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xl/tables/table194.xml" ContentType="application/vnd.openxmlformats-officedocument.spreadsheetml.table+xml"/>
  <Override PartName="/xl/tables/table195.xml" ContentType="application/vnd.openxmlformats-officedocument.spreadsheetml.table+xml"/>
  <Override PartName="/xl/tables/table196.xml" ContentType="application/vnd.openxmlformats-officedocument.spreadsheetml.table+xml"/>
  <Override PartName="/xl/tables/table197.xml" ContentType="application/vnd.openxmlformats-officedocument.spreadsheetml.table+xml"/>
  <Override PartName="/xl/tables/table198.xml" ContentType="application/vnd.openxmlformats-officedocument.spreadsheetml.table+xml"/>
  <Override PartName="/xl/tables/table199.xml" ContentType="application/vnd.openxmlformats-officedocument.spreadsheetml.table+xml"/>
  <Override PartName="/xl/tables/table200.xml" ContentType="application/vnd.openxmlformats-officedocument.spreadsheetml.table+xml"/>
  <Override PartName="/xl/tables/table201.xml" ContentType="application/vnd.openxmlformats-officedocument.spreadsheetml.table+xml"/>
  <Override PartName="/xl/tables/table202.xml" ContentType="application/vnd.openxmlformats-officedocument.spreadsheetml.table+xml"/>
  <Override PartName="/xl/tables/table203.xml" ContentType="application/vnd.openxmlformats-officedocument.spreadsheetml.table+xml"/>
  <Override PartName="/xl/tables/table204.xml" ContentType="application/vnd.openxmlformats-officedocument.spreadsheetml.table+xml"/>
  <Override PartName="/xl/tables/table205.xml" ContentType="application/vnd.openxmlformats-officedocument.spreadsheetml.table+xml"/>
  <Override PartName="/xl/tables/table206.xml" ContentType="application/vnd.openxmlformats-officedocument.spreadsheetml.table+xml"/>
  <Override PartName="/xl/tables/table207.xml" ContentType="application/vnd.openxmlformats-officedocument.spreadsheetml.table+xml"/>
  <Override PartName="/xl/tables/table208.xml" ContentType="application/vnd.openxmlformats-officedocument.spreadsheetml.table+xml"/>
  <Override PartName="/xl/tables/table209.xml" ContentType="application/vnd.openxmlformats-officedocument.spreadsheetml.table+xml"/>
  <Override PartName="/xl/tables/table210.xml" ContentType="application/vnd.openxmlformats-officedocument.spreadsheetml.table+xml"/>
  <Override PartName="/xl/tables/table211.xml" ContentType="application/vnd.openxmlformats-officedocument.spreadsheetml.table+xml"/>
  <Override PartName="/xl/tables/table212.xml" ContentType="application/vnd.openxmlformats-officedocument.spreadsheetml.table+xml"/>
  <Override PartName="/xl/tables/table213.xml" ContentType="application/vnd.openxmlformats-officedocument.spreadsheetml.table+xml"/>
  <Override PartName="/xl/tables/table214.xml" ContentType="application/vnd.openxmlformats-officedocument.spreadsheetml.table+xml"/>
  <Override PartName="/xl/tables/table215.xml" ContentType="application/vnd.openxmlformats-officedocument.spreadsheetml.table+xml"/>
  <Override PartName="/xl/tables/table216.xml" ContentType="application/vnd.openxmlformats-officedocument.spreadsheetml.table+xml"/>
  <Override PartName="/xl/tables/table217.xml" ContentType="application/vnd.openxmlformats-officedocument.spreadsheetml.table+xml"/>
  <Override PartName="/xl/tables/table218.xml" ContentType="application/vnd.openxmlformats-officedocument.spreadsheetml.table+xml"/>
  <Override PartName="/xl/tables/table219.xml" ContentType="application/vnd.openxmlformats-officedocument.spreadsheetml.table+xml"/>
  <Override PartName="/xl/tables/table220.xml" ContentType="application/vnd.openxmlformats-officedocument.spreadsheetml.table+xml"/>
  <Override PartName="/xl/tables/table221.xml" ContentType="application/vnd.openxmlformats-officedocument.spreadsheetml.table+xml"/>
  <Override PartName="/xl/tables/table222.xml" ContentType="application/vnd.openxmlformats-officedocument.spreadsheetml.table+xml"/>
  <Override PartName="/xl/tables/table223.xml" ContentType="application/vnd.openxmlformats-officedocument.spreadsheetml.table+xml"/>
  <Override PartName="/xl/tables/table224.xml" ContentType="application/vnd.openxmlformats-officedocument.spreadsheetml.table+xml"/>
  <Override PartName="/xl/tables/table225.xml" ContentType="application/vnd.openxmlformats-officedocument.spreadsheetml.table+xml"/>
  <Override PartName="/xl/tables/table226.xml" ContentType="application/vnd.openxmlformats-officedocument.spreadsheetml.table+xml"/>
  <Override PartName="/xl/tables/table227.xml" ContentType="application/vnd.openxmlformats-officedocument.spreadsheetml.table+xml"/>
  <Override PartName="/xl/tables/table228.xml" ContentType="application/vnd.openxmlformats-officedocument.spreadsheetml.table+xml"/>
  <Override PartName="/xl/tables/table229.xml" ContentType="application/vnd.openxmlformats-officedocument.spreadsheetml.table+xml"/>
  <Override PartName="/xl/tables/table230.xml" ContentType="application/vnd.openxmlformats-officedocument.spreadsheetml.table+xml"/>
  <Override PartName="/xl/tables/table23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23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workbookProtection workbookPassword="A90E" lockStructure="1"/>
  <bookViews>
    <workbookView xWindow="0" yWindow="0" windowWidth="16815" windowHeight="7755" tabRatio="606" activeTab="1"/>
  </bookViews>
  <sheets>
    <sheet name="RESUMEN" sheetId="1" r:id="rId1"/>
    <sheet name="PACC" sheetId="2" r:id="rId2"/>
    <sheet name="Informacion " sheetId="3" state="hidden" r:id="rId3"/>
    <sheet name="UNSPSC" sheetId="4" r:id="rId4"/>
    <sheet name="ProcedureTemplate" sheetId="5" state="hidden" r:id="rId5"/>
  </sheets>
  <definedNames>
    <definedName name="_xlnm.Print_Area" localSheetId="1">PACC!$A$1:$J$65</definedName>
    <definedName name="Bienes">'Informacion '!$S$3</definedName>
    <definedName name="Concesiones">'Informacion '!$S$8</definedName>
    <definedName name="ConsultoriaServicios">'Informacion '!$S$6</definedName>
    <definedName name="DistritoList">'Informacion '!$J$3:$J$387</definedName>
    <definedName name="MIPYMEList">'Informacion '!$N$3:$N$5</definedName>
    <definedName name="MIPYMEMujer">'Informacion '!$N$4</definedName>
    <definedName name="MIPYMENo">'Informacion '!$N$5</definedName>
    <definedName name="MIPYMEOculto">PACC!$I:$I</definedName>
    <definedName name="MIPYMESí">'Informacion '!$N$3</definedName>
    <definedName name="ModCM">'Informacion '!$L$4</definedName>
    <definedName name="ModCP">'Informacion '!$L$3</definedName>
    <definedName name="ModCU">'Informacion '!$L$5</definedName>
    <definedName name="ModE1508">'Informacion '!$L$12</definedName>
    <definedName name="ModE40">'Informacion '!$L$11</definedName>
    <definedName name="ModEBienes">'Informacion '!$L$6</definedName>
    <definedName name="ModEConstruccion">'Informacion '!$L$7</definedName>
    <definedName name="ModEObras">'Informacion '!$L$9</definedName>
    <definedName name="ModEProveedor">'Informacion '!$L$10</definedName>
    <definedName name="ModEPublicidad">'Informacion '!$L$8</definedName>
    <definedName name="ModLI">'Informacion '!$L$14</definedName>
    <definedName name="ModLP">'Informacion '!$L$13</definedName>
    <definedName name="ModLR">'Informacion '!$L$15</definedName>
    <definedName name="ModSI">'Informacion '!$L$17</definedName>
    <definedName name="ModSO">'Informacion '!$L$16</definedName>
    <definedName name="MunicipioColumn">'Informacion '!$I$3:$I$387</definedName>
    <definedName name="MunicipioList">'Informacion '!$F$3:$F$157</definedName>
    <definedName name="MunicipioStart">'Informacion '!$I$3</definedName>
    <definedName name="ObjetoContratacion">PACC!$C:$C</definedName>
    <definedName name="ObjetoContratacionList">'Informacion '!$S$3:$S$7</definedName>
    <definedName name="ObjetoContratacionOculto">PACC!$H:$H</definedName>
    <definedName name="Obras">'Informacion '!$S$7</definedName>
    <definedName name="ProcedimientoOculto">PACC!$J:$J</definedName>
    <definedName name="ProcedureTemplateRange">ProcedureTemplate!$A$1:$J$10</definedName>
    <definedName name="ProvinciaColumn">'Informacion '!$E$3:$E$157</definedName>
    <definedName name="ProvinciaList">'Informacion '!$C$3:$C$34</definedName>
    <definedName name="ProvinciaStart">'Informacion '!$E$3</definedName>
    <definedName name="RegionColumn">'Informacion '!$B$3:$B$34</definedName>
    <definedName name="RegionList">'Informacion '!$A$3:$A$12</definedName>
    <definedName name="RegionStart">'Informacion '!$B$3</definedName>
    <definedName name="Servicios">'Informacion '!$S$4</definedName>
    <definedName name="ServiciosConsultoria">'Informacion '!$S$5</definedName>
    <definedName name="TiposProcedimientoList">'Informacion '!$L$3:$L$17</definedName>
    <definedName name="TotalEstArea">PACC!$K:$M</definedName>
    <definedName name="TotalEstColumnName">PACC!$E:$E</definedName>
    <definedName name="TotalEstColumnValue">PACC!$F:$F</definedName>
    <definedName name="TotalEstLabel">'Informacion '!$U$3</definedName>
    <definedName name="UnidadesList">'Informacion '!$Q$3:$Q$43</definedName>
    <definedName name="UNSPSCCode">UNSPSC!$A$1:$A$18298</definedName>
    <definedName name="UNSPSCDes">UNSPSC!$B$1:$B$18298</definedName>
  </definedNames>
  <calcPr calcId="152511"/>
  <webPublishing codePage="0"/>
</workbook>
</file>

<file path=xl/calcChain.xml><?xml version="1.0" encoding="utf-8"?>
<calcChain xmlns="http://schemas.openxmlformats.org/spreadsheetml/2006/main">
  <c r="J10" i="5" l="1"/>
  <c r="I10" i="5"/>
  <c r="H10" i="5"/>
  <c r="C6" i="5"/>
  <c r="C4" i="5"/>
  <c r="J10122" i="2"/>
  <c r="I10122" i="2"/>
  <c r="H10122" i="2"/>
  <c r="C10121" i="2"/>
  <c r="C10120" i="2"/>
  <c r="C10119" i="2"/>
  <c r="C10118" i="2"/>
  <c r="C10117" i="2"/>
  <c r="C10116" i="2"/>
  <c r="C10115" i="2"/>
  <c r="C10114" i="2"/>
  <c r="C10113" i="2"/>
  <c r="C10112" i="2"/>
  <c r="C10111" i="2"/>
  <c r="C10110" i="2"/>
  <c r="C10109" i="2"/>
  <c r="C10108" i="2"/>
  <c r="C10107" i="2"/>
  <c r="C10106" i="2"/>
  <c r="C10105" i="2"/>
  <c r="C10104" i="2"/>
  <c r="C10103" i="2"/>
  <c r="C10102" i="2"/>
  <c r="C10101" i="2"/>
  <c r="C10100" i="2"/>
  <c r="C10099" i="2"/>
  <c r="C10098" i="2"/>
  <c r="C10097" i="2"/>
  <c r="C10096" i="2"/>
  <c r="C10095" i="2"/>
  <c r="C10094" i="2"/>
  <c r="C10093" i="2"/>
  <c r="C10092" i="2"/>
  <c r="C10091" i="2"/>
  <c r="C10090" i="2"/>
  <c r="C10089" i="2"/>
  <c r="C10088" i="2"/>
  <c r="C10087" i="2"/>
  <c r="C10086" i="2"/>
  <c r="C10085" i="2"/>
  <c r="C10084" i="2"/>
  <c r="C10083" i="2"/>
  <c r="C10082" i="2"/>
  <c r="C10081" i="2"/>
  <c r="C10080" i="2"/>
  <c r="C10079" i="2"/>
  <c r="C10078" i="2"/>
  <c r="C10077" i="2"/>
  <c r="C10076" i="2"/>
  <c r="C10075" i="2"/>
  <c r="C10074" i="2"/>
  <c r="C10073" i="2"/>
  <c r="C10072" i="2"/>
  <c r="C10071" i="2"/>
  <c r="C10070" i="2"/>
  <c r="C10069" i="2"/>
  <c r="C10068" i="2"/>
  <c r="C10067" i="2"/>
  <c r="C10066" i="2"/>
  <c r="C10065" i="2"/>
  <c r="C10064" i="2"/>
  <c r="C10063" i="2"/>
  <c r="C10062" i="2"/>
  <c r="C10061" i="2"/>
  <c r="C10060" i="2"/>
  <c r="C10059" i="2"/>
  <c r="C10058" i="2"/>
  <c r="C10057" i="2"/>
  <c r="C10056" i="2"/>
  <c r="C10055" i="2"/>
  <c r="C10054" i="2"/>
  <c r="C10053" i="2"/>
  <c r="C10052" i="2"/>
  <c r="C10051" i="2"/>
  <c r="C10050" i="2"/>
  <c r="C10047" i="2"/>
  <c r="C10045" i="2"/>
  <c r="J10040" i="2"/>
  <c r="I10040" i="2"/>
  <c r="H10040" i="2"/>
  <c r="C10039" i="2"/>
  <c r="C10038" i="2"/>
  <c r="C10037" i="2"/>
  <c r="C10036" i="2"/>
  <c r="C10035" i="2"/>
  <c r="C10034" i="2"/>
  <c r="C10033" i="2"/>
  <c r="C10032" i="2"/>
  <c r="C10031" i="2"/>
  <c r="C10030" i="2"/>
  <c r="C10029" i="2"/>
  <c r="C10028" i="2"/>
  <c r="C10027" i="2"/>
  <c r="C10026" i="2"/>
  <c r="C10025" i="2"/>
  <c r="C10024" i="2"/>
  <c r="C10023" i="2"/>
  <c r="C10022" i="2"/>
  <c r="C10021" i="2"/>
  <c r="C10020" i="2"/>
  <c r="C10019" i="2"/>
  <c r="C10018" i="2"/>
  <c r="C10017" i="2"/>
  <c r="C10016" i="2"/>
  <c r="C10015" i="2"/>
  <c r="C10014" i="2"/>
  <c r="C10013" i="2"/>
  <c r="C10012" i="2"/>
  <c r="C10011" i="2"/>
  <c r="C10010" i="2"/>
  <c r="C10009" i="2"/>
  <c r="C10008" i="2"/>
  <c r="C10007" i="2"/>
  <c r="C10006" i="2"/>
  <c r="C10005" i="2"/>
  <c r="C10004" i="2"/>
  <c r="C10003" i="2"/>
  <c r="C10002" i="2"/>
  <c r="C10001" i="2"/>
  <c r="C10000" i="2"/>
  <c r="C9999" i="2"/>
  <c r="C9998" i="2"/>
  <c r="C9997" i="2"/>
  <c r="C9996" i="2"/>
  <c r="C9995" i="2"/>
  <c r="C9994" i="2"/>
  <c r="C9993" i="2"/>
  <c r="C9992" i="2"/>
  <c r="C9991" i="2"/>
  <c r="C9990" i="2"/>
  <c r="C9989" i="2"/>
  <c r="C9988" i="2"/>
  <c r="C9987" i="2"/>
  <c r="C9986" i="2"/>
  <c r="C9985" i="2"/>
  <c r="C9984" i="2"/>
  <c r="C9983" i="2"/>
  <c r="C9982" i="2"/>
  <c r="C9981" i="2"/>
  <c r="C9980" i="2"/>
  <c r="C9979" i="2"/>
  <c r="C9978" i="2"/>
  <c r="C9977" i="2"/>
  <c r="C9976" i="2"/>
  <c r="C9975" i="2"/>
  <c r="C9974" i="2"/>
  <c r="C9973" i="2"/>
  <c r="C9972" i="2"/>
  <c r="C9971" i="2"/>
  <c r="C9970" i="2"/>
  <c r="C9969" i="2"/>
  <c r="C9968" i="2"/>
  <c r="C9965" i="2"/>
  <c r="C9963" i="2"/>
  <c r="J9958" i="2"/>
  <c r="I9958" i="2"/>
  <c r="H9958" i="2"/>
  <c r="C9957" i="2"/>
  <c r="C9956" i="2"/>
  <c r="C9955" i="2"/>
  <c r="C9954" i="2"/>
  <c r="C9953" i="2"/>
  <c r="C9952" i="2"/>
  <c r="C9951" i="2"/>
  <c r="C9950" i="2"/>
  <c r="C9949" i="2"/>
  <c r="C9948" i="2"/>
  <c r="C9947" i="2"/>
  <c r="C9946" i="2"/>
  <c r="C9945" i="2"/>
  <c r="C9944" i="2"/>
  <c r="C9943" i="2"/>
  <c r="C9942" i="2"/>
  <c r="C9941" i="2"/>
  <c r="C9940" i="2"/>
  <c r="C9939" i="2"/>
  <c r="C9938" i="2"/>
  <c r="C9937" i="2"/>
  <c r="C9936" i="2"/>
  <c r="C9935" i="2"/>
  <c r="C9934" i="2"/>
  <c r="C9933" i="2"/>
  <c r="C9932" i="2"/>
  <c r="C9931" i="2"/>
  <c r="C9930" i="2"/>
  <c r="C9929" i="2"/>
  <c r="C9928" i="2"/>
  <c r="C9927" i="2"/>
  <c r="C9926" i="2"/>
  <c r="C9925" i="2"/>
  <c r="C9924" i="2"/>
  <c r="C9923" i="2"/>
  <c r="C9922" i="2"/>
  <c r="C9921" i="2"/>
  <c r="C9920" i="2"/>
  <c r="C9919" i="2"/>
  <c r="C9918" i="2"/>
  <c r="C9917" i="2"/>
  <c r="C9916" i="2"/>
  <c r="C9915" i="2"/>
  <c r="C9914" i="2"/>
  <c r="C9913" i="2"/>
  <c r="C9912" i="2"/>
  <c r="C9911" i="2"/>
  <c r="C9910" i="2"/>
  <c r="C9909" i="2"/>
  <c r="C9908" i="2"/>
  <c r="C9907" i="2"/>
  <c r="C9906" i="2"/>
  <c r="C9905" i="2"/>
  <c r="C9904" i="2"/>
  <c r="C9903" i="2"/>
  <c r="C9902" i="2"/>
  <c r="C9901" i="2"/>
  <c r="C9900" i="2"/>
  <c r="C9899" i="2"/>
  <c r="C9898" i="2"/>
  <c r="C9897" i="2"/>
  <c r="C9896" i="2"/>
  <c r="C9895" i="2"/>
  <c r="C9894" i="2"/>
  <c r="C9893" i="2"/>
  <c r="C9892" i="2"/>
  <c r="C9891" i="2"/>
  <c r="C9890" i="2"/>
  <c r="C9889" i="2"/>
  <c r="C9888" i="2"/>
  <c r="C9887" i="2"/>
  <c r="C9886" i="2"/>
  <c r="C9883" i="2"/>
  <c r="C9881" i="2"/>
  <c r="J9876" i="2"/>
  <c r="I9876" i="2"/>
  <c r="H9876" i="2"/>
  <c r="C9875" i="2"/>
  <c r="C9874" i="2"/>
  <c r="C9873" i="2"/>
  <c r="C9872" i="2"/>
  <c r="C9871" i="2"/>
  <c r="C9870" i="2"/>
  <c r="C9869" i="2"/>
  <c r="C9868" i="2"/>
  <c r="C9867" i="2"/>
  <c r="C9866" i="2"/>
  <c r="C9865" i="2"/>
  <c r="C9864" i="2"/>
  <c r="C9863" i="2"/>
  <c r="C9862" i="2"/>
  <c r="C9861" i="2"/>
  <c r="C9860" i="2"/>
  <c r="C9859" i="2"/>
  <c r="C9858" i="2"/>
  <c r="C9857" i="2"/>
  <c r="C9856" i="2"/>
  <c r="C9855" i="2"/>
  <c r="C9854" i="2"/>
  <c r="C9853" i="2"/>
  <c r="C9852" i="2"/>
  <c r="C9851" i="2"/>
  <c r="C9850" i="2"/>
  <c r="C9849" i="2"/>
  <c r="C9848" i="2"/>
  <c r="C9847" i="2"/>
  <c r="C9846" i="2"/>
  <c r="C9845" i="2"/>
  <c r="C9844" i="2"/>
  <c r="C9843" i="2"/>
  <c r="C9842" i="2"/>
  <c r="C9841" i="2"/>
  <c r="C9840" i="2"/>
  <c r="C9839" i="2"/>
  <c r="C9838" i="2"/>
  <c r="C9837" i="2"/>
  <c r="C9836" i="2"/>
  <c r="C9835" i="2"/>
  <c r="C9834" i="2"/>
  <c r="C9833" i="2"/>
  <c r="C9832" i="2"/>
  <c r="C9831" i="2"/>
  <c r="C9830" i="2"/>
  <c r="C9829" i="2"/>
  <c r="C9828" i="2"/>
  <c r="C9827" i="2"/>
  <c r="C9826" i="2"/>
  <c r="C9825" i="2"/>
  <c r="C9824" i="2"/>
  <c r="C9823" i="2"/>
  <c r="C9822" i="2"/>
  <c r="C9821" i="2"/>
  <c r="C9820" i="2"/>
  <c r="C9819" i="2"/>
  <c r="C9818" i="2"/>
  <c r="C9817" i="2"/>
  <c r="C9816" i="2"/>
  <c r="C9815" i="2"/>
  <c r="C9814" i="2"/>
  <c r="C9813" i="2"/>
  <c r="C9812" i="2"/>
  <c r="C9811" i="2"/>
  <c r="C9810" i="2"/>
  <c r="C9809" i="2"/>
  <c r="C9808" i="2"/>
  <c r="C9807" i="2"/>
  <c r="C9806" i="2"/>
  <c r="C9805" i="2"/>
  <c r="C9804" i="2"/>
  <c r="C9801" i="2"/>
  <c r="C9799" i="2"/>
  <c r="J9794" i="2"/>
  <c r="I9794" i="2"/>
  <c r="H9794" i="2"/>
  <c r="C9793" i="2"/>
  <c r="C9792" i="2"/>
  <c r="C9791" i="2"/>
  <c r="C9790" i="2"/>
  <c r="C9789" i="2"/>
  <c r="C9788" i="2"/>
  <c r="C9787" i="2"/>
  <c r="C9786" i="2"/>
  <c r="C9785" i="2"/>
  <c r="C9784" i="2"/>
  <c r="C9783" i="2"/>
  <c r="C9782" i="2"/>
  <c r="C9781" i="2"/>
  <c r="C9780" i="2"/>
  <c r="C9779" i="2"/>
  <c r="C9778" i="2"/>
  <c r="C9777" i="2"/>
  <c r="C9776" i="2"/>
  <c r="C9775" i="2"/>
  <c r="C9774" i="2"/>
  <c r="C9773" i="2"/>
  <c r="C9772" i="2"/>
  <c r="C9771" i="2"/>
  <c r="C9770" i="2"/>
  <c r="C9769" i="2"/>
  <c r="C9768" i="2"/>
  <c r="C9767" i="2"/>
  <c r="C9766" i="2"/>
  <c r="C9765" i="2"/>
  <c r="C9764" i="2"/>
  <c r="C9763" i="2"/>
  <c r="C9762" i="2"/>
  <c r="C9761" i="2"/>
  <c r="C9760" i="2"/>
  <c r="C9759" i="2"/>
  <c r="C9758" i="2"/>
  <c r="C9757" i="2"/>
  <c r="C9756" i="2"/>
  <c r="C9755" i="2"/>
  <c r="C9754" i="2"/>
  <c r="C9753" i="2"/>
  <c r="C9752" i="2"/>
  <c r="C9751" i="2"/>
  <c r="C9750" i="2"/>
  <c r="C9749" i="2"/>
  <c r="C9748" i="2"/>
  <c r="C9747" i="2"/>
  <c r="C9746" i="2"/>
  <c r="C9745" i="2"/>
  <c r="C9744" i="2"/>
  <c r="C9743" i="2"/>
  <c r="C9742" i="2"/>
  <c r="C9741" i="2"/>
  <c r="C9740" i="2"/>
  <c r="C9739" i="2"/>
  <c r="C9738" i="2"/>
  <c r="C9737" i="2"/>
  <c r="C9736" i="2"/>
  <c r="C9735" i="2"/>
  <c r="C9734" i="2"/>
  <c r="C9733" i="2"/>
  <c r="C9732" i="2"/>
  <c r="C9731" i="2"/>
  <c r="C9730" i="2"/>
  <c r="C9729" i="2"/>
  <c r="C9728" i="2"/>
  <c r="C9727" i="2"/>
  <c r="C9726" i="2"/>
  <c r="C9725" i="2"/>
  <c r="C9724" i="2"/>
  <c r="C9723" i="2"/>
  <c r="C9722" i="2"/>
  <c r="C9721" i="2"/>
  <c r="C9720" i="2"/>
  <c r="C9719" i="2"/>
  <c r="C9718" i="2"/>
  <c r="C9717" i="2"/>
  <c r="C9716" i="2"/>
  <c r="C9715" i="2"/>
  <c r="C9714" i="2"/>
  <c r="C9713" i="2"/>
  <c r="C9712" i="2"/>
  <c r="C9711" i="2"/>
  <c r="C9710" i="2"/>
  <c r="C9709" i="2"/>
  <c r="C9708" i="2"/>
  <c r="C9707" i="2"/>
  <c r="C9706" i="2"/>
  <c r="C9705" i="2"/>
  <c r="C9704" i="2"/>
  <c r="C9703" i="2"/>
  <c r="C9702" i="2"/>
  <c r="C9701" i="2"/>
  <c r="C9700" i="2"/>
  <c r="C9699" i="2"/>
  <c r="C9698" i="2"/>
  <c r="C9697" i="2"/>
  <c r="C9696" i="2"/>
  <c r="C9695" i="2"/>
  <c r="C9694" i="2"/>
  <c r="C9693" i="2"/>
  <c r="C9692" i="2"/>
  <c r="C9691" i="2"/>
  <c r="C9690" i="2"/>
  <c r="C9689" i="2"/>
  <c r="C9688" i="2"/>
  <c r="C9687" i="2"/>
  <c r="C9686" i="2"/>
  <c r="C9685" i="2"/>
  <c r="C9684" i="2"/>
  <c r="C9683" i="2"/>
  <c r="C9682" i="2"/>
  <c r="C9681" i="2"/>
  <c r="C9680" i="2"/>
  <c r="C9679" i="2"/>
  <c r="C9678" i="2"/>
  <c r="C9677" i="2"/>
  <c r="C9676" i="2"/>
  <c r="C9675" i="2"/>
  <c r="C9674" i="2"/>
  <c r="C9673" i="2"/>
  <c r="C9672" i="2"/>
  <c r="C9671" i="2"/>
  <c r="C9670" i="2"/>
  <c r="C9669" i="2"/>
  <c r="C9668" i="2"/>
  <c r="C9667" i="2"/>
  <c r="C9664" i="2"/>
  <c r="C9662" i="2"/>
  <c r="J9657" i="2"/>
  <c r="I9657" i="2"/>
  <c r="H9657" i="2"/>
  <c r="C9656" i="2"/>
  <c r="C9655" i="2"/>
  <c r="C9654" i="2"/>
  <c r="C9653" i="2"/>
  <c r="C9652" i="2"/>
  <c r="C9651" i="2"/>
  <c r="C9650" i="2"/>
  <c r="C9649" i="2"/>
  <c r="C9648" i="2"/>
  <c r="C9647" i="2"/>
  <c r="C9646" i="2"/>
  <c r="C9645" i="2"/>
  <c r="C9644" i="2"/>
  <c r="C9643" i="2"/>
  <c r="C9642" i="2"/>
  <c r="C9641" i="2"/>
  <c r="C9640" i="2"/>
  <c r="C9639" i="2"/>
  <c r="C9638" i="2"/>
  <c r="C9637" i="2"/>
  <c r="C9636" i="2"/>
  <c r="C9635" i="2"/>
  <c r="C9634" i="2"/>
  <c r="C9633" i="2"/>
  <c r="C9632" i="2"/>
  <c r="C9631" i="2"/>
  <c r="C9630" i="2"/>
  <c r="C9629" i="2"/>
  <c r="C9628" i="2"/>
  <c r="C9627" i="2"/>
  <c r="C9626" i="2"/>
  <c r="C9625" i="2"/>
  <c r="C9624" i="2"/>
  <c r="C9623" i="2"/>
  <c r="C9622" i="2"/>
  <c r="C9621" i="2"/>
  <c r="C9620" i="2"/>
  <c r="C9619" i="2"/>
  <c r="C9618" i="2"/>
  <c r="C9617" i="2"/>
  <c r="C9616" i="2"/>
  <c r="C9615" i="2"/>
  <c r="C9614" i="2"/>
  <c r="C9613" i="2"/>
  <c r="C9612" i="2"/>
  <c r="C9611" i="2"/>
  <c r="C9610" i="2"/>
  <c r="C9609" i="2"/>
  <c r="C9608" i="2"/>
  <c r="C9607" i="2"/>
  <c r="C9606" i="2"/>
  <c r="C9605" i="2"/>
  <c r="C9604" i="2"/>
  <c r="C9603" i="2"/>
  <c r="C9602" i="2"/>
  <c r="C9601" i="2"/>
  <c r="C9600" i="2"/>
  <c r="C9599" i="2"/>
  <c r="C9598" i="2"/>
  <c r="C9597" i="2"/>
  <c r="C9596" i="2"/>
  <c r="C9595" i="2"/>
  <c r="C9594" i="2"/>
  <c r="C9593" i="2"/>
  <c r="C9592" i="2"/>
  <c r="C9591" i="2"/>
  <c r="C9590" i="2"/>
  <c r="C9589" i="2"/>
  <c r="C9588" i="2"/>
  <c r="C9587" i="2"/>
  <c r="C9586" i="2"/>
  <c r="C9585" i="2"/>
  <c r="C9584" i="2"/>
  <c r="C9583" i="2"/>
  <c r="C9582" i="2"/>
  <c r="C9581" i="2"/>
  <c r="C9580" i="2"/>
  <c r="C9579" i="2"/>
  <c r="C9578" i="2"/>
  <c r="C9577" i="2"/>
  <c r="C9576" i="2"/>
  <c r="C9575" i="2"/>
  <c r="C9574" i="2"/>
  <c r="C9573" i="2"/>
  <c r="C9572" i="2"/>
  <c r="C9571" i="2"/>
  <c r="C9570" i="2"/>
  <c r="C9569" i="2"/>
  <c r="C9568" i="2"/>
  <c r="C9567" i="2"/>
  <c r="C9566" i="2"/>
  <c r="C9565" i="2"/>
  <c r="C9564" i="2"/>
  <c r="C9563" i="2"/>
  <c r="C9562" i="2"/>
  <c r="C9561" i="2"/>
  <c r="C9560" i="2"/>
  <c r="C9559" i="2"/>
  <c r="C9558" i="2"/>
  <c r="C9557" i="2"/>
  <c r="C9556" i="2"/>
  <c r="C9555" i="2"/>
  <c r="C9554" i="2"/>
  <c r="C9553" i="2"/>
  <c r="C9552" i="2"/>
  <c r="C9551" i="2"/>
  <c r="C9550" i="2"/>
  <c r="C9549" i="2"/>
  <c r="C9548" i="2"/>
  <c r="C9547" i="2"/>
  <c r="C9546" i="2"/>
  <c r="C9545" i="2"/>
  <c r="C9544" i="2"/>
  <c r="C9543" i="2"/>
  <c r="C9542" i="2"/>
  <c r="C9541" i="2"/>
  <c r="C9540" i="2"/>
  <c r="C9539" i="2"/>
  <c r="C9538" i="2"/>
  <c r="C9537" i="2"/>
  <c r="C9536" i="2"/>
  <c r="C9535" i="2"/>
  <c r="C9534" i="2"/>
  <c r="C9533" i="2"/>
  <c r="C9532" i="2"/>
  <c r="C9531" i="2"/>
  <c r="C9530" i="2"/>
  <c r="C9529" i="2"/>
  <c r="C9526" i="2"/>
  <c r="C9524" i="2"/>
  <c r="J9519" i="2"/>
  <c r="I9519" i="2"/>
  <c r="H9519" i="2"/>
  <c r="C9518" i="2"/>
  <c r="C9517" i="2"/>
  <c r="C9516" i="2"/>
  <c r="C9515" i="2"/>
  <c r="C9514" i="2"/>
  <c r="C9513" i="2"/>
  <c r="C9512" i="2"/>
  <c r="C9511" i="2"/>
  <c r="C9510" i="2"/>
  <c r="C9509" i="2"/>
  <c r="C9508" i="2"/>
  <c r="C9507" i="2"/>
  <c r="C9506" i="2"/>
  <c r="C9505" i="2"/>
  <c r="C9504" i="2"/>
  <c r="C9503" i="2"/>
  <c r="C9502" i="2"/>
  <c r="C9501" i="2"/>
  <c r="C9500" i="2"/>
  <c r="C9499" i="2"/>
  <c r="C9498" i="2"/>
  <c r="C9497" i="2"/>
  <c r="C9496" i="2"/>
  <c r="C9495" i="2"/>
  <c r="C9494" i="2"/>
  <c r="C9493" i="2"/>
  <c r="C9492" i="2"/>
  <c r="C9491" i="2"/>
  <c r="C9490" i="2"/>
  <c r="C9489" i="2"/>
  <c r="C9488" i="2"/>
  <c r="C9487" i="2"/>
  <c r="C9486" i="2"/>
  <c r="C9485" i="2"/>
  <c r="C9484" i="2"/>
  <c r="C9483" i="2"/>
  <c r="C9482" i="2"/>
  <c r="C9481" i="2"/>
  <c r="C9480" i="2"/>
  <c r="C9479" i="2"/>
  <c r="C9478" i="2"/>
  <c r="C9477" i="2"/>
  <c r="C9476" i="2"/>
  <c r="C9475" i="2"/>
  <c r="C9474" i="2"/>
  <c r="C9473" i="2"/>
  <c r="C9472" i="2"/>
  <c r="C9471" i="2"/>
  <c r="C9470" i="2"/>
  <c r="C9469" i="2"/>
  <c r="C9468" i="2"/>
  <c r="C9467" i="2"/>
  <c r="C9466" i="2"/>
  <c r="C9465" i="2"/>
  <c r="C9464" i="2"/>
  <c r="C9463" i="2"/>
  <c r="C9462" i="2"/>
  <c r="C9461" i="2"/>
  <c r="C9460" i="2"/>
  <c r="C9459" i="2"/>
  <c r="C9458" i="2"/>
  <c r="C9457" i="2"/>
  <c r="C9456" i="2"/>
  <c r="C9455" i="2"/>
  <c r="C9454" i="2"/>
  <c r="C9453" i="2"/>
  <c r="C9452" i="2"/>
  <c r="C9451" i="2"/>
  <c r="C9450" i="2"/>
  <c r="C9449" i="2"/>
  <c r="C9448" i="2"/>
  <c r="C9447" i="2"/>
  <c r="C9446" i="2"/>
  <c r="C9445" i="2"/>
  <c r="C9444" i="2"/>
  <c r="C9443" i="2"/>
  <c r="C9442" i="2"/>
  <c r="C9441" i="2"/>
  <c r="C9440" i="2"/>
  <c r="C9439" i="2"/>
  <c r="C9438" i="2"/>
  <c r="C9437" i="2"/>
  <c r="C9436" i="2"/>
  <c r="C9435" i="2"/>
  <c r="C9434" i="2"/>
  <c r="C9433" i="2"/>
  <c r="C9432" i="2"/>
  <c r="C9431" i="2"/>
  <c r="C9430" i="2"/>
  <c r="C9429" i="2"/>
  <c r="C9428" i="2"/>
  <c r="C9427" i="2"/>
  <c r="C9426" i="2"/>
  <c r="C9425" i="2"/>
  <c r="C9424" i="2"/>
  <c r="C9423" i="2"/>
  <c r="C9422" i="2"/>
  <c r="C9421" i="2"/>
  <c r="C9420" i="2"/>
  <c r="C9419" i="2"/>
  <c r="C9418" i="2"/>
  <c r="C9417" i="2"/>
  <c r="C9416" i="2"/>
  <c r="C9415" i="2"/>
  <c r="C9414" i="2"/>
  <c r="C9413" i="2"/>
  <c r="C9412" i="2"/>
  <c r="C9411" i="2"/>
  <c r="C9410" i="2"/>
  <c r="C9409" i="2"/>
  <c r="C9408" i="2"/>
  <c r="C9407" i="2"/>
  <c r="C9406" i="2"/>
  <c r="C9405" i="2"/>
  <c r="C9404" i="2"/>
  <c r="C9403" i="2"/>
  <c r="C9402" i="2"/>
  <c r="C9401" i="2"/>
  <c r="C9400" i="2"/>
  <c r="C9399" i="2"/>
  <c r="C9398" i="2"/>
  <c r="C9397" i="2"/>
  <c r="C9396" i="2"/>
  <c r="C9395" i="2"/>
  <c r="C9394" i="2"/>
  <c r="C9393" i="2"/>
  <c r="C9392" i="2"/>
  <c r="C9389" i="2"/>
  <c r="C9387" i="2"/>
  <c r="J9382" i="2"/>
  <c r="I9382" i="2"/>
  <c r="H9382" i="2"/>
  <c r="C9381" i="2"/>
  <c r="C9380" i="2"/>
  <c r="C9379" i="2"/>
  <c r="C9378" i="2"/>
  <c r="C9377" i="2"/>
  <c r="C9376" i="2"/>
  <c r="C9375" i="2"/>
  <c r="C9374" i="2"/>
  <c r="C9373" i="2"/>
  <c r="C9372" i="2"/>
  <c r="C9371" i="2"/>
  <c r="C9370" i="2"/>
  <c r="C9369" i="2"/>
  <c r="C9368" i="2"/>
  <c r="C9367" i="2"/>
  <c r="C9366" i="2"/>
  <c r="C9365" i="2"/>
  <c r="C9364" i="2"/>
  <c r="C9363" i="2"/>
  <c r="C9362" i="2"/>
  <c r="C9361" i="2"/>
  <c r="C9360" i="2"/>
  <c r="C9359" i="2"/>
  <c r="C9358" i="2"/>
  <c r="C9357" i="2"/>
  <c r="C9356" i="2"/>
  <c r="C9355" i="2"/>
  <c r="C9354" i="2"/>
  <c r="C9353" i="2"/>
  <c r="C9352" i="2"/>
  <c r="C9351" i="2"/>
  <c r="C9350" i="2"/>
  <c r="C9349" i="2"/>
  <c r="C9348" i="2"/>
  <c r="C9347" i="2"/>
  <c r="C9346" i="2"/>
  <c r="C9345" i="2"/>
  <c r="C9344" i="2"/>
  <c r="C9343" i="2"/>
  <c r="C9342" i="2"/>
  <c r="C9341" i="2"/>
  <c r="C9340" i="2"/>
  <c r="C9339" i="2"/>
  <c r="C9338" i="2"/>
  <c r="C9337" i="2"/>
  <c r="C9336" i="2"/>
  <c r="C9335" i="2"/>
  <c r="C9334" i="2"/>
  <c r="C9333" i="2"/>
  <c r="C9332" i="2"/>
  <c r="C9331" i="2"/>
  <c r="C9330" i="2"/>
  <c r="C9329" i="2"/>
  <c r="C9328" i="2"/>
  <c r="C9327" i="2"/>
  <c r="C9326" i="2"/>
  <c r="C9325" i="2"/>
  <c r="C9324" i="2"/>
  <c r="C9323" i="2"/>
  <c r="C9322" i="2"/>
  <c r="C9321" i="2"/>
  <c r="C9320" i="2"/>
  <c r="C9319" i="2"/>
  <c r="C9318" i="2"/>
  <c r="C9317" i="2"/>
  <c r="C9316" i="2"/>
  <c r="C9315" i="2"/>
  <c r="C9314" i="2"/>
  <c r="C9313" i="2"/>
  <c r="C9312" i="2"/>
  <c r="C9311" i="2"/>
  <c r="C9310" i="2"/>
  <c r="C9309" i="2"/>
  <c r="C9308" i="2"/>
  <c r="C9307" i="2"/>
  <c r="C9306" i="2"/>
  <c r="C9305" i="2"/>
  <c r="C9304" i="2"/>
  <c r="C9303" i="2"/>
  <c r="C9302" i="2"/>
  <c r="C9301" i="2"/>
  <c r="C9300" i="2"/>
  <c r="C9299" i="2"/>
  <c r="C9298" i="2"/>
  <c r="C9297" i="2"/>
  <c r="C9296" i="2"/>
  <c r="C9295" i="2"/>
  <c r="C9294" i="2"/>
  <c r="C9293" i="2"/>
  <c r="C9292" i="2"/>
  <c r="C9291" i="2"/>
  <c r="C9290" i="2"/>
  <c r="C9289" i="2"/>
  <c r="C9288" i="2"/>
  <c r="C9287" i="2"/>
  <c r="C9286" i="2"/>
  <c r="C9285" i="2"/>
  <c r="C9284" i="2"/>
  <c r="C9283" i="2"/>
  <c r="C9282" i="2"/>
  <c r="C9281" i="2"/>
  <c r="C9280" i="2"/>
  <c r="C9279" i="2"/>
  <c r="C9278" i="2"/>
  <c r="C9277" i="2"/>
  <c r="C9276" i="2"/>
  <c r="C9275" i="2"/>
  <c r="C9274" i="2"/>
  <c r="C9273" i="2"/>
  <c r="C9272" i="2"/>
  <c r="C9271" i="2"/>
  <c r="C9270" i="2"/>
  <c r="C9269" i="2"/>
  <c r="C9268" i="2"/>
  <c r="C9267" i="2"/>
  <c r="C9266" i="2"/>
  <c r="C9265" i="2"/>
  <c r="C9264" i="2"/>
  <c r="C9263" i="2"/>
  <c r="C9262" i="2"/>
  <c r="C9261" i="2"/>
  <c r="C9260" i="2"/>
  <c r="C9259" i="2"/>
  <c r="C9258" i="2"/>
  <c r="C9257" i="2"/>
  <c r="C9256" i="2"/>
  <c r="C9255" i="2"/>
  <c r="C9252" i="2"/>
  <c r="C9250" i="2"/>
  <c r="J9245" i="2"/>
  <c r="I9245" i="2"/>
  <c r="H9245" i="2"/>
  <c r="C9244" i="2"/>
  <c r="C9241" i="2"/>
  <c r="C9239" i="2"/>
  <c r="J9234" i="2"/>
  <c r="I9234" i="2"/>
  <c r="H9234" i="2"/>
  <c r="C9233" i="2"/>
  <c r="C9230" i="2"/>
  <c r="C9228" i="2"/>
  <c r="J9223" i="2"/>
  <c r="I9223" i="2"/>
  <c r="H9223" i="2"/>
  <c r="C9222" i="2"/>
  <c r="C9221" i="2"/>
  <c r="C9220" i="2"/>
  <c r="C9219" i="2"/>
  <c r="C9218" i="2"/>
  <c r="C9217" i="2"/>
  <c r="C9216" i="2"/>
  <c r="C9215" i="2"/>
  <c r="C9214" i="2"/>
  <c r="C9213" i="2"/>
  <c r="C9212" i="2"/>
  <c r="C9211" i="2"/>
  <c r="C9210" i="2"/>
  <c r="C9209" i="2"/>
  <c r="C9208" i="2"/>
  <c r="C9207" i="2"/>
  <c r="C9206" i="2"/>
  <c r="C9205" i="2"/>
  <c r="C9204" i="2"/>
  <c r="C9203" i="2"/>
  <c r="C9202" i="2"/>
  <c r="C9201" i="2"/>
  <c r="C9200" i="2"/>
  <c r="C9199" i="2"/>
  <c r="C9198" i="2"/>
  <c r="C9197" i="2"/>
  <c r="C9196" i="2"/>
  <c r="C9195" i="2"/>
  <c r="C9194" i="2"/>
  <c r="C9193" i="2"/>
  <c r="C9192" i="2"/>
  <c r="C9191" i="2"/>
  <c r="C9190" i="2"/>
  <c r="C9189" i="2"/>
  <c r="C9188" i="2"/>
  <c r="C9187" i="2"/>
  <c r="C9186" i="2"/>
  <c r="C9185" i="2"/>
  <c r="C9184" i="2"/>
  <c r="C9183" i="2"/>
  <c r="C9182" i="2"/>
  <c r="C9181" i="2"/>
  <c r="C9180" i="2"/>
  <c r="C9179" i="2"/>
  <c r="C9178" i="2"/>
  <c r="C9177" i="2"/>
  <c r="C9176" i="2"/>
  <c r="C9175" i="2"/>
  <c r="C9174" i="2"/>
  <c r="C9173" i="2"/>
  <c r="C9172" i="2"/>
  <c r="C9171" i="2"/>
  <c r="C9170" i="2"/>
  <c r="C9169" i="2"/>
  <c r="C9168" i="2"/>
  <c r="C9167" i="2"/>
  <c r="C9166" i="2"/>
  <c r="C9165" i="2"/>
  <c r="C9164" i="2"/>
  <c r="C9163" i="2"/>
  <c r="C9162" i="2"/>
  <c r="C9161" i="2"/>
  <c r="C9160" i="2"/>
  <c r="C9159" i="2"/>
  <c r="C9158" i="2"/>
  <c r="C9157" i="2"/>
  <c r="C9156" i="2"/>
  <c r="C9155" i="2"/>
  <c r="C9154" i="2"/>
  <c r="C9153" i="2"/>
  <c r="C9152" i="2"/>
  <c r="C9151" i="2"/>
  <c r="C9150" i="2"/>
  <c r="C9149" i="2"/>
  <c r="C9148" i="2"/>
  <c r="C9147" i="2"/>
  <c r="C9146" i="2"/>
  <c r="C9145" i="2"/>
  <c r="C9144" i="2"/>
  <c r="C9143" i="2"/>
  <c r="C9142" i="2"/>
  <c r="C9141" i="2"/>
  <c r="C9140" i="2"/>
  <c r="C9139" i="2"/>
  <c r="C9138" i="2"/>
  <c r="C9137" i="2"/>
  <c r="C9136" i="2"/>
  <c r="C9135" i="2"/>
  <c r="C9134" i="2"/>
  <c r="C9133" i="2"/>
  <c r="C9132" i="2"/>
  <c r="C9131" i="2"/>
  <c r="C9130" i="2"/>
  <c r="C9129" i="2"/>
  <c r="C9128" i="2"/>
  <c r="C9127" i="2"/>
  <c r="C9126" i="2"/>
  <c r="C9125" i="2"/>
  <c r="C9124" i="2"/>
  <c r="C9123" i="2"/>
  <c r="C9122" i="2"/>
  <c r="C9121" i="2"/>
  <c r="C9120" i="2"/>
  <c r="C9119" i="2"/>
  <c r="C9118" i="2"/>
  <c r="C9117" i="2"/>
  <c r="C9116" i="2"/>
  <c r="C9115" i="2"/>
  <c r="C9114" i="2"/>
  <c r="C9113" i="2"/>
  <c r="C9112" i="2"/>
  <c r="C9111" i="2"/>
  <c r="C9110" i="2"/>
  <c r="C9109" i="2"/>
  <c r="C9108" i="2"/>
  <c r="C9107" i="2"/>
  <c r="C9106" i="2"/>
  <c r="C9105" i="2"/>
  <c r="C9104" i="2"/>
  <c r="C9103" i="2"/>
  <c r="C9102" i="2"/>
  <c r="C9099" i="2"/>
  <c r="C9097" i="2"/>
  <c r="J9092" i="2"/>
  <c r="I9092" i="2"/>
  <c r="H9092" i="2"/>
  <c r="C9091" i="2"/>
  <c r="C9090" i="2"/>
  <c r="C9089" i="2"/>
  <c r="C9088" i="2"/>
  <c r="C9087" i="2"/>
  <c r="C9086" i="2"/>
  <c r="C9085" i="2"/>
  <c r="C9084" i="2"/>
  <c r="C9083" i="2"/>
  <c r="C9082" i="2"/>
  <c r="C9081" i="2"/>
  <c r="C9080" i="2"/>
  <c r="C9079" i="2"/>
  <c r="C9078" i="2"/>
  <c r="C9077" i="2"/>
  <c r="C9076" i="2"/>
  <c r="C9075" i="2"/>
  <c r="C9074" i="2"/>
  <c r="C9073" i="2"/>
  <c r="C9072" i="2"/>
  <c r="C9071" i="2"/>
  <c r="C9070" i="2"/>
  <c r="C9069" i="2"/>
  <c r="C9068" i="2"/>
  <c r="C9067" i="2"/>
  <c r="C9066" i="2"/>
  <c r="C9065" i="2"/>
  <c r="C9064" i="2"/>
  <c r="C9063" i="2"/>
  <c r="C9062" i="2"/>
  <c r="C9061" i="2"/>
  <c r="C9060" i="2"/>
  <c r="C9059" i="2"/>
  <c r="C9058" i="2"/>
  <c r="C9057" i="2"/>
  <c r="C9056" i="2"/>
  <c r="C9055" i="2"/>
  <c r="C9054" i="2"/>
  <c r="C9053" i="2"/>
  <c r="C9052" i="2"/>
  <c r="C9051" i="2"/>
  <c r="C9050" i="2"/>
  <c r="C9049" i="2"/>
  <c r="C9048" i="2"/>
  <c r="C9047" i="2"/>
  <c r="C9046" i="2"/>
  <c r="C9045" i="2"/>
  <c r="C9044" i="2"/>
  <c r="C9043" i="2"/>
  <c r="C9042" i="2"/>
  <c r="C9041" i="2"/>
  <c r="C9040" i="2"/>
  <c r="C9039" i="2"/>
  <c r="C9038" i="2"/>
  <c r="C9037" i="2"/>
  <c r="C9036" i="2"/>
  <c r="C9035" i="2"/>
  <c r="C9034" i="2"/>
  <c r="C9033" i="2"/>
  <c r="C9032" i="2"/>
  <c r="C9031" i="2"/>
  <c r="C9030" i="2"/>
  <c r="C9029" i="2"/>
  <c r="C9028" i="2"/>
  <c r="C9027" i="2"/>
  <c r="C9026" i="2"/>
  <c r="C9025" i="2"/>
  <c r="C9024" i="2"/>
  <c r="C9023" i="2"/>
  <c r="C9022" i="2"/>
  <c r="C9021" i="2"/>
  <c r="C9020" i="2"/>
  <c r="C9019" i="2"/>
  <c r="C9018" i="2"/>
  <c r="C9017" i="2"/>
  <c r="C9016" i="2"/>
  <c r="C9015" i="2"/>
  <c r="C9014" i="2"/>
  <c r="C9013" i="2"/>
  <c r="C9012" i="2"/>
  <c r="C9011" i="2"/>
  <c r="C9010" i="2"/>
  <c r="C9009" i="2"/>
  <c r="C9008" i="2"/>
  <c r="C9007" i="2"/>
  <c r="C9006" i="2"/>
  <c r="C9005" i="2"/>
  <c r="C9004" i="2"/>
  <c r="C9003" i="2"/>
  <c r="C9002" i="2"/>
  <c r="C9001" i="2"/>
  <c r="C9000" i="2"/>
  <c r="C8999" i="2"/>
  <c r="C8998" i="2"/>
  <c r="C8997" i="2"/>
  <c r="C8996" i="2"/>
  <c r="C8995" i="2"/>
  <c r="C8994" i="2"/>
  <c r="C8993" i="2"/>
  <c r="C8992" i="2"/>
  <c r="C8991" i="2"/>
  <c r="C8990" i="2"/>
  <c r="C8989" i="2"/>
  <c r="C8988" i="2"/>
  <c r="C8987" i="2"/>
  <c r="C8986" i="2"/>
  <c r="C8985" i="2"/>
  <c r="C8984" i="2"/>
  <c r="C8983" i="2"/>
  <c r="C8982" i="2"/>
  <c r="C8981" i="2"/>
  <c r="C8980" i="2"/>
  <c r="C8979" i="2"/>
  <c r="C8978" i="2"/>
  <c r="C8977" i="2"/>
  <c r="C8976" i="2"/>
  <c r="C8975" i="2"/>
  <c r="C8974" i="2"/>
  <c r="C8973" i="2"/>
  <c r="C8972" i="2"/>
  <c r="C8971" i="2"/>
  <c r="C8970" i="2"/>
  <c r="C8969" i="2"/>
  <c r="C8968" i="2"/>
  <c r="C8967" i="2"/>
  <c r="C8966" i="2"/>
  <c r="C8965" i="2"/>
  <c r="C8964" i="2"/>
  <c r="C8963" i="2"/>
  <c r="C8962" i="2"/>
  <c r="C8961" i="2"/>
  <c r="C8960" i="2"/>
  <c r="C8959" i="2"/>
  <c r="C8958" i="2"/>
  <c r="C8957" i="2"/>
  <c r="C8956" i="2"/>
  <c r="C8955" i="2"/>
  <c r="C8954" i="2"/>
  <c r="C8953" i="2"/>
  <c r="C8952" i="2"/>
  <c r="C8951" i="2"/>
  <c r="C8950" i="2"/>
  <c r="C8949" i="2"/>
  <c r="C8948" i="2"/>
  <c r="C8947" i="2"/>
  <c r="C8946" i="2"/>
  <c r="C8945" i="2"/>
  <c r="C8944" i="2"/>
  <c r="C8943" i="2"/>
  <c r="C8942" i="2"/>
  <c r="C8941" i="2"/>
  <c r="C8940" i="2"/>
  <c r="C8939" i="2"/>
  <c r="C8938" i="2"/>
  <c r="C8937" i="2"/>
  <c r="C8936" i="2"/>
  <c r="C8935" i="2"/>
  <c r="C8934" i="2"/>
  <c r="C8933" i="2"/>
  <c r="C8932" i="2"/>
  <c r="C8931" i="2"/>
  <c r="C8930" i="2"/>
  <c r="C8929" i="2"/>
  <c r="C8928" i="2"/>
  <c r="C8927" i="2"/>
  <c r="C8926" i="2"/>
  <c r="C8925" i="2"/>
  <c r="C8924" i="2"/>
  <c r="C8923" i="2"/>
  <c r="C8922" i="2"/>
  <c r="C8921" i="2"/>
  <c r="C8920" i="2"/>
  <c r="C8919" i="2"/>
  <c r="C8918" i="2"/>
  <c r="C8917" i="2"/>
  <c r="C8916" i="2"/>
  <c r="C8915" i="2"/>
  <c r="C8914" i="2"/>
  <c r="C8913" i="2"/>
  <c r="C8912" i="2"/>
  <c r="C8911" i="2"/>
  <c r="C8910" i="2"/>
  <c r="C8909" i="2"/>
  <c r="C8908" i="2"/>
  <c r="C8907" i="2"/>
  <c r="C8906" i="2"/>
  <c r="C8905" i="2"/>
  <c r="C8904" i="2"/>
  <c r="C8901" i="2"/>
  <c r="C8899" i="2"/>
  <c r="J8894" i="2"/>
  <c r="I8894" i="2"/>
  <c r="H8894" i="2"/>
  <c r="C8893" i="2"/>
  <c r="C8892" i="2"/>
  <c r="C8891" i="2"/>
  <c r="C8890" i="2"/>
  <c r="C8889" i="2"/>
  <c r="C8888" i="2"/>
  <c r="C8887" i="2"/>
  <c r="C8886" i="2"/>
  <c r="C8885" i="2"/>
  <c r="C8884" i="2"/>
  <c r="C8883" i="2"/>
  <c r="C8882" i="2"/>
  <c r="C8881" i="2"/>
  <c r="C8880" i="2"/>
  <c r="C8879" i="2"/>
  <c r="C8878" i="2"/>
  <c r="C8877" i="2"/>
  <c r="C8876" i="2"/>
  <c r="C8875" i="2"/>
  <c r="C8874" i="2"/>
  <c r="C8873" i="2"/>
  <c r="C8872" i="2"/>
  <c r="C8871" i="2"/>
  <c r="C8870" i="2"/>
  <c r="C8869" i="2"/>
  <c r="C8868" i="2"/>
  <c r="C8867" i="2"/>
  <c r="C8866" i="2"/>
  <c r="C8865" i="2"/>
  <c r="C8864" i="2"/>
  <c r="C8863" i="2"/>
  <c r="C8862" i="2"/>
  <c r="C8861" i="2"/>
  <c r="C8860" i="2"/>
  <c r="C8859" i="2"/>
  <c r="C8858" i="2"/>
  <c r="C8857" i="2"/>
  <c r="C8856" i="2"/>
  <c r="C8855" i="2"/>
  <c r="C8854" i="2"/>
  <c r="C8853" i="2"/>
  <c r="C8852" i="2"/>
  <c r="C8851" i="2"/>
  <c r="C8850" i="2"/>
  <c r="C8849" i="2"/>
  <c r="C8848" i="2"/>
  <c r="C8847" i="2"/>
  <c r="C8846" i="2"/>
  <c r="C8845" i="2"/>
  <c r="C8844" i="2"/>
  <c r="C8843" i="2"/>
  <c r="C8842" i="2"/>
  <c r="C8841" i="2"/>
  <c r="C8840" i="2"/>
  <c r="C8839" i="2"/>
  <c r="C8838" i="2"/>
  <c r="C8837" i="2"/>
  <c r="C8836" i="2"/>
  <c r="C8835" i="2"/>
  <c r="C8834" i="2"/>
  <c r="C8833" i="2"/>
  <c r="C8832" i="2"/>
  <c r="C8831" i="2"/>
  <c r="C8830" i="2"/>
  <c r="C8829" i="2"/>
  <c r="C8828" i="2"/>
  <c r="C8827" i="2"/>
  <c r="C8826" i="2"/>
  <c r="C8825" i="2"/>
  <c r="C8824" i="2"/>
  <c r="C8823" i="2"/>
  <c r="C8822" i="2"/>
  <c r="C8821" i="2"/>
  <c r="C8820" i="2"/>
  <c r="C8819" i="2"/>
  <c r="C8818" i="2"/>
  <c r="C8817" i="2"/>
  <c r="C8816" i="2"/>
  <c r="C8815" i="2"/>
  <c r="C8814" i="2"/>
  <c r="C8813" i="2"/>
  <c r="C8812" i="2"/>
  <c r="C8811" i="2"/>
  <c r="C8810" i="2"/>
  <c r="C8809" i="2"/>
  <c r="C8808" i="2"/>
  <c r="C8807" i="2"/>
  <c r="C8806" i="2"/>
  <c r="C8805" i="2"/>
  <c r="C8804" i="2"/>
  <c r="C8803" i="2"/>
  <c r="C8802" i="2"/>
  <c r="C8801" i="2"/>
  <c r="C8800" i="2"/>
  <c r="C8799" i="2"/>
  <c r="C8798" i="2"/>
  <c r="C8797" i="2"/>
  <c r="C8796" i="2"/>
  <c r="C8795" i="2"/>
  <c r="C8794" i="2"/>
  <c r="C8793" i="2"/>
  <c r="C8792" i="2"/>
  <c r="C8791" i="2"/>
  <c r="C8790" i="2"/>
  <c r="C8789" i="2"/>
  <c r="C8788" i="2"/>
  <c r="C8787" i="2"/>
  <c r="C8784" i="2"/>
  <c r="C8782" i="2"/>
  <c r="J8777" i="2"/>
  <c r="I8777" i="2"/>
  <c r="H8777" i="2"/>
  <c r="C8776" i="2"/>
  <c r="C8775" i="2"/>
  <c r="C8774" i="2"/>
  <c r="C8773" i="2"/>
  <c r="C8772" i="2"/>
  <c r="C8771" i="2"/>
  <c r="C8770" i="2"/>
  <c r="C8769" i="2"/>
  <c r="C8768" i="2"/>
  <c r="C8767" i="2"/>
  <c r="C8766" i="2"/>
  <c r="C8765" i="2"/>
  <c r="C8764" i="2"/>
  <c r="C8763" i="2"/>
  <c r="C8762" i="2"/>
  <c r="C8761" i="2"/>
  <c r="C8760" i="2"/>
  <c r="C8759" i="2"/>
  <c r="C8758" i="2"/>
  <c r="C8757" i="2"/>
  <c r="C8756" i="2"/>
  <c r="C8755" i="2"/>
  <c r="C8754" i="2"/>
  <c r="C8753" i="2"/>
  <c r="C8752" i="2"/>
  <c r="C8751" i="2"/>
  <c r="C8750" i="2"/>
  <c r="C8749" i="2"/>
  <c r="C8748" i="2"/>
  <c r="C8747" i="2"/>
  <c r="C8746" i="2"/>
  <c r="C8745" i="2"/>
  <c r="C8744" i="2"/>
  <c r="C8743" i="2"/>
  <c r="C8742" i="2"/>
  <c r="C8741" i="2"/>
  <c r="C8740" i="2"/>
  <c r="C8739" i="2"/>
  <c r="C8738" i="2"/>
  <c r="C8737" i="2"/>
  <c r="C8736" i="2"/>
  <c r="C8735" i="2"/>
  <c r="C8734" i="2"/>
  <c r="C8733" i="2"/>
  <c r="C8732" i="2"/>
  <c r="C8731" i="2"/>
  <c r="C8730" i="2"/>
  <c r="C8729" i="2"/>
  <c r="C8728" i="2"/>
  <c r="C8727" i="2"/>
  <c r="C8726" i="2"/>
  <c r="C8725" i="2"/>
  <c r="C8724" i="2"/>
  <c r="C8723" i="2"/>
  <c r="C8722" i="2"/>
  <c r="C8721" i="2"/>
  <c r="C8720" i="2"/>
  <c r="C8719" i="2"/>
  <c r="C8718" i="2"/>
  <c r="C8717" i="2"/>
  <c r="C8716" i="2"/>
  <c r="C8715" i="2"/>
  <c r="C8714" i="2"/>
  <c r="C8713" i="2"/>
  <c r="C8712" i="2"/>
  <c r="C8711" i="2"/>
  <c r="C8710" i="2"/>
  <c r="C8709" i="2"/>
  <c r="C8708" i="2"/>
  <c r="C8707" i="2"/>
  <c r="C8706" i="2"/>
  <c r="C8705" i="2"/>
  <c r="C8704" i="2"/>
  <c r="C8703" i="2"/>
  <c r="C8702" i="2"/>
  <c r="C8701" i="2"/>
  <c r="C8700" i="2"/>
  <c r="C8699" i="2"/>
  <c r="C8698" i="2"/>
  <c r="C8697" i="2"/>
  <c r="C8696" i="2"/>
  <c r="C8695" i="2"/>
  <c r="C8694" i="2"/>
  <c r="C8693" i="2"/>
  <c r="C8692" i="2"/>
  <c r="C8691" i="2"/>
  <c r="C8690" i="2"/>
  <c r="C8689" i="2"/>
  <c r="C8688" i="2"/>
  <c r="C8687" i="2"/>
  <c r="C8686" i="2"/>
  <c r="C8685" i="2"/>
  <c r="C8684" i="2"/>
  <c r="C8683" i="2"/>
  <c r="C8682" i="2"/>
  <c r="C8681" i="2"/>
  <c r="C8680" i="2"/>
  <c r="C8679" i="2"/>
  <c r="C8678" i="2"/>
  <c r="C8677" i="2"/>
  <c r="C8676" i="2"/>
  <c r="C8675" i="2"/>
  <c r="C8674" i="2"/>
  <c r="C8673" i="2"/>
  <c r="C8672" i="2"/>
  <c r="C8671" i="2"/>
  <c r="C8670" i="2"/>
  <c r="C8667" i="2"/>
  <c r="C8665" i="2"/>
  <c r="J8660" i="2"/>
  <c r="I8660" i="2"/>
  <c r="H8660" i="2"/>
  <c r="C8659" i="2"/>
  <c r="C8658" i="2"/>
  <c r="C8657" i="2"/>
  <c r="C8656" i="2"/>
  <c r="C8655" i="2"/>
  <c r="C8654" i="2"/>
  <c r="C8653" i="2"/>
  <c r="C8652" i="2"/>
  <c r="C8651" i="2"/>
  <c r="C8650" i="2"/>
  <c r="C8649" i="2"/>
  <c r="C8648" i="2"/>
  <c r="C8647" i="2"/>
  <c r="C8646" i="2"/>
  <c r="C8645" i="2"/>
  <c r="C8644" i="2"/>
  <c r="C8643" i="2"/>
  <c r="C8642" i="2"/>
  <c r="C8641" i="2"/>
  <c r="C8640" i="2"/>
  <c r="C8639" i="2"/>
  <c r="C8638" i="2"/>
  <c r="C8637" i="2"/>
  <c r="C8636" i="2"/>
  <c r="C8635" i="2"/>
  <c r="C8634" i="2"/>
  <c r="C8633" i="2"/>
  <c r="C8632" i="2"/>
  <c r="C8631" i="2"/>
  <c r="C8630" i="2"/>
  <c r="C8629" i="2"/>
  <c r="C8628" i="2"/>
  <c r="C8627" i="2"/>
  <c r="C8626" i="2"/>
  <c r="C8625" i="2"/>
  <c r="C8624" i="2"/>
  <c r="C8623" i="2"/>
  <c r="C8622" i="2"/>
  <c r="C8621" i="2"/>
  <c r="C8620" i="2"/>
  <c r="C8619" i="2"/>
  <c r="C8618" i="2"/>
  <c r="C8617" i="2"/>
  <c r="C8616" i="2"/>
  <c r="C8615" i="2"/>
  <c r="C8614" i="2"/>
  <c r="C8613" i="2"/>
  <c r="C8612" i="2"/>
  <c r="C8611" i="2"/>
  <c r="C8610" i="2"/>
  <c r="C8609" i="2"/>
  <c r="C8608" i="2"/>
  <c r="C8607" i="2"/>
  <c r="C8606" i="2"/>
  <c r="C8605" i="2"/>
  <c r="C8604" i="2"/>
  <c r="C8603" i="2"/>
  <c r="C8602" i="2"/>
  <c r="C8601" i="2"/>
  <c r="C8600" i="2"/>
  <c r="C8599" i="2"/>
  <c r="C8598" i="2"/>
  <c r="C8597" i="2"/>
  <c r="C8596" i="2"/>
  <c r="C8595" i="2"/>
  <c r="C8594" i="2"/>
  <c r="C8593" i="2"/>
  <c r="C8592" i="2"/>
  <c r="C8591" i="2"/>
  <c r="C8590" i="2"/>
  <c r="C8589" i="2"/>
  <c r="C8588" i="2"/>
  <c r="C8587" i="2"/>
  <c r="C8586" i="2"/>
  <c r="C8585" i="2"/>
  <c r="C8584" i="2"/>
  <c r="C8583" i="2"/>
  <c r="C8582" i="2"/>
  <c r="C8581" i="2"/>
  <c r="C8580" i="2"/>
  <c r="C8579" i="2"/>
  <c r="C8578" i="2"/>
  <c r="C8577" i="2"/>
  <c r="C8576" i="2"/>
  <c r="C8575" i="2"/>
  <c r="C8574" i="2"/>
  <c r="C8573" i="2"/>
  <c r="C8572" i="2"/>
  <c r="C8571" i="2"/>
  <c r="C8570" i="2"/>
  <c r="C8569" i="2"/>
  <c r="C8568" i="2"/>
  <c r="C8567" i="2"/>
  <c r="C8566" i="2"/>
  <c r="C8565" i="2"/>
  <c r="C8564" i="2"/>
  <c r="C8563" i="2"/>
  <c r="C8562" i="2"/>
  <c r="C8561" i="2"/>
  <c r="C8560" i="2"/>
  <c r="C8559" i="2"/>
  <c r="C8558" i="2"/>
  <c r="C8557" i="2"/>
  <c r="C8556" i="2"/>
  <c r="C8555" i="2"/>
  <c r="C8554" i="2"/>
  <c r="C8553" i="2"/>
  <c r="C8550" i="2"/>
  <c r="C8548" i="2"/>
  <c r="J8543" i="2"/>
  <c r="I8543" i="2"/>
  <c r="H8543" i="2"/>
  <c r="C8542" i="2"/>
  <c r="C8541" i="2"/>
  <c r="C8540" i="2"/>
  <c r="C8539" i="2"/>
  <c r="C8538" i="2"/>
  <c r="C8537" i="2"/>
  <c r="C8536" i="2"/>
  <c r="C8535" i="2"/>
  <c r="C8534" i="2"/>
  <c r="C8533" i="2"/>
  <c r="C8532" i="2"/>
  <c r="C8531" i="2"/>
  <c r="C8530" i="2"/>
  <c r="C8529" i="2"/>
  <c r="C8528" i="2"/>
  <c r="C8527" i="2"/>
  <c r="C8526" i="2"/>
  <c r="C8525" i="2"/>
  <c r="C8524" i="2"/>
  <c r="C8523" i="2"/>
  <c r="C8522" i="2"/>
  <c r="C8521" i="2"/>
  <c r="C8520" i="2"/>
  <c r="C8519" i="2"/>
  <c r="C8518" i="2"/>
  <c r="C8517" i="2"/>
  <c r="C8516" i="2"/>
  <c r="C8515" i="2"/>
  <c r="C8514" i="2"/>
  <c r="C8513" i="2"/>
  <c r="C8512" i="2"/>
  <c r="C8511" i="2"/>
  <c r="C8510" i="2"/>
  <c r="C8509" i="2"/>
  <c r="C8508" i="2"/>
  <c r="C8507" i="2"/>
  <c r="C8506" i="2"/>
  <c r="C8505" i="2"/>
  <c r="C8504" i="2"/>
  <c r="C8503" i="2"/>
  <c r="C8502" i="2"/>
  <c r="C8501" i="2"/>
  <c r="C8500" i="2"/>
  <c r="C8499" i="2"/>
  <c r="C8498" i="2"/>
  <c r="C8497" i="2"/>
  <c r="C8496" i="2"/>
  <c r="C8493" i="2"/>
  <c r="C8491" i="2"/>
  <c r="J8486" i="2"/>
  <c r="I8486" i="2"/>
  <c r="H8486" i="2"/>
  <c r="C8485" i="2"/>
  <c r="C8484" i="2"/>
  <c r="C8483" i="2"/>
  <c r="C8482" i="2"/>
  <c r="C8481" i="2"/>
  <c r="C8480" i="2"/>
  <c r="C8479" i="2"/>
  <c r="C8478" i="2"/>
  <c r="C8477" i="2"/>
  <c r="C8476" i="2"/>
  <c r="C8475" i="2"/>
  <c r="C8474" i="2"/>
  <c r="C8473" i="2"/>
  <c r="C8472" i="2"/>
  <c r="C8471" i="2"/>
  <c r="C8470" i="2"/>
  <c r="C8469" i="2"/>
  <c r="C8468" i="2"/>
  <c r="C8467" i="2"/>
  <c r="C8466" i="2"/>
  <c r="C8465" i="2"/>
  <c r="C8464" i="2"/>
  <c r="C8463" i="2"/>
  <c r="C8462" i="2"/>
  <c r="C8461" i="2"/>
  <c r="C8460" i="2"/>
  <c r="C8459" i="2"/>
  <c r="C8456" i="2"/>
  <c r="C8454" i="2"/>
  <c r="J8449" i="2"/>
  <c r="I8449" i="2"/>
  <c r="H8449" i="2"/>
  <c r="C8448" i="2"/>
  <c r="C8447" i="2"/>
  <c r="C8446" i="2"/>
  <c r="C8445" i="2"/>
  <c r="C8444" i="2"/>
  <c r="C8443" i="2"/>
  <c r="C8442" i="2"/>
  <c r="C8441" i="2"/>
  <c r="C8440" i="2"/>
  <c r="C8439" i="2"/>
  <c r="C8438" i="2"/>
  <c r="C8437" i="2"/>
  <c r="C8436" i="2"/>
  <c r="C8435" i="2"/>
  <c r="C8434" i="2"/>
  <c r="C8433" i="2"/>
  <c r="C8432" i="2"/>
  <c r="C8431" i="2"/>
  <c r="C8430" i="2"/>
  <c r="C8429" i="2"/>
  <c r="C8428" i="2"/>
  <c r="C8427" i="2"/>
  <c r="C8426" i="2"/>
  <c r="C8425" i="2"/>
  <c r="C8424" i="2"/>
  <c r="C8423" i="2"/>
  <c r="C8422" i="2"/>
  <c r="C8419" i="2"/>
  <c r="C8417" i="2"/>
  <c r="J8412" i="2"/>
  <c r="I8412" i="2"/>
  <c r="H8412" i="2"/>
  <c r="C8411" i="2"/>
  <c r="C8410" i="2"/>
  <c r="C8409" i="2"/>
  <c r="C8408" i="2"/>
  <c r="C8407" i="2"/>
  <c r="C8406" i="2"/>
  <c r="C8405" i="2"/>
  <c r="C8404" i="2"/>
  <c r="C8403" i="2"/>
  <c r="C8402" i="2"/>
  <c r="C8401" i="2"/>
  <c r="C8400" i="2"/>
  <c r="C8399" i="2"/>
  <c r="C8398" i="2"/>
  <c r="C8397" i="2"/>
  <c r="C8396" i="2"/>
  <c r="C8395" i="2"/>
  <c r="C8394" i="2"/>
  <c r="C8393" i="2"/>
  <c r="C8392" i="2"/>
  <c r="C8391" i="2"/>
  <c r="C8390" i="2"/>
  <c r="C8389" i="2"/>
  <c r="C8388" i="2"/>
  <c r="C8387" i="2"/>
  <c r="C8386" i="2"/>
  <c r="C8385" i="2"/>
  <c r="C8382" i="2"/>
  <c r="C8380" i="2"/>
  <c r="J8375" i="2"/>
  <c r="I8375" i="2"/>
  <c r="H8375" i="2"/>
  <c r="C8374" i="2"/>
  <c r="C8373" i="2"/>
  <c r="C8372" i="2"/>
  <c r="C8371" i="2"/>
  <c r="C8370" i="2"/>
  <c r="C8369" i="2"/>
  <c r="C8368" i="2"/>
  <c r="C8367" i="2"/>
  <c r="C8366" i="2"/>
  <c r="C8365" i="2"/>
  <c r="C8364" i="2"/>
  <c r="C8363" i="2"/>
  <c r="C8362" i="2"/>
  <c r="C8361" i="2"/>
  <c r="C8360" i="2"/>
  <c r="C8359" i="2"/>
  <c r="C8358" i="2"/>
  <c r="C8357" i="2"/>
  <c r="C8356" i="2"/>
  <c r="C8355" i="2"/>
  <c r="C8354" i="2"/>
  <c r="C8353" i="2"/>
  <c r="C8352" i="2"/>
  <c r="C8351" i="2"/>
  <c r="C8350" i="2"/>
  <c r="C8349" i="2"/>
  <c r="C8346" i="2"/>
  <c r="C8344" i="2"/>
  <c r="J8339" i="2"/>
  <c r="I8339" i="2"/>
  <c r="H8339" i="2"/>
  <c r="C8338" i="2"/>
  <c r="C8337" i="2"/>
  <c r="C8336" i="2"/>
  <c r="C8335" i="2"/>
  <c r="C8334" i="2"/>
  <c r="C8333" i="2"/>
  <c r="C8332" i="2"/>
  <c r="C8331" i="2"/>
  <c r="C8330" i="2"/>
  <c r="C8329" i="2"/>
  <c r="C8328" i="2"/>
  <c r="C8327" i="2"/>
  <c r="C8326" i="2"/>
  <c r="C8325" i="2"/>
  <c r="C8324" i="2"/>
  <c r="C8323" i="2"/>
  <c r="C8322" i="2"/>
  <c r="C8321" i="2"/>
  <c r="C8320" i="2"/>
  <c r="C8319" i="2"/>
  <c r="C8318" i="2"/>
  <c r="C8317" i="2"/>
  <c r="C8316" i="2"/>
  <c r="C8315" i="2"/>
  <c r="C8314" i="2"/>
  <c r="C8313" i="2"/>
  <c r="C8312" i="2"/>
  <c r="C8311" i="2"/>
  <c r="C8310" i="2"/>
  <c r="C8309" i="2"/>
  <c r="C8308" i="2"/>
  <c r="C8307" i="2"/>
  <c r="C8306" i="2"/>
  <c r="C8305" i="2"/>
  <c r="C8304" i="2"/>
  <c r="C8303" i="2"/>
  <c r="C8302" i="2"/>
  <c r="C8301" i="2"/>
  <c r="C8300" i="2"/>
  <c r="C8299" i="2"/>
  <c r="C8298" i="2"/>
  <c r="C8297" i="2"/>
  <c r="C8296" i="2"/>
  <c r="C8295" i="2"/>
  <c r="C8294" i="2"/>
  <c r="C8293" i="2"/>
  <c r="C8292" i="2"/>
  <c r="C8289" i="2"/>
  <c r="C8287" i="2"/>
  <c r="J8282" i="2"/>
  <c r="I8282" i="2"/>
  <c r="H8282" i="2"/>
  <c r="C8281" i="2"/>
  <c r="C8280" i="2"/>
  <c r="C8279" i="2"/>
  <c r="C8278" i="2"/>
  <c r="C8277" i="2"/>
  <c r="C8276" i="2"/>
  <c r="C8275" i="2"/>
  <c r="C8274" i="2"/>
  <c r="C8273" i="2"/>
  <c r="C8272" i="2"/>
  <c r="C8271" i="2"/>
  <c r="C8270" i="2"/>
  <c r="C8269" i="2"/>
  <c r="C8268" i="2"/>
  <c r="C8267" i="2"/>
  <c r="C8266" i="2"/>
  <c r="C8265" i="2"/>
  <c r="C8264" i="2"/>
  <c r="C8263" i="2"/>
  <c r="C8262" i="2"/>
  <c r="C8261" i="2"/>
  <c r="C8260" i="2"/>
  <c r="C8259" i="2"/>
  <c r="C8258" i="2"/>
  <c r="C8257" i="2"/>
  <c r="C8256" i="2"/>
  <c r="C8255" i="2"/>
  <c r="C8254" i="2"/>
  <c r="C8253" i="2"/>
  <c r="C8252" i="2"/>
  <c r="C8251" i="2"/>
  <c r="C8250" i="2"/>
  <c r="C8249" i="2"/>
  <c r="C8248" i="2"/>
  <c r="C8247" i="2"/>
  <c r="C8246" i="2"/>
  <c r="C8245" i="2"/>
  <c r="C8244" i="2"/>
  <c r="C8243" i="2"/>
  <c r="C8242" i="2"/>
  <c r="C8241" i="2"/>
  <c r="C8240" i="2"/>
  <c r="C8239" i="2"/>
  <c r="C8238" i="2"/>
  <c r="C8237" i="2"/>
  <c r="C8236" i="2"/>
  <c r="C8235" i="2"/>
  <c r="C8232" i="2"/>
  <c r="C8230" i="2"/>
  <c r="J8225" i="2"/>
  <c r="I8225" i="2"/>
  <c r="H8225" i="2"/>
  <c r="C8224" i="2"/>
  <c r="C8223" i="2"/>
  <c r="C8222" i="2"/>
  <c r="C8221" i="2"/>
  <c r="C8220" i="2"/>
  <c r="C8219" i="2"/>
  <c r="C8218" i="2"/>
  <c r="C8217" i="2"/>
  <c r="C8216" i="2"/>
  <c r="C8215" i="2"/>
  <c r="C8214" i="2"/>
  <c r="C8213" i="2"/>
  <c r="C8212" i="2"/>
  <c r="C8211" i="2"/>
  <c r="C8210" i="2"/>
  <c r="C8209" i="2"/>
  <c r="C8208" i="2"/>
  <c r="C8207" i="2"/>
  <c r="C8206" i="2"/>
  <c r="C8205" i="2"/>
  <c r="C8204" i="2"/>
  <c r="C8203" i="2"/>
  <c r="C8202" i="2"/>
  <c r="C8201" i="2"/>
  <c r="C8200" i="2"/>
  <c r="C8199" i="2"/>
  <c r="C8198" i="2"/>
  <c r="C8197" i="2"/>
  <c r="C8196" i="2"/>
  <c r="C8195" i="2"/>
  <c r="C8194" i="2"/>
  <c r="C8193" i="2"/>
  <c r="C8192" i="2"/>
  <c r="C8191" i="2"/>
  <c r="C8190" i="2"/>
  <c r="C8189" i="2"/>
  <c r="C8188" i="2"/>
  <c r="C8187" i="2"/>
  <c r="C8186" i="2"/>
  <c r="C8185" i="2"/>
  <c r="C8184" i="2"/>
  <c r="C8183" i="2"/>
  <c r="C8182" i="2"/>
  <c r="C8181" i="2"/>
  <c r="C8180" i="2"/>
  <c r="C8179" i="2"/>
  <c r="C8178" i="2"/>
  <c r="C8177" i="2"/>
  <c r="C8176" i="2"/>
  <c r="C8175" i="2"/>
  <c r="C8174" i="2"/>
  <c r="C8173" i="2"/>
  <c r="C8172" i="2"/>
  <c r="C8171" i="2"/>
  <c r="C8170" i="2"/>
  <c r="C8169" i="2"/>
  <c r="C8168" i="2"/>
  <c r="C8167" i="2"/>
  <c r="C8166" i="2"/>
  <c r="C8165" i="2"/>
  <c r="C8164" i="2"/>
  <c r="C8163" i="2"/>
  <c r="C8162" i="2"/>
  <c r="C8161" i="2"/>
  <c r="C8160" i="2"/>
  <c r="C8159" i="2"/>
  <c r="C8158" i="2"/>
  <c r="C8157" i="2"/>
  <c r="C8156" i="2"/>
  <c r="C8155" i="2"/>
  <c r="C8154" i="2"/>
  <c r="C8153" i="2"/>
  <c r="C8152" i="2"/>
  <c r="C8151" i="2"/>
  <c r="C8150" i="2"/>
  <c r="C8149" i="2"/>
  <c r="C8148" i="2"/>
  <c r="C8147" i="2"/>
  <c r="C8146" i="2"/>
  <c r="C8145" i="2"/>
  <c r="C8144" i="2"/>
  <c r="C8143" i="2"/>
  <c r="C8142" i="2"/>
  <c r="C8141" i="2"/>
  <c r="C8140" i="2"/>
  <c r="C8139" i="2"/>
  <c r="C8138" i="2"/>
  <c r="C8137" i="2"/>
  <c r="C8136" i="2"/>
  <c r="C8135" i="2"/>
  <c r="C8134" i="2"/>
  <c r="C8133" i="2"/>
  <c r="C8132" i="2"/>
  <c r="C8131" i="2"/>
  <c r="C8130" i="2"/>
  <c r="C8129" i="2"/>
  <c r="C8128" i="2"/>
  <c r="C8125" i="2"/>
  <c r="C8123" i="2"/>
  <c r="J8118" i="2"/>
  <c r="I8118" i="2"/>
  <c r="H8118" i="2"/>
  <c r="C8117" i="2"/>
  <c r="C8116" i="2"/>
  <c r="C8115" i="2"/>
  <c r="C8114" i="2"/>
  <c r="C8113" i="2"/>
  <c r="C8112" i="2"/>
  <c r="C8111" i="2"/>
  <c r="C8110" i="2"/>
  <c r="C8109" i="2"/>
  <c r="C8108" i="2"/>
  <c r="C8107" i="2"/>
  <c r="C8106" i="2"/>
  <c r="C8105" i="2"/>
  <c r="C8104" i="2"/>
  <c r="C8103" i="2"/>
  <c r="C8102" i="2"/>
  <c r="C8101" i="2"/>
  <c r="C8100" i="2"/>
  <c r="C8099" i="2"/>
  <c r="C8098" i="2"/>
  <c r="C8097" i="2"/>
  <c r="C8096" i="2"/>
  <c r="C8095" i="2"/>
  <c r="C8094" i="2"/>
  <c r="C8093" i="2"/>
  <c r="C8092" i="2"/>
  <c r="C8091" i="2"/>
  <c r="C8090" i="2"/>
  <c r="C8089" i="2"/>
  <c r="C8088" i="2"/>
  <c r="C8087" i="2"/>
  <c r="C8086" i="2"/>
  <c r="C8085" i="2"/>
  <c r="C8084" i="2"/>
  <c r="C8083" i="2"/>
  <c r="C8082" i="2"/>
  <c r="C8081" i="2"/>
  <c r="C8080" i="2"/>
  <c r="C8079" i="2"/>
  <c r="C8078" i="2"/>
  <c r="C8077" i="2"/>
  <c r="C8076" i="2"/>
  <c r="C8075" i="2"/>
  <c r="C8074" i="2"/>
  <c r="C8073" i="2"/>
  <c r="C8072" i="2"/>
  <c r="C8071" i="2"/>
  <c r="C8070" i="2"/>
  <c r="C8069" i="2"/>
  <c r="C8068" i="2"/>
  <c r="C8067" i="2"/>
  <c r="C8066" i="2"/>
  <c r="C8065" i="2"/>
  <c r="C8064" i="2"/>
  <c r="C8063" i="2"/>
  <c r="C8062" i="2"/>
  <c r="C8061" i="2"/>
  <c r="C8060" i="2"/>
  <c r="C8059" i="2"/>
  <c r="C8058" i="2"/>
  <c r="C8057" i="2"/>
  <c r="C8056" i="2"/>
  <c r="C8055" i="2"/>
  <c r="C8054" i="2"/>
  <c r="C8053" i="2"/>
  <c r="C8052" i="2"/>
  <c r="C8051" i="2"/>
  <c r="C8050" i="2"/>
  <c r="C8049" i="2"/>
  <c r="C8048" i="2"/>
  <c r="C8047" i="2"/>
  <c r="C8046" i="2"/>
  <c r="C8045" i="2"/>
  <c r="C8044" i="2"/>
  <c r="C8043" i="2"/>
  <c r="C8042" i="2"/>
  <c r="C8041" i="2"/>
  <c r="C8040" i="2"/>
  <c r="C8039" i="2"/>
  <c r="C8038" i="2"/>
  <c r="C8037" i="2"/>
  <c r="C8036" i="2"/>
  <c r="C8035" i="2"/>
  <c r="C8034" i="2"/>
  <c r="C8033" i="2"/>
  <c r="C8032" i="2"/>
  <c r="C8031" i="2"/>
  <c r="C8030" i="2"/>
  <c r="C8029" i="2"/>
  <c r="C8028" i="2"/>
  <c r="C8027" i="2"/>
  <c r="C8024" i="2"/>
  <c r="C8022" i="2"/>
  <c r="J8017" i="2"/>
  <c r="I8017" i="2"/>
  <c r="H8017" i="2"/>
  <c r="C8016" i="2"/>
  <c r="C8015" i="2"/>
  <c r="C8014" i="2"/>
  <c r="C8013" i="2"/>
  <c r="C8012" i="2"/>
  <c r="C8011" i="2"/>
  <c r="C8010" i="2"/>
  <c r="C8009" i="2"/>
  <c r="C8008" i="2"/>
  <c r="C8007" i="2"/>
  <c r="C8006" i="2"/>
  <c r="C8005" i="2"/>
  <c r="C8004" i="2"/>
  <c r="C8003" i="2"/>
  <c r="C8002" i="2"/>
  <c r="C8001" i="2"/>
  <c r="C8000" i="2"/>
  <c r="C7999" i="2"/>
  <c r="C7998" i="2"/>
  <c r="C7997" i="2"/>
  <c r="C7996" i="2"/>
  <c r="C7995" i="2"/>
  <c r="C7994" i="2"/>
  <c r="C7993" i="2"/>
  <c r="C7992" i="2"/>
  <c r="C7991" i="2"/>
  <c r="C7990" i="2"/>
  <c r="C7989" i="2"/>
  <c r="C7988" i="2"/>
  <c r="C7987" i="2"/>
  <c r="C7986" i="2"/>
  <c r="C7985" i="2"/>
  <c r="C7984" i="2"/>
  <c r="C7983" i="2"/>
  <c r="C7982" i="2"/>
  <c r="C7981" i="2"/>
  <c r="C7980" i="2"/>
  <c r="C7977" i="2"/>
  <c r="C7975" i="2"/>
  <c r="J7970" i="2"/>
  <c r="I7970" i="2"/>
  <c r="H7970" i="2"/>
  <c r="C7969" i="2"/>
  <c r="C7968" i="2"/>
  <c r="C7967" i="2"/>
  <c r="C7966" i="2"/>
  <c r="C7965" i="2"/>
  <c r="C7964" i="2"/>
  <c r="C7963" i="2"/>
  <c r="C7962" i="2"/>
  <c r="C7961" i="2"/>
  <c r="C7960" i="2"/>
  <c r="C7959" i="2"/>
  <c r="C7958" i="2"/>
  <c r="C7957" i="2"/>
  <c r="C7956" i="2"/>
  <c r="C7955" i="2"/>
  <c r="C7954" i="2"/>
  <c r="C7953" i="2"/>
  <c r="C7952" i="2"/>
  <c r="C7951" i="2"/>
  <c r="C7950" i="2"/>
  <c r="C7949" i="2"/>
  <c r="C7948" i="2"/>
  <c r="C7947" i="2"/>
  <c r="C7946" i="2"/>
  <c r="C7945" i="2"/>
  <c r="C7944" i="2"/>
  <c r="C7943" i="2"/>
  <c r="C7942" i="2"/>
  <c r="C7941" i="2"/>
  <c r="C7940" i="2"/>
  <c r="C7939" i="2"/>
  <c r="C7938" i="2"/>
  <c r="C7937" i="2"/>
  <c r="C7936" i="2"/>
  <c r="C7935" i="2"/>
  <c r="C7934" i="2"/>
  <c r="C7933" i="2"/>
  <c r="C7932" i="2"/>
  <c r="C7931" i="2"/>
  <c r="C7930" i="2"/>
  <c r="C7929" i="2"/>
  <c r="C7928" i="2"/>
  <c r="C7927" i="2"/>
  <c r="C7926" i="2"/>
  <c r="C7925" i="2"/>
  <c r="C7924" i="2"/>
  <c r="C7923" i="2"/>
  <c r="C7922" i="2"/>
  <c r="C7921" i="2"/>
  <c r="C7920" i="2"/>
  <c r="C7919" i="2"/>
  <c r="C7918" i="2"/>
  <c r="C7917" i="2"/>
  <c r="C7916" i="2"/>
  <c r="C7915" i="2"/>
  <c r="C7914" i="2"/>
  <c r="C7913" i="2"/>
  <c r="C7912" i="2"/>
  <c r="C7911" i="2"/>
  <c r="C7910" i="2"/>
  <c r="C7909" i="2"/>
  <c r="C7908" i="2"/>
  <c r="C7907" i="2"/>
  <c r="C7906" i="2"/>
  <c r="C7905" i="2"/>
  <c r="C7904" i="2"/>
  <c r="C7903" i="2"/>
  <c r="C7902" i="2"/>
  <c r="C7901" i="2"/>
  <c r="C7900" i="2"/>
  <c r="C7899" i="2"/>
  <c r="C7898" i="2"/>
  <c r="C7897" i="2"/>
  <c r="C7896" i="2"/>
  <c r="C7895" i="2"/>
  <c r="C7894" i="2"/>
  <c r="C7893" i="2"/>
  <c r="C7892" i="2"/>
  <c r="C7891" i="2"/>
  <c r="C7890" i="2"/>
  <c r="C7889" i="2"/>
  <c r="C7888" i="2"/>
  <c r="C7887" i="2"/>
  <c r="C7886" i="2"/>
  <c r="C7885" i="2"/>
  <c r="C7884" i="2"/>
  <c r="C7883" i="2"/>
  <c r="C7882" i="2"/>
  <c r="C7881" i="2"/>
  <c r="C7880" i="2"/>
  <c r="C7879" i="2"/>
  <c r="C7876" i="2"/>
  <c r="C7874" i="2"/>
  <c r="J7869" i="2"/>
  <c r="I7869" i="2"/>
  <c r="H7869" i="2"/>
  <c r="C7868" i="2"/>
  <c r="C7867" i="2"/>
  <c r="C7866" i="2"/>
  <c r="C7865" i="2"/>
  <c r="C7864" i="2"/>
  <c r="C7863" i="2"/>
  <c r="C7862" i="2"/>
  <c r="C7861" i="2"/>
  <c r="C7860" i="2"/>
  <c r="C7859" i="2"/>
  <c r="C7858" i="2"/>
  <c r="C7857" i="2"/>
  <c r="C7856" i="2"/>
  <c r="C7855" i="2"/>
  <c r="C7854" i="2"/>
  <c r="C7853" i="2"/>
  <c r="C7852" i="2"/>
  <c r="C7851" i="2"/>
  <c r="C7850" i="2"/>
  <c r="C7849" i="2"/>
  <c r="C7848" i="2"/>
  <c r="C7847" i="2"/>
  <c r="C7846" i="2"/>
  <c r="C7845" i="2"/>
  <c r="C7844" i="2"/>
  <c r="C7843" i="2"/>
  <c r="C7842" i="2"/>
  <c r="C7841" i="2"/>
  <c r="C7840" i="2"/>
  <c r="C7839" i="2"/>
  <c r="C7838" i="2"/>
  <c r="C7837" i="2"/>
  <c r="C7836" i="2"/>
  <c r="C7835" i="2"/>
  <c r="C7834" i="2"/>
  <c r="C7833" i="2"/>
  <c r="C7832" i="2"/>
  <c r="C7831" i="2"/>
  <c r="C7830" i="2"/>
  <c r="C7829" i="2"/>
  <c r="C7828" i="2"/>
  <c r="C7827" i="2"/>
  <c r="C7826" i="2"/>
  <c r="C7825" i="2"/>
  <c r="C7824" i="2"/>
  <c r="C7823" i="2"/>
  <c r="C7822" i="2"/>
  <c r="C7821" i="2"/>
  <c r="C7820" i="2"/>
  <c r="C7819" i="2"/>
  <c r="C7818" i="2"/>
  <c r="C7817" i="2"/>
  <c r="C7816" i="2"/>
  <c r="C7815" i="2"/>
  <c r="C7814" i="2"/>
  <c r="C7813" i="2"/>
  <c r="C7812" i="2"/>
  <c r="C7811" i="2"/>
  <c r="C7810" i="2"/>
  <c r="C7809" i="2"/>
  <c r="C7808" i="2"/>
  <c r="C7807" i="2"/>
  <c r="C7806" i="2"/>
  <c r="C7805" i="2"/>
  <c r="C7804" i="2"/>
  <c r="C7803" i="2"/>
  <c r="C7802" i="2"/>
  <c r="C7801" i="2"/>
  <c r="C7800" i="2"/>
  <c r="C7799" i="2"/>
  <c r="C7798" i="2"/>
  <c r="C7797" i="2"/>
  <c r="C7796" i="2"/>
  <c r="C7795" i="2"/>
  <c r="C7794" i="2"/>
  <c r="C7793" i="2"/>
  <c r="C7792" i="2"/>
  <c r="C7791" i="2"/>
  <c r="C7790" i="2"/>
  <c r="C7789" i="2"/>
  <c r="C7788" i="2"/>
  <c r="C7787" i="2"/>
  <c r="C7786" i="2"/>
  <c r="C7785" i="2"/>
  <c r="C7784" i="2"/>
  <c r="C7783" i="2"/>
  <c r="C7782" i="2"/>
  <c r="C7781" i="2"/>
  <c r="C7780" i="2"/>
  <c r="C7779" i="2"/>
  <c r="C7778" i="2"/>
  <c r="C7775" i="2"/>
  <c r="C7773" i="2"/>
  <c r="J7768" i="2"/>
  <c r="I7768" i="2"/>
  <c r="H7768" i="2"/>
  <c r="C7767" i="2"/>
  <c r="C7766" i="2"/>
  <c r="C7765" i="2"/>
  <c r="C7764" i="2"/>
  <c r="C7763" i="2"/>
  <c r="C7762" i="2"/>
  <c r="C7761" i="2"/>
  <c r="C7760" i="2"/>
  <c r="C7759" i="2"/>
  <c r="C7758" i="2"/>
  <c r="C7757" i="2"/>
  <c r="C7756" i="2"/>
  <c r="C7755" i="2"/>
  <c r="C7754" i="2"/>
  <c r="C7753" i="2"/>
  <c r="C7752" i="2"/>
  <c r="C7751" i="2"/>
  <c r="C7750" i="2"/>
  <c r="C7749" i="2"/>
  <c r="C7748" i="2"/>
  <c r="C7747" i="2"/>
  <c r="C7746" i="2"/>
  <c r="C7745" i="2"/>
  <c r="C7744" i="2"/>
  <c r="C7743" i="2"/>
  <c r="C7742" i="2"/>
  <c r="C7741" i="2"/>
  <c r="C7740" i="2"/>
  <c r="C7739" i="2"/>
  <c r="C7738" i="2"/>
  <c r="C7737" i="2"/>
  <c r="C7736" i="2"/>
  <c r="C7735" i="2"/>
  <c r="C7734" i="2"/>
  <c r="C7733" i="2"/>
  <c r="C7732" i="2"/>
  <c r="C7731" i="2"/>
  <c r="C7730" i="2"/>
  <c r="C7729" i="2"/>
  <c r="C7728" i="2"/>
  <c r="C7727" i="2"/>
  <c r="C7726" i="2"/>
  <c r="C7725" i="2"/>
  <c r="C7724" i="2"/>
  <c r="C7723" i="2"/>
  <c r="C7722" i="2"/>
  <c r="C7721" i="2"/>
  <c r="C7720" i="2"/>
  <c r="C7719" i="2"/>
  <c r="C7718" i="2"/>
  <c r="C7717" i="2"/>
  <c r="C7716" i="2"/>
  <c r="C7715" i="2"/>
  <c r="C7714" i="2"/>
  <c r="C7713" i="2"/>
  <c r="C7712" i="2"/>
  <c r="C7711" i="2"/>
  <c r="C7710" i="2"/>
  <c r="C7709" i="2"/>
  <c r="C7708" i="2"/>
  <c r="C7707" i="2"/>
  <c r="C7706" i="2"/>
  <c r="C7705" i="2"/>
  <c r="C7704" i="2"/>
  <c r="C7703" i="2"/>
  <c r="C7702" i="2"/>
  <c r="C7701" i="2"/>
  <c r="C7700" i="2"/>
  <c r="C7699" i="2"/>
  <c r="C7698" i="2"/>
  <c r="C7697" i="2"/>
  <c r="C7696" i="2"/>
  <c r="C7695" i="2"/>
  <c r="C7694" i="2"/>
  <c r="C7693" i="2"/>
  <c r="C7692" i="2"/>
  <c r="C7691" i="2"/>
  <c r="C7690" i="2"/>
  <c r="C7689" i="2"/>
  <c r="C7688" i="2"/>
  <c r="C7687" i="2"/>
  <c r="C7686" i="2"/>
  <c r="C7685" i="2"/>
  <c r="C7684" i="2"/>
  <c r="C7683" i="2"/>
  <c r="C7682" i="2"/>
  <c r="C7681" i="2"/>
  <c r="C7680" i="2"/>
  <c r="C7679" i="2"/>
  <c r="C7678" i="2"/>
  <c r="C7677" i="2"/>
  <c r="C7676" i="2"/>
  <c r="C7675" i="2"/>
  <c r="C7674" i="2"/>
  <c r="C7673" i="2"/>
  <c r="C7672" i="2"/>
  <c r="C7671" i="2"/>
  <c r="C7670" i="2"/>
  <c r="C7669" i="2"/>
  <c r="C7668" i="2"/>
  <c r="C7667" i="2"/>
  <c r="C7666" i="2"/>
  <c r="C7665" i="2"/>
  <c r="C7664" i="2"/>
  <c r="C7663" i="2"/>
  <c r="C7662" i="2"/>
  <c r="C7661" i="2"/>
  <c r="C7660" i="2"/>
  <c r="C7659" i="2"/>
  <c r="C7658" i="2"/>
  <c r="C7655" i="2"/>
  <c r="C7653" i="2"/>
  <c r="J7648" i="2"/>
  <c r="I7648" i="2"/>
  <c r="H7648" i="2"/>
  <c r="C7647" i="2"/>
  <c r="C7646" i="2"/>
  <c r="C7645" i="2"/>
  <c r="C7644" i="2"/>
  <c r="C7643" i="2"/>
  <c r="C7642" i="2"/>
  <c r="C7641" i="2"/>
  <c r="C7640" i="2"/>
  <c r="C7639" i="2"/>
  <c r="C7638" i="2"/>
  <c r="C7637" i="2"/>
  <c r="C7636" i="2"/>
  <c r="C7635" i="2"/>
  <c r="C7634" i="2"/>
  <c r="C7633" i="2"/>
  <c r="C7632" i="2"/>
  <c r="C7631" i="2"/>
  <c r="C7630" i="2"/>
  <c r="C7629" i="2"/>
  <c r="C7628" i="2"/>
  <c r="C7627" i="2"/>
  <c r="C7626" i="2"/>
  <c r="C7625" i="2"/>
  <c r="C7624" i="2"/>
  <c r="C7623" i="2"/>
  <c r="C7622" i="2"/>
  <c r="C7621" i="2"/>
  <c r="C7620" i="2"/>
  <c r="C7619" i="2"/>
  <c r="C7618" i="2"/>
  <c r="C7617" i="2"/>
  <c r="C7616" i="2"/>
  <c r="C7615" i="2"/>
  <c r="C7614" i="2"/>
  <c r="C7613" i="2"/>
  <c r="C7612" i="2"/>
  <c r="C7611" i="2"/>
  <c r="C7610" i="2"/>
  <c r="C7609" i="2"/>
  <c r="C7608" i="2"/>
  <c r="C7607" i="2"/>
  <c r="C7606" i="2"/>
  <c r="C7605" i="2"/>
  <c r="C7604" i="2"/>
  <c r="C7603" i="2"/>
  <c r="C7602" i="2"/>
  <c r="C7601" i="2"/>
  <c r="C7600" i="2"/>
  <c r="C7599" i="2"/>
  <c r="C7598" i="2"/>
  <c r="C7597" i="2"/>
  <c r="C7596" i="2"/>
  <c r="C7595" i="2"/>
  <c r="C7594" i="2"/>
  <c r="C7593" i="2"/>
  <c r="C7592" i="2"/>
  <c r="C7591" i="2"/>
  <c r="C7590" i="2"/>
  <c r="C7589" i="2"/>
  <c r="C7588" i="2"/>
  <c r="C7587" i="2"/>
  <c r="C7586" i="2"/>
  <c r="C7585" i="2"/>
  <c r="C7584" i="2"/>
  <c r="C7583" i="2"/>
  <c r="C7582" i="2"/>
  <c r="C7581" i="2"/>
  <c r="C7580" i="2"/>
  <c r="C7579" i="2"/>
  <c r="C7578" i="2"/>
  <c r="C7577" i="2"/>
  <c r="C7576" i="2"/>
  <c r="C7575" i="2"/>
  <c r="C7574" i="2"/>
  <c r="C7573" i="2"/>
  <c r="C7572" i="2"/>
  <c r="C7571" i="2"/>
  <c r="C7570" i="2"/>
  <c r="C7569" i="2"/>
  <c r="C7566" i="2"/>
  <c r="C7564" i="2"/>
  <c r="J7559" i="2"/>
  <c r="I7559" i="2"/>
  <c r="H7559" i="2"/>
  <c r="C7558" i="2"/>
  <c r="C7557" i="2"/>
  <c r="C7556" i="2"/>
  <c r="C7555" i="2"/>
  <c r="C7554" i="2"/>
  <c r="C7553" i="2"/>
  <c r="C7552" i="2"/>
  <c r="C7551" i="2"/>
  <c r="C7550" i="2"/>
  <c r="C7549" i="2"/>
  <c r="C7548" i="2"/>
  <c r="C7547" i="2"/>
  <c r="C7546" i="2"/>
  <c r="C7545" i="2"/>
  <c r="C7544" i="2"/>
  <c r="C7543" i="2"/>
  <c r="C7542" i="2"/>
  <c r="C7541" i="2"/>
  <c r="C7540" i="2"/>
  <c r="C7539" i="2"/>
  <c r="C7538" i="2"/>
  <c r="C7537" i="2"/>
  <c r="C7536" i="2"/>
  <c r="C7535" i="2"/>
  <c r="C7534" i="2"/>
  <c r="C7533" i="2"/>
  <c r="C7532" i="2"/>
  <c r="C7531" i="2"/>
  <c r="C7530" i="2"/>
  <c r="C7529" i="2"/>
  <c r="C7528" i="2"/>
  <c r="C7527" i="2"/>
  <c r="C7526" i="2"/>
  <c r="C7525" i="2"/>
  <c r="C7524" i="2"/>
  <c r="C7523" i="2"/>
  <c r="C7522" i="2"/>
  <c r="C7521" i="2"/>
  <c r="C7520" i="2"/>
  <c r="C7519" i="2"/>
  <c r="C7518" i="2"/>
  <c r="C7517" i="2"/>
  <c r="C7516" i="2"/>
  <c r="C7515" i="2"/>
  <c r="C7514" i="2"/>
  <c r="C7513" i="2"/>
  <c r="C7512" i="2"/>
  <c r="C7511" i="2"/>
  <c r="C7510" i="2"/>
  <c r="C7509" i="2"/>
  <c r="C7508" i="2"/>
  <c r="C7507" i="2"/>
  <c r="C7506" i="2"/>
  <c r="C7505" i="2"/>
  <c r="C7504" i="2"/>
  <c r="C7503" i="2"/>
  <c r="C7502" i="2"/>
  <c r="C7501" i="2"/>
  <c r="C7500" i="2"/>
  <c r="C7499" i="2"/>
  <c r="C7498" i="2"/>
  <c r="C7497" i="2"/>
  <c r="C7496" i="2"/>
  <c r="C7495" i="2"/>
  <c r="C7494" i="2"/>
  <c r="C7493" i="2"/>
  <c r="C7492" i="2"/>
  <c r="C7491" i="2"/>
  <c r="C7490" i="2"/>
  <c r="C7489" i="2"/>
  <c r="C7488" i="2"/>
  <c r="C7487" i="2"/>
  <c r="C7486" i="2"/>
  <c r="C7485" i="2"/>
  <c r="C7484" i="2"/>
  <c r="C7483" i="2"/>
  <c r="C7482" i="2"/>
  <c r="C7481" i="2"/>
  <c r="C7480" i="2"/>
  <c r="C7477" i="2"/>
  <c r="C7475" i="2"/>
  <c r="J7470" i="2"/>
  <c r="I7470" i="2"/>
  <c r="H7470" i="2"/>
  <c r="C7469" i="2"/>
  <c r="C7468" i="2"/>
  <c r="C7467" i="2"/>
  <c r="C7466" i="2"/>
  <c r="C7465" i="2"/>
  <c r="C7464" i="2"/>
  <c r="C7463" i="2"/>
  <c r="C7462" i="2"/>
  <c r="C7461" i="2"/>
  <c r="C7460" i="2"/>
  <c r="C7459" i="2"/>
  <c r="C7458" i="2"/>
  <c r="C7457" i="2"/>
  <c r="C7456" i="2"/>
  <c r="C7455" i="2"/>
  <c r="C7454" i="2"/>
  <c r="C7453" i="2"/>
  <c r="C7452" i="2"/>
  <c r="C7451" i="2"/>
  <c r="C7450" i="2"/>
  <c r="C7449" i="2"/>
  <c r="C7448" i="2"/>
  <c r="C7447" i="2"/>
  <c r="C7446" i="2"/>
  <c r="C7445" i="2"/>
  <c r="C7444" i="2"/>
  <c r="C7443" i="2"/>
  <c r="C7442" i="2"/>
  <c r="C7441" i="2"/>
  <c r="C7440" i="2"/>
  <c r="C7439" i="2"/>
  <c r="C7438" i="2"/>
  <c r="C7437" i="2"/>
  <c r="C7436" i="2"/>
  <c r="C7435" i="2"/>
  <c r="C7434" i="2"/>
  <c r="C7433" i="2"/>
  <c r="C7430" i="2"/>
  <c r="C7428" i="2"/>
  <c r="J7423" i="2"/>
  <c r="I7423" i="2"/>
  <c r="H7423" i="2"/>
  <c r="C7422" i="2"/>
  <c r="C7421" i="2"/>
  <c r="C7420" i="2"/>
  <c r="C7419" i="2"/>
  <c r="C7418" i="2"/>
  <c r="C7417" i="2"/>
  <c r="C7416" i="2"/>
  <c r="C7415" i="2"/>
  <c r="C7414" i="2"/>
  <c r="C7413" i="2"/>
  <c r="C7412" i="2"/>
  <c r="C7411" i="2"/>
  <c r="C7410" i="2"/>
  <c r="C7409" i="2"/>
  <c r="C7408" i="2"/>
  <c r="C7407" i="2"/>
  <c r="C7406" i="2"/>
  <c r="C7405" i="2"/>
  <c r="C7404" i="2"/>
  <c r="C7403" i="2"/>
  <c r="C7402" i="2"/>
  <c r="C7401" i="2"/>
  <c r="C7400" i="2"/>
  <c r="C7399" i="2"/>
  <c r="C7398" i="2"/>
  <c r="C7397" i="2"/>
  <c r="C7396" i="2"/>
  <c r="C7395" i="2"/>
  <c r="C7394" i="2"/>
  <c r="C7393" i="2"/>
  <c r="C7392" i="2"/>
  <c r="C7391" i="2"/>
  <c r="C7390" i="2"/>
  <c r="C7389" i="2"/>
  <c r="C7388" i="2"/>
  <c r="C7387" i="2"/>
  <c r="C7386" i="2"/>
  <c r="C7385" i="2"/>
  <c r="C7384" i="2"/>
  <c r="C7383" i="2"/>
  <c r="C7382" i="2"/>
  <c r="C7381" i="2"/>
  <c r="C7380" i="2"/>
  <c r="C7379" i="2"/>
  <c r="C7378" i="2"/>
  <c r="C7377" i="2"/>
  <c r="C7374" i="2"/>
  <c r="C7372" i="2"/>
  <c r="J7367" i="2"/>
  <c r="I7367" i="2"/>
  <c r="H7367" i="2"/>
  <c r="C7366" i="2"/>
  <c r="C7365" i="2"/>
  <c r="C7364" i="2"/>
  <c r="C7363" i="2"/>
  <c r="C7362" i="2"/>
  <c r="C7361" i="2"/>
  <c r="C7360" i="2"/>
  <c r="C7359" i="2"/>
  <c r="C7358" i="2"/>
  <c r="C7357" i="2"/>
  <c r="C7356" i="2"/>
  <c r="C7355" i="2"/>
  <c r="C7354" i="2"/>
  <c r="C7353" i="2"/>
  <c r="C7352" i="2"/>
  <c r="C7351" i="2"/>
  <c r="C7350" i="2"/>
  <c r="C7349" i="2"/>
  <c r="C7348" i="2"/>
  <c r="C7347" i="2"/>
  <c r="C7346" i="2"/>
  <c r="C7345" i="2"/>
  <c r="C7344" i="2"/>
  <c r="C7343" i="2"/>
  <c r="C7342" i="2"/>
  <c r="C7341" i="2"/>
  <c r="C7340" i="2"/>
  <c r="C7339" i="2"/>
  <c r="C7338" i="2"/>
  <c r="C7337" i="2"/>
  <c r="C7336" i="2"/>
  <c r="C7335" i="2"/>
  <c r="C7334" i="2"/>
  <c r="C7333" i="2"/>
  <c r="C7332" i="2"/>
  <c r="C7331" i="2"/>
  <c r="C7330" i="2"/>
  <c r="C7327" i="2"/>
  <c r="C7325" i="2"/>
  <c r="J7320" i="2"/>
  <c r="I7320" i="2"/>
  <c r="H7320" i="2"/>
  <c r="C7319" i="2"/>
  <c r="C7318" i="2"/>
  <c r="C7317" i="2"/>
  <c r="C7316" i="2"/>
  <c r="C7315" i="2"/>
  <c r="C7314" i="2"/>
  <c r="C7313" i="2"/>
  <c r="C7312" i="2"/>
  <c r="C7311" i="2"/>
  <c r="C7310" i="2"/>
  <c r="C7309" i="2"/>
  <c r="C7308" i="2"/>
  <c r="C7307" i="2"/>
  <c r="C7306" i="2"/>
  <c r="C7305" i="2"/>
  <c r="C7304" i="2"/>
  <c r="C7303" i="2"/>
  <c r="C7302" i="2"/>
  <c r="C7301" i="2"/>
  <c r="C7300" i="2"/>
  <c r="C7299" i="2"/>
  <c r="C7298" i="2"/>
  <c r="C7297" i="2"/>
  <c r="C7296" i="2"/>
  <c r="C7295" i="2"/>
  <c r="C7294" i="2"/>
  <c r="C7293" i="2"/>
  <c r="C7292" i="2"/>
  <c r="C7291" i="2"/>
  <c r="C7290" i="2"/>
  <c r="C7289" i="2"/>
  <c r="C7288" i="2"/>
  <c r="C7287" i="2"/>
  <c r="C7286" i="2"/>
  <c r="C7285" i="2"/>
  <c r="C7284" i="2"/>
  <c r="C7283" i="2"/>
  <c r="C7280" i="2"/>
  <c r="C7278" i="2"/>
  <c r="J7273" i="2"/>
  <c r="I7273" i="2"/>
  <c r="H7273" i="2"/>
  <c r="C7272" i="2"/>
  <c r="C7271" i="2"/>
  <c r="C7270" i="2"/>
  <c r="C7269" i="2"/>
  <c r="C7268" i="2"/>
  <c r="C7267" i="2"/>
  <c r="C7266" i="2"/>
  <c r="C7265" i="2"/>
  <c r="C7264" i="2"/>
  <c r="C7263" i="2"/>
  <c r="C7262" i="2"/>
  <c r="C7261" i="2"/>
  <c r="C7260" i="2"/>
  <c r="C7259" i="2"/>
  <c r="C7258" i="2"/>
  <c r="C7257" i="2"/>
  <c r="C7256" i="2"/>
  <c r="C7255" i="2"/>
  <c r="C7254" i="2"/>
  <c r="C7253" i="2"/>
  <c r="C7252" i="2"/>
  <c r="C7251" i="2"/>
  <c r="C7250" i="2"/>
  <c r="C7249" i="2"/>
  <c r="C7248" i="2"/>
  <c r="C7247" i="2"/>
  <c r="C7246" i="2"/>
  <c r="C7243" i="2"/>
  <c r="C7241" i="2"/>
  <c r="J7236" i="2"/>
  <c r="I7236" i="2"/>
  <c r="H7236" i="2"/>
  <c r="C7235" i="2"/>
  <c r="C7234" i="2"/>
  <c r="C7233" i="2"/>
  <c r="C7232" i="2"/>
  <c r="C7231" i="2"/>
  <c r="C7230" i="2"/>
  <c r="C7229" i="2"/>
  <c r="C7228" i="2"/>
  <c r="C7227" i="2"/>
  <c r="C7226" i="2"/>
  <c r="C7225" i="2"/>
  <c r="C7224" i="2"/>
  <c r="C7223" i="2"/>
  <c r="C7222" i="2"/>
  <c r="C7221" i="2"/>
  <c r="C7220" i="2"/>
  <c r="C7219" i="2"/>
  <c r="C7218" i="2"/>
  <c r="C7217" i="2"/>
  <c r="C7216" i="2"/>
  <c r="C7215" i="2"/>
  <c r="C7214" i="2"/>
  <c r="C7213" i="2"/>
  <c r="C7212" i="2"/>
  <c r="C7211" i="2"/>
  <c r="C7210" i="2"/>
  <c r="C7209" i="2"/>
  <c r="C7208" i="2"/>
  <c r="C7207" i="2"/>
  <c r="C7206" i="2"/>
  <c r="C7205" i="2"/>
  <c r="C7204" i="2"/>
  <c r="C7203" i="2"/>
  <c r="C7202" i="2"/>
  <c r="C7201" i="2"/>
  <c r="C7200" i="2"/>
  <c r="C7199" i="2"/>
  <c r="C7198" i="2"/>
  <c r="C7197" i="2"/>
  <c r="C7196" i="2"/>
  <c r="C7195" i="2"/>
  <c r="C7194" i="2"/>
  <c r="C7193" i="2"/>
  <c r="C7192" i="2"/>
  <c r="C7191" i="2"/>
  <c r="C7190" i="2"/>
  <c r="C7189" i="2"/>
  <c r="C7188" i="2"/>
  <c r="C7187" i="2"/>
  <c r="C7186" i="2"/>
  <c r="C7185" i="2"/>
  <c r="C7184" i="2"/>
  <c r="C7183" i="2"/>
  <c r="C7182" i="2"/>
  <c r="C7181" i="2"/>
  <c r="C7180" i="2"/>
  <c r="C7179" i="2"/>
  <c r="C7178" i="2"/>
  <c r="C7177" i="2"/>
  <c r="C7176" i="2"/>
  <c r="C7175" i="2"/>
  <c r="C7174" i="2"/>
  <c r="C7173" i="2"/>
  <c r="C7172" i="2"/>
  <c r="C7171" i="2"/>
  <c r="C7170" i="2"/>
  <c r="C7169" i="2"/>
  <c r="C7168" i="2"/>
  <c r="C7167" i="2"/>
  <c r="C7166" i="2"/>
  <c r="C7165" i="2"/>
  <c r="C7164" i="2"/>
  <c r="C7163" i="2"/>
  <c r="C7162" i="2"/>
  <c r="C7161" i="2"/>
  <c r="C7160" i="2"/>
  <c r="C7159" i="2"/>
  <c r="C7158" i="2"/>
  <c r="C7157" i="2"/>
  <c r="C7154" i="2"/>
  <c r="C7152" i="2"/>
  <c r="J7147" i="2"/>
  <c r="I7147" i="2"/>
  <c r="H7147" i="2"/>
  <c r="C7146" i="2"/>
  <c r="C7145" i="2"/>
  <c r="C7144" i="2"/>
  <c r="C7143" i="2"/>
  <c r="C7142" i="2"/>
  <c r="C7141" i="2"/>
  <c r="C7140" i="2"/>
  <c r="C7139" i="2"/>
  <c r="C7138" i="2"/>
  <c r="C7137" i="2"/>
  <c r="C7136" i="2"/>
  <c r="C7135" i="2"/>
  <c r="C7134" i="2"/>
  <c r="C7133" i="2"/>
  <c r="C7132" i="2"/>
  <c r="C7131" i="2"/>
  <c r="C7130" i="2"/>
  <c r="C7129" i="2"/>
  <c r="C7128" i="2"/>
  <c r="C7127" i="2"/>
  <c r="C7126" i="2"/>
  <c r="C7125" i="2"/>
  <c r="C7124" i="2"/>
  <c r="C7123" i="2"/>
  <c r="C7122" i="2"/>
  <c r="C7121" i="2"/>
  <c r="C7120" i="2"/>
  <c r="C7117" i="2"/>
  <c r="C7115" i="2"/>
  <c r="J7110" i="2"/>
  <c r="I7110" i="2"/>
  <c r="H7110" i="2"/>
  <c r="C7109" i="2"/>
  <c r="C7108" i="2"/>
  <c r="C7107" i="2"/>
  <c r="C7106" i="2"/>
  <c r="C7105" i="2"/>
  <c r="C7104" i="2"/>
  <c r="C7103" i="2"/>
  <c r="C7102" i="2"/>
  <c r="C7101" i="2"/>
  <c r="C7100" i="2"/>
  <c r="C7099" i="2"/>
  <c r="C7098" i="2"/>
  <c r="C7097" i="2"/>
  <c r="C7096" i="2"/>
  <c r="C7095" i="2"/>
  <c r="C7094" i="2"/>
  <c r="C7093" i="2"/>
  <c r="C7092" i="2"/>
  <c r="C7091" i="2"/>
  <c r="C7090" i="2"/>
  <c r="C7089" i="2"/>
  <c r="C7088" i="2"/>
  <c r="C7087" i="2"/>
  <c r="C7086" i="2"/>
  <c r="C7085" i="2"/>
  <c r="C7084" i="2"/>
  <c r="C7083" i="2"/>
  <c r="C7080" i="2"/>
  <c r="C7078" i="2"/>
  <c r="J7073" i="2"/>
  <c r="I7073" i="2"/>
  <c r="H7073" i="2"/>
  <c r="C7072" i="2"/>
  <c r="C7071" i="2"/>
  <c r="C7070" i="2"/>
  <c r="C7069" i="2"/>
  <c r="C7068" i="2"/>
  <c r="C7067" i="2"/>
  <c r="C7066" i="2"/>
  <c r="C7065" i="2"/>
  <c r="C7064" i="2"/>
  <c r="C7063" i="2"/>
  <c r="C7062" i="2"/>
  <c r="C7061" i="2"/>
  <c r="C7060" i="2"/>
  <c r="C7059" i="2"/>
  <c r="C7058" i="2"/>
  <c r="C7057" i="2"/>
  <c r="C7056" i="2"/>
  <c r="C7055" i="2"/>
  <c r="C7054" i="2"/>
  <c r="C7053" i="2"/>
  <c r="C7052" i="2"/>
  <c r="C7051" i="2"/>
  <c r="C7050" i="2"/>
  <c r="C7049" i="2"/>
  <c r="C7048" i="2"/>
  <c r="C7047" i="2"/>
  <c r="C7046" i="2"/>
  <c r="C7043" i="2"/>
  <c r="C7041" i="2"/>
  <c r="J7036" i="2"/>
  <c r="I7036" i="2"/>
  <c r="H7036" i="2"/>
  <c r="C7035" i="2"/>
  <c r="C7034" i="2"/>
  <c r="C7033" i="2"/>
  <c r="C7032" i="2"/>
  <c r="C7031" i="2"/>
  <c r="C7030" i="2"/>
  <c r="C7029" i="2"/>
  <c r="C7028" i="2"/>
  <c r="C7027" i="2"/>
  <c r="C7026" i="2"/>
  <c r="C7025" i="2"/>
  <c r="C7024" i="2"/>
  <c r="C7023" i="2"/>
  <c r="C7022" i="2"/>
  <c r="C7021" i="2"/>
  <c r="C7020" i="2"/>
  <c r="C7019" i="2"/>
  <c r="C7018" i="2"/>
  <c r="C7017" i="2"/>
  <c r="C7016" i="2"/>
  <c r="C7015" i="2"/>
  <c r="C7014" i="2"/>
  <c r="C7011" i="2"/>
  <c r="C7009" i="2"/>
  <c r="J7004" i="2"/>
  <c r="I7004" i="2"/>
  <c r="H7004" i="2"/>
  <c r="C7003" i="2"/>
  <c r="C7002" i="2"/>
  <c r="C7001" i="2"/>
  <c r="C7000" i="2"/>
  <c r="C6999" i="2"/>
  <c r="C6998" i="2"/>
  <c r="C6997" i="2"/>
  <c r="C6996" i="2"/>
  <c r="C6995" i="2"/>
  <c r="C6994" i="2"/>
  <c r="C6993" i="2"/>
  <c r="C6992" i="2"/>
  <c r="C6991" i="2"/>
  <c r="C6990" i="2"/>
  <c r="C6989" i="2"/>
  <c r="C6988" i="2"/>
  <c r="C6987" i="2"/>
  <c r="C6986" i="2"/>
  <c r="C6985" i="2"/>
  <c r="C6984" i="2"/>
  <c r="C6983" i="2"/>
  <c r="C6982" i="2"/>
  <c r="C6981" i="2"/>
  <c r="C6980" i="2"/>
  <c r="C6979" i="2"/>
  <c r="C6978" i="2"/>
  <c r="C6977" i="2"/>
  <c r="C6976" i="2"/>
  <c r="C6975" i="2"/>
  <c r="C6974" i="2"/>
  <c r="C6971" i="2"/>
  <c r="C6969" i="2"/>
  <c r="J6964" i="2"/>
  <c r="I6964" i="2"/>
  <c r="H6964" i="2"/>
  <c r="C6963" i="2"/>
  <c r="C6962" i="2"/>
  <c r="C6961" i="2"/>
  <c r="C6960" i="2"/>
  <c r="C6959" i="2"/>
  <c r="C6958" i="2"/>
  <c r="C6957" i="2"/>
  <c r="C6956" i="2"/>
  <c r="C6955" i="2"/>
  <c r="C6954" i="2"/>
  <c r="C6953" i="2"/>
  <c r="C6952" i="2"/>
  <c r="C6951" i="2"/>
  <c r="C6950" i="2"/>
  <c r="C6949" i="2"/>
  <c r="C6948" i="2"/>
  <c r="C6947" i="2"/>
  <c r="C6946" i="2"/>
  <c r="C6945" i="2"/>
  <c r="C6944" i="2"/>
  <c r="C6943" i="2"/>
  <c r="C6942" i="2"/>
  <c r="C6939" i="2"/>
  <c r="C6937" i="2"/>
  <c r="J6932" i="2"/>
  <c r="I6932" i="2"/>
  <c r="H6932" i="2"/>
  <c r="C6931" i="2"/>
  <c r="C6930" i="2"/>
  <c r="C6929" i="2"/>
  <c r="C6928" i="2"/>
  <c r="C6927" i="2"/>
  <c r="C6926" i="2"/>
  <c r="C6925" i="2"/>
  <c r="C6924" i="2"/>
  <c r="C6923" i="2"/>
  <c r="C6922" i="2"/>
  <c r="C6921" i="2"/>
  <c r="C6920" i="2"/>
  <c r="C6919" i="2"/>
  <c r="C6918" i="2"/>
  <c r="C6917" i="2"/>
  <c r="C6916" i="2"/>
  <c r="C6915" i="2"/>
  <c r="C6914" i="2"/>
  <c r="C6913" i="2"/>
  <c r="C6912" i="2"/>
  <c r="C6911" i="2"/>
  <c r="C6910" i="2"/>
  <c r="C6907" i="2"/>
  <c r="C6905" i="2"/>
  <c r="J6900" i="2"/>
  <c r="I6900" i="2"/>
  <c r="H6900" i="2"/>
  <c r="C6899" i="2"/>
  <c r="C6898" i="2"/>
  <c r="C6897" i="2"/>
  <c r="C6896" i="2"/>
  <c r="C6895" i="2"/>
  <c r="C6894" i="2"/>
  <c r="C6893" i="2"/>
  <c r="C6892" i="2"/>
  <c r="C6891" i="2"/>
  <c r="C6890" i="2"/>
  <c r="C6889" i="2"/>
  <c r="C6888" i="2"/>
  <c r="C6887" i="2"/>
  <c r="C6886" i="2"/>
  <c r="C6885" i="2"/>
  <c r="C6884" i="2"/>
  <c r="C6883" i="2"/>
  <c r="C6882" i="2"/>
  <c r="C6881" i="2"/>
  <c r="C6880" i="2"/>
  <c r="C6879" i="2"/>
  <c r="C6878" i="2"/>
  <c r="C6875" i="2"/>
  <c r="C6873" i="2"/>
  <c r="J6868" i="2"/>
  <c r="I6868" i="2"/>
  <c r="H6868" i="2"/>
  <c r="C6867" i="2"/>
  <c r="C6866" i="2"/>
  <c r="C6865" i="2"/>
  <c r="C6864" i="2"/>
  <c r="C6863" i="2"/>
  <c r="C6862" i="2"/>
  <c r="C6859" i="2"/>
  <c r="C6857" i="2"/>
  <c r="J6852" i="2"/>
  <c r="I6852" i="2"/>
  <c r="H6852" i="2"/>
  <c r="C6851" i="2"/>
  <c r="C6850" i="2"/>
  <c r="C6849" i="2"/>
  <c r="C6848" i="2"/>
  <c r="C6847" i="2"/>
  <c r="C6846" i="2"/>
  <c r="C6843" i="2"/>
  <c r="C6841" i="2"/>
  <c r="J6836" i="2"/>
  <c r="I6836" i="2"/>
  <c r="H6836" i="2"/>
  <c r="C6835" i="2"/>
  <c r="C6834" i="2"/>
  <c r="C6833" i="2"/>
  <c r="C6832" i="2"/>
  <c r="C6831" i="2"/>
  <c r="C6830" i="2"/>
  <c r="C6829" i="2"/>
  <c r="C6826" i="2"/>
  <c r="C6824" i="2"/>
  <c r="J6819" i="2"/>
  <c r="I6819" i="2"/>
  <c r="H6819" i="2"/>
  <c r="C6818" i="2"/>
  <c r="C6817" i="2"/>
  <c r="C6816" i="2"/>
  <c r="C6815" i="2"/>
  <c r="C6814" i="2"/>
  <c r="C6813" i="2"/>
  <c r="C6812" i="2"/>
  <c r="C6811" i="2"/>
  <c r="C6810" i="2"/>
  <c r="C6807" i="2"/>
  <c r="C6805" i="2"/>
  <c r="J6800" i="2"/>
  <c r="I6800" i="2"/>
  <c r="H6800" i="2"/>
  <c r="C6799" i="2"/>
  <c r="C6798" i="2"/>
  <c r="C6797" i="2"/>
  <c r="C6796" i="2"/>
  <c r="C6795" i="2"/>
  <c r="C6794" i="2"/>
  <c r="C6793" i="2"/>
  <c r="C6792" i="2"/>
  <c r="C6791" i="2"/>
  <c r="C6790" i="2"/>
  <c r="C6789" i="2"/>
  <c r="C6788" i="2"/>
  <c r="C6787" i="2"/>
  <c r="C6786" i="2"/>
  <c r="C6785" i="2"/>
  <c r="C6784" i="2"/>
  <c r="C6783" i="2"/>
  <c r="C6782" i="2"/>
  <c r="C6781" i="2"/>
  <c r="C6778" i="2"/>
  <c r="C6776" i="2"/>
  <c r="J6771" i="2"/>
  <c r="I6771" i="2"/>
  <c r="H6771" i="2"/>
  <c r="C6770" i="2"/>
  <c r="C6769" i="2"/>
  <c r="C6768" i="2"/>
  <c r="C6767" i="2"/>
  <c r="C6766" i="2"/>
  <c r="C6765" i="2"/>
  <c r="C6764" i="2"/>
  <c r="C6763" i="2"/>
  <c r="C6762" i="2"/>
  <c r="C6761" i="2"/>
  <c r="C6760" i="2"/>
  <c r="C6759" i="2"/>
  <c r="C6758" i="2"/>
  <c r="C6757" i="2"/>
  <c r="C6756" i="2"/>
  <c r="C6755" i="2"/>
  <c r="C6754" i="2"/>
  <c r="C6753" i="2"/>
  <c r="C6752" i="2"/>
  <c r="C6749" i="2"/>
  <c r="C6747" i="2"/>
  <c r="J6742" i="2"/>
  <c r="I6742" i="2"/>
  <c r="H6742" i="2"/>
  <c r="C6741" i="2"/>
  <c r="C6740" i="2"/>
  <c r="C6739" i="2"/>
  <c r="C6738" i="2"/>
  <c r="C6737" i="2"/>
  <c r="C6736" i="2"/>
  <c r="C6735" i="2"/>
  <c r="C6734" i="2"/>
  <c r="C6733" i="2"/>
  <c r="C6732" i="2"/>
  <c r="C6731" i="2"/>
  <c r="C6730" i="2"/>
  <c r="C6729" i="2"/>
  <c r="C6728" i="2"/>
  <c r="C6727" i="2"/>
  <c r="C6726" i="2"/>
  <c r="C6725" i="2"/>
  <c r="C6724" i="2"/>
  <c r="C6723" i="2"/>
  <c r="C6720" i="2"/>
  <c r="C6718" i="2"/>
  <c r="J6713" i="2"/>
  <c r="I6713" i="2"/>
  <c r="H6713" i="2"/>
  <c r="C6712" i="2"/>
  <c r="C6711" i="2"/>
  <c r="C6710" i="2"/>
  <c r="C6709" i="2"/>
  <c r="C6708" i="2"/>
  <c r="C6707" i="2"/>
  <c r="C6706" i="2"/>
  <c r="C6705" i="2"/>
  <c r="C6704" i="2"/>
  <c r="C6703" i="2"/>
  <c r="C6702" i="2"/>
  <c r="C6701" i="2"/>
  <c r="C6700" i="2"/>
  <c r="C6699" i="2"/>
  <c r="C6698" i="2"/>
  <c r="C6697" i="2"/>
  <c r="C6696" i="2"/>
  <c r="C6695" i="2"/>
  <c r="C6694" i="2"/>
  <c r="C6691" i="2"/>
  <c r="C6689" i="2"/>
  <c r="J6684" i="2"/>
  <c r="I6684" i="2"/>
  <c r="H6684" i="2"/>
  <c r="C6683" i="2"/>
  <c r="C6682" i="2"/>
  <c r="C6681" i="2"/>
  <c r="C6678" i="2"/>
  <c r="C6676" i="2"/>
  <c r="J6671" i="2"/>
  <c r="I6671" i="2"/>
  <c r="H6671" i="2"/>
  <c r="C6670" i="2"/>
  <c r="C6669" i="2"/>
  <c r="C6668" i="2"/>
  <c r="C6667" i="2"/>
  <c r="C6666" i="2"/>
  <c r="C6665" i="2"/>
  <c r="C6664" i="2"/>
  <c r="C6663" i="2"/>
  <c r="C6662" i="2"/>
  <c r="C6661" i="2"/>
  <c r="C6660" i="2"/>
  <c r="C6659" i="2"/>
  <c r="C6658" i="2"/>
  <c r="C6657" i="2"/>
  <c r="C6656" i="2"/>
  <c r="C6655" i="2"/>
  <c r="C6654" i="2"/>
  <c r="C6653" i="2"/>
  <c r="C6652" i="2"/>
  <c r="C6651" i="2"/>
  <c r="C6650" i="2"/>
  <c r="C6649" i="2"/>
  <c r="C6648" i="2"/>
  <c r="C6647" i="2"/>
  <c r="C6646" i="2"/>
  <c r="C6645" i="2"/>
  <c r="C6644" i="2"/>
  <c r="C6643" i="2"/>
  <c r="C6642" i="2"/>
  <c r="C6641" i="2"/>
  <c r="C6640" i="2"/>
  <c r="C6639" i="2"/>
  <c r="C6638" i="2"/>
  <c r="C6637" i="2"/>
  <c r="C6636" i="2"/>
  <c r="C6635" i="2"/>
  <c r="C6634" i="2"/>
  <c r="C6633" i="2"/>
  <c r="C6632" i="2"/>
  <c r="C6631" i="2"/>
  <c r="C6630" i="2"/>
  <c r="C6629" i="2"/>
  <c r="C6628" i="2"/>
  <c r="C6627" i="2"/>
  <c r="C6626" i="2"/>
  <c r="C6623" i="2"/>
  <c r="C6621" i="2"/>
  <c r="J6616" i="2"/>
  <c r="I6616" i="2"/>
  <c r="H6616" i="2"/>
  <c r="C6615" i="2"/>
  <c r="C6614" i="2"/>
  <c r="C6613" i="2"/>
  <c r="C6612" i="2"/>
  <c r="C6611" i="2"/>
  <c r="C6610" i="2"/>
  <c r="C6609" i="2"/>
  <c r="C6608" i="2"/>
  <c r="C6607" i="2"/>
  <c r="C6606" i="2"/>
  <c r="C6605" i="2"/>
  <c r="C6604" i="2"/>
  <c r="C6603" i="2"/>
  <c r="C6602" i="2"/>
  <c r="C6601" i="2"/>
  <c r="C6600" i="2"/>
  <c r="C6599" i="2"/>
  <c r="C6598" i="2"/>
  <c r="C6597" i="2"/>
  <c r="C6596" i="2"/>
  <c r="C6595" i="2"/>
  <c r="C6594" i="2"/>
  <c r="C6593" i="2"/>
  <c r="C6592" i="2"/>
  <c r="C6591" i="2"/>
  <c r="C6590" i="2"/>
  <c r="C6589" i="2"/>
  <c r="C6588" i="2"/>
  <c r="C6587" i="2"/>
  <c r="C6586" i="2"/>
  <c r="C6585" i="2"/>
  <c r="C6584" i="2"/>
  <c r="C6583" i="2"/>
  <c r="C6582" i="2"/>
  <c r="C6581" i="2"/>
  <c r="C6580" i="2"/>
  <c r="C6579" i="2"/>
  <c r="C6578" i="2"/>
  <c r="C6577" i="2"/>
  <c r="C6576" i="2"/>
  <c r="C6575" i="2"/>
  <c r="C6574" i="2"/>
  <c r="C6573" i="2"/>
  <c r="C6572" i="2"/>
  <c r="C6571" i="2"/>
  <c r="C6570" i="2"/>
  <c r="C6569" i="2"/>
  <c r="C6568" i="2"/>
  <c r="C6567" i="2"/>
  <c r="C6566" i="2"/>
  <c r="C6565" i="2"/>
  <c r="C6564" i="2"/>
  <c r="C6563" i="2"/>
  <c r="C6562" i="2"/>
  <c r="C6561" i="2"/>
  <c r="C6560" i="2"/>
  <c r="C6559" i="2"/>
  <c r="C6558" i="2"/>
  <c r="C6557" i="2"/>
  <c r="C6556" i="2"/>
  <c r="C6555" i="2"/>
  <c r="C6554" i="2"/>
  <c r="C6553" i="2"/>
  <c r="C6552" i="2"/>
  <c r="C6551" i="2"/>
  <c r="C6550" i="2"/>
  <c r="C6549" i="2"/>
  <c r="C6548" i="2"/>
  <c r="C6547" i="2"/>
  <c r="C6546" i="2"/>
  <c r="C6545" i="2"/>
  <c r="C6544" i="2"/>
  <c r="C6543" i="2"/>
  <c r="C6542" i="2"/>
  <c r="C6541" i="2"/>
  <c r="C6540" i="2"/>
  <c r="C6539" i="2"/>
  <c r="C6538" i="2"/>
  <c r="C6537" i="2"/>
  <c r="C6536" i="2"/>
  <c r="C6535" i="2"/>
  <c r="C6534" i="2"/>
  <c r="C6533" i="2"/>
  <c r="C6532" i="2"/>
  <c r="C6531" i="2"/>
  <c r="C6530" i="2"/>
  <c r="C6529" i="2"/>
  <c r="C6528" i="2"/>
  <c r="C6527" i="2"/>
  <c r="C6526" i="2"/>
  <c r="C6525" i="2"/>
  <c r="C6524" i="2"/>
  <c r="C6523" i="2"/>
  <c r="C6520" i="2"/>
  <c r="C6518" i="2"/>
  <c r="J6513" i="2"/>
  <c r="I6513" i="2"/>
  <c r="H6513" i="2"/>
  <c r="C6512" i="2"/>
  <c r="C6511" i="2"/>
  <c r="C6510" i="2"/>
  <c r="C6509" i="2"/>
  <c r="C6508" i="2"/>
  <c r="C6507" i="2"/>
  <c r="C6506" i="2"/>
  <c r="C6505" i="2"/>
  <c r="C6504" i="2"/>
  <c r="C6503" i="2"/>
  <c r="C6502" i="2"/>
  <c r="C6501" i="2"/>
  <c r="C6500" i="2"/>
  <c r="C6499" i="2"/>
  <c r="C6498" i="2"/>
  <c r="C6497" i="2"/>
  <c r="C6496" i="2"/>
  <c r="C6495" i="2"/>
  <c r="C6494" i="2"/>
  <c r="C6493" i="2"/>
  <c r="C6492" i="2"/>
  <c r="C6491" i="2"/>
  <c r="C6490" i="2"/>
  <c r="C6489" i="2"/>
  <c r="C6488" i="2"/>
  <c r="C6487" i="2"/>
  <c r="C6486" i="2"/>
  <c r="C6485" i="2"/>
  <c r="C6482" i="2"/>
  <c r="C6480" i="2"/>
  <c r="J6475" i="2"/>
  <c r="I6475" i="2"/>
  <c r="H6475" i="2"/>
  <c r="C6474" i="2"/>
  <c r="C6473" i="2"/>
  <c r="C6472" i="2"/>
  <c r="C6471" i="2"/>
  <c r="C6470" i="2"/>
  <c r="C6469" i="2"/>
  <c r="C6468" i="2"/>
  <c r="C6467" i="2"/>
  <c r="C6466" i="2"/>
  <c r="C6465" i="2"/>
  <c r="C6464" i="2"/>
  <c r="C6463" i="2"/>
  <c r="C6462" i="2"/>
  <c r="C6461" i="2"/>
  <c r="C6460" i="2"/>
  <c r="C6459" i="2"/>
  <c r="C6458" i="2"/>
  <c r="C6457" i="2"/>
  <c r="C6456" i="2"/>
  <c r="C6455" i="2"/>
  <c r="C6454" i="2"/>
  <c r="C6453" i="2"/>
  <c r="C6452" i="2"/>
  <c r="C6451" i="2"/>
  <c r="C6450" i="2"/>
  <c r="C6449" i="2"/>
  <c r="C6448" i="2"/>
  <c r="C6445" i="2"/>
  <c r="C6443" i="2"/>
  <c r="J6438" i="2"/>
  <c r="I6438" i="2"/>
  <c r="H6438" i="2"/>
  <c r="C6437" i="2"/>
  <c r="C6436" i="2"/>
  <c r="C6435" i="2"/>
  <c r="C6434" i="2"/>
  <c r="C6433" i="2"/>
  <c r="C6432" i="2"/>
  <c r="C6431" i="2"/>
  <c r="C6430" i="2"/>
  <c r="C6429" i="2"/>
  <c r="C6428" i="2"/>
  <c r="C6427" i="2"/>
  <c r="C6426" i="2"/>
  <c r="C6425" i="2"/>
  <c r="C6424" i="2"/>
  <c r="C6423" i="2"/>
  <c r="C6422" i="2"/>
  <c r="C6421" i="2"/>
  <c r="C6420" i="2"/>
  <c r="C6419" i="2"/>
  <c r="C6418" i="2"/>
  <c r="C6417" i="2"/>
  <c r="C6416" i="2"/>
  <c r="C6415" i="2"/>
  <c r="C6414" i="2"/>
  <c r="C6413" i="2"/>
  <c r="C6412" i="2"/>
  <c r="C6411" i="2"/>
  <c r="C6410" i="2"/>
  <c r="C6409" i="2"/>
  <c r="C6408" i="2"/>
  <c r="C6407" i="2"/>
  <c r="C6406" i="2"/>
  <c r="C6405" i="2"/>
  <c r="C6404" i="2"/>
  <c r="C6403" i="2"/>
  <c r="C6402" i="2"/>
  <c r="C6401" i="2"/>
  <c r="C6400" i="2"/>
  <c r="C6399" i="2"/>
  <c r="C6398" i="2"/>
  <c r="C6397" i="2"/>
  <c r="C6396" i="2"/>
  <c r="C6395" i="2"/>
  <c r="C6394" i="2"/>
  <c r="C6393" i="2"/>
  <c r="C6392" i="2"/>
  <c r="C6391" i="2"/>
  <c r="C6390" i="2"/>
  <c r="C6389" i="2"/>
  <c r="C6388" i="2"/>
  <c r="C6387" i="2"/>
  <c r="C6386" i="2"/>
  <c r="C6385" i="2"/>
  <c r="C6384" i="2"/>
  <c r="C6383" i="2"/>
  <c r="C6382" i="2"/>
  <c r="C6381" i="2"/>
  <c r="C6380" i="2"/>
  <c r="C6379" i="2"/>
  <c r="C6378" i="2"/>
  <c r="C6377" i="2"/>
  <c r="C6376" i="2"/>
  <c r="C6373" i="2"/>
  <c r="C6371" i="2"/>
  <c r="J6366" i="2"/>
  <c r="I6366" i="2"/>
  <c r="H6366" i="2"/>
  <c r="C6365" i="2"/>
  <c r="C6364" i="2"/>
  <c r="C6363" i="2"/>
  <c r="C6362" i="2"/>
  <c r="C6361" i="2"/>
  <c r="C6360" i="2"/>
  <c r="C6359" i="2"/>
  <c r="C6358" i="2"/>
  <c r="C6357" i="2"/>
  <c r="C6356" i="2"/>
  <c r="C6355" i="2"/>
  <c r="C6354" i="2"/>
  <c r="C6353" i="2"/>
  <c r="C6352" i="2"/>
  <c r="C6351" i="2"/>
  <c r="C6350" i="2"/>
  <c r="C6349" i="2"/>
  <c r="C6348" i="2"/>
  <c r="C6347" i="2"/>
  <c r="C6346" i="2"/>
  <c r="C6345" i="2"/>
  <c r="C6344" i="2"/>
  <c r="C6343" i="2"/>
  <c r="C6342" i="2"/>
  <c r="C6341" i="2"/>
  <c r="C6340" i="2"/>
  <c r="C6339" i="2"/>
  <c r="C6338" i="2"/>
  <c r="C6337" i="2"/>
  <c r="C6336" i="2"/>
  <c r="C6335" i="2"/>
  <c r="C6334" i="2"/>
  <c r="C6333" i="2"/>
  <c r="C6332" i="2"/>
  <c r="C6331" i="2"/>
  <c r="C6330" i="2"/>
  <c r="C6329" i="2"/>
  <c r="C6328" i="2"/>
  <c r="C6327" i="2"/>
  <c r="C6326" i="2"/>
  <c r="C6325" i="2"/>
  <c r="C6324" i="2"/>
  <c r="C6323" i="2"/>
  <c r="C6322" i="2"/>
  <c r="C6321" i="2"/>
  <c r="C6320" i="2"/>
  <c r="C6319" i="2"/>
  <c r="C6318" i="2"/>
  <c r="C6317" i="2"/>
  <c r="C6316" i="2"/>
  <c r="C6315" i="2"/>
  <c r="C6314" i="2"/>
  <c r="C6313" i="2"/>
  <c r="C6312" i="2"/>
  <c r="C6311" i="2"/>
  <c r="C6310" i="2"/>
  <c r="C6309" i="2"/>
  <c r="C6308" i="2"/>
  <c r="C6307" i="2"/>
  <c r="C6306" i="2"/>
  <c r="C6305" i="2"/>
  <c r="C6304" i="2"/>
  <c r="C6301" i="2"/>
  <c r="C6299" i="2"/>
  <c r="J6294" i="2"/>
  <c r="I6294" i="2"/>
  <c r="H6294" i="2"/>
  <c r="C6293" i="2"/>
  <c r="C6292" i="2"/>
  <c r="C6291" i="2"/>
  <c r="C6290" i="2"/>
  <c r="C6289" i="2"/>
  <c r="C6288" i="2"/>
  <c r="C6287" i="2"/>
  <c r="C6286" i="2"/>
  <c r="C6285" i="2"/>
  <c r="C6284" i="2"/>
  <c r="C6283" i="2"/>
  <c r="C6282" i="2"/>
  <c r="C6281" i="2"/>
  <c r="C6280" i="2"/>
  <c r="C6279" i="2"/>
  <c r="C6278" i="2"/>
  <c r="C6277" i="2"/>
  <c r="C6276" i="2"/>
  <c r="C6275" i="2"/>
  <c r="C6274" i="2"/>
  <c r="C6273" i="2"/>
  <c r="C6272" i="2"/>
  <c r="C6271" i="2"/>
  <c r="C6270" i="2"/>
  <c r="C6269" i="2"/>
  <c r="C6268" i="2"/>
  <c r="C6267" i="2"/>
  <c r="C6266" i="2"/>
  <c r="C6265" i="2"/>
  <c r="C6264" i="2"/>
  <c r="C6263" i="2"/>
  <c r="C6262" i="2"/>
  <c r="C6261" i="2"/>
  <c r="C6260" i="2"/>
  <c r="C6259" i="2"/>
  <c r="C6258" i="2"/>
  <c r="C6257" i="2"/>
  <c r="C6256" i="2"/>
  <c r="C6255" i="2"/>
  <c r="C6254" i="2"/>
  <c r="C6253" i="2"/>
  <c r="C6252" i="2"/>
  <c r="C6251" i="2"/>
  <c r="C6250" i="2"/>
  <c r="C6249" i="2"/>
  <c r="C6248" i="2"/>
  <c r="C6247" i="2"/>
  <c r="C6246" i="2"/>
  <c r="C6245" i="2"/>
  <c r="C6244" i="2"/>
  <c r="C6243" i="2"/>
  <c r="C6242" i="2"/>
  <c r="C6241" i="2"/>
  <c r="C6240" i="2"/>
  <c r="C6239" i="2"/>
  <c r="C6238" i="2"/>
  <c r="C6237" i="2"/>
  <c r="C6236" i="2"/>
  <c r="C6235" i="2"/>
  <c r="C6234" i="2"/>
  <c r="C6233" i="2"/>
  <c r="C6232" i="2"/>
  <c r="C6229" i="2"/>
  <c r="C6227" i="2"/>
  <c r="J6222" i="2"/>
  <c r="I6222" i="2"/>
  <c r="H6222" i="2"/>
  <c r="C6221" i="2"/>
  <c r="C6220" i="2"/>
  <c r="C6219" i="2"/>
  <c r="C6218" i="2"/>
  <c r="C6217" i="2"/>
  <c r="C6216" i="2"/>
  <c r="C6215" i="2"/>
  <c r="C6214" i="2"/>
  <c r="C6213" i="2"/>
  <c r="C6212" i="2"/>
  <c r="C6211" i="2"/>
  <c r="C6210" i="2"/>
  <c r="C6209" i="2"/>
  <c r="C6208" i="2"/>
  <c r="C6207" i="2"/>
  <c r="C6206" i="2"/>
  <c r="C6205" i="2"/>
  <c r="C6204" i="2"/>
  <c r="C6203" i="2"/>
  <c r="C6202" i="2"/>
  <c r="C6201" i="2"/>
  <c r="C6200" i="2"/>
  <c r="C6199" i="2"/>
  <c r="C6198" i="2"/>
  <c r="C6197" i="2"/>
  <c r="C6196" i="2"/>
  <c r="C6195" i="2"/>
  <c r="C6194" i="2"/>
  <c r="C6193" i="2"/>
  <c r="C6192" i="2"/>
  <c r="C6191" i="2"/>
  <c r="C6190" i="2"/>
  <c r="C6189" i="2"/>
  <c r="C6188" i="2"/>
  <c r="C6187" i="2"/>
  <c r="C6186" i="2"/>
  <c r="C6185" i="2"/>
  <c r="C6184" i="2"/>
  <c r="C6183" i="2"/>
  <c r="C6182" i="2"/>
  <c r="C6181" i="2"/>
  <c r="C6180" i="2"/>
  <c r="C6179" i="2"/>
  <c r="C6178" i="2"/>
  <c r="C6177" i="2"/>
  <c r="C6176" i="2"/>
  <c r="C6175" i="2"/>
  <c r="C6174" i="2"/>
  <c r="C6173" i="2"/>
  <c r="C6172" i="2"/>
  <c r="C6171" i="2"/>
  <c r="C6170" i="2"/>
  <c r="C6169" i="2"/>
  <c r="C6168" i="2"/>
  <c r="C6167" i="2"/>
  <c r="C6166" i="2"/>
  <c r="C6165" i="2"/>
  <c r="C6164" i="2"/>
  <c r="C6163" i="2"/>
  <c r="C6162" i="2"/>
  <c r="C6161" i="2"/>
  <c r="C6160" i="2"/>
  <c r="C6157" i="2"/>
  <c r="C6155" i="2"/>
  <c r="J6150" i="2"/>
  <c r="I6150" i="2"/>
  <c r="H6150" i="2"/>
  <c r="C6149" i="2"/>
  <c r="C6146" i="2"/>
  <c r="C6144" i="2"/>
  <c r="J6139" i="2"/>
  <c r="I6139" i="2"/>
  <c r="H6139" i="2"/>
  <c r="C6138" i="2"/>
  <c r="C6135" i="2"/>
  <c r="C6133" i="2"/>
  <c r="J6128" i="2"/>
  <c r="I6128" i="2"/>
  <c r="H6128" i="2"/>
  <c r="C6127" i="2"/>
  <c r="C6124" i="2"/>
  <c r="C6122" i="2"/>
  <c r="J6117" i="2"/>
  <c r="I6117" i="2"/>
  <c r="H6117" i="2"/>
  <c r="C6116" i="2"/>
  <c r="C6113" i="2"/>
  <c r="C6111" i="2"/>
  <c r="J6106" i="2"/>
  <c r="I6106" i="2"/>
  <c r="H6106" i="2"/>
  <c r="C6105" i="2"/>
  <c r="C6104" i="2"/>
  <c r="C6103" i="2"/>
  <c r="C6100" i="2"/>
  <c r="C6098" i="2"/>
  <c r="J6093" i="2"/>
  <c r="I6093" i="2"/>
  <c r="H6093" i="2"/>
  <c r="C6092" i="2"/>
  <c r="C6091" i="2"/>
  <c r="C6090" i="2"/>
  <c r="C6087" i="2"/>
  <c r="C6085" i="2"/>
  <c r="J6080" i="2"/>
  <c r="I6080" i="2"/>
  <c r="H6080" i="2"/>
  <c r="C6079" i="2"/>
  <c r="C6078" i="2"/>
  <c r="C6077" i="2"/>
  <c r="C6074" i="2"/>
  <c r="C6072" i="2"/>
  <c r="J6067" i="2"/>
  <c r="I6067" i="2"/>
  <c r="H6067" i="2"/>
  <c r="C6066" i="2"/>
  <c r="C6065" i="2"/>
  <c r="C6064" i="2"/>
  <c r="C6061" i="2"/>
  <c r="C6059" i="2"/>
  <c r="J6054" i="2"/>
  <c r="I6054" i="2"/>
  <c r="H6054" i="2"/>
  <c r="C6053" i="2"/>
  <c r="C6052" i="2"/>
  <c r="C6051" i="2"/>
  <c r="C6050" i="2"/>
  <c r="C6049" i="2"/>
  <c r="C6048" i="2"/>
  <c r="C6047" i="2"/>
  <c r="C6046" i="2"/>
  <c r="C6045" i="2"/>
  <c r="C6044" i="2"/>
  <c r="C6041" i="2"/>
  <c r="C6039" i="2"/>
  <c r="J6034" i="2"/>
  <c r="I6034" i="2"/>
  <c r="H6034" i="2"/>
  <c r="C6033" i="2"/>
  <c r="C6032" i="2"/>
  <c r="C6031" i="2"/>
  <c r="C6030" i="2"/>
  <c r="C6029" i="2"/>
  <c r="C6028" i="2"/>
  <c r="C6027" i="2"/>
  <c r="C6026" i="2"/>
  <c r="C6025" i="2"/>
  <c r="C6024" i="2"/>
  <c r="C6021" i="2"/>
  <c r="C6019" i="2"/>
  <c r="J6014" i="2"/>
  <c r="I6014" i="2"/>
  <c r="H6014" i="2"/>
  <c r="C6013" i="2"/>
  <c r="C6012" i="2"/>
  <c r="C6011" i="2"/>
  <c r="C6010" i="2"/>
  <c r="C6009" i="2"/>
  <c r="C6008" i="2"/>
  <c r="C6007" i="2"/>
  <c r="C6006" i="2"/>
  <c r="C6005" i="2"/>
  <c r="C6004" i="2"/>
  <c r="C6001" i="2"/>
  <c r="C5999" i="2"/>
  <c r="J5994" i="2"/>
  <c r="I5994" i="2"/>
  <c r="H5994" i="2"/>
  <c r="C5993" i="2"/>
  <c r="C5992" i="2"/>
  <c r="C5991" i="2"/>
  <c r="C5990" i="2"/>
  <c r="C5989" i="2"/>
  <c r="C5988" i="2"/>
  <c r="C5987" i="2"/>
  <c r="C5986" i="2"/>
  <c r="C5985" i="2"/>
  <c r="C5984" i="2"/>
  <c r="C5981" i="2"/>
  <c r="C5979" i="2"/>
  <c r="J5974" i="2"/>
  <c r="I5974" i="2"/>
  <c r="H5974" i="2"/>
  <c r="C5973" i="2"/>
  <c r="C5972" i="2"/>
  <c r="C5971" i="2"/>
  <c r="C5970" i="2"/>
  <c r="C5969" i="2"/>
  <c r="C5968" i="2"/>
  <c r="C5967" i="2"/>
  <c r="C5966" i="2"/>
  <c r="C5965" i="2"/>
  <c r="C5964" i="2"/>
  <c r="C5963" i="2"/>
  <c r="C5962" i="2"/>
  <c r="C5961" i="2"/>
  <c r="C5960" i="2"/>
  <c r="C5959" i="2"/>
  <c r="C5958" i="2"/>
  <c r="C5957" i="2"/>
  <c r="C5956" i="2"/>
  <c r="C5955" i="2"/>
  <c r="C5952" i="2"/>
  <c r="C5950" i="2"/>
  <c r="J5945" i="2"/>
  <c r="I5945" i="2"/>
  <c r="H5945" i="2"/>
  <c r="C5944" i="2"/>
  <c r="C5943" i="2"/>
  <c r="C5942" i="2"/>
  <c r="C5941" i="2"/>
  <c r="C5940" i="2"/>
  <c r="C5939" i="2"/>
  <c r="C5938" i="2"/>
  <c r="C5937" i="2"/>
  <c r="C5936" i="2"/>
  <c r="C5935" i="2"/>
  <c r="C5934" i="2"/>
  <c r="C5933" i="2"/>
  <c r="C5932" i="2"/>
  <c r="C5931" i="2"/>
  <c r="C5930" i="2"/>
  <c r="C5929" i="2"/>
  <c r="C5928" i="2"/>
  <c r="C5927" i="2"/>
  <c r="C5926" i="2"/>
  <c r="C5923" i="2"/>
  <c r="C5921" i="2"/>
  <c r="J5916" i="2"/>
  <c r="I5916" i="2"/>
  <c r="H5916" i="2"/>
  <c r="C5915" i="2"/>
  <c r="C5914" i="2"/>
  <c r="C5913" i="2"/>
  <c r="C5912" i="2"/>
  <c r="C5911" i="2"/>
  <c r="C5910" i="2"/>
  <c r="C5909" i="2"/>
  <c r="C5908" i="2"/>
  <c r="C5907" i="2"/>
  <c r="C5906" i="2"/>
  <c r="C5905" i="2"/>
  <c r="C5904" i="2"/>
  <c r="C5903" i="2"/>
  <c r="C5902" i="2"/>
  <c r="C5901" i="2"/>
  <c r="C5900" i="2"/>
  <c r="C5899" i="2"/>
  <c r="C5898" i="2"/>
  <c r="C5897" i="2"/>
  <c r="C5896" i="2"/>
  <c r="C5895" i="2"/>
  <c r="C5894" i="2"/>
  <c r="C5893" i="2"/>
  <c r="C5892" i="2"/>
  <c r="C5891" i="2"/>
  <c r="C5890" i="2"/>
  <c r="C5889" i="2"/>
  <c r="C5886" i="2"/>
  <c r="C5884" i="2"/>
  <c r="J5879" i="2"/>
  <c r="I5879" i="2"/>
  <c r="H5879" i="2"/>
  <c r="C5878" i="2"/>
  <c r="C5877" i="2"/>
  <c r="C5876" i="2"/>
  <c r="C5875" i="2"/>
  <c r="C5874" i="2"/>
  <c r="C5873" i="2"/>
  <c r="C5872" i="2"/>
  <c r="C5871" i="2"/>
  <c r="C5870" i="2"/>
  <c r="C5869" i="2"/>
  <c r="C5868" i="2"/>
  <c r="C5867" i="2"/>
  <c r="C5866" i="2"/>
  <c r="C5865" i="2"/>
  <c r="C5864" i="2"/>
  <c r="C5863" i="2"/>
  <c r="C5862" i="2"/>
  <c r="C5861" i="2"/>
  <c r="C5860" i="2"/>
  <c r="C5857" i="2"/>
  <c r="C5855" i="2"/>
  <c r="J5850" i="2"/>
  <c r="I5850" i="2"/>
  <c r="H5850" i="2"/>
  <c r="C5849" i="2"/>
  <c r="C5848" i="2"/>
  <c r="C5847" i="2"/>
  <c r="C5846" i="2"/>
  <c r="C5845" i="2"/>
  <c r="C5844" i="2"/>
  <c r="C5843" i="2"/>
  <c r="C5842" i="2"/>
  <c r="C5841" i="2"/>
  <c r="C5840" i="2"/>
  <c r="C5839" i="2"/>
  <c r="C5838" i="2"/>
  <c r="C5837" i="2"/>
  <c r="C5836" i="2"/>
  <c r="C5835" i="2"/>
  <c r="C5834" i="2"/>
  <c r="C5833" i="2"/>
  <c r="C5832" i="2"/>
  <c r="C5831" i="2"/>
  <c r="C5828" i="2"/>
  <c r="C5826" i="2"/>
  <c r="J5821" i="2"/>
  <c r="I5821" i="2"/>
  <c r="H5821" i="2"/>
  <c r="C5820" i="2"/>
  <c r="C5819" i="2"/>
  <c r="C5818" i="2"/>
  <c r="C5815" i="2"/>
  <c r="C5813" i="2"/>
  <c r="J5808" i="2"/>
  <c r="I5808" i="2"/>
  <c r="H5808" i="2"/>
  <c r="C5807" i="2"/>
  <c r="C5806" i="2"/>
  <c r="C5805" i="2"/>
  <c r="C5802" i="2"/>
  <c r="C5800" i="2"/>
  <c r="J5795" i="2"/>
  <c r="I5795" i="2"/>
  <c r="H5795" i="2"/>
  <c r="C5794" i="2"/>
  <c r="C5793" i="2"/>
  <c r="C5792" i="2"/>
  <c r="C5791" i="2"/>
  <c r="C5790" i="2"/>
  <c r="C5789" i="2"/>
  <c r="C5788" i="2"/>
  <c r="C5787" i="2"/>
  <c r="C5786" i="2"/>
  <c r="C5785" i="2"/>
  <c r="C5784" i="2"/>
  <c r="C5783" i="2"/>
  <c r="C5782" i="2"/>
  <c r="C5781" i="2"/>
  <c r="C5780" i="2"/>
  <c r="C5779" i="2"/>
  <c r="C5778" i="2"/>
  <c r="C5777" i="2"/>
  <c r="C5776" i="2"/>
  <c r="C5775" i="2"/>
  <c r="C5774" i="2"/>
  <c r="C5773" i="2"/>
  <c r="C5772" i="2"/>
  <c r="C5771" i="2"/>
  <c r="C5770" i="2"/>
  <c r="C5769" i="2"/>
  <c r="C5768" i="2"/>
  <c r="C5765" i="2"/>
  <c r="C5763" i="2"/>
  <c r="J5758" i="2"/>
  <c r="I5758" i="2"/>
  <c r="H5758" i="2"/>
  <c r="C5757" i="2"/>
  <c r="C5756" i="2"/>
  <c r="C5755" i="2"/>
  <c r="C5754" i="2"/>
  <c r="C5753" i="2"/>
  <c r="C5752" i="2"/>
  <c r="C5751" i="2"/>
  <c r="C5750" i="2"/>
  <c r="C5749" i="2"/>
  <c r="C5748" i="2"/>
  <c r="C5747" i="2"/>
  <c r="C5746" i="2"/>
  <c r="C5745" i="2"/>
  <c r="C5744" i="2"/>
  <c r="C5743" i="2"/>
  <c r="C5742" i="2"/>
  <c r="C5741" i="2"/>
  <c r="C5740" i="2"/>
  <c r="C5739" i="2"/>
  <c r="C5738" i="2"/>
  <c r="C5737" i="2"/>
  <c r="C5736" i="2"/>
  <c r="C5735" i="2"/>
  <c r="C5734" i="2"/>
  <c r="C5733" i="2"/>
  <c r="C5732" i="2"/>
  <c r="C5731" i="2"/>
  <c r="C5730" i="2"/>
  <c r="C5729" i="2"/>
  <c r="C5728" i="2"/>
  <c r="C5725" i="2"/>
  <c r="C5723" i="2"/>
  <c r="J5718" i="2"/>
  <c r="I5718" i="2"/>
  <c r="H5718" i="2"/>
  <c r="C5717" i="2"/>
  <c r="C5716" i="2"/>
  <c r="C5715" i="2"/>
  <c r="C5712" i="2"/>
  <c r="C5710" i="2"/>
  <c r="J5705" i="2"/>
  <c r="I5705" i="2"/>
  <c r="H5705" i="2"/>
  <c r="C5704" i="2"/>
  <c r="C5703" i="2"/>
  <c r="C5702" i="2"/>
  <c r="C5699" i="2"/>
  <c r="C5697" i="2"/>
  <c r="J5692" i="2"/>
  <c r="I5692" i="2"/>
  <c r="H5692" i="2"/>
  <c r="C5691" i="2"/>
  <c r="C5690" i="2"/>
  <c r="C5689" i="2"/>
  <c r="C5688" i="2"/>
  <c r="C5687" i="2"/>
  <c r="C5686" i="2"/>
  <c r="C5685" i="2"/>
  <c r="C5684" i="2"/>
  <c r="C5683" i="2"/>
  <c r="C5682" i="2"/>
  <c r="C5681" i="2"/>
  <c r="C5678" i="2"/>
  <c r="C5676" i="2"/>
  <c r="J5671" i="2"/>
  <c r="I5671" i="2"/>
  <c r="H5671" i="2"/>
  <c r="C5670" i="2"/>
  <c r="C5669" i="2"/>
  <c r="C5668" i="2"/>
  <c r="C5667" i="2"/>
  <c r="C5666" i="2"/>
  <c r="C5665" i="2"/>
  <c r="C5664" i="2"/>
  <c r="C5663" i="2"/>
  <c r="C5662" i="2"/>
  <c r="C5661" i="2"/>
  <c r="C5660" i="2"/>
  <c r="C5657" i="2"/>
  <c r="C5655" i="2"/>
  <c r="J5650" i="2"/>
  <c r="I5650" i="2"/>
  <c r="H5650" i="2"/>
  <c r="C5649" i="2"/>
  <c r="C5648" i="2"/>
  <c r="C5647" i="2"/>
  <c r="C5646" i="2"/>
  <c r="C5645" i="2"/>
  <c r="C5644" i="2"/>
  <c r="C5643" i="2"/>
  <c r="C5642" i="2"/>
  <c r="C5641" i="2"/>
  <c r="C5640" i="2"/>
  <c r="C5639" i="2"/>
  <c r="C5636" i="2"/>
  <c r="C5634" i="2"/>
  <c r="J5629" i="2"/>
  <c r="I5629" i="2"/>
  <c r="H5629" i="2"/>
  <c r="C5628" i="2"/>
  <c r="C5627" i="2"/>
  <c r="C5626" i="2"/>
  <c r="C5625" i="2"/>
  <c r="C5624" i="2"/>
  <c r="C5623" i="2"/>
  <c r="C5622" i="2"/>
  <c r="C5621" i="2"/>
  <c r="C5620" i="2"/>
  <c r="C5619" i="2"/>
  <c r="C5618" i="2"/>
  <c r="C5615" i="2"/>
  <c r="C5613" i="2"/>
  <c r="J5608" i="2"/>
  <c r="I5608" i="2"/>
  <c r="H5608" i="2"/>
  <c r="C5607" i="2"/>
  <c r="C5606" i="2"/>
  <c r="C5605" i="2"/>
  <c r="C5604" i="2"/>
  <c r="C5603" i="2"/>
  <c r="C5602" i="2"/>
  <c r="C5601" i="2"/>
  <c r="C5600" i="2"/>
  <c r="C5599" i="2"/>
  <c r="C5598" i="2"/>
  <c r="C5597" i="2"/>
  <c r="C5594" i="2"/>
  <c r="C5592" i="2"/>
  <c r="J5587" i="2"/>
  <c r="I5587" i="2"/>
  <c r="H5587" i="2"/>
  <c r="C5586" i="2"/>
  <c r="C5585" i="2"/>
  <c r="C5584" i="2"/>
  <c r="C5583" i="2"/>
  <c r="C5582" i="2"/>
  <c r="C5581" i="2"/>
  <c r="C5580" i="2"/>
  <c r="C5579" i="2"/>
  <c r="C5578" i="2"/>
  <c r="C5577" i="2"/>
  <c r="C5576" i="2"/>
  <c r="C5573" i="2"/>
  <c r="C5571" i="2"/>
  <c r="J5566" i="2"/>
  <c r="I5566" i="2"/>
  <c r="H5566" i="2"/>
  <c r="C5565" i="2"/>
  <c r="C5564" i="2"/>
  <c r="C5563" i="2"/>
  <c r="C5562" i="2"/>
  <c r="C5561" i="2"/>
  <c r="C5560" i="2"/>
  <c r="C5559" i="2"/>
  <c r="C5558" i="2"/>
  <c r="C5557" i="2"/>
  <c r="C5556" i="2"/>
  <c r="C5555" i="2"/>
  <c r="C5552" i="2"/>
  <c r="C5550" i="2"/>
  <c r="J5545" i="2"/>
  <c r="I5545" i="2"/>
  <c r="H5545" i="2"/>
  <c r="C5544" i="2"/>
  <c r="C5543" i="2"/>
  <c r="C5542" i="2"/>
  <c r="C5541" i="2"/>
  <c r="C5540" i="2"/>
  <c r="C5539" i="2"/>
  <c r="C5538" i="2"/>
  <c r="C5537" i="2"/>
  <c r="C5536" i="2"/>
  <c r="C5535" i="2"/>
  <c r="C5534" i="2"/>
  <c r="C5533" i="2"/>
  <c r="C5532" i="2"/>
  <c r="C5531" i="2"/>
  <c r="C5530" i="2"/>
  <c r="C5529" i="2"/>
  <c r="C5528" i="2"/>
  <c r="C5527" i="2"/>
  <c r="C5526" i="2"/>
  <c r="C5525" i="2"/>
  <c r="C5524" i="2"/>
  <c r="C5523" i="2"/>
  <c r="C5522" i="2"/>
  <c r="C5521" i="2"/>
  <c r="C5520" i="2"/>
  <c r="C5519" i="2"/>
  <c r="C5518" i="2"/>
  <c r="C5517" i="2"/>
  <c r="C5516" i="2"/>
  <c r="C5515" i="2"/>
  <c r="C5512" i="2"/>
  <c r="C5510" i="2"/>
  <c r="J5505" i="2"/>
  <c r="I5505" i="2"/>
  <c r="H5505" i="2"/>
  <c r="C5504" i="2"/>
  <c r="C5503" i="2"/>
  <c r="C5502" i="2"/>
  <c r="C5501" i="2"/>
  <c r="C5500" i="2"/>
  <c r="C5499" i="2"/>
  <c r="C5498" i="2"/>
  <c r="C5497" i="2"/>
  <c r="C5496" i="2"/>
  <c r="C5495" i="2"/>
  <c r="C5494" i="2"/>
  <c r="C5493" i="2"/>
  <c r="C5492" i="2"/>
  <c r="C5491" i="2"/>
  <c r="C5490" i="2"/>
  <c r="C5489" i="2"/>
  <c r="C5488" i="2"/>
  <c r="C5487" i="2"/>
  <c r="C5486" i="2"/>
  <c r="C5485" i="2"/>
  <c r="C5484" i="2"/>
  <c r="C5483" i="2"/>
  <c r="C5482" i="2"/>
  <c r="C5481" i="2"/>
  <c r="C5480" i="2"/>
  <c r="C5479" i="2"/>
  <c r="C5478" i="2"/>
  <c r="C5477" i="2"/>
  <c r="C5476" i="2"/>
  <c r="C5475" i="2"/>
  <c r="C5472" i="2"/>
  <c r="C5470" i="2"/>
  <c r="J5465" i="2"/>
  <c r="I5465" i="2"/>
  <c r="H5465" i="2"/>
  <c r="C5464" i="2"/>
  <c r="C5463" i="2"/>
  <c r="C5462" i="2"/>
  <c r="C5461" i="2"/>
  <c r="C5460" i="2"/>
  <c r="C5459" i="2"/>
  <c r="C5458" i="2"/>
  <c r="C5457" i="2"/>
  <c r="C5456" i="2"/>
  <c r="C5455" i="2"/>
  <c r="C5454" i="2"/>
  <c r="C5453" i="2"/>
  <c r="C5450" i="2"/>
  <c r="C5448" i="2"/>
  <c r="J5443" i="2"/>
  <c r="I5443" i="2"/>
  <c r="H5443" i="2"/>
  <c r="C5442" i="2"/>
  <c r="C5441" i="2"/>
  <c r="C5440" i="2"/>
  <c r="C5439" i="2"/>
  <c r="C5438" i="2"/>
  <c r="C5437" i="2"/>
  <c r="C5436" i="2"/>
  <c r="C5435" i="2"/>
  <c r="C5434" i="2"/>
  <c r="C5433" i="2"/>
  <c r="C5432" i="2"/>
  <c r="C5431" i="2"/>
  <c r="C5428" i="2"/>
  <c r="C5426" i="2"/>
  <c r="J5421" i="2"/>
  <c r="I5421" i="2"/>
  <c r="H5421" i="2"/>
  <c r="C5420" i="2"/>
  <c r="C5419" i="2"/>
  <c r="C5418" i="2"/>
  <c r="C5417" i="2"/>
  <c r="C5416" i="2"/>
  <c r="C5415" i="2"/>
  <c r="C5414" i="2"/>
  <c r="C5413" i="2"/>
  <c r="C5412" i="2"/>
  <c r="C5411" i="2"/>
  <c r="C5410" i="2"/>
  <c r="C5409" i="2"/>
  <c r="C5406" i="2"/>
  <c r="C5404" i="2"/>
  <c r="J5399" i="2"/>
  <c r="I5399" i="2"/>
  <c r="H5399" i="2"/>
  <c r="C5398" i="2"/>
  <c r="C5397" i="2"/>
  <c r="C5396" i="2"/>
  <c r="C5395" i="2"/>
  <c r="C5394" i="2"/>
  <c r="C5393" i="2"/>
  <c r="C5392" i="2"/>
  <c r="C5391" i="2"/>
  <c r="C5390" i="2"/>
  <c r="C5389" i="2"/>
  <c r="C5388" i="2"/>
  <c r="C5387" i="2"/>
  <c r="C5384" i="2"/>
  <c r="C5382" i="2"/>
  <c r="J5377" i="2"/>
  <c r="I5377" i="2"/>
  <c r="H5377" i="2"/>
  <c r="C5376" i="2"/>
  <c r="C5375" i="2"/>
  <c r="C5374" i="2"/>
  <c r="C5373" i="2"/>
  <c r="C5372" i="2"/>
  <c r="C5371" i="2"/>
  <c r="C5370" i="2"/>
  <c r="C5369" i="2"/>
  <c r="C5368" i="2"/>
  <c r="C5367" i="2"/>
  <c r="C5366" i="2"/>
  <c r="C5363" i="2"/>
  <c r="C5361" i="2"/>
  <c r="J5356" i="2"/>
  <c r="I5356" i="2"/>
  <c r="H5356" i="2"/>
  <c r="C5355" i="2"/>
  <c r="C5354" i="2"/>
  <c r="C5353" i="2"/>
  <c r="C5352" i="2"/>
  <c r="C5351" i="2"/>
  <c r="C5350" i="2"/>
  <c r="C5349" i="2"/>
  <c r="C5348" i="2"/>
  <c r="C5347" i="2"/>
  <c r="C5344" i="2"/>
  <c r="C5342" i="2"/>
  <c r="J5337" i="2"/>
  <c r="I5337" i="2"/>
  <c r="H5337" i="2"/>
  <c r="C5336" i="2"/>
  <c r="C5335" i="2"/>
  <c r="C5334" i="2"/>
  <c r="C5333" i="2"/>
  <c r="C5332" i="2"/>
  <c r="C5331" i="2"/>
  <c r="C5330" i="2"/>
  <c r="C5329" i="2"/>
  <c r="C5328" i="2"/>
  <c r="C5325" i="2"/>
  <c r="C5323" i="2"/>
  <c r="J5318" i="2"/>
  <c r="I5318" i="2"/>
  <c r="H5318" i="2"/>
  <c r="C5317" i="2"/>
  <c r="C5316" i="2"/>
  <c r="C5315" i="2"/>
  <c r="C5314" i="2"/>
  <c r="C5313" i="2"/>
  <c r="C5312" i="2"/>
  <c r="C5309" i="2"/>
  <c r="C5307" i="2"/>
  <c r="J5302" i="2"/>
  <c r="I5302" i="2"/>
  <c r="H5302" i="2"/>
  <c r="C5301" i="2"/>
  <c r="C5300" i="2"/>
  <c r="C5299" i="2"/>
  <c r="C5298" i="2"/>
  <c r="C5297" i="2"/>
  <c r="C5296" i="2"/>
  <c r="C5295" i="2"/>
  <c r="C5294" i="2"/>
  <c r="C5293" i="2"/>
  <c r="C5292" i="2"/>
  <c r="C5291" i="2"/>
  <c r="C5290" i="2"/>
  <c r="C5289" i="2"/>
  <c r="C5286" i="2"/>
  <c r="C5284" i="2"/>
  <c r="J5279" i="2"/>
  <c r="I5279" i="2"/>
  <c r="H5279" i="2"/>
  <c r="C5278" i="2"/>
  <c r="C5277" i="2"/>
  <c r="C5276" i="2"/>
  <c r="C5275" i="2"/>
  <c r="C5274" i="2"/>
  <c r="C5273" i="2"/>
  <c r="C5272" i="2"/>
  <c r="C5271" i="2"/>
  <c r="C5270" i="2"/>
  <c r="C5269" i="2"/>
  <c r="C5268" i="2"/>
  <c r="C5267" i="2"/>
  <c r="C5266" i="2"/>
  <c r="C5265" i="2"/>
  <c r="C5264" i="2"/>
  <c r="C5263" i="2"/>
  <c r="C5262" i="2"/>
  <c r="C5261" i="2"/>
  <c r="C5260" i="2"/>
  <c r="C5259" i="2"/>
  <c r="C5258" i="2"/>
  <c r="C5257" i="2"/>
  <c r="C5256" i="2"/>
  <c r="C5255" i="2"/>
  <c r="C5254" i="2"/>
  <c r="C5253" i="2"/>
  <c r="C5252" i="2"/>
  <c r="C5251" i="2"/>
  <c r="C5250" i="2"/>
  <c r="C5249" i="2"/>
  <c r="C5248" i="2"/>
  <c r="C5247" i="2"/>
  <c r="C5246" i="2"/>
  <c r="C5245" i="2"/>
  <c r="C5244" i="2"/>
  <c r="C5243" i="2"/>
  <c r="C5242" i="2"/>
  <c r="C5241" i="2"/>
  <c r="C5240" i="2"/>
  <c r="C5239" i="2"/>
  <c r="C5238" i="2"/>
  <c r="C5237" i="2"/>
  <c r="C5236" i="2"/>
  <c r="C5235" i="2"/>
  <c r="C5234" i="2"/>
  <c r="C5233" i="2"/>
  <c r="C5232" i="2"/>
  <c r="C5231" i="2"/>
  <c r="C5230" i="2"/>
  <c r="C5229" i="2"/>
  <c r="C5228" i="2"/>
  <c r="C5227" i="2"/>
  <c r="C5226" i="2"/>
  <c r="C5225" i="2"/>
  <c r="C5224" i="2"/>
  <c r="C5223" i="2"/>
  <c r="C5222" i="2"/>
  <c r="C5221" i="2"/>
  <c r="C5220" i="2"/>
  <c r="C5219" i="2"/>
  <c r="C5218" i="2"/>
  <c r="C5217" i="2"/>
  <c r="C5216" i="2"/>
  <c r="C5215" i="2"/>
  <c r="C5214" i="2"/>
  <c r="C5213" i="2"/>
  <c r="C5212" i="2"/>
  <c r="C5211" i="2"/>
  <c r="C5210" i="2"/>
  <c r="C5209" i="2"/>
  <c r="C5208" i="2"/>
  <c r="C5207" i="2"/>
  <c r="C5206" i="2"/>
  <c r="C5205" i="2"/>
  <c r="C5204" i="2"/>
  <c r="C5203" i="2"/>
  <c r="C5202" i="2"/>
  <c r="C5201" i="2"/>
  <c r="C5200" i="2"/>
  <c r="C5199" i="2"/>
  <c r="C5198" i="2"/>
  <c r="C5197" i="2"/>
  <c r="C5196" i="2"/>
  <c r="C5195" i="2"/>
  <c r="C5194" i="2"/>
  <c r="C5193" i="2"/>
  <c r="C5192" i="2"/>
  <c r="C5191" i="2"/>
  <c r="C5190" i="2"/>
  <c r="C5189" i="2"/>
  <c r="C5188" i="2"/>
  <c r="C5187" i="2"/>
  <c r="C5186" i="2"/>
  <c r="C5185" i="2"/>
  <c r="C5184" i="2"/>
  <c r="C5183" i="2"/>
  <c r="C5182" i="2"/>
  <c r="C5181" i="2"/>
  <c r="C5178" i="2"/>
  <c r="C5176" i="2"/>
  <c r="J5171" i="2"/>
  <c r="I5171" i="2"/>
  <c r="H5171" i="2"/>
  <c r="C5170" i="2"/>
  <c r="C5169" i="2"/>
  <c r="C5168" i="2"/>
  <c r="C5167" i="2"/>
  <c r="C5166" i="2"/>
  <c r="C5165" i="2"/>
  <c r="C5164" i="2"/>
  <c r="C5163" i="2"/>
  <c r="C5162" i="2"/>
  <c r="C5161" i="2"/>
  <c r="C5160" i="2"/>
  <c r="C5159" i="2"/>
  <c r="C5158" i="2"/>
  <c r="C5157" i="2"/>
  <c r="C5156" i="2"/>
  <c r="C5155" i="2"/>
  <c r="C5154" i="2"/>
  <c r="C5153" i="2"/>
  <c r="C5152" i="2"/>
  <c r="C5151" i="2"/>
  <c r="C5150" i="2"/>
  <c r="C5149" i="2"/>
  <c r="C5148" i="2"/>
  <c r="C5147" i="2"/>
  <c r="C5146" i="2"/>
  <c r="C5145" i="2"/>
  <c r="C5144" i="2"/>
  <c r="C5143" i="2"/>
  <c r="C5142" i="2"/>
  <c r="C5141" i="2"/>
  <c r="C5140" i="2"/>
  <c r="C5139" i="2"/>
  <c r="C5138" i="2"/>
  <c r="C5137" i="2"/>
  <c r="C5136" i="2"/>
  <c r="C5135" i="2"/>
  <c r="C5132" i="2"/>
  <c r="C5130" i="2"/>
  <c r="J5125" i="2"/>
  <c r="I5125" i="2"/>
  <c r="H5125" i="2"/>
  <c r="C5124" i="2"/>
  <c r="C5123" i="2"/>
  <c r="C5122" i="2"/>
  <c r="C5121" i="2"/>
  <c r="C5120" i="2"/>
  <c r="C5119" i="2"/>
  <c r="C5118" i="2"/>
  <c r="C5117" i="2"/>
  <c r="C5116" i="2"/>
  <c r="C5115" i="2"/>
  <c r="C5114" i="2"/>
  <c r="C5113" i="2"/>
  <c r="C5112" i="2"/>
  <c r="C5111" i="2"/>
  <c r="C5110" i="2"/>
  <c r="C5109" i="2"/>
  <c r="C5108" i="2"/>
  <c r="C5107" i="2"/>
  <c r="C5106" i="2"/>
  <c r="C5105" i="2"/>
  <c r="C5104" i="2"/>
  <c r="C5103" i="2"/>
  <c r="C5102" i="2"/>
  <c r="C5101" i="2"/>
  <c r="C5100" i="2"/>
  <c r="C5099" i="2"/>
  <c r="C5098" i="2"/>
  <c r="C5097" i="2"/>
  <c r="C5096" i="2"/>
  <c r="C5095" i="2"/>
  <c r="C5094" i="2"/>
  <c r="C5093" i="2"/>
  <c r="C5092" i="2"/>
  <c r="C5091" i="2"/>
  <c r="C5090" i="2"/>
  <c r="C5089" i="2"/>
  <c r="C5088" i="2"/>
  <c r="C5087" i="2"/>
  <c r="C5086" i="2"/>
  <c r="C5085" i="2"/>
  <c r="C5084" i="2"/>
  <c r="C5083" i="2"/>
  <c r="C5082" i="2"/>
  <c r="C5081" i="2"/>
  <c r="C5080" i="2"/>
  <c r="C5079" i="2"/>
  <c r="C5078" i="2"/>
  <c r="C5077" i="2"/>
  <c r="C5076" i="2"/>
  <c r="C5075" i="2"/>
  <c r="C5074" i="2"/>
  <c r="C5073" i="2"/>
  <c r="C5072" i="2"/>
  <c r="C5071" i="2"/>
  <c r="C5070" i="2"/>
  <c r="C5069" i="2"/>
  <c r="C5068" i="2"/>
  <c r="C5067" i="2"/>
  <c r="C5066" i="2"/>
  <c r="C5065" i="2"/>
  <c r="C5064" i="2"/>
  <c r="C5063" i="2"/>
  <c r="C5062" i="2"/>
  <c r="C5061" i="2"/>
  <c r="C5060" i="2"/>
  <c r="C5059" i="2"/>
  <c r="C5058" i="2"/>
  <c r="C5057" i="2"/>
  <c r="C5056" i="2"/>
  <c r="C5055" i="2"/>
  <c r="C5054" i="2"/>
  <c r="C5053" i="2"/>
  <c r="C5052" i="2"/>
  <c r="C5051" i="2"/>
  <c r="C5050" i="2"/>
  <c r="C5049" i="2"/>
  <c r="C5048" i="2"/>
  <c r="C5047" i="2"/>
  <c r="C5046" i="2"/>
  <c r="C5045" i="2"/>
  <c r="C5044" i="2"/>
  <c r="C5043" i="2"/>
  <c r="C5042" i="2"/>
  <c r="C5041" i="2"/>
  <c r="C5040" i="2"/>
  <c r="C5039" i="2"/>
  <c r="C5038" i="2"/>
  <c r="C5037" i="2"/>
  <c r="C5036" i="2"/>
  <c r="C5035" i="2"/>
  <c r="C5034" i="2"/>
  <c r="C5033" i="2"/>
  <c r="C5032" i="2"/>
  <c r="C5031" i="2"/>
  <c r="C5030" i="2"/>
  <c r="C5029" i="2"/>
  <c r="C5028" i="2"/>
  <c r="C5027" i="2"/>
  <c r="C5026" i="2"/>
  <c r="C5025" i="2"/>
  <c r="C5024" i="2"/>
  <c r="C5023" i="2"/>
  <c r="C5022" i="2"/>
  <c r="C5021" i="2"/>
  <c r="C5020" i="2"/>
  <c r="C5019" i="2"/>
  <c r="C5018" i="2"/>
  <c r="C5017" i="2"/>
  <c r="C5016" i="2"/>
  <c r="C5015" i="2"/>
  <c r="C5014" i="2"/>
  <c r="C5013" i="2"/>
  <c r="C5012" i="2"/>
  <c r="C5011" i="2"/>
  <c r="C5010" i="2"/>
  <c r="C5009" i="2"/>
  <c r="C5008" i="2"/>
  <c r="C5007" i="2"/>
  <c r="C5006" i="2"/>
  <c r="C5005" i="2"/>
  <c r="C5004" i="2"/>
  <c r="C5003" i="2"/>
  <c r="C5002" i="2"/>
  <c r="C5001" i="2"/>
  <c r="C5000" i="2"/>
  <c r="C4997" i="2"/>
  <c r="C4995" i="2"/>
  <c r="J4990" i="2"/>
  <c r="I4990" i="2"/>
  <c r="H4990" i="2"/>
  <c r="C4989" i="2"/>
  <c r="C4988" i="2"/>
  <c r="C4987" i="2"/>
  <c r="C4986" i="2"/>
  <c r="C4985" i="2"/>
  <c r="C4984" i="2"/>
  <c r="C4983" i="2"/>
  <c r="C4982" i="2"/>
  <c r="C4981" i="2"/>
  <c r="C4980" i="2"/>
  <c r="C4979" i="2"/>
  <c r="C4978" i="2"/>
  <c r="C4977" i="2"/>
  <c r="C4976" i="2"/>
  <c r="C4975" i="2"/>
  <c r="C4974" i="2"/>
  <c r="C4973" i="2"/>
  <c r="C4972" i="2"/>
  <c r="C4971" i="2"/>
  <c r="C4970" i="2"/>
  <c r="C4969" i="2"/>
  <c r="C4968" i="2"/>
  <c r="C4967" i="2"/>
  <c r="C4966" i="2"/>
  <c r="C4965" i="2"/>
  <c r="C4964" i="2"/>
  <c r="C4963" i="2"/>
  <c r="C4962" i="2"/>
  <c r="C4961" i="2"/>
  <c r="C4960" i="2"/>
  <c r="C4959" i="2"/>
  <c r="C4958" i="2"/>
  <c r="C4957" i="2"/>
  <c r="C4956" i="2"/>
  <c r="C4955" i="2"/>
  <c r="C4954" i="2"/>
  <c r="C4953" i="2"/>
  <c r="C4952" i="2"/>
  <c r="C4951" i="2"/>
  <c r="C4950" i="2"/>
  <c r="C4949" i="2"/>
  <c r="C4948" i="2"/>
  <c r="C4947" i="2"/>
  <c r="C4946" i="2"/>
  <c r="C4945" i="2"/>
  <c r="C4944" i="2"/>
  <c r="C4943" i="2"/>
  <c r="C4942" i="2"/>
  <c r="C4941" i="2"/>
  <c r="C4940" i="2"/>
  <c r="C4939" i="2"/>
  <c r="C4938" i="2"/>
  <c r="C4937" i="2"/>
  <c r="C4936" i="2"/>
  <c r="C4935" i="2"/>
  <c r="C4934" i="2"/>
  <c r="C4933" i="2"/>
  <c r="C4932" i="2"/>
  <c r="C4931" i="2"/>
  <c r="C4930" i="2"/>
  <c r="C4929" i="2"/>
  <c r="C4928" i="2"/>
  <c r="C4927" i="2"/>
  <c r="C4926" i="2"/>
  <c r="C4925" i="2"/>
  <c r="C4924" i="2"/>
  <c r="C4923" i="2"/>
  <c r="C4922" i="2"/>
  <c r="C4921" i="2"/>
  <c r="C4920" i="2"/>
  <c r="C4919" i="2"/>
  <c r="C4918" i="2"/>
  <c r="C4917" i="2"/>
  <c r="C4916" i="2"/>
  <c r="C4915" i="2"/>
  <c r="C4914" i="2"/>
  <c r="C4913" i="2"/>
  <c r="C4912" i="2"/>
  <c r="C4911" i="2"/>
  <c r="C4910" i="2"/>
  <c r="C4909" i="2"/>
  <c r="C4908" i="2"/>
  <c r="C4907" i="2"/>
  <c r="C4906" i="2"/>
  <c r="C4905" i="2"/>
  <c r="C4904" i="2"/>
  <c r="C4903" i="2"/>
  <c r="C4902" i="2"/>
  <c r="C4901" i="2"/>
  <c r="C4900" i="2"/>
  <c r="C4899" i="2"/>
  <c r="C4898" i="2"/>
  <c r="C4897" i="2"/>
  <c r="C4896" i="2"/>
  <c r="C4895" i="2"/>
  <c r="C4894" i="2"/>
  <c r="C4893" i="2"/>
  <c r="C4892" i="2"/>
  <c r="C4891" i="2"/>
  <c r="C4890" i="2"/>
  <c r="C4889" i="2"/>
  <c r="C4888" i="2"/>
  <c r="C4887" i="2"/>
  <c r="C4886" i="2"/>
  <c r="C4885" i="2"/>
  <c r="C4884" i="2"/>
  <c r="C4883" i="2"/>
  <c r="C4882" i="2"/>
  <c r="C4881" i="2"/>
  <c r="C4880" i="2"/>
  <c r="C4879" i="2"/>
  <c r="C4878" i="2"/>
  <c r="C4877" i="2"/>
  <c r="C4876" i="2"/>
  <c r="C4875" i="2"/>
  <c r="C4874" i="2"/>
  <c r="C4873" i="2"/>
  <c r="C4872" i="2"/>
  <c r="C4871" i="2"/>
  <c r="C4870" i="2"/>
  <c r="C4869" i="2"/>
  <c r="C4868" i="2"/>
  <c r="C4867" i="2"/>
  <c r="C4866" i="2"/>
  <c r="C4865" i="2"/>
  <c r="C4864" i="2"/>
  <c r="C4863" i="2"/>
  <c r="C4862" i="2"/>
  <c r="C4861" i="2"/>
  <c r="C4860" i="2"/>
  <c r="C4859" i="2"/>
  <c r="C4858" i="2"/>
  <c r="C4857" i="2"/>
  <c r="C4856" i="2"/>
  <c r="C4855" i="2"/>
  <c r="C4854" i="2"/>
  <c r="C4853" i="2"/>
  <c r="C4850" i="2"/>
  <c r="C4848" i="2"/>
  <c r="J4843" i="2"/>
  <c r="I4843" i="2"/>
  <c r="H4843" i="2"/>
  <c r="C4842" i="2"/>
  <c r="C4841" i="2"/>
  <c r="C4840" i="2"/>
  <c r="C4839" i="2"/>
  <c r="C4838" i="2"/>
  <c r="C4837" i="2"/>
  <c r="C4836" i="2"/>
  <c r="C4835" i="2"/>
  <c r="C4834" i="2"/>
  <c r="C4833" i="2"/>
  <c r="C4832" i="2"/>
  <c r="C4829" i="2"/>
  <c r="C4827" i="2"/>
  <c r="J4822" i="2"/>
  <c r="I4822" i="2"/>
  <c r="H4822" i="2"/>
  <c r="C4821" i="2"/>
  <c r="C4820" i="2"/>
  <c r="C4819" i="2"/>
  <c r="C4818" i="2"/>
  <c r="C4817" i="2"/>
  <c r="C4816" i="2"/>
  <c r="C4815" i="2"/>
  <c r="C4814" i="2"/>
  <c r="C4813" i="2"/>
  <c r="C4812" i="2"/>
  <c r="C4811" i="2"/>
  <c r="C4810" i="2"/>
  <c r="C4809" i="2"/>
  <c r="C4808" i="2"/>
  <c r="C4807" i="2"/>
  <c r="C4806" i="2"/>
  <c r="C4805" i="2"/>
  <c r="C4804" i="2"/>
  <c r="C4803" i="2"/>
  <c r="C4800" i="2"/>
  <c r="C4798" i="2"/>
  <c r="J4793" i="2"/>
  <c r="I4793" i="2"/>
  <c r="H4793" i="2"/>
  <c r="C4792" i="2"/>
  <c r="C4791" i="2"/>
  <c r="C4788" i="2"/>
  <c r="C4786" i="2"/>
  <c r="J4781" i="2"/>
  <c r="I4781" i="2"/>
  <c r="H4781" i="2"/>
  <c r="C4780" i="2"/>
  <c r="C4779" i="2"/>
  <c r="C4778" i="2"/>
  <c r="C4777" i="2"/>
  <c r="C4776" i="2"/>
  <c r="C4775" i="2"/>
  <c r="C4774" i="2"/>
  <c r="C4773" i="2"/>
  <c r="C4772" i="2"/>
  <c r="C4771" i="2"/>
  <c r="C4770" i="2"/>
  <c r="C4769" i="2"/>
  <c r="C4768" i="2"/>
  <c r="C4767" i="2"/>
  <c r="C4766" i="2"/>
  <c r="C4765" i="2"/>
  <c r="C4764" i="2"/>
  <c r="C4763" i="2"/>
  <c r="C4762" i="2"/>
  <c r="C4761" i="2"/>
  <c r="C4760" i="2"/>
  <c r="C4759" i="2"/>
  <c r="C4758" i="2"/>
  <c r="C4757" i="2"/>
  <c r="C4756" i="2"/>
  <c r="C4755" i="2"/>
  <c r="C4754" i="2"/>
  <c r="C4753" i="2"/>
  <c r="C4752" i="2"/>
  <c r="C4751" i="2"/>
  <c r="C4750" i="2"/>
  <c r="C4749" i="2"/>
  <c r="C4748" i="2"/>
  <c r="C4747" i="2"/>
  <c r="C4746" i="2"/>
  <c r="C4745" i="2"/>
  <c r="C4744" i="2"/>
  <c r="C4743" i="2"/>
  <c r="C4742" i="2"/>
  <c r="C4741" i="2"/>
  <c r="C4738" i="2"/>
  <c r="C4736" i="2"/>
  <c r="J4731" i="2"/>
  <c r="I4731" i="2"/>
  <c r="H4731" i="2"/>
  <c r="C4730" i="2"/>
  <c r="C4729" i="2"/>
  <c r="C4728" i="2"/>
  <c r="C4727" i="2"/>
  <c r="C4726" i="2"/>
  <c r="C4725" i="2"/>
  <c r="C4724" i="2"/>
  <c r="C4723" i="2"/>
  <c r="C4722" i="2"/>
  <c r="C4721" i="2"/>
  <c r="C4720" i="2"/>
  <c r="C4719" i="2"/>
  <c r="C4718" i="2"/>
  <c r="C4717" i="2"/>
  <c r="C4716" i="2"/>
  <c r="C4715" i="2"/>
  <c r="C4714" i="2"/>
  <c r="C4713" i="2"/>
  <c r="C4712" i="2"/>
  <c r="C4711" i="2"/>
  <c r="C4710" i="2"/>
  <c r="C4709" i="2"/>
  <c r="C4708" i="2"/>
  <c r="C4707" i="2"/>
  <c r="C4706" i="2"/>
  <c r="C4705" i="2"/>
  <c r="C4704" i="2"/>
  <c r="C4703" i="2"/>
  <c r="C4702" i="2"/>
  <c r="C4701" i="2"/>
  <c r="C4700" i="2"/>
  <c r="C4699" i="2"/>
  <c r="C4698" i="2"/>
  <c r="C4697" i="2"/>
  <c r="C4696" i="2"/>
  <c r="C4695" i="2"/>
  <c r="C4694" i="2"/>
  <c r="C4693" i="2"/>
  <c r="C4692" i="2"/>
  <c r="C4691" i="2"/>
  <c r="C4690" i="2"/>
  <c r="C4689" i="2"/>
  <c r="C4688" i="2"/>
  <c r="C4687" i="2"/>
  <c r="C4686" i="2"/>
  <c r="C4685" i="2"/>
  <c r="C4684" i="2"/>
  <c r="C4683" i="2"/>
  <c r="C4682" i="2"/>
  <c r="C4681" i="2"/>
  <c r="C4680" i="2"/>
  <c r="C4679" i="2"/>
  <c r="C4678" i="2"/>
  <c r="C4677" i="2"/>
  <c r="C4676" i="2"/>
  <c r="C4675" i="2"/>
  <c r="C4674" i="2"/>
  <c r="C4673" i="2"/>
  <c r="C4672" i="2"/>
  <c r="C4671" i="2"/>
  <c r="C4670" i="2"/>
  <c r="C4669" i="2"/>
  <c r="C4668" i="2"/>
  <c r="C4667" i="2"/>
  <c r="C4666" i="2"/>
  <c r="C4665" i="2"/>
  <c r="C4664" i="2"/>
  <c r="C4663" i="2"/>
  <c r="C4662" i="2"/>
  <c r="C4661" i="2"/>
  <c r="C4660" i="2"/>
  <c r="C4659" i="2"/>
  <c r="C4658" i="2"/>
  <c r="C4657" i="2"/>
  <c r="C4656" i="2"/>
  <c r="C4655" i="2"/>
  <c r="C4654" i="2"/>
  <c r="C4653" i="2"/>
  <c r="C4652" i="2"/>
  <c r="C4651" i="2"/>
  <c r="C4650" i="2"/>
  <c r="C4649" i="2"/>
  <c r="C4648" i="2"/>
  <c r="C4647" i="2"/>
  <c r="C4646" i="2"/>
  <c r="C4645" i="2"/>
  <c r="C4644" i="2"/>
  <c r="C4643" i="2"/>
  <c r="C4642" i="2"/>
  <c r="C4641" i="2"/>
  <c r="C4640" i="2"/>
  <c r="C4639" i="2"/>
  <c r="C4638" i="2"/>
  <c r="C4637" i="2"/>
  <c r="C4636" i="2"/>
  <c r="C4635" i="2"/>
  <c r="C4634" i="2"/>
  <c r="C4633" i="2"/>
  <c r="C4632" i="2"/>
  <c r="C4631" i="2"/>
  <c r="C4630" i="2"/>
  <c r="C4629" i="2"/>
  <c r="C4628" i="2"/>
  <c r="C4627" i="2"/>
  <c r="C4626" i="2"/>
  <c r="C4625" i="2"/>
  <c r="C4624" i="2"/>
  <c r="C4623" i="2"/>
  <c r="C4622" i="2"/>
  <c r="C4621" i="2"/>
  <c r="C4620" i="2"/>
  <c r="C4619" i="2"/>
  <c r="C4618" i="2"/>
  <c r="C4617" i="2"/>
  <c r="C4616" i="2"/>
  <c r="C4615" i="2"/>
  <c r="C4614" i="2"/>
  <c r="C4613" i="2"/>
  <c r="C4612" i="2"/>
  <c r="C4611" i="2"/>
  <c r="C4610" i="2"/>
  <c r="C4609" i="2"/>
  <c r="C4608" i="2"/>
  <c r="C4607" i="2"/>
  <c r="C4606" i="2"/>
  <c r="C4605" i="2"/>
  <c r="C4604" i="2"/>
  <c r="C4603" i="2"/>
  <c r="C4602" i="2"/>
  <c r="C4601" i="2"/>
  <c r="C4600" i="2"/>
  <c r="C4599" i="2"/>
  <c r="C4598" i="2"/>
  <c r="C4597" i="2"/>
  <c r="C4596" i="2"/>
  <c r="C4593" i="2"/>
  <c r="C4591" i="2"/>
  <c r="J4586" i="2"/>
  <c r="I4586" i="2"/>
  <c r="H4586" i="2"/>
  <c r="C4585" i="2"/>
  <c r="C4584" i="2"/>
  <c r="C4583" i="2"/>
  <c r="C4582" i="2"/>
  <c r="C4581" i="2"/>
  <c r="C4580" i="2"/>
  <c r="C4579" i="2"/>
  <c r="C4578" i="2"/>
  <c r="C4577" i="2"/>
  <c r="C4576" i="2"/>
  <c r="C4575" i="2"/>
  <c r="C4574" i="2"/>
  <c r="C4573" i="2"/>
  <c r="C4572" i="2"/>
  <c r="C4571" i="2"/>
  <c r="C4570" i="2"/>
  <c r="C4569" i="2"/>
  <c r="C4568" i="2"/>
  <c r="C4567" i="2"/>
  <c r="C4566" i="2"/>
  <c r="C4565" i="2"/>
  <c r="C4564" i="2"/>
  <c r="C4563" i="2"/>
  <c r="C4562" i="2"/>
  <c r="C4561" i="2"/>
  <c r="C4560" i="2"/>
  <c r="C4559" i="2"/>
  <c r="C4558" i="2"/>
  <c r="C4557" i="2"/>
  <c r="C4556" i="2"/>
  <c r="C4555" i="2"/>
  <c r="C4554" i="2"/>
  <c r="C4553" i="2"/>
  <c r="C4552" i="2"/>
  <c r="C4551" i="2"/>
  <c r="C4550" i="2"/>
  <c r="C4549" i="2"/>
  <c r="C4548" i="2"/>
  <c r="C4547" i="2"/>
  <c r="C4546" i="2"/>
  <c r="C4545" i="2"/>
  <c r="C4544" i="2"/>
  <c r="C4543" i="2"/>
  <c r="C4542" i="2"/>
  <c r="C4541" i="2"/>
  <c r="C4540" i="2"/>
  <c r="C4539" i="2"/>
  <c r="C4538" i="2"/>
  <c r="C4537" i="2"/>
  <c r="C4536" i="2"/>
  <c r="C4535" i="2"/>
  <c r="C4534" i="2"/>
  <c r="C4533" i="2"/>
  <c r="C4532" i="2"/>
  <c r="C4531" i="2"/>
  <c r="C4530" i="2"/>
  <c r="C4529" i="2"/>
  <c r="C4528" i="2"/>
  <c r="C4527" i="2"/>
  <c r="C4526" i="2"/>
  <c r="C4525" i="2"/>
  <c r="C4524" i="2"/>
  <c r="C4523" i="2"/>
  <c r="C4522" i="2"/>
  <c r="C4521" i="2"/>
  <c r="C4520" i="2"/>
  <c r="C4519" i="2"/>
  <c r="C4518" i="2"/>
  <c r="C4517" i="2"/>
  <c r="C4516" i="2"/>
  <c r="C4515" i="2"/>
  <c r="C4514" i="2"/>
  <c r="C4513" i="2"/>
  <c r="C4512" i="2"/>
  <c r="C4511" i="2"/>
  <c r="C4510" i="2"/>
  <c r="C4509" i="2"/>
  <c r="C4508" i="2"/>
  <c r="C4507" i="2"/>
  <c r="C4506" i="2"/>
  <c r="C4505" i="2"/>
  <c r="C4504" i="2"/>
  <c r="C4503" i="2"/>
  <c r="C4502" i="2"/>
  <c r="C4501" i="2"/>
  <c r="C4500" i="2"/>
  <c r="C4499" i="2"/>
  <c r="C4498" i="2"/>
  <c r="C4497" i="2"/>
  <c r="C4496" i="2"/>
  <c r="C4495" i="2"/>
  <c r="C4494" i="2"/>
  <c r="C4493" i="2"/>
  <c r="C4492" i="2"/>
  <c r="C4491" i="2"/>
  <c r="C4490" i="2"/>
  <c r="C4489" i="2"/>
  <c r="C4488" i="2"/>
  <c r="C4487" i="2"/>
  <c r="C4486" i="2"/>
  <c r="C4485" i="2"/>
  <c r="C4484" i="2"/>
  <c r="C4483" i="2"/>
  <c r="C4482" i="2"/>
  <c r="C4481" i="2"/>
  <c r="C4480" i="2"/>
  <c r="C4479" i="2"/>
  <c r="C4478" i="2"/>
  <c r="C4477" i="2"/>
  <c r="C4476" i="2"/>
  <c r="C4475" i="2"/>
  <c r="C4474" i="2"/>
  <c r="C4473" i="2"/>
  <c r="C4472" i="2"/>
  <c r="C4471" i="2"/>
  <c r="C4470" i="2"/>
  <c r="C4469" i="2"/>
  <c r="C4468" i="2"/>
  <c r="C4467" i="2"/>
  <c r="C4466" i="2"/>
  <c r="C4465" i="2"/>
  <c r="C4464" i="2"/>
  <c r="C4463" i="2"/>
  <c r="C4462" i="2"/>
  <c r="C4461" i="2"/>
  <c r="C4460" i="2"/>
  <c r="C4459" i="2"/>
  <c r="C4458" i="2"/>
  <c r="C4457" i="2"/>
  <c r="C4456" i="2"/>
  <c r="C4455" i="2"/>
  <c r="C4454" i="2"/>
  <c r="C4453" i="2"/>
  <c r="C4452" i="2"/>
  <c r="C4451" i="2"/>
  <c r="C4450" i="2"/>
  <c r="C4449" i="2"/>
  <c r="C4448" i="2"/>
  <c r="C4447" i="2"/>
  <c r="C4446" i="2"/>
  <c r="C4445" i="2"/>
  <c r="C4444" i="2"/>
  <c r="C4443" i="2"/>
  <c r="C4442" i="2"/>
  <c r="C4441" i="2"/>
  <c r="C4440" i="2"/>
  <c r="C4439" i="2"/>
  <c r="C4438" i="2"/>
  <c r="C4437" i="2"/>
  <c r="C4436" i="2"/>
  <c r="C4435" i="2"/>
  <c r="C4434" i="2"/>
  <c r="C4433" i="2"/>
  <c r="C4432" i="2"/>
  <c r="C4431" i="2"/>
  <c r="C4430" i="2"/>
  <c r="C4429" i="2"/>
  <c r="C4428" i="2"/>
  <c r="C4427" i="2"/>
  <c r="C4426" i="2"/>
  <c r="C4425" i="2"/>
  <c r="C4424" i="2"/>
  <c r="C4423" i="2"/>
  <c r="C4422" i="2"/>
  <c r="C4421" i="2"/>
  <c r="C4420" i="2"/>
  <c r="C4417" i="2"/>
  <c r="C4415" i="2"/>
  <c r="J4410" i="2"/>
  <c r="I4410" i="2"/>
  <c r="H4410" i="2"/>
  <c r="C4409" i="2"/>
  <c r="C4408" i="2"/>
  <c r="C4407" i="2"/>
  <c r="C4406" i="2"/>
  <c r="C4405" i="2"/>
  <c r="C4404" i="2"/>
  <c r="C4403" i="2"/>
  <c r="C4402" i="2"/>
  <c r="C4401" i="2"/>
  <c r="C4400" i="2"/>
  <c r="C4399" i="2"/>
  <c r="C4398" i="2"/>
  <c r="C4397" i="2"/>
  <c r="C4396" i="2"/>
  <c r="C4395" i="2"/>
  <c r="C4394" i="2"/>
  <c r="C4393" i="2"/>
  <c r="C4392" i="2"/>
  <c r="C4391" i="2"/>
  <c r="C4390" i="2"/>
  <c r="C4389" i="2"/>
  <c r="C4388" i="2"/>
  <c r="C4387" i="2"/>
  <c r="C4386" i="2"/>
  <c r="C4385" i="2"/>
  <c r="C4384" i="2"/>
  <c r="C4383" i="2"/>
  <c r="C4382" i="2"/>
  <c r="C4381" i="2"/>
  <c r="C4380" i="2"/>
  <c r="C4379" i="2"/>
  <c r="C4378" i="2"/>
  <c r="C4377" i="2"/>
  <c r="C4376" i="2"/>
  <c r="C4375" i="2"/>
  <c r="C4374" i="2"/>
  <c r="C4373" i="2"/>
  <c r="C4372" i="2"/>
  <c r="C4371" i="2"/>
  <c r="C4370" i="2"/>
  <c r="C4369" i="2"/>
  <c r="C4368" i="2"/>
  <c r="C4367" i="2"/>
  <c r="C4366" i="2"/>
  <c r="C4365" i="2"/>
  <c r="C4364" i="2"/>
  <c r="C4363" i="2"/>
  <c r="C4362" i="2"/>
  <c r="C4361" i="2"/>
  <c r="C4360" i="2"/>
  <c r="C4359" i="2"/>
  <c r="C4358" i="2"/>
  <c r="C4357" i="2"/>
  <c r="C4356" i="2"/>
  <c r="C4355" i="2"/>
  <c r="C4354" i="2"/>
  <c r="C4353" i="2"/>
  <c r="C4352" i="2"/>
  <c r="C4351" i="2"/>
  <c r="C4350" i="2"/>
  <c r="C4349" i="2"/>
  <c r="C4348" i="2"/>
  <c r="C4347" i="2"/>
  <c r="C4346" i="2"/>
  <c r="C4345" i="2"/>
  <c r="C4344" i="2"/>
  <c r="C4343" i="2"/>
  <c r="C4342" i="2"/>
  <c r="C4341" i="2"/>
  <c r="C4340" i="2"/>
  <c r="C4339" i="2"/>
  <c r="C4338" i="2"/>
  <c r="C4337" i="2"/>
  <c r="C4336" i="2"/>
  <c r="C4335" i="2"/>
  <c r="C4334" i="2"/>
  <c r="C4333" i="2"/>
  <c r="C4332" i="2"/>
  <c r="C4331" i="2"/>
  <c r="C4330" i="2"/>
  <c r="C4329" i="2"/>
  <c r="C4328" i="2"/>
  <c r="C4327" i="2"/>
  <c r="C4326" i="2"/>
  <c r="C4325" i="2"/>
  <c r="C4324" i="2"/>
  <c r="C4323" i="2"/>
  <c r="C4322" i="2"/>
  <c r="C4321" i="2"/>
  <c r="C4320" i="2"/>
  <c r="C4319" i="2"/>
  <c r="C4318" i="2"/>
  <c r="C4317" i="2"/>
  <c r="C4316" i="2"/>
  <c r="C4315" i="2"/>
  <c r="C4314" i="2"/>
  <c r="C4313" i="2"/>
  <c r="C4312" i="2"/>
  <c r="C4311" i="2"/>
  <c r="C4310" i="2"/>
  <c r="C4309" i="2"/>
  <c r="C4308" i="2"/>
  <c r="C4307" i="2"/>
  <c r="C4306" i="2"/>
  <c r="C4305" i="2"/>
  <c r="C4304" i="2"/>
  <c r="C4303" i="2"/>
  <c r="C4302" i="2"/>
  <c r="C4301" i="2"/>
  <c r="C4300" i="2"/>
  <c r="C4299" i="2"/>
  <c r="C4298" i="2"/>
  <c r="C4297" i="2"/>
  <c r="C4296" i="2"/>
  <c r="C4295" i="2"/>
  <c r="C4294" i="2"/>
  <c r="C4293" i="2"/>
  <c r="C4292" i="2"/>
  <c r="C4291" i="2"/>
  <c r="C4290" i="2"/>
  <c r="C4289" i="2"/>
  <c r="C4288" i="2"/>
  <c r="C4287" i="2"/>
  <c r="C4286" i="2"/>
  <c r="C4285" i="2"/>
  <c r="C4284" i="2"/>
  <c r="C4283" i="2"/>
  <c r="C4282" i="2"/>
  <c r="C4281" i="2"/>
  <c r="C4280" i="2"/>
  <c r="C4279" i="2"/>
  <c r="C4278" i="2"/>
  <c r="C4277" i="2"/>
  <c r="C4276" i="2"/>
  <c r="C4275" i="2"/>
  <c r="C4274" i="2"/>
  <c r="C4273" i="2"/>
  <c r="C4272" i="2"/>
  <c r="C4271" i="2"/>
  <c r="C4270" i="2"/>
  <c r="C4269" i="2"/>
  <c r="C4268" i="2"/>
  <c r="C4267" i="2"/>
  <c r="C4266" i="2"/>
  <c r="C4265" i="2"/>
  <c r="C4264" i="2"/>
  <c r="C4263" i="2"/>
  <c r="C4262" i="2"/>
  <c r="C4261" i="2"/>
  <c r="C4260" i="2"/>
  <c r="C4259" i="2"/>
  <c r="C4258" i="2"/>
  <c r="C4257" i="2"/>
  <c r="C4256" i="2"/>
  <c r="C4255" i="2"/>
  <c r="C4254" i="2"/>
  <c r="C4253" i="2"/>
  <c r="C4252" i="2"/>
  <c r="C4251" i="2"/>
  <c r="C4250" i="2"/>
  <c r="C4249" i="2"/>
  <c r="C4248" i="2"/>
  <c r="C4247" i="2"/>
  <c r="C4246" i="2"/>
  <c r="C4245" i="2"/>
  <c r="C4244" i="2"/>
  <c r="C4243" i="2"/>
  <c r="C4242" i="2"/>
  <c r="C4241" i="2"/>
  <c r="C4240" i="2"/>
  <c r="C4239" i="2"/>
  <c r="C4238" i="2"/>
  <c r="C4237" i="2"/>
  <c r="C4234" i="2"/>
  <c r="C4232" i="2"/>
  <c r="J4227" i="2"/>
  <c r="I4227" i="2"/>
  <c r="H4227" i="2"/>
  <c r="C4226" i="2"/>
  <c r="C4225" i="2"/>
  <c r="C4224" i="2"/>
  <c r="C4223" i="2"/>
  <c r="C4222" i="2"/>
  <c r="C4221" i="2"/>
  <c r="C4220" i="2"/>
  <c r="C4219" i="2"/>
  <c r="C4218" i="2"/>
  <c r="C4217" i="2"/>
  <c r="C4216" i="2"/>
  <c r="C4215" i="2"/>
  <c r="C4214" i="2"/>
  <c r="C4213" i="2"/>
  <c r="C4212" i="2"/>
  <c r="C4211" i="2"/>
  <c r="C4210" i="2"/>
  <c r="C4209" i="2"/>
  <c r="C4208" i="2"/>
  <c r="C4207" i="2"/>
  <c r="C4206" i="2"/>
  <c r="C4205" i="2"/>
  <c r="C4204" i="2"/>
  <c r="C4203" i="2"/>
  <c r="C4202" i="2"/>
  <c r="C4201" i="2"/>
  <c r="C4198" i="2"/>
  <c r="C4196" i="2"/>
  <c r="J4191" i="2"/>
  <c r="I4191" i="2"/>
  <c r="H4191" i="2"/>
  <c r="C4190" i="2"/>
  <c r="C4189" i="2"/>
  <c r="C4188" i="2"/>
  <c r="C4187" i="2"/>
  <c r="C4186" i="2"/>
  <c r="C4185" i="2"/>
  <c r="C4184" i="2"/>
  <c r="C4183" i="2"/>
  <c r="C4182" i="2"/>
  <c r="C4181" i="2"/>
  <c r="C4180" i="2"/>
  <c r="C4179" i="2"/>
  <c r="C4178" i="2"/>
  <c r="C4177" i="2"/>
  <c r="C4176" i="2"/>
  <c r="C4175" i="2"/>
  <c r="C4174" i="2"/>
  <c r="C4173" i="2"/>
  <c r="C4172" i="2"/>
  <c r="C4171" i="2"/>
  <c r="C4170" i="2"/>
  <c r="C4169" i="2"/>
  <c r="C4168" i="2"/>
  <c r="C4167" i="2"/>
  <c r="C4166" i="2"/>
  <c r="C4163" i="2"/>
  <c r="C4161" i="2"/>
  <c r="J4156" i="2"/>
  <c r="I4156" i="2"/>
  <c r="H4156" i="2"/>
  <c r="C4155" i="2"/>
  <c r="C4154" i="2"/>
  <c r="C4153" i="2"/>
  <c r="C4152" i="2"/>
  <c r="C4151" i="2"/>
  <c r="C4150" i="2"/>
  <c r="C4149" i="2"/>
  <c r="C4148" i="2"/>
  <c r="C4147" i="2"/>
  <c r="C4146" i="2"/>
  <c r="C4145" i="2"/>
  <c r="C4144" i="2"/>
  <c r="C4143" i="2"/>
  <c r="C4142" i="2"/>
  <c r="C4141" i="2"/>
  <c r="C4140" i="2"/>
  <c r="C4139" i="2"/>
  <c r="C4138" i="2"/>
  <c r="C4137" i="2"/>
  <c r="C4136" i="2"/>
  <c r="C4135" i="2"/>
  <c r="C4134" i="2"/>
  <c r="C4133" i="2"/>
  <c r="C4132" i="2"/>
  <c r="C4131" i="2"/>
  <c r="C4130" i="2"/>
  <c r="C4129" i="2"/>
  <c r="C4128" i="2"/>
  <c r="C4127" i="2"/>
  <c r="C4126" i="2"/>
  <c r="C4125" i="2"/>
  <c r="C4124" i="2"/>
  <c r="C4123" i="2"/>
  <c r="C4122" i="2"/>
  <c r="C4121" i="2"/>
  <c r="C4120" i="2"/>
  <c r="C4119" i="2"/>
  <c r="C4118" i="2"/>
  <c r="C4117" i="2"/>
  <c r="C4114" i="2"/>
  <c r="C4112" i="2"/>
  <c r="J4107" i="2"/>
  <c r="I4107" i="2"/>
  <c r="H4107" i="2"/>
  <c r="C4106" i="2"/>
  <c r="C4105" i="2"/>
  <c r="C4104" i="2"/>
  <c r="C4103" i="2"/>
  <c r="C4102" i="2"/>
  <c r="C4101" i="2"/>
  <c r="C4100" i="2"/>
  <c r="C4099" i="2"/>
  <c r="C4098" i="2"/>
  <c r="C4097" i="2"/>
  <c r="C4096" i="2"/>
  <c r="C4095" i="2"/>
  <c r="C4094" i="2"/>
  <c r="C4093" i="2"/>
  <c r="C4092" i="2"/>
  <c r="C4091" i="2"/>
  <c r="C4090" i="2"/>
  <c r="C4089" i="2"/>
  <c r="C4088" i="2"/>
  <c r="C4087" i="2"/>
  <c r="C4086" i="2"/>
  <c r="C4085" i="2"/>
  <c r="C4084" i="2"/>
  <c r="C4083" i="2"/>
  <c r="C4082" i="2"/>
  <c r="C4081" i="2"/>
  <c r="C4080" i="2"/>
  <c r="C4079" i="2"/>
  <c r="C4076" i="2"/>
  <c r="C4074" i="2"/>
  <c r="J4069" i="2"/>
  <c r="I4069" i="2"/>
  <c r="H4069" i="2"/>
  <c r="C4068" i="2"/>
  <c r="C4067" i="2"/>
  <c r="C4066" i="2"/>
  <c r="C4065" i="2"/>
  <c r="C4064" i="2"/>
  <c r="C4063" i="2"/>
  <c r="C4062" i="2"/>
  <c r="C4061" i="2"/>
  <c r="C4060" i="2"/>
  <c r="C4059" i="2"/>
  <c r="C4058" i="2"/>
  <c r="C4057" i="2"/>
  <c r="C4056" i="2"/>
  <c r="C4055" i="2"/>
  <c r="C4054" i="2"/>
  <c r="C4053" i="2"/>
  <c r="C4052" i="2"/>
  <c r="C4051" i="2"/>
  <c r="C4050" i="2"/>
  <c r="C4049" i="2"/>
  <c r="C4048" i="2"/>
  <c r="C4047" i="2"/>
  <c r="C4046" i="2"/>
  <c r="C4045" i="2"/>
  <c r="C4044" i="2"/>
  <c r="C4043" i="2"/>
  <c r="C4042" i="2"/>
  <c r="C4041" i="2"/>
  <c r="C4040" i="2"/>
  <c r="C4039" i="2"/>
  <c r="C4038" i="2"/>
  <c r="C4037" i="2"/>
  <c r="C4036" i="2"/>
  <c r="C4035" i="2"/>
  <c r="C4034" i="2"/>
  <c r="C4033" i="2"/>
  <c r="C4032" i="2"/>
  <c r="C4031" i="2"/>
  <c r="C4030" i="2"/>
  <c r="C4029" i="2"/>
  <c r="C4028" i="2"/>
  <c r="C4027" i="2"/>
  <c r="C4026" i="2"/>
  <c r="C4025" i="2"/>
  <c r="C4024" i="2"/>
  <c r="C4023" i="2"/>
  <c r="C4022" i="2"/>
  <c r="C4021" i="2"/>
  <c r="C4020" i="2"/>
  <c r="C4019" i="2"/>
  <c r="C4016" i="2"/>
  <c r="C4014" i="2"/>
  <c r="J4009" i="2"/>
  <c r="I4009" i="2"/>
  <c r="H4009" i="2"/>
  <c r="C4008" i="2"/>
  <c r="C4007" i="2"/>
  <c r="C4006" i="2"/>
  <c r="C4005" i="2"/>
  <c r="C4004" i="2"/>
  <c r="C4003" i="2"/>
  <c r="C4002" i="2"/>
  <c r="C4001" i="2"/>
  <c r="C4000" i="2"/>
  <c r="C3999" i="2"/>
  <c r="C3998" i="2"/>
  <c r="C3997" i="2"/>
  <c r="C3996" i="2"/>
  <c r="C3995" i="2"/>
  <c r="C3994" i="2"/>
  <c r="C3993" i="2"/>
  <c r="C3992" i="2"/>
  <c r="C3991" i="2"/>
  <c r="C3990" i="2"/>
  <c r="C3989" i="2"/>
  <c r="C3988" i="2"/>
  <c r="C3987" i="2"/>
  <c r="C3986" i="2"/>
  <c r="C3985" i="2"/>
  <c r="C3984" i="2"/>
  <c r="C3983" i="2"/>
  <c r="C3982" i="2"/>
  <c r="C3981" i="2"/>
  <c r="C3980" i="2"/>
  <c r="C3979" i="2"/>
  <c r="C3978" i="2"/>
  <c r="C3977" i="2"/>
  <c r="C3976" i="2"/>
  <c r="C3975" i="2"/>
  <c r="C3974" i="2"/>
  <c r="C3973" i="2"/>
  <c r="C3972" i="2"/>
  <c r="C3971" i="2"/>
  <c r="C3970" i="2"/>
  <c r="C3969" i="2"/>
  <c r="C3968" i="2"/>
  <c r="C3965" i="2"/>
  <c r="C3963" i="2"/>
  <c r="J3958" i="2"/>
  <c r="I3958" i="2"/>
  <c r="H3958" i="2"/>
  <c r="C3957" i="2"/>
  <c r="C3956" i="2"/>
  <c r="C3955" i="2"/>
  <c r="C3954" i="2"/>
  <c r="C3953" i="2"/>
  <c r="C3952" i="2"/>
  <c r="C3951" i="2"/>
  <c r="C3950" i="2"/>
  <c r="C3949" i="2"/>
  <c r="C3948" i="2"/>
  <c r="C3947" i="2"/>
  <c r="C3946" i="2"/>
  <c r="C3945" i="2"/>
  <c r="C3944" i="2"/>
  <c r="C3943" i="2"/>
  <c r="C3942" i="2"/>
  <c r="C3941" i="2"/>
  <c r="C3940" i="2"/>
  <c r="C3939" i="2"/>
  <c r="C3938" i="2"/>
  <c r="C3937" i="2"/>
  <c r="C3936" i="2"/>
  <c r="C3935" i="2"/>
  <c r="C3934" i="2"/>
  <c r="C3933" i="2"/>
  <c r="C3932" i="2"/>
  <c r="C3931" i="2"/>
  <c r="C3930" i="2"/>
  <c r="C3929" i="2"/>
  <c r="C3928" i="2"/>
  <c r="C3927" i="2"/>
  <c r="C3926" i="2"/>
  <c r="C3925" i="2"/>
  <c r="C3924" i="2"/>
  <c r="C3923" i="2"/>
  <c r="C3922" i="2"/>
  <c r="C3921" i="2"/>
  <c r="C3920" i="2"/>
  <c r="C3919" i="2"/>
  <c r="C3918" i="2"/>
  <c r="C3917" i="2"/>
  <c r="C3916" i="2"/>
  <c r="C3915" i="2"/>
  <c r="C3914" i="2"/>
  <c r="C3913" i="2"/>
  <c r="C3912" i="2"/>
  <c r="C3911" i="2"/>
  <c r="C3910" i="2"/>
  <c r="C3909" i="2"/>
  <c r="C3908" i="2"/>
  <c r="C3907" i="2"/>
  <c r="C3906" i="2"/>
  <c r="C3905" i="2"/>
  <c r="C3904" i="2"/>
  <c r="C3903" i="2"/>
  <c r="C3902" i="2"/>
  <c r="C3901" i="2"/>
  <c r="C3900" i="2"/>
  <c r="C3899" i="2"/>
  <c r="C3898" i="2"/>
  <c r="C3897" i="2"/>
  <c r="C3896" i="2"/>
  <c r="C3895" i="2"/>
  <c r="C3894" i="2"/>
  <c r="C3893" i="2"/>
  <c r="C3892" i="2"/>
  <c r="C3891" i="2"/>
  <c r="C3890" i="2"/>
  <c r="C3889" i="2"/>
  <c r="C3888" i="2"/>
  <c r="C3887" i="2"/>
  <c r="C3886" i="2"/>
  <c r="C3885" i="2"/>
  <c r="C3884" i="2"/>
  <c r="C3883" i="2"/>
  <c r="C3882" i="2"/>
  <c r="C3881" i="2"/>
  <c r="C3880" i="2"/>
  <c r="C3879" i="2"/>
  <c r="C3878" i="2"/>
  <c r="C3877" i="2"/>
  <c r="C3876" i="2"/>
  <c r="C3875" i="2"/>
  <c r="C3874" i="2"/>
  <c r="C3873" i="2"/>
  <c r="C3872" i="2"/>
  <c r="C3871" i="2"/>
  <c r="C3870" i="2"/>
  <c r="C3869" i="2"/>
  <c r="C3868" i="2"/>
  <c r="C3867" i="2"/>
  <c r="C3866" i="2"/>
  <c r="C3865" i="2"/>
  <c r="C3864" i="2"/>
  <c r="C3863" i="2"/>
  <c r="C3862" i="2"/>
  <c r="C3861" i="2"/>
  <c r="C3860" i="2"/>
  <c r="C3859" i="2"/>
  <c r="C3858" i="2"/>
  <c r="C3857" i="2"/>
  <c r="C3856" i="2"/>
  <c r="C3855" i="2"/>
  <c r="C3854" i="2"/>
  <c r="C3853" i="2"/>
  <c r="C3852" i="2"/>
  <c r="C3851" i="2"/>
  <c r="C3850" i="2"/>
  <c r="C3849" i="2"/>
  <c r="C3848" i="2"/>
  <c r="C3847" i="2"/>
  <c r="C3846" i="2"/>
  <c r="C3845" i="2"/>
  <c r="C3844" i="2"/>
  <c r="C3843" i="2"/>
  <c r="C3842" i="2"/>
  <c r="C3841" i="2"/>
  <c r="C3840" i="2"/>
  <c r="C3839" i="2"/>
  <c r="C3838" i="2"/>
  <c r="C3837" i="2"/>
  <c r="C3836" i="2"/>
  <c r="C3835" i="2"/>
  <c r="C3834" i="2"/>
  <c r="C3833" i="2"/>
  <c r="C3832" i="2"/>
  <c r="C3831" i="2"/>
  <c r="C3830" i="2"/>
  <c r="C3829" i="2"/>
  <c r="C3828" i="2"/>
  <c r="C3827" i="2"/>
  <c r="C3826" i="2"/>
  <c r="C3825" i="2"/>
  <c r="C3824" i="2"/>
  <c r="C3823" i="2"/>
  <c r="C3822" i="2"/>
  <c r="C3821" i="2"/>
  <c r="C3820" i="2"/>
  <c r="C3819" i="2"/>
  <c r="C3818" i="2"/>
  <c r="C3817" i="2"/>
  <c r="C3816" i="2"/>
  <c r="C3815" i="2"/>
  <c r="C3814" i="2"/>
  <c r="C3813" i="2"/>
  <c r="C3812" i="2"/>
  <c r="C3811" i="2"/>
  <c r="C3810" i="2"/>
  <c r="C3809" i="2"/>
  <c r="C3808" i="2"/>
  <c r="C3807" i="2"/>
  <c r="C3806" i="2"/>
  <c r="C3805" i="2"/>
  <c r="C3804" i="2"/>
  <c r="C3803" i="2"/>
  <c r="C3802" i="2"/>
  <c r="C3801" i="2"/>
  <c r="C3800" i="2"/>
  <c r="C3799" i="2"/>
  <c r="C3798" i="2"/>
  <c r="C3797" i="2"/>
  <c r="C3796" i="2"/>
  <c r="C3795" i="2"/>
  <c r="C3794" i="2"/>
  <c r="C3793" i="2"/>
  <c r="C3792" i="2"/>
  <c r="C3791" i="2"/>
  <c r="C3790" i="2"/>
  <c r="C3789" i="2"/>
  <c r="C3788" i="2"/>
  <c r="C3787" i="2"/>
  <c r="C3786" i="2"/>
  <c r="C3785" i="2"/>
  <c r="C3784" i="2"/>
  <c r="C3783" i="2"/>
  <c r="C3782" i="2"/>
  <c r="C3781" i="2"/>
  <c r="C3780" i="2"/>
  <c r="C3779" i="2"/>
  <c r="C3778" i="2"/>
  <c r="C3777" i="2"/>
  <c r="C3776" i="2"/>
  <c r="C3775" i="2"/>
  <c r="C3774" i="2"/>
  <c r="C3773" i="2"/>
  <c r="C3772" i="2"/>
  <c r="C3771" i="2"/>
  <c r="C3770" i="2"/>
  <c r="C3769" i="2"/>
  <c r="C3768" i="2"/>
  <c r="C3767" i="2"/>
  <c r="C3766" i="2"/>
  <c r="C3765" i="2"/>
  <c r="C3764" i="2"/>
  <c r="C3763" i="2"/>
  <c r="C3762" i="2"/>
  <c r="C3761" i="2"/>
  <c r="C3760" i="2"/>
  <c r="C3759" i="2"/>
  <c r="C3758" i="2"/>
  <c r="C3757" i="2"/>
  <c r="C3756" i="2"/>
  <c r="C3755" i="2"/>
  <c r="C3754" i="2"/>
  <c r="C3753" i="2"/>
  <c r="C3752" i="2"/>
  <c r="C3751" i="2"/>
  <c r="C3750" i="2"/>
  <c r="C3749" i="2"/>
  <c r="C3748" i="2"/>
  <c r="C3747" i="2"/>
  <c r="C3746" i="2"/>
  <c r="C3745" i="2"/>
  <c r="C3744" i="2"/>
  <c r="C3743" i="2"/>
  <c r="C3742" i="2"/>
  <c r="C3741" i="2"/>
  <c r="C3740" i="2"/>
  <c r="C3739" i="2"/>
  <c r="C3738" i="2"/>
  <c r="C3737" i="2"/>
  <c r="C3736" i="2"/>
  <c r="C3735" i="2"/>
  <c r="C3734" i="2"/>
  <c r="C3733" i="2"/>
  <c r="C3732" i="2"/>
  <c r="C3731" i="2"/>
  <c r="C3730" i="2"/>
  <c r="C3729" i="2"/>
  <c r="C3728" i="2"/>
  <c r="C3727" i="2"/>
  <c r="C3726" i="2"/>
  <c r="C3725" i="2"/>
  <c r="C3724" i="2"/>
  <c r="C3723" i="2"/>
  <c r="C3722" i="2"/>
  <c r="C3721" i="2"/>
  <c r="C3720" i="2"/>
  <c r="C3719" i="2"/>
  <c r="C3718" i="2"/>
  <c r="C3717" i="2"/>
  <c r="C3716" i="2"/>
  <c r="C3715" i="2"/>
  <c r="C3714" i="2"/>
  <c r="C3713" i="2"/>
  <c r="C3712" i="2"/>
  <c r="C3711" i="2"/>
  <c r="C3710" i="2"/>
  <c r="C3709" i="2"/>
  <c r="C3708" i="2"/>
  <c r="C3707" i="2"/>
  <c r="C3706" i="2"/>
  <c r="C3705" i="2"/>
  <c r="C3704" i="2"/>
  <c r="C3703" i="2"/>
  <c r="C3702" i="2"/>
  <c r="C3701" i="2"/>
  <c r="C3700" i="2"/>
  <c r="C3699" i="2"/>
  <c r="C3698" i="2"/>
  <c r="C3697" i="2"/>
  <c r="C3696" i="2"/>
  <c r="C3695" i="2"/>
  <c r="C3694" i="2"/>
  <c r="C3693" i="2"/>
  <c r="C3692" i="2"/>
  <c r="C3691" i="2"/>
  <c r="C3690" i="2"/>
  <c r="C3689" i="2"/>
  <c r="C3688" i="2"/>
  <c r="C3687" i="2"/>
  <c r="C3686" i="2"/>
  <c r="C3685" i="2"/>
  <c r="C3684" i="2"/>
  <c r="C3683" i="2"/>
  <c r="C3682" i="2"/>
  <c r="C3681" i="2"/>
  <c r="C3680" i="2"/>
  <c r="C3679" i="2"/>
  <c r="C3678" i="2"/>
  <c r="C3677" i="2"/>
  <c r="C3676" i="2"/>
  <c r="C3675" i="2"/>
  <c r="C3674" i="2"/>
  <c r="C3673" i="2"/>
  <c r="C3672" i="2"/>
  <c r="C3671" i="2"/>
  <c r="C3670" i="2"/>
  <c r="C3669" i="2"/>
  <c r="C3668" i="2"/>
  <c r="C3667" i="2"/>
  <c r="C3666" i="2"/>
  <c r="C3665" i="2"/>
  <c r="C3664" i="2"/>
  <c r="C3663" i="2"/>
  <c r="C3662" i="2"/>
  <c r="C3661" i="2"/>
  <c r="C3660" i="2"/>
  <c r="C3659" i="2"/>
  <c r="C3658" i="2"/>
  <c r="C3657" i="2"/>
  <c r="C3656" i="2"/>
  <c r="C3655" i="2"/>
  <c r="C3654" i="2"/>
  <c r="C3653" i="2"/>
  <c r="C3652" i="2"/>
  <c r="C3651" i="2"/>
  <c r="C3650" i="2"/>
  <c r="C3647" i="2"/>
  <c r="C3645" i="2"/>
  <c r="J3640" i="2"/>
  <c r="I3640" i="2"/>
  <c r="H3640" i="2"/>
  <c r="C3639" i="2"/>
  <c r="C3638" i="2"/>
  <c r="C3637" i="2"/>
  <c r="C3636" i="2"/>
  <c r="C3635" i="2"/>
  <c r="C3634" i="2"/>
  <c r="C3633" i="2"/>
  <c r="C3632" i="2"/>
  <c r="C3631" i="2"/>
  <c r="C3630" i="2"/>
  <c r="C3629" i="2"/>
  <c r="C3628" i="2"/>
  <c r="C3627" i="2"/>
  <c r="C3626" i="2"/>
  <c r="C3625" i="2"/>
  <c r="C3624" i="2"/>
  <c r="C3623" i="2"/>
  <c r="C3622" i="2"/>
  <c r="C3621" i="2"/>
  <c r="C3620" i="2"/>
  <c r="C3619" i="2"/>
  <c r="C3618" i="2"/>
  <c r="C3617" i="2"/>
  <c r="C3616" i="2"/>
  <c r="C3615" i="2"/>
  <c r="C3614" i="2"/>
  <c r="C3613" i="2"/>
  <c r="C3612" i="2"/>
  <c r="C3611" i="2"/>
  <c r="C3610" i="2"/>
  <c r="C3609" i="2"/>
  <c r="C3608" i="2"/>
  <c r="C3607" i="2"/>
  <c r="C3606" i="2"/>
  <c r="C3605" i="2"/>
  <c r="C3604" i="2"/>
  <c r="C3603" i="2"/>
  <c r="C3602" i="2"/>
  <c r="C3601" i="2"/>
  <c r="C3600" i="2"/>
  <c r="C3599" i="2"/>
  <c r="C3598" i="2"/>
  <c r="C3595" i="2"/>
  <c r="C3593" i="2"/>
  <c r="J3588" i="2"/>
  <c r="I3588" i="2"/>
  <c r="H3588" i="2"/>
  <c r="C3587" i="2"/>
  <c r="C3586" i="2"/>
  <c r="C3585" i="2"/>
  <c r="C3584" i="2"/>
  <c r="C3583" i="2"/>
  <c r="C3582" i="2"/>
  <c r="C3581" i="2"/>
  <c r="C3580" i="2"/>
  <c r="C3579" i="2"/>
  <c r="C3578" i="2"/>
  <c r="C3577" i="2"/>
  <c r="C3576" i="2"/>
  <c r="C3575" i="2"/>
  <c r="C3574" i="2"/>
  <c r="C3573" i="2"/>
  <c r="C3572" i="2"/>
  <c r="C3571" i="2"/>
  <c r="C3570" i="2"/>
  <c r="C3567" i="2"/>
  <c r="C3565" i="2"/>
  <c r="J3560" i="2"/>
  <c r="I3560" i="2"/>
  <c r="H3560" i="2"/>
  <c r="C3559" i="2"/>
  <c r="C3558" i="2"/>
  <c r="C3557" i="2"/>
  <c r="C3556" i="2"/>
  <c r="C3555" i="2"/>
  <c r="C3554" i="2"/>
  <c r="C3553" i="2"/>
  <c r="C3552" i="2"/>
  <c r="C3551" i="2"/>
  <c r="C3550" i="2"/>
  <c r="C3549" i="2"/>
  <c r="C3548" i="2"/>
  <c r="C3547" i="2"/>
  <c r="C3546" i="2"/>
  <c r="C3545" i="2"/>
  <c r="C3544" i="2"/>
  <c r="C3543" i="2"/>
  <c r="C3542" i="2"/>
  <c r="C3541" i="2"/>
  <c r="C3540" i="2"/>
  <c r="C3539" i="2"/>
  <c r="C3538" i="2"/>
  <c r="C3537" i="2"/>
  <c r="C3536" i="2"/>
  <c r="C3535" i="2"/>
  <c r="C3534" i="2"/>
  <c r="C3533" i="2"/>
  <c r="C3532" i="2"/>
  <c r="C3531" i="2"/>
  <c r="C3530" i="2"/>
  <c r="C3529" i="2"/>
  <c r="C3528" i="2"/>
  <c r="C3527" i="2"/>
  <c r="C3526" i="2"/>
  <c r="C3525" i="2"/>
  <c r="C3524" i="2"/>
  <c r="C3523" i="2"/>
  <c r="C3522" i="2"/>
  <c r="C3521" i="2"/>
  <c r="C3520" i="2"/>
  <c r="C3519" i="2"/>
  <c r="C3518" i="2"/>
  <c r="C3517" i="2"/>
  <c r="C3516" i="2"/>
  <c r="C3513" i="2"/>
  <c r="C3511" i="2"/>
  <c r="J3506" i="2"/>
  <c r="I3506" i="2"/>
  <c r="H3506" i="2"/>
  <c r="C3505" i="2"/>
  <c r="C3504" i="2"/>
  <c r="C3503" i="2"/>
  <c r="C3502" i="2"/>
  <c r="C3501" i="2"/>
  <c r="C3500" i="2"/>
  <c r="C3499" i="2"/>
  <c r="C3498" i="2"/>
  <c r="C3497" i="2"/>
  <c r="C3496" i="2"/>
  <c r="C3495" i="2"/>
  <c r="C3494" i="2"/>
  <c r="C3493" i="2"/>
  <c r="C3492" i="2"/>
  <c r="C3491" i="2"/>
  <c r="C3490" i="2"/>
  <c r="C3489" i="2"/>
  <c r="C3488" i="2"/>
  <c r="C3487" i="2"/>
  <c r="C3486" i="2"/>
  <c r="C3485" i="2"/>
  <c r="C3484" i="2"/>
  <c r="C3483" i="2"/>
  <c r="C3482" i="2"/>
  <c r="C3481" i="2"/>
  <c r="C3480" i="2"/>
  <c r="C3479" i="2"/>
  <c r="C3478" i="2"/>
  <c r="C3477" i="2"/>
  <c r="C3476" i="2"/>
  <c r="C3475" i="2"/>
  <c r="C3474" i="2"/>
  <c r="C3473" i="2"/>
  <c r="C3472" i="2"/>
  <c r="C3471" i="2"/>
  <c r="C3470" i="2"/>
  <c r="C3469" i="2"/>
  <c r="C3468" i="2"/>
  <c r="C3467" i="2"/>
  <c r="C3466" i="2"/>
  <c r="C3465" i="2"/>
  <c r="C3464" i="2"/>
  <c r="C3463" i="2"/>
  <c r="C3462" i="2"/>
  <c r="C3461" i="2"/>
  <c r="C3460" i="2"/>
  <c r="C3459" i="2"/>
  <c r="C3458" i="2"/>
  <c r="C3457" i="2"/>
  <c r="C3456" i="2"/>
  <c r="C3455" i="2"/>
  <c r="C3454" i="2"/>
  <c r="C3453" i="2"/>
  <c r="C3452" i="2"/>
  <c r="C3449" i="2"/>
  <c r="C3447" i="2"/>
  <c r="J3442" i="2"/>
  <c r="I3442" i="2"/>
  <c r="H3442" i="2"/>
  <c r="C3441" i="2"/>
  <c r="C3440" i="2"/>
  <c r="C3439" i="2"/>
  <c r="C3438" i="2"/>
  <c r="C3437" i="2"/>
  <c r="C3436" i="2"/>
  <c r="C3435" i="2"/>
  <c r="C3434" i="2"/>
  <c r="C3433" i="2"/>
  <c r="C3432" i="2"/>
  <c r="C3431" i="2"/>
  <c r="C3430" i="2"/>
  <c r="C3429" i="2"/>
  <c r="C3428" i="2"/>
  <c r="C3427" i="2"/>
  <c r="C3426" i="2"/>
  <c r="C3425" i="2"/>
  <c r="C3424" i="2"/>
  <c r="C3423" i="2"/>
  <c r="C3422" i="2"/>
  <c r="C3421" i="2"/>
  <c r="C3420" i="2"/>
  <c r="C3419" i="2"/>
  <c r="C3418" i="2"/>
  <c r="C3417" i="2"/>
  <c r="C3416" i="2"/>
  <c r="C3415" i="2"/>
  <c r="C3414" i="2"/>
  <c r="C3413" i="2"/>
  <c r="C3412" i="2"/>
  <c r="C3411" i="2"/>
  <c r="C3410" i="2"/>
  <c r="C3409" i="2"/>
  <c r="C3408" i="2"/>
  <c r="C3407" i="2"/>
  <c r="C3406" i="2"/>
  <c r="C3405" i="2"/>
  <c r="C3404" i="2"/>
  <c r="C3403" i="2"/>
  <c r="C3402" i="2"/>
  <c r="C3401" i="2"/>
  <c r="C3400" i="2"/>
  <c r="C3399" i="2"/>
  <c r="C3398" i="2"/>
  <c r="C3397" i="2"/>
  <c r="C3396" i="2"/>
  <c r="C3395" i="2"/>
  <c r="C3394" i="2"/>
  <c r="C3393" i="2"/>
  <c r="C3392" i="2"/>
  <c r="C3391" i="2"/>
  <c r="C3390" i="2"/>
  <c r="C3389" i="2"/>
  <c r="C3388" i="2"/>
  <c r="C3387" i="2"/>
  <c r="C3386" i="2"/>
  <c r="C3385" i="2"/>
  <c r="C3384" i="2"/>
  <c r="C3383" i="2"/>
  <c r="C3382" i="2"/>
  <c r="C3381" i="2"/>
  <c r="C3380" i="2"/>
  <c r="C3379" i="2"/>
  <c r="C3378" i="2"/>
  <c r="C3377" i="2"/>
  <c r="C3376" i="2"/>
  <c r="C3375" i="2"/>
  <c r="C3374" i="2"/>
  <c r="C3373" i="2"/>
  <c r="C3372" i="2"/>
  <c r="C3371" i="2"/>
  <c r="C3370" i="2"/>
  <c r="C3369" i="2"/>
  <c r="C3368" i="2"/>
  <c r="C3367" i="2"/>
  <c r="C3366" i="2"/>
  <c r="C3365" i="2"/>
  <c r="C3364" i="2"/>
  <c r="C3363" i="2"/>
  <c r="C3362" i="2"/>
  <c r="C3361" i="2"/>
  <c r="C3360" i="2"/>
  <c r="C3359" i="2"/>
  <c r="C3358" i="2"/>
  <c r="C3357" i="2"/>
  <c r="C3356" i="2"/>
  <c r="C3355" i="2"/>
  <c r="C3354" i="2"/>
  <c r="C3353" i="2"/>
  <c r="C3352" i="2"/>
  <c r="C3351" i="2"/>
  <c r="C3350" i="2"/>
  <c r="C3349" i="2"/>
  <c r="C3348" i="2"/>
  <c r="C3347" i="2"/>
  <c r="C3346" i="2"/>
  <c r="C3345" i="2"/>
  <c r="C3344" i="2"/>
  <c r="C3343" i="2"/>
  <c r="C3342" i="2"/>
  <c r="C3341" i="2"/>
  <c r="C3340" i="2"/>
  <c r="C3339" i="2"/>
  <c r="C3338" i="2"/>
  <c r="C3337" i="2"/>
  <c r="C3336" i="2"/>
  <c r="C3335" i="2"/>
  <c r="C3334" i="2"/>
  <c r="C3333" i="2"/>
  <c r="C3332" i="2"/>
  <c r="C3331" i="2"/>
  <c r="C3330" i="2"/>
  <c r="C3329" i="2"/>
  <c r="C3328" i="2"/>
  <c r="C3327" i="2"/>
  <c r="C3326" i="2"/>
  <c r="C3325" i="2"/>
  <c r="C3324" i="2"/>
  <c r="C3323" i="2"/>
  <c r="C3320" i="2"/>
  <c r="C3318" i="2"/>
  <c r="J3313" i="2"/>
  <c r="I3313" i="2"/>
  <c r="H3313" i="2"/>
  <c r="C3312" i="2"/>
  <c r="C3311" i="2"/>
  <c r="C3310" i="2"/>
  <c r="C3309" i="2"/>
  <c r="C3308" i="2"/>
  <c r="C3307" i="2"/>
  <c r="C3306" i="2"/>
  <c r="C3305" i="2"/>
  <c r="C3304" i="2"/>
  <c r="C3303" i="2"/>
  <c r="C3302" i="2"/>
  <c r="C3301" i="2"/>
  <c r="C3300" i="2"/>
  <c r="C3299" i="2"/>
  <c r="C3298" i="2"/>
  <c r="C3297" i="2"/>
  <c r="C3296" i="2"/>
  <c r="C3295" i="2"/>
  <c r="C3294" i="2"/>
  <c r="C3293" i="2"/>
  <c r="C3292" i="2"/>
  <c r="C3291" i="2"/>
  <c r="C3290" i="2"/>
  <c r="C3289" i="2"/>
  <c r="C3288" i="2"/>
  <c r="C3287" i="2"/>
  <c r="C3286" i="2"/>
  <c r="C3285" i="2"/>
  <c r="C3284" i="2"/>
  <c r="C3283" i="2"/>
  <c r="C3282" i="2"/>
  <c r="C3281" i="2"/>
  <c r="C3280" i="2"/>
  <c r="C3279" i="2"/>
  <c r="C3278" i="2"/>
  <c r="C3277" i="2"/>
  <c r="C3276" i="2"/>
  <c r="C3275" i="2"/>
  <c r="C3274" i="2"/>
  <c r="C3273" i="2"/>
  <c r="C3272" i="2"/>
  <c r="C3271" i="2"/>
  <c r="C3270" i="2"/>
  <c r="C3269" i="2"/>
  <c r="C3268" i="2"/>
  <c r="C3267" i="2"/>
  <c r="C3266" i="2"/>
  <c r="C3265" i="2"/>
  <c r="C3264" i="2"/>
  <c r="C3263" i="2"/>
  <c r="C3262" i="2"/>
  <c r="C3261" i="2"/>
  <c r="C3260" i="2"/>
  <c r="C3259" i="2"/>
  <c r="C3258" i="2"/>
  <c r="C3257" i="2"/>
  <c r="C3256" i="2"/>
  <c r="C3255" i="2"/>
  <c r="C3254" i="2"/>
  <c r="C3253" i="2"/>
  <c r="C3252" i="2"/>
  <c r="C3251" i="2"/>
  <c r="C3250" i="2"/>
  <c r="C3249" i="2"/>
  <c r="C3248" i="2"/>
  <c r="C3247" i="2"/>
  <c r="C3246" i="2"/>
  <c r="C3245" i="2"/>
  <c r="C3244" i="2"/>
  <c r="C3241" i="2"/>
  <c r="C3239" i="2"/>
  <c r="J3234" i="2"/>
  <c r="I3234" i="2"/>
  <c r="H3234" i="2"/>
  <c r="C3233" i="2"/>
  <c r="C3232" i="2"/>
  <c r="C3231" i="2"/>
  <c r="C3230" i="2"/>
  <c r="C3229" i="2"/>
  <c r="C3228" i="2"/>
  <c r="C3227" i="2"/>
  <c r="C3226" i="2"/>
  <c r="C3225" i="2"/>
  <c r="C3224" i="2"/>
  <c r="C3223" i="2"/>
  <c r="C3222" i="2"/>
  <c r="C3221" i="2"/>
  <c r="C3220" i="2"/>
  <c r="C3219" i="2"/>
  <c r="C3218" i="2"/>
  <c r="C3217" i="2"/>
  <c r="C3216" i="2"/>
  <c r="C3215" i="2"/>
  <c r="C3214" i="2"/>
  <c r="C3213" i="2"/>
  <c r="C3212" i="2"/>
  <c r="C3211" i="2"/>
  <c r="C3210" i="2"/>
  <c r="C3209" i="2"/>
  <c r="C3208" i="2"/>
  <c r="C3207" i="2"/>
  <c r="C3206" i="2"/>
  <c r="C3205" i="2"/>
  <c r="C3204" i="2"/>
  <c r="C3203" i="2"/>
  <c r="C3202" i="2"/>
  <c r="C3201" i="2"/>
  <c r="C3200" i="2"/>
  <c r="C3199" i="2"/>
  <c r="C3198" i="2"/>
  <c r="C3197" i="2"/>
  <c r="C3196" i="2"/>
  <c r="C3195" i="2"/>
  <c r="C3194" i="2"/>
  <c r="C3193" i="2"/>
  <c r="C3190" i="2"/>
  <c r="C3188" i="2"/>
  <c r="J3183" i="2"/>
  <c r="I3183" i="2"/>
  <c r="H3183" i="2"/>
  <c r="C3182" i="2"/>
  <c r="C3181" i="2"/>
  <c r="C3180" i="2"/>
  <c r="C3179" i="2"/>
  <c r="C3178" i="2"/>
  <c r="C3177" i="2"/>
  <c r="C3176" i="2"/>
  <c r="C3175" i="2"/>
  <c r="C3174" i="2"/>
  <c r="C3173" i="2"/>
  <c r="C3172" i="2"/>
  <c r="C3171" i="2"/>
  <c r="C3170" i="2"/>
  <c r="C3169" i="2"/>
  <c r="C3168" i="2"/>
  <c r="C3167" i="2"/>
  <c r="C3166" i="2"/>
  <c r="C3165" i="2"/>
  <c r="C3164" i="2"/>
  <c r="C3163" i="2"/>
  <c r="C3162" i="2"/>
  <c r="C3161" i="2"/>
  <c r="C3160" i="2"/>
  <c r="C3159" i="2"/>
  <c r="C3158" i="2"/>
  <c r="C3157" i="2"/>
  <c r="C3156" i="2"/>
  <c r="C3155" i="2"/>
  <c r="C3154" i="2"/>
  <c r="C3153" i="2"/>
  <c r="C3152" i="2"/>
  <c r="C3151" i="2"/>
  <c r="C3150" i="2"/>
  <c r="C3149" i="2"/>
  <c r="C3148" i="2"/>
  <c r="C3147" i="2"/>
  <c r="C3146" i="2"/>
  <c r="C3145" i="2"/>
  <c r="C3144" i="2"/>
  <c r="C3143" i="2"/>
  <c r="C3142" i="2"/>
  <c r="C3141" i="2"/>
  <c r="C3140" i="2"/>
  <c r="C3139" i="2"/>
  <c r="C3138" i="2"/>
  <c r="C3137" i="2"/>
  <c r="C3136" i="2"/>
  <c r="C3135" i="2"/>
  <c r="C3134" i="2"/>
  <c r="C3133" i="2"/>
  <c r="C3132" i="2"/>
  <c r="C3131" i="2"/>
  <c r="C3130" i="2"/>
  <c r="C3129" i="2"/>
  <c r="C3128" i="2"/>
  <c r="C3127" i="2"/>
  <c r="C3126" i="2"/>
  <c r="C3125" i="2"/>
  <c r="C3122" i="2"/>
  <c r="C3120" i="2"/>
  <c r="J3115" i="2"/>
  <c r="I3115" i="2"/>
  <c r="H3115" i="2"/>
  <c r="C3114" i="2"/>
  <c r="C3113" i="2"/>
  <c r="C3112" i="2"/>
  <c r="C3111" i="2"/>
  <c r="C3110" i="2"/>
  <c r="C3109" i="2"/>
  <c r="C3108" i="2"/>
  <c r="C3107" i="2"/>
  <c r="C3106" i="2"/>
  <c r="C3105" i="2"/>
  <c r="C3104" i="2"/>
  <c r="C3103" i="2"/>
  <c r="C3102" i="2"/>
  <c r="C3101" i="2"/>
  <c r="C3100" i="2"/>
  <c r="C3099" i="2"/>
  <c r="C3098" i="2"/>
  <c r="C3097" i="2"/>
  <c r="C3096" i="2"/>
  <c r="C3095" i="2"/>
  <c r="C3094" i="2"/>
  <c r="C3093" i="2"/>
  <c r="C3092" i="2"/>
  <c r="C3091" i="2"/>
  <c r="C3090" i="2"/>
  <c r="C3089" i="2"/>
  <c r="C3088" i="2"/>
  <c r="C3087" i="2"/>
  <c r="C3086" i="2"/>
  <c r="C3085" i="2"/>
  <c r="C3084" i="2"/>
  <c r="C3083" i="2"/>
  <c r="C3082" i="2"/>
  <c r="C3081" i="2"/>
  <c r="C3080" i="2"/>
  <c r="C3079" i="2"/>
  <c r="C3078" i="2"/>
  <c r="C3077" i="2"/>
  <c r="C3076" i="2"/>
  <c r="C3075" i="2"/>
  <c r="C3074" i="2"/>
  <c r="C3073" i="2"/>
  <c r="C3072" i="2"/>
  <c r="C3071" i="2"/>
  <c r="C3070" i="2"/>
  <c r="C3069" i="2"/>
  <c r="C3068" i="2"/>
  <c r="C3067" i="2"/>
  <c r="C3066" i="2"/>
  <c r="C3065" i="2"/>
  <c r="C3064" i="2"/>
  <c r="C3063" i="2"/>
  <c r="C3062" i="2"/>
  <c r="C3061" i="2"/>
  <c r="C3060" i="2"/>
  <c r="C3059" i="2"/>
  <c r="C3058" i="2"/>
  <c r="C3057" i="2"/>
  <c r="C3056" i="2"/>
  <c r="C3055" i="2"/>
  <c r="C3054" i="2"/>
  <c r="C3053" i="2"/>
  <c r="C3052" i="2"/>
  <c r="C3051" i="2"/>
  <c r="C3050" i="2"/>
  <c r="C3049" i="2"/>
  <c r="C3048" i="2"/>
  <c r="C3045" i="2"/>
  <c r="C3043" i="2"/>
  <c r="J3038" i="2"/>
  <c r="I3038" i="2"/>
  <c r="H3038" i="2"/>
  <c r="C3037" i="2"/>
  <c r="C3036" i="2"/>
  <c r="C3035" i="2"/>
  <c r="C3034" i="2"/>
  <c r="C3033" i="2"/>
  <c r="C3032" i="2"/>
  <c r="C3031" i="2"/>
  <c r="C3030" i="2"/>
  <c r="C3029" i="2"/>
  <c r="C3028" i="2"/>
  <c r="C3027" i="2"/>
  <c r="C3026" i="2"/>
  <c r="C3025" i="2"/>
  <c r="C3024" i="2"/>
  <c r="C3021" i="2"/>
  <c r="C3019" i="2"/>
  <c r="J3014" i="2"/>
  <c r="I3014" i="2"/>
  <c r="H3014" i="2"/>
  <c r="C3013" i="2"/>
  <c r="C3012" i="2"/>
  <c r="C3011" i="2"/>
  <c r="C3010" i="2"/>
  <c r="C3009" i="2"/>
  <c r="C3008" i="2"/>
  <c r="C3007" i="2"/>
  <c r="C3006" i="2"/>
  <c r="C3005" i="2"/>
  <c r="C3004" i="2"/>
  <c r="C3003" i="2"/>
  <c r="C3002" i="2"/>
  <c r="C3001" i="2"/>
  <c r="C3000" i="2"/>
  <c r="C2999" i="2"/>
  <c r="C2998" i="2"/>
  <c r="C2997" i="2"/>
  <c r="C2996" i="2"/>
  <c r="C2995" i="2"/>
  <c r="C2994" i="2"/>
  <c r="C2993" i="2"/>
  <c r="C2992" i="2"/>
  <c r="C2991" i="2"/>
  <c r="C2990" i="2"/>
  <c r="C2989" i="2"/>
  <c r="C2988" i="2"/>
  <c r="C2987" i="2"/>
  <c r="C2986" i="2"/>
  <c r="C2985" i="2"/>
  <c r="C2984" i="2"/>
  <c r="C2983" i="2"/>
  <c r="C2982" i="2"/>
  <c r="C2981" i="2"/>
  <c r="C2980" i="2"/>
  <c r="C2979" i="2"/>
  <c r="C2978" i="2"/>
  <c r="C2977" i="2"/>
  <c r="C2976" i="2"/>
  <c r="C2975" i="2"/>
  <c r="C2974" i="2"/>
  <c r="C2973" i="2"/>
  <c r="C2972" i="2"/>
  <c r="C2971" i="2"/>
  <c r="C2970" i="2"/>
  <c r="C2969" i="2"/>
  <c r="C2968" i="2"/>
  <c r="C2967" i="2"/>
  <c r="C2966" i="2"/>
  <c r="C2965" i="2"/>
  <c r="C2964" i="2"/>
  <c r="C2963" i="2"/>
  <c r="C2962" i="2"/>
  <c r="C2961" i="2"/>
  <c r="C2960" i="2"/>
  <c r="C2959" i="2"/>
  <c r="C2958" i="2"/>
  <c r="C2957" i="2"/>
  <c r="C2956" i="2"/>
  <c r="C2953" i="2"/>
  <c r="C2951" i="2"/>
  <c r="J2946" i="2"/>
  <c r="I2946" i="2"/>
  <c r="H2946" i="2"/>
  <c r="C2945" i="2"/>
  <c r="C2944" i="2"/>
  <c r="C2943" i="2"/>
  <c r="C2942" i="2"/>
  <c r="C2941" i="2"/>
  <c r="C2940" i="2"/>
  <c r="C2939" i="2"/>
  <c r="C2938" i="2"/>
  <c r="C2937" i="2"/>
  <c r="C2936" i="2"/>
  <c r="C2935" i="2"/>
  <c r="C2934" i="2"/>
  <c r="C2933" i="2"/>
  <c r="C2932" i="2"/>
  <c r="C2931" i="2"/>
  <c r="C2930" i="2"/>
  <c r="C2929" i="2"/>
  <c r="C2928" i="2"/>
  <c r="C2927" i="2"/>
  <c r="C2926" i="2"/>
  <c r="C2925" i="2"/>
  <c r="C2924" i="2"/>
  <c r="C2923" i="2"/>
  <c r="C2922" i="2"/>
  <c r="C2921" i="2"/>
  <c r="C2920" i="2"/>
  <c r="C2919" i="2"/>
  <c r="C2918" i="2"/>
  <c r="C2917" i="2"/>
  <c r="C2916" i="2"/>
  <c r="C2915" i="2"/>
  <c r="C2914" i="2"/>
  <c r="C2913" i="2"/>
  <c r="C2912" i="2"/>
  <c r="C2911" i="2"/>
  <c r="C2910" i="2"/>
  <c r="C2909" i="2"/>
  <c r="C2908" i="2"/>
  <c r="C2907" i="2"/>
  <c r="C2906" i="2"/>
  <c r="C2905" i="2"/>
  <c r="C2904" i="2"/>
  <c r="C2903" i="2"/>
  <c r="C2902" i="2"/>
  <c r="C2901" i="2"/>
  <c r="C2900" i="2"/>
  <c r="C2897" i="2"/>
  <c r="C2895" i="2"/>
  <c r="J2890" i="2"/>
  <c r="I2890" i="2"/>
  <c r="H2890" i="2"/>
  <c r="C2889" i="2"/>
  <c r="C2888" i="2"/>
  <c r="C2887" i="2"/>
  <c r="C2886" i="2"/>
  <c r="C2885" i="2"/>
  <c r="C2884" i="2"/>
  <c r="C2883" i="2"/>
  <c r="C2882" i="2"/>
  <c r="C2881" i="2"/>
  <c r="C2880" i="2"/>
  <c r="C2879" i="2"/>
  <c r="C2878" i="2"/>
  <c r="C2877" i="2"/>
  <c r="C2876" i="2"/>
  <c r="C2875" i="2"/>
  <c r="C2874" i="2"/>
  <c r="C2873" i="2"/>
  <c r="C2872" i="2"/>
  <c r="C2871" i="2"/>
  <c r="C2870" i="2"/>
  <c r="C2869" i="2"/>
  <c r="C2868" i="2"/>
  <c r="C2867" i="2"/>
  <c r="C2866" i="2"/>
  <c r="C2865" i="2"/>
  <c r="C2864" i="2"/>
  <c r="C2863" i="2"/>
  <c r="C2862" i="2"/>
  <c r="C2861" i="2"/>
  <c r="C2860" i="2"/>
  <c r="C2859" i="2"/>
  <c r="C2858" i="2"/>
  <c r="C2857" i="2"/>
  <c r="C2856" i="2"/>
  <c r="C2855" i="2"/>
  <c r="C2854" i="2"/>
  <c r="C2853" i="2"/>
  <c r="C2852" i="2"/>
  <c r="C2851" i="2"/>
  <c r="C2850" i="2"/>
  <c r="C2849" i="2"/>
  <c r="C2848" i="2"/>
  <c r="C2847" i="2"/>
  <c r="C2846" i="2"/>
  <c r="C2845" i="2"/>
  <c r="C2844" i="2"/>
  <c r="C2843" i="2"/>
  <c r="C2842" i="2"/>
  <c r="C2841" i="2"/>
  <c r="C2840" i="2"/>
  <c r="C2839" i="2"/>
  <c r="C2838" i="2"/>
  <c r="C2837" i="2"/>
  <c r="C2836" i="2"/>
  <c r="C2835" i="2"/>
  <c r="C2834" i="2"/>
  <c r="C2833" i="2"/>
  <c r="C2832" i="2"/>
  <c r="C2831" i="2"/>
  <c r="C2830" i="2"/>
  <c r="C2829" i="2"/>
  <c r="C2828" i="2"/>
  <c r="C2827" i="2"/>
  <c r="C2826" i="2"/>
  <c r="C2825" i="2"/>
  <c r="C2824" i="2"/>
  <c r="C2823" i="2"/>
  <c r="C2822" i="2"/>
  <c r="C2819" i="2"/>
  <c r="C2817" i="2"/>
  <c r="J2812" i="2"/>
  <c r="I2812" i="2"/>
  <c r="H2812" i="2"/>
  <c r="C2811" i="2"/>
  <c r="C2810" i="2"/>
  <c r="C2809" i="2"/>
  <c r="C2808" i="2"/>
  <c r="C2807" i="2"/>
  <c r="C2806" i="2"/>
  <c r="C2805" i="2"/>
  <c r="C2804" i="2"/>
  <c r="C2803" i="2"/>
  <c r="C2802" i="2"/>
  <c r="C2801" i="2"/>
  <c r="C2800" i="2"/>
  <c r="C2799" i="2"/>
  <c r="C2798" i="2"/>
  <c r="C2795" i="2"/>
  <c r="C2793" i="2"/>
  <c r="J2788" i="2"/>
  <c r="I2788" i="2"/>
  <c r="H2788" i="2"/>
  <c r="C2787" i="2"/>
  <c r="C2786" i="2"/>
  <c r="C2785" i="2"/>
  <c r="C2784" i="2"/>
  <c r="C2783" i="2"/>
  <c r="C2782" i="2"/>
  <c r="C2781" i="2"/>
  <c r="C2780" i="2"/>
  <c r="C2779" i="2"/>
  <c r="C2778" i="2"/>
  <c r="C2777" i="2"/>
  <c r="C2776" i="2"/>
  <c r="C2775" i="2"/>
  <c r="C2772" i="2"/>
  <c r="C2770" i="2"/>
  <c r="J2765" i="2"/>
  <c r="I2765" i="2"/>
  <c r="H2765" i="2"/>
  <c r="C2764" i="2"/>
  <c r="C2763" i="2"/>
  <c r="C2762" i="2"/>
  <c r="C2761" i="2"/>
  <c r="C2760" i="2"/>
  <c r="C2759" i="2"/>
  <c r="C2758" i="2"/>
  <c r="C2757" i="2"/>
  <c r="C2756" i="2"/>
  <c r="C2755" i="2"/>
  <c r="C2754" i="2"/>
  <c r="C2753" i="2"/>
  <c r="C2752" i="2"/>
  <c r="C2751" i="2"/>
  <c r="C2750" i="2"/>
  <c r="C2749" i="2"/>
  <c r="C2748" i="2"/>
  <c r="C2747" i="2"/>
  <c r="C2746" i="2"/>
  <c r="C2745" i="2"/>
  <c r="C2744" i="2"/>
  <c r="C2743" i="2"/>
  <c r="C2742" i="2"/>
  <c r="C2741" i="2"/>
  <c r="C2740" i="2"/>
  <c r="C2739" i="2"/>
  <c r="C2738" i="2"/>
  <c r="C2737" i="2"/>
  <c r="C2736" i="2"/>
  <c r="C2735" i="2"/>
  <c r="C2734" i="2"/>
  <c r="C2733" i="2"/>
  <c r="C2732" i="2"/>
  <c r="C2731" i="2"/>
  <c r="C2730" i="2"/>
  <c r="C2729" i="2"/>
  <c r="C2728" i="2"/>
  <c r="C2727" i="2"/>
  <c r="C2726" i="2"/>
  <c r="C2725" i="2"/>
  <c r="C2724" i="2"/>
  <c r="C2723" i="2"/>
  <c r="C2722" i="2"/>
  <c r="C2721" i="2"/>
  <c r="C2720" i="2"/>
  <c r="C2719" i="2"/>
  <c r="C2718" i="2"/>
  <c r="C2717" i="2"/>
  <c r="C2716" i="2"/>
  <c r="C2715" i="2"/>
  <c r="C2714" i="2"/>
  <c r="C2713" i="2"/>
  <c r="C2712" i="2"/>
  <c r="C2711" i="2"/>
  <c r="C2710" i="2"/>
  <c r="C2709" i="2"/>
  <c r="C2708" i="2"/>
  <c r="C2707" i="2"/>
  <c r="C2706" i="2"/>
  <c r="C2705" i="2"/>
  <c r="C2704" i="2"/>
  <c r="C2703" i="2"/>
  <c r="C2702" i="2"/>
  <c r="C2701" i="2"/>
  <c r="C2698" i="2"/>
  <c r="C2696" i="2"/>
  <c r="J2691" i="2"/>
  <c r="I2691" i="2"/>
  <c r="H2691" i="2"/>
  <c r="C2690" i="2"/>
  <c r="C2689" i="2"/>
  <c r="C2688" i="2"/>
  <c r="C2687" i="2"/>
  <c r="C2686" i="2"/>
  <c r="C2685" i="2"/>
  <c r="C2684" i="2"/>
  <c r="C2683" i="2"/>
  <c r="C2682" i="2"/>
  <c r="C2681" i="2"/>
  <c r="C2680" i="2"/>
  <c r="C2679" i="2"/>
  <c r="C2678" i="2"/>
  <c r="C2677" i="2"/>
  <c r="C2676" i="2"/>
  <c r="C2675" i="2"/>
  <c r="C2674" i="2"/>
  <c r="C2671" i="2"/>
  <c r="C2669" i="2"/>
  <c r="J2664" i="2"/>
  <c r="I2664" i="2"/>
  <c r="H2664" i="2"/>
  <c r="C2663" i="2"/>
  <c r="C2662" i="2"/>
  <c r="C2661" i="2"/>
  <c r="C2660" i="2"/>
  <c r="C2659" i="2"/>
  <c r="C2658" i="2"/>
  <c r="C2657" i="2"/>
  <c r="C2656" i="2"/>
  <c r="C2655" i="2"/>
  <c r="C2654" i="2"/>
  <c r="C2653" i="2"/>
  <c r="C2652" i="2"/>
  <c r="C2651" i="2"/>
  <c r="C2650" i="2"/>
  <c r="C2649" i="2"/>
  <c r="C2648" i="2"/>
  <c r="C2647" i="2"/>
  <c r="C2646" i="2"/>
  <c r="C2645" i="2"/>
  <c r="C2644" i="2"/>
  <c r="C2643" i="2"/>
  <c r="C2642" i="2"/>
  <c r="C2641" i="2"/>
  <c r="C2640" i="2"/>
  <c r="C2639" i="2"/>
  <c r="C2638" i="2"/>
  <c r="C2637" i="2"/>
  <c r="C2636" i="2"/>
  <c r="C2635" i="2"/>
  <c r="C2634" i="2"/>
  <c r="C2633" i="2"/>
  <c r="C2632" i="2"/>
  <c r="C2631" i="2"/>
  <c r="C2630" i="2"/>
  <c r="C2629" i="2"/>
  <c r="C2628" i="2"/>
  <c r="C2627" i="2"/>
  <c r="C2626" i="2"/>
  <c r="C2625" i="2"/>
  <c r="C2624" i="2"/>
  <c r="C2623" i="2"/>
  <c r="C2622" i="2"/>
  <c r="C2621" i="2"/>
  <c r="C2620" i="2"/>
  <c r="C2619" i="2"/>
  <c r="C2618" i="2"/>
  <c r="C2617" i="2"/>
  <c r="C2616" i="2"/>
  <c r="C2615" i="2"/>
  <c r="C2614" i="2"/>
  <c r="C2613" i="2"/>
  <c r="C2612" i="2"/>
  <c r="C2611" i="2"/>
  <c r="C2610" i="2"/>
  <c r="C2609" i="2"/>
  <c r="C2608" i="2"/>
  <c r="C2607" i="2"/>
  <c r="C2606" i="2"/>
  <c r="C2603" i="2"/>
  <c r="C2601" i="2"/>
  <c r="J2596" i="2"/>
  <c r="I2596" i="2"/>
  <c r="H2596" i="2"/>
  <c r="C2595" i="2"/>
  <c r="C2594" i="2"/>
  <c r="C2593" i="2"/>
  <c r="C2592" i="2"/>
  <c r="C2591" i="2"/>
  <c r="C2590" i="2"/>
  <c r="C2589" i="2"/>
  <c r="C2588" i="2"/>
  <c r="C2587" i="2"/>
  <c r="C2586" i="2"/>
  <c r="C2585" i="2"/>
  <c r="C2584" i="2"/>
  <c r="C2583" i="2"/>
  <c r="C2582" i="2"/>
  <c r="C2581" i="2"/>
  <c r="C2580" i="2"/>
  <c r="C2579" i="2"/>
  <c r="C2578" i="2"/>
  <c r="C2577" i="2"/>
  <c r="C2576" i="2"/>
  <c r="C2575" i="2"/>
  <c r="C2574" i="2"/>
  <c r="C2573" i="2"/>
  <c r="C2572" i="2"/>
  <c r="C2571" i="2"/>
  <c r="C2570" i="2"/>
  <c r="C2569" i="2"/>
  <c r="C2568" i="2"/>
  <c r="C2567" i="2"/>
  <c r="C2566" i="2"/>
  <c r="C2565" i="2"/>
  <c r="C2564" i="2"/>
  <c r="C2563" i="2"/>
  <c r="C2562" i="2"/>
  <c r="C2561" i="2"/>
  <c r="C2560" i="2"/>
  <c r="C2559" i="2"/>
  <c r="C2558" i="2"/>
  <c r="C2557" i="2"/>
  <c r="C2556" i="2"/>
  <c r="C2555" i="2"/>
  <c r="C2554" i="2"/>
  <c r="C2553" i="2"/>
  <c r="C2552" i="2"/>
  <c r="C2551" i="2"/>
  <c r="C2550" i="2"/>
  <c r="C2549" i="2"/>
  <c r="C2548" i="2"/>
  <c r="C2547" i="2"/>
  <c r="C2546" i="2"/>
  <c r="C2543" i="2"/>
  <c r="C2541" i="2"/>
  <c r="J2536" i="2"/>
  <c r="I2536" i="2"/>
  <c r="H2536" i="2"/>
  <c r="C2535" i="2"/>
  <c r="C2534" i="2"/>
  <c r="C2533" i="2"/>
  <c r="C2532" i="2"/>
  <c r="C2531" i="2"/>
  <c r="C2530" i="2"/>
  <c r="C2529" i="2"/>
  <c r="C2528" i="2"/>
  <c r="C2527" i="2"/>
  <c r="C2526" i="2"/>
  <c r="C2525" i="2"/>
  <c r="C2524" i="2"/>
  <c r="C2523" i="2"/>
  <c r="C2522" i="2"/>
  <c r="C2521" i="2"/>
  <c r="C2520" i="2"/>
  <c r="C2519" i="2"/>
  <c r="C2518" i="2"/>
  <c r="C2517" i="2"/>
  <c r="C2516" i="2"/>
  <c r="C2515" i="2"/>
  <c r="C2514" i="2"/>
  <c r="C2513" i="2"/>
  <c r="C2512" i="2"/>
  <c r="C2511" i="2"/>
  <c r="C2510" i="2"/>
  <c r="C2509" i="2"/>
  <c r="C2508" i="2"/>
  <c r="C2507" i="2"/>
  <c r="C2506" i="2"/>
  <c r="C2505" i="2"/>
  <c r="C2504" i="2"/>
  <c r="C2503" i="2"/>
  <c r="C2502" i="2"/>
  <c r="C2501" i="2"/>
  <c r="C2500" i="2"/>
  <c r="C2499" i="2"/>
  <c r="C2498" i="2"/>
  <c r="C2497" i="2"/>
  <c r="C2496" i="2"/>
  <c r="C2495" i="2"/>
  <c r="C2494" i="2"/>
  <c r="C2493" i="2"/>
  <c r="C2492" i="2"/>
  <c r="C2491" i="2"/>
  <c r="C2490" i="2"/>
  <c r="C2489" i="2"/>
  <c r="C2488" i="2"/>
  <c r="C2487" i="2"/>
  <c r="C2486" i="2"/>
  <c r="C2483" i="2"/>
  <c r="C2481" i="2"/>
  <c r="J2476" i="2"/>
  <c r="I2476" i="2"/>
  <c r="H2476" i="2"/>
  <c r="C2475" i="2"/>
  <c r="C2474" i="2"/>
  <c r="C2473" i="2"/>
  <c r="C2472" i="2"/>
  <c r="C2471" i="2"/>
  <c r="C2470" i="2"/>
  <c r="C2469" i="2"/>
  <c r="C2468" i="2"/>
  <c r="C2467" i="2"/>
  <c r="C2466" i="2"/>
  <c r="C2465" i="2"/>
  <c r="C2464" i="2"/>
  <c r="C2463" i="2"/>
  <c r="C2462" i="2"/>
  <c r="C2461" i="2"/>
  <c r="C2460" i="2"/>
  <c r="C2459" i="2"/>
  <c r="C2458" i="2"/>
  <c r="C2457" i="2"/>
  <c r="C2456" i="2"/>
  <c r="C2455" i="2"/>
  <c r="C2454" i="2"/>
  <c r="C2453" i="2"/>
  <c r="C2452" i="2"/>
  <c r="C2451" i="2"/>
  <c r="C2450" i="2"/>
  <c r="C2449" i="2"/>
  <c r="C2448" i="2"/>
  <c r="C2447" i="2"/>
  <c r="C2446" i="2"/>
  <c r="C2445" i="2"/>
  <c r="C2444" i="2"/>
  <c r="C2443" i="2"/>
  <c r="C2442" i="2"/>
  <c r="C2441" i="2"/>
  <c r="C2440" i="2"/>
  <c r="C2439" i="2"/>
  <c r="C2438" i="2"/>
  <c r="C2437" i="2"/>
  <c r="C2436" i="2"/>
  <c r="C2435" i="2"/>
  <c r="C2434" i="2"/>
  <c r="C2433" i="2"/>
  <c r="C2432" i="2"/>
  <c r="C2431" i="2"/>
  <c r="C2430" i="2"/>
  <c r="C2429" i="2"/>
  <c r="C2428" i="2"/>
  <c r="C2427" i="2"/>
  <c r="C2426" i="2"/>
  <c r="C2423" i="2"/>
  <c r="C2421" i="2"/>
  <c r="J2416" i="2"/>
  <c r="I2416" i="2"/>
  <c r="H2416" i="2"/>
  <c r="C2415" i="2"/>
  <c r="C2414" i="2"/>
  <c r="C2413" i="2"/>
  <c r="C2412" i="2"/>
  <c r="C2411" i="2"/>
  <c r="C2410" i="2"/>
  <c r="C2409" i="2"/>
  <c r="C2408" i="2"/>
  <c r="C2407" i="2"/>
  <c r="C2406" i="2"/>
  <c r="C2405" i="2"/>
  <c r="C2404" i="2"/>
  <c r="C2403" i="2"/>
  <c r="C2402" i="2"/>
  <c r="C2401" i="2"/>
  <c r="C2400" i="2"/>
  <c r="C2399" i="2"/>
  <c r="C2398" i="2"/>
  <c r="C2397" i="2"/>
  <c r="C2396" i="2"/>
  <c r="C2395" i="2"/>
  <c r="C2394" i="2"/>
  <c r="C2393" i="2"/>
  <c r="C2392" i="2"/>
  <c r="C2391" i="2"/>
  <c r="C2390" i="2"/>
  <c r="C2389" i="2"/>
  <c r="C2388" i="2"/>
  <c r="C2387" i="2"/>
  <c r="C2386" i="2"/>
  <c r="C2385" i="2"/>
  <c r="C2384" i="2"/>
  <c r="C2383" i="2"/>
  <c r="C2382" i="2"/>
  <c r="C2381" i="2"/>
  <c r="C2380" i="2"/>
  <c r="C2379" i="2"/>
  <c r="C2378" i="2"/>
  <c r="C2377" i="2"/>
  <c r="C2376" i="2"/>
  <c r="C2375" i="2"/>
  <c r="C2374" i="2"/>
  <c r="C2373" i="2"/>
  <c r="C2372" i="2"/>
  <c r="C2371" i="2"/>
  <c r="C2370" i="2"/>
  <c r="C2369" i="2"/>
  <c r="C2368" i="2"/>
  <c r="C2367" i="2"/>
  <c r="C2366" i="2"/>
  <c r="C2363" i="2"/>
  <c r="C2361" i="2"/>
  <c r="J2356" i="2"/>
  <c r="I2356" i="2"/>
  <c r="H2356" i="2"/>
  <c r="C2355" i="2"/>
  <c r="C2354" i="2"/>
  <c r="C2353" i="2"/>
  <c r="C2352" i="2"/>
  <c r="C2351" i="2"/>
  <c r="C2350" i="2"/>
  <c r="C2349" i="2"/>
  <c r="C2348" i="2"/>
  <c r="C2347" i="2"/>
  <c r="C2346" i="2"/>
  <c r="C2345" i="2"/>
  <c r="C2344" i="2"/>
  <c r="C2343" i="2"/>
  <c r="C2342" i="2"/>
  <c r="C2341" i="2"/>
  <c r="C2340" i="2"/>
  <c r="C2337" i="2"/>
  <c r="C2335" i="2"/>
  <c r="J2330" i="2"/>
  <c r="I2330" i="2"/>
  <c r="H2330" i="2"/>
  <c r="C2329" i="2"/>
  <c r="C2328" i="2"/>
  <c r="C2327" i="2"/>
  <c r="C2326" i="2"/>
  <c r="C2325" i="2"/>
  <c r="C2324" i="2"/>
  <c r="C2323" i="2"/>
  <c r="C2322" i="2"/>
  <c r="C2321" i="2"/>
  <c r="C2320" i="2"/>
  <c r="C2319" i="2"/>
  <c r="C2318" i="2"/>
  <c r="C2317" i="2"/>
  <c r="C2316" i="2"/>
  <c r="C2315" i="2"/>
  <c r="C2314" i="2"/>
  <c r="C2313" i="2"/>
  <c r="C2312" i="2"/>
  <c r="C2311" i="2"/>
  <c r="C2310" i="2"/>
  <c r="C2309" i="2"/>
  <c r="C2308" i="2"/>
  <c r="C2307" i="2"/>
  <c r="C2306" i="2"/>
  <c r="C2305" i="2"/>
  <c r="C2304" i="2"/>
  <c r="C2303" i="2"/>
  <c r="C2302" i="2"/>
  <c r="C2301" i="2"/>
  <c r="C2300" i="2"/>
  <c r="C2299" i="2"/>
  <c r="C2298" i="2"/>
  <c r="C2297" i="2"/>
  <c r="C2296" i="2"/>
  <c r="C2295" i="2"/>
  <c r="C2294" i="2"/>
  <c r="C2291" i="2"/>
  <c r="C2289" i="2"/>
  <c r="J2284" i="2"/>
  <c r="I2284" i="2"/>
  <c r="H2284" i="2"/>
  <c r="C2283" i="2"/>
  <c r="C2282" i="2"/>
  <c r="C2281" i="2"/>
  <c r="C2280" i="2"/>
  <c r="C2279" i="2"/>
  <c r="C2278" i="2"/>
  <c r="C2277" i="2"/>
  <c r="C2276" i="2"/>
  <c r="C2275" i="2"/>
  <c r="C2274" i="2"/>
  <c r="C2273" i="2"/>
  <c r="C2272" i="2"/>
  <c r="C2271" i="2"/>
  <c r="C2270" i="2"/>
  <c r="C2269" i="2"/>
  <c r="C2268" i="2"/>
  <c r="C2267" i="2"/>
  <c r="C2266" i="2"/>
  <c r="C2265" i="2"/>
  <c r="C2264" i="2"/>
  <c r="C2263" i="2"/>
  <c r="C2262" i="2"/>
  <c r="C2261" i="2"/>
  <c r="C2260" i="2"/>
  <c r="C2259" i="2"/>
  <c r="C2258" i="2"/>
  <c r="C2257" i="2"/>
  <c r="C2256" i="2"/>
  <c r="C2255" i="2"/>
  <c r="C2254" i="2"/>
  <c r="C2253" i="2"/>
  <c r="C2252" i="2"/>
  <c r="C2251" i="2"/>
  <c r="C2250" i="2"/>
  <c r="C2249" i="2"/>
  <c r="C2248" i="2"/>
  <c r="C2245" i="2"/>
  <c r="C2243" i="2"/>
  <c r="J2238" i="2"/>
  <c r="I2238" i="2"/>
  <c r="H2238" i="2"/>
  <c r="C2237" i="2"/>
  <c r="C2236" i="2"/>
  <c r="C2235" i="2"/>
  <c r="C2234" i="2"/>
  <c r="C2233" i="2"/>
  <c r="C2232" i="2"/>
  <c r="C2231" i="2"/>
  <c r="C2230" i="2"/>
  <c r="C2229" i="2"/>
  <c r="C2228" i="2"/>
  <c r="C2227" i="2"/>
  <c r="C2226" i="2"/>
  <c r="C2225" i="2"/>
  <c r="C2224" i="2"/>
  <c r="C2223" i="2"/>
  <c r="C2222" i="2"/>
  <c r="C2221" i="2"/>
  <c r="C2220" i="2"/>
  <c r="C2219" i="2"/>
  <c r="C2218" i="2"/>
  <c r="C2217" i="2"/>
  <c r="C2216" i="2"/>
  <c r="C2215" i="2"/>
  <c r="C2214" i="2"/>
  <c r="C2213" i="2"/>
  <c r="C2212" i="2"/>
  <c r="C2211" i="2"/>
  <c r="C2210" i="2"/>
  <c r="C2209" i="2"/>
  <c r="C2208" i="2"/>
  <c r="C2207" i="2"/>
  <c r="C2206" i="2"/>
  <c r="C2205" i="2"/>
  <c r="C2204" i="2"/>
  <c r="C2203" i="2"/>
  <c r="C2202" i="2"/>
  <c r="C2199" i="2"/>
  <c r="C2197" i="2"/>
  <c r="J2192" i="2"/>
  <c r="I2192" i="2"/>
  <c r="H2192" i="2"/>
  <c r="C2191" i="2"/>
  <c r="C2190" i="2"/>
  <c r="C2189" i="2"/>
  <c r="C2188" i="2"/>
  <c r="C2187" i="2"/>
  <c r="C2186" i="2"/>
  <c r="C2185" i="2"/>
  <c r="C2184" i="2"/>
  <c r="C2183" i="2"/>
  <c r="C2182" i="2"/>
  <c r="C2181" i="2"/>
  <c r="C2180" i="2"/>
  <c r="C2179" i="2"/>
  <c r="C2178" i="2"/>
  <c r="C2177" i="2"/>
  <c r="C2176" i="2"/>
  <c r="C2173" i="2"/>
  <c r="C2171" i="2"/>
  <c r="J2166" i="2"/>
  <c r="I2166" i="2"/>
  <c r="H2166" i="2"/>
  <c r="C2165" i="2"/>
  <c r="C2164" i="2"/>
  <c r="C2163" i="2"/>
  <c r="C2162" i="2"/>
  <c r="C2161" i="2"/>
  <c r="C2160" i="2"/>
  <c r="C2159" i="2"/>
  <c r="C2158" i="2"/>
  <c r="C2157" i="2"/>
  <c r="C2156" i="2"/>
  <c r="C2155" i="2"/>
  <c r="C2154" i="2"/>
  <c r="C2153" i="2"/>
  <c r="C2152" i="2"/>
  <c r="C2151" i="2"/>
  <c r="C2150" i="2"/>
  <c r="C2149" i="2"/>
  <c r="C2148" i="2"/>
  <c r="C2147" i="2"/>
  <c r="C2146" i="2"/>
  <c r="C2145" i="2"/>
  <c r="C2144" i="2"/>
  <c r="C2143" i="2"/>
  <c r="C2142" i="2"/>
  <c r="C2141" i="2"/>
  <c r="C2140" i="2"/>
  <c r="C2139" i="2"/>
  <c r="C2138" i="2"/>
  <c r="C2137" i="2"/>
  <c r="C2136" i="2"/>
  <c r="C2135" i="2"/>
  <c r="C2134" i="2"/>
  <c r="C2133" i="2"/>
  <c r="C2132" i="2"/>
  <c r="C2131" i="2"/>
  <c r="C2130" i="2"/>
  <c r="C2127" i="2"/>
  <c r="C2125" i="2"/>
  <c r="J2120" i="2"/>
  <c r="I2120" i="2"/>
  <c r="H2120" i="2"/>
  <c r="C2119" i="2"/>
  <c r="C2118" i="2"/>
  <c r="C2117" i="2"/>
  <c r="C2116" i="2"/>
  <c r="C2115" i="2"/>
  <c r="C2114" i="2"/>
  <c r="C2113" i="2"/>
  <c r="C2112" i="2"/>
  <c r="C2111" i="2"/>
  <c r="C2110" i="2"/>
  <c r="C2109" i="2"/>
  <c r="C2108" i="2"/>
  <c r="C2107" i="2"/>
  <c r="C2106" i="2"/>
  <c r="C2105" i="2"/>
  <c r="C2104" i="2"/>
  <c r="C2101" i="2"/>
  <c r="C2099" i="2"/>
  <c r="J2094" i="2"/>
  <c r="I2094" i="2"/>
  <c r="H2094" i="2"/>
  <c r="C2093" i="2"/>
  <c r="C2092" i="2"/>
  <c r="C2091" i="2"/>
  <c r="C2090" i="2"/>
  <c r="C2089" i="2"/>
  <c r="C2086" i="2"/>
  <c r="C2084" i="2"/>
  <c r="J2079" i="2"/>
  <c r="I2079" i="2"/>
  <c r="H2079" i="2"/>
  <c r="C2078" i="2"/>
  <c r="C2077" i="2"/>
  <c r="C2076" i="2"/>
  <c r="C2075" i="2"/>
  <c r="C2074" i="2"/>
  <c r="C2071" i="2"/>
  <c r="C2069" i="2"/>
  <c r="J2064" i="2"/>
  <c r="I2064" i="2"/>
  <c r="H2064" i="2"/>
  <c r="C2063" i="2"/>
  <c r="C2062" i="2"/>
  <c r="C2061" i="2"/>
  <c r="C2060" i="2"/>
  <c r="C2059" i="2"/>
  <c r="C2058" i="2"/>
  <c r="C2057" i="2"/>
  <c r="C2056" i="2"/>
  <c r="C2055" i="2"/>
  <c r="C2054" i="2"/>
  <c r="C2053" i="2"/>
  <c r="C2052" i="2"/>
  <c r="C2051" i="2"/>
  <c r="C2050" i="2"/>
  <c r="C2049" i="2"/>
  <c r="C2048" i="2"/>
  <c r="C2047" i="2"/>
  <c r="C2046" i="2"/>
  <c r="C2045" i="2"/>
  <c r="C2044" i="2"/>
  <c r="C2043" i="2"/>
  <c r="C2042" i="2"/>
  <c r="C2039" i="2"/>
  <c r="C2037" i="2"/>
  <c r="J2032" i="2"/>
  <c r="I2032" i="2"/>
  <c r="H2032" i="2"/>
  <c r="C2031" i="2"/>
  <c r="C2030" i="2"/>
  <c r="C2029" i="2"/>
  <c r="C2028" i="2"/>
  <c r="C2027" i="2"/>
  <c r="C2024" i="2"/>
  <c r="C2022" i="2"/>
  <c r="J2017" i="2"/>
  <c r="I2017" i="2"/>
  <c r="H2017" i="2"/>
  <c r="C2016" i="2"/>
  <c r="C2015" i="2"/>
  <c r="C2014" i="2"/>
  <c r="C2013" i="2"/>
  <c r="C2012" i="2"/>
  <c r="C2011" i="2"/>
  <c r="C2010" i="2"/>
  <c r="C2009" i="2"/>
  <c r="C2008" i="2"/>
  <c r="C2007" i="2"/>
  <c r="C2006" i="2"/>
  <c r="C2005" i="2"/>
  <c r="C2004" i="2"/>
  <c r="C2003" i="2"/>
  <c r="C2002" i="2"/>
  <c r="C2001" i="2"/>
  <c r="C2000" i="2"/>
  <c r="C1999" i="2"/>
  <c r="C1998" i="2"/>
  <c r="C1997" i="2"/>
  <c r="C1996" i="2"/>
  <c r="C1995" i="2"/>
  <c r="C1992" i="2"/>
  <c r="C1990" i="2"/>
  <c r="J1985" i="2"/>
  <c r="I1985" i="2"/>
  <c r="H1985" i="2"/>
  <c r="C1984" i="2"/>
  <c r="C1983" i="2"/>
  <c r="C1982" i="2"/>
  <c r="C1981" i="2"/>
  <c r="C1980" i="2"/>
  <c r="C1979" i="2"/>
  <c r="C1978" i="2"/>
  <c r="C1977" i="2"/>
  <c r="C1976" i="2"/>
  <c r="C1975" i="2"/>
  <c r="C1974" i="2"/>
  <c r="C1973" i="2"/>
  <c r="C1972" i="2"/>
  <c r="C1971" i="2"/>
  <c r="C1970" i="2"/>
  <c r="C1969" i="2"/>
  <c r="C1968" i="2"/>
  <c r="C1967" i="2"/>
  <c r="C1966" i="2"/>
  <c r="C1965" i="2"/>
  <c r="C1964" i="2"/>
  <c r="C1963" i="2"/>
  <c r="C1960" i="2"/>
  <c r="C1958" i="2"/>
  <c r="J1953" i="2"/>
  <c r="I1953" i="2"/>
  <c r="H1953" i="2"/>
  <c r="C1952" i="2"/>
  <c r="C1951" i="2"/>
  <c r="C1950" i="2"/>
  <c r="C1949" i="2"/>
  <c r="C1948" i="2"/>
  <c r="C1947" i="2"/>
  <c r="C1946" i="2"/>
  <c r="C1945" i="2"/>
  <c r="C1944" i="2"/>
  <c r="C1943" i="2"/>
  <c r="C1942" i="2"/>
  <c r="C1941" i="2"/>
  <c r="C1940" i="2"/>
  <c r="C1939" i="2"/>
  <c r="C1938" i="2"/>
  <c r="C1937" i="2"/>
  <c r="C1936" i="2"/>
  <c r="C1935" i="2"/>
  <c r="C1934" i="2"/>
  <c r="C1933" i="2"/>
  <c r="C1932" i="2"/>
  <c r="C1931" i="2"/>
  <c r="C1928" i="2"/>
  <c r="C1926" i="2"/>
  <c r="J1921" i="2"/>
  <c r="I1921" i="2"/>
  <c r="H1921" i="2"/>
  <c r="C1920" i="2"/>
  <c r="C1919" i="2"/>
  <c r="C1918" i="2"/>
  <c r="C1917" i="2"/>
  <c r="C1916" i="2"/>
  <c r="C1913" i="2"/>
  <c r="C1911" i="2"/>
  <c r="J1906" i="2"/>
  <c r="I1906" i="2"/>
  <c r="H1906" i="2"/>
  <c r="C1905" i="2"/>
  <c r="C1904" i="2"/>
  <c r="C1903" i="2"/>
  <c r="C1900" i="2"/>
  <c r="C1898" i="2"/>
  <c r="J1893" i="2"/>
  <c r="I1893" i="2"/>
  <c r="H1893" i="2"/>
  <c r="C1892" i="2"/>
  <c r="C1891" i="2"/>
  <c r="C1890" i="2"/>
  <c r="C1887" i="2"/>
  <c r="C1885" i="2"/>
  <c r="J1880" i="2"/>
  <c r="I1880" i="2"/>
  <c r="H1880" i="2"/>
  <c r="C1879" i="2"/>
  <c r="C1878" i="2"/>
  <c r="C1877" i="2"/>
  <c r="C1874" i="2"/>
  <c r="C1872" i="2"/>
  <c r="J1867" i="2"/>
  <c r="I1867" i="2"/>
  <c r="H1867" i="2"/>
  <c r="C1866" i="2"/>
  <c r="C1865" i="2"/>
  <c r="C1864" i="2"/>
  <c r="C1861" i="2"/>
  <c r="C1859" i="2"/>
  <c r="J1854" i="2"/>
  <c r="I1854" i="2"/>
  <c r="H1854" i="2"/>
  <c r="C1853" i="2"/>
  <c r="C1852" i="2"/>
  <c r="C1851" i="2"/>
  <c r="C1850" i="2"/>
  <c r="C1849" i="2"/>
  <c r="C1848" i="2"/>
  <c r="C1847" i="2"/>
  <c r="C1846" i="2"/>
  <c r="C1845" i="2"/>
  <c r="C1844" i="2"/>
  <c r="C1843" i="2"/>
  <c r="C1842" i="2"/>
  <c r="C1841" i="2"/>
  <c r="C1840" i="2"/>
  <c r="C1839" i="2"/>
  <c r="C1838" i="2"/>
  <c r="C1837" i="2"/>
  <c r="C1836" i="2"/>
  <c r="C1835" i="2"/>
  <c r="C1834" i="2"/>
  <c r="C1833" i="2"/>
  <c r="C1832" i="2"/>
  <c r="C1831" i="2"/>
  <c r="C1830" i="2"/>
  <c r="C1829" i="2"/>
  <c r="C1828" i="2"/>
  <c r="C1827" i="2"/>
  <c r="C1826" i="2"/>
  <c r="C1825" i="2"/>
  <c r="C1824" i="2"/>
  <c r="C1823" i="2"/>
  <c r="C1822" i="2"/>
  <c r="C1821" i="2"/>
  <c r="C1820" i="2"/>
  <c r="C1819" i="2"/>
  <c r="C1818" i="2"/>
  <c r="C1817" i="2"/>
  <c r="C1816" i="2"/>
  <c r="C1815" i="2"/>
  <c r="C1814" i="2"/>
  <c r="C1813" i="2"/>
  <c r="C1812" i="2"/>
  <c r="C1811" i="2"/>
  <c r="C1810" i="2"/>
  <c r="C1809" i="2"/>
  <c r="C1808" i="2"/>
  <c r="C1805" i="2"/>
  <c r="C1803" i="2"/>
  <c r="J1798" i="2"/>
  <c r="I1798" i="2"/>
  <c r="H1798" i="2"/>
  <c r="C1797" i="2"/>
  <c r="C1796" i="2"/>
  <c r="C1795" i="2"/>
  <c r="C1794" i="2"/>
  <c r="C1793" i="2"/>
  <c r="C1792" i="2"/>
  <c r="C1791" i="2"/>
  <c r="C1790" i="2"/>
  <c r="C1789" i="2"/>
  <c r="C1788" i="2"/>
  <c r="C1787" i="2"/>
  <c r="C1786" i="2"/>
  <c r="C1785" i="2"/>
  <c r="C1784" i="2"/>
  <c r="C1783" i="2"/>
  <c r="C1780" i="2"/>
  <c r="C1778" i="2"/>
  <c r="J1773" i="2"/>
  <c r="I1773" i="2"/>
  <c r="H1773" i="2"/>
  <c r="C1772" i="2"/>
  <c r="C1771" i="2"/>
  <c r="C1770" i="2"/>
  <c r="C1769" i="2"/>
  <c r="C1768" i="2"/>
  <c r="C1767" i="2"/>
  <c r="C1766" i="2"/>
  <c r="C1765" i="2"/>
  <c r="C1764" i="2"/>
  <c r="C1763" i="2"/>
  <c r="C1762" i="2"/>
  <c r="C1761" i="2"/>
  <c r="C1760" i="2"/>
  <c r="C1759" i="2"/>
  <c r="C1758" i="2"/>
  <c r="C1757" i="2"/>
  <c r="C1756" i="2"/>
  <c r="C1755" i="2"/>
  <c r="C1754" i="2"/>
  <c r="C1753" i="2"/>
  <c r="C1752" i="2"/>
  <c r="C1751" i="2"/>
  <c r="C1750" i="2"/>
  <c r="C1749" i="2"/>
  <c r="C1748" i="2"/>
  <c r="C1747" i="2"/>
  <c r="C1746" i="2"/>
  <c r="C1745" i="2"/>
  <c r="C1744" i="2"/>
  <c r="C1743" i="2"/>
  <c r="C1742" i="2"/>
  <c r="C1741" i="2"/>
  <c r="C1740" i="2"/>
  <c r="C1739" i="2"/>
  <c r="C1738" i="2"/>
  <c r="C1737" i="2"/>
  <c r="C1736" i="2"/>
  <c r="C1735" i="2"/>
  <c r="C1734" i="2"/>
  <c r="C1733" i="2"/>
  <c r="C1732" i="2"/>
  <c r="C1731" i="2"/>
  <c r="C1730" i="2"/>
  <c r="C1729" i="2"/>
  <c r="C1728" i="2"/>
  <c r="C1727" i="2"/>
  <c r="C1726" i="2"/>
  <c r="C1725" i="2"/>
  <c r="C1724" i="2"/>
  <c r="C1723" i="2"/>
  <c r="C1722" i="2"/>
  <c r="C1721" i="2"/>
  <c r="C1720" i="2"/>
  <c r="C1719" i="2"/>
  <c r="C1718" i="2"/>
  <c r="C1717" i="2"/>
  <c r="C1716" i="2"/>
  <c r="C1715" i="2"/>
  <c r="C1714" i="2"/>
  <c r="C1713" i="2"/>
  <c r="C1712" i="2"/>
  <c r="C1711" i="2"/>
  <c r="C1710" i="2"/>
  <c r="C1709" i="2"/>
  <c r="C1708" i="2"/>
  <c r="C1707" i="2"/>
  <c r="C1706" i="2"/>
  <c r="C1705" i="2"/>
  <c r="C1704" i="2"/>
  <c r="C1703" i="2"/>
  <c r="C1702" i="2"/>
  <c r="C1701" i="2"/>
  <c r="C1700" i="2"/>
  <c r="C1699" i="2"/>
  <c r="C1698" i="2"/>
  <c r="C1697" i="2"/>
  <c r="C1696" i="2"/>
  <c r="C1693" i="2"/>
  <c r="C1691" i="2"/>
  <c r="J1686" i="2"/>
  <c r="I1686" i="2"/>
  <c r="H1686" i="2"/>
  <c r="C1685" i="2"/>
  <c r="C1684" i="2"/>
  <c r="C1683" i="2"/>
  <c r="C1682" i="2"/>
  <c r="C1681" i="2"/>
  <c r="C1678" i="2"/>
  <c r="C1676" i="2"/>
  <c r="J1671" i="2"/>
  <c r="I1671" i="2"/>
  <c r="H1671" i="2"/>
  <c r="C1670" i="2"/>
  <c r="C1669" i="2"/>
  <c r="C1668" i="2"/>
  <c r="C1667" i="2"/>
  <c r="C1666" i="2"/>
  <c r="C1663" i="2"/>
  <c r="C1661" i="2"/>
  <c r="J1656" i="2"/>
  <c r="I1656" i="2"/>
  <c r="H1656" i="2"/>
  <c r="C1655" i="2"/>
  <c r="C1654" i="2"/>
  <c r="C1653" i="2"/>
  <c r="C1652" i="2"/>
  <c r="C1651" i="2"/>
  <c r="C1650" i="2"/>
  <c r="C1649" i="2"/>
  <c r="C1648" i="2"/>
  <c r="C1647" i="2"/>
  <c r="C1646" i="2"/>
  <c r="C1645" i="2"/>
  <c r="C1644" i="2"/>
  <c r="C1643" i="2"/>
  <c r="C1642" i="2"/>
  <c r="C1641" i="2"/>
  <c r="C1640" i="2"/>
  <c r="C1639" i="2"/>
  <c r="C1638" i="2"/>
  <c r="C1637" i="2"/>
  <c r="C1636" i="2"/>
  <c r="C1635" i="2"/>
  <c r="C1634" i="2"/>
  <c r="C1633" i="2"/>
  <c r="C1632" i="2"/>
  <c r="C1631" i="2"/>
  <c r="C1630" i="2"/>
  <c r="C1629" i="2"/>
  <c r="C1628" i="2"/>
  <c r="C1627" i="2"/>
  <c r="C1626" i="2"/>
  <c r="C1625" i="2"/>
  <c r="C1624" i="2"/>
  <c r="C1623" i="2"/>
  <c r="C1622" i="2"/>
  <c r="C1621" i="2"/>
  <c r="C1620" i="2"/>
  <c r="C1619" i="2"/>
  <c r="C1618" i="2"/>
  <c r="C1617" i="2"/>
  <c r="C1616" i="2"/>
  <c r="C1615" i="2"/>
  <c r="C1614" i="2"/>
  <c r="C1613" i="2"/>
  <c r="C1612" i="2"/>
  <c r="C1611" i="2"/>
  <c r="C1610" i="2"/>
  <c r="C1607" i="2"/>
  <c r="C1605" i="2"/>
  <c r="J1600" i="2"/>
  <c r="I1600" i="2"/>
  <c r="H1600" i="2"/>
  <c r="C1599" i="2"/>
  <c r="C1598" i="2"/>
  <c r="C1597" i="2"/>
  <c r="C1596" i="2"/>
  <c r="C1595" i="2"/>
  <c r="C1592" i="2"/>
  <c r="C1590" i="2"/>
  <c r="J1585" i="2"/>
  <c r="I1585" i="2"/>
  <c r="H1585" i="2"/>
  <c r="C1584" i="2"/>
  <c r="C1583" i="2"/>
  <c r="C1582" i="2"/>
  <c r="C1581" i="2"/>
  <c r="C1580" i="2"/>
  <c r="C1577" i="2"/>
  <c r="C1575" i="2"/>
  <c r="J1570" i="2"/>
  <c r="I1570" i="2"/>
  <c r="H1570" i="2"/>
  <c r="C1569" i="2"/>
  <c r="C1568" i="2"/>
  <c r="C1567" i="2"/>
  <c r="C1566" i="2"/>
  <c r="C1565" i="2"/>
  <c r="C1564" i="2"/>
  <c r="C1563" i="2"/>
  <c r="C1562" i="2"/>
  <c r="C1561" i="2"/>
  <c r="C1560" i="2"/>
  <c r="C1559" i="2"/>
  <c r="C1558" i="2"/>
  <c r="C1555" i="2"/>
  <c r="C1553" i="2"/>
  <c r="J1548" i="2"/>
  <c r="I1548" i="2"/>
  <c r="H1548" i="2"/>
  <c r="C1547" i="2"/>
  <c r="C1546" i="2"/>
  <c r="C1545" i="2"/>
  <c r="C1544" i="2"/>
  <c r="C1543" i="2"/>
  <c r="C1542" i="2"/>
  <c r="C1541" i="2"/>
  <c r="C1540" i="2"/>
  <c r="C1539" i="2"/>
  <c r="C1538" i="2"/>
  <c r="C1537" i="2"/>
  <c r="C1534" i="2"/>
  <c r="C1532" i="2"/>
  <c r="J1527" i="2"/>
  <c r="I1527" i="2"/>
  <c r="H1527" i="2"/>
  <c r="C1526" i="2"/>
  <c r="C1525" i="2"/>
  <c r="C1524" i="2"/>
  <c r="C1523" i="2"/>
  <c r="C1522" i="2"/>
  <c r="C1521" i="2"/>
  <c r="C1520" i="2"/>
  <c r="C1519" i="2"/>
  <c r="C1518" i="2"/>
  <c r="C1517" i="2"/>
  <c r="C1516" i="2"/>
  <c r="C1513" i="2"/>
  <c r="C1511" i="2"/>
  <c r="J1506" i="2"/>
  <c r="I1506" i="2"/>
  <c r="H1506" i="2"/>
  <c r="C1505" i="2"/>
  <c r="C1504" i="2"/>
  <c r="C1503" i="2"/>
  <c r="C1502" i="2"/>
  <c r="C1501" i="2"/>
  <c r="C1500" i="2"/>
  <c r="C1499" i="2"/>
  <c r="C1498" i="2"/>
  <c r="C1497" i="2"/>
  <c r="C1496" i="2"/>
  <c r="C1495" i="2"/>
  <c r="C1492" i="2"/>
  <c r="C1490" i="2"/>
  <c r="J1485" i="2"/>
  <c r="I1485" i="2"/>
  <c r="H1485" i="2"/>
  <c r="C1484" i="2"/>
  <c r="C1483" i="2"/>
  <c r="C1482" i="2"/>
  <c r="C1481" i="2"/>
  <c r="C1480" i="2"/>
  <c r="C1479" i="2"/>
  <c r="C1478" i="2"/>
  <c r="C1477" i="2"/>
  <c r="C1476" i="2"/>
  <c r="C1475" i="2"/>
  <c r="C1474" i="2"/>
  <c r="C1471" i="2"/>
  <c r="C1469" i="2"/>
  <c r="J1464" i="2"/>
  <c r="I1464" i="2"/>
  <c r="H1464" i="2"/>
  <c r="C1463" i="2"/>
  <c r="C1462" i="2"/>
  <c r="C1461" i="2"/>
  <c r="C1460" i="2"/>
  <c r="C1459" i="2"/>
  <c r="C1458" i="2"/>
  <c r="C1457" i="2"/>
  <c r="C1456" i="2"/>
  <c r="C1455" i="2"/>
  <c r="C1454" i="2"/>
  <c r="C1453" i="2"/>
  <c r="C1452" i="2"/>
  <c r="C1449" i="2"/>
  <c r="C1447" i="2"/>
  <c r="J1442" i="2"/>
  <c r="I1442" i="2"/>
  <c r="H1442" i="2"/>
  <c r="C1441" i="2"/>
  <c r="C1440" i="2"/>
  <c r="C1439" i="2"/>
  <c r="C1438" i="2"/>
  <c r="C1437" i="2"/>
  <c r="C1436" i="2"/>
  <c r="C1435" i="2"/>
  <c r="C1434" i="2"/>
  <c r="C1433" i="2"/>
  <c r="C1432" i="2"/>
  <c r="C1431" i="2"/>
  <c r="C1430" i="2"/>
  <c r="C1427" i="2"/>
  <c r="C1425" i="2"/>
  <c r="J1420" i="2"/>
  <c r="I1420" i="2"/>
  <c r="H1420" i="2"/>
  <c r="C1419" i="2"/>
  <c r="C1418" i="2"/>
  <c r="C1417" i="2"/>
  <c r="C1416" i="2"/>
  <c r="C1415" i="2"/>
  <c r="C1414" i="2"/>
  <c r="C1413" i="2"/>
  <c r="C1412" i="2"/>
  <c r="C1411" i="2"/>
  <c r="C1410" i="2"/>
  <c r="C1409" i="2"/>
  <c r="C1408" i="2"/>
  <c r="C1405" i="2"/>
  <c r="C1403" i="2"/>
  <c r="J1398" i="2"/>
  <c r="I1398" i="2"/>
  <c r="H1398" i="2"/>
  <c r="C1397" i="2"/>
  <c r="C1396" i="2"/>
  <c r="C1395" i="2"/>
  <c r="C1394" i="2"/>
  <c r="C1393" i="2"/>
  <c r="C1392" i="2"/>
  <c r="C1389" i="2"/>
  <c r="C1387" i="2"/>
  <c r="J1382" i="2"/>
  <c r="I1382" i="2"/>
  <c r="H1382" i="2"/>
  <c r="C1381" i="2"/>
  <c r="C1380" i="2"/>
  <c r="C1379" i="2"/>
  <c r="C1378" i="2"/>
  <c r="C1377" i="2"/>
  <c r="C1376" i="2"/>
  <c r="C1373" i="2"/>
  <c r="C1371" i="2"/>
  <c r="J1366" i="2"/>
  <c r="I1366" i="2"/>
  <c r="H1366" i="2"/>
  <c r="C1365" i="2"/>
  <c r="C1364" i="2"/>
  <c r="C1363" i="2"/>
  <c r="C1362" i="2"/>
  <c r="C1361" i="2"/>
  <c r="C1360" i="2"/>
  <c r="C1359" i="2"/>
  <c r="C1358" i="2"/>
  <c r="C1357" i="2"/>
  <c r="C1356" i="2"/>
  <c r="C1355" i="2"/>
  <c r="C1354" i="2"/>
  <c r="C1353" i="2"/>
  <c r="C1352" i="2"/>
  <c r="C1351" i="2"/>
  <c r="C1350" i="2"/>
  <c r="C1347" i="2"/>
  <c r="C1345" i="2"/>
  <c r="J1340" i="2"/>
  <c r="I1340" i="2"/>
  <c r="H1340" i="2"/>
  <c r="C1339" i="2"/>
  <c r="C1338" i="2"/>
  <c r="C1337" i="2"/>
  <c r="C1336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1" i="2"/>
  <c r="C1319" i="2"/>
  <c r="J1314" i="2"/>
  <c r="I1314" i="2"/>
  <c r="H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5" i="2"/>
  <c r="C1293" i="2"/>
  <c r="J1288" i="2"/>
  <c r="I1288" i="2"/>
  <c r="H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69" i="2"/>
  <c r="C1267" i="2"/>
  <c r="J1262" i="2"/>
  <c r="I1262" i="2"/>
  <c r="H1262" i="2"/>
  <c r="C1261" i="2"/>
  <c r="C1260" i="2"/>
  <c r="C1259" i="2"/>
  <c r="C1258" i="2"/>
  <c r="C1257" i="2"/>
  <c r="C1256" i="2"/>
  <c r="C1255" i="2"/>
  <c r="C1254" i="2"/>
  <c r="C1253" i="2"/>
  <c r="C1252" i="2"/>
  <c r="C1249" i="2"/>
  <c r="C1247" i="2"/>
  <c r="J1242" i="2"/>
  <c r="I1242" i="2"/>
  <c r="H1242" i="2"/>
  <c r="C1241" i="2"/>
  <c r="C1240" i="2"/>
  <c r="C1239" i="2"/>
  <c r="C1238" i="2"/>
  <c r="C1237" i="2"/>
  <c r="C1236" i="2"/>
  <c r="C1235" i="2"/>
  <c r="C1234" i="2"/>
  <c r="C1233" i="2"/>
  <c r="C1232" i="2"/>
  <c r="C1229" i="2"/>
  <c r="C1227" i="2"/>
  <c r="J1222" i="2"/>
  <c r="I1222" i="2"/>
  <c r="H1222" i="2"/>
  <c r="C1221" i="2"/>
  <c r="C1220" i="2"/>
  <c r="C1219" i="2"/>
  <c r="C1218" i="2"/>
  <c r="C1217" i="2"/>
  <c r="C1216" i="2"/>
  <c r="C1215" i="2"/>
  <c r="C1214" i="2"/>
  <c r="C1213" i="2"/>
  <c r="C1212" i="2"/>
  <c r="C1209" i="2"/>
  <c r="C1207" i="2"/>
  <c r="J1202" i="2"/>
  <c r="I1202" i="2"/>
  <c r="H1202" i="2"/>
  <c r="C1201" i="2"/>
  <c r="C1200" i="2"/>
  <c r="C1199" i="2"/>
  <c r="C1198" i="2"/>
  <c r="C1197" i="2"/>
  <c r="C1196" i="2"/>
  <c r="C1195" i="2"/>
  <c r="C1194" i="2"/>
  <c r="C1193" i="2"/>
  <c r="C1192" i="2"/>
  <c r="C1189" i="2"/>
  <c r="C1187" i="2"/>
  <c r="J1182" i="2"/>
  <c r="I1182" i="2"/>
  <c r="H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4" i="2"/>
  <c r="C1162" i="2"/>
  <c r="J1157" i="2"/>
  <c r="I1157" i="2"/>
  <c r="H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39" i="2"/>
  <c r="C1137" i="2"/>
  <c r="J1132" i="2"/>
  <c r="I1132" i="2"/>
  <c r="H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2" i="2"/>
  <c r="C1090" i="2"/>
  <c r="J1085" i="2"/>
  <c r="I1085" i="2"/>
  <c r="H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5" i="2"/>
  <c r="C1043" i="2"/>
  <c r="J1038" i="2"/>
  <c r="I1038" i="2"/>
  <c r="H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998" i="2"/>
  <c r="C996" i="2"/>
  <c r="J991" i="2"/>
  <c r="I991" i="2"/>
  <c r="H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1" i="2"/>
  <c r="C949" i="2"/>
  <c r="J944" i="2"/>
  <c r="I944" i="2"/>
  <c r="H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28" i="2"/>
  <c r="C926" i="2"/>
  <c r="J921" i="2"/>
  <c r="I921" i="2"/>
  <c r="H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3" i="2"/>
  <c r="C901" i="2"/>
  <c r="J896" i="2"/>
  <c r="I896" i="2"/>
  <c r="H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78" i="2"/>
  <c r="C876" i="2"/>
  <c r="J871" i="2"/>
  <c r="I871" i="2"/>
  <c r="H871" i="2"/>
  <c r="C870" i="2"/>
  <c r="C869" i="2"/>
  <c r="C868" i="2"/>
  <c r="C867" i="2"/>
  <c r="C866" i="2"/>
  <c r="C865" i="2"/>
  <c r="C864" i="2"/>
  <c r="C861" i="2"/>
  <c r="C859" i="2"/>
  <c r="J854" i="2"/>
  <c r="I854" i="2"/>
  <c r="H854" i="2"/>
  <c r="C853" i="2"/>
  <c r="C852" i="2"/>
  <c r="C851" i="2"/>
  <c r="C850" i="2"/>
  <c r="C849" i="2"/>
  <c r="C848" i="2"/>
  <c r="C847" i="2"/>
  <c r="C846" i="2"/>
  <c r="C845" i="2"/>
  <c r="C844" i="2"/>
  <c r="C843" i="2"/>
  <c r="C840" i="2"/>
  <c r="C838" i="2"/>
  <c r="J833" i="2"/>
  <c r="I833" i="2"/>
  <c r="H833" i="2"/>
  <c r="C832" i="2"/>
  <c r="C831" i="2"/>
  <c r="C830" i="2"/>
  <c r="C829" i="2"/>
  <c r="C828" i="2"/>
  <c r="C827" i="2"/>
  <c r="C826" i="2"/>
  <c r="C825" i="2"/>
  <c r="C822" i="2"/>
  <c r="C820" i="2"/>
  <c r="J815" i="2"/>
  <c r="I815" i="2"/>
  <c r="H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5" i="2"/>
  <c r="C793" i="2"/>
  <c r="J788" i="2"/>
  <c r="I788" i="2"/>
  <c r="H788" i="2"/>
  <c r="C787" i="2"/>
  <c r="C786" i="2"/>
  <c r="C785" i="2"/>
  <c r="C784" i="2"/>
  <c r="C783" i="2"/>
  <c r="C782" i="2"/>
  <c r="C779" i="2"/>
  <c r="C777" i="2"/>
  <c r="J772" i="2"/>
  <c r="I772" i="2"/>
  <c r="H772" i="2"/>
  <c r="C771" i="2"/>
  <c r="C770" i="2"/>
  <c r="C769" i="2"/>
  <c r="C768" i="2"/>
  <c r="C767" i="2"/>
  <c r="C766" i="2"/>
  <c r="C765" i="2"/>
  <c r="C764" i="2"/>
  <c r="C761" i="2"/>
  <c r="C759" i="2"/>
  <c r="J754" i="2"/>
  <c r="I754" i="2"/>
  <c r="H754" i="2"/>
  <c r="C753" i="2"/>
  <c r="C752" i="2"/>
  <c r="C751" i="2"/>
  <c r="C750" i="2"/>
  <c r="C749" i="2"/>
  <c r="C748" i="2"/>
  <c r="C747" i="2"/>
  <c r="C746" i="2"/>
  <c r="C743" i="2"/>
  <c r="C741" i="2"/>
  <c r="J736" i="2"/>
  <c r="I736" i="2"/>
  <c r="H736" i="2"/>
  <c r="C735" i="2"/>
  <c r="C734" i="2"/>
  <c r="C733" i="2"/>
  <c r="C732" i="2"/>
  <c r="C731" i="2"/>
  <c r="C730" i="2"/>
  <c r="C729" i="2"/>
  <c r="C728" i="2"/>
  <c r="C725" i="2"/>
  <c r="C723" i="2"/>
  <c r="J718" i="2"/>
  <c r="I718" i="2"/>
  <c r="H718" i="2"/>
  <c r="C717" i="2"/>
  <c r="C716" i="2"/>
  <c r="C715" i="2"/>
  <c r="C714" i="2"/>
  <c r="C713" i="2"/>
  <c r="C712" i="2"/>
  <c r="C711" i="2"/>
  <c r="C710" i="2"/>
  <c r="C707" i="2"/>
  <c r="C705" i="2"/>
  <c r="J700" i="2"/>
  <c r="I700" i="2"/>
  <c r="H700" i="2"/>
  <c r="C699" i="2"/>
  <c r="C698" i="2"/>
  <c r="C697" i="2"/>
  <c r="C696" i="2"/>
  <c r="C695" i="2"/>
  <c r="C694" i="2"/>
  <c r="C691" i="2"/>
  <c r="C689" i="2"/>
  <c r="J684" i="2"/>
  <c r="I684" i="2"/>
  <c r="H684" i="2"/>
  <c r="C683" i="2"/>
  <c r="C682" i="2"/>
  <c r="C681" i="2"/>
  <c r="C678" i="2"/>
  <c r="C676" i="2"/>
  <c r="J671" i="2"/>
  <c r="I671" i="2"/>
  <c r="H671" i="2"/>
  <c r="C670" i="2"/>
  <c r="C669" i="2"/>
  <c r="C668" i="2"/>
  <c r="C665" i="2"/>
  <c r="C663" i="2"/>
  <c r="J658" i="2"/>
  <c r="I658" i="2"/>
  <c r="H658" i="2"/>
  <c r="C657" i="2"/>
  <c r="C656" i="2"/>
  <c r="C655" i="2"/>
  <c r="C652" i="2"/>
  <c r="C650" i="2"/>
  <c r="J645" i="2"/>
  <c r="I645" i="2"/>
  <c r="H645" i="2"/>
  <c r="C644" i="2"/>
  <c r="C643" i="2"/>
  <c r="C642" i="2"/>
  <c r="C639" i="2"/>
  <c r="C637" i="2"/>
  <c r="J632" i="2"/>
  <c r="I632" i="2"/>
  <c r="H632" i="2"/>
  <c r="C631" i="2"/>
  <c r="C630" i="2"/>
  <c r="C629" i="2"/>
  <c r="C628" i="2"/>
  <c r="C627" i="2"/>
  <c r="C624" i="2"/>
  <c r="C622" i="2"/>
  <c r="J617" i="2"/>
  <c r="I617" i="2"/>
  <c r="H617" i="2"/>
  <c r="C616" i="2"/>
  <c r="C615" i="2"/>
  <c r="C614" i="2"/>
  <c r="C613" i="2"/>
  <c r="C612" i="2"/>
  <c r="C609" i="2"/>
  <c r="C607" i="2"/>
  <c r="J602" i="2"/>
  <c r="I602" i="2"/>
  <c r="H602" i="2"/>
  <c r="C601" i="2"/>
  <c r="C600" i="2"/>
  <c r="C599" i="2"/>
  <c r="C598" i="2"/>
  <c r="C597" i="2"/>
  <c r="C594" i="2"/>
  <c r="C592" i="2"/>
  <c r="J587" i="2"/>
  <c r="I587" i="2"/>
  <c r="H587" i="2"/>
  <c r="C586" i="2"/>
  <c r="C585" i="2"/>
  <c r="C584" i="2"/>
  <c r="C583" i="2"/>
  <c r="C582" i="2"/>
  <c r="C579" i="2"/>
  <c r="C577" i="2"/>
  <c r="J572" i="2"/>
  <c r="I572" i="2"/>
  <c r="H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7" i="2"/>
  <c r="C495" i="2"/>
  <c r="J490" i="2"/>
  <c r="I490" i="2"/>
  <c r="C22" i="1" s="1"/>
  <c r="H490" i="2"/>
  <c r="C489" i="2"/>
  <c r="C488" i="2"/>
  <c r="C487" i="2"/>
  <c r="C484" i="2"/>
  <c r="C482" i="2"/>
  <c r="J477" i="2"/>
  <c r="I477" i="2"/>
  <c r="H477" i="2"/>
  <c r="C476" i="2"/>
  <c r="C475" i="2"/>
  <c r="C472" i="2"/>
  <c r="C470" i="2"/>
  <c r="J465" i="2"/>
  <c r="I465" i="2"/>
  <c r="H465" i="2"/>
  <c r="C464" i="2"/>
  <c r="C463" i="2"/>
  <c r="C460" i="2"/>
  <c r="C458" i="2"/>
  <c r="J453" i="2"/>
  <c r="I453" i="2"/>
  <c r="H453" i="2"/>
  <c r="C451" i="2"/>
  <c r="C450" i="2"/>
  <c r="C447" i="2"/>
  <c r="C445" i="2"/>
  <c r="J440" i="2"/>
  <c r="I440" i="2"/>
  <c r="H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6" i="2"/>
  <c r="C414" i="2"/>
  <c r="J409" i="2"/>
  <c r="I409" i="2"/>
  <c r="H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5" i="2"/>
  <c r="C383" i="2"/>
  <c r="J378" i="2"/>
  <c r="I378" i="2"/>
  <c r="H378" i="2"/>
  <c r="C17" i="1" s="1"/>
  <c r="C377" i="2"/>
  <c r="C376" i="2"/>
  <c r="C375" i="2"/>
  <c r="C372" i="2"/>
  <c r="C370" i="2"/>
  <c r="J365" i="2"/>
  <c r="I365" i="2"/>
  <c r="H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4" i="2"/>
  <c r="C342" i="2"/>
  <c r="J337" i="2"/>
  <c r="I337" i="2"/>
  <c r="H337" i="2"/>
  <c r="C336" i="2"/>
  <c r="C335" i="2"/>
  <c r="C334" i="2"/>
  <c r="C333" i="2"/>
  <c r="C330" i="2"/>
  <c r="C328" i="2"/>
  <c r="J323" i="2"/>
  <c r="I323" i="2"/>
  <c r="H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6" i="2"/>
  <c r="C294" i="2"/>
  <c r="J289" i="2"/>
  <c r="I289" i="2"/>
  <c r="H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5" i="2"/>
  <c r="C263" i="2"/>
  <c r="J258" i="2"/>
  <c r="I258" i="2"/>
  <c r="H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3" i="2"/>
  <c r="C211" i="2"/>
  <c r="J206" i="2"/>
  <c r="I206" i="2"/>
  <c r="H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59" i="2"/>
  <c r="C157" i="2"/>
  <c r="J152" i="2"/>
  <c r="I152" i="2"/>
  <c r="H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5" i="2"/>
  <c r="C103" i="2"/>
  <c r="J98" i="2"/>
  <c r="I98" i="2"/>
  <c r="H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1" i="2"/>
  <c r="C49" i="2"/>
  <c r="J44" i="2"/>
  <c r="I44" i="2"/>
  <c r="H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0" i="2"/>
  <c r="C18" i="2"/>
  <c r="B3" i="2"/>
  <c r="C31" i="1"/>
  <c r="C14" i="1"/>
  <c r="C13" i="1"/>
  <c r="C12" i="1"/>
  <c r="C11" i="1"/>
  <c r="C10" i="1"/>
  <c r="C9" i="1"/>
  <c r="B9" i="5"/>
  <c r="B10120" i="2"/>
  <c r="F10118" i="2"/>
  <c r="B10116" i="2"/>
  <c r="F10114" i="2"/>
  <c r="B10112" i="2"/>
  <c r="F10110" i="2"/>
  <c r="B10108" i="2"/>
  <c r="F10106" i="2"/>
  <c r="B10104" i="2"/>
  <c r="F10102" i="2"/>
  <c r="B10100" i="2"/>
  <c r="F10098" i="2"/>
  <c r="B10096" i="2"/>
  <c r="F10094" i="2"/>
  <c r="B10092" i="2"/>
  <c r="F10090" i="2"/>
  <c r="B10088" i="2"/>
  <c r="F10086" i="2"/>
  <c r="B10084" i="2"/>
  <c r="F10082" i="2"/>
  <c r="B10080" i="2"/>
  <c r="F10078" i="2"/>
  <c r="B10076" i="2"/>
  <c r="F10074" i="2"/>
  <c r="B10072" i="2"/>
  <c r="F10070" i="2"/>
  <c r="B10068" i="2"/>
  <c r="F10066" i="2"/>
  <c r="B10064" i="2"/>
  <c r="F10062" i="2"/>
  <c r="B10060" i="2"/>
  <c r="F10058" i="2"/>
  <c r="B10056" i="2"/>
  <c r="F10054" i="2"/>
  <c r="B10052" i="2"/>
  <c r="F10050" i="2"/>
  <c r="F10038" i="2"/>
  <c r="B10036" i="2"/>
  <c r="F10034" i="2"/>
  <c r="B10032" i="2"/>
  <c r="F10030" i="2"/>
  <c r="B10028" i="2"/>
  <c r="F10026" i="2"/>
  <c r="B10024" i="2"/>
  <c r="F10022" i="2"/>
  <c r="B10020" i="2"/>
  <c r="F10018" i="2"/>
  <c r="B10016" i="2"/>
  <c r="F10014" i="2"/>
  <c r="B10012" i="2"/>
  <c r="F10010" i="2"/>
  <c r="B10008" i="2"/>
  <c r="F10006" i="2"/>
  <c r="B10004" i="2"/>
  <c r="F10002" i="2"/>
  <c r="B10000" i="2"/>
  <c r="F9998" i="2"/>
  <c r="B9996" i="2"/>
  <c r="F9994" i="2"/>
  <c r="B9992" i="2"/>
  <c r="F9990" i="2"/>
  <c r="B9988" i="2"/>
  <c r="F9986" i="2"/>
  <c r="B9984" i="2"/>
  <c r="F9982" i="2"/>
  <c r="B9980" i="2"/>
  <c r="F9978" i="2"/>
  <c r="B9976" i="2"/>
  <c r="F9974" i="2"/>
  <c r="B9972" i="2"/>
  <c r="F9970" i="2"/>
  <c r="B9968" i="2"/>
  <c r="B9956" i="2"/>
  <c r="F9954" i="2"/>
  <c r="B9952" i="2"/>
  <c r="F9950" i="2"/>
  <c r="B9948" i="2"/>
  <c r="F9946" i="2"/>
  <c r="B9944" i="2"/>
  <c r="F9942" i="2"/>
  <c r="B9940" i="2"/>
  <c r="F9938" i="2"/>
  <c r="B9936" i="2"/>
  <c r="F9934" i="2"/>
  <c r="B9932" i="2"/>
  <c r="F9930" i="2"/>
  <c r="B9928" i="2"/>
  <c r="F9926" i="2"/>
  <c r="B9924" i="2"/>
  <c r="F9922" i="2"/>
  <c r="B9920" i="2"/>
  <c r="F9918" i="2"/>
  <c r="B9916" i="2"/>
  <c r="F9914" i="2"/>
  <c r="B9912" i="2"/>
  <c r="F9910" i="2"/>
  <c r="B9908" i="2"/>
  <c r="F9906" i="2"/>
  <c r="B9904" i="2"/>
  <c r="F9902" i="2"/>
  <c r="B9900" i="2"/>
  <c r="F9898" i="2"/>
  <c r="B9896" i="2"/>
  <c r="F9894" i="2"/>
  <c r="B9892" i="2"/>
  <c r="F9890" i="2"/>
  <c r="B9888" i="2"/>
  <c r="F9886" i="2"/>
  <c r="F9874" i="2"/>
  <c r="B9872" i="2"/>
  <c r="F9870" i="2"/>
  <c r="B9868" i="2"/>
  <c r="F9866" i="2"/>
  <c r="B9864" i="2"/>
  <c r="F9862" i="2"/>
  <c r="B9860" i="2"/>
  <c r="F9858" i="2"/>
  <c r="B9856" i="2"/>
  <c r="F9854" i="2"/>
  <c r="B9852" i="2"/>
  <c r="F9850" i="2"/>
  <c r="B9848" i="2"/>
  <c r="F9846" i="2"/>
  <c r="F9" i="5"/>
  <c r="F10119" i="2"/>
  <c r="B10118" i="2"/>
  <c r="F10116" i="2"/>
  <c r="B10115" i="2"/>
  <c r="F10111" i="2"/>
  <c r="B10110" i="2"/>
  <c r="F10108" i="2"/>
  <c r="B10107" i="2"/>
  <c r="F10103" i="2"/>
  <c r="B10102" i="2"/>
  <c r="F10100" i="2"/>
  <c r="B10099" i="2"/>
  <c r="F10095" i="2"/>
  <c r="B10094" i="2"/>
  <c r="F10092" i="2"/>
  <c r="B10091" i="2"/>
  <c r="F10087" i="2"/>
  <c r="B10086" i="2"/>
  <c r="F10084" i="2"/>
  <c r="B10083" i="2"/>
  <c r="F10079" i="2"/>
  <c r="B10078" i="2"/>
  <c r="F10076" i="2"/>
  <c r="B10075" i="2"/>
  <c r="F10071" i="2"/>
  <c r="B10070" i="2"/>
  <c r="F10068" i="2"/>
  <c r="B10067" i="2"/>
  <c r="F10063" i="2"/>
  <c r="B10062" i="2"/>
  <c r="F10060" i="2"/>
  <c r="B10059" i="2"/>
  <c r="F10055" i="2"/>
  <c r="B10054" i="2"/>
  <c r="F10052" i="2"/>
  <c r="B10051" i="2"/>
  <c r="F10039" i="2"/>
  <c r="B10038" i="2"/>
  <c r="F10036" i="2"/>
  <c r="B10035" i="2"/>
  <c r="F10031" i="2"/>
  <c r="B10030" i="2"/>
  <c r="F10028" i="2"/>
  <c r="B10027" i="2"/>
  <c r="F10023" i="2"/>
  <c r="B10022" i="2"/>
  <c r="F10020" i="2"/>
  <c r="B10019" i="2"/>
  <c r="F10015" i="2"/>
  <c r="B10014" i="2"/>
  <c r="F10012" i="2"/>
  <c r="B10011" i="2"/>
  <c r="F10007" i="2"/>
  <c r="B10006" i="2"/>
  <c r="F10004" i="2"/>
  <c r="B10003" i="2"/>
  <c r="F9999" i="2"/>
  <c r="B9998" i="2"/>
  <c r="F9996" i="2"/>
  <c r="B9995" i="2"/>
  <c r="F9991" i="2"/>
  <c r="B9990" i="2"/>
  <c r="F9988" i="2"/>
  <c r="B9987" i="2"/>
  <c r="F9983" i="2"/>
  <c r="B9982" i="2"/>
  <c r="F9980" i="2"/>
  <c r="B9979" i="2"/>
  <c r="F9975" i="2"/>
  <c r="B9974" i="2"/>
  <c r="F9972" i="2"/>
  <c r="B9971" i="2"/>
  <c r="B9957" i="2"/>
  <c r="F9953" i="2"/>
  <c r="B9949" i="2"/>
  <c r="F9945" i="2"/>
  <c r="B9941" i="2"/>
  <c r="F9937" i="2"/>
  <c r="B9933" i="2"/>
  <c r="F9929" i="2"/>
  <c r="B9925" i="2"/>
  <c r="F9921" i="2"/>
  <c r="B9917" i="2"/>
  <c r="F9913" i="2"/>
  <c r="B9909" i="2"/>
  <c r="F9905" i="2"/>
  <c r="B9901" i="2"/>
  <c r="F9897" i="2"/>
  <c r="B9893" i="2"/>
  <c r="F9889" i="2"/>
  <c r="F9873" i="2"/>
  <c r="B9869" i="2"/>
  <c r="F9865" i="2"/>
  <c r="B9861" i="2"/>
  <c r="F9857" i="2"/>
  <c r="B9853" i="2"/>
  <c r="F9849" i="2"/>
  <c r="B9845" i="2"/>
  <c r="F9843" i="2"/>
  <c r="B9841" i="2"/>
  <c r="F9839" i="2"/>
  <c r="B9837" i="2"/>
  <c r="F9835" i="2"/>
  <c r="B9833" i="2"/>
  <c r="F9831" i="2"/>
  <c r="B9829" i="2"/>
  <c r="F9827" i="2"/>
  <c r="B9825" i="2"/>
  <c r="F9823" i="2"/>
  <c r="B9821" i="2"/>
  <c r="F9819" i="2"/>
  <c r="B9817" i="2"/>
  <c r="F9815" i="2"/>
  <c r="B9813" i="2"/>
  <c r="F9811" i="2"/>
  <c r="B9809" i="2"/>
  <c r="F9807" i="2"/>
  <c r="B9805" i="2"/>
  <c r="B9793" i="2"/>
  <c r="F9791" i="2"/>
  <c r="B9789" i="2"/>
  <c r="F9787" i="2"/>
  <c r="B9785" i="2"/>
  <c r="F9783" i="2"/>
  <c r="B9781" i="2"/>
  <c r="F9779" i="2"/>
  <c r="F10121" i="2"/>
  <c r="B10117" i="2"/>
  <c r="F10113" i="2"/>
  <c r="B10109" i="2"/>
  <c r="F10105" i="2"/>
  <c r="B10101" i="2"/>
  <c r="F10097" i="2"/>
  <c r="B10093" i="2"/>
  <c r="F10089" i="2"/>
  <c r="B10085" i="2"/>
  <c r="F10081" i="2"/>
  <c r="B10077" i="2"/>
  <c r="F10073" i="2"/>
  <c r="B10069" i="2"/>
  <c r="F10065" i="2"/>
  <c r="B10061" i="2"/>
  <c r="F10057" i="2"/>
  <c r="B10053" i="2"/>
  <c r="B10037" i="2"/>
  <c r="F10033" i="2"/>
  <c r="B10029" i="2"/>
  <c r="F10025" i="2"/>
  <c r="B10021" i="2"/>
  <c r="F10017" i="2"/>
  <c r="B10013" i="2"/>
  <c r="F10009" i="2"/>
  <c r="B10005" i="2"/>
  <c r="F10001" i="2"/>
  <c r="B9997" i="2"/>
  <c r="F9993" i="2"/>
  <c r="B9989" i="2"/>
  <c r="F9985" i="2"/>
  <c r="B9981" i="2"/>
  <c r="F9977" i="2"/>
  <c r="B9973" i="2"/>
  <c r="F9969" i="2"/>
  <c r="F9955" i="2"/>
  <c r="B9954" i="2"/>
  <c r="F9952" i="2"/>
  <c r="B9951" i="2"/>
  <c r="F9947" i="2"/>
  <c r="B9946" i="2"/>
  <c r="F9944" i="2"/>
  <c r="B9943" i="2"/>
  <c r="F9939" i="2"/>
  <c r="B9938" i="2"/>
  <c r="F9936" i="2"/>
  <c r="B9935" i="2"/>
  <c r="F9931" i="2"/>
  <c r="B9930" i="2"/>
  <c r="F9928" i="2"/>
  <c r="B9927" i="2"/>
  <c r="F9923" i="2"/>
  <c r="B9922" i="2"/>
  <c r="F9920" i="2"/>
  <c r="B9919" i="2"/>
  <c r="F9915" i="2"/>
  <c r="B9914" i="2"/>
  <c r="F9912" i="2"/>
  <c r="B9911" i="2"/>
  <c r="F9907" i="2"/>
  <c r="B9906" i="2"/>
  <c r="F9904" i="2"/>
  <c r="B9903" i="2"/>
  <c r="F9899" i="2"/>
  <c r="B9898" i="2"/>
  <c r="F9896" i="2"/>
  <c r="B9895" i="2"/>
  <c r="F9891" i="2"/>
  <c r="B9890" i="2"/>
  <c r="F9888" i="2"/>
  <c r="B9887" i="2"/>
  <c r="F9875" i="2"/>
  <c r="B9874" i="2"/>
  <c r="F9872" i="2"/>
  <c r="B9871" i="2"/>
  <c r="F9867" i="2"/>
  <c r="B9866" i="2"/>
  <c r="F9864" i="2"/>
  <c r="B9863" i="2"/>
  <c r="F9859" i="2"/>
  <c r="B9858" i="2"/>
  <c r="F9856" i="2"/>
  <c r="B9855" i="2"/>
  <c r="F9851" i="2"/>
  <c r="B9850" i="2"/>
  <c r="F9848" i="2"/>
  <c r="B9847" i="2"/>
  <c r="F10117" i="2"/>
  <c r="B10113" i="2"/>
  <c r="B10111" i="2"/>
  <c r="B10106" i="2"/>
  <c r="F10101" i="2"/>
  <c r="B10097" i="2"/>
  <c r="B10095" i="2"/>
  <c r="B10090" i="2"/>
  <c r="F10085" i="2"/>
  <c r="B10081" i="2"/>
  <c r="B10079" i="2"/>
  <c r="B10074" i="2"/>
  <c r="F10069" i="2"/>
  <c r="B10065" i="2"/>
  <c r="B10063" i="2"/>
  <c r="B10058" i="2"/>
  <c r="F10053" i="2"/>
  <c r="F10032" i="2"/>
  <c r="F10027" i="2"/>
  <c r="F10016" i="2"/>
  <c r="F10011" i="2"/>
  <c r="F10000" i="2"/>
  <c r="F9995" i="2"/>
  <c r="F9984" i="2"/>
  <c r="F9979" i="2"/>
  <c r="F9968" i="2"/>
  <c r="F9957" i="2"/>
  <c r="B9953" i="2"/>
  <c r="F9948" i="2"/>
  <c r="F9943" i="2"/>
  <c r="F9941" i="2"/>
  <c r="B9937" i="2"/>
  <c r="F9932" i="2"/>
  <c r="F9927" i="2"/>
  <c r="F9925" i="2"/>
  <c r="B9921" i="2"/>
  <c r="F9916" i="2"/>
  <c r="F9911" i="2"/>
  <c r="F9909" i="2"/>
  <c r="B9905" i="2"/>
  <c r="F9900" i="2"/>
  <c r="F9895" i="2"/>
  <c r="F9893" i="2"/>
  <c r="B9889" i="2"/>
  <c r="B9875" i="2"/>
  <c r="B9870" i="2"/>
  <c r="B9859" i="2"/>
  <c r="B9854" i="2"/>
  <c r="B9842" i="2"/>
  <c r="F9838" i="2"/>
  <c r="B9834" i="2"/>
  <c r="F9830" i="2"/>
  <c r="B9826" i="2"/>
  <c r="F9822" i="2"/>
  <c r="B9818" i="2"/>
  <c r="F9814" i="2"/>
  <c r="B9810" i="2"/>
  <c r="F9806" i="2"/>
  <c r="F9792" i="2"/>
  <c r="B9791" i="2"/>
  <c r="F9789" i="2"/>
  <c r="B9788" i="2"/>
  <c r="F9784" i="2"/>
  <c r="B9783" i="2"/>
  <c r="F9781" i="2"/>
  <c r="B9780" i="2"/>
  <c r="B9777" i="2"/>
  <c r="F9775" i="2"/>
  <c r="B9773" i="2"/>
  <c r="F9771" i="2"/>
  <c r="B9769" i="2"/>
  <c r="F9767" i="2"/>
  <c r="B9765" i="2"/>
  <c r="F9763" i="2"/>
  <c r="B9761" i="2"/>
  <c r="F9759" i="2"/>
  <c r="B9757" i="2"/>
  <c r="F9755" i="2"/>
  <c r="B9753" i="2"/>
  <c r="F9751" i="2"/>
  <c r="B9749" i="2"/>
  <c r="F9747" i="2"/>
  <c r="B9745" i="2"/>
  <c r="F9743" i="2"/>
  <c r="B9741" i="2"/>
  <c r="F9739" i="2"/>
  <c r="B9737" i="2"/>
  <c r="F9735" i="2"/>
  <c r="B9733" i="2"/>
  <c r="F9731" i="2"/>
  <c r="B9729" i="2"/>
  <c r="F9727" i="2"/>
  <c r="B9725" i="2"/>
  <c r="F9723" i="2"/>
  <c r="B9721" i="2"/>
  <c r="F9719" i="2"/>
  <c r="B9717" i="2"/>
  <c r="F9715" i="2"/>
  <c r="B9713" i="2"/>
  <c r="F9711" i="2"/>
  <c r="B9709" i="2"/>
  <c r="F9707" i="2"/>
  <c r="B9705" i="2"/>
  <c r="F9703" i="2"/>
  <c r="B9701" i="2"/>
  <c r="F9699" i="2"/>
  <c r="B9697" i="2"/>
  <c r="F9695" i="2"/>
  <c r="B9693" i="2"/>
  <c r="F9691" i="2"/>
  <c r="B9689" i="2"/>
  <c r="F9687" i="2"/>
  <c r="B9685" i="2"/>
  <c r="F9683" i="2"/>
  <c r="B9681" i="2"/>
  <c r="F9679" i="2"/>
  <c r="B9677" i="2"/>
  <c r="F9675" i="2"/>
  <c r="B9673" i="2"/>
  <c r="F9671" i="2"/>
  <c r="B9669" i="2"/>
  <c r="F9667" i="2"/>
  <c r="F9655" i="2"/>
  <c r="B9653" i="2"/>
  <c r="F9651" i="2"/>
  <c r="B9649" i="2"/>
  <c r="F9647" i="2"/>
  <c r="B9645" i="2"/>
  <c r="F9643" i="2"/>
  <c r="B9641" i="2"/>
  <c r="F9639" i="2"/>
  <c r="B9637" i="2"/>
  <c r="F9635" i="2"/>
  <c r="B9633" i="2"/>
  <c r="F9631" i="2"/>
  <c r="B9629" i="2"/>
  <c r="F9627" i="2"/>
  <c r="B9625" i="2"/>
  <c r="F9623" i="2"/>
  <c r="B9621" i="2"/>
  <c r="F9619" i="2"/>
  <c r="B9617" i="2"/>
  <c r="F9615" i="2"/>
  <c r="B9613" i="2"/>
  <c r="F9611" i="2"/>
  <c r="B9609" i="2"/>
  <c r="F9607" i="2"/>
  <c r="B9605" i="2"/>
  <c r="F9603" i="2"/>
  <c r="B9601" i="2"/>
  <c r="F9599" i="2"/>
  <c r="B9597" i="2"/>
  <c r="F9595" i="2"/>
  <c r="B9593" i="2"/>
  <c r="F9591" i="2"/>
  <c r="B9589" i="2"/>
  <c r="F9587" i="2"/>
  <c r="B9585" i="2"/>
  <c r="F9583" i="2"/>
  <c r="B9581" i="2"/>
  <c r="F9579" i="2"/>
  <c r="B9577" i="2"/>
  <c r="F9575" i="2"/>
  <c r="B9573" i="2"/>
  <c r="F9571" i="2"/>
  <c r="B9569" i="2"/>
  <c r="F9567" i="2"/>
  <c r="B9565" i="2"/>
  <c r="F9563" i="2"/>
  <c r="B9561" i="2"/>
  <c r="F9559" i="2"/>
  <c r="B9557" i="2"/>
  <c r="F9555" i="2"/>
  <c r="B9553" i="2"/>
  <c r="F9551" i="2"/>
  <c r="B9549" i="2"/>
  <c r="F9547" i="2"/>
  <c r="B9545" i="2"/>
  <c r="F9543" i="2"/>
  <c r="B9541" i="2"/>
  <c r="F9539" i="2"/>
  <c r="B9537" i="2"/>
  <c r="F9535" i="2"/>
  <c r="B9533" i="2"/>
  <c r="F9531" i="2"/>
  <c r="B9529" i="2"/>
  <c r="B9517" i="2"/>
  <c r="F9515" i="2"/>
  <c r="B9513" i="2"/>
  <c r="F9511" i="2"/>
  <c r="B9509" i="2"/>
  <c r="F9507" i="2"/>
  <c r="B9505" i="2"/>
  <c r="F9503" i="2"/>
  <c r="B9501" i="2"/>
  <c r="F9499" i="2"/>
  <c r="B9497" i="2"/>
  <c r="F9495" i="2"/>
  <c r="B9493" i="2"/>
  <c r="F9491" i="2"/>
  <c r="B9489" i="2"/>
  <c r="F9487" i="2"/>
  <c r="B9485" i="2"/>
  <c r="F9483" i="2"/>
  <c r="B9481" i="2"/>
  <c r="F9479" i="2"/>
  <c r="B9477" i="2"/>
  <c r="F9475" i="2"/>
  <c r="B9473" i="2"/>
  <c r="F9471" i="2"/>
  <c r="B9469" i="2"/>
  <c r="F9467" i="2"/>
  <c r="B9465" i="2"/>
  <c r="F9463" i="2"/>
  <c r="B9461" i="2"/>
  <c r="F9459" i="2"/>
  <c r="B9457" i="2"/>
  <c r="F9455" i="2"/>
  <c r="B9453" i="2"/>
  <c r="F9451" i="2"/>
  <c r="B9449" i="2"/>
  <c r="F9447" i="2"/>
  <c r="B9445" i="2"/>
  <c r="F9443" i="2"/>
  <c r="B9441" i="2"/>
  <c r="F9439" i="2"/>
  <c r="B9437" i="2"/>
  <c r="F9435" i="2"/>
  <c r="F10112" i="2"/>
  <c r="F10107" i="2"/>
  <c r="F10096" i="2"/>
  <c r="F10091" i="2"/>
  <c r="F10080" i="2"/>
  <c r="F10075" i="2"/>
  <c r="F10064" i="2"/>
  <c r="F10059" i="2"/>
  <c r="B10039" i="2"/>
  <c r="B10034" i="2"/>
  <c r="F10029" i="2"/>
  <c r="B10025" i="2"/>
  <c r="B10023" i="2"/>
  <c r="B10018" i="2"/>
  <c r="F10013" i="2"/>
  <c r="B10009" i="2"/>
  <c r="B10007" i="2"/>
  <c r="B10002" i="2"/>
  <c r="F9997" i="2"/>
  <c r="B9993" i="2"/>
  <c r="B9991" i="2"/>
  <c r="B9986" i="2"/>
  <c r="F9981" i="2"/>
  <c r="B9977" i="2"/>
  <c r="B9975" i="2"/>
  <c r="B9970" i="2"/>
  <c r="B9955" i="2"/>
  <c r="B9950" i="2"/>
  <c r="B9939" i="2"/>
  <c r="B9934" i="2"/>
  <c r="B9923" i="2"/>
  <c r="B9918" i="2"/>
  <c r="B9907" i="2"/>
  <c r="B9902" i="2"/>
  <c r="B9891" i="2"/>
  <c r="B9886" i="2"/>
  <c r="F9871" i="2"/>
  <c r="F9869" i="2"/>
  <c r="B9865" i="2"/>
  <c r="F9860" i="2"/>
  <c r="F9855" i="2"/>
  <c r="F9853" i="2"/>
  <c r="B9849" i="2"/>
  <c r="F9844" i="2"/>
  <c r="B9843" i="2"/>
  <c r="F9841" i="2"/>
  <c r="B9840" i="2"/>
  <c r="F9836" i="2"/>
  <c r="B9835" i="2"/>
  <c r="F9833" i="2"/>
  <c r="B9832" i="2"/>
  <c r="F9828" i="2"/>
  <c r="B9827" i="2"/>
  <c r="F9825" i="2"/>
  <c r="B9824" i="2"/>
  <c r="F9820" i="2"/>
  <c r="B9819" i="2"/>
  <c r="F9817" i="2"/>
  <c r="B9816" i="2"/>
  <c r="F9812" i="2"/>
  <c r="B9811" i="2"/>
  <c r="F9809" i="2"/>
  <c r="B9808" i="2"/>
  <c r="F9804" i="2"/>
  <c r="F9790" i="2"/>
  <c r="B9786" i="2"/>
  <c r="F9782" i="2"/>
  <c r="B9778" i="2"/>
  <c r="F9776" i="2"/>
  <c r="B9774" i="2"/>
  <c r="F9772" i="2"/>
  <c r="B9770" i="2"/>
  <c r="F9768" i="2"/>
  <c r="B9766" i="2"/>
  <c r="F9764" i="2"/>
  <c r="B9762" i="2"/>
  <c r="F9760" i="2"/>
  <c r="B9758" i="2"/>
  <c r="F9756" i="2"/>
  <c r="B9754" i="2"/>
  <c r="F9752" i="2"/>
  <c r="B9750" i="2"/>
  <c r="F9748" i="2"/>
  <c r="B9746" i="2"/>
  <c r="F9744" i="2"/>
  <c r="B9742" i="2"/>
  <c r="F9740" i="2"/>
  <c r="B9738" i="2"/>
  <c r="F9736" i="2"/>
  <c r="B9734" i="2"/>
  <c r="F9732" i="2"/>
  <c r="B9730" i="2"/>
  <c r="F9728" i="2"/>
  <c r="B9726" i="2"/>
  <c r="F9724" i="2"/>
  <c r="B9722" i="2"/>
  <c r="F9720" i="2"/>
  <c r="B9718" i="2"/>
  <c r="F9716" i="2"/>
  <c r="B9714" i="2"/>
  <c r="F9712" i="2"/>
  <c r="B9710" i="2"/>
  <c r="F9708" i="2"/>
  <c r="B9706" i="2"/>
  <c r="F9704" i="2"/>
  <c r="B9702" i="2"/>
  <c r="F9700" i="2"/>
  <c r="B9698" i="2"/>
  <c r="F9696" i="2"/>
  <c r="B9694" i="2"/>
  <c r="F9692" i="2"/>
  <c r="B9690" i="2"/>
  <c r="F9688" i="2"/>
  <c r="B9686" i="2"/>
  <c r="F9684" i="2"/>
  <c r="B9682" i="2"/>
  <c r="F9680" i="2"/>
  <c r="B9678" i="2"/>
  <c r="F9676" i="2"/>
  <c r="B9674" i="2"/>
  <c r="F9672" i="2"/>
  <c r="B9670" i="2"/>
  <c r="F9668" i="2"/>
  <c r="F9656" i="2"/>
  <c r="B9654" i="2"/>
  <c r="F9652" i="2"/>
  <c r="B9650" i="2"/>
  <c r="F9648" i="2"/>
  <c r="B9646" i="2"/>
  <c r="F9644" i="2"/>
  <c r="B9642" i="2"/>
  <c r="F9640" i="2"/>
  <c r="B9638" i="2"/>
  <c r="F9636" i="2"/>
  <c r="B9634" i="2"/>
  <c r="F9632" i="2"/>
  <c r="B9630" i="2"/>
  <c r="F9628" i="2"/>
  <c r="B9626" i="2"/>
  <c r="F9624" i="2"/>
  <c r="B9622" i="2"/>
  <c r="F9620" i="2"/>
  <c r="B9618" i="2"/>
  <c r="F9616" i="2"/>
  <c r="B9614" i="2"/>
  <c r="F9612" i="2"/>
  <c r="B9610" i="2"/>
  <c r="F9608" i="2"/>
  <c r="B9606" i="2"/>
  <c r="F9604" i="2"/>
  <c r="B9602" i="2"/>
  <c r="F9600" i="2"/>
  <c r="B9598" i="2"/>
  <c r="F9596" i="2"/>
  <c r="B9594" i="2"/>
  <c r="F9592" i="2"/>
  <c r="B9590" i="2"/>
  <c r="F9588" i="2"/>
  <c r="B9586" i="2"/>
  <c r="F9584" i="2"/>
  <c r="B9582" i="2"/>
  <c r="F9580" i="2"/>
  <c r="B9578" i="2"/>
  <c r="F9576" i="2"/>
  <c r="B9574" i="2"/>
  <c r="F9572" i="2"/>
  <c r="B9570" i="2"/>
  <c r="F9568" i="2"/>
  <c r="B9566" i="2"/>
  <c r="F9564" i="2"/>
  <c r="B9562" i="2"/>
  <c r="F9560" i="2"/>
  <c r="B9558" i="2"/>
  <c r="F9556" i="2"/>
  <c r="B9554" i="2"/>
  <c r="F9552" i="2"/>
  <c r="B9550" i="2"/>
  <c r="F9548" i="2"/>
  <c r="B9546" i="2"/>
  <c r="F9544" i="2"/>
  <c r="B9542" i="2"/>
  <c r="F9540" i="2"/>
  <c r="B9538" i="2"/>
  <c r="F9536" i="2"/>
  <c r="B9534" i="2"/>
  <c r="F9532" i="2"/>
  <c r="B9530" i="2"/>
  <c r="B9518" i="2"/>
  <c r="F9516" i="2"/>
  <c r="B9514" i="2"/>
  <c r="F9512" i="2"/>
  <c r="B9510" i="2"/>
  <c r="F9508" i="2"/>
  <c r="B9506" i="2"/>
  <c r="F9504" i="2"/>
  <c r="B9502" i="2"/>
  <c r="F9500" i="2"/>
  <c r="B9498" i="2"/>
  <c r="F9496" i="2"/>
  <c r="B9494" i="2"/>
  <c r="F9492" i="2"/>
  <c r="B9490" i="2"/>
  <c r="F9488" i="2"/>
  <c r="B9486" i="2"/>
  <c r="F9484" i="2"/>
  <c r="B9482" i="2"/>
  <c r="F9480" i="2"/>
  <c r="B9478" i="2"/>
  <c r="F9476" i="2"/>
  <c r="B9474" i="2"/>
  <c r="F9472" i="2"/>
  <c r="B9470" i="2"/>
  <c r="F9468" i="2"/>
  <c r="B9466" i="2"/>
  <c r="F9464" i="2"/>
  <c r="B9462" i="2"/>
  <c r="F9460" i="2"/>
  <c r="B9458" i="2"/>
  <c r="F9456" i="2"/>
  <c r="B9454" i="2"/>
  <c r="F9452" i="2"/>
  <c r="B9450" i="2"/>
  <c r="F9448" i="2"/>
  <c r="B9446" i="2"/>
  <c r="F9444" i="2"/>
  <c r="B9442" i="2"/>
  <c r="F9440" i="2"/>
  <c r="B9438" i="2"/>
  <c r="F9436" i="2"/>
  <c r="B9434" i="2"/>
  <c r="F9432" i="2"/>
  <c r="B9430" i="2"/>
  <c r="F9428" i="2"/>
  <c r="B9426" i="2"/>
  <c r="F9424" i="2"/>
  <c r="B9422" i="2"/>
  <c r="F9420" i="2"/>
  <c r="B9418" i="2"/>
  <c r="F9416" i="2"/>
  <c r="B9414" i="2"/>
  <c r="F9412" i="2"/>
  <c r="B9410" i="2"/>
  <c r="F9408" i="2"/>
  <c r="B9406" i="2"/>
  <c r="F9404" i="2"/>
  <c r="B9402" i="2"/>
  <c r="F9400" i="2"/>
  <c r="B9398" i="2"/>
  <c r="F9396" i="2"/>
  <c r="B9394" i="2"/>
  <c r="F9392" i="2"/>
  <c r="F9380" i="2"/>
  <c r="B10114" i="2"/>
  <c r="F10104" i="2"/>
  <c r="B10082" i="2"/>
  <c r="F10072" i="2"/>
  <c r="B10050" i="2"/>
  <c r="F10037" i="2"/>
  <c r="B10026" i="2"/>
  <c r="B10015" i="2"/>
  <c r="F10008" i="2"/>
  <c r="F10005" i="2"/>
  <c r="B9994" i="2"/>
  <c r="B9983" i="2"/>
  <c r="F9976" i="2"/>
  <c r="F9973" i="2"/>
  <c r="F9956" i="2"/>
  <c r="B9945" i="2"/>
  <c r="B9942" i="2"/>
  <c r="F9935" i="2"/>
  <c r="F9924" i="2"/>
  <c r="B9913" i="2"/>
  <c r="B9910" i="2"/>
  <c r="F9903" i="2"/>
  <c r="F9892" i="2"/>
  <c r="B9862" i="2"/>
  <c r="F9852" i="2"/>
  <c r="F9842" i="2"/>
  <c r="B9838" i="2"/>
  <c r="B9836" i="2"/>
  <c r="B9831" i="2"/>
  <c r="F9826" i="2"/>
  <c r="B9822" i="2"/>
  <c r="B9820" i="2"/>
  <c r="B9815" i="2"/>
  <c r="F9810" i="2"/>
  <c r="B9806" i="2"/>
  <c r="B9804" i="2"/>
  <c r="B9790" i="2"/>
  <c r="F9785" i="2"/>
  <c r="F9780" i="2"/>
  <c r="F9778" i="2"/>
  <c r="F9774" i="2"/>
  <c r="F9770" i="2"/>
  <c r="F9766" i="2"/>
  <c r="F9762" i="2"/>
  <c r="F9758" i="2"/>
  <c r="F9754" i="2"/>
  <c r="F9750" i="2"/>
  <c r="F9746" i="2"/>
  <c r="F9742" i="2"/>
  <c r="F9738" i="2"/>
  <c r="F9734" i="2"/>
  <c r="F9730" i="2"/>
  <c r="F9726" i="2"/>
  <c r="F9722" i="2"/>
  <c r="F9718" i="2"/>
  <c r="F9714" i="2"/>
  <c r="F9710" i="2"/>
  <c r="F9706" i="2"/>
  <c r="F9702" i="2"/>
  <c r="F9698" i="2"/>
  <c r="F9694" i="2"/>
  <c r="F9690" i="2"/>
  <c r="F9686" i="2"/>
  <c r="F9682" i="2"/>
  <c r="F9678" i="2"/>
  <c r="F9674" i="2"/>
  <c r="F9670" i="2"/>
  <c r="B9655" i="2"/>
  <c r="B9651" i="2"/>
  <c r="B9647" i="2"/>
  <c r="B9643" i="2"/>
  <c r="B9639" i="2"/>
  <c r="B9635" i="2"/>
  <c r="B9631" i="2"/>
  <c r="B9627" i="2"/>
  <c r="B9623" i="2"/>
  <c r="B9619" i="2"/>
  <c r="B9615" i="2"/>
  <c r="B9611" i="2"/>
  <c r="B9607" i="2"/>
  <c r="B9603" i="2"/>
  <c r="B9599" i="2"/>
  <c r="B9595" i="2"/>
  <c r="B9591" i="2"/>
  <c r="B9587" i="2"/>
  <c r="B9583" i="2"/>
  <c r="B9579" i="2"/>
  <c r="B9575" i="2"/>
  <c r="B9571" i="2"/>
  <c r="B9567" i="2"/>
  <c r="B9563" i="2"/>
  <c r="B9559" i="2"/>
  <c r="B9555" i="2"/>
  <c r="B9551" i="2"/>
  <c r="B9547" i="2"/>
  <c r="B9543" i="2"/>
  <c r="B9539" i="2"/>
  <c r="B9535" i="2"/>
  <c r="B9531" i="2"/>
  <c r="B9516" i="2"/>
  <c r="B9512" i="2"/>
  <c r="B9508" i="2"/>
  <c r="B9504" i="2"/>
  <c r="B9500" i="2"/>
  <c r="B9496" i="2"/>
  <c r="B9492" i="2"/>
  <c r="B9488" i="2"/>
  <c r="B9484" i="2"/>
  <c r="B9480" i="2"/>
  <c r="B9476" i="2"/>
  <c r="B9472" i="2"/>
  <c r="B9468" i="2"/>
  <c r="B9464" i="2"/>
  <c r="B9460" i="2"/>
  <c r="B9456" i="2"/>
  <c r="B9452" i="2"/>
  <c r="B9448" i="2"/>
  <c r="B9444" i="2"/>
  <c r="B9440" i="2"/>
  <c r="B9436" i="2"/>
  <c r="B9431" i="2"/>
  <c r="F9427" i="2"/>
  <c r="B9423" i="2"/>
  <c r="F9419" i="2"/>
  <c r="B9415" i="2"/>
  <c r="F9411" i="2"/>
  <c r="B9407" i="2"/>
  <c r="F9403" i="2"/>
  <c r="B9399" i="2"/>
  <c r="F9395" i="2"/>
  <c r="F9379" i="2"/>
  <c r="B9377" i="2"/>
  <c r="F9375" i="2"/>
  <c r="B9373" i="2"/>
  <c r="F9371" i="2"/>
  <c r="B9369" i="2"/>
  <c r="F9367" i="2"/>
  <c r="B9365" i="2"/>
  <c r="F9363" i="2"/>
  <c r="B9361" i="2"/>
  <c r="F9359" i="2"/>
  <c r="B9357" i="2"/>
  <c r="F9355" i="2"/>
  <c r="B9353" i="2"/>
  <c r="F9351" i="2"/>
  <c r="B9349" i="2"/>
  <c r="F9347" i="2"/>
  <c r="B9345" i="2"/>
  <c r="F9343" i="2"/>
  <c r="B9341" i="2"/>
  <c r="F9339" i="2"/>
  <c r="B9337" i="2"/>
  <c r="F9335" i="2"/>
  <c r="B9333" i="2"/>
  <c r="F9331" i="2"/>
  <c r="B9329" i="2"/>
  <c r="F9327" i="2"/>
  <c r="B9325" i="2"/>
  <c r="F9323" i="2"/>
  <c r="B9321" i="2"/>
  <c r="F9319" i="2"/>
  <c r="B9317" i="2"/>
  <c r="F9315" i="2"/>
  <c r="B9313" i="2"/>
  <c r="F9311" i="2"/>
  <c r="B9309" i="2"/>
  <c r="F9307" i="2"/>
  <c r="B9305" i="2"/>
  <c r="F9303" i="2"/>
  <c r="B9301" i="2"/>
  <c r="F9299" i="2"/>
  <c r="B9297" i="2"/>
  <c r="F9295" i="2"/>
  <c r="B9293" i="2"/>
  <c r="F9291" i="2"/>
  <c r="B9289" i="2"/>
  <c r="F9287" i="2"/>
  <c r="B9285" i="2"/>
  <c r="F9283" i="2"/>
  <c r="B9281" i="2"/>
  <c r="F9279" i="2"/>
  <c r="B9277" i="2"/>
  <c r="F9275" i="2"/>
  <c r="B9273" i="2"/>
  <c r="F9271" i="2"/>
  <c r="B9269" i="2"/>
  <c r="F9267" i="2"/>
  <c r="B9265" i="2"/>
  <c r="F9263" i="2"/>
  <c r="B9261" i="2"/>
  <c r="F9259" i="2"/>
  <c r="B9257" i="2"/>
  <c r="F9255" i="2"/>
  <c r="B9233" i="2"/>
  <c r="B9221" i="2"/>
  <c r="F9219" i="2"/>
  <c r="B9217" i="2"/>
  <c r="F9215" i="2"/>
  <c r="B9213" i="2"/>
  <c r="F9211" i="2"/>
  <c r="B9209" i="2"/>
  <c r="F9207" i="2"/>
  <c r="B9205" i="2"/>
  <c r="F9203" i="2"/>
  <c r="B9201" i="2"/>
  <c r="F9199" i="2"/>
  <c r="B9197" i="2"/>
  <c r="F9195" i="2"/>
  <c r="B9193" i="2"/>
  <c r="F9191" i="2"/>
  <c r="B9189" i="2"/>
  <c r="F9187" i="2"/>
  <c r="B9185" i="2"/>
  <c r="F9183" i="2"/>
  <c r="B9181" i="2"/>
  <c r="F9179" i="2"/>
  <c r="B9177" i="2"/>
  <c r="F9175" i="2"/>
  <c r="B9173" i="2"/>
  <c r="F9171" i="2"/>
  <c r="B9169" i="2"/>
  <c r="F9167" i="2"/>
  <c r="B9165" i="2"/>
  <c r="F9163" i="2"/>
  <c r="B9161" i="2"/>
  <c r="F9159" i="2"/>
  <c r="B9157" i="2"/>
  <c r="F9155" i="2"/>
  <c r="B9153" i="2"/>
  <c r="F9151" i="2"/>
  <c r="B9149" i="2"/>
  <c r="F9147" i="2"/>
  <c r="B9145" i="2"/>
  <c r="F9143" i="2"/>
  <c r="B9141" i="2"/>
  <c r="F9139" i="2"/>
  <c r="B9137" i="2"/>
  <c r="F9135" i="2"/>
  <c r="B9133" i="2"/>
  <c r="F9131" i="2"/>
  <c r="B9129" i="2"/>
  <c r="F9127" i="2"/>
  <c r="B9125" i="2"/>
  <c r="F9123" i="2"/>
  <c r="B9121" i="2"/>
  <c r="F9119" i="2"/>
  <c r="B9117" i="2"/>
  <c r="F9115" i="2"/>
  <c r="B9113" i="2"/>
  <c r="F9111" i="2"/>
  <c r="B9109" i="2"/>
  <c r="F9107" i="2"/>
  <c r="B9105" i="2"/>
  <c r="F9103" i="2"/>
  <c r="B10121" i="2"/>
  <c r="B10119" i="2"/>
  <c r="F10115" i="2"/>
  <c r="F10109" i="2"/>
  <c r="B10089" i="2"/>
  <c r="B10087" i="2"/>
  <c r="F10083" i="2"/>
  <c r="F10077" i="2"/>
  <c r="B10057" i="2"/>
  <c r="B10055" i="2"/>
  <c r="F10051" i="2"/>
  <c r="F10019" i="2"/>
  <c r="B10017" i="2"/>
  <c r="F9987" i="2"/>
  <c r="B9985" i="2"/>
  <c r="F9949" i="2"/>
  <c r="B9947" i="2"/>
  <c r="F9917" i="2"/>
  <c r="B9915" i="2"/>
  <c r="B9873" i="2"/>
  <c r="B9867" i="2"/>
  <c r="F9863" i="2"/>
  <c r="F9861" i="2"/>
  <c r="F9837" i="2"/>
  <c r="F9832" i="2"/>
  <c r="F9821" i="2"/>
  <c r="F9816" i="2"/>
  <c r="F9805" i="2"/>
  <c r="B9792" i="2"/>
  <c r="B9787" i="2"/>
  <c r="B9776" i="2"/>
  <c r="B9772" i="2"/>
  <c r="B9768" i="2"/>
  <c r="B9764" i="2"/>
  <c r="B9760" i="2"/>
  <c r="B9756" i="2"/>
  <c r="B9752" i="2"/>
  <c r="B9748" i="2"/>
  <c r="B9744" i="2"/>
  <c r="B9740" i="2"/>
  <c r="B9736" i="2"/>
  <c r="B9732" i="2"/>
  <c r="B9728" i="2"/>
  <c r="B9724" i="2"/>
  <c r="B9720" i="2"/>
  <c r="B9716" i="2"/>
  <c r="B9712" i="2"/>
  <c r="B9708" i="2"/>
  <c r="B9704" i="2"/>
  <c r="B9700" i="2"/>
  <c r="B9696" i="2"/>
  <c r="B9692" i="2"/>
  <c r="B9688" i="2"/>
  <c r="B9684" i="2"/>
  <c r="B9680" i="2"/>
  <c r="B9676" i="2"/>
  <c r="B9672" i="2"/>
  <c r="B9668" i="2"/>
  <c r="F9654" i="2"/>
  <c r="F9650" i="2"/>
  <c r="F9646" i="2"/>
  <c r="F9642" i="2"/>
  <c r="F9638" i="2"/>
  <c r="F9634" i="2"/>
  <c r="F9630" i="2"/>
  <c r="F9626" i="2"/>
  <c r="F9622" i="2"/>
  <c r="F9618" i="2"/>
  <c r="F9614" i="2"/>
  <c r="F9610" i="2"/>
  <c r="F9606" i="2"/>
  <c r="F9602" i="2"/>
  <c r="F9598" i="2"/>
  <c r="F9594" i="2"/>
  <c r="F9590" i="2"/>
  <c r="F9586" i="2"/>
  <c r="F9582" i="2"/>
  <c r="F9578" i="2"/>
  <c r="F9574" i="2"/>
  <c r="F9570" i="2"/>
  <c r="F9566" i="2"/>
  <c r="F9562" i="2"/>
  <c r="F9558" i="2"/>
  <c r="F9554" i="2"/>
  <c r="F9550" i="2"/>
  <c r="F9546" i="2"/>
  <c r="F9542" i="2"/>
  <c r="F9538" i="2"/>
  <c r="F9534" i="2"/>
  <c r="F9530" i="2"/>
  <c r="F9517" i="2"/>
  <c r="F9513" i="2"/>
  <c r="F9509" i="2"/>
  <c r="F9505" i="2"/>
  <c r="F9501" i="2"/>
  <c r="F9497" i="2"/>
  <c r="F9493" i="2"/>
  <c r="F9489" i="2"/>
  <c r="F9485" i="2"/>
  <c r="F9481" i="2"/>
  <c r="F9477" i="2"/>
  <c r="F9473" i="2"/>
  <c r="F9469" i="2"/>
  <c r="F9465" i="2"/>
  <c r="F9461" i="2"/>
  <c r="F9457" i="2"/>
  <c r="F9453" i="2"/>
  <c r="F9449" i="2"/>
  <c r="F9445" i="2"/>
  <c r="F9441" i="2"/>
  <c r="F9437" i="2"/>
  <c r="F9433" i="2"/>
  <c r="B9432" i="2"/>
  <c r="F9430" i="2"/>
  <c r="B9429" i="2"/>
  <c r="F9425" i="2"/>
  <c r="B9424" i="2"/>
  <c r="F9422" i="2"/>
  <c r="B9421" i="2"/>
  <c r="F9417" i="2"/>
  <c r="B9416" i="2"/>
  <c r="F9414" i="2"/>
  <c r="B9413" i="2"/>
  <c r="F9409" i="2"/>
  <c r="B9408" i="2"/>
  <c r="F9406" i="2"/>
  <c r="B9405" i="2"/>
  <c r="F9401" i="2"/>
  <c r="B9400" i="2"/>
  <c r="F9398" i="2"/>
  <c r="B9397" i="2"/>
  <c r="F9393" i="2"/>
  <c r="B9392" i="2"/>
  <c r="B9381" i="2"/>
  <c r="B9378" i="2"/>
  <c r="F9376" i="2"/>
  <c r="B9374" i="2"/>
  <c r="F9372" i="2"/>
  <c r="B9370" i="2"/>
  <c r="F9368" i="2"/>
  <c r="B9366" i="2"/>
  <c r="F9364" i="2"/>
  <c r="B9362" i="2"/>
  <c r="F9360" i="2"/>
  <c r="B9358" i="2"/>
  <c r="F9356" i="2"/>
  <c r="B9354" i="2"/>
  <c r="F9352" i="2"/>
  <c r="B9350" i="2"/>
  <c r="F9348" i="2"/>
  <c r="B9346" i="2"/>
  <c r="F9344" i="2"/>
  <c r="B9342" i="2"/>
  <c r="F9340" i="2"/>
  <c r="B9338" i="2"/>
  <c r="F9336" i="2"/>
  <c r="B9334" i="2"/>
  <c r="F9332" i="2"/>
  <c r="B9330" i="2"/>
  <c r="F9328" i="2"/>
  <c r="B9326" i="2"/>
  <c r="F9324" i="2"/>
  <c r="B9322" i="2"/>
  <c r="F9320" i="2"/>
  <c r="B9318" i="2"/>
  <c r="F9316" i="2"/>
  <c r="B9314" i="2"/>
  <c r="F9312" i="2"/>
  <c r="B9310" i="2"/>
  <c r="F9308" i="2"/>
  <c r="B9306" i="2"/>
  <c r="F9304" i="2"/>
  <c r="B9302" i="2"/>
  <c r="F9300" i="2"/>
  <c r="B9298" i="2"/>
  <c r="F9296" i="2"/>
  <c r="B9294" i="2"/>
  <c r="F9292" i="2"/>
  <c r="B9290" i="2"/>
  <c r="F9288" i="2"/>
  <c r="B9286" i="2"/>
  <c r="F9284" i="2"/>
  <c r="B9282" i="2"/>
  <c r="F9280" i="2"/>
  <c r="B9278" i="2"/>
  <c r="F9276" i="2"/>
  <c r="B9274" i="2"/>
  <c r="F9272" i="2"/>
  <c r="B9270" i="2"/>
  <c r="F9268" i="2"/>
  <c r="B9266" i="2"/>
  <c r="F9264" i="2"/>
  <c r="B9262" i="2"/>
  <c r="F9260" i="2"/>
  <c r="B9258" i="2"/>
  <c r="F9256" i="2"/>
  <c r="F9244" i="2"/>
  <c r="B9222" i="2"/>
  <c r="F9220" i="2"/>
  <c r="B9218" i="2"/>
  <c r="F9216" i="2"/>
  <c r="B9214" i="2"/>
  <c r="F9212" i="2"/>
  <c r="B9210" i="2"/>
  <c r="F9208" i="2"/>
  <c r="B9206" i="2"/>
  <c r="F9204" i="2"/>
  <c r="B9202" i="2"/>
  <c r="F9200" i="2"/>
  <c r="B9198" i="2"/>
  <c r="F9196" i="2"/>
  <c r="B9194" i="2"/>
  <c r="F9192" i="2"/>
  <c r="B9190" i="2"/>
  <c r="F9188" i="2"/>
  <c r="B9186" i="2"/>
  <c r="F9184" i="2"/>
  <c r="B9182" i="2"/>
  <c r="F9180" i="2"/>
  <c r="B9178" i="2"/>
  <c r="F9176" i="2"/>
  <c r="B9174" i="2"/>
  <c r="F9172" i="2"/>
  <c r="B9170" i="2"/>
  <c r="F9168" i="2"/>
  <c r="B9166" i="2"/>
  <c r="F9164" i="2"/>
  <c r="B9162" i="2"/>
  <c r="F9160" i="2"/>
  <c r="B9158" i="2"/>
  <c r="F9156" i="2"/>
  <c r="B9154" i="2"/>
  <c r="F9152" i="2"/>
  <c r="B9150" i="2"/>
  <c r="F9148" i="2"/>
  <c r="B9146" i="2"/>
  <c r="F9144" i="2"/>
  <c r="B9142" i="2"/>
  <c r="F9140" i="2"/>
  <c r="B9138" i="2"/>
  <c r="F9136" i="2"/>
  <c r="B9134" i="2"/>
  <c r="F9132" i="2"/>
  <c r="B9130" i="2"/>
  <c r="F9128" i="2"/>
  <c r="B9126" i="2"/>
  <c r="F9124" i="2"/>
  <c r="B9122" i="2"/>
  <c r="F9120" i="2"/>
  <c r="B9118" i="2"/>
  <c r="F9116" i="2"/>
  <c r="B9114" i="2"/>
  <c r="F9112" i="2"/>
  <c r="B9110" i="2"/>
  <c r="F9108" i="2"/>
  <c r="B9106" i="2"/>
  <c r="F9104" i="2"/>
  <c r="B9102" i="2"/>
  <c r="B9090" i="2"/>
  <c r="F9088" i="2"/>
  <c r="B9086" i="2"/>
  <c r="F9084" i="2"/>
  <c r="B9082" i="2"/>
  <c r="F9080" i="2"/>
  <c r="B9078" i="2"/>
  <c r="F9076" i="2"/>
  <c r="B9074" i="2"/>
  <c r="F9072" i="2"/>
  <c r="B9070" i="2"/>
  <c r="F9068" i="2"/>
  <c r="B9066" i="2"/>
  <c r="F9064" i="2"/>
  <c r="B9062" i="2"/>
  <c r="F9060" i="2"/>
  <c r="B9058" i="2"/>
  <c r="F9056" i="2"/>
  <c r="B9054" i="2"/>
  <c r="F9052" i="2"/>
  <c r="B9050" i="2"/>
  <c r="F9048" i="2"/>
  <c r="B9046" i="2"/>
  <c r="F9044" i="2"/>
  <c r="B9042" i="2"/>
  <c r="F9040" i="2"/>
  <c r="B9038" i="2"/>
  <c r="F9036" i="2"/>
  <c r="B9034" i="2"/>
  <c r="F9032" i="2"/>
  <c r="B9030" i="2"/>
  <c r="F9028" i="2"/>
  <c r="B9026" i="2"/>
  <c r="F9024" i="2"/>
  <c r="B9022" i="2"/>
  <c r="F9020" i="2"/>
  <c r="B9018" i="2"/>
  <c r="F9016" i="2"/>
  <c r="B9014" i="2"/>
  <c r="F9012" i="2"/>
  <c r="B9010" i="2"/>
  <c r="F9008" i="2"/>
  <c r="B9006" i="2"/>
  <c r="F9004" i="2"/>
  <c r="B9002" i="2"/>
  <c r="F9000" i="2"/>
  <c r="B8998" i="2"/>
  <c r="F8996" i="2"/>
  <c r="B8994" i="2"/>
  <c r="F8992" i="2"/>
  <c r="B8990" i="2"/>
  <c r="F8988" i="2"/>
  <c r="B8986" i="2"/>
  <c r="F8984" i="2"/>
  <c r="B8982" i="2"/>
  <c r="F8980" i="2"/>
  <c r="B10098" i="2"/>
  <c r="B10073" i="2"/>
  <c r="F10024" i="2"/>
  <c r="F10021" i="2"/>
  <c r="F10003" i="2"/>
  <c r="B10001" i="2"/>
  <c r="F9951" i="2"/>
  <c r="F9940" i="2"/>
  <c r="F9933" i="2"/>
  <c r="B9931" i="2"/>
  <c r="F9887" i="2"/>
  <c r="B9857" i="2"/>
  <c r="B9830" i="2"/>
  <c r="B9828" i="2"/>
  <c r="F9824" i="2"/>
  <c r="F9818" i="2"/>
  <c r="F9788" i="2"/>
  <c r="F9777" i="2"/>
  <c r="B9775" i="2"/>
  <c r="F9769" i="2"/>
  <c r="B9767" i="2"/>
  <c r="F9761" i="2"/>
  <c r="B9759" i="2"/>
  <c r="F9753" i="2"/>
  <c r="B9751" i="2"/>
  <c r="F9745" i="2"/>
  <c r="B9743" i="2"/>
  <c r="F9737" i="2"/>
  <c r="B9735" i="2"/>
  <c r="F9729" i="2"/>
  <c r="B9727" i="2"/>
  <c r="F9721" i="2"/>
  <c r="B9719" i="2"/>
  <c r="F9713" i="2"/>
  <c r="B9711" i="2"/>
  <c r="F9705" i="2"/>
  <c r="B9703" i="2"/>
  <c r="F9697" i="2"/>
  <c r="B9695" i="2"/>
  <c r="F9689" i="2"/>
  <c r="B9687" i="2"/>
  <c r="F9681" i="2"/>
  <c r="B9679" i="2"/>
  <c r="F9673" i="2"/>
  <c r="B9671" i="2"/>
  <c r="F9653" i="2"/>
  <c r="F9645" i="2"/>
  <c r="F9637" i="2"/>
  <c r="F9629" i="2"/>
  <c r="F9621" i="2"/>
  <c r="F9613" i="2"/>
  <c r="F9605" i="2"/>
  <c r="F9597" i="2"/>
  <c r="F9589" i="2"/>
  <c r="F9581" i="2"/>
  <c r="F9573" i="2"/>
  <c r="F9565" i="2"/>
  <c r="F9557" i="2"/>
  <c r="F9549" i="2"/>
  <c r="F9541" i="2"/>
  <c r="F9533" i="2"/>
  <c r="F9514" i="2"/>
  <c r="F9506" i="2"/>
  <c r="F9498" i="2"/>
  <c r="F9490" i="2"/>
  <c r="F9482" i="2"/>
  <c r="F9474" i="2"/>
  <c r="F9466" i="2"/>
  <c r="F9458" i="2"/>
  <c r="F9450" i="2"/>
  <c r="F9442" i="2"/>
  <c r="F9434" i="2"/>
  <c r="F9429" i="2"/>
  <c r="F9418" i="2"/>
  <c r="F9413" i="2"/>
  <c r="F9402" i="2"/>
  <c r="F9397" i="2"/>
  <c r="F9381" i="2"/>
  <c r="F9377" i="2"/>
  <c r="F9373" i="2"/>
  <c r="F9369" i="2"/>
  <c r="F9365" i="2"/>
  <c r="F9361" i="2"/>
  <c r="F9357" i="2"/>
  <c r="F9353" i="2"/>
  <c r="F9349" i="2"/>
  <c r="F9345" i="2"/>
  <c r="F9341" i="2"/>
  <c r="F9337" i="2"/>
  <c r="F9333" i="2"/>
  <c r="F9329" i="2"/>
  <c r="F9325" i="2"/>
  <c r="F9321" i="2"/>
  <c r="F9317" i="2"/>
  <c r="F9313" i="2"/>
  <c r="F9309" i="2"/>
  <c r="F9305" i="2"/>
  <c r="F9301" i="2"/>
  <c r="F9297" i="2"/>
  <c r="F9293" i="2"/>
  <c r="F9289" i="2"/>
  <c r="F9285" i="2"/>
  <c r="F9281" i="2"/>
  <c r="F9277" i="2"/>
  <c r="F9273" i="2"/>
  <c r="F9269" i="2"/>
  <c r="F9265" i="2"/>
  <c r="F9261" i="2"/>
  <c r="F9257" i="2"/>
  <c r="B9244" i="2"/>
  <c r="F9221" i="2"/>
  <c r="F9217" i="2"/>
  <c r="F9213" i="2"/>
  <c r="F9209" i="2"/>
  <c r="F9205" i="2"/>
  <c r="F9201" i="2"/>
  <c r="F9197" i="2"/>
  <c r="F9193" i="2"/>
  <c r="F9189" i="2"/>
  <c r="F9185" i="2"/>
  <c r="F9181" i="2"/>
  <c r="F9177" i="2"/>
  <c r="F9173" i="2"/>
  <c r="F9169" i="2"/>
  <c r="F9165" i="2"/>
  <c r="F9161" i="2"/>
  <c r="F9157" i="2"/>
  <c r="F9153" i="2"/>
  <c r="F9149" i="2"/>
  <c r="F9145" i="2"/>
  <c r="F9141" i="2"/>
  <c r="F9137" i="2"/>
  <c r="F9133" i="2"/>
  <c r="F9129" i="2"/>
  <c r="F9125" i="2"/>
  <c r="F9121" i="2"/>
  <c r="F9117" i="2"/>
  <c r="F9113" i="2"/>
  <c r="F9109" i="2"/>
  <c r="F9105" i="2"/>
  <c r="B9091" i="2"/>
  <c r="F9087" i="2"/>
  <c r="B9083" i="2"/>
  <c r="F9079" i="2"/>
  <c r="B9075" i="2"/>
  <c r="F9071" i="2"/>
  <c r="B9067" i="2"/>
  <c r="F9063" i="2"/>
  <c r="B9059" i="2"/>
  <c r="F9055" i="2"/>
  <c r="B9051" i="2"/>
  <c r="F9047" i="2"/>
  <c r="B9043" i="2"/>
  <c r="F9039" i="2"/>
  <c r="B9035" i="2"/>
  <c r="F9031" i="2"/>
  <c r="B9027" i="2"/>
  <c r="F9023" i="2"/>
  <c r="B9019" i="2"/>
  <c r="F9015" i="2"/>
  <c r="B9011" i="2"/>
  <c r="F9007" i="2"/>
  <c r="B9003" i="2"/>
  <c r="F8999" i="2"/>
  <c r="B8995" i="2"/>
  <c r="F8991" i="2"/>
  <c r="B8987" i="2"/>
  <c r="F8983" i="2"/>
  <c r="B8979" i="2"/>
  <c r="F8977" i="2"/>
  <c r="B8975" i="2"/>
  <c r="F8973" i="2"/>
  <c r="B8971" i="2"/>
  <c r="F8969" i="2"/>
  <c r="B8967" i="2"/>
  <c r="F8965" i="2"/>
  <c r="B8963" i="2"/>
  <c r="F8961" i="2"/>
  <c r="B8959" i="2"/>
  <c r="F8957" i="2"/>
  <c r="B8955" i="2"/>
  <c r="F8953" i="2"/>
  <c r="B8951" i="2"/>
  <c r="F8949" i="2"/>
  <c r="B8947" i="2"/>
  <c r="F8945" i="2"/>
  <c r="B8943" i="2"/>
  <c r="F8941" i="2"/>
  <c r="B8939" i="2"/>
  <c r="F8937" i="2"/>
  <c r="B8935" i="2"/>
  <c r="F8933" i="2"/>
  <c r="B8931" i="2"/>
  <c r="F8929" i="2"/>
  <c r="B8927" i="2"/>
  <c r="F8925" i="2"/>
  <c r="B8923" i="2"/>
  <c r="F8921" i="2"/>
  <c r="B8919" i="2"/>
  <c r="F8917" i="2"/>
  <c r="B8915" i="2"/>
  <c r="F8913" i="2"/>
  <c r="B8911" i="2"/>
  <c r="F8909" i="2"/>
  <c r="B8907" i="2"/>
  <c r="F8905" i="2"/>
  <c r="F8893" i="2"/>
  <c r="B8891" i="2"/>
  <c r="F8889" i="2"/>
  <c r="B8887" i="2"/>
  <c r="F8885" i="2"/>
  <c r="B8883" i="2"/>
  <c r="F8881" i="2"/>
  <c r="B8879" i="2"/>
  <c r="F8877" i="2"/>
  <c r="B8875" i="2"/>
  <c r="F8873" i="2"/>
  <c r="B8871" i="2"/>
  <c r="F8869" i="2"/>
  <c r="B8867" i="2"/>
  <c r="F8865" i="2"/>
  <c r="B8863" i="2"/>
  <c r="F8861" i="2"/>
  <c r="B8859" i="2"/>
  <c r="F8857" i="2"/>
  <c r="B8855" i="2"/>
  <c r="F8853" i="2"/>
  <c r="B8851" i="2"/>
  <c r="F8849" i="2"/>
  <c r="B8847" i="2"/>
  <c r="F8845" i="2"/>
  <c r="B8843" i="2"/>
  <c r="F8841" i="2"/>
  <c r="B8839" i="2"/>
  <c r="F8837" i="2"/>
  <c r="B8835" i="2"/>
  <c r="F8833" i="2"/>
  <c r="B8831" i="2"/>
  <c r="F8829" i="2"/>
  <c r="B8827" i="2"/>
  <c r="F8825" i="2"/>
  <c r="B8823" i="2"/>
  <c r="F8821" i="2"/>
  <c r="B8819" i="2"/>
  <c r="F8817" i="2"/>
  <c r="B8815" i="2"/>
  <c r="F8813" i="2"/>
  <c r="B8811" i="2"/>
  <c r="F8809" i="2"/>
  <c r="B8807" i="2"/>
  <c r="F8805" i="2"/>
  <c r="B8803" i="2"/>
  <c r="F8801" i="2"/>
  <c r="B8799" i="2"/>
  <c r="F8797" i="2"/>
  <c r="B8795" i="2"/>
  <c r="F8793" i="2"/>
  <c r="B8791" i="2"/>
  <c r="F8789" i="2"/>
  <c r="B8787" i="2"/>
  <c r="B8775" i="2"/>
  <c r="F8773" i="2"/>
  <c r="B8771" i="2"/>
  <c r="F8769" i="2"/>
  <c r="B8767" i="2"/>
  <c r="F8765" i="2"/>
  <c r="B8763" i="2"/>
  <c r="F8761" i="2"/>
  <c r="B8759" i="2"/>
  <c r="F8757" i="2"/>
  <c r="B8755" i="2"/>
  <c r="F8753" i="2"/>
  <c r="B8751" i="2"/>
  <c r="F8749" i="2"/>
  <c r="B8747" i="2"/>
  <c r="F8745" i="2"/>
  <c r="B8743" i="2"/>
  <c r="F8741" i="2"/>
  <c r="B8739" i="2"/>
  <c r="F8737" i="2"/>
  <c r="B8735" i="2"/>
  <c r="F8733" i="2"/>
  <c r="B8731" i="2"/>
  <c r="F8729" i="2"/>
  <c r="B8727" i="2"/>
  <c r="F8725" i="2"/>
  <c r="B8723" i="2"/>
  <c r="F8721" i="2"/>
  <c r="B8719" i="2"/>
  <c r="F8717" i="2"/>
  <c r="B8715" i="2"/>
  <c r="F8713" i="2"/>
  <c r="B8711" i="2"/>
  <c r="F8709" i="2"/>
  <c r="B8707" i="2"/>
  <c r="F8705" i="2"/>
  <c r="B8703" i="2"/>
  <c r="F8701" i="2"/>
  <c r="B8699" i="2"/>
  <c r="F8697" i="2"/>
  <c r="B8695" i="2"/>
  <c r="F8693" i="2"/>
  <c r="B8691" i="2"/>
  <c r="F8689" i="2"/>
  <c r="B8687" i="2"/>
  <c r="F8685" i="2"/>
  <c r="B8683" i="2"/>
  <c r="F8681" i="2"/>
  <c r="B8679" i="2"/>
  <c r="F8677" i="2"/>
  <c r="B8675" i="2"/>
  <c r="F8673" i="2"/>
  <c r="B8671" i="2"/>
  <c r="B8659" i="2"/>
  <c r="F8657" i="2"/>
  <c r="B8655" i="2"/>
  <c r="F8653" i="2"/>
  <c r="B8651" i="2"/>
  <c r="F8649" i="2"/>
  <c r="B8647" i="2"/>
  <c r="F8645" i="2"/>
  <c r="B8643" i="2"/>
  <c r="F8641" i="2"/>
  <c r="B8639" i="2"/>
  <c r="F8637" i="2"/>
  <c r="B8635" i="2"/>
  <c r="F8633" i="2"/>
  <c r="B8631" i="2"/>
  <c r="F8629" i="2"/>
  <c r="B8627" i="2"/>
  <c r="F8625" i="2"/>
  <c r="B8623" i="2"/>
  <c r="F8621" i="2"/>
  <c r="B8619" i="2"/>
  <c r="F8617" i="2"/>
  <c r="B8615" i="2"/>
  <c r="F8613" i="2"/>
  <c r="B8611" i="2"/>
  <c r="F8609" i="2"/>
  <c r="B8607" i="2"/>
  <c r="F8605" i="2"/>
  <c r="B8603" i="2"/>
  <c r="F8601" i="2"/>
  <c r="B8599" i="2"/>
  <c r="F8597" i="2"/>
  <c r="B8595" i="2"/>
  <c r="F8593" i="2"/>
  <c r="B8591" i="2"/>
  <c r="F8589" i="2"/>
  <c r="B8587" i="2"/>
  <c r="F8585" i="2"/>
  <c r="B8583" i="2"/>
  <c r="F8581" i="2"/>
  <c r="B8579" i="2"/>
  <c r="F8577" i="2"/>
  <c r="B8575" i="2"/>
  <c r="F8573" i="2"/>
  <c r="B8571" i="2"/>
  <c r="F8569" i="2"/>
  <c r="B8567" i="2"/>
  <c r="F8565" i="2"/>
  <c r="B8563" i="2"/>
  <c r="F8561" i="2"/>
  <c r="B8559" i="2"/>
  <c r="F8557" i="2"/>
  <c r="B8555" i="2"/>
  <c r="F8553" i="2"/>
  <c r="F8541" i="2"/>
  <c r="B8539" i="2"/>
  <c r="F8537" i="2"/>
  <c r="B8535" i="2"/>
  <c r="F8533" i="2"/>
  <c r="B8531" i="2"/>
  <c r="F8529" i="2"/>
  <c r="B8527" i="2"/>
  <c r="F8525" i="2"/>
  <c r="B8523" i="2"/>
  <c r="F8521" i="2"/>
  <c r="B8519" i="2"/>
  <c r="F8517" i="2"/>
  <c r="B8515" i="2"/>
  <c r="F8513" i="2"/>
  <c r="F10120" i="2"/>
  <c r="B10103" i="2"/>
  <c r="F10099" i="2"/>
  <c r="F10093" i="2"/>
  <c r="F10056" i="2"/>
  <c r="B10031" i="2"/>
  <c r="B10010" i="2"/>
  <c r="B9897" i="2"/>
  <c r="B9894" i="2"/>
  <c r="B9839" i="2"/>
  <c r="F9829" i="2"/>
  <c r="B9807" i="2"/>
  <c r="B9656" i="2"/>
  <c r="B9648" i="2"/>
  <c r="B9640" i="2"/>
  <c r="B9632" i="2"/>
  <c r="B9624" i="2"/>
  <c r="B9616" i="2"/>
  <c r="B9608" i="2"/>
  <c r="B9600" i="2"/>
  <c r="B9592" i="2"/>
  <c r="B9584" i="2"/>
  <c r="B9576" i="2"/>
  <c r="B9568" i="2"/>
  <c r="B9560" i="2"/>
  <c r="B9552" i="2"/>
  <c r="B9544" i="2"/>
  <c r="B9536" i="2"/>
  <c r="B9511" i="2"/>
  <c r="B9503" i="2"/>
  <c r="B9495" i="2"/>
  <c r="B9487" i="2"/>
  <c r="B9479" i="2"/>
  <c r="B9471" i="2"/>
  <c r="B9463" i="2"/>
  <c r="B9455" i="2"/>
  <c r="B9447" i="2"/>
  <c r="B9439" i="2"/>
  <c r="F9431" i="2"/>
  <c r="B9427" i="2"/>
  <c r="B9425" i="2"/>
  <c r="B9420" i="2"/>
  <c r="F9415" i="2"/>
  <c r="B9411" i="2"/>
  <c r="B9409" i="2"/>
  <c r="B9404" i="2"/>
  <c r="F9399" i="2"/>
  <c r="B9395" i="2"/>
  <c r="B9393" i="2"/>
  <c r="B9379" i="2"/>
  <c r="B9375" i="2"/>
  <c r="B9371" i="2"/>
  <c r="B9367" i="2"/>
  <c r="B9363" i="2"/>
  <c r="B9359" i="2"/>
  <c r="B9355" i="2"/>
  <c r="B9351" i="2"/>
  <c r="B9347" i="2"/>
  <c r="B9343" i="2"/>
  <c r="B9339" i="2"/>
  <c r="B9335" i="2"/>
  <c r="B9331" i="2"/>
  <c r="B9327" i="2"/>
  <c r="B9323" i="2"/>
  <c r="B9319" i="2"/>
  <c r="B9315" i="2"/>
  <c r="B9311" i="2"/>
  <c r="B9307" i="2"/>
  <c r="B9303" i="2"/>
  <c r="B9299" i="2"/>
  <c r="B9295" i="2"/>
  <c r="B9291" i="2"/>
  <c r="B9287" i="2"/>
  <c r="B9283" i="2"/>
  <c r="B9279" i="2"/>
  <c r="B9275" i="2"/>
  <c r="B9271" i="2"/>
  <c r="B9267" i="2"/>
  <c r="B9263" i="2"/>
  <c r="B9259" i="2"/>
  <c r="B9255" i="2"/>
  <c r="B9219" i="2"/>
  <c r="B9215" i="2"/>
  <c r="B9211" i="2"/>
  <c r="B9207" i="2"/>
  <c r="B9203" i="2"/>
  <c r="B9199" i="2"/>
  <c r="B9195" i="2"/>
  <c r="B9191" i="2"/>
  <c r="B9187" i="2"/>
  <c r="B9183" i="2"/>
  <c r="B9179" i="2"/>
  <c r="B9175" i="2"/>
  <c r="B9171" i="2"/>
  <c r="B9167" i="2"/>
  <c r="B9163" i="2"/>
  <c r="B9159" i="2"/>
  <c r="B9155" i="2"/>
  <c r="B9151" i="2"/>
  <c r="B9147" i="2"/>
  <c r="B9143" i="2"/>
  <c r="B9139" i="2"/>
  <c r="B9135" i="2"/>
  <c r="B9131" i="2"/>
  <c r="B9127" i="2"/>
  <c r="B9123" i="2"/>
  <c r="B9119" i="2"/>
  <c r="B9115" i="2"/>
  <c r="B9111" i="2"/>
  <c r="B9107" i="2"/>
  <c r="B9103" i="2"/>
  <c r="F9090" i="2"/>
  <c r="B9089" i="2"/>
  <c r="F9085" i="2"/>
  <c r="B9084" i="2"/>
  <c r="F9082" i="2"/>
  <c r="B9081" i="2"/>
  <c r="F9077" i="2"/>
  <c r="B9076" i="2"/>
  <c r="F9074" i="2"/>
  <c r="B9073" i="2"/>
  <c r="F9069" i="2"/>
  <c r="B9068" i="2"/>
  <c r="F9066" i="2"/>
  <c r="B9065" i="2"/>
  <c r="F9061" i="2"/>
  <c r="B9060" i="2"/>
  <c r="F9058" i="2"/>
  <c r="B9057" i="2"/>
  <c r="F9053" i="2"/>
  <c r="B9052" i="2"/>
  <c r="F9050" i="2"/>
  <c r="B9049" i="2"/>
  <c r="F9045" i="2"/>
  <c r="B9044" i="2"/>
  <c r="F9042" i="2"/>
  <c r="B9041" i="2"/>
  <c r="F9037" i="2"/>
  <c r="B9036" i="2"/>
  <c r="F9034" i="2"/>
  <c r="B9033" i="2"/>
  <c r="F9029" i="2"/>
  <c r="B9028" i="2"/>
  <c r="F9026" i="2"/>
  <c r="B9025" i="2"/>
  <c r="F9021" i="2"/>
  <c r="B9020" i="2"/>
  <c r="F9018" i="2"/>
  <c r="B9017" i="2"/>
  <c r="F9013" i="2"/>
  <c r="B9012" i="2"/>
  <c r="F9010" i="2"/>
  <c r="B9009" i="2"/>
  <c r="F9005" i="2"/>
  <c r="B9004" i="2"/>
  <c r="F9002" i="2"/>
  <c r="B9001" i="2"/>
  <c r="F8997" i="2"/>
  <c r="B8996" i="2"/>
  <c r="F8994" i="2"/>
  <c r="B8993" i="2"/>
  <c r="F8989" i="2"/>
  <c r="B8988" i="2"/>
  <c r="F8986" i="2"/>
  <c r="B8985" i="2"/>
  <c r="F8981" i="2"/>
  <c r="B8980" i="2"/>
  <c r="F8978" i="2"/>
  <c r="B8976" i="2"/>
  <c r="F8974" i="2"/>
  <c r="B8972" i="2"/>
  <c r="F8970" i="2"/>
  <c r="B8968" i="2"/>
  <c r="F8966" i="2"/>
  <c r="B8964" i="2"/>
  <c r="F8962" i="2"/>
  <c r="B8960" i="2"/>
  <c r="F8958" i="2"/>
  <c r="B8956" i="2"/>
  <c r="F8954" i="2"/>
  <c r="B8952" i="2"/>
  <c r="F8950" i="2"/>
  <c r="B8948" i="2"/>
  <c r="F8946" i="2"/>
  <c r="B8944" i="2"/>
  <c r="F8942" i="2"/>
  <c r="B8940" i="2"/>
  <c r="F8938" i="2"/>
  <c r="B8936" i="2"/>
  <c r="F8934" i="2"/>
  <c r="B8932" i="2"/>
  <c r="F8930" i="2"/>
  <c r="B8928" i="2"/>
  <c r="F8926" i="2"/>
  <c r="B8924" i="2"/>
  <c r="F8922" i="2"/>
  <c r="B8920" i="2"/>
  <c r="F8918" i="2"/>
  <c r="B8916" i="2"/>
  <c r="F8914" i="2"/>
  <c r="B8912" i="2"/>
  <c r="F8910" i="2"/>
  <c r="B8908" i="2"/>
  <c r="F8906" i="2"/>
  <c r="B8904" i="2"/>
  <c r="B8892" i="2"/>
  <c r="F8890" i="2"/>
  <c r="B8888" i="2"/>
  <c r="F8886" i="2"/>
  <c r="B8884" i="2"/>
  <c r="F8882" i="2"/>
  <c r="B8880" i="2"/>
  <c r="F8878" i="2"/>
  <c r="B8876" i="2"/>
  <c r="F8874" i="2"/>
  <c r="B8872" i="2"/>
  <c r="F8870" i="2"/>
  <c r="B8868" i="2"/>
  <c r="F8866" i="2"/>
  <c r="B8864" i="2"/>
  <c r="F8862" i="2"/>
  <c r="B8860" i="2"/>
  <c r="F8858" i="2"/>
  <c r="B8856" i="2"/>
  <c r="F8854" i="2"/>
  <c r="B8852" i="2"/>
  <c r="F8850" i="2"/>
  <c r="B8848" i="2"/>
  <c r="F8846" i="2"/>
  <c r="B8844" i="2"/>
  <c r="F8842" i="2"/>
  <c r="B8840" i="2"/>
  <c r="F8838" i="2"/>
  <c r="B8836" i="2"/>
  <c r="F8834" i="2"/>
  <c r="B8832" i="2"/>
  <c r="F8830" i="2"/>
  <c r="B8828" i="2"/>
  <c r="F8826" i="2"/>
  <c r="B8824" i="2"/>
  <c r="F8822" i="2"/>
  <c r="B8820" i="2"/>
  <c r="F8818" i="2"/>
  <c r="B8816" i="2"/>
  <c r="F8814" i="2"/>
  <c r="B8812" i="2"/>
  <c r="F8810" i="2"/>
  <c r="B8808" i="2"/>
  <c r="F8806" i="2"/>
  <c r="B8804" i="2"/>
  <c r="F8802" i="2"/>
  <c r="B8800" i="2"/>
  <c r="F8798" i="2"/>
  <c r="B8796" i="2"/>
  <c r="F8794" i="2"/>
  <c r="B8792" i="2"/>
  <c r="F8790" i="2"/>
  <c r="B8788" i="2"/>
  <c r="B8776" i="2"/>
  <c r="F8774" i="2"/>
  <c r="B8772" i="2"/>
  <c r="F8770" i="2"/>
  <c r="B8768" i="2"/>
  <c r="F8766" i="2"/>
  <c r="B8764" i="2"/>
  <c r="F8762" i="2"/>
  <c r="B8760" i="2"/>
  <c r="F8758" i="2"/>
  <c r="B8756" i="2"/>
  <c r="F8754" i="2"/>
  <c r="B8752" i="2"/>
  <c r="F8750" i="2"/>
  <c r="B8748" i="2"/>
  <c r="F8746" i="2"/>
  <c r="B8744" i="2"/>
  <c r="F8742" i="2"/>
  <c r="B8740" i="2"/>
  <c r="F8738" i="2"/>
  <c r="B8736" i="2"/>
  <c r="F8734" i="2"/>
  <c r="B8732" i="2"/>
  <c r="F8730" i="2"/>
  <c r="B8728" i="2"/>
  <c r="F8726" i="2"/>
  <c r="B8724" i="2"/>
  <c r="F8722" i="2"/>
  <c r="B8720" i="2"/>
  <c r="F8718" i="2"/>
  <c r="B8716" i="2"/>
  <c r="F8714" i="2"/>
  <c r="B8712" i="2"/>
  <c r="F8710" i="2"/>
  <c r="B8708" i="2"/>
  <c r="F8706" i="2"/>
  <c r="B8704" i="2"/>
  <c r="F8702" i="2"/>
  <c r="B8700" i="2"/>
  <c r="F8698" i="2"/>
  <c r="B8696" i="2"/>
  <c r="F8694" i="2"/>
  <c r="B8692" i="2"/>
  <c r="F8690" i="2"/>
  <c r="B8688" i="2"/>
  <c r="F8686" i="2"/>
  <c r="B8684" i="2"/>
  <c r="F8682" i="2"/>
  <c r="B8680" i="2"/>
  <c r="F8678" i="2"/>
  <c r="B8676" i="2"/>
  <c r="F8674" i="2"/>
  <c r="B8672" i="2"/>
  <c r="F8670" i="2"/>
  <c r="F8658" i="2"/>
  <c r="B8656" i="2"/>
  <c r="F8654" i="2"/>
  <c r="B8652" i="2"/>
  <c r="F8650" i="2"/>
  <c r="B8648" i="2"/>
  <c r="F8646" i="2"/>
  <c r="B8644" i="2"/>
  <c r="F8642" i="2"/>
  <c r="B8640" i="2"/>
  <c r="F8638" i="2"/>
  <c r="B8636" i="2"/>
  <c r="F8634" i="2"/>
  <c r="B8632" i="2"/>
  <c r="F8630" i="2"/>
  <c r="B8628" i="2"/>
  <c r="F8626" i="2"/>
  <c r="B8624" i="2"/>
  <c r="F8622" i="2"/>
  <c r="B8620" i="2"/>
  <c r="F8618" i="2"/>
  <c r="B8616" i="2"/>
  <c r="F8614" i="2"/>
  <c r="B8612" i="2"/>
  <c r="F8610" i="2"/>
  <c r="B8608" i="2"/>
  <c r="F8606" i="2"/>
  <c r="B8604" i="2"/>
  <c r="F8602" i="2"/>
  <c r="B8600" i="2"/>
  <c r="F8598" i="2"/>
  <c r="B8596" i="2"/>
  <c r="F8594" i="2"/>
  <c r="B8592" i="2"/>
  <c r="F8590" i="2"/>
  <c r="B8588" i="2"/>
  <c r="F8586" i="2"/>
  <c r="B8584" i="2"/>
  <c r="F8582" i="2"/>
  <c r="B8580" i="2"/>
  <c r="F8578" i="2"/>
  <c r="B8576" i="2"/>
  <c r="F8574" i="2"/>
  <c r="B8572" i="2"/>
  <c r="F8570" i="2"/>
  <c r="B8568" i="2"/>
  <c r="F8566" i="2"/>
  <c r="B8564" i="2"/>
  <c r="F8562" i="2"/>
  <c r="B8560" i="2"/>
  <c r="F8558" i="2"/>
  <c r="B8556" i="2"/>
  <c r="F8554" i="2"/>
  <c r="F8542" i="2"/>
  <c r="B8540" i="2"/>
  <c r="F8538" i="2"/>
  <c r="B8536" i="2"/>
  <c r="F8534" i="2"/>
  <c r="B8532" i="2"/>
  <c r="F8530" i="2"/>
  <c r="B8528" i="2"/>
  <c r="F8526" i="2"/>
  <c r="B8524" i="2"/>
  <c r="F8522" i="2"/>
  <c r="B8520" i="2"/>
  <c r="F8518" i="2"/>
  <c r="B8516" i="2"/>
  <c r="F8514" i="2"/>
  <c r="B8512" i="2"/>
  <c r="F8510" i="2"/>
  <c r="B8508" i="2"/>
  <c r="F8506" i="2"/>
  <c r="B8504" i="2"/>
  <c r="F8502" i="2"/>
  <c r="B8500" i="2"/>
  <c r="F8498" i="2"/>
  <c r="B8496" i="2"/>
  <c r="B8484" i="2"/>
  <c r="F8482" i="2"/>
  <c r="B8480" i="2"/>
  <c r="F8478" i="2"/>
  <c r="B8476" i="2"/>
  <c r="F8474" i="2"/>
  <c r="B8472" i="2"/>
  <c r="F8470" i="2"/>
  <c r="B8468" i="2"/>
  <c r="F8466" i="2"/>
  <c r="B8464" i="2"/>
  <c r="F8462" i="2"/>
  <c r="B8460" i="2"/>
  <c r="B8448" i="2"/>
  <c r="F8446" i="2"/>
  <c r="B8444" i="2"/>
  <c r="F8442" i="2"/>
  <c r="B8440" i="2"/>
  <c r="F8438" i="2"/>
  <c r="B8436" i="2"/>
  <c r="F8434" i="2"/>
  <c r="B8432" i="2"/>
  <c r="F8430" i="2"/>
  <c r="B8428" i="2"/>
  <c r="F8426" i="2"/>
  <c r="B8424" i="2"/>
  <c r="F8422" i="2"/>
  <c r="F8410" i="2"/>
  <c r="B8408" i="2"/>
  <c r="F8406" i="2"/>
  <c r="B8404" i="2"/>
  <c r="F8402" i="2"/>
  <c r="B8400" i="2"/>
  <c r="F8398" i="2"/>
  <c r="B8396" i="2"/>
  <c r="F8394" i="2"/>
  <c r="B8392" i="2"/>
  <c r="F8390" i="2"/>
  <c r="B8388" i="2"/>
  <c r="F8386" i="2"/>
  <c r="F8374" i="2"/>
  <c r="B8372" i="2"/>
  <c r="F8370" i="2"/>
  <c r="B8368" i="2"/>
  <c r="F8366" i="2"/>
  <c r="B8364" i="2"/>
  <c r="F8362" i="2"/>
  <c r="B8360" i="2"/>
  <c r="F8358" i="2"/>
  <c r="B8356" i="2"/>
  <c r="F8354" i="2"/>
  <c r="B8352" i="2"/>
  <c r="F8350" i="2"/>
  <c r="F8338" i="2"/>
  <c r="B8336" i="2"/>
  <c r="F8334" i="2"/>
  <c r="B8332" i="2"/>
  <c r="F8330" i="2"/>
  <c r="B8328" i="2"/>
  <c r="F8326" i="2"/>
  <c r="B8324" i="2"/>
  <c r="F8322" i="2"/>
  <c r="B8320" i="2"/>
  <c r="F8318" i="2"/>
  <c r="B8316" i="2"/>
  <c r="F8314" i="2"/>
  <c r="B8312" i="2"/>
  <c r="F8310" i="2"/>
  <c r="B8308" i="2"/>
  <c r="F8306" i="2"/>
  <c r="B8304" i="2"/>
  <c r="F8302" i="2"/>
  <c r="B8300" i="2"/>
  <c r="F8298" i="2"/>
  <c r="B8296" i="2"/>
  <c r="F8294" i="2"/>
  <c r="B8292" i="2"/>
  <c r="B8280" i="2"/>
  <c r="F8278" i="2"/>
  <c r="B8276" i="2"/>
  <c r="F8274" i="2"/>
  <c r="B8272" i="2"/>
  <c r="F8270" i="2"/>
  <c r="B8268" i="2"/>
  <c r="F8266" i="2"/>
  <c r="B8264" i="2"/>
  <c r="F8262" i="2"/>
  <c r="B8260" i="2"/>
  <c r="F8258" i="2"/>
  <c r="B8256" i="2"/>
  <c r="F8254" i="2"/>
  <c r="B8252" i="2"/>
  <c r="F8250" i="2"/>
  <c r="B8248" i="2"/>
  <c r="F8246" i="2"/>
  <c r="B8244" i="2"/>
  <c r="F8242" i="2"/>
  <c r="B8240" i="2"/>
  <c r="F8238" i="2"/>
  <c r="B8236" i="2"/>
  <c r="B8224" i="2"/>
  <c r="F8222" i="2"/>
  <c r="B8220" i="2"/>
  <c r="F8218" i="2"/>
  <c r="B8216" i="2"/>
  <c r="F8214" i="2"/>
  <c r="B8212" i="2"/>
  <c r="F8210" i="2"/>
  <c r="B8208" i="2"/>
  <c r="F8206" i="2"/>
  <c r="B8204" i="2"/>
  <c r="F8202" i="2"/>
  <c r="B8200" i="2"/>
  <c r="B10066" i="2"/>
  <c r="F9919" i="2"/>
  <c r="F9908" i="2"/>
  <c r="F9901" i="2"/>
  <c r="B9899" i="2"/>
  <c r="B9846" i="2"/>
  <c r="B9844" i="2"/>
  <c r="F9840" i="2"/>
  <c r="B9823" i="2"/>
  <c r="B9782" i="2"/>
  <c r="B9779" i="2"/>
  <c r="F9765" i="2"/>
  <c r="B9763" i="2"/>
  <c r="F9749" i="2"/>
  <c r="B9747" i="2"/>
  <c r="F9733" i="2"/>
  <c r="B9731" i="2"/>
  <c r="F9717" i="2"/>
  <c r="B9715" i="2"/>
  <c r="F9701" i="2"/>
  <c r="B9699" i="2"/>
  <c r="F9685" i="2"/>
  <c r="B9683" i="2"/>
  <c r="F9669" i="2"/>
  <c r="B9667" i="2"/>
  <c r="F9641" i="2"/>
  <c r="F9625" i="2"/>
  <c r="F9609" i="2"/>
  <c r="F9593" i="2"/>
  <c r="F9577" i="2"/>
  <c r="F9561" i="2"/>
  <c r="F9545" i="2"/>
  <c r="F9529" i="2"/>
  <c r="B9515" i="2"/>
  <c r="B9499" i="2"/>
  <c r="B9483" i="2"/>
  <c r="B9467" i="2"/>
  <c r="B9451" i="2"/>
  <c r="B9435" i="2"/>
  <c r="F9405" i="2"/>
  <c r="B9403" i="2"/>
  <c r="F9378" i="2"/>
  <c r="B9376" i="2"/>
  <c r="F9370" i="2"/>
  <c r="B9368" i="2"/>
  <c r="F9362" i="2"/>
  <c r="B9360" i="2"/>
  <c r="F9354" i="2"/>
  <c r="B9352" i="2"/>
  <c r="F9346" i="2"/>
  <c r="B9344" i="2"/>
  <c r="F9338" i="2"/>
  <c r="B9336" i="2"/>
  <c r="F9330" i="2"/>
  <c r="B9328" i="2"/>
  <c r="F9322" i="2"/>
  <c r="B9320" i="2"/>
  <c r="F9314" i="2"/>
  <c r="B9312" i="2"/>
  <c r="F9306" i="2"/>
  <c r="B9304" i="2"/>
  <c r="F9298" i="2"/>
  <c r="B9296" i="2"/>
  <c r="F9290" i="2"/>
  <c r="B9288" i="2"/>
  <c r="F9282" i="2"/>
  <c r="B9280" i="2"/>
  <c r="F9274" i="2"/>
  <c r="B9272" i="2"/>
  <c r="F9266" i="2"/>
  <c r="B9264" i="2"/>
  <c r="F9258" i="2"/>
  <c r="B9256" i="2"/>
  <c r="F9222" i="2"/>
  <c r="B9220" i="2"/>
  <c r="F9214" i="2"/>
  <c r="B9212" i="2"/>
  <c r="F9206" i="2"/>
  <c r="B9204" i="2"/>
  <c r="F9198" i="2"/>
  <c r="B9196" i="2"/>
  <c r="F9190" i="2"/>
  <c r="B9188" i="2"/>
  <c r="F9182" i="2"/>
  <c r="B9180" i="2"/>
  <c r="F9174" i="2"/>
  <c r="B9172" i="2"/>
  <c r="F9166" i="2"/>
  <c r="B9164" i="2"/>
  <c r="F9158" i="2"/>
  <c r="B9156" i="2"/>
  <c r="F9150" i="2"/>
  <c r="B9148" i="2"/>
  <c r="F9142" i="2"/>
  <c r="B9140" i="2"/>
  <c r="F9134" i="2"/>
  <c r="B9132" i="2"/>
  <c r="F9126" i="2"/>
  <c r="B9124" i="2"/>
  <c r="F9118" i="2"/>
  <c r="B9116" i="2"/>
  <c r="F9110" i="2"/>
  <c r="B9108" i="2"/>
  <c r="F9102" i="2"/>
  <c r="F9086" i="2"/>
  <c r="F9081" i="2"/>
  <c r="F9070" i="2"/>
  <c r="F9065" i="2"/>
  <c r="F9054" i="2"/>
  <c r="F9049" i="2"/>
  <c r="F9038" i="2"/>
  <c r="F9033" i="2"/>
  <c r="F9022" i="2"/>
  <c r="F9017" i="2"/>
  <c r="F9006" i="2"/>
  <c r="F9001" i="2"/>
  <c r="F8990" i="2"/>
  <c r="F8985" i="2"/>
  <c r="B8977" i="2"/>
  <c r="B8973" i="2"/>
  <c r="B8969" i="2"/>
  <c r="B8965" i="2"/>
  <c r="B8961" i="2"/>
  <c r="B8957" i="2"/>
  <c r="B8953" i="2"/>
  <c r="B8949" i="2"/>
  <c r="B8945" i="2"/>
  <c r="B8941" i="2"/>
  <c r="B8937" i="2"/>
  <c r="B8933" i="2"/>
  <c r="B8929" i="2"/>
  <c r="B8925" i="2"/>
  <c r="B8921" i="2"/>
  <c r="B8917" i="2"/>
  <c r="B8913" i="2"/>
  <c r="B8909" i="2"/>
  <c r="B8905" i="2"/>
  <c r="B8890" i="2"/>
  <c r="B8886" i="2"/>
  <c r="B8882" i="2"/>
  <c r="B8878" i="2"/>
  <c r="B8874" i="2"/>
  <c r="B8870" i="2"/>
  <c r="B8866" i="2"/>
  <c r="B8862" i="2"/>
  <c r="B8858" i="2"/>
  <c r="B8854" i="2"/>
  <c r="B8850" i="2"/>
  <c r="B8846" i="2"/>
  <c r="B8842" i="2"/>
  <c r="B8838" i="2"/>
  <c r="B8834" i="2"/>
  <c r="B8830" i="2"/>
  <c r="B8826" i="2"/>
  <c r="B8822" i="2"/>
  <c r="B8818" i="2"/>
  <c r="B8814" i="2"/>
  <c r="B8810" i="2"/>
  <c r="B8806" i="2"/>
  <c r="B8802" i="2"/>
  <c r="B8798" i="2"/>
  <c r="B8794" i="2"/>
  <c r="B8790" i="2"/>
  <c r="B8773" i="2"/>
  <c r="B8769" i="2"/>
  <c r="B8765" i="2"/>
  <c r="B8761" i="2"/>
  <c r="B8757" i="2"/>
  <c r="B8753" i="2"/>
  <c r="B8749" i="2"/>
  <c r="B8745" i="2"/>
  <c r="B8741" i="2"/>
  <c r="B8737" i="2"/>
  <c r="B8733" i="2"/>
  <c r="B8729" i="2"/>
  <c r="B8725" i="2"/>
  <c r="B8721" i="2"/>
  <c r="B8717" i="2"/>
  <c r="B8713" i="2"/>
  <c r="B8709" i="2"/>
  <c r="B8705" i="2"/>
  <c r="B8701" i="2"/>
  <c r="B8697" i="2"/>
  <c r="B8693" i="2"/>
  <c r="B8689" i="2"/>
  <c r="B8685" i="2"/>
  <c r="B8681" i="2"/>
  <c r="B8677" i="2"/>
  <c r="B8673" i="2"/>
  <c r="F8659" i="2"/>
  <c r="F8655" i="2"/>
  <c r="F8651" i="2"/>
  <c r="F8647" i="2"/>
  <c r="F8643" i="2"/>
  <c r="F8639" i="2"/>
  <c r="F8635" i="2"/>
  <c r="F8631" i="2"/>
  <c r="F8627" i="2"/>
  <c r="F8623" i="2"/>
  <c r="F8619" i="2"/>
  <c r="F8615" i="2"/>
  <c r="F8611" i="2"/>
  <c r="F8607" i="2"/>
  <c r="F8603" i="2"/>
  <c r="F8599" i="2"/>
  <c r="F8595" i="2"/>
  <c r="F8591" i="2"/>
  <c r="F8587" i="2"/>
  <c r="F8583" i="2"/>
  <c r="F8579" i="2"/>
  <c r="F8575" i="2"/>
  <c r="F8571" i="2"/>
  <c r="F8567" i="2"/>
  <c r="F8563" i="2"/>
  <c r="F8559" i="2"/>
  <c r="F8555" i="2"/>
  <c r="B8542" i="2"/>
  <c r="B8538" i="2"/>
  <c r="B8534" i="2"/>
  <c r="B8530" i="2"/>
  <c r="B8526" i="2"/>
  <c r="B8522" i="2"/>
  <c r="B8518" i="2"/>
  <c r="B8514" i="2"/>
  <c r="B8509" i="2"/>
  <c r="F8505" i="2"/>
  <c r="B8501" i="2"/>
  <c r="F8497" i="2"/>
  <c r="F8483" i="2"/>
  <c r="B8482" i="2"/>
  <c r="F8480" i="2"/>
  <c r="B8479" i="2"/>
  <c r="F8475" i="2"/>
  <c r="B8474" i="2"/>
  <c r="F8472" i="2"/>
  <c r="B8471" i="2"/>
  <c r="F8467" i="2"/>
  <c r="B8466" i="2"/>
  <c r="F8464" i="2"/>
  <c r="B8463" i="2"/>
  <c r="F8459" i="2"/>
  <c r="F8445" i="2"/>
  <c r="B8441" i="2"/>
  <c r="F8437" i="2"/>
  <c r="B8433" i="2"/>
  <c r="F8429" i="2"/>
  <c r="B8425" i="2"/>
  <c r="B8409" i="2"/>
  <c r="F8405" i="2"/>
  <c r="B8401" i="2"/>
  <c r="F8397" i="2"/>
  <c r="B8393" i="2"/>
  <c r="F8389" i="2"/>
  <c r="B8385" i="2"/>
  <c r="B8374" i="2"/>
  <c r="F8372" i="2"/>
  <c r="B8371" i="2"/>
  <c r="F8367" i="2"/>
  <c r="B8366" i="2"/>
  <c r="F8364" i="2"/>
  <c r="B8363" i="2"/>
  <c r="F8359" i="2"/>
  <c r="B8358" i="2"/>
  <c r="F8356" i="2"/>
  <c r="B8355" i="2"/>
  <c r="F8351" i="2"/>
  <c r="B8350" i="2"/>
  <c r="F8337" i="2"/>
  <c r="B8333" i="2"/>
  <c r="F8329" i="2"/>
  <c r="B8325" i="2"/>
  <c r="F8321" i="2"/>
  <c r="B8317" i="2"/>
  <c r="F8313" i="2"/>
  <c r="B8309" i="2"/>
  <c r="F8305" i="2"/>
  <c r="B8301" i="2"/>
  <c r="F8297" i="2"/>
  <c r="B8293" i="2"/>
  <c r="F8280" i="2"/>
  <c r="B8279" i="2"/>
  <c r="F8275" i="2"/>
  <c r="B8274" i="2"/>
  <c r="F8272" i="2"/>
  <c r="B8271" i="2"/>
  <c r="F8267" i="2"/>
  <c r="B8266" i="2"/>
  <c r="F8264" i="2"/>
  <c r="B8263" i="2"/>
  <c r="F8259" i="2"/>
  <c r="B8258" i="2"/>
  <c r="F8256" i="2"/>
  <c r="B8255" i="2"/>
  <c r="F8251" i="2"/>
  <c r="B8250" i="2"/>
  <c r="F8248" i="2"/>
  <c r="B8247" i="2"/>
  <c r="F8243" i="2"/>
  <c r="B8242" i="2"/>
  <c r="F8240" i="2"/>
  <c r="B8239" i="2"/>
  <c r="F8235" i="2"/>
  <c r="F8221" i="2"/>
  <c r="B8217" i="2"/>
  <c r="F8213" i="2"/>
  <c r="B8209" i="2"/>
  <c r="F8205" i="2"/>
  <c r="B8201" i="2"/>
  <c r="B8198" i="2"/>
  <c r="F8196" i="2"/>
  <c r="B8194" i="2"/>
  <c r="F8192" i="2"/>
  <c r="B8190" i="2"/>
  <c r="F8188" i="2"/>
  <c r="B8186" i="2"/>
  <c r="F8184" i="2"/>
  <c r="B8182" i="2"/>
  <c r="F8180" i="2"/>
  <c r="B8178" i="2"/>
  <c r="F8176" i="2"/>
  <c r="B8174" i="2"/>
  <c r="F8172" i="2"/>
  <c r="B8170" i="2"/>
  <c r="F8168" i="2"/>
  <c r="B8166" i="2"/>
  <c r="F8164" i="2"/>
  <c r="B8162" i="2"/>
  <c r="F8160" i="2"/>
  <c r="B8158" i="2"/>
  <c r="F8156" i="2"/>
  <c r="B8154" i="2"/>
  <c r="F8152" i="2"/>
  <c r="B8150" i="2"/>
  <c r="F8148" i="2"/>
  <c r="B8146" i="2"/>
  <c r="F8144" i="2"/>
  <c r="B8142" i="2"/>
  <c r="F8140" i="2"/>
  <c r="B8138" i="2"/>
  <c r="F8136" i="2"/>
  <c r="B8134" i="2"/>
  <c r="F8132" i="2"/>
  <c r="B8130" i="2"/>
  <c r="F8128" i="2"/>
  <c r="F8116" i="2"/>
  <c r="B8114" i="2"/>
  <c r="F8112" i="2"/>
  <c r="B8110" i="2"/>
  <c r="F8108" i="2"/>
  <c r="B8106" i="2"/>
  <c r="F8104" i="2"/>
  <c r="B8102" i="2"/>
  <c r="F8100" i="2"/>
  <c r="B8098" i="2"/>
  <c r="F8096" i="2"/>
  <c r="B8094" i="2"/>
  <c r="F8092" i="2"/>
  <c r="B8090" i="2"/>
  <c r="F8088" i="2"/>
  <c r="B8086" i="2"/>
  <c r="F8084" i="2"/>
  <c r="B8082" i="2"/>
  <c r="F8080" i="2"/>
  <c r="B8078" i="2"/>
  <c r="F8076" i="2"/>
  <c r="B8074" i="2"/>
  <c r="F8072" i="2"/>
  <c r="B8070" i="2"/>
  <c r="F8068" i="2"/>
  <c r="B8066" i="2"/>
  <c r="F8064" i="2"/>
  <c r="B8062" i="2"/>
  <c r="F8060" i="2"/>
  <c r="B8058" i="2"/>
  <c r="F8056" i="2"/>
  <c r="B8054" i="2"/>
  <c r="F8052" i="2"/>
  <c r="B8050" i="2"/>
  <c r="F8048" i="2"/>
  <c r="B8046" i="2"/>
  <c r="F8044" i="2"/>
  <c r="B8042" i="2"/>
  <c r="F8040" i="2"/>
  <c r="B8038" i="2"/>
  <c r="F8036" i="2"/>
  <c r="B8034" i="2"/>
  <c r="F8032" i="2"/>
  <c r="B8030" i="2"/>
  <c r="F8028" i="2"/>
  <c r="F8016" i="2"/>
  <c r="B8014" i="2"/>
  <c r="F8012" i="2"/>
  <c r="B8010" i="2"/>
  <c r="F8008" i="2"/>
  <c r="B8006" i="2"/>
  <c r="F8004" i="2"/>
  <c r="B8002" i="2"/>
  <c r="F8000" i="2"/>
  <c r="B7998" i="2"/>
  <c r="F7996" i="2"/>
  <c r="B7994" i="2"/>
  <c r="F7992" i="2"/>
  <c r="B7990" i="2"/>
  <c r="F7988" i="2"/>
  <c r="B7986" i="2"/>
  <c r="F7984" i="2"/>
  <c r="B7982" i="2"/>
  <c r="F7980" i="2"/>
  <c r="F7968" i="2"/>
  <c r="B7966" i="2"/>
  <c r="F7964" i="2"/>
  <c r="B7962" i="2"/>
  <c r="F7960" i="2"/>
  <c r="B7958" i="2"/>
  <c r="F7956" i="2"/>
  <c r="B7954" i="2"/>
  <c r="F7952" i="2"/>
  <c r="B7950" i="2"/>
  <c r="F7948" i="2"/>
  <c r="B7946" i="2"/>
  <c r="F7944" i="2"/>
  <c r="B7942" i="2"/>
  <c r="F7940" i="2"/>
  <c r="B7938" i="2"/>
  <c r="F7936" i="2"/>
  <c r="B7934" i="2"/>
  <c r="F7932" i="2"/>
  <c r="B7930" i="2"/>
  <c r="F7928" i="2"/>
  <c r="B7926" i="2"/>
  <c r="F7924" i="2"/>
  <c r="B7922" i="2"/>
  <c r="F7920" i="2"/>
  <c r="B7918" i="2"/>
  <c r="F7916" i="2"/>
  <c r="B7914" i="2"/>
  <c r="F7912" i="2"/>
  <c r="B7910" i="2"/>
  <c r="F7908" i="2"/>
  <c r="B7906" i="2"/>
  <c r="F7904" i="2"/>
  <c r="B7902" i="2"/>
  <c r="F7900" i="2"/>
  <c r="B7898" i="2"/>
  <c r="F7896" i="2"/>
  <c r="B7894" i="2"/>
  <c r="F7892" i="2"/>
  <c r="B7890" i="2"/>
  <c r="F7888" i="2"/>
  <c r="B7886" i="2"/>
  <c r="F7884" i="2"/>
  <c r="B7882" i="2"/>
  <c r="F7880" i="2"/>
  <c r="F7868" i="2"/>
  <c r="B7866" i="2"/>
  <c r="F7864" i="2"/>
  <c r="B7862" i="2"/>
  <c r="F7860" i="2"/>
  <c r="B7858" i="2"/>
  <c r="F7856" i="2"/>
  <c r="B7854" i="2"/>
  <c r="F7852" i="2"/>
  <c r="B7850" i="2"/>
  <c r="F7848" i="2"/>
  <c r="B7846" i="2"/>
  <c r="F7844" i="2"/>
  <c r="B7842" i="2"/>
  <c r="F7840" i="2"/>
  <c r="B7838" i="2"/>
  <c r="F7836" i="2"/>
  <c r="B7834" i="2"/>
  <c r="F7832" i="2"/>
  <c r="B7830" i="2"/>
  <c r="F7828" i="2"/>
  <c r="B7826" i="2"/>
  <c r="F7824" i="2"/>
  <c r="B7822" i="2"/>
  <c r="F7820" i="2"/>
  <c r="B7818" i="2"/>
  <c r="F7816" i="2"/>
  <c r="B7814" i="2"/>
  <c r="F7812" i="2"/>
  <c r="B7810" i="2"/>
  <c r="F7808" i="2"/>
  <c r="B7806" i="2"/>
  <c r="F7804" i="2"/>
  <c r="B7802" i="2"/>
  <c r="F7800" i="2"/>
  <c r="B7798" i="2"/>
  <c r="F7796" i="2"/>
  <c r="B7794" i="2"/>
  <c r="F7792" i="2"/>
  <c r="B7790" i="2"/>
  <c r="F7788" i="2"/>
  <c r="B7786" i="2"/>
  <c r="F7784" i="2"/>
  <c r="B7782" i="2"/>
  <c r="F7780" i="2"/>
  <c r="B7778" i="2"/>
  <c r="B7766" i="2"/>
  <c r="F7764" i="2"/>
  <c r="B10105" i="2"/>
  <c r="B10071" i="2"/>
  <c r="F10067" i="2"/>
  <c r="F10061" i="2"/>
  <c r="F9992" i="2"/>
  <c r="F9989" i="2"/>
  <c r="F9971" i="2"/>
  <c r="B9969" i="2"/>
  <c r="B9929" i="2"/>
  <c r="B9926" i="2"/>
  <c r="B9851" i="2"/>
  <c r="F9847" i="2"/>
  <c r="F9845" i="2"/>
  <c r="F9793" i="2"/>
  <c r="F9786" i="2"/>
  <c r="B9784" i="2"/>
  <c r="B9644" i="2"/>
  <c r="B9628" i="2"/>
  <c r="B9612" i="2"/>
  <c r="B9596" i="2"/>
  <c r="B9580" i="2"/>
  <c r="B9564" i="2"/>
  <c r="B9548" i="2"/>
  <c r="B9532" i="2"/>
  <c r="F9510" i="2"/>
  <c r="F9494" i="2"/>
  <c r="F9478" i="2"/>
  <c r="F9462" i="2"/>
  <c r="F9446" i="2"/>
  <c r="B9428" i="2"/>
  <c r="B9417" i="2"/>
  <c r="F9410" i="2"/>
  <c r="F9407" i="2"/>
  <c r="B9396" i="2"/>
  <c r="F9233" i="2"/>
  <c r="B9088" i="2"/>
  <c r="F9083" i="2"/>
  <c r="B9079" i="2"/>
  <c r="B9077" i="2"/>
  <c r="B9072" i="2"/>
  <c r="F9067" i="2"/>
  <c r="B9063" i="2"/>
  <c r="B9061" i="2"/>
  <c r="B9056" i="2"/>
  <c r="F9051" i="2"/>
  <c r="B9047" i="2"/>
  <c r="B9045" i="2"/>
  <c r="B9040" i="2"/>
  <c r="F9035" i="2"/>
  <c r="B9031" i="2"/>
  <c r="B9029" i="2"/>
  <c r="B9024" i="2"/>
  <c r="F9019" i="2"/>
  <c r="B9015" i="2"/>
  <c r="B9013" i="2"/>
  <c r="B9008" i="2"/>
  <c r="F9003" i="2"/>
  <c r="B8999" i="2"/>
  <c r="B8997" i="2"/>
  <c r="B8992" i="2"/>
  <c r="F8987" i="2"/>
  <c r="B8983" i="2"/>
  <c r="B8981" i="2"/>
  <c r="F8976" i="2"/>
  <c r="F8972" i="2"/>
  <c r="F8968" i="2"/>
  <c r="F8964" i="2"/>
  <c r="F8960" i="2"/>
  <c r="F8956" i="2"/>
  <c r="F8952" i="2"/>
  <c r="F8948" i="2"/>
  <c r="F8944" i="2"/>
  <c r="F8940" i="2"/>
  <c r="F8936" i="2"/>
  <c r="F8932" i="2"/>
  <c r="F8928" i="2"/>
  <c r="F8924" i="2"/>
  <c r="F8920" i="2"/>
  <c r="F8916" i="2"/>
  <c r="F8912" i="2"/>
  <c r="F8908" i="2"/>
  <c r="F8904" i="2"/>
  <c r="F8891" i="2"/>
  <c r="F8887" i="2"/>
  <c r="F8883" i="2"/>
  <c r="F8879" i="2"/>
  <c r="F8875" i="2"/>
  <c r="F8871" i="2"/>
  <c r="F8867" i="2"/>
  <c r="F8863" i="2"/>
  <c r="F8859" i="2"/>
  <c r="F8855" i="2"/>
  <c r="F8851" i="2"/>
  <c r="F8847" i="2"/>
  <c r="F8843" i="2"/>
  <c r="F8839" i="2"/>
  <c r="F8835" i="2"/>
  <c r="F8831" i="2"/>
  <c r="F8827" i="2"/>
  <c r="F8823" i="2"/>
  <c r="F8819" i="2"/>
  <c r="F8815" i="2"/>
  <c r="F8811" i="2"/>
  <c r="F8807" i="2"/>
  <c r="F8803" i="2"/>
  <c r="F8799" i="2"/>
  <c r="F8795" i="2"/>
  <c r="F8791" i="2"/>
  <c r="F8787" i="2"/>
  <c r="F8776" i="2"/>
  <c r="F8772" i="2"/>
  <c r="F8768" i="2"/>
  <c r="F8764" i="2"/>
  <c r="F8760" i="2"/>
  <c r="F8756" i="2"/>
  <c r="F8752" i="2"/>
  <c r="F8748" i="2"/>
  <c r="F8744" i="2"/>
  <c r="F8740" i="2"/>
  <c r="F8736" i="2"/>
  <c r="F8732" i="2"/>
  <c r="F8728" i="2"/>
  <c r="F8724" i="2"/>
  <c r="F8720" i="2"/>
  <c r="F8716" i="2"/>
  <c r="F8712" i="2"/>
  <c r="F8708" i="2"/>
  <c r="F8704" i="2"/>
  <c r="F8700" i="2"/>
  <c r="F8696" i="2"/>
  <c r="F8692" i="2"/>
  <c r="F8688" i="2"/>
  <c r="F8684" i="2"/>
  <c r="F8680" i="2"/>
  <c r="F8676" i="2"/>
  <c r="F8672" i="2"/>
  <c r="B8657" i="2"/>
  <c r="B8653" i="2"/>
  <c r="B8649" i="2"/>
  <c r="B8645" i="2"/>
  <c r="B8641" i="2"/>
  <c r="B8637" i="2"/>
  <c r="B8633" i="2"/>
  <c r="B8629" i="2"/>
  <c r="B8625" i="2"/>
  <c r="B8621" i="2"/>
  <c r="B8617" i="2"/>
  <c r="B8613" i="2"/>
  <c r="B8609" i="2"/>
  <c r="B8605" i="2"/>
  <c r="B8601" i="2"/>
  <c r="B8597" i="2"/>
  <c r="B8593" i="2"/>
  <c r="B8589" i="2"/>
  <c r="B8585" i="2"/>
  <c r="B8581" i="2"/>
  <c r="B8577" i="2"/>
  <c r="B8573" i="2"/>
  <c r="B8569" i="2"/>
  <c r="B8565" i="2"/>
  <c r="B8561" i="2"/>
  <c r="B8557" i="2"/>
  <c r="B8553" i="2"/>
  <c r="F8539" i="2"/>
  <c r="F8535" i="2"/>
  <c r="F8531" i="2"/>
  <c r="F8527" i="2"/>
  <c r="F8523" i="2"/>
  <c r="F8519" i="2"/>
  <c r="F8515" i="2"/>
  <c r="F8511" i="2"/>
  <c r="B8510" i="2"/>
  <c r="F8508" i="2"/>
  <c r="B8507" i="2"/>
  <c r="F8503" i="2"/>
  <c r="B8502" i="2"/>
  <c r="F8500" i="2"/>
  <c r="B8499" i="2"/>
  <c r="B8485" i="2"/>
  <c r="F8481" i="2"/>
  <c r="B8477" i="2"/>
  <c r="F8473" i="2"/>
  <c r="B8469" i="2"/>
  <c r="F8465" i="2"/>
  <c r="B8461" i="2"/>
  <c r="F8448" i="2"/>
  <c r="B8447" i="2"/>
  <c r="F8443" i="2"/>
  <c r="B8442" i="2"/>
  <c r="F8440" i="2"/>
  <c r="B8439" i="2"/>
  <c r="F8435" i="2"/>
  <c r="B8434" i="2"/>
  <c r="F8432" i="2"/>
  <c r="B8431" i="2"/>
  <c r="F8427" i="2"/>
  <c r="B8426" i="2"/>
  <c r="F8424" i="2"/>
  <c r="B8423" i="2"/>
  <c r="F8411" i="2"/>
  <c r="B8410" i="2"/>
  <c r="F8408" i="2"/>
  <c r="B8407" i="2"/>
  <c r="F8403" i="2"/>
  <c r="B8402" i="2"/>
  <c r="F8400" i="2"/>
  <c r="B8399" i="2"/>
  <c r="F8395" i="2"/>
  <c r="B8394" i="2"/>
  <c r="F8392" i="2"/>
  <c r="B8391" i="2"/>
  <c r="F8387" i="2"/>
  <c r="B8386" i="2"/>
  <c r="F8373" i="2"/>
  <c r="B8369" i="2"/>
  <c r="F8365" i="2"/>
  <c r="B8361" i="2"/>
  <c r="F8357" i="2"/>
  <c r="B8353" i="2"/>
  <c r="F8349" i="2"/>
  <c r="F8335" i="2"/>
  <c r="B8334" i="2"/>
  <c r="F8332" i="2"/>
  <c r="B8331" i="2"/>
  <c r="F8327" i="2"/>
  <c r="B8326" i="2"/>
  <c r="F8324" i="2"/>
  <c r="B8323" i="2"/>
  <c r="F8319" i="2"/>
  <c r="B8318" i="2"/>
  <c r="F8316" i="2"/>
  <c r="B8315" i="2"/>
  <c r="F8311" i="2"/>
  <c r="B8310" i="2"/>
  <c r="F8308" i="2"/>
  <c r="B8307" i="2"/>
  <c r="F8303" i="2"/>
  <c r="B8302" i="2"/>
  <c r="F8300" i="2"/>
  <c r="B8299" i="2"/>
  <c r="F8295" i="2"/>
  <c r="B8294" i="2"/>
  <c r="F8292" i="2"/>
  <c r="F8281" i="2"/>
  <c r="B8277" i="2"/>
  <c r="F8273" i="2"/>
  <c r="B8269" i="2"/>
  <c r="F8265" i="2"/>
  <c r="B8261" i="2"/>
  <c r="F8257" i="2"/>
  <c r="B8253" i="2"/>
  <c r="F8249" i="2"/>
  <c r="B8245" i="2"/>
  <c r="F8241" i="2"/>
  <c r="B8237" i="2"/>
  <c r="F8224" i="2"/>
  <c r="B8223" i="2"/>
  <c r="F8219" i="2"/>
  <c r="B8218" i="2"/>
  <c r="F8216" i="2"/>
  <c r="B8215" i="2"/>
  <c r="F8211" i="2"/>
  <c r="B8210" i="2"/>
  <c r="F8208" i="2"/>
  <c r="B8207" i="2"/>
  <c r="F8203" i="2"/>
  <c r="B8202" i="2"/>
  <c r="F8200" i="2"/>
  <c r="B8199" i="2"/>
  <c r="F8197" i="2"/>
  <c r="B8195" i="2"/>
  <c r="F8193" i="2"/>
  <c r="B8191" i="2"/>
  <c r="F8189" i="2"/>
  <c r="B8187" i="2"/>
  <c r="F8185" i="2"/>
  <c r="B8183" i="2"/>
  <c r="F8181" i="2"/>
  <c r="B8179" i="2"/>
  <c r="F8177" i="2"/>
  <c r="B8175" i="2"/>
  <c r="F8173" i="2"/>
  <c r="B8171" i="2"/>
  <c r="F8169" i="2"/>
  <c r="B8167" i="2"/>
  <c r="F8165" i="2"/>
  <c r="B8163" i="2"/>
  <c r="F8161" i="2"/>
  <c r="B8159" i="2"/>
  <c r="F8157" i="2"/>
  <c r="B8155" i="2"/>
  <c r="F8153" i="2"/>
  <c r="B8151" i="2"/>
  <c r="F8149" i="2"/>
  <c r="B8147" i="2"/>
  <c r="F8145" i="2"/>
  <c r="B8143" i="2"/>
  <c r="F8141" i="2"/>
  <c r="B8139" i="2"/>
  <c r="F8137" i="2"/>
  <c r="B8135" i="2"/>
  <c r="F8133" i="2"/>
  <c r="B8131" i="2"/>
  <c r="F8129" i="2"/>
  <c r="F8117" i="2"/>
  <c r="B8115" i="2"/>
  <c r="F8113" i="2"/>
  <c r="B8111" i="2"/>
  <c r="F8109" i="2"/>
  <c r="B8107" i="2"/>
  <c r="F8105" i="2"/>
  <c r="B8103" i="2"/>
  <c r="F8101" i="2"/>
  <c r="B8099" i="2"/>
  <c r="F8097" i="2"/>
  <c r="B8095" i="2"/>
  <c r="F8093" i="2"/>
  <c r="B8091" i="2"/>
  <c r="F8089" i="2"/>
  <c r="B8087" i="2"/>
  <c r="F8085" i="2"/>
  <c r="B8083" i="2"/>
  <c r="F8081" i="2"/>
  <c r="B8079" i="2"/>
  <c r="F8077" i="2"/>
  <c r="B8075" i="2"/>
  <c r="F8073" i="2"/>
  <c r="B8071" i="2"/>
  <c r="F8069" i="2"/>
  <c r="B8067" i="2"/>
  <c r="F8065" i="2"/>
  <c r="B8063" i="2"/>
  <c r="F8061" i="2"/>
  <c r="B8059" i="2"/>
  <c r="F8057" i="2"/>
  <c r="B8055" i="2"/>
  <c r="F8053" i="2"/>
  <c r="B8051" i="2"/>
  <c r="F8049" i="2"/>
  <c r="B8047" i="2"/>
  <c r="F8045" i="2"/>
  <c r="B8043" i="2"/>
  <c r="F8041" i="2"/>
  <c r="B8039" i="2"/>
  <c r="F8037" i="2"/>
  <c r="B8035" i="2"/>
  <c r="F8033" i="2"/>
  <c r="B8031" i="2"/>
  <c r="F8029" i="2"/>
  <c r="B8027" i="2"/>
  <c r="B8015" i="2"/>
  <c r="F8013" i="2"/>
  <c r="B8011" i="2"/>
  <c r="F8009" i="2"/>
  <c r="B8007" i="2"/>
  <c r="F8005" i="2"/>
  <c r="B8003" i="2"/>
  <c r="F8001" i="2"/>
  <c r="B7999" i="2"/>
  <c r="F7997" i="2"/>
  <c r="B7995" i="2"/>
  <c r="F7993" i="2"/>
  <c r="B7991" i="2"/>
  <c r="F7989" i="2"/>
  <c r="B7987" i="2"/>
  <c r="F7985" i="2"/>
  <c r="B7983" i="2"/>
  <c r="F7981" i="2"/>
  <c r="F7969" i="2"/>
  <c r="B7967" i="2"/>
  <c r="F7965" i="2"/>
  <c r="B7963" i="2"/>
  <c r="F7961" i="2"/>
  <c r="B7959" i="2"/>
  <c r="F7957" i="2"/>
  <c r="B7955" i="2"/>
  <c r="F7953" i="2"/>
  <c r="B7951" i="2"/>
  <c r="F7949" i="2"/>
  <c r="B7947" i="2"/>
  <c r="F7945" i="2"/>
  <c r="B7943" i="2"/>
  <c r="F7941" i="2"/>
  <c r="B7939" i="2"/>
  <c r="F7937" i="2"/>
  <c r="B7935" i="2"/>
  <c r="F7933" i="2"/>
  <c r="B7931" i="2"/>
  <c r="F7929" i="2"/>
  <c r="B7927" i="2"/>
  <c r="F7925" i="2"/>
  <c r="B7923" i="2"/>
  <c r="F7921" i="2"/>
  <c r="B7919" i="2"/>
  <c r="F7917" i="2"/>
  <c r="B7915" i="2"/>
  <c r="F7913" i="2"/>
  <c r="B7911" i="2"/>
  <c r="F7909" i="2"/>
  <c r="B7907" i="2"/>
  <c r="F7905" i="2"/>
  <c r="B7903" i="2"/>
  <c r="F7901" i="2"/>
  <c r="B7899" i="2"/>
  <c r="F7897" i="2"/>
  <c r="B7895" i="2"/>
  <c r="F7893" i="2"/>
  <c r="B7891" i="2"/>
  <c r="F7889" i="2"/>
  <c r="B7887" i="2"/>
  <c r="F7885" i="2"/>
  <c r="B7883" i="2"/>
  <c r="F7881" i="2"/>
  <c r="B7879" i="2"/>
  <c r="B7867" i="2"/>
  <c r="F7865" i="2"/>
  <c r="B7863" i="2"/>
  <c r="F7861" i="2"/>
  <c r="B7859" i="2"/>
  <c r="F7857" i="2"/>
  <c r="B7855" i="2"/>
  <c r="F7853" i="2"/>
  <c r="B7851" i="2"/>
  <c r="F7849" i="2"/>
  <c r="B7847" i="2"/>
  <c r="F7845" i="2"/>
  <c r="B7843" i="2"/>
  <c r="F7841" i="2"/>
  <c r="B7839" i="2"/>
  <c r="F7837" i="2"/>
  <c r="B7835" i="2"/>
  <c r="F7833" i="2"/>
  <c r="B7831" i="2"/>
  <c r="F7829" i="2"/>
  <c r="B7827" i="2"/>
  <c r="F7825" i="2"/>
  <c r="B7823" i="2"/>
  <c r="F7821" i="2"/>
  <c r="B7819" i="2"/>
  <c r="F7817" i="2"/>
  <c r="B7815" i="2"/>
  <c r="F7813" i="2"/>
  <c r="B7811" i="2"/>
  <c r="F7809" i="2"/>
  <c r="B7807" i="2"/>
  <c r="F7805" i="2"/>
  <c r="B7803" i="2"/>
  <c r="F7801" i="2"/>
  <c r="B7799" i="2"/>
  <c r="F7797" i="2"/>
  <c r="B7795" i="2"/>
  <c r="F7793" i="2"/>
  <c r="B7791" i="2"/>
  <c r="F7789" i="2"/>
  <c r="B7787" i="2"/>
  <c r="F7785" i="2"/>
  <c r="B7783" i="2"/>
  <c r="F7781" i="2"/>
  <c r="B7779" i="2"/>
  <c r="B7767" i="2"/>
  <c r="F7765" i="2"/>
  <c r="B7763" i="2"/>
  <c r="F7761" i="2"/>
  <c r="B7759" i="2"/>
  <c r="F7757" i="2"/>
  <c r="B7755" i="2"/>
  <c r="F7753" i="2"/>
  <c r="B7751" i="2"/>
  <c r="F7749" i="2"/>
  <c r="B7747" i="2"/>
  <c r="F7745" i="2"/>
  <c r="B7743" i="2"/>
  <c r="F7741" i="2"/>
  <c r="B9814" i="2"/>
  <c r="B9812" i="2"/>
  <c r="F9808" i="2"/>
  <c r="B9636" i="2"/>
  <c r="B9604" i="2"/>
  <c r="B9572" i="2"/>
  <c r="B9540" i="2"/>
  <c r="F9502" i="2"/>
  <c r="F9470" i="2"/>
  <c r="F9438" i="2"/>
  <c r="F9394" i="2"/>
  <c r="F9218" i="2"/>
  <c r="B9216" i="2"/>
  <c r="F9202" i="2"/>
  <c r="B9200" i="2"/>
  <c r="F9186" i="2"/>
  <c r="B9184" i="2"/>
  <c r="F9170" i="2"/>
  <c r="B9168" i="2"/>
  <c r="F9154" i="2"/>
  <c r="B9152" i="2"/>
  <c r="F9138" i="2"/>
  <c r="B9136" i="2"/>
  <c r="F9122" i="2"/>
  <c r="B9120" i="2"/>
  <c r="F9106" i="2"/>
  <c r="B9104" i="2"/>
  <c r="F9091" i="2"/>
  <c r="B9080" i="2"/>
  <c r="B9069" i="2"/>
  <c r="F9062" i="2"/>
  <c r="F9059" i="2"/>
  <c r="B9048" i="2"/>
  <c r="B9037" i="2"/>
  <c r="F9030" i="2"/>
  <c r="F9027" i="2"/>
  <c r="B9016" i="2"/>
  <c r="B9005" i="2"/>
  <c r="F8998" i="2"/>
  <c r="F8995" i="2"/>
  <c r="B8984" i="2"/>
  <c r="F8975" i="2"/>
  <c r="F8967" i="2"/>
  <c r="F8959" i="2"/>
  <c r="F8951" i="2"/>
  <c r="F8943" i="2"/>
  <c r="F8935" i="2"/>
  <c r="F8927" i="2"/>
  <c r="F8919" i="2"/>
  <c r="F8911" i="2"/>
  <c r="B8889" i="2"/>
  <c r="B8881" i="2"/>
  <c r="B8873" i="2"/>
  <c r="B8865" i="2"/>
  <c r="B8857" i="2"/>
  <c r="B8849" i="2"/>
  <c r="B8841" i="2"/>
  <c r="B8833" i="2"/>
  <c r="B8825" i="2"/>
  <c r="B8817" i="2"/>
  <c r="B8809" i="2"/>
  <c r="B8801" i="2"/>
  <c r="B8793" i="2"/>
  <c r="F8775" i="2"/>
  <c r="F8767" i="2"/>
  <c r="F8759" i="2"/>
  <c r="F8751" i="2"/>
  <c r="F8743" i="2"/>
  <c r="F8735" i="2"/>
  <c r="F8727" i="2"/>
  <c r="F8719" i="2"/>
  <c r="F8711" i="2"/>
  <c r="F8703" i="2"/>
  <c r="F8695" i="2"/>
  <c r="F8687" i="2"/>
  <c r="F8679" i="2"/>
  <c r="F8671" i="2"/>
  <c r="B8541" i="2"/>
  <c r="B8533" i="2"/>
  <c r="B8525" i="2"/>
  <c r="B8517" i="2"/>
  <c r="F8509" i="2"/>
  <c r="B8505" i="2"/>
  <c r="B8503" i="2"/>
  <c r="B8498" i="2"/>
  <c r="B8483" i="2"/>
  <c r="B8478" i="2"/>
  <c r="B8467" i="2"/>
  <c r="B8462" i="2"/>
  <c r="B8446" i="2"/>
  <c r="F8441" i="2"/>
  <c r="B8437" i="2"/>
  <c r="B8435" i="2"/>
  <c r="B8430" i="2"/>
  <c r="F8425" i="2"/>
  <c r="F8404" i="2"/>
  <c r="F8399" i="2"/>
  <c r="F8388" i="2"/>
  <c r="B8370" i="2"/>
  <c r="B8359" i="2"/>
  <c r="B8354" i="2"/>
  <c r="B8338" i="2"/>
  <c r="F8333" i="2"/>
  <c r="B8329" i="2"/>
  <c r="B8327" i="2"/>
  <c r="B8322" i="2"/>
  <c r="F8317" i="2"/>
  <c r="B8313" i="2"/>
  <c r="B8311" i="2"/>
  <c r="B8306" i="2"/>
  <c r="F8301" i="2"/>
  <c r="B8297" i="2"/>
  <c r="B8295" i="2"/>
  <c r="B8278" i="2"/>
  <c r="B8267" i="2"/>
  <c r="B8262" i="2"/>
  <c r="B8251" i="2"/>
  <c r="B8246" i="2"/>
  <c r="B8235" i="2"/>
  <c r="B8221" i="2"/>
  <c r="B8219" i="2"/>
  <c r="B8214" i="2"/>
  <c r="F8209" i="2"/>
  <c r="B8205" i="2"/>
  <c r="B8203" i="2"/>
  <c r="B8196" i="2"/>
  <c r="B8192" i="2"/>
  <c r="B8188" i="2"/>
  <c r="B8184" i="2"/>
  <c r="B8180" i="2"/>
  <c r="B8176" i="2"/>
  <c r="B8172" i="2"/>
  <c r="B8168" i="2"/>
  <c r="B8164" i="2"/>
  <c r="B8160" i="2"/>
  <c r="B8156" i="2"/>
  <c r="B8152" i="2"/>
  <c r="B8148" i="2"/>
  <c r="B8144" i="2"/>
  <c r="B8140" i="2"/>
  <c r="B8136" i="2"/>
  <c r="B8132" i="2"/>
  <c r="B8128" i="2"/>
  <c r="F8114" i="2"/>
  <c r="F8110" i="2"/>
  <c r="F8106" i="2"/>
  <c r="F8102" i="2"/>
  <c r="F8098" i="2"/>
  <c r="F8094" i="2"/>
  <c r="F8090" i="2"/>
  <c r="F8086" i="2"/>
  <c r="F8082" i="2"/>
  <c r="F8078" i="2"/>
  <c r="F8074" i="2"/>
  <c r="F8070" i="2"/>
  <c r="F8066" i="2"/>
  <c r="F8062" i="2"/>
  <c r="F8058" i="2"/>
  <c r="F8054" i="2"/>
  <c r="F8050" i="2"/>
  <c r="F8046" i="2"/>
  <c r="F8042" i="2"/>
  <c r="F8038" i="2"/>
  <c r="F8034" i="2"/>
  <c r="F8030" i="2"/>
  <c r="F8015" i="2"/>
  <c r="F8011" i="2"/>
  <c r="F8007" i="2"/>
  <c r="F8003" i="2"/>
  <c r="F7999" i="2"/>
  <c r="F7995" i="2"/>
  <c r="F7991" i="2"/>
  <c r="F7987" i="2"/>
  <c r="F7983" i="2"/>
  <c r="B7968" i="2"/>
  <c r="B7964" i="2"/>
  <c r="B7960" i="2"/>
  <c r="B7956" i="2"/>
  <c r="B7952" i="2"/>
  <c r="B7948" i="2"/>
  <c r="B7944" i="2"/>
  <c r="B7940" i="2"/>
  <c r="B7936" i="2"/>
  <c r="B7932" i="2"/>
  <c r="B7928" i="2"/>
  <c r="B7924" i="2"/>
  <c r="B7920" i="2"/>
  <c r="B7916" i="2"/>
  <c r="B7912" i="2"/>
  <c r="B7908" i="2"/>
  <c r="B7904" i="2"/>
  <c r="B7900" i="2"/>
  <c r="B7896" i="2"/>
  <c r="B7892" i="2"/>
  <c r="B7888" i="2"/>
  <c r="B7884" i="2"/>
  <c r="B7880" i="2"/>
  <c r="B7865" i="2"/>
  <c r="B7861" i="2"/>
  <c r="B7857" i="2"/>
  <c r="B7853" i="2"/>
  <c r="B7849" i="2"/>
  <c r="B7845" i="2"/>
  <c r="B7841" i="2"/>
  <c r="B7837" i="2"/>
  <c r="B7833" i="2"/>
  <c r="B7829" i="2"/>
  <c r="B7825" i="2"/>
  <c r="B7821" i="2"/>
  <c r="B7817" i="2"/>
  <c r="B7813" i="2"/>
  <c r="B7809" i="2"/>
  <c r="B7805" i="2"/>
  <c r="B7801" i="2"/>
  <c r="B7797" i="2"/>
  <c r="B7793" i="2"/>
  <c r="B7789" i="2"/>
  <c r="B7785" i="2"/>
  <c r="B7781" i="2"/>
  <c r="B7764" i="2"/>
  <c r="F7760" i="2"/>
  <c r="B7756" i="2"/>
  <c r="F7752" i="2"/>
  <c r="B7748" i="2"/>
  <c r="F7744" i="2"/>
  <c r="B7740" i="2"/>
  <c r="F7738" i="2"/>
  <c r="B7736" i="2"/>
  <c r="F7734" i="2"/>
  <c r="B7732" i="2"/>
  <c r="F7730" i="2"/>
  <c r="B7728" i="2"/>
  <c r="F7726" i="2"/>
  <c r="B7724" i="2"/>
  <c r="F7722" i="2"/>
  <c r="B7720" i="2"/>
  <c r="F7718" i="2"/>
  <c r="B7716" i="2"/>
  <c r="F7714" i="2"/>
  <c r="B7712" i="2"/>
  <c r="F7710" i="2"/>
  <c r="B7708" i="2"/>
  <c r="F7706" i="2"/>
  <c r="B7704" i="2"/>
  <c r="F7702" i="2"/>
  <c r="B7700" i="2"/>
  <c r="F7698" i="2"/>
  <c r="B7696" i="2"/>
  <c r="F7694" i="2"/>
  <c r="B7692" i="2"/>
  <c r="F7690" i="2"/>
  <c r="B7688" i="2"/>
  <c r="F7686" i="2"/>
  <c r="B7684" i="2"/>
  <c r="F7682" i="2"/>
  <c r="B7680" i="2"/>
  <c r="F7678" i="2"/>
  <c r="B7676" i="2"/>
  <c r="F7674" i="2"/>
  <c r="B7672" i="2"/>
  <c r="F7670" i="2"/>
  <c r="B7668" i="2"/>
  <c r="F7666" i="2"/>
  <c r="B7664" i="2"/>
  <c r="F7662" i="2"/>
  <c r="B7660" i="2"/>
  <c r="F7658" i="2"/>
  <c r="F7646" i="2"/>
  <c r="B7644" i="2"/>
  <c r="F7642" i="2"/>
  <c r="B7640" i="2"/>
  <c r="F7638" i="2"/>
  <c r="B7636" i="2"/>
  <c r="F7634" i="2"/>
  <c r="B7632" i="2"/>
  <c r="F7630" i="2"/>
  <c r="B7628" i="2"/>
  <c r="F7626" i="2"/>
  <c r="B7624" i="2"/>
  <c r="F7622" i="2"/>
  <c r="B7620" i="2"/>
  <c r="F7618" i="2"/>
  <c r="B7616" i="2"/>
  <c r="F7614" i="2"/>
  <c r="B7612" i="2"/>
  <c r="F7610" i="2"/>
  <c r="B7608" i="2"/>
  <c r="F7606" i="2"/>
  <c r="B7604" i="2"/>
  <c r="F7602" i="2"/>
  <c r="B7600" i="2"/>
  <c r="F7598" i="2"/>
  <c r="B7596" i="2"/>
  <c r="F7594" i="2"/>
  <c r="B7592" i="2"/>
  <c r="F7590" i="2"/>
  <c r="B7588" i="2"/>
  <c r="F7586" i="2"/>
  <c r="B7584" i="2"/>
  <c r="F7582" i="2"/>
  <c r="B7580" i="2"/>
  <c r="F7578" i="2"/>
  <c r="B7576" i="2"/>
  <c r="F7574" i="2"/>
  <c r="B7572" i="2"/>
  <c r="F7570" i="2"/>
  <c r="F7558" i="2"/>
  <c r="B7556" i="2"/>
  <c r="F7554" i="2"/>
  <c r="B7552" i="2"/>
  <c r="F7550" i="2"/>
  <c r="B7548" i="2"/>
  <c r="F7546" i="2"/>
  <c r="B7544" i="2"/>
  <c r="F7542" i="2"/>
  <c r="B7540" i="2"/>
  <c r="F7538" i="2"/>
  <c r="B7536" i="2"/>
  <c r="F7534" i="2"/>
  <c r="B7532" i="2"/>
  <c r="F7530" i="2"/>
  <c r="B7528" i="2"/>
  <c r="F7526" i="2"/>
  <c r="B7524" i="2"/>
  <c r="F7522" i="2"/>
  <c r="B7520" i="2"/>
  <c r="F7518" i="2"/>
  <c r="B7516" i="2"/>
  <c r="F7514" i="2"/>
  <c r="B7512" i="2"/>
  <c r="F7510" i="2"/>
  <c r="B7508" i="2"/>
  <c r="F7506" i="2"/>
  <c r="B7504" i="2"/>
  <c r="F7502" i="2"/>
  <c r="B7500" i="2"/>
  <c r="F7498" i="2"/>
  <c r="B7496" i="2"/>
  <c r="F7494" i="2"/>
  <c r="B7492" i="2"/>
  <c r="F7490" i="2"/>
  <c r="B7488" i="2"/>
  <c r="F7486" i="2"/>
  <c r="B7484" i="2"/>
  <c r="F7482" i="2"/>
  <c r="B7480" i="2"/>
  <c r="B7468" i="2"/>
  <c r="F7466" i="2"/>
  <c r="B7464" i="2"/>
  <c r="F7462" i="2"/>
  <c r="B7460" i="2"/>
  <c r="F7458" i="2"/>
  <c r="B7456" i="2"/>
  <c r="F7454" i="2"/>
  <c r="B7452" i="2"/>
  <c r="F7450" i="2"/>
  <c r="B7448" i="2"/>
  <c r="F7446" i="2"/>
  <c r="B7444" i="2"/>
  <c r="F7442" i="2"/>
  <c r="B7440" i="2"/>
  <c r="F7438" i="2"/>
  <c r="B7436" i="2"/>
  <c r="F7434" i="2"/>
  <c r="F7422" i="2"/>
  <c r="B7420" i="2"/>
  <c r="F7418" i="2"/>
  <c r="B7416" i="2"/>
  <c r="F7414" i="2"/>
  <c r="B7412" i="2"/>
  <c r="F7410" i="2"/>
  <c r="B7408" i="2"/>
  <c r="F7406" i="2"/>
  <c r="B7404" i="2"/>
  <c r="F7402" i="2"/>
  <c r="B7400" i="2"/>
  <c r="F7398" i="2"/>
  <c r="B7396" i="2"/>
  <c r="F7394" i="2"/>
  <c r="B7392" i="2"/>
  <c r="F7390" i="2"/>
  <c r="B7388" i="2"/>
  <c r="F7386" i="2"/>
  <c r="B7384" i="2"/>
  <c r="F7382" i="2"/>
  <c r="B7380" i="2"/>
  <c r="F7378" i="2"/>
  <c r="F7366" i="2"/>
  <c r="B7364" i="2"/>
  <c r="F7362" i="2"/>
  <c r="B7360" i="2"/>
  <c r="F7358" i="2"/>
  <c r="B7356" i="2"/>
  <c r="F7354" i="2"/>
  <c r="B7352" i="2"/>
  <c r="F7350" i="2"/>
  <c r="B7348" i="2"/>
  <c r="F7346" i="2"/>
  <c r="B7344" i="2"/>
  <c r="F7342" i="2"/>
  <c r="B7340" i="2"/>
  <c r="F7338" i="2"/>
  <c r="B7336" i="2"/>
  <c r="F7334" i="2"/>
  <c r="B7332" i="2"/>
  <c r="F7330" i="2"/>
  <c r="F7318" i="2"/>
  <c r="B7316" i="2"/>
  <c r="F7314" i="2"/>
  <c r="B7312" i="2"/>
  <c r="F7310" i="2"/>
  <c r="B7308" i="2"/>
  <c r="F7306" i="2"/>
  <c r="B7304" i="2"/>
  <c r="F7302" i="2"/>
  <c r="B7300" i="2"/>
  <c r="F7298" i="2"/>
  <c r="B7296" i="2"/>
  <c r="F7294" i="2"/>
  <c r="B7292" i="2"/>
  <c r="F7290" i="2"/>
  <c r="B7288" i="2"/>
  <c r="F7286" i="2"/>
  <c r="B7284" i="2"/>
  <c r="B7272" i="2"/>
  <c r="F7270" i="2"/>
  <c r="B7268" i="2"/>
  <c r="F7266" i="2"/>
  <c r="B7264" i="2"/>
  <c r="F7262" i="2"/>
  <c r="B7260" i="2"/>
  <c r="F7258" i="2"/>
  <c r="B7256" i="2"/>
  <c r="F7254" i="2"/>
  <c r="B7252" i="2"/>
  <c r="F7250" i="2"/>
  <c r="B7248" i="2"/>
  <c r="F7246" i="2"/>
  <c r="F7234" i="2"/>
  <c r="B7232" i="2"/>
  <c r="F7230" i="2"/>
  <c r="B7228" i="2"/>
  <c r="F7226" i="2"/>
  <c r="B7224" i="2"/>
  <c r="F7222" i="2"/>
  <c r="B7220" i="2"/>
  <c r="F7218" i="2"/>
  <c r="B7216" i="2"/>
  <c r="F7214" i="2"/>
  <c r="B7212" i="2"/>
  <c r="F7210" i="2"/>
  <c r="B7208" i="2"/>
  <c r="F7206" i="2"/>
  <c r="B7204" i="2"/>
  <c r="F7202" i="2"/>
  <c r="B7200" i="2"/>
  <c r="F7198" i="2"/>
  <c r="B7196" i="2"/>
  <c r="F7194" i="2"/>
  <c r="B7192" i="2"/>
  <c r="F7190" i="2"/>
  <c r="B7188" i="2"/>
  <c r="F7186" i="2"/>
  <c r="B7184" i="2"/>
  <c r="F7182" i="2"/>
  <c r="B7180" i="2"/>
  <c r="F7178" i="2"/>
  <c r="B7176" i="2"/>
  <c r="F7174" i="2"/>
  <c r="B7172" i="2"/>
  <c r="F7170" i="2"/>
  <c r="B7168" i="2"/>
  <c r="F7166" i="2"/>
  <c r="B7164" i="2"/>
  <c r="F7162" i="2"/>
  <c r="B7160" i="2"/>
  <c r="F7158" i="2"/>
  <c r="F7146" i="2"/>
  <c r="B7144" i="2"/>
  <c r="F7142" i="2"/>
  <c r="B7140" i="2"/>
  <c r="F7138" i="2"/>
  <c r="B7136" i="2"/>
  <c r="F7134" i="2"/>
  <c r="B7132" i="2"/>
  <c r="F7130" i="2"/>
  <c r="B7128" i="2"/>
  <c r="F7126" i="2"/>
  <c r="B7124" i="2"/>
  <c r="F7122" i="2"/>
  <c r="B7120" i="2"/>
  <c r="B7108" i="2"/>
  <c r="F7106" i="2"/>
  <c r="B7104" i="2"/>
  <c r="F7102" i="2"/>
  <c r="B7100" i="2"/>
  <c r="F7098" i="2"/>
  <c r="B7096" i="2"/>
  <c r="F7094" i="2"/>
  <c r="B7092" i="2"/>
  <c r="F7090" i="2"/>
  <c r="B7088" i="2"/>
  <c r="F7086" i="2"/>
  <c r="B7084" i="2"/>
  <c r="F10088" i="2"/>
  <c r="B9999" i="2"/>
  <c r="F9813" i="2"/>
  <c r="F9757" i="2"/>
  <c r="B9755" i="2"/>
  <c r="F9725" i="2"/>
  <c r="B9723" i="2"/>
  <c r="F9693" i="2"/>
  <c r="B9691" i="2"/>
  <c r="F9649" i="2"/>
  <c r="F9617" i="2"/>
  <c r="F9585" i="2"/>
  <c r="F9553" i="2"/>
  <c r="B9491" i="2"/>
  <c r="B9459" i="2"/>
  <c r="F9421" i="2"/>
  <c r="B9419" i="2"/>
  <c r="B9412" i="2"/>
  <c r="B9401" i="2"/>
  <c r="F9374" i="2"/>
  <c r="B9372" i="2"/>
  <c r="F9358" i="2"/>
  <c r="B9356" i="2"/>
  <c r="F9342" i="2"/>
  <c r="B9340" i="2"/>
  <c r="F9326" i="2"/>
  <c r="B9324" i="2"/>
  <c r="F9310" i="2"/>
  <c r="B9308" i="2"/>
  <c r="F9294" i="2"/>
  <c r="B9292" i="2"/>
  <c r="F9278" i="2"/>
  <c r="B9276" i="2"/>
  <c r="F9262" i="2"/>
  <c r="B9260" i="2"/>
  <c r="F9073" i="2"/>
  <c r="B9071" i="2"/>
  <c r="F9041" i="2"/>
  <c r="B9039" i="2"/>
  <c r="F9009" i="2"/>
  <c r="B9007" i="2"/>
  <c r="B8978" i="2"/>
  <c r="B8970" i="2"/>
  <c r="B8962" i="2"/>
  <c r="B8954" i="2"/>
  <c r="B8946" i="2"/>
  <c r="B8938" i="2"/>
  <c r="B8930" i="2"/>
  <c r="B8922" i="2"/>
  <c r="B8914" i="2"/>
  <c r="B8906" i="2"/>
  <c r="F8888" i="2"/>
  <c r="F8880" i="2"/>
  <c r="F8872" i="2"/>
  <c r="F8864" i="2"/>
  <c r="F8856" i="2"/>
  <c r="F8848" i="2"/>
  <c r="F8840" i="2"/>
  <c r="F8832" i="2"/>
  <c r="F8824" i="2"/>
  <c r="F8816" i="2"/>
  <c r="F8808" i="2"/>
  <c r="F8800" i="2"/>
  <c r="F8792" i="2"/>
  <c r="B8770" i="2"/>
  <c r="B8762" i="2"/>
  <c r="B8754" i="2"/>
  <c r="B8746" i="2"/>
  <c r="B8738" i="2"/>
  <c r="B8730" i="2"/>
  <c r="B8722" i="2"/>
  <c r="B8714" i="2"/>
  <c r="B8706" i="2"/>
  <c r="B8698" i="2"/>
  <c r="B8690" i="2"/>
  <c r="B8682" i="2"/>
  <c r="B8674" i="2"/>
  <c r="F8656" i="2"/>
  <c r="B8654" i="2"/>
  <c r="F8648" i="2"/>
  <c r="B8646" i="2"/>
  <c r="F8640" i="2"/>
  <c r="B8638" i="2"/>
  <c r="F8632" i="2"/>
  <c r="B8630" i="2"/>
  <c r="F8624" i="2"/>
  <c r="B8622" i="2"/>
  <c r="F8616" i="2"/>
  <c r="B8614" i="2"/>
  <c r="F8608" i="2"/>
  <c r="B8606" i="2"/>
  <c r="F8600" i="2"/>
  <c r="B8598" i="2"/>
  <c r="F8592" i="2"/>
  <c r="B8590" i="2"/>
  <c r="F8584" i="2"/>
  <c r="B8582" i="2"/>
  <c r="F8576" i="2"/>
  <c r="B8574" i="2"/>
  <c r="F8568" i="2"/>
  <c r="B8566" i="2"/>
  <c r="F8560" i="2"/>
  <c r="B8558" i="2"/>
  <c r="F8540" i="2"/>
  <c r="F8532" i="2"/>
  <c r="F8524" i="2"/>
  <c r="F8516" i="2"/>
  <c r="F8504" i="2"/>
  <c r="F8499" i="2"/>
  <c r="F8484" i="2"/>
  <c r="F8479" i="2"/>
  <c r="F8477" i="2"/>
  <c r="B8473" i="2"/>
  <c r="F8468" i="2"/>
  <c r="F8463" i="2"/>
  <c r="F8461" i="2"/>
  <c r="F8447" i="2"/>
  <c r="F8436" i="2"/>
  <c r="F8431" i="2"/>
  <c r="B8411" i="2"/>
  <c r="B8406" i="2"/>
  <c r="F8401" i="2"/>
  <c r="B8397" i="2"/>
  <c r="B8395" i="2"/>
  <c r="B8390" i="2"/>
  <c r="F8385" i="2"/>
  <c r="F8371" i="2"/>
  <c r="F8369" i="2"/>
  <c r="B8365" i="2"/>
  <c r="F8360" i="2"/>
  <c r="F8355" i="2"/>
  <c r="F8353" i="2"/>
  <c r="B8349" i="2"/>
  <c r="F8328" i="2"/>
  <c r="F8323" i="2"/>
  <c r="F8312" i="2"/>
  <c r="F8307" i="2"/>
  <c r="F8296" i="2"/>
  <c r="F8279" i="2"/>
  <c r="F8277" i="2"/>
  <c r="B8273" i="2"/>
  <c r="F8268" i="2"/>
  <c r="F8263" i="2"/>
  <c r="F8261" i="2"/>
  <c r="B8257" i="2"/>
  <c r="F8252" i="2"/>
  <c r="F8247" i="2"/>
  <c r="F8245" i="2"/>
  <c r="B8241" i="2"/>
  <c r="F8236" i="2"/>
  <c r="F8220" i="2"/>
  <c r="F8215" i="2"/>
  <c r="F8204" i="2"/>
  <c r="F8199" i="2"/>
  <c r="F8195" i="2"/>
  <c r="F8191" i="2"/>
  <c r="F8187" i="2"/>
  <c r="F8183" i="2"/>
  <c r="F8179" i="2"/>
  <c r="F8175" i="2"/>
  <c r="F8171" i="2"/>
  <c r="F8167" i="2"/>
  <c r="F8163" i="2"/>
  <c r="F8159" i="2"/>
  <c r="F8155" i="2"/>
  <c r="F8151" i="2"/>
  <c r="F8147" i="2"/>
  <c r="F8143" i="2"/>
  <c r="F8139" i="2"/>
  <c r="F8135" i="2"/>
  <c r="F8131" i="2"/>
  <c r="B8116" i="2"/>
  <c r="B8112" i="2"/>
  <c r="B8108" i="2"/>
  <c r="B8104" i="2"/>
  <c r="B8100" i="2"/>
  <c r="B8096" i="2"/>
  <c r="B8092" i="2"/>
  <c r="B8088" i="2"/>
  <c r="B8084" i="2"/>
  <c r="B8080" i="2"/>
  <c r="B8076" i="2"/>
  <c r="B8072" i="2"/>
  <c r="B8068" i="2"/>
  <c r="B8064" i="2"/>
  <c r="B8060" i="2"/>
  <c r="B8056" i="2"/>
  <c r="B8052" i="2"/>
  <c r="B8048" i="2"/>
  <c r="B8044" i="2"/>
  <c r="B8040" i="2"/>
  <c r="B8036" i="2"/>
  <c r="B8032" i="2"/>
  <c r="B8028" i="2"/>
  <c r="B8013" i="2"/>
  <c r="B8009" i="2"/>
  <c r="B8005" i="2"/>
  <c r="B8001" i="2"/>
  <c r="B7997" i="2"/>
  <c r="B7993" i="2"/>
  <c r="B7989" i="2"/>
  <c r="B7985" i="2"/>
  <c r="B7981" i="2"/>
  <c r="F7967" i="2"/>
  <c r="F7963" i="2"/>
  <c r="F7959" i="2"/>
  <c r="F7955" i="2"/>
  <c r="F7951" i="2"/>
  <c r="F7947" i="2"/>
  <c r="F7943" i="2"/>
  <c r="F7939" i="2"/>
  <c r="F7935" i="2"/>
  <c r="F7931" i="2"/>
  <c r="F7927" i="2"/>
  <c r="F7923" i="2"/>
  <c r="F7919" i="2"/>
  <c r="F7915" i="2"/>
  <c r="F7911" i="2"/>
  <c r="F7907" i="2"/>
  <c r="F7903" i="2"/>
  <c r="F7899" i="2"/>
  <c r="F7895" i="2"/>
  <c r="F7891" i="2"/>
  <c r="F7887" i="2"/>
  <c r="F7883" i="2"/>
  <c r="F7879" i="2"/>
  <c r="F7866" i="2"/>
  <c r="F7862" i="2"/>
  <c r="F7858" i="2"/>
  <c r="F7854" i="2"/>
  <c r="F7850" i="2"/>
  <c r="F7846" i="2"/>
  <c r="F7842" i="2"/>
  <c r="F7838" i="2"/>
  <c r="F7834" i="2"/>
  <c r="F7830" i="2"/>
  <c r="F7826" i="2"/>
  <c r="F7822" i="2"/>
  <c r="F7818" i="2"/>
  <c r="F7814" i="2"/>
  <c r="F7810" i="2"/>
  <c r="F7806" i="2"/>
  <c r="F7802" i="2"/>
  <c r="F7798" i="2"/>
  <c r="F7794" i="2"/>
  <c r="F7790" i="2"/>
  <c r="F7786" i="2"/>
  <c r="F7782" i="2"/>
  <c r="F7778" i="2"/>
  <c r="F7767" i="2"/>
  <c r="F7763" i="2"/>
  <c r="B7762" i="2"/>
  <c r="F7758" i="2"/>
  <c r="B7757" i="2"/>
  <c r="F7755" i="2"/>
  <c r="B7754" i="2"/>
  <c r="F7750" i="2"/>
  <c r="B7749" i="2"/>
  <c r="F7747" i="2"/>
  <c r="B7746" i="2"/>
  <c r="F7742" i="2"/>
  <c r="B7741" i="2"/>
  <c r="F7739" i="2"/>
  <c r="B7737" i="2"/>
  <c r="F7735" i="2"/>
  <c r="B7733" i="2"/>
  <c r="F7731" i="2"/>
  <c r="B7729" i="2"/>
  <c r="F7727" i="2"/>
  <c r="B7725" i="2"/>
  <c r="F7723" i="2"/>
  <c r="B7721" i="2"/>
  <c r="F7719" i="2"/>
  <c r="B7717" i="2"/>
  <c r="F7715" i="2"/>
  <c r="B7713" i="2"/>
  <c r="F7711" i="2"/>
  <c r="B7709" i="2"/>
  <c r="F7707" i="2"/>
  <c r="B7705" i="2"/>
  <c r="F7703" i="2"/>
  <c r="B7701" i="2"/>
  <c r="F7699" i="2"/>
  <c r="B7697" i="2"/>
  <c r="F7695" i="2"/>
  <c r="B7693" i="2"/>
  <c r="F7691" i="2"/>
  <c r="B7689" i="2"/>
  <c r="F7687" i="2"/>
  <c r="B7685" i="2"/>
  <c r="F7683" i="2"/>
  <c r="B7681" i="2"/>
  <c r="F7679" i="2"/>
  <c r="B7677" i="2"/>
  <c r="F7675" i="2"/>
  <c r="B7673" i="2"/>
  <c r="F7671" i="2"/>
  <c r="B7669" i="2"/>
  <c r="F7667" i="2"/>
  <c r="B7665" i="2"/>
  <c r="F7663" i="2"/>
  <c r="B7661" i="2"/>
  <c r="F7659" i="2"/>
  <c r="F7647" i="2"/>
  <c r="B7645" i="2"/>
  <c r="F7643" i="2"/>
  <c r="B7641" i="2"/>
  <c r="F7639" i="2"/>
  <c r="B7637" i="2"/>
  <c r="F7635" i="2"/>
  <c r="B7633" i="2"/>
  <c r="F7631" i="2"/>
  <c r="B7629" i="2"/>
  <c r="F7627" i="2"/>
  <c r="B7625" i="2"/>
  <c r="F7623" i="2"/>
  <c r="B7621" i="2"/>
  <c r="F7619" i="2"/>
  <c r="B7617" i="2"/>
  <c r="F7615" i="2"/>
  <c r="B7613" i="2"/>
  <c r="F7611" i="2"/>
  <c r="B7609" i="2"/>
  <c r="F7607" i="2"/>
  <c r="B7605" i="2"/>
  <c r="F7603" i="2"/>
  <c r="B7601" i="2"/>
  <c r="F7599" i="2"/>
  <c r="B7597" i="2"/>
  <c r="F7595" i="2"/>
  <c r="B7593" i="2"/>
  <c r="F7591" i="2"/>
  <c r="B7589" i="2"/>
  <c r="F7587" i="2"/>
  <c r="B7585" i="2"/>
  <c r="F7583" i="2"/>
  <c r="B7581" i="2"/>
  <c r="F7579" i="2"/>
  <c r="B7577" i="2"/>
  <c r="F7575" i="2"/>
  <c r="B7573" i="2"/>
  <c r="F7571" i="2"/>
  <c r="B7569" i="2"/>
  <c r="B7557" i="2"/>
  <c r="F7555" i="2"/>
  <c r="B7553" i="2"/>
  <c r="F7551" i="2"/>
  <c r="B7549" i="2"/>
  <c r="F7547" i="2"/>
  <c r="B7545" i="2"/>
  <c r="F7543" i="2"/>
  <c r="B7541" i="2"/>
  <c r="F7539" i="2"/>
  <c r="B7537" i="2"/>
  <c r="F7535" i="2"/>
  <c r="B7533" i="2"/>
  <c r="F7531" i="2"/>
  <c r="B7529" i="2"/>
  <c r="F7527" i="2"/>
  <c r="B7525" i="2"/>
  <c r="F7523" i="2"/>
  <c r="B7521" i="2"/>
  <c r="F7519" i="2"/>
  <c r="B7517" i="2"/>
  <c r="F7515" i="2"/>
  <c r="B7513" i="2"/>
  <c r="F7511" i="2"/>
  <c r="B7509" i="2"/>
  <c r="F7507" i="2"/>
  <c r="B7505" i="2"/>
  <c r="F7503" i="2"/>
  <c r="B7501" i="2"/>
  <c r="F7499" i="2"/>
  <c r="B7497" i="2"/>
  <c r="F7495" i="2"/>
  <c r="B7493" i="2"/>
  <c r="F7491" i="2"/>
  <c r="B7489" i="2"/>
  <c r="F7487" i="2"/>
  <c r="B7485" i="2"/>
  <c r="F7483" i="2"/>
  <c r="B7481" i="2"/>
  <c r="B7469" i="2"/>
  <c r="F7467" i="2"/>
  <c r="B7465" i="2"/>
  <c r="F7463" i="2"/>
  <c r="B7461" i="2"/>
  <c r="F7459" i="2"/>
  <c r="B7457" i="2"/>
  <c r="F7455" i="2"/>
  <c r="B7453" i="2"/>
  <c r="F7451" i="2"/>
  <c r="B7449" i="2"/>
  <c r="F7447" i="2"/>
  <c r="B7445" i="2"/>
  <c r="F7443" i="2"/>
  <c r="B7441" i="2"/>
  <c r="F7439" i="2"/>
  <c r="B7437" i="2"/>
  <c r="F7435" i="2"/>
  <c r="B7433" i="2"/>
  <c r="B7421" i="2"/>
  <c r="F7419" i="2"/>
  <c r="B7417" i="2"/>
  <c r="F7415" i="2"/>
  <c r="B7413" i="2"/>
  <c r="F7411" i="2"/>
  <c r="B7409" i="2"/>
  <c r="F7407" i="2"/>
  <c r="B7405" i="2"/>
  <c r="F7403" i="2"/>
  <c r="B7401" i="2"/>
  <c r="F7399" i="2"/>
  <c r="B7397" i="2"/>
  <c r="F7395" i="2"/>
  <c r="B7393" i="2"/>
  <c r="F7391" i="2"/>
  <c r="B7389" i="2"/>
  <c r="F7387" i="2"/>
  <c r="B7385" i="2"/>
  <c r="F7383" i="2"/>
  <c r="B7381" i="2"/>
  <c r="F7379" i="2"/>
  <c r="B7377" i="2"/>
  <c r="B7365" i="2"/>
  <c r="F7363" i="2"/>
  <c r="B7361" i="2"/>
  <c r="F7359" i="2"/>
  <c r="B7357" i="2"/>
  <c r="F7355" i="2"/>
  <c r="B7353" i="2"/>
  <c r="F7351" i="2"/>
  <c r="B7349" i="2"/>
  <c r="F7347" i="2"/>
  <c r="B7345" i="2"/>
  <c r="F7343" i="2"/>
  <c r="B7341" i="2"/>
  <c r="F7339" i="2"/>
  <c r="B7337" i="2"/>
  <c r="F7335" i="2"/>
  <c r="B7333" i="2"/>
  <c r="F7331" i="2"/>
  <c r="F7319" i="2"/>
  <c r="B7317" i="2"/>
  <c r="F7315" i="2"/>
  <c r="B7313" i="2"/>
  <c r="F7311" i="2"/>
  <c r="B7309" i="2"/>
  <c r="F7307" i="2"/>
  <c r="B7305" i="2"/>
  <c r="F7303" i="2"/>
  <c r="B7301" i="2"/>
  <c r="F7299" i="2"/>
  <c r="B7297" i="2"/>
  <c r="F7295" i="2"/>
  <c r="B7293" i="2"/>
  <c r="F7291" i="2"/>
  <c r="B7289" i="2"/>
  <c r="F7287" i="2"/>
  <c r="B7285" i="2"/>
  <c r="F7283" i="2"/>
  <c r="F7271" i="2"/>
  <c r="B7269" i="2"/>
  <c r="F7267" i="2"/>
  <c r="B7265" i="2"/>
  <c r="F7263" i="2"/>
  <c r="B7261" i="2"/>
  <c r="F7259" i="2"/>
  <c r="B7257" i="2"/>
  <c r="F7255" i="2"/>
  <c r="B7253" i="2"/>
  <c r="F7251" i="2"/>
  <c r="B7249" i="2"/>
  <c r="F7247" i="2"/>
  <c r="F7235" i="2"/>
  <c r="B7233" i="2"/>
  <c r="F7231" i="2"/>
  <c r="B7229" i="2"/>
  <c r="F7227" i="2"/>
  <c r="B7225" i="2"/>
  <c r="F7223" i="2"/>
  <c r="B7221" i="2"/>
  <c r="F7219" i="2"/>
  <c r="B7217" i="2"/>
  <c r="F7215" i="2"/>
  <c r="B7213" i="2"/>
  <c r="F7211" i="2"/>
  <c r="B7209" i="2"/>
  <c r="F7207" i="2"/>
  <c r="B7205" i="2"/>
  <c r="F7203" i="2"/>
  <c r="B7201" i="2"/>
  <c r="F7199" i="2"/>
  <c r="B7197" i="2"/>
  <c r="F7195" i="2"/>
  <c r="B7193" i="2"/>
  <c r="F7191" i="2"/>
  <c r="B7189" i="2"/>
  <c r="F7187" i="2"/>
  <c r="B7185" i="2"/>
  <c r="F7183" i="2"/>
  <c r="B7181" i="2"/>
  <c r="F7179" i="2"/>
  <c r="B7177" i="2"/>
  <c r="F7175" i="2"/>
  <c r="B7173" i="2"/>
  <c r="F7171" i="2"/>
  <c r="B7169" i="2"/>
  <c r="F7167" i="2"/>
  <c r="B7165" i="2"/>
  <c r="F7163" i="2"/>
  <c r="B7161" i="2"/>
  <c r="F7159" i="2"/>
  <c r="B7157" i="2"/>
  <c r="B7145" i="2"/>
  <c r="F7143" i="2"/>
  <c r="B7141" i="2"/>
  <c r="F7139" i="2"/>
  <c r="B7137" i="2"/>
  <c r="F7135" i="2"/>
  <c r="B7133" i="2"/>
  <c r="F7131" i="2"/>
  <c r="B7129" i="2"/>
  <c r="F7127" i="2"/>
  <c r="B7125" i="2"/>
  <c r="F7123" i="2"/>
  <c r="B7121" i="2"/>
  <c r="B7109" i="2"/>
  <c r="F7107" i="2"/>
  <c r="B7105" i="2"/>
  <c r="F7103" i="2"/>
  <c r="B7101" i="2"/>
  <c r="F7099" i="2"/>
  <c r="B7097" i="2"/>
  <c r="F7095" i="2"/>
  <c r="B7093" i="2"/>
  <c r="F7091" i="2"/>
  <c r="B7089" i="2"/>
  <c r="F7087" i="2"/>
  <c r="B7085" i="2"/>
  <c r="F7083" i="2"/>
  <c r="F7071" i="2"/>
  <c r="B7069" i="2"/>
  <c r="F7067" i="2"/>
  <c r="B7065" i="2"/>
  <c r="F7063" i="2"/>
  <c r="B7061" i="2"/>
  <c r="F7059" i="2"/>
  <c r="B7057" i="2"/>
  <c r="F7055" i="2"/>
  <c r="B7053" i="2"/>
  <c r="F7051" i="2"/>
  <c r="B7049" i="2"/>
  <c r="F7047" i="2"/>
  <c r="F7035" i="2"/>
  <c r="B7033" i="2"/>
  <c r="F7031" i="2"/>
  <c r="B7029" i="2"/>
  <c r="F7027" i="2"/>
  <c r="B7025" i="2"/>
  <c r="F7023" i="2"/>
  <c r="B7021" i="2"/>
  <c r="F7019" i="2"/>
  <c r="B7017" i="2"/>
  <c r="F7015" i="2"/>
  <c r="F7003" i="2"/>
  <c r="B7001" i="2"/>
  <c r="F6999" i="2"/>
  <c r="B6997" i="2"/>
  <c r="F6995" i="2"/>
  <c r="B6993" i="2"/>
  <c r="F6991" i="2"/>
  <c r="B6989" i="2"/>
  <c r="F6987" i="2"/>
  <c r="B6985" i="2"/>
  <c r="F6983" i="2"/>
  <c r="B6981" i="2"/>
  <c r="F6979" i="2"/>
  <c r="B6977" i="2"/>
  <c r="F6975" i="2"/>
  <c r="F6963" i="2"/>
  <c r="B6961" i="2"/>
  <c r="F6959" i="2"/>
  <c r="B6957" i="2"/>
  <c r="F6955" i="2"/>
  <c r="B6953" i="2"/>
  <c r="F6951" i="2"/>
  <c r="B6949" i="2"/>
  <c r="F6947" i="2"/>
  <c r="B6945" i="2"/>
  <c r="F6943" i="2"/>
  <c r="F6931" i="2"/>
  <c r="B6929" i="2"/>
  <c r="F6927" i="2"/>
  <c r="B6925" i="2"/>
  <c r="F6923" i="2"/>
  <c r="B6921" i="2"/>
  <c r="F6919" i="2"/>
  <c r="B6917" i="2"/>
  <c r="F6915" i="2"/>
  <c r="B6913" i="2"/>
  <c r="F6911" i="2"/>
  <c r="F6899" i="2"/>
  <c r="B6897" i="2"/>
  <c r="F6895" i="2"/>
  <c r="B6893" i="2"/>
  <c r="F6891" i="2"/>
  <c r="B6889" i="2"/>
  <c r="F6887" i="2"/>
  <c r="B6885" i="2"/>
  <c r="F6883" i="2"/>
  <c r="B6881" i="2"/>
  <c r="F6879" i="2"/>
  <c r="F6867" i="2"/>
  <c r="B6865" i="2"/>
  <c r="F6863" i="2"/>
  <c r="F6851" i="2"/>
  <c r="B6849" i="2"/>
  <c r="F6847" i="2"/>
  <c r="F6835" i="2"/>
  <c r="B6833" i="2"/>
  <c r="F6831" i="2"/>
  <c r="B6829" i="2"/>
  <c r="B6817" i="2"/>
  <c r="F6815" i="2"/>
  <c r="B6813" i="2"/>
  <c r="F6811" i="2"/>
  <c r="F6799" i="2"/>
  <c r="B6797" i="2"/>
  <c r="F6795" i="2"/>
  <c r="B6793" i="2"/>
  <c r="F6791" i="2"/>
  <c r="B6789" i="2"/>
  <c r="F6787" i="2"/>
  <c r="B6785" i="2"/>
  <c r="F6783" i="2"/>
  <c r="B6781" i="2"/>
  <c r="B6769" i="2"/>
  <c r="F6767" i="2"/>
  <c r="B6765" i="2"/>
  <c r="F6763" i="2"/>
  <c r="B6761" i="2"/>
  <c r="F6759" i="2"/>
  <c r="B6757" i="2"/>
  <c r="F6755" i="2"/>
  <c r="B6753" i="2"/>
  <c r="B6741" i="2"/>
  <c r="F6739" i="2"/>
  <c r="B6737" i="2"/>
  <c r="F6735" i="2"/>
  <c r="B6733" i="2"/>
  <c r="F6731" i="2"/>
  <c r="B6729" i="2"/>
  <c r="F6727" i="2"/>
  <c r="B6725" i="2"/>
  <c r="F6723" i="2"/>
  <c r="F6711" i="2"/>
  <c r="B6709" i="2"/>
  <c r="F6707" i="2"/>
  <c r="B6705" i="2"/>
  <c r="F6703" i="2"/>
  <c r="B6701" i="2"/>
  <c r="F6699" i="2"/>
  <c r="B6697" i="2"/>
  <c r="F6695" i="2"/>
  <c r="F6683" i="2"/>
  <c r="B6681" i="2"/>
  <c r="B6669" i="2"/>
  <c r="F6667" i="2"/>
  <c r="B6665" i="2"/>
  <c r="F6663" i="2"/>
  <c r="B6661" i="2"/>
  <c r="F6659" i="2"/>
  <c r="B6657" i="2"/>
  <c r="F6655" i="2"/>
  <c r="B6653" i="2"/>
  <c r="F6651" i="2"/>
  <c r="B6649" i="2"/>
  <c r="F6647" i="2"/>
  <c r="B6645" i="2"/>
  <c r="F6643" i="2"/>
  <c r="B6641" i="2"/>
  <c r="F6639" i="2"/>
  <c r="B6637" i="2"/>
  <c r="F6635" i="2"/>
  <c r="B6633" i="2"/>
  <c r="F6631" i="2"/>
  <c r="B6629" i="2"/>
  <c r="F6627" i="2"/>
  <c r="F6615" i="2"/>
  <c r="B6613" i="2"/>
  <c r="F6611" i="2"/>
  <c r="B6609" i="2"/>
  <c r="F6607" i="2"/>
  <c r="B6605" i="2"/>
  <c r="F6603" i="2"/>
  <c r="B6601" i="2"/>
  <c r="F6599" i="2"/>
  <c r="B6597" i="2"/>
  <c r="F6595" i="2"/>
  <c r="B6593" i="2"/>
  <c r="F6591" i="2"/>
  <c r="B6589" i="2"/>
  <c r="F6587" i="2"/>
  <c r="B6585" i="2"/>
  <c r="F6583" i="2"/>
  <c r="B6581" i="2"/>
  <c r="F6579" i="2"/>
  <c r="B6577" i="2"/>
  <c r="F6575" i="2"/>
  <c r="B6573" i="2"/>
  <c r="F6571" i="2"/>
  <c r="B6569" i="2"/>
  <c r="F6567" i="2"/>
  <c r="B6565" i="2"/>
  <c r="F6563" i="2"/>
  <c r="B6561" i="2"/>
  <c r="F6559" i="2"/>
  <c r="B6557" i="2"/>
  <c r="F6555" i="2"/>
  <c r="B6553" i="2"/>
  <c r="F6551" i="2"/>
  <c r="B6549" i="2"/>
  <c r="F6547" i="2"/>
  <c r="B6545" i="2"/>
  <c r="F6543" i="2"/>
  <c r="B6541" i="2"/>
  <c r="F6539" i="2"/>
  <c r="B6537" i="2"/>
  <c r="F6535" i="2"/>
  <c r="B6533" i="2"/>
  <c r="F6531" i="2"/>
  <c r="B6529" i="2"/>
  <c r="F6527" i="2"/>
  <c r="B6525" i="2"/>
  <c r="F6523" i="2"/>
  <c r="F6511" i="2"/>
  <c r="B6509" i="2"/>
  <c r="F6507" i="2"/>
  <c r="B6505" i="2"/>
  <c r="F6503" i="2"/>
  <c r="B6501" i="2"/>
  <c r="F6499" i="2"/>
  <c r="B6497" i="2"/>
  <c r="F6495" i="2"/>
  <c r="B6493" i="2"/>
  <c r="F6491" i="2"/>
  <c r="B6489" i="2"/>
  <c r="F6487" i="2"/>
  <c r="B6485" i="2"/>
  <c r="B6473" i="2"/>
  <c r="F6471" i="2"/>
  <c r="B6469" i="2"/>
  <c r="F6467" i="2"/>
  <c r="B6465" i="2"/>
  <c r="F6463" i="2"/>
  <c r="B6461" i="2"/>
  <c r="F6459" i="2"/>
  <c r="B6457" i="2"/>
  <c r="F6455" i="2"/>
  <c r="B6453" i="2"/>
  <c r="F6451" i="2"/>
  <c r="B6449" i="2"/>
  <c r="B6437" i="2"/>
  <c r="F6435" i="2"/>
  <c r="B6433" i="2"/>
  <c r="F6431" i="2"/>
  <c r="B6429" i="2"/>
  <c r="F6427" i="2"/>
  <c r="B6425" i="2"/>
  <c r="F6423" i="2"/>
  <c r="B6421" i="2"/>
  <c r="F6419" i="2"/>
  <c r="B6417" i="2"/>
  <c r="F6415" i="2"/>
  <c r="B6413" i="2"/>
  <c r="F6411" i="2"/>
  <c r="B6409" i="2"/>
  <c r="F6407" i="2"/>
  <c r="B6405" i="2"/>
  <c r="F6403" i="2"/>
  <c r="B6401" i="2"/>
  <c r="F6399" i="2"/>
  <c r="B6397" i="2"/>
  <c r="F6395" i="2"/>
  <c r="B6393" i="2"/>
  <c r="F6391" i="2"/>
  <c r="B6389" i="2"/>
  <c r="F6387" i="2"/>
  <c r="B6385" i="2"/>
  <c r="F6383" i="2"/>
  <c r="B6381" i="2"/>
  <c r="F6379" i="2"/>
  <c r="B6377" i="2"/>
  <c r="B6365" i="2"/>
  <c r="F6363" i="2"/>
  <c r="B6361" i="2"/>
  <c r="F6359" i="2"/>
  <c r="B6357" i="2"/>
  <c r="F6355" i="2"/>
  <c r="B6353" i="2"/>
  <c r="F6351" i="2"/>
  <c r="B6349" i="2"/>
  <c r="F6347" i="2"/>
  <c r="B6345" i="2"/>
  <c r="F6343" i="2"/>
  <c r="B6341" i="2"/>
  <c r="F6339" i="2"/>
  <c r="B6337" i="2"/>
  <c r="F6335" i="2"/>
  <c r="B6333" i="2"/>
  <c r="F6331" i="2"/>
  <c r="B6329" i="2"/>
  <c r="F6327" i="2"/>
  <c r="B6325" i="2"/>
  <c r="F6323" i="2"/>
  <c r="B6321" i="2"/>
  <c r="F6319" i="2"/>
  <c r="B6317" i="2"/>
  <c r="F6315" i="2"/>
  <c r="B6313" i="2"/>
  <c r="F6311" i="2"/>
  <c r="B6309" i="2"/>
  <c r="F6307" i="2"/>
  <c r="B6305" i="2"/>
  <c r="B6293" i="2"/>
  <c r="F6291" i="2"/>
  <c r="B6289" i="2"/>
  <c r="F6287" i="2"/>
  <c r="B6285" i="2"/>
  <c r="F6283" i="2"/>
  <c r="B6281" i="2"/>
  <c r="F6279" i="2"/>
  <c r="B6277" i="2"/>
  <c r="F6275" i="2"/>
  <c r="B6273" i="2"/>
  <c r="F6271" i="2"/>
  <c r="B6269" i="2"/>
  <c r="F6267" i="2"/>
  <c r="B6265" i="2"/>
  <c r="F6263" i="2"/>
  <c r="B6261" i="2"/>
  <c r="F6259" i="2"/>
  <c r="B6257" i="2"/>
  <c r="F6255" i="2"/>
  <c r="B6253" i="2"/>
  <c r="F6251" i="2"/>
  <c r="B6249" i="2"/>
  <c r="F6247" i="2"/>
  <c r="B6245" i="2"/>
  <c r="F6243" i="2"/>
  <c r="B6241" i="2"/>
  <c r="F6239" i="2"/>
  <c r="B6237" i="2"/>
  <c r="F6235" i="2"/>
  <c r="B6233" i="2"/>
  <c r="B6221" i="2"/>
  <c r="F6219" i="2"/>
  <c r="B6217" i="2"/>
  <c r="F6215" i="2"/>
  <c r="B6213" i="2"/>
  <c r="F6211" i="2"/>
  <c r="B6209" i="2"/>
  <c r="F6207" i="2"/>
  <c r="B6205" i="2"/>
  <c r="F6203" i="2"/>
  <c r="B6201" i="2"/>
  <c r="F6199" i="2"/>
  <c r="B6197" i="2"/>
  <c r="F6195" i="2"/>
  <c r="B6193" i="2"/>
  <c r="F6191" i="2"/>
  <c r="B6189" i="2"/>
  <c r="F6187" i="2"/>
  <c r="B6185" i="2"/>
  <c r="F6183" i="2"/>
  <c r="B6181" i="2"/>
  <c r="F6179" i="2"/>
  <c r="B6177" i="2"/>
  <c r="F6175" i="2"/>
  <c r="B6173" i="2"/>
  <c r="F6171" i="2"/>
  <c r="B6169" i="2"/>
  <c r="F6167" i="2"/>
  <c r="B6165" i="2"/>
  <c r="F6163" i="2"/>
  <c r="B6161" i="2"/>
  <c r="B6149" i="2"/>
  <c r="F6127" i="2"/>
  <c r="B6105" i="2"/>
  <c r="F6103" i="2"/>
  <c r="F6091" i="2"/>
  <c r="F6079" i="2"/>
  <c r="B6077" i="2"/>
  <c r="B6065" i="2"/>
  <c r="B6053" i="2"/>
  <c r="F6051" i="2"/>
  <c r="B6049" i="2"/>
  <c r="F6047" i="2"/>
  <c r="B6045" i="2"/>
  <c r="B6033" i="2"/>
  <c r="F6031" i="2"/>
  <c r="B6029" i="2"/>
  <c r="F6027" i="2"/>
  <c r="B6025" i="2"/>
  <c r="B6013" i="2"/>
  <c r="F6011" i="2"/>
  <c r="B6009" i="2"/>
  <c r="F6007" i="2"/>
  <c r="B6005" i="2"/>
  <c r="B5993" i="2"/>
  <c r="F5991" i="2"/>
  <c r="B5989" i="2"/>
  <c r="F5987" i="2"/>
  <c r="B5985" i="2"/>
  <c r="B5973" i="2"/>
  <c r="F5971" i="2"/>
  <c r="B5969" i="2"/>
  <c r="F5967" i="2"/>
  <c r="B5965" i="2"/>
  <c r="F5963" i="2"/>
  <c r="B5961" i="2"/>
  <c r="F5959" i="2"/>
  <c r="B5957" i="2"/>
  <c r="F5955" i="2"/>
  <c r="F5943" i="2"/>
  <c r="B5941" i="2"/>
  <c r="F5939" i="2"/>
  <c r="B5937" i="2"/>
  <c r="F5935" i="2"/>
  <c r="B5933" i="2"/>
  <c r="F5931" i="2"/>
  <c r="B5929" i="2"/>
  <c r="F5927" i="2"/>
  <c r="F5915" i="2"/>
  <c r="B5913" i="2"/>
  <c r="F5911" i="2"/>
  <c r="B5909" i="2"/>
  <c r="F5907" i="2"/>
  <c r="B5905" i="2"/>
  <c r="F5903" i="2"/>
  <c r="B5901" i="2"/>
  <c r="F5899" i="2"/>
  <c r="B5897" i="2"/>
  <c r="F5895" i="2"/>
  <c r="B5893" i="2"/>
  <c r="F5891" i="2"/>
  <c r="B5889" i="2"/>
  <c r="B5877" i="2"/>
  <c r="F5875" i="2"/>
  <c r="B5873" i="2"/>
  <c r="F5871" i="2"/>
  <c r="B5869" i="2"/>
  <c r="F5867" i="2"/>
  <c r="B5865" i="2"/>
  <c r="F5863" i="2"/>
  <c r="B5861" i="2"/>
  <c r="B5849" i="2"/>
  <c r="F5847" i="2"/>
  <c r="B5845" i="2"/>
  <c r="F5843" i="2"/>
  <c r="B5841" i="2"/>
  <c r="F5839" i="2"/>
  <c r="B5837" i="2"/>
  <c r="F5835" i="2"/>
  <c r="B5833" i="2"/>
  <c r="F5831" i="2"/>
  <c r="F5819" i="2"/>
  <c r="F5807" i="2"/>
  <c r="B5805" i="2"/>
  <c r="B5793" i="2"/>
  <c r="F5791" i="2"/>
  <c r="B5789" i="2"/>
  <c r="F5787" i="2"/>
  <c r="B5785" i="2"/>
  <c r="F5783" i="2"/>
  <c r="B5781" i="2"/>
  <c r="F5779" i="2"/>
  <c r="B5777" i="2"/>
  <c r="F5775" i="2"/>
  <c r="B5773" i="2"/>
  <c r="F5771" i="2"/>
  <c r="B5769" i="2"/>
  <c r="B5757" i="2"/>
  <c r="F5755" i="2"/>
  <c r="B5753" i="2"/>
  <c r="F5751" i="2"/>
  <c r="B5749" i="2"/>
  <c r="F5747" i="2"/>
  <c r="B5745" i="2"/>
  <c r="F5743" i="2"/>
  <c r="B5741" i="2"/>
  <c r="F5739" i="2"/>
  <c r="B5737" i="2"/>
  <c r="F5735" i="2"/>
  <c r="B5733" i="2"/>
  <c r="F5731" i="2"/>
  <c r="B5729" i="2"/>
  <c r="B5717" i="2"/>
  <c r="F5715" i="2"/>
  <c r="F5703" i="2"/>
  <c r="F5691" i="2"/>
  <c r="B5689" i="2"/>
  <c r="F5687" i="2"/>
  <c r="B5685" i="2"/>
  <c r="F5683" i="2"/>
  <c r="B5681" i="2"/>
  <c r="B5669" i="2"/>
  <c r="F9834" i="2"/>
  <c r="B9620" i="2"/>
  <c r="B9556" i="2"/>
  <c r="F9486" i="2"/>
  <c r="F9194" i="2"/>
  <c r="B9192" i="2"/>
  <c r="F9162" i="2"/>
  <c r="B9160" i="2"/>
  <c r="F9130" i="2"/>
  <c r="B9128" i="2"/>
  <c r="F9089" i="2"/>
  <c r="B9087" i="2"/>
  <c r="F9046" i="2"/>
  <c r="F9043" i="2"/>
  <c r="F9025" i="2"/>
  <c r="B9023" i="2"/>
  <c r="F8982" i="2"/>
  <c r="F8979" i="2"/>
  <c r="F8963" i="2"/>
  <c r="F8947" i="2"/>
  <c r="F8931" i="2"/>
  <c r="F8915" i="2"/>
  <c r="F8884" i="2"/>
  <c r="F8868" i="2"/>
  <c r="F8852" i="2"/>
  <c r="F8836" i="2"/>
  <c r="F8820" i="2"/>
  <c r="F8804" i="2"/>
  <c r="F8788" i="2"/>
  <c r="F8763" i="2"/>
  <c r="F8747" i="2"/>
  <c r="F8731" i="2"/>
  <c r="F8715" i="2"/>
  <c r="F8699" i="2"/>
  <c r="F8683" i="2"/>
  <c r="B8537" i="2"/>
  <c r="B8521" i="2"/>
  <c r="B8497" i="2"/>
  <c r="F8476" i="2"/>
  <c r="F8444" i="2"/>
  <c r="B8422" i="2"/>
  <c r="F8409" i="2"/>
  <c r="B8398" i="2"/>
  <c r="B8387" i="2"/>
  <c r="B8357" i="2"/>
  <c r="B8351" i="2"/>
  <c r="B8321" i="2"/>
  <c r="B8319" i="2"/>
  <c r="F8315" i="2"/>
  <c r="F8309" i="2"/>
  <c r="F8276" i="2"/>
  <c r="B8254" i="2"/>
  <c r="F8244" i="2"/>
  <c r="B8222" i="2"/>
  <c r="F8212" i="2"/>
  <c r="B8193" i="2"/>
  <c r="B8185" i="2"/>
  <c r="B8177" i="2"/>
  <c r="B8169" i="2"/>
  <c r="B8161" i="2"/>
  <c r="B8153" i="2"/>
  <c r="B8145" i="2"/>
  <c r="B8137" i="2"/>
  <c r="B8129" i="2"/>
  <c r="B8117" i="2"/>
  <c r="F8111" i="2"/>
  <c r="B8109" i="2"/>
  <c r="F8103" i="2"/>
  <c r="B8101" i="2"/>
  <c r="F8095" i="2"/>
  <c r="B8093" i="2"/>
  <c r="F8087" i="2"/>
  <c r="B8085" i="2"/>
  <c r="F8079" i="2"/>
  <c r="B8077" i="2"/>
  <c r="F8071" i="2"/>
  <c r="B8069" i="2"/>
  <c r="F8063" i="2"/>
  <c r="B8061" i="2"/>
  <c r="F8055" i="2"/>
  <c r="B8053" i="2"/>
  <c r="F8047" i="2"/>
  <c r="B8045" i="2"/>
  <c r="F8039" i="2"/>
  <c r="B8037" i="2"/>
  <c r="F8031" i="2"/>
  <c r="B8029" i="2"/>
  <c r="F8014" i="2"/>
  <c r="B8012" i="2"/>
  <c r="F8006" i="2"/>
  <c r="B8004" i="2"/>
  <c r="F7998" i="2"/>
  <c r="B7996" i="2"/>
  <c r="F7990" i="2"/>
  <c r="B7988" i="2"/>
  <c r="F7982" i="2"/>
  <c r="B7980" i="2"/>
  <c r="F7962" i="2"/>
  <c r="F7954" i="2"/>
  <c r="F7946" i="2"/>
  <c r="F7938" i="2"/>
  <c r="F7930" i="2"/>
  <c r="F7922" i="2"/>
  <c r="F7914" i="2"/>
  <c r="F7906" i="2"/>
  <c r="F7898" i="2"/>
  <c r="F7890" i="2"/>
  <c r="F7882" i="2"/>
  <c r="B7868" i="2"/>
  <c r="B7860" i="2"/>
  <c r="B7852" i="2"/>
  <c r="B7844" i="2"/>
  <c r="B7836" i="2"/>
  <c r="B7828" i="2"/>
  <c r="B7820" i="2"/>
  <c r="B7812" i="2"/>
  <c r="B7804" i="2"/>
  <c r="B7796" i="2"/>
  <c r="B7788" i="2"/>
  <c r="B7780" i="2"/>
  <c r="F7762" i="2"/>
  <c r="F7751" i="2"/>
  <c r="F7746" i="2"/>
  <c r="B7738" i="2"/>
  <c r="B7734" i="2"/>
  <c r="B7730" i="2"/>
  <c r="B7726" i="2"/>
  <c r="B7722" i="2"/>
  <c r="B7718" i="2"/>
  <c r="B7714" i="2"/>
  <c r="B7710" i="2"/>
  <c r="B7706" i="2"/>
  <c r="B7702" i="2"/>
  <c r="B7698" i="2"/>
  <c r="B7694" i="2"/>
  <c r="B7690" i="2"/>
  <c r="B7686" i="2"/>
  <c r="B7682" i="2"/>
  <c r="B7678" i="2"/>
  <c r="B7674" i="2"/>
  <c r="B7670" i="2"/>
  <c r="B7666" i="2"/>
  <c r="B7662" i="2"/>
  <c r="B7658" i="2"/>
  <c r="F7644" i="2"/>
  <c r="F7640" i="2"/>
  <c r="F7636" i="2"/>
  <c r="F7632" i="2"/>
  <c r="F7628" i="2"/>
  <c r="F7624" i="2"/>
  <c r="F7620" i="2"/>
  <c r="F7616" i="2"/>
  <c r="F7612" i="2"/>
  <c r="F7608" i="2"/>
  <c r="F7604" i="2"/>
  <c r="F7600" i="2"/>
  <c r="F7596" i="2"/>
  <c r="F7592" i="2"/>
  <c r="F7588" i="2"/>
  <c r="F7584" i="2"/>
  <c r="F7580" i="2"/>
  <c r="F7576" i="2"/>
  <c r="F7572" i="2"/>
  <c r="F7557" i="2"/>
  <c r="F7553" i="2"/>
  <c r="F7549" i="2"/>
  <c r="F7545" i="2"/>
  <c r="F7541" i="2"/>
  <c r="F7537" i="2"/>
  <c r="F7533" i="2"/>
  <c r="F7529" i="2"/>
  <c r="F7525" i="2"/>
  <c r="F7521" i="2"/>
  <c r="F7517" i="2"/>
  <c r="F7513" i="2"/>
  <c r="F7509" i="2"/>
  <c r="F7505" i="2"/>
  <c r="F7501" i="2"/>
  <c r="F7497" i="2"/>
  <c r="F7493" i="2"/>
  <c r="F7489" i="2"/>
  <c r="F7485" i="2"/>
  <c r="F7481" i="2"/>
  <c r="F7468" i="2"/>
  <c r="F7464" i="2"/>
  <c r="F7460" i="2"/>
  <c r="F7456" i="2"/>
  <c r="F7452" i="2"/>
  <c r="F7448" i="2"/>
  <c r="F7444" i="2"/>
  <c r="F7440" i="2"/>
  <c r="F7436" i="2"/>
  <c r="F7421" i="2"/>
  <c r="F7417" i="2"/>
  <c r="F7413" i="2"/>
  <c r="F7409" i="2"/>
  <c r="F7405" i="2"/>
  <c r="F7401" i="2"/>
  <c r="F7397" i="2"/>
  <c r="F7393" i="2"/>
  <c r="F7389" i="2"/>
  <c r="F7385" i="2"/>
  <c r="F7381" i="2"/>
  <c r="F7377" i="2"/>
  <c r="F7364" i="2"/>
  <c r="F7360" i="2"/>
  <c r="F7356" i="2"/>
  <c r="F7352" i="2"/>
  <c r="F7348" i="2"/>
  <c r="F7344" i="2"/>
  <c r="F7340" i="2"/>
  <c r="F7336" i="2"/>
  <c r="F7332" i="2"/>
  <c r="B7319" i="2"/>
  <c r="B7315" i="2"/>
  <c r="B7311" i="2"/>
  <c r="B7307" i="2"/>
  <c r="B7303" i="2"/>
  <c r="B7299" i="2"/>
  <c r="B7295" i="2"/>
  <c r="B7291" i="2"/>
  <c r="B7287" i="2"/>
  <c r="B7283" i="2"/>
  <c r="F7269" i="2"/>
  <c r="F7265" i="2"/>
  <c r="F7261" i="2"/>
  <c r="F7257" i="2"/>
  <c r="F7253" i="2"/>
  <c r="F7249" i="2"/>
  <c r="B7234" i="2"/>
  <c r="B7230" i="2"/>
  <c r="B7226" i="2"/>
  <c r="B7222" i="2"/>
  <c r="B7218" i="2"/>
  <c r="B7214" i="2"/>
  <c r="B7210" i="2"/>
  <c r="B7206" i="2"/>
  <c r="B7202" i="2"/>
  <c r="B7198" i="2"/>
  <c r="B7194" i="2"/>
  <c r="B7190" i="2"/>
  <c r="B7186" i="2"/>
  <c r="B7182" i="2"/>
  <c r="B7178" i="2"/>
  <c r="B7174" i="2"/>
  <c r="B7170" i="2"/>
  <c r="B7166" i="2"/>
  <c r="B7162" i="2"/>
  <c r="B7158" i="2"/>
  <c r="B7143" i="2"/>
  <c r="B7139" i="2"/>
  <c r="B7135" i="2"/>
  <c r="B7131" i="2"/>
  <c r="B7127" i="2"/>
  <c r="B7123" i="2"/>
  <c r="B7106" i="2"/>
  <c r="B7102" i="2"/>
  <c r="B7098" i="2"/>
  <c r="B7094" i="2"/>
  <c r="B7090" i="2"/>
  <c r="B7086" i="2"/>
  <c r="F7072" i="2"/>
  <c r="B7071" i="2"/>
  <c r="F7069" i="2"/>
  <c r="B7068" i="2"/>
  <c r="F7064" i="2"/>
  <c r="B7063" i="2"/>
  <c r="F7061" i="2"/>
  <c r="B7060" i="2"/>
  <c r="F7056" i="2"/>
  <c r="B7055" i="2"/>
  <c r="F7053" i="2"/>
  <c r="B7052" i="2"/>
  <c r="F7048" i="2"/>
  <c r="B7047" i="2"/>
  <c r="F7034" i="2"/>
  <c r="B7030" i="2"/>
  <c r="F7026" i="2"/>
  <c r="B7022" i="2"/>
  <c r="F7018" i="2"/>
  <c r="B7014" i="2"/>
  <c r="B7003" i="2"/>
  <c r="F7001" i="2"/>
  <c r="B7000" i="2"/>
  <c r="F6996" i="2"/>
  <c r="B6995" i="2"/>
  <c r="F6993" i="2"/>
  <c r="B6992" i="2"/>
  <c r="F6988" i="2"/>
  <c r="B6987" i="2"/>
  <c r="F6985" i="2"/>
  <c r="B6984" i="2"/>
  <c r="F6980" i="2"/>
  <c r="B6979" i="2"/>
  <c r="F6977" i="2"/>
  <c r="B6976" i="2"/>
  <c r="B6962" i="2"/>
  <c r="F6958" i="2"/>
  <c r="B6954" i="2"/>
  <c r="F6950" i="2"/>
  <c r="B6946" i="2"/>
  <c r="F6942" i="2"/>
  <c r="F6928" i="2"/>
  <c r="B6927" i="2"/>
  <c r="F6925" i="2"/>
  <c r="B6924" i="2"/>
  <c r="F6920" i="2"/>
  <c r="B6919" i="2"/>
  <c r="F6917" i="2"/>
  <c r="B6916" i="2"/>
  <c r="F6912" i="2"/>
  <c r="B6911" i="2"/>
  <c r="F6898" i="2"/>
  <c r="B6894" i="2"/>
  <c r="F6890" i="2"/>
  <c r="B6886" i="2"/>
  <c r="F6882" i="2"/>
  <c r="B6878" i="2"/>
  <c r="B6867" i="2"/>
  <c r="F6865" i="2"/>
  <c r="B6864" i="2"/>
  <c r="B6850" i="2"/>
  <c r="F6846" i="2"/>
  <c r="F6832" i="2"/>
  <c r="B6831" i="2"/>
  <c r="F6829" i="2"/>
  <c r="F6818" i="2"/>
  <c r="B6814" i="2"/>
  <c r="F6810" i="2"/>
  <c r="F6796" i="2"/>
  <c r="B6795" i="2"/>
  <c r="F6793" i="2"/>
  <c r="B6792" i="2"/>
  <c r="F6788" i="2"/>
  <c r="B6787" i="2"/>
  <c r="F6785" i="2"/>
  <c r="B6784" i="2"/>
  <c r="B6770" i="2"/>
  <c r="F9741" i="2"/>
  <c r="B9739" i="2"/>
  <c r="F9677" i="2"/>
  <c r="B9675" i="2"/>
  <c r="F9601" i="2"/>
  <c r="F9537" i="2"/>
  <c r="B9507" i="2"/>
  <c r="B9443" i="2"/>
  <c r="F9366" i="2"/>
  <c r="B9364" i="2"/>
  <c r="F9334" i="2"/>
  <c r="B9332" i="2"/>
  <c r="F9302" i="2"/>
  <c r="B9300" i="2"/>
  <c r="F9270" i="2"/>
  <c r="B9268" i="2"/>
  <c r="B9085" i="2"/>
  <c r="B9064" i="2"/>
  <c r="B9021" i="2"/>
  <c r="B9000" i="2"/>
  <c r="B8974" i="2"/>
  <c r="B8958" i="2"/>
  <c r="B8942" i="2"/>
  <c r="B8926" i="2"/>
  <c r="B8910" i="2"/>
  <c r="B8885" i="2"/>
  <c r="B8869" i="2"/>
  <c r="B8853" i="2"/>
  <c r="B8837" i="2"/>
  <c r="B8821" i="2"/>
  <c r="B8805" i="2"/>
  <c r="B8789" i="2"/>
  <c r="B8774" i="2"/>
  <c r="B8758" i="2"/>
  <c r="B8742" i="2"/>
  <c r="B8726" i="2"/>
  <c r="B8710" i="2"/>
  <c r="B8694" i="2"/>
  <c r="B8678" i="2"/>
  <c r="F8652" i="2"/>
  <c r="B8650" i="2"/>
  <c r="F8636" i="2"/>
  <c r="B8634" i="2"/>
  <c r="F8620" i="2"/>
  <c r="B8618" i="2"/>
  <c r="F8604" i="2"/>
  <c r="B8602" i="2"/>
  <c r="F8588" i="2"/>
  <c r="B8586" i="2"/>
  <c r="F8572" i="2"/>
  <c r="B8570" i="2"/>
  <c r="F8556" i="2"/>
  <c r="B8554" i="2"/>
  <c r="F8528" i="2"/>
  <c r="F8512" i="2"/>
  <c r="B8481" i="2"/>
  <c r="B8475" i="2"/>
  <c r="F8471" i="2"/>
  <c r="F8469" i="2"/>
  <c r="B8445" i="2"/>
  <c r="B8443" i="2"/>
  <c r="F8439" i="2"/>
  <c r="F8433" i="2"/>
  <c r="F8407" i="2"/>
  <c r="B8405" i="2"/>
  <c r="F8368" i="2"/>
  <c r="F8336" i="2"/>
  <c r="B8314" i="2"/>
  <c r="F8304" i="2"/>
  <c r="B8281" i="2"/>
  <c r="B8275" i="2"/>
  <c r="F8271" i="2"/>
  <c r="F8269" i="2"/>
  <c r="B8249" i="2"/>
  <c r="B8243" i="2"/>
  <c r="F8239" i="2"/>
  <c r="F8237" i="2"/>
  <c r="B8213" i="2"/>
  <c r="B8211" i="2"/>
  <c r="F8207" i="2"/>
  <c r="F8201" i="2"/>
  <c r="F8198" i="2"/>
  <c r="F8190" i="2"/>
  <c r="F8182" i="2"/>
  <c r="F8174" i="2"/>
  <c r="F8166" i="2"/>
  <c r="F8158" i="2"/>
  <c r="F8150" i="2"/>
  <c r="F8142" i="2"/>
  <c r="F8134" i="2"/>
  <c r="B7969" i="2"/>
  <c r="B7961" i="2"/>
  <c r="B7953" i="2"/>
  <c r="B7945" i="2"/>
  <c r="B7937" i="2"/>
  <c r="B7929" i="2"/>
  <c r="B7921" i="2"/>
  <c r="B7913" i="2"/>
  <c r="B7905" i="2"/>
  <c r="B7897" i="2"/>
  <c r="B7889" i="2"/>
  <c r="B7881" i="2"/>
  <c r="F7863" i="2"/>
  <c r="F7855" i="2"/>
  <c r="F7847" i="2"/>
  <c r="F7839" i="2"/>
  <c r="F7831" i="2"/>
  <c r="F7823" i="2"/>
  <c r="F7815" i="2"/>
  <c r="F7807" i="2"/>
  <c r="F7799" i="2"/>
  <c r="F7791" i="2"/>
  <c r="F7783" i="2"/>
  <c r="B7761" i="2"/>
  <c r="F7756" i="2"/>
  <c r="B7752" i="2"/>
  <c r="B7750" i="2"/>
  <c r="B7745" i="2"/>
  <c r="F7740" i="2"/>
  <c r="F7736" i="2"/>
  <c r="F7732" i="2"/>
  <c r="F7728" i="2"/>
  <c r="F7724" i="2"/>
  <c r="F7720" i="2"/>
  <c r="F7716" i="2"/>
  <c r="F7712" i="2"/>
  <c r="F7708" i="2"/>
  <c r="F9773" i="2"/>
  <c r="B9771" i="2"/>
  <c r="F9633" i="2"/>
  <c r="F9178" i="2"/>
  <c r="B9176" i="2"/>
  <c r="F9114" i="2"/>
  <c r="B9112" i="2"/>
  <c r="F9057" i="2"/>
  <c r="B9055" i="2"/>
  <c r="B8950" i="2"/>
  <c r="B8918" i="2"/>
  <c r="B8877" i="2"/>
  <c r="B8845" i="2"/>
  <c r="B8813" i="2"/>
  <c r="F8771" i="2"/>
  <c r="F8739" i="2"/>
  <c r="F8707" i="2"/>
  <c r="F8675" i="2"/>
  <c r="F8536" i="2"/>
  <c r="F8496" i="2"/>
  <c r="B8470" i="2"/>
  <c r="F8391" i="2"/>
  <c r="B8389" i="2"/>
  <c r="B8373" i="2"/>
  <c r="B8335" i="2"/>
  <c r="F8331" i="2"/>
  <c r="F8325" i="2"/>
  <c r="B8265" i="2"/>
  <c r="B8259" i="2"/>
  <c r="F8255" i="2"/>
  <c r="B8238" i="2"/>
  <c r="B8197" i="2"/>
  <c r="B8181" i="2"/>
  <c r="B8165" i="2"/>
  <c r="B8149" i="2"/>
  <c r="B8133" i="2"/>
  <c r="F8107" i="2"/>
  <c r="B8105" i="2"/>
  <c r="F8091" i="2"/>
  <c r="B8089" i="2"/>
  <c r="F8075" i="2"/>
  <c r="B8073" i="2"/>
  <c r="F8059" i="2"/>
  <c r="B8057" i="2"/>
  <c r="F8043" i="2"/>
  <c r="B8041" i="2"/>
  <c r="F8027" i="2"/>
  <c r="B8016" i="2"/>
  <c r="F8002" i="2"/>
  <c r="B8000" i="2"/>
  <c r="F7986" i="2"/>
  <c r="B7984" i="2"/>
  <c r="B7965" i="2"/>
  <c r="B7949" i="2"/>
  <c r="B7933" i="2"/>
  <c r="B7917" i="2"/>
  <c r="B7901" i="2"/>
  <c r="B7885" i="2"/>
  <c r="B7856" i="2"/>
  <c r="B7840" i="2"/>
  <c r="B7824" i="2"/>
  <c r="B7808" i="2"/>
  <c r="B7792" i="2"/>
  <c r="F7766" i="2"/>
  <c r="B7753" i="2"/>
  <c r="F7743" i="2"/>
  <c r="F7701" i="2"/>
  <c r="B7695" i="2"/>
  <c r="F7692" i="2"/>
  <c r="F7685" i="2"/>
  <c r="B7679" i="2"/>
  <c r="F7676" i="2"/>
  <c r="F7669" i="2"/>
  <c r="B7663" i="2"/>
  <c r="F7660" i="2"/>
  <c r="B7642" i="2"/>
  <c r="F7637" i="2"/>
  <c r="B7635" i="2"/>
  <c r="B7626" i="2"/>
  <c r="F7621" i="2"/>
  <c r="B7619" i="2"/>
  <c r="B7610" i="2"/>
  <c r="F7605" i="2"/>
  <c r="B7603" i="2"/>
  <c r="B7594" i="2"/>
  <c r="F7589" i="2"/>
  <c r="B7587" i="2"/>
  <c r="B7578" i="2"/>
  <c r="F7573" i="2"/>
  <c r="B7571" i="2"/>
  <c r="B7558" i="2"/>
  <c r="B7551" i="2"/>
  <c r="F7548" i="2"/>
  <c r="B7542" i="2"/>
  <c r="B7535" i="2"/>
  <c r="F7532" i="2"/>
  <c r="B7526" i="2"/>
  <c r="B7519" i="2"/>
  <c r="F7516" i="2"/>
  <c r="B7510" i="2"/>
  <c r="B7503" i="2"/>
  <c r="F7500" i="2"/>
  <c r="B7494" i="2"/>
  <c r="B7487" i="2"/>
  <c r="F7484" i="2"/>
  <c r="B7462" i="2"/>
  <c r="F7457" i="2"/>
  <c r="B7455" i="2"/>
  <c r="B7446" i="2"/>
  <c r="F7441" i="2"/>
  <c r="B7439" i="2"/>
  <c r="B7419" i="2"/>
  <c r="F7416" i="2"/>
  <c r="B7410" i="2"/>
  <c r="B7403" i="2"/>
  <c r="F7400" i="2"/>
  <c r="B7394" i="2"/>
  <c r="B7387" i="2"/>
  <c r="F7384" i="2"/>
  <c r="B7378" i="2"/>
  <c r="B7362" i="2"/>
  <c r="F7357" i="2"/>
  <c r="B7355" i="2"/>
  <c r="B7346" i="2"/>
  <c r="F7341" i="2"/>
  <c r="B7339" i="2"/>
  <c r="B7330" i="2"/>
  <c r="B7318" i="2"/>
  <c r="F7313" i="2"/>
  <c r="F7304" i="2"/>
  <c r="B7302" i="2"/>
  <c r="F7297" i="2"/>
  <c r="F7288" i="2"/>
  <c r="B7286" i="2"/>
  <c r="B7270" i="2"/>
  <c r="B7263" i="2"/>
  <c r="F7260" i="2"/>
  <c r="B7254" i="2"/>
  <c r="B7247" i="2"/>
  <c r="B7231" i="2"/>
  <c r="F7228" i="2"/>
  <c r="F7221" i="2"/>
  <c r="B7215" i="2"/>
  <c r="F7212" i="2"/>
  <c r="F7205" i="2"/>
  <c r="B7199" i="2"/>
  <c r="F7196" i="2"/>
  <c r="F7189" i="2"/>
  <c r="B7183" i="2"/>
  <c r="F7180" i="2"/>
  <c r="F7173" i="2"/>
  <c r="B7167" i="2"/>
  <c r="F7164" i="2"/>
  <c r="F7157" i="2"/>
  <c r="B7146" i="2"/>
  <c r="F7141" i="2"/>
  <c r="F7132" i="2"/>
  <c r="B7130" i="2"/>
  <c r="F7125" i="2"/>
  <c r="F7109" i="2"/>
  <c r="B7103" i="2"/>
  <c r="F7100" i="2"/>
  <c r="F7093" i="2"/>
  <c r="B7087" i="2"/>
  <c r="F7084" i="2"/>
  <c r="F7070" i="2"/>
  <c r="F7068" i="2"/>
  <c r="F7066" i="2"/>
  <c r="F7062" i="2"/>
  <c r="F7060" i="2"/>
  <c r="F7058" i="2"/>
  <c r="F7054" i="2"/>
  <c r="F7052" i="2"/>
  <c r="F7050" i="2"/>
  <c r="F7046" i="2"/>
  <c r="B7034" i="2"/>
  <c r="F7030" i="2"/>
  <c r="F7028" i="2"/>
  <c r="B7027" i="2"/>
  <c r="F7021" i="2"/>
  <c r="B7020" i="2"/>
  <c r="B7018" i="2"/>
  <c r="F7014" i="2"/>
  <c r="B6999" i="2"/>
  <c r="F6997" i="2"/>
  <c r="B6991" i="2"/>
  <c r="F6989" i="2"/>
  <c r="B6983" i="2"/>
  <c r="F6981" i="2"/>
  <c r="B6975" i="2"/>
  <c r="F6962" i="2"/>
  <c r="F6960" i="2"/>
  <c r="B6959" i="2"/>
  <c r="F6953" i="2"/>
  <c r="B6952" i="2"/>
  <c r="B6950" i="2"/>
  <c r="F6946" i="2"/>
  <c r="F6944" i="2"/>
  <c r="B6943" i="2"/>
  <c r="B6930" i="2"/>
  <c r="B6928" i="2"/>
  <c r="B6926" i="2"/>
  <c r="B6922" i="2"/>
  <c r="B6920" i="2"/>
  <c r="B6918" i="2"/>
  <c r="B6914" i="2"/>
  <c r="B6912" i="2"/>
  <c r="B6910" i="2"/>
  <c r="B6899" i="2"/>
  <c r="F6893" i="2"/>
  <c r="B6892" i="2"/>
  <c r="B6890" i="2"/>
  <c r="F6886" i="2"/>
  <c r="F6884" i="2"/>
  <c r="B6883" i="2"/>
  <c r="F6849" i="2"/>
  <c r="B6848" i="2"/>
  <c r="B6846" i="2"/>
  <c r="F6834" i="2"/>
  <c r="F6830" i="2"/>
  <c r="F6817" i="2"/>
  <c r="B6816" i="2"/>
  <c r="B6799" i="2"/>
  <c r="F6797" i="2"/>
  <c r="B6791" i="2"/>
  <c r="F6789" i="2"/>
  <c r="B6783" i="2"/>
  <c r="F6781" i="2"/>
  <c r="F6770" i="2"/>
  <c r="F6768" i="2"/>
  <c r="B6767" i="2"/>
  <c r="F6765" i="2"/>
  <c r="B6764" i="2"/>
  <c r="F6760" i="2"/>
  <c r="B6759" i="2"/>
  <c r="F6757" i="2"/>
  <c r="B6756" i="2"/>
  <c r="F6752" i="2"/>
  <c r="F6738" i="2"/>
  <c r="B6734" i="2"/>
  <c r="F6730" i="2"/>
  <c r="B6726" i="2"/>
  <c r="B6710" i="2"/>
  <c r="F6706" i="2"/>
  <c r="B6702" i="2"/>
  <c r="F6698" i="2"/>
  <c r="B6694" i="2"/>
  <c r="B6683" i="2"/>
  <c r="F6681" i="2"/>
  <c r="F6670" i="2"/>
  <c r="B6666" i="2"/>
  <c r="F6662" i="2"/>
  <c r="B6658" i="2"/>
  <c r="F6654" i="2"/>
  <c r="B6650" i="2"/>
  <c r="F6646" i="2"/>
  <c r="B6642" i="2"/>
  <c r="F6638" i="2"/>
  <c r="B6634" i="2"/>
  <c r="F6630" i="2"/>
  <c r="B6626" i="2"/>
  <c r="B6615" i="2"/>
  <c r="F6613" i="2"/>
  <c r="B6612" i="2"/>
  <c r="F6608" i="2"/>
  <c r="B6607" i="2"/>
  <c r="F6605" i="2"/>
  <c r="B6604" i="2"/>
  <c r="F6600" i="2"/>
  <c r="B6599" i="2"/>
  <c r="F6597" i="2"/>
  <c r="B6596" i="2"/>
  <c r="F6592" i="2"/>
  <c r="B6591" i="2"/>
  <c r="F6589" i="2"/>
  <c r="B6588" i="2"/>
  <c r="F6584" i="2"/>
  <c r="B6583" i="2"/>
  <c r="F6581" i="2"/>
  <c r="B6580" i="2"/>
  <c r="F6576" i="2"/>
  <c r="B6575" i="2"/>
  <c r="F6573" i="2"/>
  <c r="B6572" i="2"/>
  <c r="F6568" i="2"/>
  <c r="B6567" i="2"/>
  <c r="F6565" i="2"/>
  <c r="B6564" i="2"/>
  <c r="F6560" i="2"/>
  <c r="B6559" i="2"/>
  <c r="F6557" i="2"/>
  <c r="B6556" i="2"/>
  <c r="F6552" i="2"/>
  <c r="B6551" i="2"/>
  <c r="F6549" i="2"/>
  <c r="B6548" i="2"/>
  <c r="F6544" i="2"/>
  <c r="B6543" i="2"/>
  <c r="F6541" i="2"/>
  <c r="B6540" i="2"/>
  <c r="F6536" i="2"/>
  <c r="B6535" i="2"/>
  <c r="F6533" i="2"/>
  <c r="B6532" i="2"/>
  <c r="F6528" i="2"/>
  <c r="B6527" i="2"/>
  <c r="F6525" i="2"/>
  <c r="B6524" i="2"/>
  <c r="F6512" i="2"/>
  <c r="B6511" i="2"/>
  <c r="F6509" i="2"/>
  <c r="B6508" i="2"/>
  <c r="F6504" i="2"/>
  <c r="B6503" i="2"/>
  <c r="F6501" i="2"/>
  <c r="B6500" i="2"/>
  <c r="F6496" i="2"/>
  <c r="B6495" i="2"/>
  <c r="F6493" i="2"/>
  <c r="B6492" i="2"/>
  <c r="F6488" i="2"/>
  <c r="B6487" i="2"/>
  <c r="F6485" i="2"/>
  <c r="F6474" i="2"/>
  <c r="B6470" i="2"/>
  <c r="F6466" i="2"/>
  <c r="B6462" i="2"/>
  <c r="F6458" i="2"/>
  <c r="B6454" i="2"/>
  <c r="F6450" i="2"/>
  <c r="F6436" i="2"/>
  <c r="B6435" i="2"/>
  <c r="F6433" i="2"/>
  <c r="B6432" i="2"/>
  <c r="F6428" i="2"/>
  <c r="B6427" i="2"/>
  <c r="F6425" i="2"/>
  <c r="B6424" i="2"/>
  <c r="F6420" i="2"/>
  <c r="B6419" i="2"/>
  <c r="F6417" i="2"/>
  <c r="B6416" i="2"/>
  <c r="F6412" i="2"/>
  <c r="B6411" i="2"/>
  <c r="F6409" i="2"/>
  <c r="B6408" i="2"/>
  <c r="F6404" i="2"/>
  <c r="B6403" i="2"/>
  <c r="F6401" i="2"/>
  <c r="B6400" i="2"/>
  <c r="F6396" i="2"/>
  <c r="B6395" i="2"/>
  <c r="F6393" i="2"/>
  <c r="B6392" i="2"/>
  <c r="F6388" i="2"/>
  <c r="B6387" i="2"/>
  <c r="F6385" i="2"/>
  <c r="B6384" i="2"/>
  <c r="F6380" i="2"/>
  <c r="B6379" i="2"/>
  <c r="F6377" i="2"/>
  <c r="B6376" i="2"/>
  <c r="B6362" i="2"/>
  <c r="F6358" i="2"/>
  <c r="B6354" i="2"/>
  <c r="F6350" i="2"/>
  <c r="B6346" i="2"/>
  <c r="F6342" i="2"/>
  <c r="B6338" i="2"/>
  <c r="F6334" i="2"/>
  <c r="B6330" i="2"/>
  <c r="F6326" i="2"/>
  <c r="B6322" i="2"/>
  <c r="F6318" i="2"/>
  <c r="B6314" i="2"/>
  <c r="F6310" i="2"/>
  <c r="B6306" i="2"/>
  <c r="F6293" i="2"/>
  <c r="B6292" i="2"/>
  <c r="F6288" i="2"/>
  <c r="B6287" i="2"/>
  <c r="F6285" i="2"/>
  <c r="B6284" i="2"/>
  <c r="F6280" i="2"/>
  <c r="B6279" i="2"/>
  <c r="F6277" i="2"/>
  <c r="B6276" i="2"/>
  <c r="F6272" i="2"/>
  <c r="B6271" i="2"/>
  <c r="F6269" i="2"/>
  <c r="B6268" i="2"/>
  <c r="F6264" i="2"/>
  <c r="B6263" i="2"/>
  <c r="F6261" i="2"/>
  <c r="B6260" i="2"/>
  <c r="F6256" i="2"/>
  <c r="B6255" i="2"/>
  <c r="F6253" i="2"/>
  <c r="B6252" i="2"/>
  <c r="F6248" i="2"/>
  <c r="B6247" i="2"/>
  <c r="F6245" i="2"/>
  <c r="B6244" i="2"/>
  <c r="F6240" i="2"/>
  <c r="B6239" i="2"/>
  <c r="F6237" i="2"/>
  <c r="B6236" i="2"/>
  <c r="F6232" i="2"/>
  <c r="F6218" i="2"/>
  <c r="B6214" i="2"/>
  <c r="F6210" i="2"/>
  <c r="B6206" i="2"/>
  <c r="F6202" i="2"/>
  <c r="B6198" i="2"/>
  <c r="F6194" i="2"/>
  <c r="B6190" i="2"/>
  <c r="F6186" i="2"/>
  <c r="B6182" i="2"/>
  <c r="F6178" i="2"/>
  <c r="B6174" i="2"/>
  <c r="F6170" i="2"/>
  <c r="B6166" i="2"/>
  <c r="F6162" i="2"/>
  <c r="B6138" i="2"/>
  <c r="B6127" i="2"/>
  <c r="B6116" i="2"/>
  <c r="F6090" i="2"/>
  <c r="B6066" i="2"/>
  <c r="F6053" i="2"/>
  <c r="B6052" i="2"/>
  <c r="F6048" i="2"/>
  <c r="B6047" i="2"/>
  <c r="F6045" i="2"/>
  <c r="B6044" i="2"/>
  <c r="B6030" i="2"/>
  <c r="F6026" i="2"/>
  <c r="F6012" i="2"/>
  <c r="B6011" i="2"/>
  <c r="F6009" i="2"/>
  <c r="B6008" i="2"/>
  <c r="F6004" i="2"/>
  <c r="F5990" i="2"/>
  <c r="B5986" i="2"/>
  <c r="F5973" i="2"/>
  <c r="B5972" i="2"/>
  <c r="F5968" i="2"/>
  <c r="B5967" i="2"/>
  <c r="F5965" i="2"/>
  <c r="B5964" i="2"/>
  <c r="F5960" i="2"/>
  <c r="B5959" i="2"/>
  <c r="F5957" i="2"/>
  <c r="B5956" i="2"/>
  <c r="F5944" i="2"/>
  <c r="B5943" i="2"/>
  <c r="F5941" i="2"/>
  <c r="B5940" i="2"/>
  <c r="F5936" i="2"/>
  <c r="B5935" i="2"/>
  <c r="F5933" i="2"/>
  <c r="B5932" i="2"/>
  <c r="F5928" i="2"/>
  <c r="B5927" i="2"/>
  <c r="F5914" i="2"/>
  <c r="B5910" i="2"/>
  <c r="F5906" i="2"/>
  <c r="B5902" i="2"/>
  <c r="F5898" i="2"/>
  <c r="B5894" i="2"/>
  <c r="F5890" i="2"/>
  <c r="F5876" i="2"/>
  <c r="B5875" i="2"/>
  <c r="F5873" i="2"/>
  <c r="B5872" i="2"/>
  <c r="F5868" i="2"/>
  <c r="B5867" i="2"/>
  <c r="F5865" i="2"/>
  <c r="B5864" i="2"/>
  <c r="F5860" i="2"/>
  <c r="F5846" i="2"/>
  <c r="B5842" i="2"/>
  <c r="F5838" i="2"/>
  <c r="B5834" i="2"/>
  <c r="B5818" i="2"/>
  <c r="B5807" i="2"/>
  <c r="F5805" i="2"/>
  <c r="F5794" i="2"/>
  <c r="B5790" i="2"/>
  <c r="F5786" i="2"/>
  <c r="B5782" i="2"/>
  <c r="F5778" i="2"/>
  <c r="B5774" i="2"/>
  <c r="F5770" i="2"/>
  <c r="F5756" i="2"/>
  <c r="B5755" i="2"/>
  <c r="F5753" i="2"/>
  <c r="B5752" i="2"/>
  <c r="F5748" i="2"/>
  <c r="B5747" i="2"/>
  <c r="F5745" i="2"/>
  <c r="B5744" i="2"/>
  <c r="F5740" i="2"/>
  <c r="B5739" i="2"/>
  <c r="F5737" i="2"/>
  <c r="B5736" i="2"/>
  <c r="F5732" i="2"/>
  <c r="B5731" i="2"/>
  <c r="F5729" i="2"/>
  <c r="B5728" i="2"/>
  <c r="F5702" i="2"/>
  <c r="F5688" i="2"/>
  <c r="B5687" i="2"/>
  <c r="F5685" i="2"/>
  <c r="B5684" i="2"/>
  <c r="B5670" i="2"/>
  <c r="B5667" i="2"/>
  <c r="F5665" i="2"/>
  <c r="B5663" i="2"/>
  <c r="F5661" i="2"/>
  <c r="F5649" i="2"/>
  <c r="B5647" i="2"/>
  <c r="F5645" i="2"/>
  <c r="B5643" i="2"/>
  <c r="F5641" i="2"/>
  <c r="B5639" i="2"/>
  <c r="B5627" i="2"/>
  <c r="F5625" i="2"/>
  <c r="B5623" i="2"/>
  <c r="F5621" i="2"/>
  <c r="B5619" i="2"/>
  <c r="B5607" i="2"/>
  <c r="F5605" i="2"/>
  <c r="B5603" i="2"/>
  <c r="F5601" i="2"/>
  <c r="B5599" i="2"/>
  <c r="F5597" i="2"/>
  <c r="F5585" i="2"/>
  <c r="B5583" i="2"/>
  <c r="F5581" i="2"/>
  <c r="B5579" i="2"/>
  <c r="F5577" i="2"/>
  <c r="F5565" i="2"/>
  <c r="B5563" i="2"/>
  <c r="F5561" i="2"/>
  <c r="B5559" i="2"/>
  <c r="F5557" i="2"/>
  <c r="B5555" i="2"/>
  <c r="B5543" i="2"/>
  <c r="F5541" i="2"/>
  <c r="B5539" i="2"/>
  <c r="F5537" i="2"/>
  <c r="B5535" i="2"/>
  <c r="F5533" i="2"/>
  <c r="B5531" i="2"/>
  <c r="F5529" i="2"/>
  <c r="B5527" i="2"/>
  <c r="F5525" i="2"/>
  <c r="B5523" i="2"/>
  <c r="F5521" i="2"/>
  <c r="B5519" i="2"/>
  <c r="F5517" i="2"/>
  <c r="B5515" i="2"/>
  <c r="B5503" i="2"/>
  <c r="F5501" i="2"/>
  <c r="B5499" i="2"/>
  <c r="F5497" i="2"/>
  <c r="B5495" i="2"/>
  <c r="F5493" i="2"/>
  <c r="B5491" i="2"/>
  <c r="F5489" i="2"/>
  <c r="B5487" i="2"/>
  <c r="F5485" i="2"/>
  <c r="B5483" i="2"/>
  <c r="F5481" i="2"/>
  <c r="B5479" i="2"/>
  <c r="F5477" i="2"/>
  <c r="B5475" i="2"/>
  <c r="B5463" i="2"/>
  <c r="F5461" i="2"/>
  <c r="B5459" i="2"/>
  <c r="F5457" i="2"/>
  <c r="B5455" i="2"/>
  <c r="F5453" i="2"/>
  <c r="F5441" i="2"/>
  <c r="B5439" i="2"/>
  <c r="F5437" i="2"/>
  <c r="B5435" i="2"/>
  <c r="F5433" i="2"/>
  <c r="B5431" i="2"/>
  <c r="B5419" i="2"/>
  <c r="F5417" i="2"/>
  <c r="B5415" i="2"/>
  <c r="F5413" i="2"/>
  <c r="B5411" i="2"/>
  <c r="F5409" i="2"/>
  <c r="F5397" i="2"/>
  <c r="B5395" i="2"/>
  <c r="F5393" i="2"/>
  <c r="B5391" i="2"/>
  <c r="F5389" i="2"/>
  <c r="B5387" i="2"/>
  <c r="B5375" i="2"/>
  <c r="F5373" i="2"/>
  <c r="B5371" i="2"/>
  <c r="F5369" i="2"/>
  <c r="B5367" i="2"/>
  <c r="B5355" i="2"/>
  <c r="F5353" i="2"/>
  <c r="B5351" i="2"/>
  <c r="F5349" i="2"/>
  <c r="B5347" i="2"/>
  <c r="B9588" i="2"/>
  <c r="F9454" i="2"/>
  <c r="F9350" i="2"/>
  <c r="B9348" i="2"/>
  <c r="F9286" i="2"/>
  <c r="B9284" i="2"/>
  <c r="B9053" i="2"/>
  <c r="F9014" i="2"/>
  <c r="F9011" i="2"/>
  <c r="F8971" i="2"/>
  <c r="F8939" i="2"/>
  <c r="F8907" i="2"/>
  <c r="F8892" i="2"/>
  <c r="F8860" i="2"/>
  <c r="F8828" i="2"/>
  <c r="F8796" i="2"/>
  <c r="B8766" i="2"/>
  <c r="B8734" i="2"/>
  <c r="B8702" i="2"/>
  <c r="B8670" i="2"/>
  <c r="B8658" i="2"/>
  <c r="F8628" i="2"/>
  <c r="B8626" i="2"/>
  <c r="F8596" i="2"/>
  <c r="B8594" i="2"/>
  <c r="F8564" i="2"/>
  <c r="B8562" i="2"/>
  <c r="B8513" i="2"/>
  <c r="F8485" i="2"/>
  <c r="F8460" i="2"/>
  <c r="B8438" i="2"/>
  <c r="B8367" i="2"/>
  <c r="F8363" i="2"/>
  <c r="F8361" i="2"/>
  <c r="B8330" i="2"/>
  <c r="B8305" i="2"/>
  <c r="F8253" i="2"/>
  <c r="F8194" i="2"/>
  <c r="F8178" i="2"/>
  <c r="F8162" i="2"/>
  <c r="F8146" i="2"/>
  <c r="F8130" i="2"/>
  <c r="F7958" i="2"/>
  <c r="F7942" i="2"/>
  <c r="F7926" i="2"/>
  <c r="F7910" i="2"/>
  <c r="F7894" i="2"/>
  <c r="F7859" i="2"/>
  <c r="F7843" i="2"/>
  <c r="F7827" i="2"/>
  <c r="F7811" i="2"/>
  <c r="F7795" i="2"/>
  <c r="F7779" i="2"/>
  <c r="B7765" i="2"/>
  <c r="B7744" i="2"/>
  <c r="B7742" i="2"/>
  <c r="B7739" i="2"/>
  <c r="F7733" i="2"/>
  <c r="B7731" i="2"/>
  <c r="F7725" i="2"/>
  <c r="B7723" i="2"/>
  <c r="F7717" i="2"/>
  <c r="B7715" i="2"/>
  <c r="F7709" i="2"/>
  <c r="B7707" i="2"/>
  <c r="F7704" i="2"/>
  <c r="F7697" i="2"/>
  <c r="B7691" i="2"/>
  <c r="F7688" i="2"/>
  <c r="F7681" i="2"/>
  <c r="B7675" i="2"/>
  <c r="F7672" i="2"/>
  <c r="F7665" i="2"/>
  <c r="B7659" i="2"/>
  <c r="B7647" i="2"/>
  <c r="B7638" i="2"/>
  <c r="F7633" i="2"/>
  <c r="B7631" i="2"/>
  <c r="B7622" i="2"/>
  <c r="F7617" i="2"/>
  <c r="B7615" i="2"/>
  <c r="B7606" i="2"/>
  <c r="F7601" i="2"/>
  <c r="B7599" i="2"/>
  <c r="B7590" i="2"/>
  <c r="F7585" i="2"/>
  <c r="B7583" i="2"/>
  <c r="B7574" i="2"/>
  <c r="F7569" i="2"/>
  <c r="B7554" i="2"/>
  <c r="B7547" i="2"/>
  <c r="F7544" i="2"/>
  <c r="B7538" i="2"/>
  <c r="B7531" i="2"/>
  <c r="F7528" i="2"/>
  <c r="B7522" i="2"/>
  <c r="B7515" i="2"/>
  <c r="F7512" i="2"/>
  <c r="B7506" i="2"/>
  <c r="B7499" i="2"/>
  <c r="F7496" i="2"/>
  <c r="B7490" i="2"/>
  <c r="B7483" i="2"/>
  <c r="F7480" i="2"/>
  <c r="F7469" i="2"/>
  <c r="B7467" i="2"/>
  <c r="B7458" i="2"/>
  <c r="F7453" i="2"/>
  <c r="B7451" i="2"/>
  <c r="B7442" i="2"/>
  <c r="F7437" i="2"/>
  <c r="B7435" i="2"/>
  <c r="B7422" i="2"/>
  <c r="B7415" i="2"/>
  <c r="F7412" i="2"/>
  <c r="B7406" i="2"/>
  <c r="B7399" i="2"/>
  <c r="F7396" i="2"/>
  <c r="B7390" i="2"/>
  <c r="B7383" i="2"/>
  <c r="F7380" i="2"/>
  <c r="B7358" i="2"/>
  <c r="F7353" i="2"/>
  <c r="B7351" i="2"/>
  <c r="B7342" i="2"/>
  <c r="F7337" i="2"/>
  <c r="B7335" i="2"/>
  <c r="F7316" i="2"/>
  <c r="B7314" i="2"/>
  <c r="F7309" i="2"/>
  <c r="F7300" i="2"/>
  <c r="B7298" i="2"/>
  <c r="F7293" i="2"/>
  <c r="F7284" i="2"/>
  <c r="F7272" i="2"/>
  <c r="B7266" i="2"/>
  <c r="B7259" i="2"/>
  <c r="F7256" i="2"/>
  <c r="B7250" i="2"/>
  <c r="F7233" i="2"/>
  <c r="B7227" i="2"/>
  <c r="F7224" i="2"/>
  <c r="F7217" i="2"/>
  <c r="B7211" i="2"/>
  <c r="F7208" i="2"/>
  <c r="F7201" i="2"/>
  <c r="B7195" i="2"/>
  <c r="F7192" i="2"/>
  <c r="F7185" i="2"/>
  <c r="B7179" i="2"/>
  <c r="F7176" i="2"/>
  <c r="F7169" i="2"/>
  <c r="B7163" i="2"/>
  <c r="F7160" i="2"/>
  <c r="F7144" i="2"/>
  <c r="B7142" i="2"/>
  <c r="F7137" i="2"/>
  <c r="F7128" i="2"/>
  <c r="B7126" i="2"/>
  <c r="F7121" i="2"/>
  <c r="F7105" i="2"/>
  <c r="B7099" i="2"/>
  <c r="F7096" i="2"/>
  <c r="F7089" i="2"/>
  <c r="B7083" i="2"/>
  <c r="B7067" i="2"/>
  <c r="F7065" i="2"/>
  <c r="B7059" i="2"/>
  <c r="F7057" i="2"/>
  <c r="B7051" i="2"/>
  <c r="F7049" i="2"/>
  <c r="F7032" i="2"/>
  <c r="B7031" i="2"/>
  <c r="F7025" i="2"/>
  <c r="B7024" i="2"/>
  <c r="F7016" i="2"/>
  <c r="B7015" i="2"/>
  <c r="B7002" i="2"/>
  <c r="B6998" i="2"/>
  <c r="B6996" i="2"/>
  <c r="B6994" i="2"/>
  <c r="B6990" i="2"/>
  <c r="B6988" i="2"/>
  <c r="B6986" i="2"/>
  <c r="B6982" i="2"/>
  <c r="B6980" i="2"/>
  <c r="B6978" i="2"/>
  <c r="B6974" i="2"/>
  <c r="B6963" i="2"/>
  <c r="F6957" i="2"/>
  <c r="B6956" i="2"/>
  <c r="F6948" i="2"/>
  <c r="B6947" i="2"/>
  <c r="F6897" i="2"/>
  <c r="B6896" i="2"/>
  <c r="F6888" i="2"/>
  <c r="B6887" i="2"/>
  <c r="F6881" i="2"/>
  <c r="B6880" i="2"/>
  <c r="F6866" i="2"/>
  <c r="F6864" i="2"/>
  <c r="F6862" i="2"/>
  <c r="B6835" i="2"/>
  <c r="F6833" i="2"/>
  <c r="B6818" i="2"/>
  <c r="F6814" i="2"/>
  <c r="F6812" i="2"/>
  <c r="B6811" i="2"/>
  <c r="B6798" i="2"/>
  <c r="B6796" i="2"/>
  <c r="B6794" i="2"/>
  <c r="B6790" i="2"/>
  <c r="B6788" i="2"/>
  <c r="B6786" i="2"/>
  <c r="B6782" i="2"/>
  <c r="B6766" i="2"/>
  <c r="F6762" i="2"/>
  <c r="B6758" i="2"/>
  <c r="F6754" i="2"/>
  <c r="F6740" i="2"/>
  <c r="B6739" i="2"/>
  <c r="F6737" i="2"/>
  <c r="B6736" i="2"/>
  <c r="F6732" i="2"/>
  <c r="B6731" i="2"/>
  <c r="F6729" i="2"/>
  <c r="B6728" i="2"/>
  <c r="F6724" i="2"/>
  <c r="B6723" i="2"/>
  <c r="B6712" i="2"/>
  <c r="F6708" i="2"/>
  <c r="B6707" i="2"/>
  <c r="F6705" i="2"/>
  <c r="B6704" i="2"/>
  <c r="F6700" i="2"/>
  <c r="B6699" i="2"/>
  <c r="F6697" i="2"/>
  <c r="B6696" i="2"/>
  <c r="B6682" i="2"/>
  <c r="F6669" i="2"/>
  <c r="B6668" i="2"/>
  <c r="F6664" i="2"/>
  <c r="B6663" i="2"/>
  <c r="F6661" i="2"/>
  <c r="B6660" i="2"/>
  <c r="F6656" i="2"/>
  <c r="B6655" i="2"/>
  <c r="F6653" i="2"/>
  <c r="F9709" i="2"/>
  <c r="B9707" i="2"/>
  <c r="F9426" i="2"/>
  <c r="F9423" i="2"/>
  <c r="B9380" i="2"/>
  <c r="F9078" i="2"/>
  <c r="F9075" i="2"/>
  <c r="F8993" i="2"/>
  <c r="B8991" i="2"/>
  <c r="F8923" i="2"/>
  <c r="F8876" i="2"/>
  <c r="F8812" i="2"/>
  <c r="F8723" i="2"/>
  <c r="F8612" i="2"/>
  <c r="B8610" i="2"/>
  <c r="F8520" i="2"/>
  <c r="B8465" i="2"/>
  <c r="F8320" i="2"/>
  <c r="B8189" i="2"/>
  <c r="B8157" i="2"/>
  <c r="F8115" i="2"/>
  <c r="B8113" i="2"/>
  <c r="F8083" i="2"/>
  <c r="B8081" i="2"/>
  <c r="F8051" i="2"/>
  <c r="B8049" i="2"/>
  <c r="F8010" i="2"/>
  <c r="B8008" i="2"/>
  <c r="B7941" i="2"/>
  <c r="B7909" i="2"/>
  <c r="F7867" i="2"/>
  <c r="F7835" i="2"/>
  <c r="F7803" i="2"/>
  <c r="F7759" i="2"/>
  <c r="F7729" i="2"/>
  <c r="B7727" i="2"/>
  <c r="F7713" i="2"/>
  <c r="B7711" i="2"/>
  <c r="B7699" i="2"/>
  <c r="F7689" i="2"/>
  <c r="B7687" i="2"/>
  <c r="B7667" i="2"/>
  <c r="F7645" i="2"/>
  <c r="B7643" i="2"/>
  <c r="B7634" i="2"/>
  <c r="F7625" i="2"/>
  <c r="B7623" i="2"/>
  <c r="F7613" i="2"/>
  <c r="B7611" i="2"/>
  <c r="B7602" i="2"/>
  <c r="F7593" i="2"/>
  <c r="B7591" i="2"/>
  <c r="F7581" i="2"/>
  <c r="B7579" i="2"/>
  <c r="B7570" i="2"/>
  <c r="F7552" i="2"/>
  <c r="B7550" i="2"/>
  <c r="F7540" i="2"/>
  <c r="F7520" i="2"/>
  <c r="B7518" i="2"/>
  <c r="F7508" i="2"/>
  <c r="F7488" i="2"/>
  <c r="B7486" i="2"/>
  <c r="B7450" i="2"/>
  <c r="B7407" i="2"/>
  <c r="B7398" i="2"/>
  <c r="B7395" i="2"/>
  <c r="F7365" i="2"/>
  <c r="B7363" i="2"/>
  <c r="B7354" i="2"/>
  <c r="F7345" i="2"/>
  <c r="B7343" i="2"/>
  <c r="F7333" i="2"/>
  <c r="B7331" i="2"/>
  <c r="F7289" i="2"/>
  <c r="B7271" i="2"/>
  <c r="B7251" i="2"/>
  <c r="B7219" i="2"/>
  <c r="F7209" i="2"/>
  <c r="B7207" i="2"/>
  <c r="B7187" i="2"/>
  <c r="F7177" i="2"/>
  <c r="B7175" i="2"/>
  <c r="F7133" i="2"/>
  <c r="B7107" i="2"/>
  <c r="F7097" i="2"/>
  <c r="B7095" i="2"/>
  <c r="B7054" i="2"/>
  <c r="B7048" i="2"/>
  <c r="F7033" i="2"/>
  <c r="B7026" i="2"/>
  <c r="B7019" i="2"/>
  <c r="F6998" i="2"/>
  <c r="F6992" i="2"/>
  <c r="F6986" i="2"/>
  <c r="B6944" i="2"/>
  <c r="F6924" i="2"/>
  <c r="F6922" i="2"/>
  <c r="B6915" i="2"/>
  <c r="B6884" i="2"/>
  <c r="B6879" i="2"/>
  <c r="B6851" i="2"/>
  <c r="F6848" i="2"/>
  <c r="B6834" i="2"/>
  <c r="F6816" i="2"/>
  <c r="B6812" i="2"/>
  <c r="F6782" i="2"/>
  <c r="B6768" i="2"/>
  <c r="B6763" i="2"/>
  <c r="F6758" i="2"/>
  <c r="B6754" i="2"/>
  <c r="B6752" i="2"/>
  <c r="B6738" i="2"/>
  <c r="F6733" i="2"/>
  <c r="F6728" i="2"/>
  <c r="F6726" i="2"/>
  <c r="F6712" i="2"/>
  <c r="F6710" i="2"/>
  <c r="B6706" i="2"/>
  <c r="F6701" i="2"/>
  <c r="F6696" i="2"/>
  <c r="F6694" i="2"/>
  <c r="F6668" i="2"/>
  <c r="F6666" i="2"/>
  <c r="B6662" i="2"/>
  <c r="F6657" i="2"/>
  <c r="F6652" i="2"/>
  <c r="B6651" i="2"/>
  <c r="F6645" i="2"/>
  <c r="B6644" i="2"/>
  <c r="F6636" i="2"/>
  <c r="B6635" i="2"/>
  <c r="F6629" i="2"/>
  <c r="B6628" i="2"/>
  <c r="F6614" i="2"/>
  <c r="F6612" i="2"/>
  <c r="F6610" i="2"/>
  <c r="F6606" i="2"/>
  <c r="F6604" i="2"/>
  <c r="F6602" i="2"/>
  <c r="F6598" i="2"/>
  <c r="F6596" i="2"/>
  <c r="F6594" i="2"/>
  <c r="F6590" i="2"/>
  <c r="F6588" i="2"/>
  <c r="F6586" i="2"/>
  <c r="F6582" i="2"/>
  <c r="F6580" i="2"/>
  <c r="F6578" i="2"/>
  <c r="F6574" i="2"/>
  <c r="F6572" i="2"/>
  <c r="F6570" i="2"/>
  <c r="F6566" i="2"/>
  <c r="F6564" i="2"/>
  <c r="F6562" i="2"/>
  <c r="F6558" i="2"/>
  <c r="F6556" i="2"/>
  <c r="F6554" i="2"/>
  <c r="F6550" i="2"/>
  <c r="F6548" i="2"/>
  <c r="F6546" i="2"/>
  <c r="F6542" i="2"/>
  <c r="F6540" i="2"/>
  <c r="F6538" i="2"/>
  <c r="F6534" i="2"/>
  <c r="F6532" i="2"/>
  <c r="F6530" i="2"/>
  <c r="F6526" i="2"/>
  <c r="F6524" i="2"/>
  <c r="F6510" i="2"/>
  <c r="F6508" i="2"/>
  <c r="F6506" i="2"/>
  <c r="F6502" i="2"/>
  <c r="F6500" i="2"/>
  <c r="F6498" i="2"/>
  <c r="F6494" i="2"/>
  <c r="F6492" i="2"/>
  <c r="F6490" i="2"/>
  <c r="F6486" i="2"/>
  <c r="F6473" i="2"/>
  <c r="B6472" i="2"/>
  <c r="F6464" i="2"/>
  <c r="B6463" i="2"/>
  <c r="F6457" i="2"/>
  <c r="B6456" i="2"/>
  <c r="F6448" i="2"/>
  <c r="B6436" i="2"/>
  <c r="B6434" i="2"/>
  <c r="B6430" i="2"/>
  <c r="B6428" i="2"/>
  <c r="B6426" i="2"/>
  <c r="B6422" i="2"/>
  <c r="B6420" i="2"/>
  <c r="B6418" i="2"/>
  <c r="B6414" i="2"/>
  <c r="B6412" i="2"/>
  <c r="B6410" i="2"/>
  <c r="B6406" i="2"/>
  <c r="B6404" i="2"/>
  <c r="B6402" i="2"/>
  <c r="B6398" i="2"/>
  <c r="B6396" i="2"/>
  <c r="B6394" i="2"/>
  <c r="B6390" i="2"/>
  <c r="B6388" i="2"/>
  <c r="B6386" i="2"/>
  <c r="B6382" i="2"/>
  <c r="B6380" i="2"/>
  <c r="B6378" i="2"/>
  <c r="F6364" i="2"/>
  <c r="B6363" i="2"/>
  <c r="F6357" i="2"/>
  <c r="B6356" i="2"/>
  <c r="F6348" i="2"/>
  <c r="B6347" i="2"/>
  <c r="F6341" i="2"/>
  <c r="B6340" i="2"/>
  <c r="F6332" i="2"/>
  <c r="B6331" i="2"/>
  <c r="F6325" i="2"/>
  <c r="B6324" i="2"/>
  <c r="F6316" i="2"/>
  <c r="B6315" i="2"/>
  <c r="F6309" i="2"/>
  <c r="B6308" i="2"/>
  <c r="B6291" i="2"/>
  <c r="F6289" i="2"/>
  <c r="B6283" i="2"/>
  <c r="F6281" i="2"/>
  <c r="B6275" i="2"/>
  <c r="F6273" i="2"/>
  <c r="B6267" i="2"/>
  <c r="F6265" i="2"/>
  <c r="B6259" i="2"/>
  <c r="F6257" i="2"/>
  <c r="B6251" i="2"/>
  <c r="F6249" i="2"/>
  <c r="B6243" i="2"/>
  <c r="F6241" i="2"/>
  <c r="B6235" i="2"/>
  <c r="F6233" i="2"/>
  <c r="F6216" i="2"/>
  <c r="B6215" i="2"/>
  <c r="F6209" i="2"/>
  <c r="B6208" i="2"/>
  <c r="F6200" i="2"/>
  <c r="B6199" i="2"/>
  <c r="F6193" i="2"/>
  <c r="B6192" i="2"/>
  <c r="F6184" i="2"/>
  <c r="B6183" i="2"/>
  <c r="F6177" i="2"/>
  <c r="B6176" i="2"/>
  <c r="F6168" i="2"/>
  <c r="B6167" i="2"/>
  <c r="F6161" i="2"/>
  <c r="B6160" i="2"/>
  <c r="F6065" i="2"/>
  <c r="B6064" i="2"/>
  <c r="F6052" i="2"/>
  <c r="F6050" i="2"/>
  <c r="F6046" i="2"/>
  <c r="F6044" i="2"/>
  <c r="F6033" i="2"/>
  <c r="B6032" i="2"/>
  <c r="F6024" i="2"/>
  <c r="B6012" i="2"/>
  <c r="B6010" i="2"/>
  <c r="B6006" i="2"/>
  <c r="B6004" i="2"/>
  <c r="F5992" i="2"/>
  <c r="B5991" i="2"/>
  <c r="F5985" i="2"/>
  <c r="B5984" i="2"/>
  <c r="F5972" i="2"/>
  <c r="F5970" i="2"/>
  <c r="F5966" i="2"/>
  <c r="F5964" i="2"/>
  <c r="F5962" i="2"/>
  <c r="F5958" i="2"/>
  <c r="F5956" i="2"/>
  <c r="F5942" i="2"/>
  <c r="F5940" i="2"/>
  <c r="F5938" i="2"/>
  <c r="F5934" i="2"/>
  <c r="F5932" i="2"/>
  <c r="F5930" i="2"/>
  <c r="F5926" i="2"/>
  <c r="B5914" i="2"/>
  <c r="F5910" i="2"/>
  <c r="F5908" i="2"/>
  <c r="B5907" i="2"/>
  <c r="F5901" i="2"/>
  <c r="B5900" i="2"/>
  <c r="B5898" i="2"/>
  <c r="F5894" i="2"/>
  <c r="F5892" i="2"/>
  <c r="B5891" i="2"/>
  <c r="F5845" i="2"/>
  <c r="B5844" i="2"/>
  <c r="F5836" i="2"/>
  <c r="B5835" i="2"/>
  <c r="F5818" i="2"/>
  <c r="B5794" i="2"/>
  <c r="F5790" i="2"/>
  <c r="F5788" i="2"/>
  <c r="B5787" i="2"/>
  <c r="F5781" i="2"/>
  <c r="B5780" i="2"/>
  <c r="B5778" i="2"/>
  <c r="F5774" i="2"/>
  <c r="F5772" i="2"/>
  <c r="B5771" i="2"/>
  <c r="B5691" i="2"/>
  <c r="F5689" i="2"/>
  <c r="B5683" i="2"/>
  <c r="F5681" i="2"/>
  <c r="F5670" i="2"/>
  <c r="F5668" i="2"/>
  <c r="B5664" i="2"/>
  <c r="F5660" i="2"/>
  <c r="F5646" i="2"/>
  <c r="B5645" i="2"/>
  <c r="F5643" i="2"/>
  <c r="B5642" i="2"/>
  <c r="B5628" i="2"/>
  <c r="F5624" i="2"/>
  <c r="B5620" i="2"/>
  <c r="F5607" i="2"/>
  <c r="B5606" i="2"/>
  <c r="F5602" i="2"/>
  <c r="B5601" i="2"/>
  <c r="F5599" i="2"/>
  <c r="B5598" i="2"/>
  <c r="F5586" i="2"/>
  <c r="B5585" i="2"/>
  <c r="F5583" i="2"/>
  <c r="B5582" i="2"/>
  <c r="F5578" i="2"/>
  <c r="B5577" i="2"/>
  <c r="F5564" i="2"/>
  <c r="B5560" i="2"/>
  <c r="F5556" i="2"/>
  <c r="F5542" i="2"/>
  <c r="B5541" i="2"/>
  <c r="F5539" i="2"/>
  <c r="B5538" i="2"/>
  <c r="F5534" i="2"/>
  <c r="B5533" i="2"/>
  <c r="F5531" i="2"/>
  <c r="B5530" i="2"/>
  <c r="F5526" i="2"/>
  <c r="B5525" i="2"/>
  <c r="F5523" i="2"/>
  <c r="B5522" i="2"/>
  <c r="F5518" i="2"/>
  <c r="B5517" i="2"/>
  <c r="F5515" i="2"/>
  <c r="F5504" i="2"/>
  <c r="B5500" i="2"/>
  <c r="F5496" i="2"/>
  <c r="B5492" i="2"/>
  <c r="F5488" i="2"/>
  <c r="B5484" i="2"/>
  <c r="F5480" i="2"/>
  <c r="B5476" i="2"/>
  <c r="F5463" i="2"/>
  <c r="B5462" i="2"/>
  <c r="F5458" i="2"/>
  <c r="B5457" i="2"/>
  <c r="F5455" i="2"/>
  <c r="B5454" i="2"/>
  <c r="F5442" i="2"/>
  <c r="B5441" i="2"/>
  <c r="F5439" i="2"/>
  <c r="B5438" i="2"/>
  <c r="F5434" i="2"/>
  <c r="B5433" i="2"/>
  <c r="F5431" i="2"/>
  <c r="F5420" i="2"/>
  <c r="B5416" i="2"/>
  <c r="F5412" i="2"/>
  <c r="F5396" i="2"/>
  <c r="B5392" i="2"/>
  <c r="F5388" i="2"/>
  <c r="F5374" i="2"/>
  <c r="B5373" i="2"/>
  <c r="F5371" i="2"/>
  <c r="B5370" i="2"/>
  <c r="F5366" i="2"/>
  <c r="F5352" i="2"/>
  <c r="B5348" i="2"/>
  <c r="F5335" i="2"/>
  <c r="B5333" i="2"/>
  <c r="F5331" i="2"/>
  <c r="B5329" i="2"/>
  <c r="B5317" i="2"/>
  <c r="F5315" i="2"/>
  <c r="B5313" i="2"/>
  <c r="B5301" i="2"/>
  <c r="F5299" i="2"/>
  <c r="B5297" i="2"/>
  <c r="F5295" i="2"/>
  <c r="B5293" i="2"/>
  <c r="F5291" i="2"/>
  <c r="B5289" i="2"/>
  <c r="B5277" i="2"/>
  <c r="F5275" i="2"/>
  <c r="B5273" i="2"/>
  <c r="F5271" i="2"/>
  <c r="B5269" i="2"/>
  <c r="F5267" i="2"/>
  <c r="B5265" i="2"/>
  <c r="F5263" i="2"/>
  <c r="B5261" i="2"/>
  <c r="F5259" i="2"/>
  <c r="B5257" i="2"/>
  <c r="F5255" i="2"/>
  <c r="B5253" i="2"/>
  <c r="F5251" i="2"/>
  <c r="B5249" i="2"/>
  <c r="F5247" i="2"/>
  <c r="B5245" i="2"/>
  <c r="F5243" i="2"/>
  <c r="B5241" i="2"/>
  <c r="F5239" i="2"/>
  <c r="B5237" i="2"/>
  <c r="F5235" i="2"/>
  <c r="B5233" i="2"/>
  <c r="F5231" i="2"/>
  <c r="B5229" i="2"/>
  <c r="F5227" i="2"/>
  <c r="B5225" i="2"/>
  <c r="F5223" i="2"/>
  <c r="B5221" i="2"/>
  <c r="F5219" i="2"/>
  <c r="B5217" i="2"/>
  <c r="F5215" i="2"/>
  <c r="B5213" i="2"/>
  <c r="F5211" i="2"/>
  <c r="B5209" i="2"/>
  <c r="F5207" i="2"/>
  <c r="B5205" i="2"/>
  <c r="F5203" i="2"/>
  <c r="B5201" i="2"/>
  <c r="F5199" i="2"/>
  <c r="B5197" i="2"/>
  <c r="F5195" i="2"/>
  <c r="B5193" i="2"/>
  <c r="F5191" i="2"/>
  <c r="B5189" i="2"/>
  <c r="F5187" i="2"/>
  <c r="B5185" i="2"/>
  <c r="F5183" i="2"/>
  <c r="B5181" i="2"/>
  <c r="B5169" i="2"/>
  <c r="F5167" i="2"/>
  <c r="B5165" i="2"/>
  <c r="F5163" i="2"/>
  <c r="B5161" i="2"/>
  <c r="F5159" i="2"/>
  <c r="B5157" i="2"/>
  <c r="F5155" i="2"/>
  <c r="B5153" i="2"/>
  <c r="F5151" i="2"/>
  <c r="B5149" i="2"/>
  <c r="F5147" i="2"/>
  <c r="B5145" i="2"/>
  <c r="F5143" i="2"/>
  <c r="B5141" i="2"/>
  <c r="F5139" i="2"/>
  <c r="B5137" i="2"/>
  <c r="F5135" i="2"/>
  <c r="F5123" i="2"/>
  <c r="B5121" i="2"/>
  <c r="F5119" i="2"/>
  <c r="B5117" i="2"/>
  <c r="F5115" i="2"/>
  <c r="B5113" i="2"/>
  <c r="F5111" i="2"/>
  <c r="B5109" i="2"/>
  <c r="F5107" i="2"/>
  <c r="B5105" i="2"/>
  <c r="F5103" i="2"/>
  <c r="B5101" i="2"/>
  <c r="F5099" i="2"/>
  <c r="B5097" i="2"/>
  <c r="F5095" i="2"/>
  <c r="B5093" i="2"/>
  <c r="F5091" i="2"/>
  <c r="B5089" i="2"/>
  <c r="F5087" i="2"/>
  <c r="B5085" i="2"/>
  <c r="F5083" i="2"/>
  <c r="B5081" i="2"/>
  <c r="F5079" i="2"/>
  <c r="B5077" i="2"/>
  <c r="F5075" i="2"/>
  <c r="B5073" i="2"/>
  <c r="F5071" i="2"/>
  <c r="B5069" i="2"/>
  <c r="F5067" i="2"/>
  <c r="B5065" i="2"/>
  <c r="F5063" i="2"/>
  <c r="B5061" i="2"/>
  <c r="F5059" i="2"/>
  <c r="B5057" i="2"/>
  <c r="F5055" i="2"/>
  <c r="B5053" i="2"/>
  <c r="F5051" i="2"/>
  <c r="B5049" i="2"/>
  <c r="F5047" i="2"/>
  <c r="B5045" i="2"/>
  <c r="F5043" i="2"/>
  <c r="B5041" i="2"/>
  <c r="F5039" i="2"/>
  <c r="B5037" i="2"/>
  <c r="F5035" i="2"/>
  <c r="B5033" i="2"/>
  <c r="F5031" i="2"/>
  <c r="B5029" i="2"/>
  <c r="F5027" i="2"/>
  <c r="B5025" i="2"/>
  <c r="F5023" i="2"/>
  <c r="B5021" i="2"/>
  <c r="F5019" i="2"/>
  <c r="B5017" i="2"/>
  <c r="F5015" i="2"/>
  <c r="B5013" i="2"/>
  <c r="F5011" i="2"/>
  <c r="B5009" i="2"/>
  <c r="F5007" i="2"/>
  <c r="B5005" i="2"/>
  <c r="F5003" i="2"/>
  <c r="B5001" i="2"/>
  <c r="B4989" i="2"/>
  <c r="F4987" i="2"/>
  <c r="B4985" i="2"/>
  <c r="F4983" i="2"/>
  <c r="B4981" i="2"/>
  <c r="F4979" i="2"/>
  <c r="B4977" i="2"/>
  <c r="F4975" i="2"/>
  <c r="B4973" i="2"/>
  <c r="F4971" i="2"/>
  <c r="B4969" i="2"/>
  <c r="F4967" i="2"/>
  <c r="B4965" i="2"/>
  <c r="F4963" i="2"/>
  <c r="B4961" i="2"/>
  <c r="F4959" i="2"/>
  <c r="B4957" i="2"/>
  <c r="F4955" i="2"/>
  <c r="B4953" i="2"/>
  <c r="F4951" i="2"/>
  <c r="B4949" i="2"/>
  <c r="F4947" i="2"/>
  <c r="B4945" i="2"/>
  <c r="F4943" i="2"/>
  <c r="B4941" i="2"/>
  <c r="F4939" i="2"/>
  <c r="B4937" i="2"/>
  <c r="F4935" i="2"/>
  <c r="B4933" i="2"/>
  <c r="F4931" i="2"/>
  <c r="B4929" i="2"/>
  <c r="F4927" i="2"/>
  <c r="B4925" i="2"/>
  <c r="F4923" i="2"/>
  <c r="B4921" i="2"/>
  <c r="F4919" i="2"/>
  <c r="B4917" i="2"/>
  <c r="F4915" i="2"/>
  <c r="B4913" i="2"/>
  <c r="F4911" i="2"/>
  <c r="B4909" i="2"/>
  <c r="F4907" i="2"/>
  <c r="B4905" i="2"/>
  <c r="F4903" i="2"/>
  <c r="B4901" i="2"/>
  <c r="F4899" i="2"/>
  <c r="B4897" i="2"/>
  <c r="F4895" i="2"/>
  <c r="B4893" i="2"/>
  <c r="F4891" i="2"/>
  <c r="B4889" i="2"/>
  <c r="F4887" i="2"/>
  <c r="B4885" i="2"/>
  <c r="F4883" i="2"/>
  <c r="B4881" i="2"/>
  <c r="F4879" i="2"/>
  <c r="B4877" i="2"/>
  <c r="F4875" i="2"/>
  <c r="B4873" i="2"/>
  <c r="F4871" i="2"/>
  <c r="B4869" i="2"/>
  <c r="F4867" i="2"/>
  <c r="B4865" i="2"/>
  <c r="F4863" i="2"/>
  <c r="B4861" i="2"/>
  <c r="F4859" i="2"/>
  <c r="B4857" i="2"/>
  <c r="F4855" i="2"/>
  <c r="B4853" i="2"/>
  <c r="B4841" i="2"/>
  <c r="F4839" i="2"/>
  <c r="B4837" i="2"/>
  <c r="F4835" i="2"/>
  <c r="B4833" i="2"/>
  <c r="B4821" i="2"/>
  <c r="F4819" i="2"/>
  <c r="B4817" i="2"/>
  <c r="F4815" i="2"/>
  <c r="B4813" i="2"/>
  <c r="F4811" i="2"/>
  <c r="B4809" i="2"/>
  <c r="F4807" i="2"/>
  <c r="B4805" i="2"/>
  <c r="F4803" i="2"/>
  <c r="F4791" i="2"/>
  <c r="F4779" i="2"/>
  <c r="B4777" i="2"/>
  <c r="F4775" i="2"/>
  <c r="B4773" i="2"/>
  <c r="F4771" i="2"/>
  <c r="B4769" i="2"/>
  <c r="F4767" i="2"/>
  <c r="B4765" i="2"/>
  <c r="F4763" i="2"/>
  <c r="B4761" i="2"/>
  <c r="F4759" i="2"/>
  <c r="B4757" i="2"/>
  <c r="F4755" i="2"/>
  <c r="B4753" i="2"/>
  <c r="F4751" i="2"/>
  <c r="B4749" i="2"/>
  <c r="F4747" i="2"/>
  <c r="B4745" i="2"/>
  <c r="F4743" i="2"/>
  <c r="B4741" i="2"/>
  <c r="B4729" i="2"/>
  <c r="F4727" i="2"/>
  <c r="B4725" i="2"/>
  <c r="F4723" i="2"/>
  <c r="B4721" i="2"/>
  <c r="F4719" i="2"/>
  <c r="B4717" i="2"/>
  <c r="F4715" i="2"/>
  <c r="B4713" i="2"/>
  <c r="F4711" i="2"/>
  <c r="B4709" i="2"/>
  <c r="F4707" i="2"/>
  <c r="B4705" i="2"/>
  <c r="F4703" i="2"/>
  <c r="B4701" i="2"/>
  <c r="F4699" i="2"/>
  <c r="B4697" i="2"/>
  <c r="F4695" i="2"/>
  <c r="B4693" i="2"/>
  <c r="F4691" i="2"/>
  <c r="B4689" i="2"/>
  <c r="F4687" i="2"/>
  <c r="B4685" i="2"/>
  <c r="F4683" i="2"/>
  <c r="B4681" i="2"/>
  <c r="F4679" i="2"/>
  <c r="B4677" i="2"/>
  <c r="F4675" i="2"/>
  <c r="B4673" i="2"/>
  <c r="F4671" i="2"/>
  <c r="B4669" i="2"/>
  <c r="F4667" i="2"/>
  <c r="B4665" i="2"/>
  <c r="F4663" i="2"/>
  <c r="B4661" i="2"/>
  <c r="F4659" i="2"/>
  <c r="B4657" i="2"/>
  <c r="F4655" i="2"/>
  <c r="B4653" i="2"/>
  <c r="F4651" i="2"/>
  <c r="B4649" i="2"/>
  <c r="F4647" i="2"/>
  <c r="B4645" i="2"/>
  <c r="F4643" i="2"/>
  <c r="B4641" i="2"/>
  <c r="F4639" i="2"/>
  <c r="B4637" i="2"/>
  <c r="F4635" i="2"/>
  <c r="B4633" i="2"/>
  <c r="F4631" i="2"/>
  <c r="B4629" i="2"/>
  <c r="F4627" i="2"/>
  <c r="B4625" i="2"/>
  <c r="F4623" i="2"/>
  <c r="B4621" i="2"/>
  <c r="F4619" i="2"/>
  <c r="B4617" i="2"/>
  <c r="F4615" i="2"/>
  <c r="B4613" i="2"/>
  <c r="F4611" i="2"/>
  <c r="B4609" i="2"/>
  <c r="F4607" i="2"/>
  <c r="B4605" i="2"/>
  <c r="F4603" i="2"/>
  <c r="B4601" i="2"/>
  <c r="F4599" i="2"/>
  <c r="B4597" i="2"/>
  <c r="B4585" i="2"/>
  <c r="F4583" i="2"/>
  <c r="B4581" i="2"/>
  <c r="F4579" i="2"/>
  <c r="B4577" i="2"/>
  <c r="F4575" i="2"/>
  <c r="B4573" i="2"/>
  <c r="F4571" i="2"/>
  <c r="B4569" i="2"/>
  <c r="F4567" i="2"/>
  <c r="B4565" i="2"/>
  <c r="F4563" i="2"/>
  <c r="B4561" i="2"/>
  <c r="F4559" i="2"/>
  <c r="B4557" i="2"/>
  <c r="F4555" i="2"/>
  <c r="B4553" i="2"/>
  <c r="F4551" i="2"/>
  <c r="B4549" i="2"/>
  <c r="F4547" i="2"/>
  <c r="B4545" i="2"/>
  <c r="F4543" i="2"/>
  <c r="B4541" i="2"/>
  <c r="F4539" i="2"/>
  <c r="B4537" i="2"/>
  <c r="F4535" i="2"/>
  <c r="B4533" i="2"/>
  <c r="F4531" i="2"/>
  <c r="B4529" i="2"/>
  <c r="F4527" i="2"/>
  <c r="B4525" i="2"/>
  <c r="F4523" i="2"/>
  <c r="B4521" i="2"/>
  <c r="F4519" i="2"/>
  <c r="B4517" i="2"/>
  <c r="F4515" i="2"/>
  <c r="B4513" i="2"/>
  <c r="F4511" i="2"/>
  <c r="B4509" i="2"/>
  <c r="F4507" i="2"/>
  <c r="B4505" i="2"/>
  <c r="F4503" i="2"/>
  <c r="B4501" i="2"/>
  <c r="F4499" i="2"/>
  <c r="B4497" i="2"/>
  <c r="F4495" i="2"/>
  <c r="B4493" i="2"/>
  <c r="F4491" i="2"/>
  <c r="B4489" i="2"/>
  <c r="F4487" i="2"/>
  <c r="B4485" i="2"/>
  <c r="F4483" i="2"/>
  <c r="B4481" i="2"/>
  <c r="F4479" i="2"/>
  <c r="B4477" i="2"/>
  <c r="F4475" i="2"/>
  <c r="B4473" i="2"/>
  <c r="F4471" i="2"/>
  <c r="B4469" i="2"/>
  <c r="F4467" i="2"/>
  <c r="B4465" i="2"/>
  <c r="F4463" i="2"/>
  <c r="B4461" i="2"/>
  <c r="F4459" i="2"/>
  <c r="B4457" i="2"/>
  <c r="F4455" i="2"/>
  <c r="B4453" i="2"/>
  <c r="F4451" i="2"/>
  <c r="B4449" i="2"/>
  <c r="F4447" i="2"/>
  <c r="B4445" i="2"/>
  <c r="F4443" i="2"/>
  <c r="B4441" i="2"/>
  <c r="F4439" i="2"/>
  <c r="B4437" i="2"/>
  <c r="F4435" i="2"/>
  <c r="B4433" i="2"/>
  <c r="F4431" i="2"/>
  <c r="B4429" i="2"/>
  <c r="F4427" i="2"/>
  <c r="B4425" i="2"/>
  <c r="F4423" i="2"/>
  <c r="B4421" i="2"/>
  <c r="B4409" i="2"/>
  <c r="F4407" i="2"/>
  <c r="B4405" i="2"/>
  <c r="F4403" i="2"/>
  <c r="B4401" i="2"/>
  <c r="F4399" i="2"/>
  <c r="B4397" i="2"/>
  <c r="F4395" i="2"/>
  <c r="B4393" i="2"/>
  <c r="F4391" i="2"/>
  <c r="B4389" i="2"/>
  <c r="F4387" i="2"/>
  <c r="B4385" i="2"/>
  <c r="F4383" i="2"/>
  <c r="B4381" i="2"/>
  <c r="F4379" i="2"/>
  <c r="B4377" i="2"/>
  <c r="F4375" i="2"/>
  <c r="B4373" i="2"/>
  <c r="F4371" i="2"/>
  <c r="B4369" i="2"/>
  <c r="F4367" i="2"/>
  <c r="B4365" i="2"/>
  <c r="F4363" i="2"/>
  <c r="B4361" i="2"/>
  <c r="F4359" i="2"/>
  <c r="B4357" i="2"/>
  <c r="F4355" i="2"/>
  <c r="B4353" i="2"/>
  <c r="F4351" i="2"/>
  <c r="B4349" i="2"/>
  <c r="F4347" i="2"/>
  <c r="B4345" i="2"/>
  <c r="F4343" i="2"/>
  <c r="B4341" i="2"/>
  <c r="F4339" i="2"/>
  <c r="B4337" i="2"/>
  <c r="F4335" i="2"/>
  <c r="B4333" i="2"/>
  <c r="F4331" i="2"/>
  <c r="B4329" i="2"/>
  <c r="F4327" i="2"/>
  <c r="B4325" i="2"/>
  <c r="F4323" i="2"/>
  <c r="B4321" i="2"/>
  <c r="F4319" i="2"/>
  <c r="B4317" i="2"/>
  <c r="F4315" i="2"/>
  <c r="B4313" i="2"/>
  <c r="F4311" i="2"/>
  <c r="B4309" i="2"/>
  <c r="F4307" i="2"/>
  <c r="B4305" i="2"/>
  <c r="F4303" i="2"/>
  <c r="B4301" i="2"/>
  <c r="F4299" i="2"/>
  <c r="B4297" i="2"/>
  <c r="F4295" i="2"/>
  <c r="B4293" i="2"/>
  <c r="F4291" i="2"/>
  <c r="B4289" i="2"/>
  <c r="F4287" i="2"/>
  <c r="B4285" i="2"/>
  <c r="F4283" i="2"/>
  <c r="B4281" i="2"/>
  <c r="F4279" i="2"/>
  <c r="B4277" i="2"/>
  <c r="F4275" i="2"/>
  <c r="B4273" i="2"/>
  <c r="F4271" i="2"/>
  <c r="B4269" i="2"/>
  <c r="F4267" i="2"/>
  <c r="B4265" i="2"/>
  <c r="F4263" i="2"/>
  <c r="B4261" i="2"/>
  <c r="F4259" i="2"/>
  <c r="B4257" i="2"/>
  <c r="F4255" i="2"/>
  <c r="B4253" i="2"/>
  <c r="F4251" i="2"/>
  <c r="B4249" i="2"/>
  <c r="F4247" i="2"/>
  <c r="B4245" i="2"/>
  <c r="F4243" i="2"/>
  <c r="B4241" i="2"/>
  <c r="F4239" i="2"/>
  <c r="B4237" i="2"/>
  <c r="B4225" i="2"/>
  <c r="F4223" i="2"/>
  <c r="B4221" i="2"/>
  <c r="F4219" i="2"/>
  <c r="B4217" i="2"/>
  <c r="F4215" i="2"/>
  <c r="B4213" i="2"/>
  <c r="F4211" i="2"/>
  <c r="B4209" i="2"/>
  <c r="F4207" i="2"/>
  <c r="B4205" i="2"/>
  <c r="F4203" i="2"/>
  <c r="B4201" i="2"/>
  <c r="B4189" i="2"/>
  <c r="F4187" i="2"/>
  <c r="B4185" i="2"/>
  <c r="F4183" i="2"/>
  <c r="B4181" i="2"/>
  <c r="F4179" i="2"/>
  <c r="B4177" i="2"/>
  <c r="F4175" i="2"/>
  <c r="B4173" i="2"/>
  <c r="F4171" i="2"/>
  <c r="B4169" i="2"/>
  <c r="F4167" i="2"/>
  <c r="F4155" i="2"/>
  <c r="B4153" i="2"/>
  <c r="F4151" i="2"/>
  <c r="B4149" i="2"/>
  <c r="F4147" i="2"/>
  <c r="B4145" i="2"/>
  <c r="F4143" i="2"/>
  <c r="B4141" i="2"/>
  <c r="F4139" i="2"/>
  <c r="B4137" i="2"/>
  <c r="F4135" i="2"/>
  <c r="B4133" i="2"/>
  <c r="F4131" i="2"/>
  <c r="B4129" i="2"/>
  <c r="F4127" i="2"/>
  <c r="B4125" i="2"/>
  <c r="F4123" i="2"/>
  <c r="B4121" i="2"/>
  <c r="F4119" i="2"/>
  <c r="B4117" i="2"/>
  <c r="B4105" i="2"/>
  <c r="F4103" i="2"/>
  <c r="B4101" i="2"/>
  <c r="F4099" i="2"/>
  <c r="B4097" i="2"/>
  <c r="F4095" i="2"/>
  <c r="B4093" i="2"/>
  <c r="F4091" i="2"/>
  <c r="B4089" i="2"/>
  <c r="F4087" i="2"/>
  <c r="B4085" i="2"/>
  <c r="F4083" i="2"/>
  <c r="B4081" i="2"/>
  <c r="F4079" i="2"/>
  <c r="F4067" i="2"/>
  <c r="B4065" i="2"/>
  <c r="F4063" i="2"/>
  <c r="B4061" i="2"/>
  <c r="F4059" i="2"/>
  <c r="B4057" i="2"/>
  <c r="F4055" i="2"/>
  <c r="B4053" i="2"/>
  <c r="F4051" i="2"/>
  <c r="B4049" i="2"/>
  <c r="F4047" i="2"/>
  <c r="B4045" i="2"/>
  <c r="F4043" i="2"/>
  <c r="B4041" i="2"/>
  <c r="F4039" i="2"/>
  <c r="B4037" i="2"/>
  <c r="F4035" i="2"/>
  <c r="B4033" i="2"/>
  <c r="F4031" i="2"/>
  <c r="B4029" i="2"/>
  <c r="F4027" i="2"/>
  <c r="B4025" i="2"/>
  <c r="F4023" i="2"/>
  <c r="B4021" i="2"/>
  <c r="F4019" i="2"/>
  <c r="F4007" i="2"/>
  <c r="B4005" i="2"/>
  <c r="F4003" i="2"/>
  <c r="B4001" i="2"/>
  <c r="F3999" i="2"/>
  <c r="B3997" i="2"/>
  <c r="F3995" i="2"/>
  <c r="B3993" i="2"/>
  <c r="F3991" i="2"/>
  <c r="B3989" i="2"/>
  <c r="F3987" i="2"/>
  <c r="B3985" i="2"/>
  <c r="F3983" i="2"/>
  <c r="B3981" i="2"/>
  <c r="F3979" i="2"/>
  <c r="B3977" i="2"/>
  <c r="F3975" i="2"/>
  <c r="B3973" i="2"/>
  <c r="F3971" i="2"/>
  <c r="B3969" i="2"/>
  <c r="B3957" i="2"/>
  <c r="F3955" i="2"/>
  <c r="B3953" i="2"/>
  <c r="F3951" i="2"/>
  <c r="B3949" i="2"/>
  <c r="F3947" i="2"/>
  <c r="B3945" i="2"/>
  <c r="F3943" i="2"/>
  <c r="B3941" i="2"/>
  <c r="F3939" i="2"/>
  <c r="B3937" i="2"/>
  <c r="F3935" i="2"/>
  <c r="B3933" i="2"/>
  <c r="F3931" i="2"/>
  <c r="B3929" i="2"/>
  <c r="F3927" i="2"/>
  <c r="B3925" i="2"/>
  <c r="F3923" i="2"/>
  <c r="B3921" i="2"/>
  <c r="F3919" i="2"/>
  <c r="F10035" i="2"/>
  <c r="B10033" i="2"/>
  <c r="B9978" i="2"/>
  <c r="F9868" i="2"/>
  <c r="F9518" i="2"/>
  <c r="B9433" i="2"/>
  <c r="F9210" i="2"/>
  <c r="B9208" i="2"/>
  <c r="B9032" i="2"/>
  <c r="B8934" i="2"/>
  <c r="B8861" i="2"/>
  <c r="B8797" i="2"/>
  <c r="B8750" i="2"/>
  <c r="B8686" i="2"/>
  <c r="B8429" i="2"/>
  <c r="B8427" i="2"/>
  <c r="F8423" i="2"/>
  <c r="F8396" i="2"/>
  <c r="F8393" i="2"/>
  <c r="B8362" i="2"/>
  <c r="F8260" i="2"/>
  <c r="F8217" i="2"/>
  <c r="F8170" i="2"/>
  <c r="F8138" i="2"/>
  <c r="F7950" i="2"/>
  <c r="F7918" i="2"/>
  <c r="F7886" i="2"/>
  <c r="B7864" i="2"/>
  <c r="B7832" i="2"/>
  <c r="B7800" i="2"/>
  <c r="F7700" i="2"/>
  <c r="F7680" i="2"/>
  <c r="F7677" i="2"/>
  <c r="F7668" i="2"/>
  <c r="B7630" i="2"/>
  <c r="B9652" i="2"/>
  <c r="F9146" i="2"/>
  <c r="B9144" i="2"/>
  <c r="B8989" i="2"/>
  <c r="B8966" i="2"/>
  <c r="B8893" i="2"/>
  <c r="B8829" i="2"/>
  <c r="B8718" i="2"/>
  <c r="B8529" i="2"/>
  <c r="B8511" i="2"/>
  <c r="F8507" i="2"/>
  <c r="F8501" i="2"/>
  <c r="B8459" i="2"/>
  <c r="F8352" i="2"/>
  <c r="B8337" i="2"/>
  <c r="B8303" i="2"/>
  <c r="F8299" i="2"/>
  <c r="F8293" i="2"/>
  <c r="B8270" i="2"/>
  <c r="F8186" i="2"/>
  <c r="F8154" i="2"/>
  <c r="F7966" i="2"/>
  <c r="F7934" i="2"/>
  <c r="F7902" i="2"/>
  <c r="B7848" i="2"/>
  <c r="B7816" i="2"/>
  <c r="B7784" i="2"/>
  <c r="B7760" i="2"/>
  <c r="B7758" i="2"/>
  <c r="F7754" i="2"/>
  <c r="F7696" i="2"/>
  <c r="F7693" i="2"/>
  <c r="F7684" i="2"/>
  <c r="F7664" i="2"/>
  <c r="F7661" i="2"/>
  <c r="B7646" i="2"/>
  <c r="B7614" i="2"/>
  <c r="B7582" i="2"/>
  <c r="B7539" i="2"/>
  <c r="B7530" i="2"/>
  <c r="B7527" i="2"/>
  <c r="B7507" i="2"/>
  <c r="B7498" i="2"/>
  <c r="B7495" i="2"/>
  <c r="F7465" i="2"/>
  <c r="B7463" i="2"/>
  <c r="B7454" i="2"/>
  <c r="F7445" i="2"/>
  <c r="B7443" i="2"/>
  <c r="F7433" i="2"/>
  <c r="F7404" i="2"/>
  <c r="B7402" i="2"/>
  <c r="F7392" i="2"/>
  <c r="B7366" i="2"/>
  <c r="B7334" i="2"/>
  <c r="F7312" i="2"/>
  <c r="B7310" i="2"/>
  <c r="F7301" i="2"/>
  <c r="F7292" i="2"/>
  <c r="B7290" i="2"/>
  <c r="F7268" i="2"/>
  <c r="F7248" i="2"/>
  <c r="B7246" i="2"/>
  <c r="F7216" i="2"/>
  <c r="F7213" i="2"/>
  <c r="F7204" i="2"/>
  <c r="F7184" i="2"/>
  <c r="F7181" i="2"/>
  <c r="F7172" i="2"/>
  <c r="F7145" i="2"/>
  <c r="F7136" i="2"/>
  <c r="B7134" i="2"/>
  <c r="F7124" i="2"/>
  <c r="B7122" i="2"/>
  <c r="F7104" i="2"/>
  <c r="F7101" i="2"/>
  <c r="F7092" i="2"/>
  <c r="B7072" i="2"/>
  <c r="B7066" i="2"/>
  <c r="B7046" i="2"/>
  <c r="B7032" i="2"/>
  <c r="F6990" i="2"/>
  <c r="F6984" i="2"/>
  <c r="F6978" i="2"/>
  <c r="F6961" i="2"/>
  <c r="F6956" i="2"/>
  <c r="F6954" i="2"/>
  <c r="F6949" i="2"/>
  <c r="B6942" i="2"/>
  <c r="F6930" i="2"/>
  <c r="B6923" i="2"/>
  <c r="F6913" i="2"/>
  <c r="F6910" i="2"/>
  <c r="F6896" i="2"/>
  <c r="F6894" i="2"/>
  <c r="F6889" i="2"/>
  <c r="B6882" i="2"/>
  <c r="B6866" i="2"/>
  <c r="B6863" i="2"/>
  <c r="B6847" i="2"/>
  <c r="B6832" i="2"/>
  <c r="B6815" i="2"/>
  <c r="B6810" i="2"/>
  <c r="F6794" i="2"/>
  <c r="F6761" i="2"/>
  <c r="F6756" i="2"/>
  <c r="B6732" i="2"/>
  <c r="B6727" i="2"/>
  <c r="B6711" i="2"/>
  <c r="B6700" i="2"/>
  <c r="B6695" i="2"/>
  <c r="B6667" i="2"/>
  <c r="B6656" i="2"/>
  <c r="F6649" i="2"/>
  <c r="B6648" i="2"/>
  <c r="B6646" i="2"/>
  <c r="F6642" i="2"/>
  <c r="F6640" i="2"/>
  <c r="B6639" i="2"/>
  <c r="F6633" i="2"/>
  <c r="B6632" i="2"/>
  <c r="B6630" i="2"/>
  <c r="F6626" i="2"/>
  <c r="B6611" i="2"/>
  <c r="F6609" i="2"/>
  <c r="B6603" i="2"/>
  <c r="F6601" i="2"/>
  <c r="B6595" i="2"/>
  <c r="F6593" i="2"/>
  <c r="B6587" i="2"/>
  <c r="F6585" i="2"/>
  <c r="B6579" i="2"/>
  <c r="F6577" i="2"/>
  <c r="B6571" i="2"/>
  <c r="F6569" i="2"/>
  <c r="B6563" i="2"/>
  <c r="F6561" i="2"/>
  <c r="B6555" i="2"/>
  <c r="F6553" i="2"/>
  <c r="B6547" i="2"/>
  <c r="F6545" i="2"/>
  <c r="B6539" i="2"/>
  <c r="F6537" i="2"/>
  <c r="B6531" i="2"/>
  <c r="F6529" i="2"/>
  <c r="B6523" i="2"/>
  <c r="B6507" i="2"/>
  <c r="F6505" i="2"/>
  <c r="B6499" i="2"/>
  <c r="F6497" i="2"/>
  <c r="B6491" i="2"/>
  <c r="F6489" i="2"/>
  <c r="B6474" i="2"/>
  <c r="F6470" i="2"/>
  <c r="F6468" i="2"/>
  <c r="B6467" i="2"/>
  <c r="F6461" i="2"/>
  <c r="B6460" i="2"/>
  <c r="B6458" i="2"/>
  <c r="F6454" i="2"/>
  <c r="F6452" i="2"/>
  <c r="B6451" i="2"/>
  <c r="F6361" i="2"/>
  <c r="B6360" i="2"/>
  <c r="B6358" i="2"/>
  <c r="F6354" i="2"/>
  <c r="F6352" i="2"/>
  <c r="B6351" i="2"/>
  <c r="F6345" i="2"/>
  <c r="B6344" i="2"/>
  <c r="B6342" i="2"/>
  <c r="F6338" i="2"/>
  <c r="F6336" i="2"/>
  <c r="B6335" i="2"/>
  <c r="F6329" i="2"/>
  <c r="B6328" i="2"/>
  <c r="B6326" i="2"/>
  <c r="F6322" i="2"/>
  <c r="F6320" i="2"/>
  <c r="B6319" i="2"/>
  <c r="F6313" i="2"/>
  <c r="B6312" i="2"/>
  <c r="B6310" i="2"/>
  <c r="F6306" i="2"/>
  <c r="F6304" i="2"/>
  <c r="B6290" i="2"/>
  <c r="B6288" i="2"/>
  <c r="B6286" i="2"/>
  <c r="B6282" i="2"/>
  <c r="B6280" i="2"/>
  <c r="B6278" i="2"/>
  <c r="B6274" i="2"/>
  <c r="B6272" i="2"/>
  <c r="B6270" i="2"/>
  <c r="B6266" i="2"/>
  <c r="B6264" i="2"/>
  <c r="B6262" i="2"/>
  <c r="B6258" i="2"/>
  <c r="B6256" i="2"/>
  <c r="B6254" i="2"/>
  <c r="B6250" i="2"/>
  <c r="B6248" i="2"/>
  <c r="B6246" i="2"/>
  <c r="B6242" i="2"/>
  <c r="B6240" i="2"/>
  <c r="B6238" i="2"/>
  <c r="B6234" i="2"/>
  <c r="B6232" i="2"/>
  <c r="F6220" i="2"/>
  <c r="B6219" i="2"/>
  <c r="F6213" i="2"/>
  <c r="B6212" i="2"/>
  <c r="B6210" i="2"/>
  <c r="F6206" i="2"/>
  <c r="F6204" i="2"/>
  <c r="B6203" i="2"/>
  <c r="F6197" i="2"/>
  <c r="B6196" i="2"/>
  <c r="B6194" i="2"/>
  <c r="F6190" i="2"/>
  <c r="F6188" i="2"/>
  <c r="B6187" i="2"/>
  <c r="F6181" i="2"/>
  <c r="B6180" i="2"/>
  <c r="B6178" i="2"/>
  <c r="F6174" i="2"/>
  <c r="F6172" i="2"/>
  <c r="B6171" i="2"/>
  <c r="F6165" i="2"/>
  <c r="B6164" i="2"/>
  <c r="B6162" i="2"/>
  <c r="F6149" i="2"/>
  <c r="F6138" i="2"/>
  <c r="F6104" i="2"/>
  <c r="B6103" i="2"/>
  <c r="B6092" i="2"/>
  <c r="B6090" i="2"/>
  <c r="F6078" i="2"/>
  <c r="B6051" i="2"/>
  <c r="F6049" i="2"/>
  <c r="F6030" i="2"/>
  <c r="F6028" i="2"/>
  <c r="B6027" i="2"/>
  <c r="F5989" i="2"/>
  <c r="B5988" i="2"/>
  <c r="B5971" i="2"/>
  <c r="F5969" i="2"/>
  <c r="B5963" i="2"/>
  <c r="F5961" i="2"/>
  <c r="B5955" i="2"/>
  <c r="B5939" i="2"/>
  <c r="F5937" i="2"/>
  <c r="B5931" i="2"/>
  <c r="F5929" i="2"/>
  <c r="F5912" i="2"/>
  <c r="B5911" i="2"/>
  <c r="F5905" i="2"/>
  <c r="B5904" i="2"/>
  <c r="F5896" i="2"/>
  <c r="B5895" i="2"/>
  <c r="F5889" i="2"/>
  <c r="F5878" i="2"/>
  <c r="F5874" i="2"/>
  <c r="F5872" i="2"/>
  <c r="F5870" i="2"/>
  <c r="F5866" i="2"/>
  <c r="F5864" i="2"/>
  <c r="F5862" i="2"/>
  <c r="F5849" i="2"/>
  <c r="B5848" i="2"/>
  <c r="B5846" i="2"/>
  <c r="F5842" i="2"/>
  <c r="F5840" i="2"/>
  <c r="B5839" i="2"/>
  <c r="F5833" i="2"/>
  <c r="B5832" i="2"/>
  <c r="F5820" i="2"/>
  <c r="B5819" i="2"/>
  <c r="B5806" i="2"/>
  <c r="F5792" i="2"/>
  <c r="B5791" i="2"/>
  <c r="F5785" i="2"/>
  <c r="B5784" i="2"/>
  <c r="F5776" i="2"/>
  <c r="B5775" i="2"/>
  <c r="F5769" i="2"/>
  <c r="B5768" i="2"/>
  <c r="F5754" i="2"/>
  <c r="F5752" i="2"/>
  <c r="F5750" i="2"/>
  <c r="F5746" i="2"/>
  <c r="F5744" i="2"/>
  <c r="F5742" i="2"/>
  <c r="F5738" i="2"/>
  <c r="F5736" i="2"/>
  <c r="F5734" i="2"/>
  <c r="F5730" i="2"/>
  <c r="F5728" i="2"/>
  <c r="F5717" i="2"/>
  <c r="B5716" i="2"/>
  <c r="F5704" i="2"/>
  <c r="B5703" i="2"/>
  <c r="B5690" i="2"/>
  <c r="B5688" i="2"/>
  <c r="B5686" i="2"/>
  <c r="B5682" i="2"/>
  <c r="F5667" i="2"/>
  <c r="B5666" i="2"/>
  <c r="F5662" i="2"/>
  <c r="B5661" i="2"/>
  <c r="F5648" i="2"/>
  <c r="B5644" i="2"/>
  <c r="F5640" i="2"/>
  <c r="F5626" i="2"/>
  <c r="B5625" i="2"/>
  <c r="F5623" i="2"/>
  <c r="B5622" i="2"/>
  <c r="F5618" i="2"/>
  <c r="F5604" i="2"/>
  <c r="B5600" i="2"/>
  <c r="B5584" i="2"/>
  <c r="F5580" i="2"/>
  <c r="B5576" i="2"/>
  <c r="B5565" i="2"/>
  <c r="F8691" i="2"/>
  <c r="F8223" i="2"/>
  <c r="B7957" i="2"/>
  <c r="F7819" i="2"/>
  <c r="F7748" i="2"/>
  <c r="F7737" i="2"/>
  <c r="B7735" i="2"/>
  <c r="F7705" i="2"/>
  <c r="B7703" i="2"/>
  <c r="F7641" i="2"/>
  <c r="B7639" i="2"/>
  <c r="B7618" i="2"/>
  <c r="F7597" i="2"/>
  <c r="B7595" i="2"/>
  <c r="B7555" i="2"/>
  <c r="B7514" i="2"/>
  <c r="B7511" i="2"/>
  <c r="B7491" i="2"/>
  <c r="F7461" i="2"/>
  <c r="B7459" i="2"/>
  <c r="B7438" i="2"/>
  <c r="B7414" i="2"/>
  <c r="B7411" i="2"/>
  <c r="B7338" i="2"/>
  <c r="F7317" i="2"/>
  <c r="F7264" i="2"/>
  <c r="B7262" i="2"/>
  <c r="F7252" i="2"/>
  <c r="B7203" i="2"/>
  <c r="F7193" i="2"/>
  <c r="B7191" i="2"/>
  <c r="F7140" i="2"/>
  <c r="B7138" i="2"/>
  <c r="B7064" i="2"/>
  <c r="B7058" i="2"/>
  <c r="B7016" i="2"/>
  <c r="F7000" i="2"/>
  <c r="F6982" i="2"/>
  <c r="B6958" i="2"/>
  <c r="B6955" i="2"/>
  <c r="B6931" i="2"/>
  <c r="F6921" i="2"/>
  <c r="F6918" i="2"/>
  <c r="B6898" i="2"/>
  <c r="B6895" i="2"/>
  <c r="F6813" i="2"/>
  <c r="F6769" i="2"/>
  <c r="F6766" i="2"/>
  <c r="B6755" i="2"/>
  <c r="B6735" i="2"/>
  <c r="F6725" i="2"/>
  <c r="B6708" i="2"/>
  <c r="F6704" i="2"/>
  <c r="F6702" i="2"/>
  <c r="B6654" i="2"/>
  <c r="F6648" i="2"/>
  <c r="F6628" i="2"/>
  <c r="B6606" i="2"/>
  <c r="B6600" i="2"/>
  <c r="B6594" i="2"/>
  <c r="B6574" i="2"/>
  <c r="B6568" i="2"/>
  <c r="B6562" i="2"/>
  <c r="B6542" i="2"/>
  <c r="B6536" i="2"/>
  <c r="B6530" i="2"/>
  <c r="B6512" i="2"/>
  <c r="B6506" i="2"/>
  <c r="B6486" i="2"/>
  <c r="F6456" i="2"/>
  <c r="B6452" i="2"/>
  <c r="F6449" i="2"/>
  <c r="F6432" i="2"/>
  <c r="F6430" i="2"/>
  <c r="B6423" i="2"/>
  <c r="F6413" i="2"/>
  <c r="F6410" i="2"/>
  <c r="F6400" i="2"/>
  <c r="F6398" i="2"/>
  <c r="B6391" i="2"/>
  <c r="F6381" i="2"/>
  <c r="F6378" i="2"/>
  <c r="F6362" i="2"/>
  <c r="B6355" i="2"/>
  <c r="B6350" i="2"/>
  <c r="B6348" i="2"/>
  <c r="B6343" i="2"/>
  <c r="F6337" i="2"/>
  <c r="F6330" i="2"/>
  <c r="B6323" i="2"/>
  <c r="B6318" i="2"/>
  <c r="B6316" i="2"/>
  <c r="B6311" i="2"/>
  <c r="F6305" i="2"/>
  <c r="F6282" i="2"/>
  <c r="F6276" i="2"/>
  <c r="F6270" i="2"/>
  <c r="F6250" i="2"/>
  <c r="F6244" i="2"/>
  <c r="F6238" i="2"/>
  <c r="F6208" i="2"/>
  <c r="B6204" i="2"/>
  <c r="F6201" i="2"/>
  <c r="F6196" i="2"/>
  <c r="F6176" i="2"/>
  <c r="B6172" i="2"/>
  <c r="F6169" i="2"/>
  <c r="F6164" i="2"/>
  <c r="B6104" i="2"/>
  <c r="B6078" i="2"/>
  <c r="F6064" i="2"/>
  <c r="B6050" i="2"/>
  <c r="F6029" i="2"/>
  <c r="F6013" i="2"/>
  <c r="F6010" i="2"/>
  <c r="B5992" i="2"/>
  <c r="B5987" i="2"/>
  <c r="F5984" i="2"/>
  <c r="B5970" i="2"/>
  <c r="B5926" i="2"/>
  <c r="B5912" i="2"/>
  <c r="B5892" i="2"/>
  <c r="B5878" i="2"/>
  <c r="B5876" i="2"/>
  <c r="B5866" i="2"/>
  <c r="B5863" i="2"/>
  <c r="B5847" i="2"/>
  <c r="F5841" i="2"/>
  <c r="F5834" i="2"/>
  <c r="F5793" i="2"/>
  <c r="B5786" i="2"/>
  <c r="B5779" i="2"/>
  <c r="F5773" i="2"/>
  <c r="F5768" i="2"/>
  <c r="F5757" i="2"/>
  <c r="B5750" i="2"/>
  <c r="B5748" i="2"/>
  <c r="B5738" i="2"/>
  <c r="B5735" i="2"/>
  <c r="B5702" i="2"/>
  <c r="F5686" i="2"/>
  <c r="F5666" i="2"/>
  <c r="F5664" i="2"/>
  <c r="B5660" i="2"/>
  <c r="F5639" i="2"/>
  <c r="F5628" i="2"/>
  <c r="B5624" i="2"/>
  <c r="F5619" i="2"/>
  <c r="F5603" i="2"/>
  <c r="F5598" i="2"/>
  <c r="F5584" i="2"/>
  <c r="B5580" i="2"/>
  <c r="B5578" i="2"/>
  <c r="B5564" i="2"/>
  <c r="F5560" i="2"/>
  <c r="F5558" i="2"/>
  <c r="B5557" i="2"/>
  <c r="F5499" i="2"/>
  <c r="B5498" i="2"/>
  <c r="B5496" i="2"/>
  <c r="F5492" i="2"/>
  <c r="F5490" i="2"/>
  <c r="B5489" i="2"/>
  <c r="F5483" i="2"/>
  <c r="B5482" i="2"/>
  <c r="B5480" i="2"/>
  <c r="F5476" i="2"/>
  <c r="B5461" i="2"/>
  <c r="F5459" i="2"/>
  <c r="B5453" i="2"/>
  <c r="B5437" i="2"/>
  <c r="F5435" i="2"/>
  <c r="B5420" i="2"/>
  <c r="F5416" i="2"/>
  <c r="F5414" i="2"/>
  <c r="B5413" i="2"/>
  <c r="F5394" i="2"/>
  <c r="B5393" i="2"/>
  <c r="F5387" i="2"/>
  <c r="F5376" i="2"/>
  <c r="F5372" i="2"/>
  <c r="F5370" i="2"/>
  <c r="F5368" i="2"/>
  <c r="F5355" i="2"/>
  <c r="B5354" i="2"/>
  <c r="B5352" i="2"/>
  <c r="F5348" i="2"/>
  <c r="B5334" i="2"/>
  <c r="F5330" i="2"/>
  <c r="F5316" i="2"/>
  <c r="B5315" i="2"/>
  <c r="F5313" i="2"/>
  <c r="B5312" i="2"/>
  <c r="B5298" i="2"/>
  <c r="F5294" i="2"/>
  <c r="B5290" i="2"/>
  <c r="F5277" i="2"/>
  <c r="B5276" i="2"/>
  <c r="F5272" i="2"/>
  <c r="B5271" i="2"/>
  <c r="F5269" i="2"/>
  <c r="B5268" i="2"/>
  <c r="F5264" i="2"/>
  <c r="B5263" i="2"/>
  <c r="F5261" i="2"/>
  <c r="B5260" i="2"/>
  <c r="F5256" i="2"/>
  <c r="B5255" i="2"/>
  <c r="F5253" i="2"/>
  <c r="B5252" i="2"/>
  <c r="F5248" i="2"/>
  <c r="B5247" i="2"/>
  <c r="F5245" i="2"/>
  <c r="B5244" i="2"/>
  <c r="F5240" i="2"/>
  <c r="B5239" i="2"/>
  <c r="F5237" i="2"/>
  <c r="B5236" i="2"/>
  <c r="F5232" i="2"/>
  <c r="B5231" i="2"/>
  <c r="F5229" i="2"/>
  <c r="B5228" i="2"/>
  <c r="F5224" i="2"/>
  <c r="B5223" i="2"/>
  <c r="F5221" i="2"/>
  <c r="B5220" i="2"/>
  <c r="F5216" i="2"/>
  <c r="B5215" i="2"/>
  <c r="F5213" i="2"/>
  <c r="B5212" i="2"/>
  <c r="F5208" i="2"/>
  <c r="B5207" i="2"/>
  <c r="F5205" i="2"/>
  <c r="B5204" i="2"/>
  <c r="F5200" i="2"/>
  <c r="B5199" i="2"/>
  <c r="F5197" i="2"/>
  <c r="B5196" i="2"/>
  <c r="F5192" i="2"/>
  <c r="B5191" i="2"/>
  <c r="F5189" i="2"/>
  <c r="B5188" i="2"/>
  <c r="F5184" i="2"/>
  <c r="B5183" i="2"/>
  <c r="F5181" i="2"/>
  <c r="F5170" i="2"/>
  <c r="B5166" i="2"/>
  <c r="F5162" i="2"/>
  <c r="B5158" i="2"/>
  <c r="F5154" i="2"/>
  <c r="B5150" i="2"/>
  <c r="F5146" i="2"/>
  <c r="B5142" i="2"/>
  <c r="F5138" i="2"/>
  <c r="F5122" i="2"/>
  <c r="B5118" i="2"/>
  <c r="F5114" i="2"/>
  <c r="B5110" i="2"/>
  <c r="F5106" i="2"/>
  <c r="B5102" i="2"/>
  <c r="F5098" i="2"/>
  <c r="B5094" i="2"/>
  <c r="F5090" i="2"/>
  <c r="B5086" i="2"/>
  <c r="F5082" i="2"/>
  <c r="B5078" i="2"/>
  <c r="F5074" i="2"/>
  <c r="B5070" i="2"/>
  <c r="F8580" i="2"/>
  <c r="B8578" i="2"/>
  <c r="B8506" i="2"/>
  <c r="F8428" i="2"/>
  <c r="B8173" i="2"/>
  <c r="F8067" i="2"/>
  <c r="B8065" i="2"/>
  <c r="F7994" i="2"/>
  <c r="B7992" i="2"/>
  <c r="B7925" i="2"/>
  <c r="F7787" i="2"/>
  <c r="B7683" i="2"/>
  <c r="F7609" i="2"/>
  <c r="B7607" i="2"/>
  <c r="F7556" i="2"/>
  <c r="F7536" i="2"/>
  <c r="B7534" i="2"/>
  <c r="F7492" i="2"/>
  <c r="B7434" i="2"/>
  <c r="F7388" i="2"/>
  <c r="B7386" i="2"/>
  <c r="B7350" i="2"/>
  <c r="F7296" i="2"/>
  <c r="B7294" i="2"/>
  <c r="B7267" i="2"/>
  <c r="B7258" i="2"/>
  <c r="B7255" i="2"/>
  <c r="F7232" i="2"/>
  <c r="F7229" i="2"/>
  <c r="F7220" i="2"/>
  <c r="F7168" i="2"/>
  <c r="F7165" i="2"/>
  <c r="F7129" i="2"/>
  <c r="F7088" i="2"/>
  <c r="F7085" i="2"/>
  <c r="B7070" i="2"/>
  <c r="B7035" i="2"/>
  <c r="B7023" i="2"/>
  <c r="F7020" i="2"/>
  <c r="F7017" i="2"/>
  <c r="F7002" i="2"/>
  <c r="B6960" i="2"/>
  <c r="F6945" i="2"/>
  <c r="F6885" i="2"/>
  <c r="F6790" i="2"/>
  <c r="F6784" i="2"/>
  <c r="B6740" i="2"/>
  <c r="F6736" i="2"/>
  <c r="F6734" i="2"/>
  <c r="F6709" i="2"/>
  <c r="F6682" i="2"/>
  <c r="B6659" i="2"/>
  <c r="F6650" i="2"/>
  <c r="B6643" i="2"/>
  <c r="B6638" i="2"/>
  <c r="B6636" i="2"/>
  <c r="B6631" i="2"/>
  <c r="B6614" i="2"/>
  <c r="B6608" i="2"/>
  <c r="B6602" i="2"/>
  <c r="B6582" i="2"/>
  <c r="B6576" i="2"/>
  <c r="B6570" i="2"/>
  <c r="B6550" i="2"/>
  <c r="B6544" i="2"/>
  <c r="B6538" i="2"/>
  <c r="B6494" i="2"/>
  <c r="B6488" i="2"/>
  <c r="B6471" i="2"/>
  <c r="B6466" i="2"/>
  <c r="B6464" i="2"/>
  <c r="B6459" i="2"/>
  <c r="F6453" i="2"/>
  <c r="F6437" i="2"/>
  <c r="F6434" i="2"/>
  <c r="F6424" i="2"/>
  <c r="F6422" i="2"/>
  <c r="B6415" i="2"/>
  <c r="F6405" i="2"/>
  <c r="F6402" i="2"/>
  <c r="F6392" i="2"/>
  <c r="F6390" i="2"/>
  <c r="B6383" i="2"/>
  <c r="F6356" i="2"/>
  <c r="B6352" i="2"/>
  <c r="F6349" i="2"/>
  <c r="F6344" i="2"/>
  <c r="F6324" i="2"/>
  <c r="B6320" i="2"/>
  <c r="F6317" i="2"/>
  <c r="F6312" i="2"/>
  <c r="F6290" i="2"/>
  <c r="F6284" i="2"/>
  <c r="F6278" i="2"/>
  <c r="F6258" i="2"/>
  <c r="F6252" i="2"/>
  <c r="F6246" i="2"/>
  <c r="B6218" i="2"/>
  <c r="B6216" i="2"/>
  <c r="B6211" i="2"/>
  <c r="F6205" i="2"/>
  <c r="F6198" i="2"/>
  <c r="B6191" i="2"/>
  <c r="B6186" i="2"/>
  <c r="B6184" i="2"/>
  <c r="B6179" i="2"/>
  <c r="F6173" i="2"/>
  <c r="F6166" i="2"/>
  <c r="F6105" i="2"/>
  <c r="F6077" i="2"/>
  <c r="F6066" i="2"/>
  <c r="F6005" i="2"/>
  <c r="F5993" i="2"/>
  <c r="F5988" i="2"/>
  <c r="F5986" i="2"/>
  <c r="B5958" i="2"/>
  <c r="B5934" i="2"/>
  <c r="B5928" i="2"/>
  <c r="F5913" i="2"/>
  <c r="B5906" i="2"/>
  <c r="B5899" i="2"/>
  <c r="F5893" i="2"/>
  <c r="F5877" i="2"/>
  <c r="B5870" i="2"/>
  <c r="B5868" i="2"/>
  <c r="F5848" i="2"/>
  <c r="B5820" i="2"/>
  <c r="B5788" i="2"/>
  <c r="B5783" i="2"/>
  <c r="F5780" i="2"/>
  <c r="B5776" i="2"/>
  <c r="F5749" i="2"/>
  <c r="B5742" i="2"/>
  <c r="B5740" i="2"/>
  <c r="B5730" i="2"/>
  <c r="B5704" i="2"/>
  <c r="B5662" i="2"/>
  <c r="B5648" i="2"/>
  <c r="B5646" i="2"/>
  <c r="B5641" i="2"/>
  <c r="B5626" i="2"/>
  <c r="B5621" i="2"/>
  <c r="B5605" i="2"/>
  <c r="F5600" i="2"/>
  <c r="F5579" i="2"/>
  <c r="F5563" i="2"/>
  <c r="B5562" i="2"/>
  <c r="B5544" i="2"/>
  <c r="B5542" i="2"/>
  <c r="B5540" i="2"/>
  <c r="B5536" i="2"/>
  <c r="B5534" i="2"/>
  <c r="B5532" i="2"/>
  <c r="B5528" i="2"/>
  <c r="B5526" i="2"/>
  <c r="B5524" i="2"/>
  <c r="B5520" i="2"/>
  <c r="B5518" i="2"/>
  <c r="B5516" i="2"/>
  <c r="F5502" i="2"/>
  <c r="B5501" i="2"/>
  <c r="F5495" i="2"/>
  <c r="B5494" i="2"/>
  <c r="F5486" i="2"/>
  <c r="B5485" i="2"/>
  <c r="F5479" i="2"/>
  <c r="B5478" i="2"/>
  <c r="F5464" i="2"/>
  <c r="F5462" i="2"/>
  <c r="F5460" i="2"/>
  <c r="F5456" i="2"/>
  <c r="F5454" i="2"/>
  <c r="F5440" i="2"/>
  <c r="F5438" i="2"/>
  <c r="F5436" i="2"/>
  <c r="F5432" i="2"/>
  <c r="F5419" i="2"/>
  <c r="B5418" i="2"/>
  <c r="F5410" i="2"/>
  <c r="B5409" i="2"/>
  <c r="B5398" i="2"/>
  <c r="B5396" i="2"/>
  <c r="F5392" i="2"/>
  <c r="F5390" i="2"/>
  <c r="B5389" i="2"/>
  <c r="F5351" i="2"/>
  <c r="B5350" i="2"/>
  <c r="F5336" i="2"/>
  <c r="B5335" i="2"/>
  <c r="F5333" i="2"/>
  <c r="B5332" i="2"/>
  <c r="F5328" i="2"/>
  <c r="F5314" i="2"/>
  <c r="F5300" i="2"/>
  <c r="B5299" i="2"/>
  <c r="F5297" i="2"/>
  <c r="B5296" i="2"/>
  <c r="F5292" i="2"/>
  <c r="B5291" i="2"/>
  <c r="F5289" i="2"/>
  <c r="F5278" i="2"/>
  <c r="B5274" i="2"/>
  <c r="F5270" i="2"/>
  <c r="B5266" i="2"/>
  <c r="F5262" i="2"/>
  <c r="B5258" i="2"/>
  <c r="F5254" i="2"/>
  <c r="B5250" i="2"/>
  <c r="F5246" i="2"/>
  <c r="B5242" i="2"/>
  <c r="F5238" i="2"/>
  <c r="B5234" i="2"/>
  <c r="F5230" i="2"/>
  <c r="B5226" i="2"/>
  <c r="F5222" i="2"/>
  <c r="B5218" i="2"/>
  <c r="F5214" i="2"/>
  <c r="B5210" i="2"/>
  <c r="F5206" i="2"/>
  <c r="B5202" i="2"/>
  <c r="F5198" i="2"/>
  <c r="B5194" i="2"/>
  <c r="F5190" i="2"/>
  <c r="B5186" i="2"/>
  <c r="F5182" i="2"/>
  <c r="F5168" i="2"/>
  <c r="B5167" i="2"/>
  <c r="F5165" i="2"/>
  <c r="B5164" i="2"/>
  <c r="F5160" i="2"/>
  <c r="B5159" i="2"/>
  <c r="F5157" i="2"/>
  <c r="B5156" i="2"/>
  <c r="F5152" i="2"/>
  <c r="B5151" i="2"/>
  <c r="F5149" i="2"/>
  <c r="B5148" i="2"/>
  <c r="F5144" i="2"/>
  <c r="B5143" i="2"/>
  <c r="F5141" i="2"/>
  <c r="B5140" i="2"/>
  <c r="F5136" i="2"/>
  <c r="B5135" i="2"/>
  <c r="B5124" i="2"/>
  <c r="F5120" i="2"/>
  <c r="B5119" i="2"/>
  <c r="F5117" i="2"/>
  <c r="B5116" i="2"/>
  <c r="F5112" i="2"/>
  <c r="B5111" i="2"/>
  <c r="F5109" i="2"/>
  <c r="B5108" i="2"/>
  <c r="F5104" i="2"/>
  <c r="B5103" i="2"/>
  <c r="F5101" i="2"/>
  <c r="B5100" i="2"/>
  <c r="F5096" i="2"/>
  <c r="B5095" i="2"/>
  <c r="F5093" i="2"/>
  <c r="B5092" i="2"/>
  <c r="F5088" i="2"/>
  <c r="B5087" i="2"/>
  <c r="F5085" i="2"/>
  <c r="B5084" i="2"/>
  <c r="F5080" i="2"/>
  <c r="B5079" i="2"/>
  <c r="F5077" i="2"/>
  <c r="B5076" i="2"/>
  <c r="F5072" i="2"/>
  <c r="B5071" i="2"/>
  <c r="F5069" i="2"/>
  <c r="B5068" i="2"/>
  <c r="F5064" i="2"/>
  <c r="B5063" i="2"/>
  <c r="F5061" i="2"/>
  <c r="B5060" i="2"/>
  <c r="F5056" i="2"/>
  <c r="B5055" i="2"/>
  <c r="F5053" i="2"/>
  <c r="B5052" i="2"/>
  <c r="F5048" i="2"/>
  <c r="B5047" i="2"/>
  <c r="F5045" i="2"/>
  <c r="B5044" i="2"/>
  <c r="F5040" i="2"/>
  <c r="B5039" i="2"/>
  <c r="F5037" i="2"/>
  <c r="B5036" i="2"/>
  <c r="F5032" i="2"/>
  <c r="B5031" i="2"/>
  <c r="F5029" i="2"/>
  <c r="B5028" i="2"/>
  <c r="F5024" i="2"/>
  <c r="B5023" i="2"/>
  <c r="F5021" i="2"/>
  <c r="B5020" i="2"/>
  <c r="F5016" i="2"/>
  <c r="B5015" i="2"/>
  <c r="F5013" i="2"/>
  <c r="B5012" i="2"/>
  <c r="F5008" i="2"/>
  <c r="B5007" i="2"/>
  <c r="F5005" i="2"/>
  <c r="B5004" i="2"/>
  <c r="F5000" i="2"/>
  <c r="F4986" i="2"/>
  <c r="B4982" i="2"/>
  <c r="F4978" i="2"/>
  <c r="B4974" i="2"/>
  <c r="F4970" i="2"/>
  <c r="B4966" i="2"/>
  <c r="F9569" i="2"/>
  <c r="F8955" i="2"/>
  <c r="F8755" i="2"/>
  <c r="F8644" i="2"/>
  <c r="B8642" i="2"/>
  <c r="B8403" i="2"/>
  <c r="B8298" i="2"/>
  <c r="B8206" i="2"/>
  <c r="F8099" i="2"/>
  <c r="B8097" i="2"/>
  <c r="F8035" i="2"/>
  <c r="B8033" i="2"/>
  <c r="F7851" i="2"/>
  <c r="F7673" i="2"/>
  <c r="B7671" i="2"/>
  <c r="B7598" i="2"/>
  <c r="F7577" i="2"/>
  <c r="B7575" i="2"/>
  <c r="F7524" i="2"/>
  <c r="F7504" i="2"/>
  <c r="B7502" i="2"/>
  <c r="B7466" i="2"/>
  <c r="F7420" i="2"/>
  <c r="B7418" i="2"/>
  <c r="F7408" i="2"/>
  <c r="F7361" i="2"/>
  <c r="B7359" i="2"/>
  <c r="F7305" i="2"/>
  <c r="F7200" i="2"/>
  <c r="F7197" i="2"/>
  <c r="F7188" i="2"/>
  <c r="F7120" i="2"/>
  <c r="F7108" i="2"/>
  <c r="B7062" i="2"/>
  <c r="B7056" i="2"/>
  <c r="F7029" i="2"/>
  <c r="F6994" i="2"/>
  <c r="F6976" i="2"/>
  <c r="F6952" i="2"/>
  <c r="F6916" i="2"/>
  <c r="F6892" i="2"/>
  <c r="F6880" i="2"/>
  <c r="B6862" i="2"/>
  <c r="B6830" i="2"/>
  <c r="F6798" i="2"/>
  <c r="F6764" i="2"/>
  <c r="B6762" i="2"/>
  <c r="B6730" i="2"/>
  <c r="B6724" i="2"/>
  <c r="B6703" i="2"/>
  <c r="F6665" i="2"/>
  <c r="B6652" i="2"/>
  <c r="B6647" i="2"/>
  <c r="F6641" i="2"/>
  <c r="F6634" i="2"/>
  <c r="B6627" i="2"/>
  <c r="B6598" i="2"/>
  <c r="B6592" i="2"/>
  <c r="B6586" i="2"/>
  <c r="B6566" i="2"/>
  <c r="B6560" i="2"/>
  <c r="B6554" i="2"/>
  <c r="B6534" i="2"/>
  <c r="B6528" i="2"/>
  <c r="B6510" i="2"/>
  <c r="B6504" i="2"/>
  <c r="B6498" i="2"/>
  <c r="F6469" i="2"/>
  <c r="F6462" i="2"/>
  <c r="B6455" i="2"/>
  <c r="B6450" i="2"/>
  <c r="B6448" i="2"/>
  <c r="B6431" i="2"/>
  <c r="F6421" i="2"/>
  <c r="F6418" i="2"/>
  <c r="F6408" i="2"/>
  <c r="F6406" i="2"/>
  <c r="B6399" i="2"/>
  <c r="F6389" i="2"/>
  <c r="F6386" i="2"/>
  <c r="F6376" i="2"/>
  <c r="F6365" i="2"/>
  <c r="F6360" i="2"/>
  <c r="F6340" i="2"/>
  <c r="B6336" i="2"/>
  <c r="F6333" i="2"/>
  <c r="F6328" i="2"/>
  <c r="F6308" i="2"/>
  <c r="B6304" i="2"/>
  <c r="F6274" i="2"/>
  <c r="F6268" i="2"/>
  <c r="F6262" i="2"/>
  <c r="F6242" i="2"/>
  <c r="F6236" i="2"/>
  <c r="F6221" i="2"/>
  <c r="F6214" i="2"/>
  <c r="B6207" i="2"/>
  <c r="B6202" i="2"/>
  <c r="B6200" i="2"/>
  <c r="B6195" i="2"/>
  <c r="F6189" i="2"/>
  <c r="F6182" i="2"/>
  <c r="B6175" i="2"/>
  <c r="B6170" i="2"/>
  <c r="B6168" i="2"/>
  <c r="B6163" i="2"/>
  <c r="F6092" i="2"/>
  <c r="B6048" i="2"/>
  <c r="F6032" i="2"/>
  <c r="B6028" i="2"/>
  <c r="F6025" i="2"/>
  <c r="F6008" i="2"/>
  <c r="F6006" i="2"/>
  <c r="B5990" i="2"/>
  <c r="B5968" i="2"/>
  <c r="B5962" i="2"/>
  <c r="B5944" i="2"/>
  <c r="B5938" i="2"/>
  <c r="B5915" i="2"/>
  <c r="F5909" i="2"/>
  <c r="F5904" i="2"/>
  <c r="F5902" i="2"/>
  <c r="F5897" i="2"/>
  <c r="B5890" i="2"/>
  <c r="B5874" i="2"/>
  <c r="B5871" i="2"/>
  <c r="F5861" i="2"/>
  <c r="F5844" i="2"/>
  <c r="B5840" i="2"/>
  <c r="F5837" i="2"/>
  <c r="F5832" i="2"/>
  <c r="B5792" i="2"/>
  <c r="B5772" i="2"/>
  <c r="B5756" i="2"/>
  <c r="B5746" i="2"/>
  <c r="B5743" i="2"/>
  <c r="F5733" i="2"/>
  <c r="F5716" i="2"/>
  <c r="F5690" i="2"/>
  <c r="F5684" i="2"/>
  <c r="F5669" i="2"/>
  <c r="B5665" i="2"/>
  <c r="B5649" i="2"/>
  <c r="F5644" i="2"/>
  <c r="B5640" i="2"/>
  <c r="B5618" i="2"/>
  <c r="B5604" i="2"/>
  <c r="B5602" i="2"/>
  <c r="B5597" i="2"/>
  <c r="F5582" i="2"/>
  <c r="F5562" i="2"/>
  <c r="B5561" i="2"/>
  <c r="F5555" i="2"/>
  <c r="F5544" i="2"/>
  <c r="F5540" i="2"/>
  <c r="F5538" i="2"/>
  <c r="F5536" i="2"/>
  <c r="F5532" i="2"/>
  <c r="F5530" i="2"/>
  <c r="F5528" i="2"/>
  <c r="F5524" i="2"/>
  <c r="F5522" i="2"/>
  <c r="F5520" i="2"/>
  <c r="F5516" i="2"/>
  <c r="F5503" i="2"/>
  <c r="B5502" i="2"/>
  <c r="F5494" i="2"/>
  <c r="B5493" i="2"/>
  <c r="F5487" i="2"/>
  <c r="B5486" i="2"/>
  <c r="F5478" i="2"/>
  <c r="B5477" i="2"/>
  <c r="B5464" i="2"/>
  <c r="B5460" i="2"/>
  <c r="B5458" i="2"/>
  <c r="B5456" i="2"/>
  <c r="B5442" i="2"/>
  <c r="B5440" i="2"/>
  <c r="B5436" i="2"/>
  <c r="B5434" i="2"/>
  <c r="B5432" i="2"/>
  <c r="F5418" i="2"/>
  <c r="B5417" i="2"/>
  <c r="F5411" i="2"/>
  <c r="B5410" i="2"/>
  <c r="F5398" i="2"/>
  <c r="B5397" i="2"/>
  <c r="F5391" i="2"/>
  <c r="B5390" i="2"/>
  <c r="B5388" i="2"/>
  <c r="F5375" i="2"/>
  <c r="B5369" i="2"/>
  <c r="F5367" i="2"/>
  <c r="F5350" i="2"/>
  <c r="B5349" i="2"/>
  <c r="B5336" i="2"/>
  <c r="F5332" i="2"/>
  <c r="B5331" i="2"/>
  <c r="F5329" i="2"/>
  <c r="B5328" i="2"/>
  <c r="B5314" i="2"/>
  <c r="F5301" i="2"/>
  <c r="B5300" i="2"/>
  <c r="F5296" i="2"/>
  <c r="B5295" i="2"/>
  <c r="F5293" i="2"/>
  <c r="B5292" i="2"/>
  <c r="B5278" i="2"/>
  <c r="F5274" i="2"/>
  <c r="B5270" i="2"/>
  <c r="F5266" i="2"/>
  <c r="B5262" i="2"/>
  <c r="F5258" i="2"/>
  <c r="B5254" i="2"/>
  <c r="F5250" i="2"/>
  <c r="B5246" i="2"/>
  <c r="F5242" i="2"/>
  <c r="B5238" i="2"/>
  <c r="F5234" i="2"/>
  <c r="B5230" i="2"/>
  <c r="F5226" i="2"/>
  <c r="B5222" i="2"/>
  <c r="F5218" i="2"/>
  <c r="B5214" i="2"/>
  <c r="F5210" i="2"/>
  <c r="B5206" i="2"/>
  <c r="F5202" i="2"/>
  <c r="B5198" i="2"/>
  <c r="F5194" i="2"/>
  <c r="B5190" i="2"/>
  <c r="F5186" i="2"/>
  <c r="B5182" i="2"/>
  <c r="F5169" i="2"/>
  <c r="B5168" i="2"/>
  <c r="F5164" i="2"/>
  <c r="B5163" i="2"/>
  <c r="F5161" i="2"/>
  <c r="B5160" i="2"/>
  <c r="F5156" i="2"/>
  <c r="B5155" i="2"/>
  <c r="F5153" i="2"/>
  <c r="B5152" i="2"/>
  <c r="F5148" i="2"/>
  <c r="B5147" i="2"/>
  <c r="F5145" i="2"/>
  <c r="B5144" i="2"/>
  <c r="F5140" i="2"/>
  <c r="B5139" i="2"/>
  <c r="F5137" i="2"/>
  <c r="B5136" i="2"/>
  <c r="F5124" i="2"/>
  <c r="B5123" i="2"/>
  <c r="F5121" i="2"/>
  <c r="B5120" i="2"/>
  <c r="F5116" i="2"/>
  <c r="B5115" i="2"/>
  <c r="F5113" i="2"/>
  <c r="B5112" i="2"/>
  <c r="F5108" i="2"/>
  <c r="B5107" i="2"/>
  <c r="F5105" i="2"/>
  <c r="B5104" i="2"/>
  <c r="F5100" i="2"/>
  <c r="B5099" i="2"/>
  <c r="F5097" i="2"/>
  <c r="B5096" i="2"/>
  <c r="F5092" i="2"/>
  <c r="B5091" i="2"/>
  <c r="F5089" i="2"/>
  <c r="B5088" i="2"/>
  <c r="F5084" i="2"/>
  <c r="B5083" i="2"/>
  <c r="F5081" i="2"/>
  <c r="B5080" i="2"/>
  <c r="F5076" i="2"/>
  <c r="B5075" i="2"/>
  <c r="F5073" i="2"/>
  <c r="B5072" i="2"/>
  <c r="F5068" i="2"/>
  <c r="B5067" i="2"/>
  <c r="F5065" i="2"/>
  <c r="B5064" i="2"/>
  <c r="F5060" i="2"/>
  <c r="B5059" i="2"/>
  <c r="F5057" i="2"/>
  <c r="B5056" i="2"/>
  <c r="F5052" i="2"/>
  <c r="B5051" i="2"/>
  <c r="F5049" i="2"/>
  <c r="B5048" i="2"/>
  <c r="F5044" i="2"/>
  <c r="B5043" i="2"/>
  <c r="F5041" i="2"/>
  <c r="B5040" i="2"/>
  <c r="F5036" i="2"/>
  <c r="B5035" i="2"/>
  <c r="F5033" i="2"/>
  <c r="B5032" i="2"/>
  <c r="F5028" i="2"/>
  <c r="B5027" i="2"/>
  <c r="F5025" i="2"/>
  <c r="B5024" i="2"/>
  <c r="F5020" i="2"/>
  <c r="B5019" i="2"/>
  <c r="F5017" i="2"/>
  <c r="B5016" i="2"/>
  <c r="F5012" i="2"/>
  <c r="B5011" i="2"/>
  <c r="F5009" i="2"/>
  <c r="B5008" i="2"/>
  <c r="F5004" i="2"/>
  <c r="B5003" i="2"/>
  <c r="F5001" i="2"/>
  <c r="B5000" i="2"/>
  <c r="B4986" i="2"/>
  <c r="F4982" i="2"/>
  <c r="B4978" i="2"/>
  <c r="F4974" i="2"/>
  <c r="B4970" i="2"/>
  <c r="F4966" i="2"/>
  <c r="B4962" i="2"/>
  <c r="F4958" i="2"/>
  <c r="B4954" i="2"/>
  <c r="F4950" i="2"/>
  <c r="B4946" i="2"/>
  <c r="F4942" i="2"/>
  <c r="B4938" i="2"/>
  <c r="F4934" i="2"/>
  <c r="B4930" i="2"/>
  <c r="F4926" i="2"/>
  <c r="B4922" i="2"/>
  <c r="F4918" i="2"/>
  <c r="B4914" i="2"/>
  <c r="F4910" i="2"/>
  <c r="B4906" i="2"/>
  <c r="F4902" i="2"/>
  <c r="B4898" i="2"/>
  <c r="F4894" i="2"/>
  <c r="B4890" i="2"/>
  <c r="F4886" i="2"/>
  <c r="B4882" i="2"/>
  <c r="F4878" i="2"/>
  <c r="B4874" i="2"/>
  <c r="F4870" i="2"/>
  <c r="B4866" i="2"/>
  <c r="F4862" i="2"/>
  <c r="B4858" i="2"/>
  <c r="F4854" i="2"/>
  <c r="F4840" i="2"/>
  <c r="B4839" i="2"/>
  <c r="F4837" i="2"/>
  <c r="B4836" i="2"/>
  <c r="F4832" i="2"/>
  <c r="F4818" i="2"/>
  <c r="B4814" i="2"/>
  <c r="F4810" i="2"/>
  <c r="B4806" i="2"/>
  <c r="F4778" i="2"/>
  <c r="B4774" i="2"/>
  <c r="F4770" i="2"/>
  <c r="B4766" i="2"/>
  <c r="F4762" i="2"/>
  <c r="B4758" i="2"/>
  <c r="F4754" i="2"/>
  <c r="B4750" i="2"/>
  <c r="F4746" i="2"/>
  <c r="B4742" i="2"/>
  <c r="F4729" i="2"/>
  <c r="B4728" i="2"/>
  <c r="F4724" i="2"/>
  <c r="B4723" i="2"/>
  <c r="F4721" i="2"/>
  <c r="B4720" i="2"/>
  <c r="F4716" i="2"/>
  <c r="B4715" i="2"/>
  <c r="F4713" i="2"/>
  <c r="B4712" i="2"/>
  <c r="F4708" i="2"/>
  <c r="B4707" i="2"/>
  <c r="F4705" i="2"/>
  <c r="B4704" i="2"/>
  <c r="F4700" i="2"/>
  <c r="B4699" i="2"/>
  <c r="F4697" i="2"/>
  <c r="B4696" i="2"/>
  <c r="F4692" i="2"/>
  <c r="B4691" i="2"/>
  <c r="F4689" i="2"/>
  <c r="B4688" i="2"/>
  <c r="F4684" i="2"/>
  <c r="B4683" i="2"/>
  <c r="F4681" i="2"/>
  <c r="B4680" i="2"/>
  <c r="F4676" i="2"/>
  <c r="B4675" i="2"/>
  <c r="F4673" i="2"/>
  <c r="B4672" i="2"/>
  <c r="F4668" i="2"/>
  <c r="B4667" i="2"/>
  <c r="F4665" i="2"/>
  <c r="B4664" i="2"/>
  <c r="F4660" i="2"/>
  <c r="B4659" i="2"/>
  <c r="F4657" i="2"/>
  <c r="B4656" i="2"/>
  <c r="F4652" i="2"/>
  <c r="B4651" i="2"/>
  <c r="F4649" i="2"/>
  <c r="B4648" i="2"/>
  <c r="F4644" i="2"/>
  <c r="B4643" i="2"/>
  <c r="F4641" i="2"/>
  <c r="B4640" i="2"/>
  <c r="F4636" i="2"/>
  <c r="B4635" i="2"/>
  <c r="F4633" i="2"/>
  <c r="B4632" i="2"/>
  <c r="F4628" i="2"/>
  <c r="B4627" i="2"/>
  <c r="F4625" i="2"/>
  <c r="B4624" i="2"/>
  <c r="F4620" i="2"/>
  <c r="B4619" i="2"/>
  <c r="F4617" i="2"/>
  <c r="B4616" i="2"/>
  <c r="F4612" i="2"/>
  <c r="B4611" i="2"/>
  <c r="F4609" i="2"/>
  <c r="B4608" i="2"/>
  <c r="F4604" i="2"/>
  <c r="B4603" i="2"/>
  <c r="F4601" i="2"/>
  <c r="B4600" i="2"/>
  <c r="F4596" i="2"/>
  <c r="F4582" i="2"/>
  <c r="B4578" i="2"/>
  <c r="F4574" i="2"/>
  <c r="B4570" i="2"/>
  <c r="F4566" i="2"/>
  <c r="B4562" i="2"/>
  <c r="F4558" i="2"/>
  <c r="B4554" i="2"/>
  <c r="F4550" i="2"/>
  <c r="B4546" i="2"/>
  <c r="F4542" i="2"/>
  <c r="B4538" i="2"/>
  <c r="F4534" i="2"/>
  <c r="B4530" i="2"/>
  <c r="F4526" i="2"/>
  <c r="B4522" i="2"/>
  <c r="F4518" i="2"/>
  <c r="B4514" i="2"/>
  <c r="F4510" i="2"/>
  <c r="B4506" i="2"/>
  <c r="F4502" i="2"/>
  <c r="B4498" i="2"/>
  <c r="F4494" i="2"/>
  <c r="B4490" i="2"/>
  <c r="F4486" i="2"/>
  <c r="B4482" i="2"/>
  <c r="F4478" i="2"/>
  <c r="B4474" i="2"/>
  <c r="F4470" i="2"/>
  <c r="B4466" i="2"/>
  <c r="F4462" i="2"/>
  <c r="B4458" i="2"/>
  <c r="F4454" i="2"/>
  <c r="B4450" i="2"/>
  <c r="F4446" i="2"/>
  <c r="B4442" i="2"/>
  <c r="F4438" i="2"/>
  <c r="B4434" i="2"/>
  <c r="F4430" i="2"/>
  <c r="B4426" i="2"/>
  <c r="F4422" i="2"/>
  <c r="F4408" i="2"/>
  <c r="B4407" i="2"/>
  <c r="F4405" i="2"/>
  <c r="B4404" i="2"/>
  <c r="F4400" i="2"/>
  <c r="B4399" i="2"/>
  <c r="F4397" i="2"/>
  <c r="B4396" i="2"/>
  <c r="F4392" i="2"/>
  <c r="B4391" i="2"/>
  <c r="F4389" i="2"/>
  <c r="B4388" i="2"/>
  <c r="F4384" i="2"/>
  <c r="B4383" i="2"/>
  <c r="F4381" i="2"/>
  <c r="B4380" i="2"/>
  <c r="F4376" i="2"/>
  <c r="B4375" i="2"/>
  <c r="F4373" i="2"/>
  <c r="B4372" i="2"/>
  <c r="F8844" i="2"/>
  <c r="F7629" i="2"/>
  <c r="B7627" i="2"/>
  <c r="B7382" i="2"/>
  <c r="B7379" i="2"/>
  <c r="F7285" i="2"/>
  <c r="F7225" i="2"/>
  <c r="B7223" i="2"/>
  <c r="F7022" i="2"/>
  <c r="F6974" i="2"/>
  <c r="B6951" i="2"/>
  <c r="B6948" i="2"/>
  <c r="F6850" i="2"/>
  <c r="F6786" i="2"/>
  <c r="B6664" i="2"/>
  <c r="F6660" i="2"/>
  <c r="B6640" i="2"/>
  <c r="B6578" i="2"/>
  <c r="B6552" i="2"/>
  <c r="B6526" i="2"/>
  <c r="B6502" i="2"/>
  <c r="F6465" i="2"/>
  <c r="F6416" i="2"/>
  <c r="B6407" i="2"/>
  <c r="F6382" i="2"/>
  <c r="B6364" i="2"/>
  <c r="F6353" i="2"/>
  <c r="F6346" i="2"/>
  <c r="B6327" i="2"/>
  <c r="F6286" i="2"/>
  <c r="F6260" i="2"/>
  <c r="F6234" i="2"/>
  <c r="F6212" i="2"/>
  <c r="F6180" i="2"/>
  <c r="B6026" i="2"/>
  <c r="B6007" i="2"/>
  <c r="B5966" i="2"/>
  <c r="B5936" i="2"/>
  <c r="B5896" i="2"/>
  <c r="B5862" i="2"/>
  <c r="B5843" i="2"/>
  <c r="F5789" i="2"/>
  <c r="B5770" i="2"/>
  <c r="B5754" i="2"/>
  <c r="B5751" i="2"/>
  <c r="F5642" i="2"/>
  <c r="F5620" i="2"/>
  <c r="F5535" i="2"/>
  <c r="B5529" i="2"/>
  <c r="F5519" i="2"/>
  <c r="B5504" i="2"/>
  <c r="F5500" i="2"/>
  <c r="F5491" i="2"/>
  <c r="B5481" i="2"/>
  <c r="B5414" i="2"/>
  <c r="B5376" i="2"/>
  <c r="B5353" i="2"/>
  <c r="B5316" i="2"/>
  <c r="F5312" i="2"/>
  <c r="F5273" i="2"/>
  <c r="F5265" i="2"/>
  <c r="F5257" i="2"/>
  <c r="F5249" i="2"/>
  <c r="F5241" i="2"/>
  <c r="F5233" i="2"/>
  <c r="F5225" i="2"/>
  <c r="F5217" i="2"/>
  <c r="F5209" i="2"/>
  <c r="F5201" i="2"/>
  <c r="F5193" i="2"/>
  <c r="F5185" i="2"/>
  <c r="B5066" i="2"/>
  <c r="F5062" i="2"/>
  <c r="B5058" i="2"/>
  <c r="F5054" i="2"/>
  <c r="B5050" i="2"/>
  <c r="F5046" i="2"/>
  <c r="B5042" i="2"/>
  <c r="F5038" i="2"/>
  <c r="B5034" i="2"/>
  <c r="F5030" i="2"/>
  <c r="B5026" i="2"/>
  <c r="F5022" i="2"/>
  <c r="B5018" i="2"/>
  <c r="F5014" i="2"/>
  <c r="B5010" i="2"/>
  <c r="F5006" i="2"/>
  <c r="B5002" i="2"/>
  <c r="F4989" i="2"/>
  <c r="B4988" i="2"/>
  <c r="F4985" i="2"/>
  <c r="B4984" i="2"/>
  <c r="F4981" i="2"/>
  <c r="B4980" i="2"/>
  <c r="F4977" i="2"/>
  <c r="B4976" i="2"/>
  <c r="F4973" i="2"/>
  <c r="B4972" i="2"/>
  <c r="F4969" i="2"/>
  <c r="B4968" i="2"/>
  <c r="F4965" i="2"/>
  <c r="B4964" i="2"/>
  <c r="F4956" i="2"/>
  <c r="B4955" i="2"/>
  <c r="F4949" i="2"/>
  <c r="B4948" i="2"/>
  <c r="F4940" i="2"/>
  <c r="B4939" i="2"/>
  <c r="F4933" i="2"/>
  <c r="B4932" i="2"/>
  <c r="F4924" i="2"/>
  <c r="B4923" i="2"/>
  <c r="F4917" i="2"/>
  <c r="B4916" i="2"/>
  <c r="F4908" i="2"/>
  <c r="B4907" i="2"/>
  <c r="F4901" i="2"/>
  <c r="B4900" i="2"/>
  <c r="F4892" i="2"/>
  <c r="B4891" i="2"/>
  <c r="F4885" i="2"/>
  <c r="B4884" i="2"/>
  <c r="F4876" i="2"/>
  <c r="B4875" i="2"/>
  <c r="F4869" i="2"/>
  <c r="B4868" i="2"/>
  <c r="F4860" i="2"/>
  <c r="B4859" i="2"/>
  <c r="F4853" i="2"/>
  <c r="F4842" i="2"/>
  <c r="F4838" i="2"/>
  <c r="F4836" i="2"/>
  <c r="F4834" i="2"/>
  <c r="F4821" i="2"/>
  <c r="B4820" i="2"/>
  <c r="B4818" i="2"/>
  <c r="F4814" i="2"/>
  <c r="F4812" i="2"/>
  <c r="B4811" i="2"/>
  <c r="F4805" i="2"/>
  <c r="B4804" i="2"/>
  <c r="F4792" i="2"/>
  <c r="B4791" i="2"/>
  <c r="B4780" i="2"/>
  <c r="B4778" i="2"/>
  <c r="F4774" i="2"/>
  <c r="F4772" i="2"/>
  <c r="B4771" i="2"/>
  <c r="F4765" i="2"/>
  <c r="B4764" i="2"/>
  <c r="B4762" i="2"/>
  <c r="F4758" i="2"/>
  <c r="F4756" i="2"/>
  <c r="B4755" i="2"/>
  <c r="F4749" i="2"/>
  <c r="B4748" i="2"/>
  <c r="B4746" i="2"/>
  <c r="F4742" i="2"/>
  <c r="B4727" i="2"/>
  <c r="F4725" i="2"/>
  <c r="B4719" i="2"/>
  <c r="F4717" i="2"/>
  <c r="B4711" i="2"/>
  <c r="F4709" i="2"/>
  <c r="B4703" i="2"/>
  <c r="F4701" i="2"/>
  <c r="B4695" i="2"/>
  <c r="F4693" i="2"/>
  <c r="B4687" i="2"/>
  <c r="F4685" i="2"/>
  <c r="B4679" i="2"/>
  <c r="F4677" i="2"/>
  <c r="B4671" i="2"/>
  <c r="F4669" i="2"/>
  <c r="B4663" i="2"/>
  <c r="F4661" i="2"/>
  <c r="B4655" i="2"/>
  <c r="F4653" i="2"/>
  <c r="B4647" i="2"/>
  <c r="F4645" i="2"/>
  <c r="B4639" i="2"/>
  <c r="F4637" i="2"/>
  <c r="B4631" i="2"/>
  <c r="F4629" i="2"/>
  <c r="B4623" i="2"/>
  <c r="F4621" i="2"/>
  <c r="B4615" i="2"/>
  <c r="F4613" i="2"/>
  <c r="B4607" i="2"/>
  <c r="F4605" i="2"/>
  <c r="B4599" i="2"/>
  <c r="F4597" i="2"/>
  <c r="F4580" i="2"/>
  <c r="B4579" i="2"/>
  <c r="F4573" i="2"/>
  <c r="B4572" i="2"/>
  <c r="F4564" i="2"/>
  <c r="B4563" i="2"/>
  <c r="F4557" i="2"/>
  <c r="B4556" i="2"/>
  <c r="F4548" i="2"/>
  <c r="B4547" i="2"/>
  <c r="F4541" i="2"/>
  <c r="B4540" i="2"/>
  <c r="F4532" i="2"/>
  <c r="B4531" i="2"/>
  <c r="F4525" i="2"/>
  <c r="B4524" i="2"/>
  <c r="F4516" i="2"/>
  <c r="B4515" i="2"/>
  <c r="F4509" i="2"/>
  <c r="B4508" i="2"/>
  <c r="F4500" i="2"/>
  <c r="B4499" i="2"/>
  <c r="F4493" i="2"/>
  <c r="B4492" i="2"/>
  <c r="F4484" i="2"/>
  <c r="B4483" i="2"/>
  <c r="F4477" i="2"/>
  <c r="B4476" i="2"/>
  <c r="F4468" i="2"/>
  <c r="B4467" i="2"/>
  <c r="F4461" i="2"/>
  <c r="B4460" i="2"/>
  <c r="F4452" i="2"/>
  <c r="B4451" i="2"/>
  <c r="F4445" i="2"/>
  <c r="B4444" i="2"/>
  <c r="F4436" i="2"/>
  <c r="B4435" i="2"/>
  <c r="F4429" i="2"/>
  <c r="B4428" i="2"/>
  <c r="F4420" i="2"/>
  <c r="B4408" i="2"/>
  <c r="B4406" i="2"/>
  <c r="B4402" i="2"/>
  <c r="B4400" i="2"/>
  <c r="B4398" i="2"/>
  <c r="B4394" i="2"/>
  <c r="B4392" i="2"/>
  <c r="B4390" i="2"/>
  <c r="B4386" i="2"/>
  <c r="B4384" i="2"/>
  <c r="B4382" i="2"/>
  <c r="B4378" i="2"/>
  <c r="B4376" i="2"/>
  <c r="B4374" i="2"/>
  <c r="B4370" i="2"/>
  <c r="F4366" i="2"/>
  <c r="B4362" i="2"/>
  <c r="F4358" i="2"/>
  <c r="B4354" i="2"/>
  <c r="F4350" i="2"/>
  <c r="B4346" i="2"/>
  <c r="F4342" i="2"/>
  <c r="B4338" i="2"/>
  <c r="F4334" i="2"/>
  <c r="B4330" i="2"/>
  <c r="F4326" i="2"/>
  <c r="B4322" i="2"/>
  <c r="F4318" i="2"/>
  <c r="B4314" i="2"/>
  <c r="F4310" i="2"/>
  <c r="B4306" i="2"/>
  <c r="F4302" i="2"/>
  <c r="B4298" i="2"/>
  <c r="F4294" i="2"/>
  <c r="B4290" i="2"/>
  <c r="F4286" i="2"/>
  <c r="B4282" i="2"/>
  <c r="F4278" i="2"/>
  <c r="B4274" i="2"/>
  <c r="F4270" i="2"/>
  <c r="B4266" i="2"/>
  <c r="F4262" i="2"/>
  <c r="B4258" i="2"/>
  <c r="F4254" i="2"/>
  <c r="B4250" i="2"/>
  <c r="F4246" i="2"/>
  <c r="B4242" i="2"/>
  <c r="F4238" i="2"/>
  <c r="F4224" i="2"/>
  <c r="B4223" i="2"/>
  <c r="F4221" i="2"/>
  <c r="B4220" i="2"/>
  <c r="F4216" i="2"/>
  <c r="B4215" i="2"/>
  <c r="F4213" i="2"/>
  <c r="B4212" i="2"/>
  <c r="F4208" i="2"/>
  <c r="B4207" i="2"/>
  <c r="F4205" i="2"/>
  <c r="B4204" i="2"/>
  <c r="B4190" i="2"/>
  <c r="F4186" i="2"/>
  <c r="B4182" i="2"/>
  <c r="F4178" i="2"/>
  <c r="B4174" i="2"/>
  <c r="F4170" i="2"/>
  <c r="B4166" i="2"/>
  <c r="B4155" i="2"/>
  <c r="F4153" i="2"/>
  <c r="B4152" i="2"/>
  <c r="F4148" i="2"/>
  <c r="B4147" i="2"/>
  <c r="F4145" i="2"/>
  <c r="B4144" i="2"/>
  <c r="F4140" i="2"/>
  <c r="B4139" i="2"/>
  <c r="F4137" i="2"/>
  <c r="B4136" i="2"/>
  <c r="F4132" i="2"/>
  <c r="B4131" i="2"/>
  <c r="F4129" i="2"/>
  <c r="B4128" i="2"/>
  <c r="F4124" i="2"/>
  <c r="B4123" i="2"/>
  <c r="F4121" i="2"/>
  <c r="B4120" i="2"/>
  <c r="B4106" i="2"/>
  <c r="F4102" i="2"/>
  <c r="B4098" i="2"/>
  <c r="F4094" i="2"/>
  <c r="B4090" i="2"/>
  <c r="F4086" i="2"/>
  <c r="B4082" i="2"/>
  <c r="B4066" i="2"/>
  <c r="F4062" i="2"/>
  <c r="B4058" i="2"/>
  <c r="F4054" i="2"/>
  <c r="B4050" i="2"/>
  <c r="F4046" i="2"/>
  <c r="B4042" i="2"/>
  <c r="F4038" i="2"/>
  <c r="B4034" i="2"/>
  <c r="F4030" i="2"/>
  <c r="B4026" i="2"/>
  <c r="F4022" i="2"/>
  <c r="F4006" i="2"/>
  <c r="B4002" i="2"/>
  <c r="F3998" i="2"/>
  <c r="B3994" i="2"/>
  <c r="F3990" i="2"/>
  <c r="B3986" i="2"/>
  <c r="F3982" i="2"/>
  <c r="B3978" i="2"/>
  <c r="F3974" i="2"/>
  <c r="B3970" i="2"/>
  <c r="F3957" i="2"/>
  <c r="B3956" i="2"/>
  <c r="F3952" i="2"/>
  <c r="B3951" i="2"/>
  <c r="F3949" i="2"/>
  <c r="B3948" i="2"/>
  <c r="F3944" i="2"/>
  <c r="B3943" i="2"/>
  <c r="F3941" i="2"/>
  <c r="B3940" i="2"/>
  <c r="F3936" i="2"/>
  <c r="B3935" i="2"/>
  <c r="F3933" i="2"/>
  <c r="B3932" i="2"/>
  <c r="F3928" i="2"/>
  <c r="B3927" i="2"/>
  <c r="F3925" i="2"/>
  <c r="B3924" i="2"/>
  <c r="F3920" i="2"/>
  <c r="B3919" i="2"/>
  <c r="F3917" i="2"/>
  <c r="B3915" i="2"/>
  <c r="F3913" i="2"/>
  <c r="B3911" i="2"/>
  <c r="F3909" i="2"/>
  <c r="B3907" i="2"/>
  <c r="F3905" i="2"/>
  <c r="B3903" i="2"/>
  <c r="F3901" i="2"/>
  <c r="B3899" i="2"/>
  <c r="F3897" i="2"/>
  <c r="B3895" i="2"/>
  <c r="F3893" i="2"/>
  <c r="B3891" i="2"/>
  <c r="F3889" i="2"/>
  <c r="B3887" i="2"/>
  <c r="F3885" i="2"/>
  <c r="B3883" i="2"/>
  <c r="F3881" i="2"/>
  <c r="B3879" i="2"/>
  <c r="F3877" i="2"/>
  <c r="B3875" i="2"/>
  <c r="F3873" i="2"/>
  <c r="B3871" i="2"/>
  <c r="F3869" i="2"/>
  <c r="B3867" i="2"/>
  <c r="F3865" i="2"/>
  <c r="B3863" i="2"/>
  <c r="F3861" i="2"/>
  <c r="B3859" i="2"/>
  <c r="F3857" i="2"/>
  <c r="B3855" i="2"/>
  <c r="F3853" i="2"/>
  <c r="B3851" i="2"/>
  <c r="F3849" i="2"/>
  <c r="B3847" i="2"/>
  <c r="F3845" i="2"/>
  <c r="B3843" i="2"/>
  <c r="F3841" i="2"/>
  <c r="B3839" i="2"/>
  <c r="F3837" i="2"/>
  <c r="B3835" i="2"/>
  <c r="F3833" i="2"/>
  <c r="B3831" i="2"/>
  <c r="F3829" i="2"/>
  <c r="B3827" i="2"/>
  <c r="F3825" i="2"/>
  <c r="B3823" i="2"/>
  <c r="F3821" i="2"/>
  <c r="B3819" i="2"/>
  <c r="F3817" i="2"/>
  <c r="B3815" i="2"/>
  <c r="F3813" i="2"/>
  <c r="B3811" i="2"/>
  <c r="F3809" i="2"/>
  <c r="B3807" i="2"/>
  <c r="F3805" i="2"/>
  <c r="B3803" i="2"/>
  <c r="F3801" i="2"/>
  <c r="B3799" i="2"/>
  <c r="F3797" i="2"/>
  <c r="B3795" i="2"/>
  <c r="F3793" i="2"/>
  <c r="B3791" i="2"/>
  <c r="F3789" i="2"/>
  <c r="B3787" i="2"/>
  <c r="F3785" i="2"/>
  <c r="B3783" i="2"/>
  <c r="F3781" i="2"/>
  <c r="B3779" i="2"/>
  <c r="F3777" i="2"/>
  <c r="B3775" i="2"/>
  <c r="F3773" i="2"/>
  <c r="B9475" i="2"/>
  <c r="F9318" i="2"/>
  <c r="B9316" i="2"/>
  <c r="B7893" i="2"/>
  <c r="B7482" i="2"/>
  <c r="F7349" i="2"/>
  <c r="B7347" i="2"/>
  <c r="B7171" i="2"/>
  <c r="B7028" i="2"/>
  <c r="F7024" i="2"/>
  <c r="F6878" i="2"/>
  <c r="F6792" i="2"/>
  <c r="B6670" i="2"/>
  <c r="F6632" i="2"/>
  <c r="B6610" i="2"/>
  <c r="B6584" i="2"/>
  <c r="B6558" i="2"/>
  <c r="B6468" i="2"/>
  <c r="F6429" i="2"/>
  <c r="F6426" i="2"/>
  <c r="F6384" i="2"/>
  <c r="B6339" i="2"/>
  <c r="F6292" i="2"/>
  <c r="F6266" i="2"/>
  <c r="F6192" i="2"/>
  <c r="F6160" i="2"/>
  <c r="B5942" i="2"/>
  <c r="B5908" i="2"/>
  <c r="B5836" i="2"/>
  <c r="F5782" i="2"/>
  <c r="B5668" i="2"/>
  <c r="F5622" i="2"/>
  <c r="B5581" i="2"/>
  <c r="B5556" i="2"/>
  <c r="F5482" i="2"/>
  <c r="F5415" i="2"/>
  <c r="F5354" i="2"/>
  <c r="B5330" i="2"/>
  <c r="F5317" i="2"/>
  <c r="B5294" i="2"/>
  <c r="F5290" i="2"/>
  <c r="B5170" i="2"/>
  <c r="F5166" i="2"/>
  <c r="B5154" i="2"/>
  <c r="F5150" i="2"/>
  <c r="B5138" i="2"/>
  <c r="B5122" i="2"/>
  <c r="F5118" i="2"/>
  <c r="B5106" i="2"/>
  <c r="F5102" i="2"/>
  <c r="B5090" i="2"/>
  <c r="F5086" i="2"/>
  <c r="B5074" i="2"/>
  <c r="F5070" i="2"/>
  <c r="F4961" i="2"/>
  <c r="B4960" i="2"/>
  <c r="B4958" i="2"/>
  <c r="F4954" i="2"/>
  <c r="F4952" i="2"/>
  <c r="B4951" i="2"/>
  <c r="F4945" i="2"/>
  <c r="B4944" i="2"/>
  <c r="B4942" i="2"/>
  <c r="F4938" i="2"/>
  <c r="F4936" i="2"/>
  <c r="B4935" i="2"/>
  <c r="F4929" i="2"/>
  <c r="B4928" i="2"/>
  <c r="B4926" i="2"/>
  <c r="F4922" i="2"/>
  <c r="F4920" i="2"/>
  <c r="B4919" i="2"/>
  <c r="F4913" i="2"/>
  <c r="B4912" i="2"/>
  <c r="B4910" i="2"/>
  <c r="F4906" i="2"/>
  <c r="F4904" i="2"/>
  <c r="B4903" i="2"/>
  <c r="F4897" i="2"/>
  <c r="B4896" i="2"/>
  <c r="B4894" i="2"/>
  <c r="F4890" i="2"/>
  <c r="F4888" i="2"/>
  <c r="B4887" i="2"/>
  <c r="F4881" i="2"/>
  <c r="B4880" i="2"/>
  <c r="B4878" i="2"/>
  <c r="F4874" i="2"/>
  <c r="F4872" i="2"/>
  <c r="B4871" i="2"/>
  <c r="F4865" i="2"/>
  <c r="B4864" i="2"/>
  <c r="B4862" i="2"/>
  <c r="F4858" i="2"/>
  <c r="F4856" i="2"/>
  <c r="B4855" i="2"/>
  <c r="F4817" i="2"/>
  <c r="B4816" i="2"/>
  <c r="F4808" i="2"/>
  <c r="B4807" i="2"/>
  <c r="F4777" i="2"/>
  <c r="B4776" i="2"/>
  <c r="F4768" i="2"/>
  <c r="B4767" i="2"/>
  <c r="F4761" i="2"/>
  <c r="B4760" i="2"/>
  <c r="F4752" i="2"/>
  <c r="B4751" i="2"/>
  <c r="F4745" i="2"/>
  <c r="B4744" i="2"/>
  <c r="F4730" i="2"/>
  <c r="F4728" i="2"/>
  <c r="F4726" i="2"/>
  <c r="F4722" i="2"/>
  <c r="F4720" i="2"/>
  <c r="F4718" i="2"/>
  <c r="F4714" i="2"/>
  <c r="F4712" i="2"/>
  <c r="F4710" i="2"/>
  <c r="F4706" i="2"/>
  <c r="F4704" i="2"/>
  <c r="F4702" i="2"/>
  <c r="F4698" i="2"/>
  <c r="F4696" i="2"/>
  <c r="F4694" i="2"/>
  <c r="F4690" i="2"/>
  <c r="F4688" i="2"/>
  <c r="F4686" i="2"/>
  <c r="F4682" i="2"/>
  <c r="F4680" i="2"/>
  <c r="F4678" i="2"/>
  <c r="F4674" i="2"/>
  <c r="F4672" i="2"/>
  <c r="F4670" i="2"/>
  <c r="F4666" i="2"/>
  <c r="F4664" i="2"/>
  <c r="F4662" i="2"/>
  <c r="F4658" i="2"/>
  <c r="F4656" i="2"/>
  <c r="F4654" i="2"/>
  <c r="F4650" i="2"/>
  <c r="F4648" i="2"/>
  <c r="F4646" i="2"/>
  <c r="F4642" i="2"/>
  <c r="F4640" i="2"/>
  <c r="F4638" i="2"/>
  <c r="F4634" i="2"/>
  <c r="F4632" i="2"/>
  <c r="F4630" i="2"/>
  <c r="F4626" i="2"/>
  <c r="F4624" i="2"/>
  <c r="F4622" i="2"/>
  <c r="F4618" i="2"/>
  <c r="F4616" i="2"/>
  <c r="F4614" i="2"/>
  <c r="F4610" i="2"/>
  <c r="F4608" i="2"/>
  <c r="F4606" i="2"/>
  <c r="F4602" i="2"/>
  <c r="F4600" i="2"/>
  <c r="F4598" i="2"/>
  <c r="F4585" i="2"/>
  <c r="B4584" i="2"/>
  <c r="B4582" i="2"/>
  <c r="F4578" i="2"/>
  <c r="F4576" i="2"/>
  <c r="B4575" i="2"/>
  <c r="F4569" i="2"/>
  <c r="B4568" i="2"/>
  <c r="B4566" i="2"/>
  <c r="F4562" i="2"/>
  <c r="F4560" i="2"/>
  <c r="B4559" i="2"/>
  <c r="F4553" i="2"/>
  <c r="B4552" i="2"/>
  <c r="B4550" i="2"/>
  <c r="F4546" i="2"/>
  <c r="F4544" i="2"/>
  <c r="B4543" i="2"/>
  <c r="F4537" i="2"/>
  <c r="B4536" i="2"/>
  <c r="B4534" i="2"/>
  <c r="F4530" i="2"/>
  <c r="F4528" i="2"/>
  <c r="B4527" i="2"/>
  <c r="F4521" i="2"/>
  <c r="B4520" i="2"/>
  <c r="B4518" i="2"/>
  <c r="F4514" i="2"/>
  <c r="F4512" i="2"/>
  <c r="B4511" i="2"/>
  <c r="F4505" i="2"/>
  <c r="B4504" i="2"/>
  <c r="B4502" i="2"/>
  <c r="F4498" i="2"/>
  <c r="F4496" i="2"/>
  <c r="B4495" i="2"/>
  <c r="F4489" i="2"/>
  <c r="B4488" i="2"/>
  <c r="B4486" i="2"/>
  <c r="F4482" i="2"/>
  <c r="F4480" i="2"/>
  <c r="B4479" i="2"/>
  <c r="F4473" i="2"/>
  <c r="B4472" i="2"/>
  <c r="B4470" i="2"/>
  <c r="F4466" i="2"/>
  <c r="F4464" i="2"/>
  <c r="B4463" i="2"/>
  <c r="F4457" i="2"/>
  <c r="B4456" i="2"/>
  <c r="B4454" i="2"/>
  <c r="F4450" i="2"/>
  <c r="F4448" i="2"/>
  <c r="B4447" i="2"/>
  <c r="F4441" i="2"/>
  <c r="B4440" i="2"/>
  <c r="B4438" i="2"/>
  <c r="F4434" i="2"/>
  <c r="F4432" i="2"/>
  <c r="B4431" i="2"/>
  <c r="F4425" i="2"/>
  <c r="B4424" i="2"/>
  <c r="B4422" i="2"/>
  <c r="F4409" i="2"/>
  <c r="B4403" i="2"/>
  <c r="F4401" i="2"/>
  <c r="B4395" i="2"/>
  <c r="F4393" i="2"/>
  <c r="B4387" i="2"/>
  <c r="F4385" i="2"/>
  <c r="B4379" i="2"/>
  <c r="F4377" i="2"/>
  <c r="B4371" i="2"/>
  <c r="F4369" i="2"/>
  <c r="B4368" i="2"/>
  <c r="F4364" i="2"/>
  <c r="B4363" i="2"/>
  <c r="F4361" i="2"/>
  <c r="B4360" i="2"/>
  <c r="F4356" i="2"/>
  <c r="B4355" i="2"/>
  <c r="F4353" i="2"/>
  <c r="B4352" i="2"/>
  <c r="F4348" i="2"/>
  <c r="B4347" i="2"/>
  <c r="F4345" i="2"/>
  <c r="B4344" i="2"/>
  <c r="F4340" i="2"/>
  <c r="B4339" i="2"/>
  <c r="F4337" i="2"/>
  <c r="B4336" i="2"/>
  <c r="F4332" i="2"/>
  <c r="B4331" i="2"/>
  <c r="F4329" i="2"/>
  <c r="B4328" i="2"/>
  <c r="F4324" i="2"/>
  <c r="B4323" i="2"/>
  <c r="F4321" i="2"/>
  <c r="B4320" i="2"/>
  <c r="F4316" i="2"/>
  <c r="B4315" i="2"/>
  <c r="F4313" i="2"/>
  <c r="B4312" i="2"/>
  <c r="F4308" i="2"/>
  <c r="B4307" i="2"/>
  <c r="F4305" i="2"/>
  <c r="B4304" i="2"/>
  <c r="F4300" i="2"/>
  <c r="B4299" i="2"/>
  <c r="F4297" i="2"/>
  <c r="B4296" i="2"/>
  <c r="F4292" i="2"/>
  <c r="B4291" i="2"/>
  <c r="F4289" i="2"/>
  <c r="B4288" i="2"/>
  <c r="F4284" i="2"/>
  <c r="B4283" i="2"/>
  <c r="F4281" i="2"/>
  <c r="B4280" i="2"/>
  <c r="F4276" i="2"/>
  <c r="B4275" i="2"/>
  <c r="F4273" i="2"/>
  <c r="B4272" i="2"/>
  <c r="F4268" i="2"/>
  <c r="B4267" i="2"/>
  <c r="F4265" i="2"/>
  <c r="B4264" i="2"/>
  <c r="F4260" i="2"/>
  <c r="B4259" i="2"/>
  <c r="F4257" i="2"/>
  <c r="B4256" i="2"/>
  <c r="F4252" i="2"/>
  <c r="B4251" i="2"/>
  <c r="F4249" i="2"/>
  <c r="B4248" i="2"/>
  <c r="F4244" i="2"/>
  <c r="B4243" i="2"/>
  <c r="F4241" i="2"/>
  <c r="B4240" i="2"/>
  <c r="B4226" i="2"/>
  <c r="F4222" i="2"/>
  <c r="B4218" i="2"/>
  <c r="F4214" i="2"/>
  <c r="B4210" i="2"/>
  <c r="F4206" i="2"/>
  <c r="B4202" i="2"/>
  <c r="F4189" i="2"/>
  <c r="B4188" i="2"/>
  <c r="F4184" i="2"/>
  <c r="B4183" i="2"/>
  <c r="F4181" i="2"/>
  <c r="B4180" i="2"/>
  <c r="F4176" i="2"/>
  <c r="B4175" i="2"/>
  <c r="F4173" i="2"/>
  <c r="B4172" i="2"/>
  <c r="F4168" i="2"/>
  <c r="B4167" i="2"/>
  <c r="F4154" i="2"/>
  <c r="B4150" i="2"/>
  <c r="F4146" i="2"/>
  <c r="B4142" i="2"/>
  <c r="F4138" i="2"/>
  <c r="B4134" i="2"/>
  <c r="F4130" i="2"/>
  <c r="B4126" i="2"/>
  <c r="F4122" i="2"/>
  <c r="B4118" i="2"/>
  <c r="F4105" i="2"/>
  <c r="B4104" i="2"/>
  <c r="F4100" i="2"/>
  <c r="B4099" i="2"/>
  <c r="F4097" i="2"/>
  <c r="B4096" i="2"/>
  <c r="F4092" i="2"/>
  <c r="B4091" i="2"/>
  <c r="F4089" i="2"/>
  <c r="B4088" i="2"/>
  <c r="F4084" i="2"/>
  <c r="B4083" i="2"/>
  <c r="F4081" i="2"/>
  <c r="B4080" i="2"/>
  <c r="F4068" i="2"/>
  <c r="B4067" i="2"/>
  <c r="F4065" i="2"/>
  <c r="B4064" i="2"/>
  <c r="F4060" i="2"/>
  <c r="B4059" i="2"/>
  <c r="F4057" i="2"/>
  <c r="B4056" i="2"/>
  <c r="F4052" i="2"/>
  <c r="B4051" i="2"/>
  <c r="F4049" i="2"/>
  <c r="B4048" i="2"/>
  <c r="F4044" i="2"/>
  <c r="B4043" i="2"/>
  <c r="F4041" i="2"/>
  <c r="B4040" i="2"/>
  <c r="F4036" i="2"/>
  <c r="B4035" i="2"/>
  <c r="F4033" i="2"/>
  <c r="B4032" i="2"/>
  <c r="F4028" i="2"/>
  <c r="B4027" i="2"/>
  <c r="F4025" i="2"/>
  <c r="B4024" i="2"/>
  <c r="F4020" i="2"/>
  <c r="B4019" i="2"/>
  <c r="B4008" i="2"/>
  <c r="F4004" i="2"/>
  <c r="B4003" i="2"/>
  <c r="F4001" i="2"/>
  <c r="B4000" i="2"/>
  <c r="F3996" i="2"/>
  <c r="B3995" i="2"/>
  <c r="F3993" i="2"/>
  <c r="B3992" i="2"/>
  <c r="F3988" i="2"/>
  <c r="B3987" i="2"/>
  <c r="F3985" i="2"/>
  <c r="B3984" i="2"/>
  <c r="F3980" i="2"/>
  <c r="B3979" i="2"/>
  <c r="F3977" i="2"/>
  <c r="B3976" i="2"/>
  <c r="F3972" i="2"/>
  <c r="B3971" i="2"/>
  <c r="F3969" i="2"/>
  <c r="B3968" i="2"/>
  <c r="B3954" i="2"/>
  <c r="F3950" i="2"/>
  <c r="B3946" i="2"/>
  <c r="F3942" i="2"/>
  <c r="B3938" i="2"/>
  <c r="F3934" i="2"/>
  <c r="B3930" i="2"/>
  <c r="F3926" i="2"/>
  <c r="B3922" i="2"/>
  <c r="F3918" i="2"/>
  <c r="B3916" i="2"/>
  <c r="F3914" i="2"/>
  <c r="B3912" i="2"/>
  <c r="F3910" i="2"/>
  <c r="B3908" i="2"/>
  <c r="F3906" i="2"/>
  <c r="B3904" i="2"/>
  <c r="F3902" i="2"/>
  <c r="B3900" i="2"/>
  <c r="F3898" i="2"/>
  <c r="B3896" i="2"/>
  <c r="F3894" i="2"/>
  <c r="B3892" i="2"/>
  <c r="F3890" i="2"/>
  <c r="B3888" i="2"/>
  <c r="F3886" i="2"/>
  <c r="B3884" i="2"/>
  <c r="F3882" i="2"/>
  <c r="B3880" i="2"/>
  <c r="F3878" i="2"/>
  <c r="B3876" i="2"/>
  <c r="F3874" i="2"/>
  <c r="B3872" i="2"/>
  <c r="F3870" i="2"/>
  <c r="B3868" i="2"/>
  <c r="F3866" i="2"/>
  <c r="B3864" i="2"/>
  <c r="F3862" i="2"/>
  <c r="B3860" i="2"/>
  <c r="F3858" i="2"/>
  <c r="B3856" i="2"/>
  <c r="F3854" i="2"/>
  <c r="B3852" i="2"/>
  <c r="F3850" i="2"/>
  <c r="B3848" i="2"/>
  <c r="F3846" i="2"/>
  <c r="B3844" i="2"/>
  <c r="F3842" i="2"/>
  <c r="B3840" i="2"/>
  <c r="F3838" i="2"/>
  <c r="B3836" i="2"/>
  <c r="F3834" i="2"/>
  <c r="B3832" i="2"/>
  <c r="F3830" i="2"/>
  <c r="B3828" i="2"/>
  <c r="F3826" i="2"/>
  <c r="B3824" i="2"/>
  <c r="F3822" i="2"/>
  <c r="B3820" i="2"/>
  <c r="F3818" i="2"/>
  <c r="B3816" i="2"/>
  <c r="F3814" i="2"/>
  <c r="B3812" i="2"/>
  <c r="F3810" i="2"/>
  <c r="B3808" i="2"/>
  <c r="F3806" i="2"/>
  <c r="B3804" i="2"/>
  <c r="F3802" i="2"/>
  <c r="B3800" i="2"/>
  <c r="F3798" i="2"/>
  <c r="B3796" i="2"/>
  <c r="F3794" i="2"/>
  <c r="B3792" i="2"/>
  <c r="F3790" i="2"/>
  <c r="B3788" i="2"/>
  <c r="F3786" i="2"/>
  <c r="B3784" i="2"/>
  <c r="F3782" i="2"/>
  <c r="B3780" i="2"/>
  <c r="F3778" i="2"/>
  <c r="B3776" i="2"/>
  <c r="F3774" i="2"/>
  <c r="B3772" i="2"/>
  <c r="F3770" i="2"/>
  <c r="B3768" i="2"/>
  <c r="F3766" i="2"/>
  <c r="B3764" i="2"/>
  <c r="F3762" i="2"/>
  <c r="B8141" i="2"/>
  <c r="F7721" i="2"/>
  <c r="B7719" i="2"/>
  <c r="B7523" i="2"/>
  <c r="F7308" i="2"/>
  <c r="B7306" i="2"/>
  <c r="F7161" i="2"/>
  <c r="B7159" i="2"/>
  <c r="B7050" i="2"/>
  <c r="F6914" i="2"/>
  <c r="B6891" i="2"/>
  <c r="B6888" i="2"/>
  <c r="B6760" i="2"/>
  <c r="F6658" i="2"/>
  <c r="F6637" i="2"/>
  <c r="B6546" i="2"/>
  <c r="B6496" i="2"/>
  <c r="F6472" i="2"/>
  <c r="F6414" i="2"/>
  <c r="B6334" i="2"/>
  <c r="B6307" i="2"/>
  <c r="F6254" i="2"/>
  <c r="B6220" i="2"/>
  <c r="B6188" i="2"/>
  <c r="B6091" i="2"/>
  <c r="B6079" i="2"/>
  <c r="B6046" i="2"/>
  <c r="B6024" i="2"/>
  <c r="B5960" i="2"/>
  <c r="B5930" i="2"/>
  <c r="B5903" i="2"/>
  <c r="F5869" i="2"/>
  <c r="B5860" i="2"/>
  <c r="B5831" i="2"/>
  <c r="F5777" i="2"/>
  <c r="B5734" i="2"/>
  <c r="B5715" i="2"/>
  <c r="F5627" i="2"/>
  <c r="B5586" i="2"/>
  <c r="F5559" i="2"/>
  <c r="F5498" i="2"/>
  <c r="B5490" i="2"/>
  <c r="B5412" i="2"/>
  <c r="F5395" i="2"/>
  <c r="B5374" i="2"/>
  <c r="B5368" i="2"/>
  <c r="F5334" i="2"/>
  <c r="F5298" i="2"/>
  <c r="F5276" i="2"/>
  <c r="B5272" i="2"/>
  <c r="F5268" i="2"/>
  <c r="B5264" i="2"/>
  <c r="F5260" i="2"/>
  <c r="B5256" i="2"/>
  <c r="F5252" i="2"/>
  <c r="B5248" i="2"/>
  <c r="F5244" i="2"/>
  <c r="B5240" i="2"/>
  <c r="F5236" i="2"/>
  <c r="B5232" i="2"/>
  <c r="F5228" i="2"/>
  <c r="B5224" i="2"/>
  <c r="F5220" i="2"/>
  <c r="B5216" i="2"/>
  <c r="F5212" i="2"/>
  <c r="B5208" i="2"/>
  <c r="F5204" i="2"/>
  <c r="B5200" i="2"/>
  <c r="F5196" i="2"/>
  <c r="B5192" i="2"/>
  <c r="F5188" i="2"/>
  <c r="B5184" i="2"/>
  <c r="B5162" i="2"/>
  <c r="F5158" i="2"/>
  <c r="B5146" i="2"/>
  <c r="F5142" i="2"/>
  <c r="B5114" i="2"/>
  <c r="F5110" i="2"/>
  <c r="B5098" i="2"/>
  <c r="F5094" i="2"/>
  <c r="B5082" i="2"/>
  <c r="F5078" i="2"/>
  <c r="F4962" i="2"/>
  <c r="F4960" i="2"/>
  <c r="B4959" i="2"/>
  <c r="F4953" i="2"/>
  <c r="B4952" i="2"/>
  <c r="B4950" i="2"/>
  <c r="F4946" i="2"/>
  <c r="F4944" i="2"/>
  <c r="B4943" i="2"/>
  <c r="F4937" i="2"/>
  <c r="B4936" i="2"/>
  <c r="B4934" i="2"/>
  <c r="F4930" i="2"/>
  <c r="F4928" i="2"/>
  <c r="B4927" i="2"/>
  <c r="F4921" i="2"/>
  <c r="B4920" i="2"/>
  <c r="B4918" i="2"/>
  <c r="F4914" i="2"/>
  <c r="F4912" i="2"/>
  <c r="B4911" i="2"/>
  <c r="F4905" i="2"/>
  <c r="B4904" i="2"/>
  <c r="B4902" i="2"/>
  <c r="F4898" i="2"/>
  <c r="F4896" i="2"/>
  <c r="B4895" i="2"/>
  <c r="F4889" i="2"/>
  <c r="B4888" i="2"/>
  <c r="B4886" i="2"/>
  <c r="F4882" i="2"/>
  <c r="F4880" i="2"/>
  <c r="B4879" i="2"/>
  <c r="F4873" i="2"/>
  <c r="B4872" i="2"/>
  <c r="B4870" i="2"/>
  <c r="F4866" i="2"/>
  <c r="F4864" i="2"/>
  <c r="B4863" i="2"/>
  <c r="F4857" i="2"/>
  <c r="B4856" i="2"/>
  <c r="B4854" i="2"/>
  <c r="F4841" i="2"/>
  <c r="B4835" i="2"/>
  <c r="F4833" i="2"/>
  <c r="F4816" i="2"/>
  <c r="B4815" i="2"/>
  <c r="F4809" i="2"/>
  <c r="B4808" i="2"/>
  <c r="F4776" i="2"/>
  <c r="B4775" i="2"/>
  <c r="F4769" i="2"/>
  <c r="B4768" i="2"/>
  <c r="F4760" i="2"/>
  <c r="B4759" i="2"/>
  <c r="F4753" i="2"/>
  <c r="B4752" i="2"/>
  <c r="F4744" i="2"/>
  <c r="B4743" i="2"/>
  <c r="B4730" i="2"/>
  <c r="B4726" i="2"/>
  <c r="B4724" i="2"/>
  <c r="B4722" i="2"/>
  <c r="B4718" i="2"/>
  <c r="B4716" i="2"/>
  <c r="B4714" i="2"/>
  <c r="B4710" i="2"/>
  <c r="B4708" i="2"/>
  <c r="B4706" i="2"/>
  <c r="B4702" i="2"/>
  <c r="B4700" i="2"/>
  <c r="B4698" i="2"/>
  <c r="B4694" i="2"/>
  <c r="B4692" i="2"/>
  <c r="B4690" i="2"/>
  <c r="B4686" i="2"/>
  <c r="B4684" i="2"/>
  <c r="B4682" i="2"/>
  <c r="B4678" i="2"/>
  <c r="B4676" i="2"/>
  <c r="B4674" i="2"/>
  <c r="B4670" i="2"/>
  <c r="B4668" i="2"/>
  <c r="B4666" i="2"/>
  <c r="B4662" i="2"/>
  <c r="B4660" i="2"/>
  <c r="B4658" i="2"/>
  <c r="B4654" i="2"/>
  <c r="B4652" i="2"/>
  <c r="B4650" i="2"/>
  <c r="B4646" i="2"/>
  <c r="B4644" i="2"/>
  <c r="B4642" i="2"/>
  <c r="B4638" i="2"/>
  <c r="B4636" i="2"/>
  <c r="B4634" i="2"/>
  <c r="B4630" i="2"/>
  <c r="B4628" i="2"/>
  <c r="B4626" i="2"/>
  <c r="B4622" i="2"/>
  <c r="B4620" i="2"/>
  <c r="B4618" i="2"/>
  <c r="B4614" i="2"/>
  <c r="B4612" i="2"/>
  <c r="B4610" i="2"/>
  <c r="B4606" i="2"/>
  <c r="B4604" i="2"/>
  <c r="B4602" i="2"/>
  <c r="B4598" i="2"/>
  <c r="B4596" i="2"/>
  <c r="F4584" i="2"/>
  <c r="B4583" i="2"/>
  <c r="F4577" i="2"/>
  <c r="B4576" i="2"/>
  <c r="B4574" i="2"/>
  <c r="F4570" i="2"/>
  <c r="F4568" i="2"/>
  <c r="B4567" i="2"/>
  <c r="F4561" i="2"/>
  <c r="B4560" i="2"/>
  <c r="B4558" i="2"/>
  <c r="F4554" i="2"/>
  <c r="F4552" i="2"/>
  <c r="B4551" i="2"/>
  <c r="F4545" i="2"/>
  <c r="B4544" i="2"/>
  <c r="B4542" i="2"/>
  <c r="F4538" i="2"/>
  <c r="F4536" i="2"/>
  <c r="B4535" i="2"/>
  <c r="F4529" i="2"/>
  <c r="B4528" i="2"/>
  <c r="B4526" i="2"/>
  <c r="F4522" i="2"/>
  <c r="F4520" i="2"/>
  <c r="B4519" i="2"/>
  <c r="F4513" i="2"/>
  <c r="B4512" i="2"/>
  <c r="B4510" i="2"/>
  <c r="F4506" i="2"/>
  <c r="F4504" i="2"/>
  <c r="B4503" i="2"/>
  <c r="F4497" i="2"/>
  <c r="B4496" i="2"/>
  <c r="B4494" i="2"/>
  <c r="F4490" i="2"/>
  <c r="F4488" i="2"/>
  <c r="B4487" i="2"/>
  <c r="F4481" i="2"/>
  <c r="B4480" i="2"/>
  <c r="B4478" i="2"/>
  <c r="F4474" i="2"/>
  <c r="F4472" i="2"/>
  <c r="B4471" i="2"/>
  <c r="F4465" i="2"/>
  <c r="B4464" i="2"/>
  <c r="B4462" i="2"/>
  <c r="F4458" i="2"/>
  <c r="F4456" i="2"/>
  <c r="B4455" i="2"/>
  <c r="F4449" i="2"/>
  <c r="B4448" i="2"/>
  <c r="B4446" i="2"/>
  <c r="F4442" i="2"/>
  <c r="F4440" i="2"/>
  <c r="B4439" i="2"/>
  <c r="F4433" i="2"/>
  <c r="B4432" i="2"/>
  <c r="B4430" i="2"/>
  <c r="F4426" i="2"/>
  <c r="F4424" i="2"/>
  <c r="B4423" i="2"/>
  <c r="F4368" i="2"/>
  <c r="B4367" i="2"/>
  <c r="F4365" i="2"/>
  <c r="B4364" i="2"/>
  <c r="F4360" i="2"/>
  <c r="B4359" i="2"/>
  <c r="F4357" i="2"/>
  <c r="B4356" i="2"/>
  <c r="F4352" i="2"/>
  <c r="B4351" i="2"/>
  <c r="F4349" i="2"/>
  <c r="B4348" i="2"/>
  <c r="F4344" i="2"/>
  <c r="B4343" i="2"/>
  <c r="F4341" i="2"/>
  <c r="B4340" i="2"/>
  <c r="F4336" i="2"/>
  <c r="B4335" i="2"/>
  <c r="F4333" i="2"/>
  <c r="B4332" i="2"/>
  <c r="F4328" i="2"/>
  <c r="B4327" i="2"/>
  <c r="F4325" i="2"/>
  <c r="B4324" i="2"/>
  <c r="F4320" i="2"/>
  <c r="B4319" i="2"/>
  <c r="F4317" i="2"/>
  <c r="B4316" i="2"/>
  <c r="F4312" i="2"/>
  <c r="B4311" i="2"/>
  <c r="F4309" i="2"/>
  <c r="B4308" i="2"/>
  <c r="F4304" i="2"/>
  <c r="B4303" i="2"/>
  <c r="F4301" i="2"/>
  <c r="B4300" i="2"/>
  <c r="F4296" i="2"/>
  <c r="B4295" i="2"/>
  <c r="F4293" i="2"/>
  <c r="B4292" i="2"/>
  <c r="F4288" i="2"/>
  <c r="B4287" i="2"/>
  <c r="F4285" i="2"/>
  <c r="B4284" i="2"/>
  <c r="F4280" i="2"/>
  <c r="B4279" i="2"/>
  <c r="F4277" i="2"/>
  <c r="B4276" i="2"/>
  <c r="F4272" i="2"/>
  <c r="B4271" i="2"/>
  <c r="F4269" i="2"/>
  <c r="B4268" i="2"/>
  <c r="F4264" i="2"/>
  <c r="B4263" i="2"/>
  <c r="F4261" i="2"/>
  <c r="B4260" i="2"/>
  <c r="F4256" i="2"/>
  <c r="B4255" i="2"/>
  <c r="F4253" i="2"/>
  <c r="B4252" i="2"/>
  <c r="F4248" i="2"/>
  <c r="B4247" i="2"/>
  <c r="F4245" i="2"/>
  <c r="B4244" i="2"/>
  <c r="F4240" i="2"/>
  <c r="B4239" i="2"/>
  <c r="F4237" i="2"/>
  <c r="F4226" i="2"/>
  <c r="B4222" i="2"/>
  <c r="F4218" i="2"/>
  <c r="B4214" i="2"/>
  <c r="F4210" i="2"/>
  <c r="B4206" i="2"/>
  <c r="F4202" i="2"/>
  <c r="F4188" i="2"/>
  <c r="B4187" i="2"/>
  <c r="F4185" i="2"/>
  <c r="B4184" i="2"/>
  <c r="F4180" i="2"/>
  <c r="B4179" i="2"/>
  <c r="F4177" i="2"/>
  <c r="B4176" i="2"/>
  <c r="F4172" i="2"/>
  <c r="B4171" i="2"/>
  <c r="F4169" i="2"/>
  <c r="B4168" i="2"/>
  <c r="B4154" i="2"/>
  <c r="F4150" i="2"/>
  <c r="B4146" i="2"/>
  <c r="F4142" i="2"/>
  <c r="B4138" i="2"/>
  <c r="F4134" i="2"/>
  <c r="B4130" i="2"/>
  <c r="F4126" i="2"/>
  <c r="B4122" i="2"/>
  <c r="F4118" i="2"/>
  <c r="F4104" i="2"/>
  <c r="B4103" i="2"/>
  <c r="F4101" i="2"/>
  <c r="B4100" i="2"/>
  <c r="F4096" i="2"/>
  <c r="B4095" i="2"/>
  <c r="F4093" i="2"/>
  <c r="B4092" i="2"/>
  <c r="F4088" i="2"/>
  <c r="B4087" i="2"/>
  <c r="F4085" i="2"/>
  <c r="B4084" i="2"/>
  <c r="F4080" i="2"/>
  <c r="B4079" i="2"/>
  <c r="B4068" i="2"/>
  <c r="F4064" i="2"/>
  <c r="B4063" i="2"/>
  <c r="F4061" i="2"/>
  <c r="B4060" i="2"/>
  <c r="F4056" i="2"/>
  <c r="B4055" i="2"/>
  <c r="F4053" i="2"/>
  <c r="B4052" i="2"/>
  <c r="F4048" i="2"/>
  <c r="B4047" i="2"/>
  <c r="F4045" i="2"/>
  <c r="B4044" i="2"/>
  <c r="F4040" i="2"/>
  <c r="B4039" i="2"/>
  <c r="F4037" i="2"/>
  <c r="B4036" i="2"/>
  <c r="F4032" i="2"/>
  <c r="B4031" i="2"/>
  <c r="F4029" i="2"/>
  <c r="B4028" i="2"/>
  <c r="F4024" i="2"/>
  <c r="B4023" i="2"/>
  <c r="F4021" i="2"/>
  <c r="B4020" i="2"/>
  <c r="F4008" i="2"/>
  <c r="B4007" i="2"/>
  <c r="F4005" i="2"/>
  <c r="B4004" i="2"/>
  <c r="F4000" i="2"/>
  <c r="B3999" i="2"/>
  <c r="F3997" i="2"/>
  <c r="B3996" i="2"/>
  <c r="F3992" i="2"/>
  <c r="B3991" i="2"/>
  <c r="F3989" i="2"/>
  <c r="B3988" i="2"/>
  <c r="F3984" i="2"/>
  <c r="B3983" i="2"/>
  <c r="F3981" i="2"/>
  <c r="B3980" i="2"/>
  <c r="F3976" i="2"/>
  <c r="B3975" i="2"/>
  <c r="F3973" i="2"/>
  <c r="B3972" i="2"/>
  <c r="F3968" i="2"/>
  <c r="F3954" i="2"/>
  <c r="B3950" i="2"/>
  <c r="F3946" i="2"/>
  <c r="B3942" i="2"/>
  <c r="F3938" i="2"/>
  <c r="B3934" i="2"/>
  <c r="F3930" i="2"/>
  <c r="B3926" i="2"/>
  <c r="F3922" i="2"/>
  <c r="B3918" i="2"/>
  <c r="F3916" i="2"/>
  <c r="B3914" i="2"/>
  <c r="F3912" i="2"/>
  <c r="B3910" i="2"/>
  <c r="F3908" i="2"/>
  <c r="B3906" i="2"/>
  <c r="F3904" i="2"/>
  <c r="B3902" i="2"/>
  <c r="F3900" i="2"/>
  <c r="B3898" i="2"/>
  <c r="F3896" i="2"/>
  <c r="B3894" i="2"/>
  <c r="F3892" i="2"/>
  <c r="B3890" i="2"/>
  <c r="F3888" i="2"/>
  <c r="B3886" i="2"/>
  <c r="F3884" i="2"/>
  <c r="B3882" i="2"/>
  <c r="F3880" i="2"/>
  <c r="B3878" i="2"/>
  <c r="F3876" i="2"/>
  <c r="B3874" i="2"/>
  <c r="F3872" i="2"/>
  <c r="B3870" i="2"/>
  <c r="F3868" i="2"/>
  <c r="B3866" i="2"/>
  <c r="F3864" i="2"/>
  <c r="B3862" i="2"/>
  <c r="F3860" i="2"/>
  <c r="B3858" i="2"/>
  <c r="F3856" i="2"/>
  <c r="B3854" i="2"/>
  <c r="F3852" i="2"/>
  <c r="B3850" i="2"/>
  <c r="F3848" i="2"/>
  <c r="B3846" i="2"/>
  <c r="F3844" i="2"/>
  <c r="B3842" i="2"/>
  <c r="F3840" i="2"/>
  <c r="B3838" i="2"/>
  <c r="F3836" i="2"/>
  <c r="B3834" i="2"/>
  <c r="F3832" i="2"/>
  <c r="B3830" i="2"/>
  <c r="F3828" i="2"/>
  <c r="B3826" i="2"/>
  <c r="F3824" i="2"/>
  <c r="B3822" i="2"/>
  <c r="F3820" i="2"/>
  <c r="B3818" i="2"/>
  <c r="F3816" i="2"/>
  <c r="B3814" i="2"/>
  <c r="F3812" i="2"/>
  <c r="B3810" i="2"/>
  <c r="F3808" i="2"/>
  <c r="B3806" i="2"/>
  <c r="F3804" i="2"/>
  <c r="B3802" i="2"/>
  <c r="F3800" i="2"/>
  <c r="B3798" i="2"/>
  <c r="F3796" i="2"/>
  <c r="B3794" i="2"/>
  <c r="F3792" i="2"/>
  <c r="B3790" i="2"/>
  <c r="F3788" i="2"/>
  <c r="B3786" i="2"/>
  <c r="F3784" i="2"/>
  <c r="B3782" i="2"/>
  <c r="F3780" i="2"/>
  <c r="B3778" i="2"/>
  <c r="F3776" i="2"/>
  <c r="B3774" i="2"/>
  <c r="F3772" i="2"/>
  <c r="B3770" i="2"/>
  <c r="F3768" i="2"/>
  <c r="B3766" i="2"/>
  <c r="F3764" i="2"/>
  <c r="B3762" i="2"/>
  <c r="F3760" i="2"/>
  <c r="B3758" i="2"/>
  <c r="F3756" i="2"/>
  <c r="B3754" i="2"/>
  <c r="F3752" i="2"/>
  <c r="B3750" i="2"/>
  <c r="F3748" i="2"/>
  <c r="B3746" i="2"/>
  <c r="F3744" i="2"/>
  <c r="B3742" i="2"/>
  <c r="F3740" i="2"/>
  <c r="B3738" i="2"/>
  <c r="F3736" i="2"/>
  <c r="B3734" i="2"/>
  <c r="F3732" i="2"/>
  <c r="B3730" i="2"/>
  <c r="F3728" i="2"/>
  <c r="B3726" i="2"/>
  <c r="F3724" i="2"/>
  <c r="B3722" i="2"/>
  <c r="F3720" i="2"/>
  <c r="B3718" i="2"/>
  <c r="F3716" i="2"/>
  <c r="B3714" i="2"/>
  <c r="F3712" i="2"/>
  <c r="B3710" i="2"/>
  <c r="F3708" i="2"/>
  <c r="B3706" i="2"/>
  <c r="F3704" i="2"/>
  <c r="B3702" i="2"/>
  <c r="F3700" i="2"/>
  <c r="B3698" i="2"/>
  <c r="F3696" i="2"/>
  <c r="B3694" i="2"/>
  <c r="F3692" i="2"/>
  <c r="B3690" i="2"/>
  <c r="F3688" i="2"/>
  <c r="B3686" i="2"/>
  <c r="F3684" i="2"/>
  <c r="B3682" i="2"/>
  <c r="F3680" i="2"/>
  <c r="B3678" i="2"/>
  <c r="F3676" i="2"/>
  <c r="B3674" i="2"/>
  <c r="F3672" i="2"/>
  <c r="B3670" i="2"/>
  <c r="F3668" i="2"/>
  <c r="B3666" i="2"/>
  <c r="F3664" i="2"/>
  <c r="B3662" i="2"/>
  <c r="F3660" i="2"/>
  <c r="B3658" i="2"/>
  <c r="F3656" i="2"/>
  <c r="B3654" i="2"/>
  <c r="F3652" i="2"/>
  <c r="B3650" i="2"/>
  <c r="B3638" i="2"/>
  <c r="F3636" i="2"/>
  <c r="B3634" i="2"/>
  <c r="F3632" i="2"/>
  <c r="B3630" i="2"/>
  <c r="F3628" i="2"/>
  <c r="B3626" i="2"/>
  <c r="F3624" i="2"/>
  <c r="B3622" i="2"/>
  <c r="F3620" i="2"/>
  <c r="B3618" i="2"/>
  <c r="F3616" i="2"/>
  <c r="B3614" i="2"/>
  <c r="F3612" i="2"/>
  <c r="B3610" i="2"/>
  <c r="F3608" i="2"/>
  <c r="B3606" i="2"/>
  <c r="F3604" i="2"/>
  <c r="B3602" i="2"/>
  <c r="F3600" i="2"/>
  <c r="B3598" i="2"/>
  <c r="B3586" i="2"/>
  <c r="F3584" i="2"/>
  <c r="B3582" i="2"/>
  <c r="F3580" i="2"/>
  <c r="B3578" i="2"/>
  <c r="F3576" i="2"/>
  <c r="B3574" i="2"/>
  <c r="F3572" i="2"/>
  <c r="B3570" i="2"/>
  <c r="B3558" i="2"/>
  <c r="F3556" i="2"/>
  <c r="B3554" i="2"/>
  <c r="F3552" i="2"/>
  <c r="B3550" i="2"/>
  <c r="F3548" i="2"/>
  <c r="B3546" i="2"/>
  <c r="F3544" i="2"/>
  <c r="B3542" i="2"/>
  <c r="F3540" i="2"/>
  <c r="B3538" i="2"/>
  <c r="F3536" i="2"/>
  <c r="B3534" i="2"/>
  <c r="F3532" i="2"/>
  <c r="B3530" i="2"/>
  <c r="F3528" i="2"/>
  <c r="B3526" i="2"/>
  <c r="F3524" i="2"/>
  <c r="B3522" i="2"/>
  <c r="F3520" i="2"/>
  <c r="B3518" i="2"/>
  <c r="F3516" i="2"/>
  <c r="F3504" i="2"/>
  <c r="B3502" i="2"/>
  <c r="F3500" i="2"/>
  <c r="B3498" i="2"/>
  <c r="F3496" i="2"/>
  <c r="B3494" i="2"/>
  <c r="F3492" i="2"/>
  <c r="B3490" i="2"/>
  <c r="F3488" i="2"/>
  <c r="B3486" i="2"/>
  <c r="F3484" i="2"/>
  <c r="B3482" i="2"/>
  <c r="F3480" i="2"/>
  <c r="B3478" i="2"/>
  <c r="F3476" i="2"/>
  <c r="B3474" i="2"/>
  <c r="F3472" i="2"/>
  <c r="B3470" i="2"/>
  <c r="F3468" i="2"/>
  <c r="B3466" i="2"/>
  <c r="F3464" i="2"/>
  <c r="B3462" i="2"/>
  <c r="F3460" i="2"/>
  <c r="B3458" i="2"/>
  <c r="F3456" i="2"/>
  <c r="B3454" i="2"/>
  <c r="F3452" i="2"/>
  <c r="F3440" i="2"/>
  <c r="B3438" i="2"/>
  <c r="F3436" i="2"/>
  <c r="B3434" i="2"/>
  <c r="F3432" i="2"/>
  <c r="B3430" i="2"/>
  <c r="F3428" i="2"/>
  <c r="B3426" i="2"/>
  <c r="F3424" i="2"/>
  <c r="B3422" i="2"/>
  <c r="F3420" i="2"/>
  <c r="B3418" i="2"/>
  <c r="F3416" i="2"/>
  <c r="B3414" i="2"/>
  <c r="F3412" i="2"/>
  <c r="B3410" i="2"/>
  <c r="F3408" i="2"/>
  <c r="B3406" i="2"/>
  <c r="F3404" i="2"/>
  <c r="B3402" i="2"/>
  <c r="F3400" i="2"/>
  <c r="B3398" i="2"/>
  <c r="F3396" i="2"/>
  <c r="B3394" i="2"/>
  <c r="F3392" i="2"/>
  <c r="B3390" i="2"/>
  <c r="F3388" i="2"/>
  <c r="B3386" i="2"/>
  <c r="F3384" i="2"/>
  <c r="B3382" i="2"/>
  <c r="F3380" i="2"/>
  <c r="B3378" i="2"/>
  <c r="F3376" i="2"/>
  <c r="B3374" i="2"/>
  <c r="F3372" i="2"/>
  <c r="B3370" i="2"/>
  <c r="F3368" i="2"/>
  <c r="B3366" i="2"/>
  <c r="F3364" i="2"/>
  <c r="B3362" i="2"/>
  <c r="F3360" i="2"/>
  <c r="B3358" i="2"/>
  <c r="F3356" i="2"/>
  <c r="B3354" i="2"/>
  <c r="F3352" i="2"/>
  <c r="B3350" i="2"/>
  <c r="F3348" i="2"/>
  <c r="B3346" i="2"/>
  <c r="F3344" i="2"/>
  <c r="B3342" i="2"/>
  <c r="F3340" i="2"/>
  <c r="B3338" i="2"/>
  <c r="F3336" i="2"/>
  <c r="B3334" i="2"/>
  <c r="F3332" i="2"/>
  <c r="B3330" i="2"/>
  <c r="F3328" i="2"/>
  <c r="B3326" i="2"/>
  <c r="F3324" i="2"/>
  <c r="F3312" i="2"/>
  <c r="B3310" i="2"/>
  <c r="F3308" i="2"/>
  <c r="B3306" i="2"/>
  <c r="F3304" i="2"/>
  <c r="B3302" i="2"/>
  <c r="F3300" i="2"/>
  <c r="B3298" i="2"/>
  <c r="F3296" i="2"/>
  <c r="B3294" i="2"/>
  <c r="F3292" i="2"/>
  <c r="B3290" i="2"/>
  <c r="F3288" i="2"/>
  <c r="B3286" i="2"/>
  <c r="F3284" i="2"/>
  <c r="B3282" i="2"/>
  <c r="F3280" i="2"/>
  <c r="B3278" i="2"/>
  <c r="F3276" i="2"/>
  <c r="B3274" i="2"/>
  <c r="F3272" i="2"/>
  <c r="B3270" i="2"/>
  <c r="F3268" i="2"/>
  <c r="B3266" i="2"/>
  <c r="F3264" i="2"/>
  <c r="B3262" i="2"/>
  <c r="F3260" i="2"/>
  <c r="B3258" i="2"/>
  <c r="F3256" i="2"/>
  <c r="B3254" i="2"/>
  <c r="F3252" i="2"/>
  <c r="B3250" i="2"/>
  <c r="F3248" i="2"/>
  <c r="B3246" i="2"/>
  <c r="F3244" i="2"/>
  <c r="F3232" i="2"/>
  <c r="B3230" i="2"/>
  <c r="F3228" i="2"/>
  <c r="B3226" i="2"/>
  <c r="F3224" i="2"/>
  <c r="B3222" i="2"/>
  <c r="F3220" i="2"/>
  <c r="B3218" i="2"/>
  <c r="F3216" i="2"/>
  <c r="B3214" i="2"/>
  <c r="F3212" i="2"/>
  <c r="B3210" i="2"/>
  <c r="F3208" i="2"/>
  <c r="B3206" i="2"/>
  <c r="F3204" i="2"/>
  <c r="B3202" i="2"/>
  <c r="F3200" i="2"/>
  <c r="B3198" i="2"/>
  <c r="F3196" i="2"/>
  <c r="B3194" i="2"/>
  <c r="B3182" i="2"/>
  <c r="F3180" i="2"/>
  <c r="B3178" i="2"/>
  <c r="F3176" i="2"/>
  <c r="B3174" i="2"/>
  <c r="F3172" i="2"/>
  <c r="B3170" i="2"/>
  <c r="F3168" i="2"/>
  <c r="B3166" i="2"/>
  <c r="F3164" i="2"/>
  <c r="B3162" i="2"/>
  <c r="F3160" i="2"/>
  <c r="B3158" i="2"/>
  <c r="F3156" i="2"/>
  <c r="B3154" i="2"/>
  <c r="F3152" i="2"/>
  <c r="B3150" i="2"/>
  <c r="F3148" i="2"/>
  <c r="B3146" i="2"/>
  <c r="F3144" i="2"/>
  <c r="B3142" i="2"/>
  <c r="F3140" i="2"/>
  <c r="B3138" i="2"/>
  <c r="F3136" i="2"/>
  <c r="B3134" i="2"/>
  <c r="F3132" i="2"/>
  <c r="B3130" i="2"/>
  <c r="F3128" i="2"/>
  <c r="B3126" i="2"/>
  <c r="B3114" i="2"/>
  <c r="F3112" i="2"/>
  <c r="B3110" i="2"/>
  <c r="F3108" i="2"/>
  <c r="B3106" i="2"/>
  <c r="F3104" i="2"/>
  <c r="B3102" i="2"/>
  <c r="F3100" i="2"/>
  <c r="B3098" i="2"/>
  <c r="F3096" i="2"/>
  <c r="B3094" i="2"/>
  <c r="F3092" i="2"/>
  <c r="B3090" i="2"/>
  <c r="F3088" i="2"/>
  <c r="B3086" i="2"/>
  <c r="F3084" i="2"/>
  <c r="B3082" i="2"/>
  <c r="F3080" i="2"/>
  <c r="B3078" i="2"/>
  <c r="F3076" i="2"/>
  <c r="B3074" i="2"/>
  <c r="F3072" i="2"/>
  <c r="B3070" i="2"/>
  <c r="F3068" i="2"/>
  <c r="B3066" i="2"/>
  <c r="F3064" i="2"/>
  <c r="B3062" i="2"/>
  <c r="F3060" i="2"/>
  <c r="B3058" i="2"/>
  <c r="F3056" i="2"/>
  <c r="B3054" i="2"/>
  <c r="F3052" i="2"/>
  <c r="B3050" i="2"/>
  <c r="F3048" i="2"/>
  <c r="F3036" i="2"/>
  <c r="B3034" i="2"/>
  <c r="F3032" i="2"/>
  <c r="B3030" i="2"/>
  <c r="F3028" i="2"/>
  <c r="B3026" i="2"/>
  <c r="F3024" i="2"/>
  <c r="F3012" i="2"/>
  <c r="B3010" i="2"/>
  <c r="F3008" i="2"/>
  <c r="B3006" i="2"/>
  <c r="F3004" i="2"/>
  <c r="B3002" i="2"/>
  <c r="F3000" i="2"/>
  <c r="B2998" i="2"/>
  <c r="F2996" i="2"/>
  <c r="B2994" i="2"/>
  <c r="F2992" i="2"/>
  <c r="B2990" i="2"/>
  <c r="F2988" i="2"/>
  <c r="B2986" i="2"/>
  <c r="F2984" i="2"/>
  <c r="B2982" i="2"/>
  <c r="F2980" i="2"/>
  <c r="B2978" i="2"/>
  <c r="F2976" i="2"/>
  <c r="B2974" i="2"/>
  <c r="F2972" i="2"/>
  <c r="B2970" i="2"/>
  <c r="F2968" i="2"/>
  <c r="B2966" i="2"/>
  <c r="F2964" i="2"/>
  <c r="B2962" i="2"/>
  <c r="F2960" i="2"/>
  <c r="B2958" i="2"/>
  <c r="F2956" i="2"/>
  <c r="F2944" i="2"/>
  <c r="B2942" i="2"/>
  <c r="F2940" i="2"/>
  <c r="B2938" i="2"/>
  <c r="F2936" i="2"/>
  <c r="B2934" i="2"/>
  <c r="F2932" i="2"/>
  <c r="B2930" i="2"/>
  <c r="F2928" i="2"/>
  <c r="B2926" i="2"/>
  <c r="F2924" i="2"/>
  <c r="B2922" i="2"/>
  <c r="F2920" i="2"/>
  <c r="B2918" i="2"/>
  <c r="F2916" i="2"/>
  <c r="B2914" i="2"/>
  <c r="F2912" i="2"/>
  <c r="B2910" i="2"/>
  <c r="F2908" i="2"/>
  <c r="B2906" i="2"/>
  <c r="F2904" i="2"/>
  <c r="B2902" i="2"/>
  <c r="F2900" i="2"/>
  <c r="F2888" i="2"/>
  <c r="B2886" i="2"/>
  <c r="F2884" i="2"/>
  <c r="B2882" i="2"/>
  <c r="F2880" i="2"/>
  <c r="B2878" i="2"/>
  <c r="F2876" i="2"/>
  <c r="B2874" i="2"/>
  <c r="F2872" i="2"/>
  <c r="B2870" i="2"/>
  <c r="F2868" i="2"/>
  <c r="B2866" i="2"/>
  <c r="F2864" i="2"/>
  <c r="B2862" i="2"/>
  <c r="F2860" i="2"/>
  <c r="B2858" i="2"/>
  <c r="F2856" i="2"/>
  <c r="B2854" i="2"/>
  <c r="F2852" i="2"/>
  <c r="B2850" i="2"/>
  <c r="F2848" i="2"/>
  <c r="B2846" i="2"/>
  <c r="F2844" i="2"/>
  <c r="B2842" i="2"/>
  <c r="F2840" i="2"/>
  <c r="B2838" i="2"/>
  <c r="F2836" i="2"/>
  <c r="B2834" i="2"/>
  <c r="F2832" i="2"/>
  <c r="B2830" i="2"/>
  <c r="F2828" i="2"/>
  <c r="B2826" i="2"/>
  <c r="F2824" i="2"/>
  <c r="B2822" i="2"/>
  <c r="B2810" i="2"/>
  <c r="F2808" i="2"/>
  <c r="B2806" i="2"/>
  <c r="F2804" i="2"/>
  <c r="B2802" i="2"/>
  <c r="F2800" i="2"/>
  <c r="B2798" i="2"/>
  <c r="B2786" i="2"/>
  <c r="F2784" i="2"/>
  <c r="B2782" i="2"/>
  <c r="F2780" i="2"/>
  <c r="B2778" i="2"/>
  <c r="F2776" i="2"/>
  <c r="F2764" i="2"/>
  <c r="B2762" i="2"/>
  <c r="F2760" i="2"/>
  <c r="B2758" i="2"/>
  <c r="F2756" i="2"/>
  <c r="B2754" i="2"/>
  <c r="F2752" i="2"/>
  <c r="B2750" i="2"/>
  <c r="F2748" i="2"/>
  <c r="B2746" i="2"/>
  <c r="F2744" i="2"/>
  <c r="B2742" i="2"/>
  <c r="F2740" i="2"/>
  <c r="B2738" i="2"/>
  <c r="F2736" i="2"/>
  <c r="B2734" i="2"/>
  <c r="F2732" i="2"/>
  <c r="B2730" i="2"/>
  <c r="F2728" i="2"/>
  <c r="B2726" i="2"/>
  <c r="F2724" i="2"/>
  <c r="B2722" i="2"/>
  <c r="F2720" i="2"/>
  <c r="B2718" i="2"/>
  <c r="F2716" i="2"/>
  <c r="B2714" i="2"/>
  <c r="F2712" i="2"/>
  <c r="B2710" i="2"/>
  <c r="F2708" i="2"/>
  <c r="B2706" i="2"/>
  <c r="F2704" i="2"/>
  <c r="B2702" i="2"/>
  <c r="B2690" i="2"/>
  <c r="F2688" i="2"/>
  <c r="B2686" i="2"/>
  <c r="F2684" i="2"/>
  <c r="B2682" i="2"/>
  <c r="F2680" i="2"/>
  <c r="B2678" i="2"/>
  <c r="F2676" i="2"/>
  <c r="B2674" i="2"/>
  <c r="B2662" i="2"/>
  <c r="F2660" i="2"/>
  <c r="B2658" i="2"/>
  <c r="F2656" i="2"/>
  <c r="B2654" i="2"/>
  <c r="F2652" i="2"/>
  <c r="B2650" i="2"/>
  <c r="F2648" i="2"/>
  <c r="B2646" i="2"/>
  <c r="F2644" i="2"/>
  <c r="B2642" i="2"/>
  <c r="F2640" i="2"/>
  <c r="B2638" i="2"/>
  <c r="F2636" i="2"/>
  <c r="B2634" i="2"/>
  <c r="F2632" i="2"/>
  <c r="B2630" i="2"/>
  <c r="F2628" i="2"/>
  <c r="B2626" i="2"/>
  <c r="F2624" i="2"/>
  <c r="B2622" i="2"/>
  <c r="F2620" i="2"/>
  <c r="B2618" i="2"/>
  <c r="F2616" i="2"/>
  <c r="B2614" i="2"/>
  <c r="F2612" i="2"/>
  <c r="B2610" i="2"/>
  <c r="F2608" i="2"/>
  <c r="B2606" i="2"/>
  <c r="B2594" i="2"/>
  <c r="F2592" i="2"/>
  <c r="B2590" i="2"/>
  <c r="F2588" i="2"/>
  <c r="B2586" i="2"/>
  <c r="F2584" i="2"/>
  <c r="B2582" i="2"/>
  <c r="F2580" i="2"/>
  <c r="B2578" i="2"/>
  <c r="F2576" i="2"/>
  <c r="B2574" i="2"/>
  <c r="F2572" i="2"/>
  <c r="B2570" i="2"/>
  <c r="F2568" i="2"/>
  <c r="B2566" i="2"/>
  <c r="F2564" i="2"/>
  <c r="B2562" i="2"/>
  <c r="F2560" i="2"/>
  <c r="B2558" i="2"/>
  <c r="B7586" i="2"/>
  <c r="B7546" i="2"/>
  <c r="B7543" i="2"/>
  <c r="F6321" i="2"/>
  <c r="F6314" i="2"/>
  <c r="F6217" i="2"/>
  <c r="B6031" i="2"/>
  <c r="B5838" i="2"/>
  <c r="F5741" i="2"/>
  <c r="F5543" i="2"/>
  <c r="B5537" i="2"/>
  <c r="B5488" i="2"/>
  <c r="F5484" i="2"/>
  <c r="F5347" i="2"/>
  <c r="B5259" i="2"/>
  <c r="B5227" i="2"/>
  <c r="B5195" i="2"/>
  <c r="F5066" i="2"/>
  <c r="B5054" i="2"/>
  <c r="F5050" i="2"/>
  <c r="B5038" i="2"/>
  <c r="F5034" i="2"/>
  <c r="B5022" i="2"/>
  <c r="F5018" i="2"/>
  <c r="B5006" i="2"/>
  <c r="F5002" i="2"/>
  <c r="F4984" i="2"/>
  <c r="F4976" i="2"/>
  <c r="F4968" i="2"/>
  <c r="B4842" i="2"/>
  <c r="B4819" i="2"/>
  <c r="B4810" i="2"/>
  <c r="F4806" i="2"/>
  <c r="F4780" i="2"/>
  <c r="B4772" i="2"/>
  <c r="F4748" i="2"/>
  <c r="F4581" i="2"/>
  <c r="F4565" i="2"/>
  <c r="F4549" i="2"/>
  <c r="F4533" i="2"/>
  <c r="F4517" i="2"/>
  <c r="F4501" i="2"/>
  <c r="F4485" i="2"/>
  <c r="F4469" i="2"/>
  <c r="F4453" i="2"/>
  <c r="F4437" i="2"/>
  <c r="F4421" i="2"/>
  <c r="F4406" i="2"/>
  <c r="F4386" i="2"/>
  <c r="F4380" i="2"/>
  <c r="F4374" i="2"/>
  <c r="B4366" i="2"/>
  <c r="F4362" i="2"/>
  <c r="B4350" i="2"/>
  <c r="F4346" i="2"/>
  <c r="B4334" i="2"/>
  <c r="F4330" i="2"/>
  <c r="B4318" i="2"/>
  <c r="F4314" i="2"/>
  <c r="B4302" i="2"/>
  <c r="F4298" i="2"/>
  <c r="B4286" i="2"/>
  <c r="F4282" i="2"/>
  <c r="B4270" i="2"/>
  <c r="F4266" i="2"/>
  <c r="B4254" i="2"/>
  <c r="F4250" i="2"/>
  <c r="B4238" i="2"/>
  <c r="B4224" i="2"/>
  <c r="F4220" i="2"/>
  <c r="B4216" i="2"/>
  <c r="F4212" i="2"/>
  <c r="B4208" i="2"/>
  <c r="F4204" i="2"/>
  <c r="F4190" i="2"/>
  <c r="B4178" i="2"/>
  <c r="F4174" i="2"/>
  <c r="B4151" i="2"/>
  <c r="B4143" i="2"/>
  <c r="B4135" i="2"/>
  <c r="B4127" i="2"/>
  <c r="B4119" i="2"/>
  <c r="B3955" i="2"/>
  <c r="B3947" i="2"/>
  <c r="B3939" i="2"/>
  <c r="B3931" i="2"/>
  <c r="B3923" i="2"/>
  <c r="F3759" i="2"/>
  <c r="B3755" i="2"/>
  <c r="F3751" i="2"/>
  <c r="B3747" i="2"/>
  <c r="F3743" i="2"/>
  <c r="B3739" i="2"/>
  <c r="F3735" i="2"/>
  <c r="B3731" i="2"/>
  <c r="F3727" i="2"/>
  <c r="B3723" i="2"/>
  <c r="F3719" i="2"/>
  <c r="B3715" i="2"/>
  <c r="F3711" i="2"/>
  <c r="B3707" i="2"/>
  <c r="F3703" i="2"/>
  <c r="B3699" i="2"/>
  <c r="F3695" i="2"/>
  <c r="B3691" i="2"/>
  <c r="F3687" i="2"/>
  <c r="B3683" i="2"/>
  <c r="F3679" i="2"/>
  <c r="B3675" i="2"/>
  <c r="F3671" i="2"/>
  <c r="B3667" i="2"/>
  <c r="F3663" i="2"/>
  <c r="B3659" i="2"/>
  <c r="F3655" i="2"/>
  <c r="B3651" i="2"/>
  <c r="F3638" i="2"/>
  <c r="B3637" i="2"/>
  <c r="F3633" i="2"/>
  <c r="B3632" i="2"/>
  <c r="F3630" i="2"/>
  <c r="B3629" i="2"/>
  <c r="F3625" i="2"/>
  <c r="B3624" i="2"/>
  <c r="F3622" i="2"/>
  <c r="B3621" i="2"/>
  <c r="F3617" i="2"/>
  <c r="B3616" i="2"/>
  <c r="F3614" i="2"/>
  <c r="B3613" i="2"/>
  <c r="F3609" i="2"/>
  <c r="B3608" i="2"/>
  <c r="F3606" i="2"/>
  <c r="B3605" i="2"/>
  <c r="F3601" i="2"/>
  <c r="B3600" i="2"/>
  <c r="F3598" i="2"/>
  <c r="F3587" i="2"/>
  <c r="B3583" i="2"/>
  <c r="F3579" i="2"/>
  <c r="B3575" i="2"/>
  <c r="F3571" i="2"/>
  <c r="F3557" i="2"/>
  <c r="B3556" i="2"/>
  <c r="F3554" i="2"/>
  <c r="B3553" i="2"/>
  <c r="F3549" i="2"/>
  <c r="B3548" i="2"/>
  <c r="F3546" i="2"/>
  <c r="B3545" i="2"/>
  <c r="F3541" i="2"/>
  <c r="B3540" i="2"/>
  <c r="F3538" i="2"/>
  <c r="B3537" i="2"/>
  <c r="F3533" i="2"/>
  <c r="B3532" i="2"/>
  <c r="F3530" i="2"/>
  <c r="B3529" i="2"/>
  <c r="F3525" i="2"/>
  <c r="B3524" i="2"/>
  <c r="F3522" i="2"/>
  <c r="B3521" i="2"/>
  <c r="F3517" i="2"/>
  <c r="B3516" i="2"/>
  <c r="B3505" i="2"/>
  <c r="F3501" i="2"/>
  <c r="B3500" i="2"/>
  <c r="F3498" i="2"/>
  <c r="B3497" i="2"/>
  <c r="F3493" i="2"/>
  <c r="B3492" i="2"/>
  <c r="F3490" i="2"/>
  <c r="B3489" i="2"/>
  <c r="F3485" i="2"/>
  <c r="B3484" i="2"/>
  <c r="F3482" i="2"/>
  <c r="B3481" i="2"/>
  <c r="F3477" i="2"/>
  <c r="B3476" i="2"/>
  <c r="F3474" i="2"/>
  <c r="B3473" i="2"/>
  <c r="F3469" i="2"/>
  <c r="B3468" i="2"/>
  <c r="F3466" i="2"/>
  <c r="B3465" i="2"/>
  <c r="F3461" i="2"/>
  <c r="B3460" i="2"/>
  <c r="F3458" i="2"/>
  <c r="B3457" i="2"/>
  <c r="F3453" i="2"/>
  <c r="B3452" i="2"/>
  <c r="B3441" i="2"/>
  <c r="F3437" i="2"/>
  <c r="B3436" i="2"/>
  <c r="F3434" i="2"/>
  <c r="B3433" i="2"/>
  <c r="F3429" i="2"/>
  <c r="B3428" i="2"/>
  <c r="F3426" i="2"/>
  <c r="B3425" i="2"/>
  <c r="F3421" i="2"/>
  <c r="B3420" i="2"/>
  <c r="F3418" i="2"/>
  <c r="B3417" i="2"/>
  <c r="F3413" i="2"/>
  <c r="B3412" i="2"/>
  <c r="F3410" i="2"/>
  <c r="B3409" i="2"/>
  <c r="F3405" i="2"/>
  <c r="B3404" i="2"/>
  <c r="F3402" i="2"/>
  <c r="B3401" i="2"/>
  <c r="F3397" i="2"/>
  <c r="B3396" i="2"/>
  <c r="F3394" i="2"/>
  <c r="B3393" i="2"/>
  <c r="F3389" i="2"/>
  <c r="B3388" i="2"/>
  <c r="F3386" i="2"/>
  <c r="B3385" i="2"/>
  <c r="F3381" i="2"/>
  <c r="B3380" i="2"/>
  <c r="F3378" i="2"/>
  <c r="B3377" i="2"/>
  <c r="F3373" i="2"/>
  <c r="B3372" i="2"/>
  <c r="F3370" i="2"/>
  <c r="B3369" i="2"/>
  <c r="F3365" i="2"/>
  <c r="B3364" i="2"/>
  <c r="F3362" i="2"/>
  <c r="B3361" i="2"/>
  <c r="F3357" i="2"/>
  <c r="B3356" i="2"/>
  <c r="F3354" i="2"/>
  <c r="B3353" i="2"/>
  <c r="F3349" i="2"/>
  <c r="B3348" i="2"/>
  <c r="F3346" i="2"/>
  <c r="B3345" i="2"/>
  <c r="F3341" i="2"/>
  <c r="B3340" i="2"/>
  <c r="F3338" i="2"/>
  <c r="B3337" i="2"/>
  <c r="F3333" i="2"/>
  <c r="B3332" i="2"/>
  <c r="F3330" i="2"/>
  <c r="B3329" i="2"/>
  <c r="F3325" i="2"/>
  <c r="B3324" i="2"/>
  <c r="F3311" i="2"/>
  <c r="B3307" i="2"/>
  <c r="F3303" i="2"/>
  <c r="B3299" i="2"/>
  <c r="F3295" i="2"/>
  <c r="B3291" i="2"/>
  <c r="F3287" i="2"/>
  <c r="B3283" i="2"/>
  <c r="F3279" i="2"/>
  <c r="B3275" i="2"/>
  <c r="F3271" i="2"/>
  <c r="B3267" i="2"/>
  <c r="F3263" i="2"/>
  <c r="B3259" i="2"/>
  <c r="F3255" i="2"/>
  <c r="B3251" i="2"/>
  <c r="F3247" i="2"/>
  <c r="F3231" i="2"/>
  <c r="B3227" i="2"/>
  <c r="F3223" i="2"/>
  <c r="B3219" i="2"/>
  <c r="F3215" i="2"/>
  <c r="B3211" i="2"/>
  <c r="F3207" i="2"/>
  <c r="B3203" i="2"/>
  <c r="F3199" i="2"/>
  <c r="B3195" i="2"/>
  <c r="F3182" i="2"/>
  <c r="B3181" i="2"/>
  <c r="F3177" i="2"/>
  <c r="B3176" i="2"/>
  <c r="F3174" i="2"/>
  <c r="B3173" i="2"/>
  <c r="F3169" i="2"/>
  <c r="B3168" i="2"/>
  <c r="F3166" i="2"/>
  <c r="B3165" i="2"/>
  <c r="F3161" i="2"/>
  <c r="B3160" i="2"/>
  <c r="F3158" i="2"/>
  <c r="B3157" i="2"/>
  <c r="F3153" i="2"/>
  <c r="B3152" i="2"/>
  <c r="F3150" i="2"/>
  <c r="B3149" i="2"/>
  <c r="F3145" i="2"/>
  <c r="B3144" i="2"/>
  <c r="F3142" i="2"/>
  <c r="B3141" i="2"/>
  <c r="F3137" i="2"/>
  <c r="B3136" i="2"/>
  <c r="F3134" i="2"/>
  <c r="B3133" i="2"/>
  <c r="F3129" i="2"/>
  <c r="B3128" i="2"/>
  <c r="F3126" i="2"/>
  <c r="B3125" i="2"/>
  <c r="B3111" i="2"/>
  <c r="F3107" i="2"/>
  <c r="B3103" i="2"/>
  <c r="F3099" i="2"/>
  <c r="B3095" i="2"/>
  <c r="F3091" i="2"/>
  <c r="B3087" i="2"/>
  <c r="F3083" i="2"/>
  <c r="B3079" i="2"/>
  <c r="F3075" i="2"/>
  <c r="B3071" i="2"/>
  <c r="F3067" i="2"/>
  <c r="B3063" i="2"/>
  <c r="F3059" i="2"/>
  <c r="B3055" i="2"/>
  <c r="F3051" i="2"/>
  <c r="F3035" i="2"/>
  <c r="B3031" i="2"/>
  <c r="F3027" i="2"/>
  <c r="F3011" i="2"/>
  <c r="B3007" i="2"/>
  <c r="F3003" i="2"/>
  <c r="B2999" i="2"/>
  <c r="F2995" i="2"/>
  <c r="B2991" i="2"/>
  <c r="F2987" i="2"/>
  <c r="B2983" i="2"/>
  <c r="F2979" i="2"/>
  <c r="B2975" i="2"/>
  <c r="F2971" i="2"/>
  <c r="B2967" i="2"/>
  <c r="F2963" i="2"/>
  <c r="B2959" i="2"/>
  <c r="B2943" i="2"/>
  <c r="F2939" i="2"/>
  <c r="B2935" i="2"/>
  <c r="F2931" i="2"/>
  <c r="B2927" i="2"/>
  <c r="F2923" i="2"/>
  <c r="B2919" i="2"/>
  <c r="F2915" i="2"/>
  <c r="B2911" i="2"/>
  <c r="F2907" i="2"/>
  <c r="B2903" i="2"/>
  <c r="B2887" i="2"/>
  <c r="F2883" i="2"/>
  <c r="B2879" i="2"/>
  <c r="F2875" i="2"/>
  <c r="B2871" i="2"/>
  <c r="F2867" i="2"/>
  <c r="B2863" i="2"/>
  <c r="F2859" i="2"/>
  <c r="B2855" i="2"/>
  <c r="F2851" i="2"/>
  <c r="B2847" i="2"/>
  <c r="F2843" i="2"/>
  <c r="B2839" i="2"/>
  <c r="F2835" i="2"/>
  <c r="B2831" i="2"/>
  <c r="F2827" i="2"/>
  <c r="B2823" i="2"/>
  <c r="F2810" i="2"/>
  <c r="B2809" i="2"/>
  <c r="F2805" i="2"/>
  <c r="B2804" i="2"/>
  <c r="F2802" i="2"/>
  <c r="B2801" i="2"/>
  <c r="B2787" i="2"/>
  <c r="F2783" i="2"/>
  <c r="B2779" i="2"/>
  <c r="F2775" i="2"/>
  <c r="F2761" i="2"/>
  <c r="B2760" i="2"/>
  <c r="F2758" i="2"/>
  <c r="B2757" i="2"/>
  <c r="F2753" i="2"/>
  <c r="B2752" i="2"/>
  <c r="F2750" i="2"/>
  <c r="B2749" i="2"/>
  <c r="F2745" i="2"/>
  <c r="B2744" i="2"/>
  <c r="F2742" i="2"/>
  <c r="B2741" i="2"/>
  <c r="F2737" i="2"/>
  <c r="B2736" i="2"/>
  <c r="F2734" i="2"/>
  <c r="B2733" i="2"/>
  <c r="F2729" i="2"/>
  <c r="B2728" i="2"/>
  <c r="F2726" i="2"/>
  <c r="B2725" i="2"/>
  <c r="F2721" i="2"/>
  <c r="B2720" i="2"/>
  <c r="F2718" i="2"/>
  <c r="B2717" i="2"/>
  <c r="F2713" i="2"/>
  <c r="B2712" i="2"/>
  <c r="F2710" i="2"/>
  <c r="B2709" i="2"/>
  <c r="F2705" i="2"/>
  <c r="B2704" i="2"/>
  <c r="F2702" i="2"/>
  <c r="B2701" i="2"/>
  <c r="B2687" i="2"/>
  <c r="F2683" i="2"/>
  <c r="B2679" i="2"/>
  <c r="F2675" i="2"/>
  <c r="F2661" i="2"/>
  <c r="B2660" i="2"/>
  <c r="F2658" i="2"/>
  <c r="B2657" i="2"/>
  <c r="F2653" i="2"/>
  <c r="B2652" i="2"/>
  <c r="F2650" i="2"/>
  <c r="B2649" i="2"/>
  <c r="F2645" i="2"/>
  <c r="B2644" i="2"/>
  <c r="F2642" i="2"/>
  <c r="B2641" i="2"/>
  <c r="F2637" i="2"/>
  <c r="B2636" i="2"/>
  <c r="F2634" i="2"/>
  <c r="B2633" i="2"/>
  <c r="F2629" i="2"/>
  <c r="B2628" i="2"/>
  <c r="F2626" i="2"/>
  <c r="B2625" i="2"/>
  <c r="F2621" i="2"/>
  <c r="B2620" i="2"/>
  <c r="F2618" i="2"/>
  <c r="B2617" i="2"/>
  <c r="F2613" i="2"/>
  <c r="B2612" i="2"/>
  <c r="F2610" i="2"/>
  <c r="B2609" i="2"/>
  <c r="B2595" i="2"/>
  <c r="F2591" i="2"/>
  <c r="B2587" i="2"/>
  <c r="F2583" i="2"/>
  <c r="B2579" i="2"/>
  <c r="F2575" i="2"/>
  <c r="B2571" i="2"/>
  <c r="F2567" i="2"/>
  <c r="B2563" i="2"/>
  <c r="F2559" i="2"/>
  <c r="F2556" i="2"/>
  <c r="B2554" i="2"/>
  <c r="F2552" i="2"/>
  <c r="B2550" i="2"/>
  <c r="F2548" i="2"/>
  <c r="B2546" i="2"/>
  <c r="B2534" i="2"/>
  <c r="F2532" i="2"/>
  <c r="B2530" i="2"/>
  <c r="F2528" i="2"/>
  <c r="B2526" i="2"/>
  <c r="F2524" i="2"/>
  <c r="B2522" i="2"/>
  <c r="F2520" i="2"/>
  <c r="B2518" i="2"/>
  <c r="F2516" i="2"/>
  <c r="B2514" i="2"/>
  <c r="F2512" i="2"/>
  <c r="B2510" i="2"/>
  <c r="F2508" i="2"/>
  <c r="B2506" i="2"/>
  <c r="F2504" i="2"/>
  <c r="B2502" i="2"/>
  <c r="F2500" i="2"/>
  <c r="B2498" i="2"/>
  <c r="F2496" i="2"/>
  <c r="B2494" i="2"/>
  <c r="F2492" i="2"/>
  <c r="B2490" i="2"/>
  <c r="F2488" i="2"/>
  <c r="B2486" i="2"/>
  <c r="B2474" i="2"/>
  <c r="F2472" i="2"/>
  <c r="B2470" i="2"/>
  <c r="F2468" i="2"/>
  <c r="B2466" i="2"/>
  <c r="F2464" i="2"/>
  <c r="B2462" i="2"/>
  <c r="F2460" i="2"/>
  <c r="B2458" i="2"/>
  <c r="F2456" i="2"/>
  <c r="B2454" i="2"/>
  <c r="F2452" i="2"/>
  <c r="B2450" i="2"/>
  <c r="F2448" i="2"/>
  <c r="B2446" i="2"/>
  <c r="F2444" i="2"/>
  <c r="B2442" i="2"/>
  <c r="F2440" i="2"/>
  <c r="B2438" i="2"/>
  <c r="F2436" i="2"/>
  <c r="B2434" i="2"/>
  <c r="F2432" i="2"/>
  <c r="B2430" i="2"/>
  <c r="F2428" i="2"/>
  <c r="B2426" i="2"/>
  <c r="B2414" i="2"/>
  <c r="F2412" i="2"/>
  <c r="B2410" i="2"/>
  <c r="F2408" i="2"/>
  <c r="B2406" i="2"/>
  <c r="F2404" i="2"/>
  <c r="B2402" i="2"/>
  <c r="F2400" i="2"/>
  <c r="B2398" i="2"/>
  <c r="F2396" i="2"/>
  <c r="B2394" i="2"/>
  <c r="F2392" i="2"/>
  <c r="B2390" i="2"/>
  <c r="F2388" i="2"/>
  <c r="B2386" i="2"/>
  <c r="F2384" i="2"/>
  <c r="B2382" i="2"/>
  <c r="F2380" i="2"/>
  <c r="B2378" i="2"/>
  <c r="F2376" i="2"/>
  <c r="B2374" i="2"/>
  <c r="F2372" i="2"/>
  <c r="B2370" i="2"/>
  <c r="F2368" i="2"/>
  <c r="B2366" i="2"/>
  <c r="B2354" i="2"/>
  <c r="F2352" i="2"/>
  <c r="B2350" i="2"/>
  <c r="F2348" i="2"/>
  <c r="B2346" i="2"/>
  <c r="F2344" i="2"/>
  <c r="B2342" i="2"/>
  <c r="F2340" i="2"/>
  <c r="F2328" i="2"/>
  <c r="B2326" i="2"/>
  <c r="F2324" i="2"/>
  <c r="B2322" i="2"/>
  <c r="F2320" i="2"/>
  <c r="B2318" i="2"/>
  <c r="F2316" i="2"/>
  <c r="B2314" i="2"/>
  <c r="F2312" i="2"/>
  <c r="B2310" i="2"/>
  <c r="F2308" i="2"/>
  <c r="B2306" i="2"/>
  <c r="F2304" i="2"/>
  <c r="B2302" i="2"/>
  <c r="F2300" i="2"/>
  <c r="B2298" i="2"/>
  <c r="F2296" i="2"/>
  <c r="B2294" i="2"/>
  <c r="B2282" i="2"/>
  <c r="F2280" i="2"/>
  <c r="B2278" i="2"/>
  <c r="B2262" i="2"/>
  <c r="F2260" i="2"/>
  <c r="B2250" i="2"/>
  <c r="F2248" i="2"/>
  <c r="B2234" i="2"/>
  <c r="F2232" i="2"/>
  <c r="B2222" i="2"/>
  <c r="F2220" i="2"/>
  <c r="B2210" i="2"/>
  <c r="F2208" i="2"/>
  <c r="B2190" i="2"/>
  <c r="F2188" i="2"/>
  <c r="B2178" i="2"/>
  <c r="F2176" i="2"/>
  <c r="B2162" i="2"/>
  <c r="F2160" i="2"/>
  <c r="B2150" i="2"/>
  <c r="F2148" i="2"/>
  <c r="B2138" i="2"/>
  <c r="F2136" i="2"/>
  <c r="B2118" i="2"/>
  <c r="F2116" i="2"/>
  <c r="B2106" i="2"/>
  <c r="F2104" i="2"/>
  <c r="B2074" i="2"/>
  <c r="B2062" i="2"/>
  <c r="F2060" i="2"/>
  <c r="B2050" i="2"/>
  <c r="F2048" i="2"/>
  <c r="B2030" i="2"/>
  <c r="B2010" i="2"/>
  <c r="F2008" i="2"/>
  <c r="B2006" i="2"/>
  <c r="F2004" i="2"/>
  <c r="F1984" i="2"/>
  <c r="B1982" i="2"/>
  <c r="F1980" i="2"/>
  <c r="B1970" i="2"/>
  <c r="F1968" i="2"/>
  <c r="B1950" i="2"/>
  <c r="B1938" i="2"/>
  <c r="F1936" i="2"/>
  <c r="B1934" i="2"/>
  <c r="F1932" i="2"/>
  <c r="B1918" i="2"/>
  <c r="F1916" i="2"/>
  <c r="F1892" i="2"/>
  <c r="F1864" i="2"/>
  <c r="B1842" i="2"/>
  <c r="F1840" i="2"/>
  <c r="B1830" i="2"/>
  <c r="F1828" i="2"/>
  <c r="B1818" i="2"/>
  <c r="F1816" i="2"/>
  <c r="B1814" i="2"/>
  <c r="F1812" i="2"/>
  <c r="B1794" i="2"/>
  <c r="F1792" i="2"/>
  <c r="F1772" i="2"/>
  <c r="B1762" i="2"/>
  <c r="F1760" i="2"/>
  <c r="B1750" i="2"/>
  <c r="F1748" i="2"/>
  <c r="B1738" i="2"/>
  <c r="F1736" i="2"/>
  <c r="B1726" i="2"/>
  <c r="F1724" i="2"/>
  <c r="B1714" i="2"/>
  <c r="F1712" i="2"/>
  <c r="B1702" i="2"/>
  <c r="F1700" i="2"/>
  <c r="F1668" i="2"/>
  <c r="B1666" i="2"/>
  <c r="B1646" i="2"/>
  <c r="F1644" i="2"/>
  <c r="B1642" i="2"/>
  <c r="F1640" i="2"/>
  <c r="B1622" i="2"/>
  <c r="F1620" i="2"/>
  <c r="B1618" i="2"/>
  <c r="F1616" i="2"/>
  <c r="B1598" i="2"/>
  <c r="F1596" i="2"/>
  <c r="F1584" i="2"/>
  <c r="B1566" i="2"/>
  <c r="F1564" i="2"/>
  <c r="F1524" i="2"/>
  <c r="B1522" i="2"/>
  <c r="F1520" i="2"/>
  <c r="B1498" i="2"/>
  <c r="F1496" i="2"/>
  <c r="F1484" i="2"/>
  <c r="F1476" i="2"/>
  <c r="B1474" i="2"/>
  <c r="B1454" i="2"/>
  <c r="F1452" i="2"/>
  <c r="B1438" i="2"/>
  <c r="F1436" i="2"/>
  <c r="B1418" i="2"/>
  <c r="F1416" i="2"/>
  <c r="F1396" i="2"/>
  <c r="B1394" i="2"/>
  <c r="F1392" i="2"/>
  <c r="B1358" i="2"/>
  <c r="B1354" i="2"/>
  <c r="F1352" i="2"/>
  <c r="B1334" i="2"/>
  <c r="F1332" i="2"/>
  <c r="B1330" i="2"/>
  <c r="F1328" i="2"/>
  <c r="B1298" i="2"/>
  <c r="B1286" i="2"/>
  <c r="F1284" i="2"/>
  <c r="B1278" i="2"/>
  <c r="B1274" i="2"/>
  <c r="F1272" i="2"/>
  <c r="B1238" i="2"/>
  <c r="B1234" i="2"/>
  <c r="F1232" i="2"/>
  <c r="B1218" i="2"/>
  <c r="B1214" i="2"/>
  <c r="F1212" i="2"/>
  <c r="B1198" i="2"/>
  <c r="F1196" i="2"/>
  <c r="B1194" i="2"/>
  <c r="F1192" i="2"/>
  <c r="B1174" i="2"/>
  <c r="B1170" i="2"/>
  <c r="B1154" i="2"/>
  <c r="B1150" i="2"/>
  <c r="B1146" i="2"/>
  <c r="B1130" i="2"/>
  <c r="F1128" i="2"/>
  <c r="B1118" i="2"/>
  <c r="F1116" i="2"/>
  <c r="B1114" i="2"/>
  <c r="F1112" i="2"/>
  <c r="F1084" i="2"/>
  <c r="B1074" i="2"/>
  <c r="F1072" i="2"/>
  <c r="B1070" i="2"/>
  <c r="F1068" i="2"/>
  <c r="B1062" i="2"/>
  <c r="F1060" i="2"/>
  <c r="B1054" i="2"/>
  <c r="B1050" i="2"/>
  <c r="F1048" i="2"/>
  <c r="F1036" i="2"/>
  <c r="F1028" i="2"/>
  <c r="B1026" i="2"/>
  <c r="F1024" i="2"/>
  <c r="B1018" i="2"/>
  <c r="B1014" i="2"/>
  <c r="F1012" i="2"/>
  <c r="B1006" i="2"/>
  <c r="F1004" i="2"/>
  <c r="B1002" i="2"/>
  <c r="B986" i="2"/>
  <c r="F984" i="2"/>
  <c r="F972" i="2"/>
  <c r="B970" i="2"/>
  <c r="F968" i="2"/>
  <c r="B966" i="2"/>
  <c r="F964" i="2"/>
  <c r="B954" i="2"/>
  <c r="B890" i="2"/>
  <c r="B886" i="2"/>
  <c r="B882" i="2"/>
  <c r="B870" i="2"/>
  <c r="B866" i="2"/>
  <c r="F852" i="2"/>
  <c r="B830" i="2"/>
  <c r="F828" i="2"/>
  <c r="B798" i="2"/>
  <c r="B770" i="2"/>
  <c r="F768" i="2"/>
  <c r="B750" i="2"/>
  <c r="B746" i="2"/>
  <c r="B698" i="2"/>
  <c r="F696" i="2"/>
  <c r="F644" i="2"/>
  <c r="B642" i="2"/>
  <c r="B614" i="2"/>
  <c r="F612" i="2"/>
  <c r="F600" i="2"/>
  <c r="B570" i="2"/>
  <c r="F568" i="2"/>
  <c r="B558" i="2"/>
  <c r="F556" i="2"/>
  <c r="B546" i="2"/>
  <c r="F544" i="2"/>
  <c r="B534" i="2"/>
  <c r="F532" i="2"/>
  <c r="B522" i="2"/>
  <c r="F520" i="2"/>
  <c r="B510" i="2"/>
  <c r="F508" i="2"/>
  <c r="B506" i="2"/>
  <c r="F504" i="2"/>
  <c r="F476" i="2"/>
  <c r="F464" i="2"/>
  <c r="B435" i="2"/>
  <c r="F433" i="2"/>
  <c r="B431" i="2"/>
  <c r="F429" i="2"/>
  <c r="B403" i="2"/>
  <c r="F401" i="2"/>
  <c r="B399" i="2"/>
  <c r="F397" i="2"/>
  <c r="B363" i="2"/>
  <c r="F361" i="2"/>
  <c r="B351" i="2"/>
  <c r="F349" i="2"/>
  <c r="B311" i="2"/>
  <c r="F309" i="2"/>
  <c r="B299" i="2"/>
  <c r="B287" i="2"/>
  <c r="F285" i="2"/>
  <c r="B275" i="2"/>
  <c r="F273" i="2"/>
  <c r="B255" i="2"/>
  <c r="B251" i="2"/>
  <c r="F241" i="2"/>
  <c r="B239" i="2"/>
  <c r="F229" i="2"/>
  <c r="B227" i="2"/>
  <c r="B223" i="2"/>
  <c r="F221" i="2"/>
  <c r="B219" i="2"/>
  <c r="B203" i="2"/>
  <c r="F201" i="2"/>
  <c r="F181" i="2"/>
  <c r="B179" i="2"/>
  <c r="B175" i="2"/>
  <c r="F173" i="2"/>
  <c r="B171" i="2"/>
  <c r="F169" i="2"/>
  <c r="B167" i="2"/>
  <c r="F149" i="2"/>
  <c r="B147" i="2"/>
  <c r="F145" i="2"/>
  <c r="B143" i="2"/>
  <c r="B139" i="2"/>
  <c r="F137" i="2"/>
  <c r="B135" i="2"/>
  <c r="B119" i="2"/>
  <c r="B115" i="2"/>
  <c r="F113" i="2"/>
  <c r="F109" i="2"/>
  <c r="F97" i="2"/>
  <c r="B95" i="2"/>
  <c r="F85" i="2"/>
  <c r="B83" i="2"/>
  <c r="B79" i="2"/>
  <c r="F77" i="2"/>
  <c r="B75" i="2"/>
  <c r="F73" i="2"/>
  <c r="B71" i="2"/>
  <c r="B63" i="2"/>
  <c r="B59" i="2"/>
  <c r="B31" i="2"/>
  <c r="F29" i="2"/>
  <c r="B27" i="2"/>
  <c r="F25" i="2"/>
  <c r="F1537" i="2"/>
  <c r="F1525" i="2"/>
  <c r="B1523" i="2"/>
  <c r="B1519" i="2"/>
  <c r="F1461" i="2"/>
  <c r="F1437" i="2"/>
  <c r="F1413" i="2"/>
  <c r="F1409" i="2"/>
  <c r="B1379" i="2"/>
  <c r="F1377" i="2"/>
  <c r="B1351" i="2"/>
  <c r="F1337" i="2"/>
  <c r="F1325" i="2"/>
  <c r="F1313" i="2"/>
  <c r="B1311" i="2"/>
  <c r="F1281" i="2"/>
  <c r="B1279" i="2"/>
  <c r="F1277" i="2"/>
  <c r="B1275" i="2"/>
  <c r="F1273" i="2"/>
  <c r="B1199" i="2"/>
  <c r="B1195" i="2"/>
  <c r="F1193" i="2"/>
  <c r="F1153" i="2"/>
  <c r="F1129" i="2"/>
  <c r="B1127" i="2"/>
  <c r="B1111" i="2"/>
  <c r="B1107" i="2"/>
  <c r="B1071" i="2"/>
  <c r="B1067" i="2"/>
  <c r="B1055" i="2"/>
  <c r="B1051" i="2"/>
  <c r="F1033" i="2"/>
  <c r="B1031" i="2"/>
  <c r="B987" i="2"/>
  <c r="B983" i="2"/>
  <c r="F981" i="2"/>
  <c r="B963" i="2"/>
  <c r="F957" i="2"/>
  <c r="B955" i="2"/>
  <c r="B943" i="2"/>
  <c r="F913" i="2"/>
  <c r="B911" i="2"/>
  <c r="B907" i="2"/>
  <c r="B895" i="2"/>
  <c r="B891" i="2"/>
  <c r="B887" i="2"/>
  <c r="F881" i="2"/>
  <c r="F865" i="2"/>
  <c r="B831" i="2"/>
  <c r="F805" i="2"/>
  <c r="B803" i="2"/>
  <c r="F801" i="2"/>
  <c r="F769" i="2"/>
  <c r="F765" i="2"/>
  <c r="B735" i="2"/>
  <c r="F729" i="2"/>
  <c r="F713" i="2"/>
  <c r="B711" i="2"/>
  <c r="B699" i="2"/>
  <c r="B695" i="2"/>
  <c r="B683" i="2"/>
  <c r="F681" i="2"/>
  <c r="F669" i="2"/>
  <c r="B599" i="2"/>
  <c r="B559" i="2"/>
  <c r="F557" i="2"/>
  <c r="B543" i="2"/>
  <c r="F541" i="2"/>
  <c r="B527" i="2"/>
  <c r="F525" i="2"/>
  <c r="B511" i="2"/>
  <c r="F509" i="2"/>
  <c r="B487" i="2"/>
  <c r="B420" i="2"/>
  <c r="B408" i="2"/>
  <c r="F406" i="2"/>
  <c r="B392" i="2"/>
  <c r="B360" i="2"/>
  <c r="F354" i="2"/>
  <c r="B352" i="2"/>
  <c r="F350" i="2"/>
  <c r="B320" i="2"/>
  <c r="F318" i="2"/>
  <c r="B316" i="2"/>
  <c r="F314" i="2"/>
  <c r="F302" i="2"/>
  <c r="B300" i="2"/>
  <c r="B288" i="2"/>
  <c r="B272" i="2"/>
  <c r="F270" i="2"/>
  <c r="B268" i="2"/>
  <c r="B252" i="2"/>
  <c r="B248" i="2"/>
  <c r="F246" i="2"/>
  <c r="F242" i="2"/>
  <c r="B240" i="2"/>
  <c r="F238" i="2"/>
  <c r="F234" i="2"/>
  <c r="F222" i="2"/>
  <c r="B220" i="2"/>
  <c r="B216" i="2"/>
  <c r="B204" i="2"/>
  <c r="F202" i="2"/>
  <c r="B184" i="2"/>
  <c r="F182" i="2"/>
  <c r="B180" i="2"/>
  <c r="F178" i="2"/>
  <c r="B176" i="2"/>
  <c r="B144" i="2"/>
  <c r="F142" i="2"/>
  <c r="B140" i="2"/>
  <c r="B136" i="2"/>
  <c r="F134" i="2"/>
  <c r="B132" i="2"/>
  <c r="B96" i="2"/>
  <c r="B92" i="2"/>
  <c r="B88" i="2"/>
  <c r="B76" i="2"/>
  <c r="F70" i="2"/>
  <c r="B68" i="2"/>
  <c r="F66" i="2"/>
  <c r="F62" i="2"/>
  <c r="F42" i="2"/>
  <c r="F38" i="2"/>
  <c r="B36" i="2"/>
  <c r="F34" i="2"/>
  <c r="F5682" i="2"/>
  <c r="B5521" i="2"/>
  <c r="F5475" i="2"/>
  <c r="B5046" i="2"/>
  <c r="F5010" i="2"/>
  <c r="F4972" i="2"/>
  <c r="F4948" i="2"/>
  <c r="F4932" i="2"/>
  <c r="B4908" i="2"/>
  <c r="F4868" i="2"/>
  <c r="B4832" i="2"/>
  <c r="B4803" i="2"/>
  <c r="B4756" i="2"/>
  <c r="B4475" i="2"/>
  <c r="B4459" i="2"/>
  <c r="F4390" i="2"/>
  <c r="F7449" i="2"/>
  <c r="B7447" i="2"/>
  <c r="B7391" i="2"/>
  <c r="B7091" i="2"/>
  <c r="F6753" i="2"/>
  <c r="F6741" i="2"/>
  <c r="B6698" i="2"/>
  <c r="F6644" i="2"/>
  <c r="B6590" i="2"/>
  <c r="B6490" i="2"/>
  <c r="F6397" i="2"/>
  <c r="F6394" i="2"/>
  <c r="B6359" i="2"/>
  <c r="B6332" i="2"/>
  <c r="F6185" i="2"/>
  <c r="F5784" i="2"/>
  <c r="F5663" i="2"/>
  <c r="F5647" i="2"/>
  <c r="F5606" i="2"/>
  <c r="B5394" i="2"/>
  <c r="B5251" i="2"/>
  <c r="B5219" i="2"/>
  <c r="B5187" i="2"/>
  <c r="B4987" i="2"/>
  <c r="B4979" i="2"/>
  <c r="B4971" i="2"/>
  <c r="B4963" i="2"/>
  <c r="B4947" i="2"/>
  <c r="B4931" i="2"/>
  <c r="B4915" i="2"/>
  <c r="B4899" i="2"/>
  <c r="B4883" i="2"/>
  <c r="B4867" i="2"/>
  <c r="F4820" i="2"/>
  <c r="B4812" i="2"/>
  <c r="B4792" i="2"/>
  <c r="F4773" i="2"/>
  <c r="B4763" i="2"/>
  <c r="B4754" i="2"/>
  <c r="F4750" i="2"/>
  <c r="F4741" i="2"/>
  <c r="F4394" i="2"/>
  <c r="F4388" i="2"/>
  <c r="F4382" i="2"/>
  <c r="F4225" i="2"/>
  <c r="F4217" i="2"/>
  <c r="F4209" i="2"/>
  <c r="F4201" i="2"/>
  <c r="F4152" i="2"/>
  <c r="B4148" i="2"/>
  <c r="F4144" i="2"/>
  <c r="B4140" i="2"/>
  <c r="F4136" i="2"/>
  <c r="B4132" i="2"/>
  <c r="F4128" i="2"/>
  <c r="B4124" i="2"/>
  <c r="F4120" i="2"/>
  <c r="F4106" i="2"/>
  <c r="B4094" i="2"/>
  <c r="F4090" i="2"/>
  <c r="B4062" i="2"/>
  <c r="F4058" i="2"/>
  <c r="B4046" i="2"/>
  <c r="F4042" i="2"/>
  <c r="B4030" i="2"/>
  <c r="F4026" i="2"/>
  <c r="B3998" i="2"/>
  <c r="F3994" i="2"/>
  <c r="B3982" i="2"/>
  <c r="F3978" i="2"/>
  <c r="F3956" i="2"/>
  <c r="B3952" i="2"/>
  <c r="F3948" i="2"/>
  <c r="B3944" i="2"/>
  <c r="F3940" i="2"/>
  <c r="B3936" i="2"/>
  <c r="F3932" i="2"/>
  <c r="B3928" i="2"/>
  <c r="F3924" i="2"/>
  <c r="B3920" i="2"/>
  <c r="B3917" i="2"/>
  <c r="F3911" i="2"/>
  <c r="B3909" i="2"/>
  <c r="F3903" i="2"/>
  <c r="B3901" i="2"/>
  <c r="F3895" i="2"/>
  <c r="B3893" i="2"/>
  <c r="F3887" i="2"/>
  <c r="B3885" i="2"/>
  <c r="F3879" i="2"/>
  <c r="B3877" i="2"/>
  <c r="F3871" i="2"/>
  <c r="B3869" i="2"/>
  <c r="F3863" i="2"/>
  <c r="B3861" i="2"/>
  <c r="F3855" i="2"/>
  <c r="B3853" i="2"/>
  <c r="F3847" i="2"/>
  <c r="B3845" i="2"/>
  <c r="F3839" i="2"/>
  <c r="B3837" i="2"/>
  <c r="F3831" i="2"/>
  <c r="B3829" i="2"/>
  <c r="F3823" i="2"/>
  <c r="B3821" i="2"/>
  <c r="F3815" i="2"/>
  <c r="B3813" i="2"/>
  <c r="F3807" i="2"/>
  <c r="B3805" i="2"/>
  <c r="F3799" i="2"/>
  <c r="B3797" i="2"/>
  <c r="F3791" i="2"/>
  <c r="B3789" i="2"/>
  <c r="F3783" i="2"/>
  <c r="B3781" i="2"/>
  <c r="F3775" i="2"/>
  <c r="B3773" i="2"/>
  <c r="B3771" i="2"/>
  <c r="B3769" i="2"/>
  <c r="B3767" i="2"/>
  <c r="B3765" i="2"/>
  <c r="B3763" i="2"/>
  <c r="B3761" i="2"/>
  <c r="F3757" i="2"/>
  <c r="B3756" i="2"/>
  <c r="F3754" i="2"/>
  <c r="B3753" i="2"/>
  <c r="F3749" i="2"/>
  <c r="B3748" i="2"/>
  <c r="F3746" i="2"/>
  <c r="B3745" i="2"/>
  <c r="F3741" i="2"/>
  <c r="B3740" i="2"/>
  <c r="F3738" i="2"/>
  <c r="B3737" i="2"/>
  <c r="F3733" i="2"/>
  <c r="B3732" i="2"/>
  <c r="F3730" i="2"/>
  <c r="B3729" i="2"/>
  <c r="F3725" i="2"/>
  <c r="B3724" i="2"/>
  <c r="F3722" i="2"/>
  <c r="B3721" i="2"/>
  <c r="F3717" i="2"/>
  <c r="B3716" i="2"/>
  <c r="F3714" i="2"/>
  <c r="B3713" i="2"/>
  <c r="F3709" i="2"/>
  <c r="B3708" i="2"/>
  <c r="F3706" i="2"/>
  <c r="B3705" i="2"/>
  <c r="F3701" i="2"/>
  <c r="B3700" i="2"/>
  <c r="F3698" i="2"/>
  <c r="B3697" i="2"/>
  <c r="F3693" i="2"/>
  <c r="B3692" i="2"/>
  <c r="F3690" i="2"/>
  <c r="B3689" i="2"/>
  <c r="F3685" i="2"/>
  <c r="B3684" i="2"/>
  <c r="F3682" i="2"/>
  <c r="B3681" i="2"/>
  <c r="F3677" i="2"/>
  <c r="B3676" i="2"/>
  <c r="F3674" i="2"/>
  <c r="B3673" i="2"/>
  <c r="F3669" i="2"/>
  <c r="B3668" i="2"/>
  <c r="F3666" i="2"/>
  <c r="B3665" i="2"/>
  <c r="F3661" i="2"/>
  <c r="B3660" i="2"/>
  <c r="F3658" i="2"/>
  <c r="B3657" i="2"/>
  <c r="F3653" i="2"/>
  <c r="B3652" i="2"/>
  <c r="F3650" i="2"/>
  <c r="F3639" i="2"/>
  <c r="B3635" i="2"/>
  <c r="F3631" i="2"/>
  <c r="B3627" i="2"/>
  <c r="F3623" i="2"/>
  <c r="B3619" i="2"/>
  <c r="F3615" i="2"/>
  <c r="B3611" i="2"/>
  <c r="F3607" i="2"/>
  <c r="B3603" i="2"/>
  <c r="F3599" i="2"/>
  <c r="F3585" i="2"/>
  <c r="B3584" i="2"/>
  <c r="F3582" i="2"/>
  <c r="B3581" i="2"/>
  <c r="F3577" i="2"/>
  <c r="B3576" i="2"/>
  <c r="F3574" i="2"/>
  <c r="B3573" i="2"/>
  <c r="B3559" i="2"/>
  <c r="F3555" i="2"/>
  <c r="B3551" i="2"/>
  <c r="F3547" i="2"/>
  <c r="B3543" i="2"/>
  <c r="F3539" i="2"/>
  <c r="B3535" i="2"/>
  <c r="F3531" i="2"/>
  <c r="B3527" i="2"/>
  <c r="F3523" i="2"/>
  <c r="B3519" i="2"/>
  <c r="B3503" i="2"/>
  <c r="F3499" i="2"/>
  <c r="B3495" i="2"/>
  <c r="F3491" i="2"/>
  <c r="B3487" i="2"/>
  <c r="F3483" i="2"/>
  <c r="B3479" i="2"/>
  <c r="F3475" i="2"/>
  <c r="B3471" i="2"/>
  <c r="F3467" i="2"/>
  <c r="B3463" i="2"/>
  <c r="F3459" i="2"/>
  <c r="B3455" i="2"/>
  <c r="B3439" i="2"/>
  <c r="F3435" i="2"/>
  <c r="B3431" i="2"/>
  <c r="F3427" i="2"/>
  <c r="B3423" i="2"/>
  <c r="F3419" i="2"/>
  <c r="B3415" i="2"/>
  <c r="F3411" i="2"/>
  <c r="B3407" i="2"/>
  <c r="F3403" i="2"/>
  <c r="B3399" i="2"/>
  <c r="F3395" i="2"/>
  <c r="B3391" i="2"/>
  <c r="F3387" i="2"/>
  <c r="B3383" i="2"/>
  <c r="F3379" i="2"/>
  <c r="B3375" i="2"/>
  <c r="F3371" i="2"/>
  <c r="B3367" i="2"/>
  <c r="F3363" i="2"/>
  <c r="B3359" i="2"/>
  <c r="F3355" i="2"/>
  <c r="B3351" i="2"/>
  <c r="F3347" i="2"/>
  <c r="B3343" i="2"/>
  <c r="F3339" i="2"/>
  <c r="B3335" i="2"/>
  <c r="F3331" i="2"/>
  <c r="B3327" i="2"/>
  <c r="F3323" i="2"/>
  <c r="F3309" i="2"/>
  <c r="B3308" i="2"/>
  <c r="F3306" i="2"/>
  <c r="B3305" i="2"/>
  <c r="F3301" i="2"/>
  <c r="B3300" i="2"/>
  <c r="F3298" i="2"/>
  <c r="B3297" i="2"/>
  <c r="F3293" i="2"/>
  <c r="B3292" i="2"/>
  <c r="F3290" i="2"/>
  <c r="B3289" i="2"/>
  <c r="F3285" i="2"/>
  <c r="B3284" i="2"/>
  <c r="F3282" i="2"/>
  <c r="B3281" i="2"/>
  <c r="F3277" i="2"/>
  <c r="B3276" i="2"/>
  <c r="F3274" i="2"/>
  <c r="B3273" i="2"/>
  <c r="F3269" i="2"/>
  <c r="B3268" i="2"/>
  <c r="F3266" i="2"/>
  <c r="B3265" i="2"/>
  <c r="F3261" i="2"/>
  <c r="B3260" i="2"/>
  <c r="F3258" i="2"/>
  <c r="B3257" i="2"/>
  <c r="F3253" i="2"/>
  <c r="B3252" i="2"/>
  <c r="F3250" i="2"/>
  <c r="B3249" i="2"/>
  <c r="F3245" i="2"/>
  <c r="B3244" i="2"/>
  <c r="B3233" i="2"/>
  <c r="F3229" i="2"/>
  <c r="B3228" i="2"/>
  <c r="F3226" i="2"/>
  <c r="B3225" i="2"/>
  <c r="F3221" i="2"/>
  <c r="B3220" i="2"/>
  <c r="F3218" i="2"/>
  <c r="B3217" i="2"/>
  <c r="F3213" i="2"/>
  <c r="B3212" i="2"/>
  <c r="F3210" i="2"/>
  <c r="B3209" i="2"/>
  <c r="F3205" i="2"/>
  <c r="B3204" i="2"/>
  <c r="F3202" i="2"/>
  <c r="B3201" i="2"/>
  <c r="F3197" i="2"/>
  <c r="B3196" i="2"/>
  <c r="F3194" i="2"/>
  <c r="B3193" i="2"/>
  <c r="B3179" i="2"/>
  <c r="F3175" i="2"/>
  <c r="B3171" i="2"/>
  <c r="F3167" i="2"/>
  <c r="B3163" i="2"/>
  <c r="F3159" i="2"/>
  <c r="B3155" i="2"/>
  <c r="F3151" i="2"/>
  <c r="B3147" i="2"/>
  <c r="F3143" i="2"/>
  <c r="B3139" i="2"/>
  <c r="F3135" i="2"/>
  <c r="B3131" i="2"/>
  <c r="F3127" i="2"/>
  <c r="F3113" i="2"/>
  <c r="B3112" i="2"/>
  <c r="F3110" i="2"/>
  <c r="B3109" i="2"/>
  <c r="F3105" i="2"/>
  <c r="B3104" i="2"/>
  <c r="F3102" i="2"/>
  <c r="B3101" i="2"/>
  <c r="F3097" i="2"/>
  <c r="B3096" i="2"/>
  <c r="F3094" i="2"/>
  <c r="B3093" i="2"/>
  <c r="F3089" i="2"/>
  <c r="B3088" i="2"/>
  <c r="F3086" i="2"/>
  <c r="B3085" i="2"/>
  <c r="F3081" i="2"/>
  <c r="B3080" i="2"/>
  <c r="F3078" i="2"/>
  <c r="B3077" i="2"/>
  <c r="F3073" i="2"/>
  <c r="B3072" i="2"/>
  <c r="F3070" i="2"/>
  <c r="B3069" i="2"/>
  <c r="F3065" i="2"/>
  <c r="B3064" i="2"/>
  <c r="F3062" i="2"/>
  <c r="B3061" i="2"/>
  <c r="F3057" i="2"/>
  <c r="B3056" i="2"/>
  <c r="F3054" i="2"/>
  <c r="B3053" i="2"/>
  <c r="F3049" i="2"/>
  <c r="B3048" i="2"/>
  <c r="B3037" i="2"/>
  <c r="F3033" i="2"/>
  <c r="B3032" i="2"/>
  <c r="F3030" i="2"/>
  <c r="B3029" i="2"/>
  <c r="F3025" i="2"/>
  <c r="B3024" i="2"/>
  <c r="B3013" i="2"/>
  <c r="F3009" i="2"/>
  <c r="B3008" i="2"/>
  <c r="F3006" i="2"/>
  <c r="B3005" i="2"/>
  <c r="F3001" i="2"/>
  <c r="B3000" i="2"/>
  <c r="F2998" i="2"/>
  <c r="B2997" i="2"/>
  <c r="F2993" i="2"/>
  <c r="B2992" i="2"/>
  <c r="F2990" i="2"/>
  <c r="B2989" i="2"/>
  <c r="F2985" i="2"/>
  <c r="B2984" i="2"/>
  <c r="F2982" i="2"/>
  <c r="B2981" i="2"/>
  <c r="F2977" i="2"/>
  <c r="B2976" i="2"/>
  <c r="F2974" i="2"/>
  <c r="B2973" i="2"/>
  <c r="F2969" i="2"/>
  <c r="B2968" i="2"/>
  <c r="F2966" i="2"/>
  <c r="B2965" i="2"/>
  <c r="F2961" i="2"/>
  <c r="B2960" i="2"/>
  <c r="F2958" i="2"/>
  <c r="B2957" i="2"/>
  <c r="F2945" i="2"/>
  <c r="B2944" i="2"/>
  <c r="F2942" i="2"/>
  <c r="B2941" i="2"/>
  <c r="F2937" i="2"/>
  <c r="B2936" i="2"/>
  <c r="F2934" i="2"/>
  <c r="B2933" i="2"/>
  <c r="F2929" i="2"/>
  <c r="B2928" i="2"/>
  <c r="F2926" i="2"/>
  <c r="B2925" i="2"/>
  <c r="F2921" i="2"/>
  <c r="B2920" i="2"/>
  <c r="F2918" i="2"/>
  <c r="B2917" i="2"/>
  <c r="F2913" i="2"/>
  <c r="B2912" i="2"/>
  <c r="F2910" i="2"/>
  <c r="B2909" i="2"/>
  <c r="F2905" i="2"/>
  <c r="B2904" i="2"/>
  <c r="F2902" i="2"/>
  <c r="B2901" i="2"/>
  <c r="F2889" i="2"/>
  <c r="B2888" i="2"/>
  <c r="F2886" i="2"/>
  <c r="B2885" i="2"/>
  <c r="F2881" i="2"/>
  <c r="B2880" i="2"/>
  <c r="F2878" i="2"/>
  <c r="B2877" i="2"/>
  <c r="F2873" i="2"/>
  <c r="B2872" i="2"/>
  <c r="F2870" i="2"/>
  <c r="B2869" i="2"/>
  <c r="F2865" i="2"/>
  <c r="B2864" i="2"/>
  <c r="F2862" i="2"/>
  <c r="B2861" i="2"/>
  <c r="F2857" i="2"/>
  <c r="B2856" i="2"/>
  <c r="F2854" i="2"/>
  <c r="B2853" i="2"/>
  <c r="F2849" i="2"/>
  <c r="B2848" i="2"/>
  <c r="F2846" i="2"/>
  <c r="B2845" i="2"/>
  <c r="F2841" i="2"/>
  <c r="B2840" i="2"/>
  <c r="F2838" i="2"/>
  <c r="B2837" i="2"/>
  <c r="F2833" i="2"/>
  <c r="B2832" i="2"/>
  <c r="F2830" i="2"/>
  <c r="B2829" i="2"/>
  <c r="F2825" i="2"/>
  <c r="B2824" i="2"/>
  <c r="F2822" i="2"/>
  <c r="F2811" i="2"/>
  <c r="B2807" i="2"/>
  <c r="F2803" i="2"/>
  <c r="B2799" i="2"/>
  <c r="F2786" i="2"/>
  <c r="B2785" i="2"/>
  <c r="F2781" i="2"/>
  <c r="B2780" i="2"/>
  <c r="F2778" i="2"/>
  <c r="B2777" i="2"/>
  <c r="B2763" i="2"/>
  <c r="F2759" i="2"/>
  <c r="B2755" i="2"/>
  <c r="F2751" i="2"/>
  <c r="B2747" i="2"/>
  <c r="F2743" i="2"/>
  <c r="B2739" i="2"/>
  <c r="F2735" i="2"/>
  <c r="B2731" i="2"/>
  <c r="F2727" i="2"/>
  <c r="B2723" i="2"/>
  <c r="F2719" i="2"/>
  <c r="B2715" i="2"/>
  <c r="F2711" i="2"/>
  <c r="B2707" i="2"/>
  <c r="F2703" i="2"/>
  <c r="F2689" i="2"/>
  <c r="B2688" i="2"/>
  <c r="F2686" i="2"/>
  <c r="B2685" i="2"/>
  <c r="F2681" i="2"/>
  <c r="B2680" i="2"/>
  <c r="F2678" i="2"/>
  <c r="B2677" i="2"/>
  <c r="B2663" i="2"/>
  <c r="F2659" i="2"/>
  <c r="B2655" i="2"/>
  <c r="F2651" i="2"/>
  <c r="B2647" i="2"/>
  <c r="F2643" i="2"/>
  <c r="B2639" i="2"/>
  <c r="F2635" i="2"/>
  <c r="B2631" i="2"/>
  <c r="F2627" i="2"/>
  <c r="B2623" i="2"/>
  <c r="F2619" i="2"/>
  <c r="B2615" i="2"/>
  <c r="F2611" i="2"/>
  <c r="B2607" i="2"/>
  <c r="F2594" i="2"/>
  <c r="B2593" i="2"/>
  <c r="F2589" i="2"/>
  <c r="B2588" i="2"/>
  <c r="F2586" i="2"/>
  <c r="B2585" i="2"/>
  <c r="F2581" i="2"/>
  <c r="B2580" i="2"/>
  <c r="F2578" i="2"/>
  <c r="B2577" i="2"/>
  <c r="F2573" i="2"/>
  <c r="B2572" i="2"/>
  <c r="F2570" i="2"/>
  <c r="B2569" i="2"/>
  <c r="F2565" i="2"/>
  <c r="B2564" i="2"/>
  <c r="F2562" i="2"/>
  <c r="B2561" i="2"/>
  <c r="F2557" i="2"/>
  <c r="B2555" i="2"/>
  <c r="F2553" i="2"/>
  <c r="B2551" i="2"/>
  <c r="F2549" i="2"/>
  <c r="B2547" i="2"/>
  <c r="B2535" i="2"/>
  <c r="F2533" i="2"/>
  <c r="B2531" i="2"/>
  <c r="F2529" i="2"/>
  <c r="B2527" i="2"/>
  <c r="F2525" i="2"/>
  <c r="B2523" i="2"/>
  <c r="F2521" i="2"/>
  <c r="B2519" i="2"/>
  <c r="F2517" i="2"/>
  <c r="B2515" i="2"/>
  <c r="F2513" i="2"/>
  <c r="B2511" i="2"/>
  <c r="F2509" i="2"/>
  <c r="B2507" i="2"/>
  <c r="F2505" i="2"/>
  <c r="B2503" i="2"/>
  <c r="F2501" i="2"/>
  <c r="B2499" i="2"/>
  <c r="F2497" i="2"/>
  <c r="B2495" i="2"/>
  <c r="F2493" i="2"/>
  <c r="B2491" i="2"/>
  <c r="F2489" i="2"/>
  <c r="B2487" i="2"/>
  <c r="B2475" i="2"/>
  <c r="F2473" i="2"/>
  <c r="B2471" i="2"/>
  <c r="F2469" i="2"/>
  <c r="B2467" i="2"/>
  <c r="F2465" i="2"/>
  <c r="B2463" i="2"/>
  <c r="F2461" i="2"/>
  <c r="B2459" i="2"/>
  <c r="F2457" i="2"/>
  <c r="B2455" i="2"/>
  <c r="F2453" i="2"/>
  <c r="B2451" i="2"/>
  <c r="F2449" i="2"/>
  <c r="B2447" i="2"/>
  <c r="F2445" i="2"/>
  <c r="B2443" i="2"/>
  <c r="F2441" i="2"/>
  <c r="B2439" i="2"/>
  <c r="F2437" i="2"/>
  <c r="B2435" i="2"/>
  <c r="F2433" i="2"/>
  <c r="B2431" i="2"/>
  <c r="F2429" i="2"/>
  <c r="B2427" i="2"/>
  <c r="B2415" i="2"/>
  <c r="F2413" i="2"/>
  <c r="B2411" i="2"/>
  <c r="F2409" i="2"/>
  <c r="B2407" i="2"/>
  <c r="F2405" i="2"/>
  <c r="B2403" i="2"/>
  <c r="F2401" i="2"/>
  <c r="B2399" i="2"/>
  <c r="F2397" i="2"/>
  <c r="B2395" i="2"/>
  <c r="F2393" i="2"/>
  <c r="B2391" i="2"/>
  <c r="F2389" i="2"/>
  <c r="B2387" i="2"/>
  <c r="F2385" i="2"/>
  <c r="B2383" i="2"/>
  <c r="F2381" i="2"/>
  <c r="B2379" i="2"/>
  <c r="F2377" i="2"/>
  <c r="B2375" i="2"/>
  <c r="F2373" i="2"/>
  <c r="B2371" i="2"/>
  <c r="F2369" i="2"/>
  <c r="B2367" i="2"/>
  <c r="B2355" i="2"/>
  <c r="F2353" i="2"/>
  <c r="B2351" i="2"/>
  <c r="F2349" i="2"/>
  <c r="B2347" i="2"/>
  <c r="F2345" i="2"/>
  <c r="B2343" i="2"/>
  <c r="F2341" i="2"/>
  <c r="F2329" i="2"/>
  <c r="B2327" i="2"/>
  <c r="F2325" i="2"/>
  <c r="B2323" i="2"/>
  <c r="F2321" i="2"/>
  <c r="B2319" i="2"/>
  <c r="F2317" i="2"/>
  <c r="B2315" i="2"/>
  <c r="F2313" i="2"/>
  <c r="B2311" i="2"/>
  <c r="F2309" i="2"/>
  <c r="B2307" i="2"/>
  <c r="F2305" i="2"/>
  <c r="B2303" i="2"/>
  <c r="F2301" i="2"/>
  <c r="B2299" i="2"/>
  <c r="F2297" i="2"/>
  <c r="B2295" i="2"/>
  <c r="B2283" i="2"/>
  <c r="F2281" i="2"/>
  <c r="B2279" i="2"/>
  <c r="F2277" i="2"/>
  <c r="B2275" i="2"/>
  <c r="F2273" i="2"/>
  <c r="B2271" i="2"/>
  <c r="F2269" i="2"/>
  <c r="B2267" i="2"/>
  <c r="F2265" i="2"/>
  <c r="B2263" i="2"/>
  <c r="F2261" i="2"/>
  <c r="B2259" i="2"/>
  <c r="F2257" i="2"/>
  <c r="B2255" i="2"/>
  <c r="F2253" i="2"/>
  <c r="B2251" i="2"/>
  <c r="F2249" i="2"/>
  <c r="F2237" i="2"/>
  <c r="B2235" i="2"/>
  <c r="F2233" i="2"/>
  <c r="B2231" i="2"/>
  <c r="F2229" i="2"/>
  <c r="B2227" i="2"/>
  <c r="F2225" i="2"/>
  <c r="B2223" i="2"/>
  <c r="F2221" i="2"/>
  <c r="B2219" i="2"/>
  <c r="F2217" i="2"/>
  <c r="B2215" i="2"/>
  <c r="F2213" i="2"/>
  <c r="B2211" i="2"/>
  <c r="F2209" i="2"/>
  <c r="B2207" i="2"/>
  <c r="F2205" i="2"/>
  <c r="B2203" i="2"/>
  <c r="B2191" i="2"/>
  <c r="F2189" i="2"/>
  <c r="B2187" i="2"/>
  <c r="F2185" i="2"/>
  <c r="B2183" i="2"/>
  <c r="F2181" i="2"/>
  <c r="B2179" i="2"/>
  <c r="F2177" i="2"/>
  <c r="F2165" i="2"/>
  <c r="B2163" i="2"/>
  <c r="F2161" i="2"/>
  <c r="B2159" i="2"/>
  <c r="F2157" i="2"/>
  <c r="B2155" i="2"/>
  <c r="F2153" i="2"/>
  <c r="B2151" i="2"/>
  <c r="F2149" i="2"/>
  <c r="B2147" i="2"/>
  <c r="F2145" i="2"/>
  <c r="B2143" i="2"/>
  <c r="F2141" i="2"/>
  <c r="B2139" i="2"/>
  <c r="F2137" i="2"/>
  <c r="B2135" i="2"/>
  <c r="F2133" i="2"/>
  <c r="B2131" i="2"/>
  <c r="B2119" i="2"/>
  <c r="F2117" i="2"/>
  <c r="B2115" i="2"/>
  <c r="F2113" i="2"/>
  <c r="B2111" i="2"/>
  <c r="F2109" i="2"/>
  <c r="B2107" i="2"/>
  <c r="F2105" i="2"/>
  <c r="F2093" i="2"/>
  <c r="B2091" i="2"/>
  <c r="F2089" i="2"/>
  <c r="F2077" i="2"/>
  <c r="B2075" i="2"/>
  <c r="B2063" i="2"/>
  <c r="F2061" i="2"/>
  <c r="B2059" i="2"/>
  <c r="F2057" i="2"/>
  <c r="B2055" i="2"/>
  <c r="F2053" i="2"/>
  <c r="B2051" i="2"/>
  <c r="F2049" i="2"/>
  <c r="B2047" i="2"/>
  <c r="F2045" i="2"/>
  <c r="B2043" i="2"/>
  <c r="B2031" i="2"/>
  <c r="F2029" i="2"/>
  <c r="B2027" i="2"/>
  <c r="B2015" i="2"/>
  <c r="F2013" i="2"/>
  <c r="B2011" i="2"/>
  <c r="F2009" i="2"/>
  <c r="B2007" i="2"/>
  <c r="F2005" i="2"/>
  <c r="B2003" i="2"/>
  <c r="F2001" i="2"/>
  <c r="B1999" i="2"/>
  <c r="F1997" i="2"/>
  <c r="B1995" i="2"/>
  <c r="B1983" i="2"/>
  <c r="F1981" i="2"/>
  <c r="B1979" i="2"/>
  <c r="F1977" i="2"/>
  <c r="B1975" i="2"/>
  <c r="F1973" i="2"/>
  <c r="B1971" i="2"/>
  <c r="F1969" i="2"/>
  <c r="B1967" i="2"/>
  <c r="F1965" i="2"/>
  <c r="B1963" i="2"/>
  <c r="B1951" i="2"/>
  <c r="F1949" i="2"/>
  <c r="B1947" i="2"/>
  <c r="F1945" i="2"/>
  <c r="B1943" i="2"/>
  <c r="F1941" i="2"/>
  <c r="B1939" i="2"/>
  <c r="F1937" i="2"/>
  <c r="B1935" i="2"/>
  <c r="F1933" i="2"/>
  <c r="B1931" i="2"/>
  <c r="B1919" i="2"/>
  <c r="F1917" i="2"/>
  <c r="F1905" i="2"/>
  <c r="B1903" i="2"/>
  <c r="B1891" i="2"/>
  <c r="B1879" i="2"/>
  <c r="F1877" i="2"/>
  <c r="F1865" i="2"/>
  <c r="F1853" i="2"/>
  <c r="B1851" i="2"/>
  <c r="F1849" i="2"/>
  <c r="B1847" i="2"/>
  <c r="F1845" i="2"/>
  <c r="B1843" i="2"/>
  <c r="F1841" i="2"/>
  <c r="B1839" i="2"/>
  <c r="F1837" i="2"/>
  <c r="B1835" i="2"/>
  <c r="F1833" i="2"/>
  <c r="B1831" i="2"/>
  <c r="F1829" i="2"/>
  <c r="B1827" i="2"/>
  <c r="F1825" i="2"/>
  <c r="B1823" i="2"/>
  <c r="F1821" i="2"/>
  <c r="B1819" i="2"/>
  <c r="F1817" i="2"/>
  <c r="B1815" i="2"/>
  <c r="F1813" i="2"/>
  <c r="B1811" i="2"/>
  <c r="F1809" i="2"/>
  <c r="F1797" i="2"/>
  <c r="B1795" i="2"/>
  <c r="F1793" i="2"/>
  <c r="B1791" i="2"/>
  <c r="F1789" i="2"/>
  <c r="B1787" i="2"/>
  <c r="F1785" i="2"/>
  <c r="B1783" i="2"/>
  <c r="B1771" i="2"/>
  <c r="F1769" i="2"/>
  <c r="B1767" i="2"/>
  <c r="F1765" i="2"/>
  <c r="B1763" i="2"/>
  <c r="F1761" i="2"/>
  <c r="B1759" i="2"/>
  <c r="F1757" i="2"/>
  <c r="B1755" i="2"/>
  <c r="F1753" i="2"/>
  <c r="B1751" i="2"/>
  <c r="F1749" i="2"/>
  <c r="B1747" i="2"/>
  <c r="F1745" i="2"/>
  <c r="B1743" i="2"/>
  <c r="F1741" i="2"/>
  <c r="B1739" i="2"/>
  <c r="F1737" i="2"/>
  <c r="B1735" i="2"/>
  <c r="F1733" i="2"/>
  <c r="B1731" i="2"/>
  <c r="F1729" i="2"/>
  <c r="B1727" i="2"/>
  <c r="F1725" i="2"/>
  <c r="B1723" i="2"/>
  <c r="F1721" i="2"/>
  <c r="B1719" i="2"/>
  <c r="F1717" i="2"/>
  <c r="B1715" i="2"/>
  <c r="F1713" i="2"/>
  <c r="B1711" i="2"/>
  <c r="F1709" i="2"/>
  <c r="B1707" i="2"/>
  <c r="F1705" i="2"/>
  <c r="B1703" i="2"/>
  <c r="F1701" i="2"/>
  <c r="B1699" i="2"/>
  <c r="F1697" i="2"/>
  <c r="F1685" i="2"/>
  <c r="B1683" i="2"/>
  <c r="F1681" i="2"/>
  <c r="F1669" i="2"/>
  <c r="B1667" i="2"/>
  <c r="B1655" i="2"/>
  <c r="F1653" i="2"/>
  <c r="B1651" i="2"/>
  <c r="F1649" i="2"/>
  <c r="B1647" i="2"/>
  <c r="F1645" i="2"/>
  <c r="B1643" i="2"/>
  <c r="F1641" i="2"/>
  <c r="B1639" i="2"/>
  <c r="F1637" i="2"/>
  <c r="B1635" i="2"/>
  <c r="F1633" i="2"/>
  <c r="B1631" i="2"/>
  <c r="F1629" i="2"/>
  <c r="B1627" i="2"/>
  <c r="F1625" i="2"/>
  <c r="B1623" i="2"/>
  <c r="F1621" i="2"/>
  <c r="B1619" i="2"/>
  <c r="F1617" i="2"/>
  <c r="B1615" i="2"/>
  <c r="F1613" i="2"/>
  <c r="B1611" i="2"/>
  <c r="B1599" i="2"/>
  <c r="F1597" i="2"/>
  <c r="B1595" i="2"/>
  <c r="B1583" i="2"/>
  <c r="F1581" i="2"/>
  <c r="F1569" i="2"/>
  <c r="B1567" i="2"/>
  <c r="F1565" i="2"/>
  <c r="B1563" i="2"/>
  <c r="F1561" i="2"/>
  <c r="B1547" i="2"/>
  <c r="F1545" i="2"/>
  <c r="F1521" i="2"/>
  <c r="F1517" i="2"/>
  <c r="F1505" i="2"/>
  <c r="B1503" i="2"/>
  <c r="F1501" i="2"/>
  <c r="B1483" i="2"/>
  <c r="F1481" i="2"/>
  <c r="B1479" i="2"/>
  <c r="F1477" i="2"/>
  <c r="B1475" i="2"/>
  <c r="B1439" i="2"/>
  <c r="B1435" i="2"/>
  <c r="B1411" i="2"/>
  <c r="F1397" i="2"/>
  <c r="F1365" i="2"/>
  <c r="B1339" i="2"/>
  <c r="F1333" i="2"/>
  <c r="B1303" i="2"/>
  <c r="B1299" i="2"/>
  <c r="B1287" i="2"/>
  <c r="F1253" i="2"/>
  <c r="F1241" i="2"/>
  <c r="B1239" i="2"/>
  <c r="F1237" i="2"/>
  <c r="B1219" i="2"/>
  <c r="F1217" i="2"/>
  <c r="B1215" i="2"/>
  <c r="F1213" i="2"/>
  <c r="B1179" i="2"/>
  <c r="F1177" i="2"/>
  <c r="B1175" i="2"/>
  <c r="B1167" i="2"/>
  <c r="B1155" i="2"/>
  <c r="B1151" i="2"/>
  <c r="B1147" i="2"/>
  <c r="B1143" i="2"/>
  <c r="B1131" i="2"/>
  <c r="B1119" i="2"/>
  <c r="B1115" i="2"/>
  <c r="F1113" i="2"/>
  <c r="F1105" i="2"/>
  <c r="B1103" i="2"/>
  <c r="B1099" i="2"/>
  <c r="F1097" i="2"/>
  <c r="B1079" i="2"/>
  <c r="F1077" i="2"/>
  <c r="F1069" i="2"/>
  <c r="F1057" i="2"/>
  <c r="F1053" i="2"/>
  <c r="B1035" i="2"/>
  <c r="B1019" i="2"/>
  <c r="F1017" i="2"/>
  <c r="F1013" i="2"/>
  <c r="B1011" i="2"/>
  <c r="F1009" i="2"/>
  <c r="B975" i="2"/>
  <c r="F973" i="2"/>
  <c r="B971" i="2"/>
  <c r="F969" i="2"/>
  <c r="B959" i="2"/>
  <c r="B935" i="2"/>
  <c r="F933" i="2"/>
  <c r="F893" i="2"/>
  <c r="F889" i="2"/>
  <c r="F885" i="2"/>
  <c r="B883" i="2"/>
  <c r="F869" i="2"/>
  <c r="B867" i="2"/>
  <c r="F853" i="2"/>
  <c r="B851" i="2"/>
  <c r="F849" i="2"/>
  <c r="B847" i="2"/>
  <c r="F813" i="2"/>
  <c r="B811" i="2"/>
  <c r="F809" i="2"/>
  <c r="B787" i="2"/>
  <c r="B783" i="2"/>
  <c r="B771" i="2"/>
  <c r="B767" i="2"/>
  <c r="F753" i="2"/>
  <c r="B747" i="2"/>
  <c r="B731" i="2"/>
  <c r="F717" i="2"/>
  <c r="B715" i="2"/>
  <c r="F657" i="2"/>
  <c r="B655" i="2"/>
  <c r="B643" i="2"/>
  <c r="F629" i="2"/>
  <c r="B615" i="2"/>
  <c r="F613" i="2"/>
  <c r="F585" i="2"/>
  <c r="B555" i="2"/>
  <c r="F553" i="2"/>
  <c r="B551" i="2"/>
  <c r="F549" i="2"/>
  <c r="F537" i="2"/>
  <c r="B535" i="2"/>
  <c r="F533" i="2"/>
  <c r="B519" i="2"/>
  <c r="F517" i="2"/>
  <c r="B503" i="2"/>
  <c r="F501" i="2"/>
  <c r="B463" i="2"/>
  <c r="B452" i="2"/>
  <c r="F450" i="2"/>
  <c r="F438" i="2"/>
  <c r="B436" i="2"/>
  <c r="F434" i="2"/>
  <c r="B432" i="2"/>
  <c r="F430" i="2"/>
  <c r="F390" i="2"/>
  <c r="B388" i="2"/>
  <c r="F322" i="2"/>
  <c r="B308" i="2"/>
  <c r="F306" i="2"/>
  <c r="B280" i="2"/>
  <c r="F278" i="2"/>
  <c r="B256" i="2"/>
  <c r="F254" i="2"/>
  <c r="B236" i="2"/>
  <c r="F230" i="2"/>
  <c r="B228" i="2"/>
  <c r="B200" i="2"/>
  <c r="F198" i="2"/>
  <c r="F174" i="2"/>
  <c r="F162" i="2"/>
  <c r="F150" i="2"/>
  <c r="B148" i="2"/>
  <c r="F146" i="2"/>
  <c r="F130" i="2"/>
  <c r="F126" i="2"/>
  <c r="F118" i="2"/>
  <c r="F114" i="2"/>
  <c r="B112" i="2"/>
  <c r="F110" i="2"/>
  <c r="B108" i="2"/>
  <c r="F90" i="2"/>
  <c r="F86" i="2"/>
  <c r="F82" i="2"/>
  <c r="B80" i="2"/>
  <c r="F78" i="2"/>
  <c r="F74" i="2"/>
  <c r="B64" i="2"/>
  <c r="F58" i="2"/>
  <c r="B56" i="2"/>
  <c r="F54" i="2"/>
  <c r="B40" i="2"/>
  <c r="F26" i="2"/>
  <c r="B24" i="2"/>
  <c r="B7235" i="2"/>
  <c r="F6929" i="2"/>
  <c r="F6460" i="2"/>
  <c r="B5558" i="2"/>
  <c r="F5527" i="2"/>
  <c r="B5497" i="2"/>
  <c r="F5058" i="2"/>
  <c r="F5026" i="2"/>
  <c r="F4988" i="2"/>
  <c r="B4956" i="2"/>
  <c r="B4924" i="2"/>
  <c r="B4892" i="2"/>
  <c r="B4860" i="2"/>
  <c r="B4838" i="2"/>
  <c r="F4813" i="2"/>
  <c r="F4764" i="2"/>
  <c r="B4571" i="2"/>
  <c r="B4507" i="2"/>
  <c r="B4443" i="2"/>
  <c r="F4396" i="2"/>
  <c r="F4370" i="2"/>
  <c r="F6116" i="2"/>
  <c r="B5732" i="2"/>
  <c r="F5576" i="2"/>
  <c r="B5372" i="2"/>
  <c r="B5267" i="2"/>
  <c r="B5235" i="2"/>
  <c r="B5203" i="2"/>
  <c r="B4983" i="2"/>
  <c r="B4975" i="2"/>
  <c r="B4967" i="2"/>
  <c r="F4957" i="2"/>
  <c r="F4941" i="2"/>
  <c r="F4925" i="2"/>
  <c r="F4909" i="2"/>
  <c r="F4893" i="2"/>
  <c r="F4877" i="2"/>
  <c r="F4861" i="2"/>
  <c r="B4840" i="2"/>
  <c r="B4834" i="2"/>
  <c r="F4804" i="2"/>
  <c r="B4779" i="2"/>
  <c r="B4770" i="2"/>
  <c r="F4766" i="2"/>
  <c r="F4757" i="2"/>
  <c r="B4747" i="2"/>
  <c r="B4580" i="2"/>
  <c r="F4572" i="2"/>
  <c r="B4564" i="2"/>
  <c r="F4556" i="2"/>
  <c r="B4548" i="2"/>
  <c r="F4540" i="2"/>
  <c r="B4532" i="2"/>
  <c r="F4524" i="2"/>
  <c r="B4516" i="2"/>
  <c r="F4508" i="2"/>
  <c r="B4500" i="2"/>
  <c r="F4492" i="2"/>
  <c r="B4484" i="2"/>
  <c r="F4476" i="2"/>
  <c r="B4468" i="2"/>
  <c r="F4460" i="2"/>
  <c r="B4452" i="2"/>
  <c r="F4444" i="2"/>
  <c r="B4436" i="2"/>
  <c r="F4428" i="2"/>
  <c r="B4420" i="2"/>
  <c r="F4404" i="2"/>
  <c r="F4398" i="2"/>
  <c r="F4378" i="2"/>
  <c r="F4372" i="2"/>
  <c r="B4219" i="2"/>
  <c r="B4211" i="2"/>
  <c r="B4203" i="2"/>
  <c r="B4102" i="2"/>
  <c r="F4098" i="2"/>
  <c r="B4086" i="2"/>
  <c r="F4082" i="2"/>
  <c r="F4066" i="2"/>
  <c r="B4054" i="2"/>
  <c r="F4050" i="2"/>
  <c r="B4038" i="2"/>
  <c r="F4034" i="2"/>
  <c r="B4022" i="2"/>
  <c r="B4006" i="2"/>
  <c r="F4002" i="2"/>
  <c r="B3990" i="2"/>
  <c r="F3986" i="2"/>
  <c r="B3974" i="2"/>
  <c r="F3970" i="2"/>
  <c r="F3915" i="2"/>
  <c r="B3913" i="2"/>
  <c r="F3907" i="2"/>
  <c r="B3905" i="2"/>
  <c r="F3899" i="2"/>
  <c r="B3897" i="2"/>
  <c r="F3891" i="2"/>
  <c r="B3889" i="2"/>
  <c r="F3883" i="2"/>
  <c r="B3881" i="2"/>
  <c r="F3875" i="2"/>
  <c r="B3873" i="2"/>
  <c r="F3867" i="2"/>
  <c r="B3865" i="2"/>
  <c r="F3859" i="2"/>
  <c r="B3857" i="2"/>
  <c r="F3851" i="2"/>
  <c r="B3849" i="2"/>
  <c r="F3843" i="2"/>
  <c r="B3841" i="2"/>
  <c r="F3835" i="2"/>
  <c r="B3833" i="2"/>
  <c r="F3827" i="2"/>
  <c r="B3825" i="2"/>
  <c r="F3819" i="2"/>
  <c r="B3817" i="2"/>
  <c r="F3811" i="2"/>
  <c r="B3809" i="2"/>
  <c r="F3803" i="2"/>
  <c r="B3801" i="2"/>
  <c r="F3795" i="2"/>
  <c r="B3793" i="2"/>
  <c r="F3787" i="2"/>
  <c r="B3785" i="2"/>
  <c r="F3779" i="2"/>
  <c r="B3777" i="2"/>
  <c r="F3771" i="2"/>
  <c r="F3769" i="2"/>
  <c r="F3767" i="2"/>
  <c r="F3765" i="2"/>
  <c r="F3763" i="2"/>
  <c r="F3761" i="2"/>
  <c r="B3760" i="2"/>
  <c r="F3758" i="2"/>
  <c r="B3757" i="2"/>
  <c r="F3753" i="2"/>
  <c r="B3752" i="2"/>
  <c r="F3750" i="2"/>
  <c r="B3749" i="2"/>
  <c r="F3745" i="2"/>
  <c r="B3744" i="2"/>
  <c r="F3742" i="2"/>
  <c r="B3741" i="2"/>
  <c r="F3737" i="2"/>
  <c r="B3736" i="2"/>
  <c r="F3734" i="2"/>
  <c r="B3733" i="2"/>
  <c r="F3729" i="2"/>
  <c r="B3728" i="2"/>
  <c r="F3726" i="2"/>
  <c r="B3725" i="2"/>
  <c r="F3721" i="2"/>
  <c r="B3720" i="2"/>
  <c r="F3718" i="2"/>
  <c r="B3717" i="2"/>
  <c r="F3713" i="2"/>
  <c r="B3712" i="2"/>
  <c r="F3710" i="2"/>
  <c r="B3709" i="2"/>
  <c r="F3705" i="2"/>
  <c r="B3704" i="2"/>
  <c r="F3702" i="2"/>
  <c r="B3701" i="2"/>
  <c r="F3697" i="2"/>
  <c r="B3696" i="2"/>
  <c r="F3694" i="2"/>
  <c r="B3693" i="2"/>
  <c r="F3689" i="2"/>
  <c r="B3688" i="2"/>
  <c r="F3686" i="2"/>
  <c r="B3685" i="2"/>
  <c r="F3681" i="2"/>
  <c r="B3680" i="2"/>
  <c r="F3678" i="2"/>
  <c r="B3677" i="2"/>
  <c r="F3673" i="2"/>
  <c r="B3672" i="2"/>
  <c r="F3670" i="2"/>
  <c r="B3669" i="2"/>
  <c r="F3665" i="2"/>
  <c r="B3664" i="2"/>
  <c r="F3662" i="2"/>
  <c r="B3661" i="2"/>
  <c r="F3657" i="2"/>
  <c r="B3656" i="2"/>
  <c r="F3654" i="2"/>
  <c r="B3653" i="2"/>
  <c r="B3639" i="2"/>
  <c r="F3635" i="2"/>
  <c r="B3631" i="2"/>
  <c r="F3627" i="2"/>
  <c r="B3623" i="2"/>
  <c r="F3619" i="2"/>
  <c r="B3615" i="2"/>
  <c r="F3611" i="2"/>
  <c r="B3607" i="2"/>
  <c r="F3603" i="2"/>
  <c r="B3599" i="2"/>
  <c r="F3586" i="2"/>
  <c r="B3585" i="2"/>
  <c r="F3581" i="2"/>
  <c r="B3580" i="2"/>
  <c r="F3578" i="2"/>
  <c r="B3577" i="2"/>
  <c r="F3573" i="2"/>
  <c r="B3572" i="2"/>
  <c r="F3570" i="2"/>
  <c r="F3559" i="2"/>
  <c r="B3555" i="2"/>
  <c r="F3551" i="2"/>
  <c r="B3547" i="2"/>
  <c r="F3543" i="2"/>
  <c r="B3539" i="2"/>
  <c r="F3535" i="2"/>
  <c r="B3531" i="2"/>
  <c r="F3527" i="2"/>
  <c r="B3523" i="2"/>
  <c r="F3519" i="2"/>
  <c r="F3503" i="2"/>
  <c r="B3499" i="2"/>
  <c r="F3495" i="2"/>
  <c r="B3491" i="2"/>
  <c r="F3487" i="2"/>
  <c r="B3483" i="2"/>
  <c r="F3479" i="2"/>
  <c r="B3475" i="2"/>
  <c r="F3471" i="2"/>
  <c r="B3467" i="2"/>
  <c r="F3463" i="2"/>
  <c r="B3459" i="2"/>
  <c r="F3455" i="2"/>
  <c r="F3439" i="2"/>
  <c r="B3435" i="2"/>
  <c r="F3431" i="2"/>
  <c r="B3427" i="2"/>
  <c r="F3423" i="2"/>
  <c r="B3419" i="2"/>
  <c r="F3415" i="2"/>
  <c r="B3411" i="2"/>
  <c r="F3407" i="2"/>
  <c r="B3403" i="2"/>
  <c r="F3399" i="2"/>
  <c r="B3395" i="2"/>
  <c r="F3391" i="2"/>
  <c r="B3387" i="2"/>
  <c r="F3383" i="2"/>
  <c r="B3379" i="2"/>
  <c r="F3375" i="2"/>
  <c r="B3371" i="2"/>
  <c r="F3367" i="2"/>
  <c r="B3363" i="2"/>
  <c r="F3359" i="2"/>
  <c r="B3355" i="2"/>
  <c r="F3351" i="2"/>
  <c r="B3347" i="2"/>
  <c r="F3343" i="2"/>
  <c r="B3339" i="2"/>
  <c r="F3335" i="2"/>
  <c r="B3331" i="2"/>
  <c r="F3327" i="2"/>
  <c r="B3323" i="2"/>
  <c r="B3312" i="2"/>
  <c r="F3310" i="2"/>
  <c r="B3309" i="2"/>
  <c r="F3305" i="2"/>
  <c r="B3304" i="2"/>
  <c r="F3302" i="2"/>
  <c r="B3301" i="2"/>
  <c r="F3297" i="2"/>
  <c r="B3296" i="2"/>
  <c r="F3294" i="2"/>
  <c r="B3293" i="2"/>
  <c r="F3289" i="2"/>
  <c r="B3288" i="2"/>
  <c r="F3286" i="2"/>
  <c r="B3285" i="2"/>
  <c r="F3281" i="2"/>
  <c r="B3280" i="2"/>
  <c r="F3278" i="2"/>
  <c r="B3277" i="2"/>
  <c r="F3273" i="2"/>
  <c r="B3272" i="2"/>
  <c r="F3270" i="2"/>
  <c r="B3269" i="2"/>
  <c r="F3265" i="2"/>
  <c r="B3264" i="2"/>
  <c r="F3262" i="2"/>
  <c r="B3261" i="2"/>
  <c r="F3257" i="2"/>
  <c r="B3256" i="2"/>
  <c r="F3254" i="2"/>
  <c r="B3253" i="2"/>
  <c r="F3249" i="2"/>
  <c r="B3248" i="2"/>
  <c r="F3246" i="2"/>
  <c r="B3245" i="2"/>
  <c r="F3233" i="2"/>
  <c r="B3232" i="2"/>
  <c r="F3230" i="2"/>
  <c r="B3229" i="2"/>
  <c r="F3225" i="2"/>
  <c r="B3224" i="2"/>
  <c r="F3222" i="2"/>
  <c r="B3221" i="2"/>
  <c r="F3217" i="2"/>
  <c r="B3216" i="2"/>
  <c r="F3214" i="2"/>
  <c r="B3213" i="2"/>
  <c r="F3209" i="2"/>
  <c r="B3208" i="2"/>
  <c r="F3206" i="2"/>
  <c r="B3205" i="2"/>
  <c r="F3201" i="2"/>
  <c r="B3200" i="2"/>
  <c r="F3198" i="2"/>
  <c r="B3197" i="2"/>
  <c r="F3193" i="2"/>
  <c r="F3179" i="2"/>
  <c r="B3175" i="2"/>
  <c r="F3171" i="2"/>
  <c r="B3167" i="2"/>
  <c r="F3163" i="2"/>
  <c r="B3159" i="2"/>
  <c r="F3155" i="2"/>
  <c r="B3151" i="2"/>
  <c r="F3147" i="2"/>
  <c r="B3143" i="2"/>
  <c r="F3139" i="2"/>
  <c r="B3135" i="2"/>
  <c r="F3131" i="2"/>
  <c r="B3127" i="2"/>
  <c r="F3114" i="2"/>
  <c r="B3113" i="2"/>
  <c r="F3109" i="2"/>
  <c r="B3108" i="2"/>
  <c r="F3106" i="2"/>
  <c r="B3105" i="2"/>
  <c r="F3101" i="2"/>
  <c r="B3100" i="2"/>
  <c r="F3098" i="2"/>
  <c r="B3097" i="2"/>
  <c r="F3093" i="2"/>
  <c r="B3092" i="2"/>
  <c r="F3090" i="2"/>
  <c r="B3089" i="2"/>
  <c r="F3085" i="2"/>
  <c r="B3084" i="2"/>
  <c r="F3082" i="2"/>
  <c r="B3081" i="2"/>
  <c r="F3077" i="2"/>
  <c r="B3076" i="2"/>
  <c r="F3074" i="2"/>
  <c r="B3073" i="2"/>
  <c r="F3069" i="2"/>
  <c r="B3068" i="2"/>
  <c r="F3066" i="2"/>
  <c r="B3065" i="2"/>
  <c r="F3061" i="2"/>
  <c r="B3060" i="2"/>
  <c r="F3058" i="2"/>
  <c r="B3057" i="2"/>
  <c r="F3053" i="2"/>
  <c r="B3052" i="2"/>
  <c r="F3050" i="2"/>
  <c r="B3049" i="2"/>
  <c r="F3037" i="2"/>
  <c r="B3036" i="2"/>
  <c r="F3034" i="2"/>
  <c r="B3033" i="2"/>
  <c r="F3029" i="2"/>
  <c r="B3028" i="2"/>
  <c r="F3026" i="2"/>
  <c r="B3025" i="2"/>
  <c r="F3013" i="2"/>
  <c r="B3012" i="2"/>
  <c r="F3010" i="2"/>
  <c r="B3009" i="2"/>
  <c r="F3005" i="2"/>
  <c r="B3004" i="2"/>
  <c r="F3002" i="2"/>
  <c r="B3001" i="2"/>
  <c r="F2997" i="2"/>
  <c r="B2996" i="2"/>
  <c r="F2994" i="2"/>
  <c r="B2993" i="2"/>
  <c r="F2989" i="2"/>
  <c r="B2988" i="2"/>
  <c r="F2986" i="2"/>
  <c r="B2985" i="2"/>
  <c r="F2981" i="2"/>
  <c r="B2980" i="2"/>
  <c r="F2978" i="2"/>
  <c r="B2977" i="2"/>
  <c r="F2973" i="2"/>
  <c r="B2972" i="2"/>
  <c r="F2970" i="2"/>
  <c r="B2969" i="2"/>
  <c r="F2965" i="2"/>
  <c r="B2964" i="2"/>
  <c r="F2962" i="2"/>
  <c r="B2961" i="2"/>
  <c r="F2957" i="2"/>
  <c r="B2956" i="2"/>
  <c r="B2945" i="2"/>
  <c r="F2941" i="2"/>
  <c r="B2940" i="2"/>
  <c r="F2938" i="2"/>
  <c r="B2937" i="2"/>
  <c r="F2933" i="2"/>
  <c r="B2932" i="2"/>
  <c r="F2930" i="2"/>
  <c r="B2929" i="2"/>
  <c r="F2925" i="2"/>
  <c r="B2924" i="2"/>
  <c r="F2922" i="2"/>
  <c r="B2921" i="2"/>
  <c r="F2917" i="2"/>
  <c r="B2916" i="2"/>
  <c r="F2914" i="2"/>
  <c r="B2913" i="2"/>
  <c r="F2909" i="2"/>
  <c r="B2908" i="2"/>
  <c r="F2906" i="2"/>
  <c r="B2905" i="2"/>
  <c r="F2901" i="2"/>
  <c r="B2900" i="2"/>
  <c r="B2889" i="2"/>
  <c r="F2885" i="2"/>
  <c r="B2884" i="2"/>
  <c r="F2882" i="2"/>
  <c r="B2881" i="2"/>
  <c r="F2877" i="2"/>
  <c r="B2876" i="2"/>
  <c r="F2874" i="2"/>
  <c r="B2873" i="2"/>
  <c r="F2869" i="2"/>
  <c r="B2868" i="2"/>
  <c r="F2866" i="2"/>
  <c r="B2865" i="2"/>
  <c r="F2861" i="2"/>
  <c r="B2860" i="2"/>
  <c r="F2858" i="2"/>
  <c r="B2857" i="2"/>
  <c r="F2853" i="2"/>
  <c r="B2852" i="2"/>
  <c r="F2850" i="2"/>
  <c r="B2849" i="2"/>
  <c r="F2845" i="2"/>
  <c r="B2844" i="2"/>
  <c r="F2842" i="2"/>
  <c r="B2841" i="2"/>
  <c r="F2837" i="2"/>
  <c r="B2836" i="2"/>
  <c r="F2834" i="2"/>
  <c r="B2833" i="2"/>
  <c r="F2829" i="2"/>
  <c r="B2828" i="2"/>
  <c r="F2826" i="2"/>
  <c r="B2825" i="2"/>
  <c r="B2811" i="2"/>
  <c r="F2807" i="2"/>
  <c r="B2803" i="2"/>
  <c r="F2799" i="2"/>
  <c r="F2785" i="2"/>
  <c r="B2784" i="2"/>
  <c r="F2782" i="2"/>
  <c r="B2781" i="2"/>
  <c r="F2777" i="2"/>
  <c r="B2776" i="2"/>
  <c r="F2763" i="2"/>
  <c r="B2759" i="2"/>
  <c r="F2755" i="2"/>
  <c r="B2751" i="2"/>
  <c r="F2747" i="2"/>
  <c r="B2743" i="2"/>
  <c r="F2739" i="2"/>
  <c r="B2735" i="2"/>
  <c r="F2731" i="2"/>
  <c r="B2727" i="2"/>
  <c r="F2723" i="2"/>
  <c r="B2719" i="2"/>
  <c r="F2715" i="2"/>
  <c r="B2711" i="2"/>
  <c r="F2707" i="2"/>
  <c r="B2703" i="2"/>
  <c r="F2690" i="2"/>
  <c r="B2689" i="2"/>
  <c r="F2685" i="2"/>
  <c r="B2684" i="2"/>
  <c r="F2682" i="2"/>
  <c r="B2681" i="2"/>
  <c r="F2677" i="2"/>
  <c r="B2676" i="2"/>
  <c r="F2674" i="2"/>
  <c r="F2663" i="2"/>
  <c r="B2659" i="2"/>
  <c r="F2655" i="2"/>
  <c r="B2651" i="2"/>
  <c r="F2647" i="2"/>
  <c r="B2643" i="2"/>
  <c r="F2639" i="2"/>
  <c r="B2635" i="2"/>
  <c r="F2631" i="2"/>
  <c r="B2627" i="2"/>
  <c r="F2623" i="2"/>
  <c r="B2619" i="2"/>
  <c r="F2615" i="2"/>
  <c r="B2611" i="2"/>
  <c r="F2607" i="2"/>
  <c r="F2593" i="2"/>
  <c r="B2592" i="2"/>
  <c r="F2590" i="2"/>
  <c r="B2589" i="2"/>
  <c r="F2585" i="2"/>
  <c r="B2584" i="2"/>
  <c r="F2582" i="2"/>
  <c r="B2581" i="2"/>
  <c r="F2577" i="2"/>
  <c r="B2576" i="2"/>
  <c r="F2574" i="2"/>
  <c r="B2573" i="2"/>
  <c r="F2569" i="2"/>
  <c r="B2568" i="2"/>
  <c r="F2566" i="2"/>
  <c r="B2565" i="2"/>
  <c r="F2561" i="2"/>
  <c r="B2560" i="2"/>
  <c r="F2558" i="2"/>
  <c r="B2557" i="2"/>
  <c r="F2555" i="2"/>
  <c r="B2553" i="2"/>
  <c r="F2551" i="2"/>
  <c r="B2549" i="2"/>
  <c r="F2547" i="2"/>
  <c r="F2535" i="2"/>
  <c r="B2533" i="2"/>
  <c r="F2531" i="2"/>
  <c r="B2529" i="2"/>
  <c r="F2527" i="2"/>
  <c r="B2525" i="2"/>
  <c r="F2523" i="2"/>
  <c r="B2521" i="2"/>
  <c r="F2519" i="2"/>
  <c r="B2517" i="2"/>
  <c r="F2515" i="2"/>
  <c r="B2513" i="2"/>
  <c r="F2511" i="2"/>
  <c r="B2509" i="2"/>
  <c r="F2507" i="2"/>
  <c r="B2505" i="2"/>
  <c r="F2503" i="2"/>
  <c r="B2501" i="2"/>
  <c r="F2499" i="2"/>
  <c r="B2497" i="2"/>
  <c r="F2495" i="2"/>
  <c r="B2493" i="2"/>
  <c r="F2491" i="2"/>
  <c r="B2489" i="2"/>
  <c r="F2487" i="2"/>
  <c r="F2475" i="2"/>
  <c r="B2473" i="2"/>
  <c r="F2471" i="2"/>
  <c r="B2469" i="2"/>
  <c r="F2467" i="2"/>
  <c r="B2465" i="2"/>
  <c r="F2463" i="2"/>
  <c r="B2461" i="2"/>
  <c r="F2459" i="2"/>
  <c r="B2457" i="2"/>
  <c r="F2455" i="2"/>
  <c r="B2453" i="2"/>
  <c r="F2451" i="2"/>
  <c r="B2449" i="2"/>
  <c r="F2447" i="2"/>
  <c r="B2445" i="2"/>
  <c r="F2443" i="2"/>
  <c r="B2441" i="2"/>
  <c r="F2439" i="2"/>
  <c r="B2437" i="2"/>
  <c r="F2435" i="2"/>
  <c r="B2433" i="2"/>
  <c r="F2431" i="2"/>
  <c r="B2429" i="2"/>
  <c r="F2427" i="2"/>
  <c r="F2415" i="2"/>
  <c r="B2413" i="2"/>
  <c r="F2411" i="2"/>
  <c r="B2409" i="2"/>
  <c r="F2407" i="2"/>
  <c r="B2405" i="2"/>
  <c r="F2403" i="2"/>
  <c r="B2401" i="2"/>
  <c r="F2399" i="2"/>
  <c r="B2397" i="2"/>
  <c r="F2395" i="2"/>
  <c r="B2393" i="2"/>
  <c r="F2391" i="2"/>
  <c r="B2389" i="2"/>
  <c r="F2387" i="2"/>
  <c r="B2385" i="2"/>
  <c r="F2383" i="2"/>
  <c r="B2381" i="2"/>
  <c r="F2379" i="2"/>
  <c r="B2377" i="2"/>
  <c r="F2375" i="2"/>
  <c r="B2373" i="2"/>
  <c r="F2371" i="2"/>
  <c r="B2369" i="2"/>
  <c r="F2367" i="2"/>
  <c r="F2355" i="2"/>
  <c r="B2353" i="2"/>
  <c r="F2351" i="2"/>
  <c r="B2349" i="2"/>
  <c r="F2347" i="2"/>
  <c r="B2345" i="2"/>
  <c r="F2343" i="2"/>
  <c r="B2341" i="2"/>
  <c r="B2329" i="2"/>
  <c r="F2327" i="2"/>
  <c r="B2325" i="2"/>
  <c r="F2323" i="2"/>
  <c r="B2321" i="2"/>
  <c r="F2319" i="2"/>
  <c r="B2317" i="2"/>
  <c r="F2315" i="2"/>
  <c r="B2313" i="2"/>
  <c r="F2311" i="2"/>
  <c r="B2309" i="2"/>
  <c r="F2307" i="2"/>
  <c r="B2305" i="2"/>
  <c r="F2303" i="2"/>
  <c r="B2301" i="2"/>
  <c r="F2299" i="2"/>
  <c r="B2297" i="2"/>
  <c r="F2295" i="2"/>
  <c r="F2283" i="2"/>
  <c r="B2281" i="2"/>
  <c r="F2279" i="2"/>
  <c r="B2277" i="2"/>
  <c r="F2275" i="2"/>
  <c r="B2273" i="2"/>
  <c r="F2271" i="2"/>
  <c r="B2269" i="2"/>
  <c r="F2267" i="2"/>
  <c r="B2265" i="2"/>
  <c r="F2263" i="2"/>
  <c r="B2261" i="2"/>
  <c r="F2259" i="2"/>
  <c r="B2257" i="2"/>
  <c r="F2255" i="2"/>
  <c r="B2253" i="2"/>
  <c r="F2251" i="2"/>
  <c r="B2249" i="2"/>
  <c r="B2237" i="2"/>
  <c r="F2235" i="2"/>
  <c r="B2233" i="2"/>
  <c r="F2231" i="2"/>
  <c r="B2229" i="2"/>
  <c r="F2227" i="2"/>
  <c r="B2225" i="2"/>
  <c r="F2223" i="2"/>
  <c r="B2221" i="2"/>
  <c r="F2219" i="2"/>
  <c r="B2217" i="2"/>
  <c r="F2215" i="2"/>
  <c r="B2213" i="2"/>
  <c r="F2211" i="2"/>
  <c r="B2209" i="2"/>
  <c r="F2207" i="2"/>
  <c r="B2205" i="2"/>
  <c r="F2203" i="2"/>
  <c r="F2191" i="2"/>
  <c r="B2189" i="2"/>
  <c r="F2187" i="2"/>
  <c r="B2185" i="2"/>
  <c r="F2183" i="2"/>
  <c r="B2181" i="2"/>
  <c r="F2179" i="2"/>
  <c r="B2177" i="2"/>
  <c r="B2165" i="2"/>
  <c r="F2163" i="2"/>
  <c r="B2161" i="2"/>
  <c r="F2159" i="2"/>
  <c r="B2157" i="2"/>
  <c r="F2155" i="2"/>
  <c r="B2153" i="2"/>
  <c r="F2151" i="2"/>
  <c r="B2149" i="2"/>
  <c r="F2147" i="2"/>
  <c r="B2145" i="2"/>
  <c r="F2143" i="2"/>
  <c r="B2141" i="2"/>
  <c r="F2139" i="2"/>
  <c r="B2137" i="2"/>
  <c r="F2135" i="2"/>
  <c r="B2133" i="2"/>
  <c r="F2131" i="2"/>
  <c r="F2119" i="2"/>
  <c r="B2117" i="2"/>
  <c r="F2115" i="2"/>
  <c r="B2113" i="2"/>
  <c r="F2111" i="2"/>
  <c r="B2109" i="2"/>
  <c r="F2107" i="2"/>
  <c r="B2105" i="2"/>
  <c r="B2093" i="2"/>
  <c r="F2091" i="2"/>
  <c r="B2089" i="2"/>
  <c r="B2077" i="2"/>
  <c r="F2075" i="2"/>
  <c r="F2063" i="2"/>
  <c r="B2061" i="2"/>
  <c r="F2059" i="2"/>
  <c r="B2057" i="2"/>
  <c r="F2055" i="2"/>
  <c r="B2053" i="2"/>
  <c r="F2051" i="2"/>
  <c r="B2049" i="2"/>
  <c r="F2047" i="2"/>
  <c r="B2045" i="2"/>
  <c r="F2043" i="2"/>
  <c r="F2031" i="2"/>
  <c r="B2029" i="2"/>
  <c r="F2027" i="2"/>
  <c r="F2015" i="2"/>
  <c r="B2013" i="2"/>
  <c r="F2011" i="2"/>
  <c r="B2009" i="2"/>
  <c r="F2007" i="2"/>
  <c r="B2005" i="2"/>
  <c r="F2003" i="2"/>
  <c r="B2001" i="2"/>
  <c r="F1999" i="2"/>
  <c r="B1997" i="2"/>
  <c r="F1995" i="2"/>
  <c r="F1983" i="2"/>
  <c r="B1981" i="2"/>
  <c r="F1979" i="2"/>
  <c r="B1977" i="2"/>
  <c r="F1975" i="2"/>
  <c r="B1973" i="2"/>
  <c r="F1971" i="2"/>
  <c r="B1969" i="2"/>
  <c r="F1967" i="2"/>
  <c r="B1965" i="2"/>
  <c r="F1963" i="2"/>
  <c r="F1951" i="2"/>
  <c r="B1949" i="2"/>
  <c r="F1947" i="2"/>
  <c r="B1945" i="2"/>
  <c r="F1943" i="2"/>
  <c r="B1941" i="2"/>
  <c r="F1939" i="2"/>
  <c r="B1937" i="2"/>
  <c r="F1935" i="2"/>
  <c r="B1933" i="2"/>
  <c r="F1931" i="2"/>
  <c r="F1919" i="2"/>
  <c r="B1917" i="2"/>
  <c r="B1905" i="2"/>
  <c r="F1903" i="2"/>
  <c r="F1891" i="2"/>
  <c r="F1879" i="2"/>
  <c r="B1877" i="2"/>
  <c r="B1865" i="2"/>
  <c r="B1853" i="2"/>
  <c r="F1851" i="2"/>
  <c r="B1849" i="2"/>
  <c r="F1847" i="2"/>
  <c r="B1845" i="2"/>
  <c r="F1843" i="2"/>
  <c r="B1841" i="2"/>
  <c r="F1839" i="2"/>
  <c r="B1837" i="2"/>
  <c r="F1835" i="2"/>
  <c r="B1833" i="2"/>
  <c r="F1831" i="2"/>
  <c r="B1829" i="2"/>
  <c r="F1827" i="2"/>
  <c r="B1825" i="2"/>
  <c r="F1823" i="2"/>
  <c r="B1821" i="2"/>
  <c r="F1819" i="2"/>
  <c r="B1817" i="2"/>
  <c r="F1815" i="2"/>
  <c r="B1813" i="2"/>
  <c r="F1811" i="2"/>
  <c r="B1809" i="2"/>
  <c r="B1797" i="2"/>
  <c r="F1795" i="2"/>
  <c r="B1793" i="2"/>
  <c r="F1791" i="2"/>
  <c r="B1789" i="2"/>
  <c r="F1787" i="2"/>
  <c r="B1785" i="2"/>
  <c r="F1783" i="2"/>
  <c r="F1771" i="2"/>
  <c r="B1769" i="2"/>
  <c r="F1767" i="2"/>
  <c r="B1765" i="2"/>
  <c r="F1763" i="2"/>
  <c r="B1761" i="2"/>
  <c r="F1759" i="2"/>
  <c r="B1757" i="2"/>
  <c r="F1755" i="2"/>
  <c r="B1753" i="2"/>
  <c r="F1751" i="2"/>
  <c r="B1749" i="2"/>
  <c r="F1747" i="2"/>
  <c r="B1745" i="2"/>
  <c r="F1743" i="2"/>
  <c r="B1741" i="2"/>
  <c r="F1739" i="2"/>
  <c r="B1737" i="2"/>
  <c r="F1735" i="2"/>
  <c r="B1733" i="2"/>
  <c r="F1731" i="2"/>
  <c r="B1729" i="2"/>
  <c r="F1727" i="2"/>
  <c r="B1725" i="2"/>
  <c r="F1723" i="2"/>
  <c r="B1721" i="2"/>
  <c r="F1719" i="2"/>
  <c r="B1717" i="2"/>
  <c r="F1715" i="2"/>
  <c r="B1713" i="2"/>
  <c r="F1711" i="2"/>
  <c r="B1709" i="2"/>
  <c r="F1707" i="2"/>
  <c r="B1705" i="2"/>
  <c r="F1703" i="2"/>
  <c r="B1701" i="2"/>
  <c r="F1699" i="2"/>
  <c r="B1697" i="2"/>
  <c r="B1685" i="2"/>
  <c r="F1683" i="2"/>
  <c r="B1681" i="2"/>
  <c r="B1669" i="2"/>
  <c r="F1667" i="2"/>
  <c r="F1655" i="2"/>
  <c r="B1653" i="2"/>
  <c r="F1651" i="2"/>
  <c r="B1649" i="2"/>
  <c r="F1647" i="2"/>
  <c r="B1645" i="2"/>
  <c r="F1643" i="2"/>
  <c r="B1641" i="2"/>
  <c r="F1639" i="2"/>
  <c r="B1637" i="2"/>
  <c r="F1635" i="2"/>
  <c r="B1633" i="2"/>
  <c r="F1631" i="2"/>
  <c r="B1629" i="2"/>
  <c r="F1627" i="2"/>
  <c r="B1625" i="2"/>
  <c r="F1623" i="2"/>
  <c r="B1621" i="2"/>
  <c r="F1619" i="2"/>
  <c r="B1617" i="2"/>
  <c r="F1615" i="2"/>
  <c r="B1613" i="2"/>
  <c r="F1611" i="2"/>
  <c r="F1599" i="2"/>
  <c r="B1597" i="2"/>
  <c r="F1595" i="2"/>
  <c r="F1583" i="2"/>
  <c r="B1581" i="2"/>
  <c r="B1569" i="2"/>
  <c r="F1567" i="2"/>
  <c r="B1565" i="2"/>
  <c r="F1563" i="2"/>
  <c r="B1561" i="2"/>
  <c r="F1559" i="2"/>
  <c r="F1547" i="2"/>
  <c r="B1545" i="2"/>
  <c r="F1543" i="2"/>
  <c r="B1541" i="2"/>
  <c r="F1539" i="2"/>
  <c r="B1537" i="2"/>
  <c r="B1525" i="2"/>
  <c r="F1523" i="2"/>
  <c r="B1521" i="2"/>
  <c r="F1519" i="2"/>
  <c r="B1517" i="2"/>
  <c r="B1505" i="2"/>
  <c r="F1503" i="2"/>
  <c r="B1501" i="2"/>
  <c r="F1499" i="2"/>
  <c r="B1497" i="2"/>
  <c r="F1495" i="2"/>
  <c r="F1483" i="2"/>
  <c r="B1481" i="2"/>
  <c r="F1479" i="2"/>
  <c r="B1477" i="2"/>
  <c r="F1475" i="2"/>
  <c r="F1463" i="2"/>
  <c r="B1461" i="2"/>
  <c r="F1459" i="2"/>
  <c r="B1457" i="2"/>
  <c r="F1455" i="2"/>
  <c r="B1453" i="2"/>
  <c r="B1441" i="2"/>
  <c r="F1439" i="2"/>
  <c r="B1437" i="2"/>
  <c r="F1435" i="2"/>
  <c r="B1433" i="2"/>
  <c r="F1431" i="2"/>
  <c r="F1419" i="2"/>
  <c r="B1417" i="2"/>
  <c r="F1415" i="2"/>
  <c r="B1413" i="2"/>
  <c r="F1411" i="2"/>
  <c r="B1409" i="2"/>
  <c r="B1397" i="2"/>
  <c r="F1395" i="2"/>
  <c r="B1393" i="2"/>
  <c r="B1381" i="2"/>
  <c r="F1379" i="2"/>
  <c r="B1377" i="2"/>
  <c r="B1365" i="2"/>
  <c r="F1363" i="2"/>
  <c r="B1361" i="2"/>
  <c r="F1359" i="2"/>
  <c r="B1357" i="2"/>
  <c r="F1355" i="2"/>
  <c r="B1353" i="2"/>
  <c r="F1351" i="2"/>
  <c r="F1339" i="2"/>
  <c r="B1337" i="2"/>
  <c r="F1335" i="2"/>
  <c r="B1333" i="2"/>
  <c r="F1331" i="2"/>
  <c r="B1329" i="2"/>
  <c r="F1327" i="2"/>
  <c r="B1325" i="2"/>
  <c r="B1313" i="2"/>
  <c r="F1311" i="2"/>
  <c r="B1309" i="2"/>
  <c r="F1307" i="2"/>
  <c r="B1305" i="2"/>
  <c r="F1303" i="2"/>
  <c r="B1301" i="2"/>
  <c r="F1299" i="2"/>
  <c r="F1287" i="2"/>
  <c r="B1285" i="2"/>
  <c r="F1283" i="2"/>
  <c r="B1281" i="2"/>
  <c r="F1279" i="2"/>
  <c r="B1277" i="2"/>
  <c r="F1275" i="2"/>
  <c r="B1273" i="2"/>
  <c r="B1261" i="2"/>
  <c r="F1259" i="2"/>
  <c r="B1257" i="2"/>
  <c r="F1255" i="2"/>
  <c r="B1253" i="2"/>
  <c r="B1241" i="2"/>
  <c r="F1239" i="2"/>
  <c r="B1237" i="2"/>
  <c r="F1235" i="2"/>
  <c r="B1233" i="2"/>
  <c r="B1221" i="2"/>
  <c r="F1219" i="2"/>
  <c r="B1217" i="2"/>
  <c r="F1215" i="2"/>
  <c r="B1213" i="2"/>
  <c r="B1201" i="2"/>
  <c r="F1199" i="2"/>
  <c r="B1197" i="2"/>
  <c r="F1195" i="2"/>
  <c r="B1193" i="2"/>
  <c r="B1181" i="2"/>
  <c r="F1179" i="2"/>
  <c r="B1177" i="2"/>
  <c r="F1175" i="2"/>
  <c r="B1173" i="2"/>
  <c r="F1171" i="2"/>
  <c r="B1169" i="2"/>
  <c r="F1167" i="2"/>
  <c r="F1155" i="2"/>
  <c r="B1153" i="2"/>
  <c r="F1151" i="2"/>
  <c r="B1149" i="2"/>
  <c r="F1147" i="2"/>
  <c r="B1145" i="2"/>
  <c r="F1143" i="2"/>
  <c r="F1131" i="2"/>
  <c r="B1129" i="2"/>
  <c r="F1127" i="2"/>
  <c r="B1125" i="2"/>
  <c r="F1123" i="2"/>
  <c r="B1121" i="2"/>
  <c r="F1119" i="2"/>
  <c r="B1117" i="2"/>
  <c r="F1115" i="2"/>
  <c r="B1113" i="2"/>
  <c r="F1111" i="2"/>
  <c r="B1109" i="2"/>
  <c r="F1107" i="2"/>
  <c r="B1105" i="2"/>
  <c r="F1103" i="2"/>
  <c r="B1101" i="2"/>
  <c r="F1099" i="2"/>
  <c r="B1097" i="2"/>
  <c r="F1095" i="2"/>
  <c r="F1083" i="2"/>
  <c r="B1081" i="2"/>
  <c r="F1079" i="2"/>
  <c r="B1077" i="2"/>
  <c r="F1075" i="2"/>
  <c r="B1073" i="2"/>
  <c r="F1071" i="2"/>
  <c r="B1069" i="2"/>
  <c r="F1067" i="2"/>
  <c r="B1065" i="2"/>
  <c r="F1063" i="2"/>
  <c r="B1061" i="2"/>
  <c r="F1059" i="2"/>
  <c r="B1057" i="2"/>
  <c r="F1055" i="2"/>
  <c r="B1053" i="2"/>
  <c r="F1051" i="2"/>
  <c r="B1049" i="2"/>
  <c r="B1037" i="2"/>
  <c r="F1035" i="2"/>
  <c r="B1033" i="2"/>
  <c r="F1031" i="2"/>
  <c r="B1029" i="2"/>
  <c r="F1027" i="2"/>
  <c r="B1025" i="2"/>
  <c r="F1023" i="2"/>
  <c r="B1021" i="2"/>
  <c r="F1019" i="2"/>
  <c r="B1017" i="2"/>
  <c r="F1015" i="2"/>
  <c r="B1013" i="2"/>
  <c r="F1011" i="2"/>
  <c r="B1009" i="2"/>
  <c r="F1007" i="2"/>
  <c r="B1005" i="2"/>
  <c r="F1003" i="2"/>
  <c r="B1001" i="2"/>
  <c r="B989" i="2"/>
  <c r="F987" i="2"/>
  <c r="B985" i="2"/>
  <c r="F983" i="2"/>
  <c r="B981" i="2"/>
  <c r="F979" i="2"/>
  <c r="B977" i="2"/>
  <c r="F975" i="2"/>
  <c r="B973" i="2"/>
  <c r="F971" i="2"/>
  <c r="B969" i="2"/>
  <c r="F967" i="2"/>
  <c r="B965" i="2"/>
  <c r="F963" i="2"/>
  <c r="B961" i="2"/>
  <c r="F959" i="2"/>
  <c r="B957" i="2"/>
  <c r="F955" i="2"/>
  <c r="F943" i="2"/>
  <c r="B941" i="2"/>
  <c r="F939" i="2"/>
  <c r="B937" i="2"/>
  <c r="F935" i="2"/>
  <c r="B933" i="2"/>
  <c r="F931" i="2"/>
  <c r="F919" i="2"/>
  <c r="B917" i="2"/>
  <c r="F915" i="2"/>
  <c r="B913" i="2"/>
  <c r="F911" i="2"/>
  <c r="B909" i="2"/>
  <c r="F907" i="2"/>
  <c r="F895" i="2"/>
  <c r="B893" i="2"/>
  <c r="F891" i="2"/>
  <c r="B889" i="2"/>
  <c r="F887" i="2"/>
  <c r="B885" i="2"/>
  <c r="F883" i="2"/>
  <c r="B881" i="2"/>
  <c r="B869" i="2"/>
  <c r="F867" i="2"/>
  <c r="B865" i="2"/>
  <c r="B853" i="2"/>
  <c r="F851" i="2"/>
  <c r="B849" i="2"/>
  <c r="F847" i="2"/>
  <c r="B845" i="2"/>
  <c r="F843" i="2"/>
  <c r="F831" i="2"/>
  <c r="B829" i="2"/>
  <c r="F827" i="2"/>
  <c r="B825" i="2"/>
  <c r="B813" i="2"/>
  <c r="F811" i="2"/>
  <c r="B809" i="2"/>
  <c r="F807" i="2"/>
  <c r="B805" i="2"/>
  <c r="F803" i="2"/>
  <c r="B801" i="2"/>
  <c r="F799" i="2"/>
  <c r="F787" i="2"/>
  <c r="B785" i="2"/>
  <c r="F783" i="2"/>
  <c r="F771" i="2"/>
  <c r="B769" i="2"/>
  <c r="F767" i="2"/>
  <c r="B765" i="2"/>
  <c r="B753" i="2"/>
  <c r="F751" i="2"/>
  <c r="B749" i="2"/>
  <c r="F747" i="2"/>
  <c r="F735" i="2"/>
  <c r="B733" i="2"/>
  <c r="F731" i="2"/>
  <c r="B729" i="2"/>
  <c r="B717" i="2"/>
  <c r="F715" i="2"/>
  <c r="B713" i="2"/>
  <c r="F711" i="2"/>
  <c r="F699" i="2"/>
  <c r="B697" i="2"/>
  <c r="F695" i="2"/>
  <c r="F683" i="2"/>
  <c r="B681" i="2"/>
  <c r="B669" i="2"/>
  <c r="B657" i="2"/>
  <c r="F655" i="2"/>
  <c r="F643" i="2"/>
  <c r="F631" i="2"/>
  <c r="B629" i="2"/>
  <c r="F627" i="2"/>
  <c r="F615" i="2"/>
  <c r="B613" i="2"/>
  <c r="B601" i="2"/>
  <c r="F599" i="2"/>
  <c r="B597" i="2"/>
  <c r="B585" i="2"/>
  <c r="F583" i="2"/>
  <c r="F571" i="2"/>
  <c r="B569" i="2"/>
  <c r="F567" i="2"/>
  <c r="B565" i="2"/>
  <c r="F563" i="2"/>
  <c r="B561" i="2"/>
  <c r="F559" i="2"/>
  <c r="B557" i="2"/>
  <c r="F555" i="2"/>
  <c r="B553" i="2"/>
  <c r="F551" i="2"/>
  <c r="B549" i="2"/>
  <c r="F547" i="2"/>
  <c r="B545" i="2"/>
  <c r="F543" i="2"/>
  <c r="B541" i="2"/>
  <c r="F539" i="2"/>
  <c r="B537" i="2"/>
  <c r="F535" i="2"/>
  <c r="B533" i="2"/>
  <c r="F531" i="2"/>
  <c r="B529" i="2"/>
  <c r="F527" i="2"/>
  <c r="B525" i="2"/>
  <c r="F523" i="2"/>
  <c r="B521" i="2"/>
  <c r="F519" i="2"/>
  <c r="B517" i="2"/>
  <c r="F515" i="2"/>
  <c r="B513" i="2"/>
  <c r="F511" i="2"/>
  <c r="B509" i="2"/>
  <c r="F507" i="2"/>
  <c r="B505" i="2"/>
  <c r="F503" i="2"/>
  <c r="B501" i="2"/>
  <c r="B489" i="2"/>
  <c r="F487" i="2"/>
  <c r="F475" i="2"/>
  <c r="F463" i="2"/>
  <c r="B450" i="2"/>
  <c r="B438" i="2"/>
  <c r="F436" i="2"/>
  <c r="B434" i="2"/>
  <c r="F432" i="2"/>
  <c r="B430" i="2"/>
  <c r="F428" i="2"/>
  <c r="B426" i="2"/>
  <c r="F424" i="2"/>
  <c r="B422" i="2"/>
  <c r="F420" i="2"/>
  <c r="F408" i="2"/>
  <c r="B406" i="2"/>
  <c r="F404" i="2"/>
  <c r="B402" i="2"/>
  <c r="F400" i="2"/>
  <c r="B398" i="2"/>
  <c r="F396" i="2"/>
  <c r="B394" i="2"/>
  <c r="F392" i="2"/>
  <c r="B390" i="2"/>
  <c r="F388" i="2"/>
  <c r="F376" i="2"/>
  <c r="F364" i="2"/>
  <c r="B362" i="2"/>
  <c r="F360" i="2"/>
  <c r="B358" i="2"/>
  <c r="F356" i="2"/>
  <c r="B354" i="2"/>
  <c r="F352" i="2"/>
  <c r="B350" i="2"/>
  <c r="F348" i="2"/>
  <c r="F336" i="2"/>
  <c r="B334" i="2"/>
  <c r="B322" i="2"/>
  <c r="F320" i="2"/>
  <c r="B318" i="2"/>
  <c r="F316" i="2"/>
  <c r="B314" i="2"/>
  <c r="F312" i="2"/>
  <c r="B310" i="2"/>
  <c r="F308" i="2"/>
  <c r="B306" i="2"/>
  <c r="F304" i="2"/>
  <c r="B302" i="2"/>
  <c r="F300" i="2"/>
  <c r="F288" i="2"/>
  <c r="B286" i="2"/>
  <c r="F284" i="2"/>
  <c r="B282" i="2"/>
  <c r="F280" i="2"/>
  <c r="B278" i="2"/>
  <c r="F276" i="2"/>
  <c r="B274" i="2"/>
  <c r="F272" i="2"/>
  <c r="B270" i="2"/>
  <c r="F268" i="2"/>
  <c r="F256" i="2"/>
  <c r="B254" i="2"/>
  <c r="F252" i="2"/>
  <c r="B250" i="2"/>
  <c r="F248" i="2"/>
  <c r="B246" i="2"/>
  <c r="F244" i="2"/>
  <c r="B242" i="2"/>
  <c r="F240" i="2"/>
  <c r="B238" i="2"/>
  <c r="F236" i="2"/>
  <c r="B234" i="2"/>
  <c r="F232" i="2"/>
  <c r="B230" i="2"/>
  <c r="F228" i="2"/>
  <c r="B226" i="2"/>
  <c r="F224" i="2"/>
  <c r="B222" i="2"/>
  <c r="F220" i="2"/>
  <c r="B218" i="2"/>
  <c r="F216" i="2"/>
  <c r="F204" i="2"/>
  <c r="B202" i="2"/>
  <c r="F200" i="2"/>
  <c r="B198" i="2"/>
  <c r="F196" i="2"/>
  <c r="B194" i="2"/>
  <c r="F192" i="2"/>
  <c r="B190" i="2"/>
  <c r="F188" i="2"/>
  <c r="B186" i="2"/>
  <c r="F184" i="2"/>
  <c r="B182" i="2"/>
  <c r="F180" i="2"/>
  <c r="B178" i="2"/>
  <c r="F176" i="2"/>
  <c r="B174" i="2"/>
  <c r="F172" i="2"/>
  <c r="B170" i="2"/>
  <c r="F168" i="2"/>
  <c r="B166" i="2"/>
  <c r="F164" i="2"/>
  <c r="B162" i="2"/>
  <c r="B150" i="2"/>
  <c r="F148" i="2"/>
  <c r="B146" i="2"/>
  <c r="F144" i="2"/>
  <c r="B142" i="2"/>
  <c r="F140" i="2"/>
  <c r="B138" i="2"/>
  <c r="F136" i="2"/>
  <c r="B134" i="2"/>
  <c r="F132" i="2"/>
  <c r="B130" i="2"/>
  <c r="F128" i="2"/>
  <c r="B126" i="2"/>
  <c r="F124" i="2"/>
  <c r="B122" i="2"/>
  <c r="F120" i="2"/>
  <c r="B118" i="2"/>
  <c r="F116" i="2"/>
  <c r="B114" i="2"/>
  <c r="F112" i="2"/>
  <c r="B110" i="2"/>
  <c r="F108" i="2"/>
  <c r="F96" i="2"/>
  <c r="B94" i="2"/>
  <c r="F92" i="2"/>
  <c r="B90" i="2"/>
  <c r="F88" i="2"/>
  <c r="B86" i="2"/>
  <c r="F84" i="2"/>
  <c r="B82" i="2"/>
  <c r="F80" i="2"/>
  <c r="B78" i="2"/>
  <c r="F76" i="2"/>
  <c r="B74" i="2"/>
  <c r="F72" i="2"/>
  <c r="B70" i="2"/>
  <c r="F68" i="2"/>
  <c r="B66" i="2"/>
  <c r="F64" i="2"/>
  <c r="B62" i="2"/>
  <c r="F60" i="2"/>
  <c r="B58" i="2"/>
  <c r="F56" i="2"/>
  <c r="B54" i="2"/>
  <c r="B42" i="2"/>
  <c r="F40" i="2"/>
  <c r="B38" i="2"/>
  <c r="F36" i="2"/>
  <c r="B34" i="2"/>
  <c r="F32" i="2"/>
  <c r="B30" i="2"/>
  <c r="F28" i="2"/>
  <c r="B26" i="2"/>
  <c r="F24" i="2"/>
  <c r="F2276" i="2"/>
  <c r="B2274" i="2"/>
  <c r="F2272" i="2"/>
  <c r="B2270" i="2"/>
  <c r="F2268" i="2"/>
  <c r="B2266" i="2"/>
  <c r="F2264" i="2"/>
  <c r="B2258" i="2"/>
  <c r="F2256" i="2"/>
  <c r="B2254" i="2"/>
  <c r="F2252" i="2"/>
  <c r="F2236" i="2"/>
  <c r="B2230" i="2"/>
  <c r="F2228" i="2"/>
  <c r="B2226" i="2"/>
  <c r="F2224" i="2"/>
  <c r="B2218" i="2"/>
  <c r="F2216" i="2"/>
  <c r="B2214" i="2"/>
  <c r="F2212" i="2"/>
  <c r="B2206" i="2"/>
  <c r="F2204" i="2"/>
  <c r="B2202" i="2"/>
  <c r="B2186" i="2"/>
  <c r="F2184" i="2"/>
  <c r="B2182" i="2"/>
  <c r="F2180" i="2"/>
  <c r="F2164" i="2"/>
  <c r="B2158" i="2"/>
  <c r="F2156" i="2"/>
  <c r="B2154" i="2"/>
  <c r="F2152" i="2"/>
  <c r="B2146" i="2"/>
  <c r="F2144" i="2"/>
  <c r="B2142" i="2"/>
  <c r="F2140" i="2"/>
  <c r="B2134" i="2"/>
  <c r="F2132" i="2"/>
  <c r="B2130" i="2"/>
  <c r="B2114" i="2"/>
  <c r="F2112" i="2"/>
  <c r="B2110" i="2"/>
  <c r="F2108" i="2"/>
  <c r="F2092" i="2"/>
  <c r="B2090" i="2"/>
  <c r="B2078" i="2"/>
  <c r="F2076" i="2"/>
  <c r="B2058" i="2"/>
  <c r="F2056" i="2"/>
  <c r="B2054" i="2"/>
  <c r="F2052" i="2"/>
  <c r="B2046" i="2"/>
  <c r="F2044" i="2"/>
  <c r="B2042" i="2"/>
  <c r="F2028" i="2"/>
  <c r="F2016" i="2"/>
  <c r="B2014" i="2"/>
  <c r="F2012" i="2"/>
  <c r="B2002" i="2"/>
  <c r="F2000" i="2"/>
  <c r="B1998" i="2"/>
  <c r="F1996" i="2"/>
  <c r="B1978" i="2"/>
  <c r="F1976" i="2"/>
  <c r="B1974" i="2"/>
  <c r="F1972" i="2"/>
  <c r="B1966" i="2"/>
  <c r="F1964" i="2"/>
  <c r="F1952" i="2"/>
  <c r="F1948" i="2"/>
  <c r="B1946" i="2"/>
  <c r="F1944" i="2"/>
  <c r="B1942" i="2"/>
  <c r="F1940" i="2"/>
  <c r="F1920" i="2"/>
  <c r="F1904" i="2"/>
  <c r="B1890" i="2"/>
  <c r="B1878" i="2"/>
  <c r="B1866" i="2"/>
  <c r="F1852" i="2"/>
  <c r="B1850" i="2"/>
  <c r="F1848" i="2"/>
  <c r="B1846" i="2"/>
  <c r="F1844" i="2"/>
  <c r="B1838" i="2"/>
  <c r="F1836" i="2"/>
  <c r="B1834" i="2"/>
  <c r="F1832" i="2"/>
  <c r="B1826" i="2"/>
  <c r="F1824" i="2"/>
  <c r="B1822" i="2"/>
  <c r="F1820" i="2"/>
  <c r="B1810" i="2"/>
  <c r="F1808" i="2"/>
  <c r="F1796" i="2"/>
  <c r="B1790" i="2"/>
  <c r="F1788" i="2"/>
  <c r="B1786" i="2"/>
  <c r="F1784" i="2"/>
  <c r="B1770" i="2"/>
  <c r="F1768" i="2"/>
  <c r="B1766" i="2"/>
  <c r="F1764" i="2"/>
  <c r="B1758" i="2"/>
  <c r="F1756" i="2"/>
  <c r="B1754" i="2"/>
  <c r="F1752" i="2"/>
  <c r="B1746" i="2"/>
  <c r="F1744" i="2"/>
  <c r="B1742" i="2"/>
  <c r="F1740" i="2"/>
  <c r="B1734" i="2"/>
  <c r="F1732" i="2"/>
  <c r="B1730" i="2"/>
  <c r="F1728" i="2"/>
  <c r="B1722" i="2"/>
  <c r="F1720" i="2"/>
  <c r="B1718" i="2"/>
  <c r="F1716" i="2"/>
  <c r="B1710" i="2"/>
  <c r="F1708" i="2"/>
  <c r="B1706" i="2"/>
  <c r="F1704" i="2"/>
  <c r="B1698" i="2"/>
  <c r="F1696" i="2"/>
  <c r="F1684" i="2"/>
  <c r="B1682" i="2"/>
  <c r="B1670" i="2"/>
  <c r="B1654" i="2"/>
  <c r="F1652" i="2"/>
  <c r="B1650" i="2"/>
  <c r="F1648" i="2"/>
  <c r="B1638" i="2"/>
  <c r="F1636" i="2"/>
  <c r="B1634" i="2"/>
  <c r="F1632" i="2"/>
  <c r="B1630" i="2"/>
  <c r="F1628" i="2"/>
  <c r="B1626" i="2"/>
  <c r="F1624" i="2"/>
  <c r="B1614" i="2"/>
  <c r="F1612" i="2"/>
  <c r="B1610" i="2"/>
  <c r="B1582" i="2"/>
  <c r="F1580" i="2"/>
  <c r="F1568" i="2"/>
  <c r="B1562" i="2"/>
  <c r="F1560" i="2"/>
  <c r="B1558" i="2"/>
  <c r="B1546" i="2"/>
  <c r="F1544" i="2"/>
  <c r="B1542" i="2"/>
  <c r="F1540" i="2"/>
  <c r="B1538" i="2"/>
  <c r="B1526" i="2"/>
  <c r="B1518" i="2"/>
  <c r="F1516" i="2"/>
  <c r="F1504" i="2"/>
  <c r="B1502" i="2"/>
  <c r="F1500" i="2"/>
  <c r="B1482" i="2"/>
  <c r="F1480" i="2"/>
  <c r="B1478" i="2"/>
  <c r="B1462" i="2"/>
  <c r="F1460" i="2"/>
  <c r="B1458" i="2"/>
  <c r="F1456" i="2"/>
  <c r="F1440" i="2"/>
  <c r="B1434" i="2"/>
  <c r="F1432" i="2"/>
  <c r="B1430" i="2"/>
  <c r="B1414" i="2"/>
  <c r="F1412" i="2"/>
  <c r="B1410" i="2"/>
  <c r="F1408" i="2"/>
  <c r="F1380" i="2"/>
  <c r="B1378" i="2"/>
  <c r="F1376" i="2"/>
  <c r="F1364" i="2"/>
  <c r="B1362" i="2"/>
  <c r="F1360" i="2"/>
  <c r="F1356" i="2"/>
  <c r="B1350" i="2"/>
  <c r="B1338" i="2"/>
  <c r="F1336" i="2"/>
  <c r="B1326" i="2"/>
  <c r="F1324" i="2"/>
  <c r="F1312" i="2"/>
  <c r="B1310" i="2"/>
  <c r="F1308" i="2"/>
  <c r="B1306" i="2"/>
  <c r="F1304" i="2"/>
  <c r="B1302" i="2"/>
  <c r="F1300" i="2"/>
  <c r="B1282" i="2"/>
  <c r="F1280" i="2"/>
  <c r="F1276" i="2"/>
  <c r="F1260" i="2"/>
  <c r="B1258" i="2"/>
  <c r="F1256" i="2"/>
  <c r="B1254" i="2"/>
  <c r="F1252" i="2"/>
  <c r="F1240" i="2"/>
  <c r="F1236" i="2"/>
  <c r="F1220" i="2"/>
  <c r="F1216" i="2"/>
  <c r="F1200" i="2"/>
  <c r="F1180" i="2"/>
  <c r="B1178" i="2"/>
  <c r="F1176" i="2"/>
  <c r="F1172" i="2"/>
  <c r="F1168" i="2"/>
  <c r="F1156" i="2"/>
  <c r="F1152" i="2"/>
  <c r="F1148" i="2"/>
  <c r="F1144" i="2"/>
  <c r="B1142" i="2"/>
  <c r="B1126" i="2"/>
  <c r="F1124" i="2"/>
  <c r="B1122" i="2"/>
  <c r="F1120" i="2"/>
  <c r="B1110" i="2"/>
  <c r="F1108" i="2"/>
  <c r="B1106" i="2"/>
  <c r="F1104" i="2"/>
  <c r="B1102" i="2"/>
  <c r="F1100" i="2"/>
  <c r="B1098" i="2"/>
  <c r="F1096" i="2"/>
  <c r="B1082" i="2"/>
  <c r="F1080" i="2"/>
  <c r="B1078" i="2"/>
  <c r="F1076" i="2"/>
  <c r="B1066" i="2"/>
  <c r="F1064" i="2"/>
  <c r="B1058" i="2"/>
  <c r="F1056" i="2"/>
  <c r="F1052" i="2"/>
  <c r="B1034" i="2"/>
  <c r="F1032" i="2"/>
  <c r="B1030" i="2"/>
  <c r="B1022" i="2"/>
  <c r="F1020" i="2"/>
  <c r="F1016" i="2"/>
  <c r="B1010" i="2"/>
  <c r="F1008" i="2"/>
  <c r="B990" i="2"/>
  <c r="F988" i="2"/>
  <c r="B982" i="2"/>
  <c r="F980" i="2"/>
  <c r="B978" i="2"/>
  <c r="F976" i="2"/>
  <c r="B974" i="2"/>
  <c r="B962" i="2"/>
  <c r="F960" i="2"/>
  <c r="B958" i="2"/>
  <c r="F956" i="2"/>
  <c r="B942" i="2"/>
  <c r="F940" i="2"/>
  <c r="B938" i="2"/>
  <c r="F936" i="2"/>
  <c r="B934" i="2"/>
  <c r="F932" i="2"/>
  <c r="F920" i="2"/>
  <c r="B918" i="2"/>
  <c r="F916" i="2"/>
  <c r="B914" i="2"/>
  <c r="F912" i="2"/>
  <c r="B910" i="2"/>
  <c r="F908" i="2"/>
  <c r="B906" i="2"/>
  <c r="B894" i="2"/>
  <c r="F892" i="2"/>
  <c r="F888" i="2"/>
  <c r="F884" i="2"/>
  <c r="F868" i="2"/>
  <c r="F864" i="2"/>
  <c r="B850" i="2"/>
  <c r="F848" i="2"/>
  <c r="B846" i="2"/>
  <c r="F844" i="2"/>
  <c r="F832" i="2"/>
  <c r="B826" i="2"/>
  <c r="B814" i="2"/>
  <c r="F812" i="2"/>
  <c r="B810" i="2"/>
  <c r="F808" i="2"/>
  <c r="B806" i="2"/>
  <c r="F804" i="2"/>
  <c r="B802" i="2"/>
  <c r="F800" i="2"/>
  <c r="B786" i="2"/>
  <c r="F784" i="2"/>
  <c r="B782" i="2"/>
  <c r="B766" i="2"/>
  <c r="F764" i="2"/>
  <c r="F752" i="2"/>
  <c r="F748" i="2"/>
  <c r="B734" i="2"/>
  <c r="F732" i="2"/>
  <c r="B730" i="2"/>
  <c r="F728" i="2"/>
  <c r="F716" i="2"/>
  <c r="B714" i="2"/>
  <c r="F712" i="2"/>
  <c r="B710" i="2"/>
  <c r="B694" i="2"/>
  <c r="B682" i="2"/>
  <c r="B670" i="2"/>
  <c r="F668" i="2"/>
  <c r="F656" i="2"/>
  <c r="B630" i="2"/>
  <c r="F628" i="2"/>
  <c r="F616" i="2"/>
  <c r="B598" i="2"/>
  <c r="B586" i="2"/>
  <c r="F584" i="2"/>
  <c r="B582" i="2"/>
  <c r="B566" i="2"/>
  <c r="F564" i="2"/>
  <c r="B562" i="2"/>
  <c r="F560" i="2"/>
  <c r="B554" i="2"/>
  <c r="F552" i="2"/>
  <c r="B550" i="2"/>
  <c r="F548" i="2"/>
  <c r="B542" i="2"/>
  <c r="F540" i="2"/>
  <c r="B538" i="2"/>
  <c r="F536" i="2"/>
  <c r="B530" i="2"/>
  <c r="F528" i="2"/>
  <c r="B526" i="2"/>
  <c r="F524" i="2"/>
  <c r="B518" i="2"/>
  <c r="F516" i="2"/>
  <c r="B514" i="2"/>
  <c r="F512" i="2"/>
  <c r="B502" i="2"/>
  <c r="F500" i="2"/>
  <c r="F488" i="2"/>
  <c r="F452" i="2"/>
  <c r="B451" i="2"/>
  <c r="B439" i="2"/>
  <c r="F437" i="2"/>
  <c r="B427" i="2"/>
  <c r="F425" i="2"/>
  <c r="B423" i="2"/>
  <c r="F421" i="2"/>
  <c r="B419" i="2"/>
  <c r="B407" i="2"/>
  <c r="F405" i="2"/>
  <c r="B395" i="2"/>
  <c r="F393" i="2"/>
  <c r="B391" i="2"/>
  <c r="F389" i="2"/>
  <c r="F377" i="2"/>
  <c r="B375" i="2"/>
  <c r="B359" i="2"/>
  <c r="F357" i="2"/>
  <c r="B355" i="2"/>
  <c r="F353" i="2"/>
  <c r="B347" i="2"/>
  <c r="B335" i="2"/>
  <c r="F333" i="2"/>
  <c r="F321" i="2"/>
  <c r="B319" i="2"/>
  <c r="F317" i="2"/>
  <c r="B315" i="2"/>
  <c r="F313" i="2"/>
  <c r="B307" i="2"/>
  <c r="F305" i="2"/>
  <c r="B303" i="2"/>
  <c r="F301" i="2"/>
  <c r="B283" i="2"/>
  <c r="F281" i="2"/>
  <c r="B279" i="2"/>
  <c r="F277" i="2"/>
  <c r="B271" i="2"/>
  <c r="F269" i="2"/>
  <c r="F257" i="2"/>
  <c r="F253" i="2"/>
  <c r="F249" i="2"/>
  <c r="B247" i="2"/>
  <c r="F245" i="2"/>
  <c r="B243" i="2"/>
  <c r="F237" i="2"/>
  <c r="B235" i="2"/>
  <c r="F233" i="2"/>
  <c r="B231" i="2"/>
  <c r="F225" i="2"/>
  <c r="F217" i="2"/>
  <c r="F205" i="2"/>
  <c r="B199" i="2"/>
  <c r="F197" i="2"/>
  <c r="B195" i="2"/>
  <c r="F193" i="2"/>
  <c r="B191" i="2"/>
  <c r="F189" i="2"/>
  <c r="B187" i="2"/>
  <c r="F185" i="2"/>
  <c r="B183" i="2"/>
  <c r="F177" i="2"/>
  <c r="F165" i="2"/>
  <c r="B163" i="2"/>
  <c r="B151" i="2"/>
  <c r="F141" i="2"/>
  <c r="F133" i="2"/>
  <c r="B131" i="2"/>
  <c r="F129" i="2"/>
  <c r="B127" i="2"/>
  <c r="F125" i="2"/>
  <c r="B123" i="2"/>
  <c r="F121" i="2"/>
  <c r="F117" i="2"/>
  <c r="B111" i="2"/>
  <c r="F93" i="2"/>
  <c r="B91" i="2"/>
  <c r="F89" i="2"/>
  <c r="B87" i="2"/>
  <c r="F81" i="2"/>
  <c r="F69" i="2"/>
  <c r="B67" i="2"/>
  <c r="F65" i="2"/>
  <c r="F61" i="2"/>
  <c r="F57" i="2"/>
  <c r="B55" i="2"/>
  <c r="B43" i="2"/>
  <c r="F41" i="2"/>
  <c r="B39" i="2"/>
  <c r="F37" i="2"/>
  <c r="B35" i="2"/>
  <c r="F33" i="2"/>
  <c r="B23" i="2"/>
  <c r="B1559" i="2"/>
  <c r="B1543" i="2"/>
  <c r="F1541" i="2"/>
  <c r="B1539" i="2"/>
  <c r="B1499" i="2"/>
  <c r="F1497" i="2"/>
  <c r="B1495" i="2"/>
  <c r="B1463" i="2"/>
  <c r="B1459" i="2"/>
  <c r="F1457" i="2"/>
  <c r="B1455" i="2"/>
  <c r="F1453" i="2"/>
  <c r="F1441" i="2"/>
  <c r="F1433" i="2"/>
  <c r="B1431" i="2"/>
  <c r="B1419" i="2"/>
  <c r="F1417" i="2"/>
  <c r="B1415" i="2"/>
  <c r="B1395" i="2"/>
  <c r="F1393" i="2"/>
  <c r="F1381" i="2"/>
  <c r="B1363" i="2"/>
  <c r="F1361" i="2"/>
  <c r="B1359" i="2"/>
  <c r="F1357" i="2"/>
  <c r="B1355" i="2"/>
  <c r="F1353" i="2"/>
  <c r="B1335" i="2"/>
  <c r="B1331" i="2"/>
  <c r="F1329" i="2"/>
  <c r="B1327" i="2"/>
  <c r="F1309" i="2"/>
  <c r="B1307" i="2"/>
  <c r="F1305" i="2"/>
  <c r="F1301" i="2"/>
  <c r="F1285" i="2"/>
  <c r="B1283" i="2"/>
  <c r="F1261" i="2"/>
  <c r="B1259" i="2"/>
  <c r="F1257" i="2"/>
  <c r="B1255" i="2"/>
  <c r="B1235" i="2"/>
  <c r="F1233" i="2"/>
  <c r="F1221" i="2"/>
  <c r="F1201" i="2"/>
  <c r="F1197" i="2"/>
  <c r="F1181" i="2"/>
  <c r="F1173" i="2"/>
  <c r="B1171" i="2"/>
  <c r="F1169" i="2"/>
  <c r="F1149" i="2"/>
  <c r="F1145" i="2"/>
  <c r="F1125" i="2"/>
  <c r="B1123" i="2"/>
  <c r="F1121" i="2"/>
  <c r="F1117" i="2"/>
  <c r="F1109" i="2"/>
  <c r="F1101" i="2"/>
  <c r="B1095" i="2"/>
  <c r="B1083" i="2"/>
  <c r="F1081" i="2"/>
  <c r="B1075" i="2"/>
  <c r="F1073" i="2"/>
  <c r="F1065" i="2"/>
  <c r="B1063" i="2"/>
  <c r="F1061" i="2"/>
  <c r="B1059" i="2"/>
  <c r="F1049" i="2"/>
  <c r="F1037" i="2"/>
  <c r="F1029" i="2"/>
  <c r="B1027" i="2"/>
  <c r="F1025" i="2"/>
  <c r="B1023" i="2"/>
  <c r="F1021" i="2"/>
  <c r="B1015" i="2"/>
  <c r="B1007" i="2"/>
  <c r="F1005" i="2"/>
  <c r="B1003" i="2"/>
  <c r="F1001" i="2"/>
  <c r="F989" i="2"/>
  <c r="F985" i="2"/>
  <c r="B979" i="2"/>
  <c r="F977" i="2"/>
  <c r="B967" i="2"/>
  <c r="F965" i="2"/>
  <c r="F961" i="2"/>
  <c r="F941" i="2"/>
  <c r="B939" i="2"/>
  <c r="F937" i="2"/>
  <c r="B931" i="2"/>
  <c r="B919" i="2"/>
  <c r="F917" i="2"/>
  <c r="B915" i="2"/>
  <c r="F909" i="2"/>
  <c r="F845" i="2"/>
  <c r="B843" i="2"/>
  <c r="F829" i="2"/>
  <c r="B827" i="2"/>
  <c r="F825" i="2"/>
  <c r="B807" i="2"/>
  <c r="B799" i="2"/>
  <c r="F785" i="2"/>
  <c r="B751" i="2"/>
  <c r="F749" i="2"/>
  <c r="F733" i="2"/>
  <c r="F697" i="2"/>
  <c r="B631" i="2"/>
  <c r="B627" i="2"/>
  <c r="F601" i="2"/>
  <c r="F597" i="2"/>
  <c r="B583" i="2"/>
  <c r="B571" i="2"/>
  <c r="F569" i="2"/>
  <c r="B567" i="2"/>
  <c r="F565" i="2"/>
  <c r="B563" i="2"/>
  <c r="F561" i="2"/>
  <c r="B547" i="2"/>
  <c r="F545" i="2"/>
  <c r="B539" i="2"/>
  <c r="B531" i="2"/>
  <c r="F529" i="2"/>
  <c r="B523" i="2"/>
  <c r="F521" i="2"/>
  <c r="B515" i="2"/>
  <c r="F513" i="2"/>
  <c r="B507" i="2"/>
  <c r="F505" i="2"/>
  <c r="F489" i="2"/>
  <c r="B475" i="2"/>
  <c r="B428" i="2"/>
  <c r="F426" i="2"/>
  <c r="B424" i="2"/>
  <c r="F422" i="2"/>
  <c r="B404" i="2"/>
  <c r="F402" i="2"/>
  <c r="B400" i="2"/>
  <c r="F398" i="2"/>
  <c r="B396" i="2"/>
  <c r="F394" i="2"/>
  <c r="B376" i="2"/>
  <c r="B364" i="2"/>
  <c r="F362" i="2"/>
  <c r="F358" i="2"/>
  <c r="B356" i="2"/>
  <c r="B348" i="2"/>
  <c r="B336" i="2"/>
  <c r="F334" i="2"/>
  <c r="B312" i="2"/>
  <c r="F310" i="2"/>
  <c r="B304" i="2"/>
  <c r="F286" i="2"/>
  <c r="B284" i="2"/>
  <c r="F282" i="2"/>
  <c r="B276" i="2"/>
  <c r="F274" i="2"/>
  <c r="F250" i="2"/>
  <c r="B244" i="2"/>
  <c r="B232" i="2"/>
  <c r="F226" i="2"/>
  <c r="B224" i="2"/>
  <c r="F218" i="2"/>
  <c r="B196" i="2"/>
  <c r="F194" i="2"/>
  <c r="B192" i="2"/>
  <c r="F190" i="2"/>
  <c r="B188" i="2"/>
  <c r="F186" i="2"/>
  <c r="B172" i="2"/>
  <c r="F170" i="2"/>
  <c r="B168" i="2"/>
  <c r="F166" i="2"/>
  <c r="B164" i="2"/>
  <c r="F138" i="2"/>
  <c r="B128" i="2"/>
  <c r="B124" i="2"/>
  <c r="F122" i="2"/>
  <c r="B120" i="2"/>
  <c r="B116" i="2"/>
  <c r="F94" i="2"/>
  <c r="B84" i="2"/>
  <c r="B72" i="2"/>
  <c r="B60" i="2"/>
  <c r="B32" i="2"/>
  <c r="F30" i="2"/>
  <c r="B28" i="2"/>
  <c r="F6926" i="2"/>
  <c r="F5900" i="2"/>
  <c r="F5806" i="2"/>
  <c r="B5366" i="2"/>
  <c r="B5275" i="2"/>
  <c r="B5243" i="2"/>
  <c r="B5211" i="2"/>
  <c r="B5062" i="2"/>
  <c r="F5042" i="2"/>
  <c r="B5030" i="2"/>
  <c r="B5014" i="2"/>
  <c r="F4980" i="2"/>
  <c r="F4964" i="2"/>
  <c r="B4940" i="2"/>
  <c r="F4916" i="2"/>
  <c r="F4900" i="2"/>
  <c r="F4884" i="2"/>
  <c r="B4876" i="2"/>
  <c r="B4555" i="2"/>
  <c r="B4539" i="2"/>
  <c r="B4523" i="2"/>
  <c r="B4491" i="2"/>
  <c r="B4427" i="2"/>
  <c r="F4402" i="2"/>
  <c r="B4358" i="2"/>
  <c r="F4149" i="2"/>
  <c r="F4117" i="2"/>
  <c r="F3929" i="2"/>
  <c r="B3636" i="2"/>
  <c r="B3628" i="2"/>
  <c r="B3620" i="2"/>
  <c r="B3612" i="2"/>
  <c r="B3604" i="2"/>
  <c r="F3558" i="2"/>
  <c r="F3550" i="2"/>
  <c r="F3542" i="2"/>
  <c r="F3534" i="2"/>
  <c r="F3526" i="2"/>
  <c r="F3518" i="2"/>
  <c r="B3440" i="2"/>
  <c r="B3432" i="2"/>
  <c r="B3424" i="2"/>
  <c r="B3416" i="2"/>
  <c r="B3408" i="2"/>
  <c r="B3400" i="2"/>
  <c r="B3392" i="2"/>
  <c r="B3384" i="2"/>
  <c r="B3376" i="2"/>
  <c r="B3368" i="2"/>
  <c r="B3360" i="2"/>
  <c r="B3352" i="2"/>
  <c r="B3344" i="2"/>
  <c r="B3336" i="2"/>
  <c r="B3328" i="2"/>
  <c r="B3180" i="2"/>
  <c r="B3172" i="2"/>
  <c r="B3164" i="2"/>
  <c r="B3156" i="2"/>
  <c r="B3148" i="2"/>
  <c r="B3140" i="2"/>
  <c r="B3132" i="2"/>
  <c r="F3111" i="2"/>
  <c r="B3099" i="2"/>
  <c r="F3095" i="2"/>
  <c r="B3083" i="2"/>
  <c r="F3079" i="2"/>
  <c r="B3067" i="2"/>
  <c r="F3063" i="2"/>
  <c r="B3051" i="2"/>
  <c r="B3035" i="2"/>
  <c r="F3031" i="2"/>
  <c r="B3003" i="2"/>
  <c r="F2999" i="2"/>
  <c r="B2987" i="2"/>
  <c r="F2983" i="2"/>
  <c r="B2971" i="2"/>
  <c r="F2967" i="2"/>
  <c r="B2939" i="2"/>
  <c r="F2935" i="2"/>
  <c r="B2923" i="2"/>
  <c r="F2919" i="2"/>
  <c r="B2907" i="2"/>
  <c r="F2903" i="2"/>
  <c r="F1198" i="2"/>
  <c r="B1196" i="2"/>
  <c r="F1178" i="2"/>
  <c r="B1176" i="2"/>
  <c r="F1170" i="2"/>
  <c r="B1168" i="2"/>
  <c r="B1156" i="2"/>
  <c r="F1150" i="2"/>
  <c r="B1148" i="2"/>
  <c r="F1142" i="2"/>
  <c r="F942" i="2"/>
  <c r="B940" i="2"/>
  <c r="F934" i="2"/>
  <c r="B932" i="2"/>
  <c r="B920" i="2"/>
  <c r="F914" i="2"/>
  <c r="B912" i="2"/>
  <c r="B4342" i="2"/>
  <c r="F4338" i="2"/>
  <c r="B4310" i="2"/>
  <c r="F4306" i="2"/>
  <c r="B4278" i="2"/>
  <c r="F4274" i="2"/>
  <c r="B4246" i="2"/>
  <c r="F4242" i="2"/>
  <c r="B4186" i="2"/>
  <c r="F4182" i="2"/>
  <c r="F4141" i="2"/>
  <c r="F3953" i="2"/>
  <c r="F3921" i="2"/>
  <c r="B3759" i="2"/>
  <c r="F3755" i="2"/>
  <c r="B3743" i="2"/>
  <c r="F3739" i="2"/>
  <c r="B3727" i="2"/>
  <c r="F3723" i="2"/>
  <c r="B3711" i="2"/>
  <c r="F3707" i="2"/>
  <c r="B3695" i="2"/>
  <c r="F3691" i="2"/>
  <c r="B3679" i="2"/>
  <c r="F3675" i="2"/>
  <c r="B3663" i="2"/>
  <c r="F3659" i="2"/>
  <c r="F3637" i="2"/>
  <c r="B3633" i="2"/>
  <c r="F3629" i="2"/>
  <c r="B3625" i="2"/>
  <c r="F3621" i="2"/>
  <c r="B3617" i="2"/>
  <c r="F3613" i="2"/>
  <c r="B3609" i="2"/>
  <c r="F3605" i="2"/>
  <c r="B3601" i="2"/>
  <c r="B3579" i="2"/>
  <c r="F3575" i="2"/>
  <c r="B3504" i="2"/>
  <c r="B3496" i="2"/>
  <c r="B3488" i="2"/>
  <c r="B3480" i="2"/>
  <c r="B3472" i="2"/>
  <c r="B3464" i="2"/>
  <c r="B3456" i="2"/>
  <c r="F3441" i="2"/>
  <c r="B3437" i="2"/>
  <c r="F3433" i="2"/>
  <c r="B3429" i="2"/>
  <c r="F3425" i="2"/>
  <c r="B3421" i="2"/>
  <c r="F3417" i="2"/>
  <c r="B3413" i="2"/>
  <c r="F3409" i="2"/>
  <c r="B3405" i="2"/>
  <c r="F3401" i="2"/>
  <c r="B3397" i="2"/>
  <c r="F3393" i="2"/>
  <c r="B3389" i="2"/>
  <c r="F3385" i="2"/>
  <c r="B3381" i="2"/>
  <c r="F3377" i="2"/>
  <c r="B3373" i="2"/>
  <c r="F3369" i="2"/>
  <c r="B3365" i="2"/>
  <c r="F3361" i="2"/>
  <c r="B3357" i="2"/>
  <c r="F3353" i="2"/>
  <c r="B3349" i="2"/>
  <c r="F3345" i="2"/>
  <c r="B3341" i="2"/>
  <c r="F3337" i="2"/>
  <c r="B3333" i="2"/>
  <c r="F3329" i="2"/>
  <c r="B3325" i="2"/>
  <c r="B3303" i="2"/>
  <c r="F3299" i="2"/>
  <c r="B3287" i="2"/>
  <c r="F3283" i="2"/>
  <c r="B3271" i="2"/>
  <c r="F3267" i="2"/>
  <c r="B3255" i="2"/>
  <c r="F3251" i="2"/>
  <c r="B3223" i="2"/>
  <c r="F3219" i="2"/>
  <c r="B3207" i="2"/>
  <c r="F3203" i="2"/>
  <c r="F3181" i="2"/>
  <c r="B3177" i="2"/>
  <c r="F3173" i="2"/>
  <c r="B3169" i="2"/>
  <c r="F3165" i="2"/>
  <c r="B3161" i="2"/>
  <c r="F3157" i="2"/>
  <c r="B3153" i="2"/>
  <c r="F3149" i="2"/>
  <c r="B3145" i="2"/>
  <c r="F3141" i="2"/>
  <c r="B3137" i="2"/>
  <c r="F3133" i="2"/>
  <c r="B3129" i="2"/>
  <c r="F3125" i="2"/>
  <c r="B2808" i="2"/>
  <c r="B2800" i="2"/>
  <c r="B2764" i="2"/>
  <c r="B2756" i="2"/>
  <c r="B2748" i="2"/>
  <c r="B2740" i="2"/>
  <c r="B2732" i="2"/>
  <c r="B2724" i="2"/>
  <c r="B2716" i="2"/>
  <c r="B2708" i="2"/>
  <c r="F2687" i="2"/>
  <c r="B2675" i="2"/>
  <c r="B2661" i="2"/>
  <c r="F2657" i="2"/>
  <c r="B2653" i="2"/>
  <c r="F2649" i="2"/>
  <c r="B2645" i="2"/>
  <c r="F2641" i="2"/>
  <c r="B2637" i="2"/>
  <c r="F2633" i="2"/>
  <c r="B2629" i="2"/>
  <c r="F2625" i="2"/>
  <c r="B2621" i="2"/>
  <c r="F2617" i="2"/>
  <c r="B2613" i="2"/>
  <c r="F2609" i="2"/>
  <c r="F2595" i="2"/>
  <c r="B2583" i="2"/>
  <c r="F2579" i="2"/>
  <c r="B2567" i="2"/>
  <c r="F2563" i="2"/>
  <c r="F2554" i="2"/>
  <c r="B2552" i="2"/>
  <c r="F2546" i="2"/>
  <c r="F2470" i="2"/>
  <c r="B2468" i="2"/>
  <c r="F2462" i="2"/>
  <c r="B2460" i="2"/>
  <c r="F2454" i="2"/>
  <c r="B2452" i="2"/>
  <c r="F2446" i="2"/>
  <c r="B2444" i="2"/>
  <c r="F2438" i="2"/>
  <c r="B2436" i="2"/>
  <c r="F2430" i="2"/>
  <c r="B2428" i="2"/>
  <c r="F2354" i="2"/>
  <c r="B2352" i="2"/>
  <c r="F2346" i="2"/>
  <c r="B2344" i="2"/>
  <c r="F2326" i="2"/>
  <c r="B2324" i="2"/>
  <c r="F2318" i="2"/>
  <c r="B2316" i="2"/>
  <c r="F2310" i="2"/>
  <c r="B2308" i="2"/>
  <c r="F2302" i="2"/>
  <c r="B2300" i="2"/>
  <c r="F2294" i="2"/>
  <c r="F2190" i="2"/>
  <c r="B2188" i="2"/>
  <c r="F2182" i="2"/>
  <c r="B2180" i="2"/>
  <c r="F2162" i="2"/>
  <c r="B2160" i="2"/>
  <c r="F2154" i="2"/>
  <c r="B2152" i="2"/>
  <c r="F2146" i="2"/>
  <c r="B2144" i="2"/>
  <c r="F2138" i="2"/>
  <c r="B2136" i="2"/>
  <c r="F2130" i="2"/>
  <c r="F2062" i="2"/>
  <c r="B2060" i="2"/>
  <c r="F2054" i="2"/>
  <c r="B2052" i="2"/>
  <c r="F2046" i="2"/>
  <c r="B2044" i="2"/>
  <c r="F1850" i="2"/>
  <c r="B1848" i="2"/>
  <c r="F1842" i="2"/>
  <c r="B1840" i="2"/>
  <c r="F1834" i="2"/>
  <c r="B1832" i="2"/>
  <c r="F1826" i="2"/>
  <c r="B1824" i="2"/>
  <c r="F1818" i="2"/>
  <c r="B1816" i="2"/>
  <c r="F1810" i="2"/>
  <c r="B1808" i="2"/>
  <c r="B1796" i="2"/>
  <c r="F1790" i="2"/>
  <c r="B1788" i="2"/>
  <c r="F1770" i="2"/>
  <c r="B1768" i="2"/>
  <c r="F1762" i="2"/>
  <c r="B1760" i="2"/>
  <c r="F1754" i="2"/>
  <c r="B1752" i="2"/>
  <c r="F1746" i="2"/>
  <c r="B1744" i="2"/>
  <c r="F1738" i="2"/>
  <c r="B1736" i="2"/>
  <c r="F1730" i="2"/>
  <c r="B1728" i="2"/>
  <c r="F1722" i="2"/>
  <c r="B1720" i="2"/>
  <c r="F1714" i="2"/>
  <c r="B1712" i="2"/>
  <c r="F1706" i="2"/>
  <c r="B1704" i="2"/>
  <c r="F1698" i="2"/>
  <c r="B1696" i="2"/>
  <c r="B1684" i="2"/>
  <c r="F1666" i="2"/>
  <c r="F1598" i="2"/>
  <c r="B1596" i="2"/>
  <c r="B1584" i="2"/>
  <c r="F1566" i="2"/>
  <c r="B1564" i="2"/>
  <c r="F1558" i="2"/>
  <c r="F1462" i="2"/>
  <c r="B1460" i="2"/>
  <c r="F1454" i="2"/>
  <c r="B1452" i="2"/>
  <c r="B1440" i="2"/>
  <c r="F1434" i="2"/>
  <c r="B1432" i="2"/>
  <c r="F1338" i="2"/>
  <c r="B1336" i="2"/>
  <c r="F1330" i="2"/>
  <c r="B1328" i="2"/>
  <c r="F1310" i="2"/>
  <c r="B1308" i="2"/>
  <c r="F1302" i="2"/>
  <c r="B1300" i="2"/>
  <c r="F1130" i="2"/>
  <c r="B1128" i="2"/>
  <c r="F1122" i="2"/>
  <c r="B1120" i="2"/>
  <c r="F1114" i="2"/>
  <c r="B1112" i="2"/>
  <c r="F1106" i="2"/>
  <c r="B1104" i="2"/>
  <c r="F1098" i="2"/>
  <c r="B1096" i="2"/>
  <c r="B1084" i="2"/>
  <c r="F1078" i="2"/>
  <c r="B1076" i="2"/>
  <c r="F1070" i="2"/>
  <c r="B1068" i="2"/>
  <c r="F1062" i="2"/>
  <c r="B1060" i="2"/>
  <c r="F1054" i="2"/>
  <c r="B1052" i="2"/>
  <c r="F1034" i="2"/>
  <c r="B1032" i="2"/>
  <c r="F1026" i="2"/>
  <c r="B1024" i="2"/>
  <c r="F1018" i="2"/>
  <c r="B1016" i="2"/>
  <c r="F1010" i="2"/>
  <c r="B1008" i="2"/>
  <c r="F1002" i="2"/>
  <c r="F990" i="2"/>
  <c r="B988" i="2"/>
  <c r="F982" i="2"/>
  <c r="B980" i="2"/>
  <c r="F974" i="2"/>
  <c r="B972" i="2"/>
  <c r="F966" i="2"/>
  <c r="B964" i="2"/>
  <c r="F958" i="2"/>
  <c r="B956" i="2"/>
  <c r="F894" i="2"/>
  <c r="B892" i="2"/>
  <c r="F886" i="2"/>
  <c r="B884" i="2"/>
  <c r="F866" i="2"/>
  <c r="B864" i="2"/>
  <c r="B852" i="2"/>
  <c r="F846" i="2"/>
  <c r="B844" i="2"/>
  <c r="B832" i="2"/>
  <c r="F826" i="2"/>
  <c r="F814" i="2"/>
  <c r="B812" i="2"/>
  <c r="F806" i="2"/>
  <c r="B804" i="2"/>
  <c r="F798" i="2"/>
  <c r="F770" i="2"/>
  <c r="B768" i="2"/>
  <c r="F750" i="2"/>
  <c r="B748" i="2"/>
  <c r="F694" i="2"/>
  <c r="F630" i="2"/>
  <c r="B628" i="2"/>
  <c r="B616" i="2"/>
  <c r="F598" i="2"/>
  <c r="F586" i="2"/>
  <c r="B584" i="2"/>
  <c r="F451" i="2"/>
  <c r="F439" i="2"/>
  <c r="B437" i="2"/>
  <c r="F431" i="2"/>
  <c r="B429" i="2"/>
  <c r="F423" i="2"/>
  <c r="B421" i="2"/>
  <c r="F359" i="2"/>
  <c r="B357" i="2"/>
  <c r="F351" i="2"/>
  <c r="B349" i="2"/>
  <c r="F287" i="2"/>
  <c r="B285" i="2"/>
  <c r="F279" i="2"/>
  <c r="B277" i="2"/>
  <c r="F271" i="2"/>
  <c r="B269" i="2"/>
  <c r="B257" i="2"/>
  <c r="F251" i="2"/>
  <c r="B249" i="2"/>
  <c r="F243" i="2"/>
  <c r="B241" i="2"/>
  <c r="F235" i="2"/>
  <c r="B233" i="2"/>
  <c r="F227" i="2"/>
  <c r="B225" i="2"/>
  <c r="F219" i="2"/>
  <c r="B217" i="2"/>
  <c r="B205" i="2"/>
  <c r="F199" i="2"/>
  <c r="B197" i="2"/>
  <c r="F191" i="2"/>
  <c r="B189" i="2"/>
  <c r="F183" i="2"/>
  <c r="B181" i="2"/>
  <c r="F175" i="2"/>
  <c r="B173" i="2"/>
  <c r="F167" i="2"/>
  <c r="B165" i="2"/>
  <c r="F147" i="2"/>
  <c r="B145" i="2"/>
  <c r="F139" i="2"/>
  <c r="B137" i="2"/>
  <c r="F131" i="2"/>
  <c r="B129" i="2"/>
  <c r="F123" i="2"/>
  <c r="B121" i="2"/>
  <c r="F115" i="2"/>
  <c r="B113" i="2"/>
  <c r="F95" i="2"/>
  <c r="B93" i="2"/>
  <c r="F87" i="2"/>
  <c r="B85" i="2"/>
  <c r="F79" i="2"/>
  <c r="B77" i="2"/>
  <c r="F71" i="2"/>
  <c r="B69" i="2"/>
  <c r="F63" i="2"/>
  <c r="B61" i="2"/>
  <c r="F55" i="2"/>
  <c r="F43" i="2"/>
  <c r="B41" i="2"/>
  <c r="F35" i="2"/>
  <c r="B33" i="2"/>
  <c r="F27" i="2"/>
  <c r="B25" i="2"/>
  <c r="B3520" i="2"/>
  <c r="F3489" i="2"/>
  <c r="F3481" i="2"/>
  <c r="F3473" i="2"/>
  <c r="B3469" i="2"/>
  <c r="F3457" i="2"/>
  <c r="B3453" i="2"/>
  <c r="F3430" i="2"/>
  <c r="F3422" i="2"/>
  <c r="F3406" i="2"/>
  <c r="F3390" i="2"/>
  <c r="F3374" i="2"/>
  <c r="F3358" i="2"/>
  <c r="F3342" i="2"/>
  <c r="F3326" i="2"/>
  <c r="F3178" i="2"/>
  <c r="F3154" i="2"/>
  <c r="F3138" i="2"/>
  <c r="F3087" i="2"/>
  <c r="F3071" i="2"/>
  <c r="B3059" i="2"/>
  <c r="F3055" i="2"/>
  <c r="B2995" i="2"/>
  <c r="F2991" i="2"/>
  <c r="F2975" i="2"/>
  <c r="B2835" i="2"/>
  <c r="F2801" i="2"/>
  <c r="B2775" i="2"/>
  <c r="F2757" i="2"/>
  <c r="F2749" i="2"/>
  <c r="F2741" i="2"/>
  <c r="F2733" i="2"/>
  <c r="B2721" i="2"/>
  <c r="F2709" i="2"/>
  <c r="F2701" i="2"/>
  <c r="F2654" i="2"/>
  <c r="F2638" i="2"/>
  <c r="F2614" i="2"/>
  <c r="F2510" i="2"/>
  <c r="F2486" i="2"/>
  <c r="F2394" i="2"/>
  <c r="B2392" i="2"/>
  <c r="F2386" i="2"/>
  <c r="B2384" i="2"/>
  <c r="B2280" i="2"/>
  <c r="F2274" i="2"/>
  <c r="B2272" i="2"/>
  <c r="F2258" i="2"/>
  <c r="F2222" i="2"/>
  <c r="B2220" i="2"/>
  <c r="F2118" i="2"/>
  <c r="F2110" i="2"/>
  <c r="B2108" i="2"/>
  <c r="F2014" i="2"/>
  <c r="F1978" i="2"/>
  <c r="B1976" i="2"/>
  <c r="F1950" i="2"/>
  <c r="F1942" i="2"/>
  <c r="B1940" i="2"/>
  <c r="F1630" i="2"/>
  <c r="B1628" i="2"/>
  <c r="B1544" i="2"/>
  <c r="F1538" i="2"/>
  <c r="F1526" i="2"/>
  <c r="B1524" i="2"/>
  <c r="F1518" i="2"/>
  <c r="B1516" i="2"/>
  <c r="F1498" i="2"/>
  <c r="B1496" i="2"/>
  <c r="B1484" i="2"/>
  <c r="F1478" i="2"/>
  <c r="B1476" i="2"/>
  <c r="F1414" i="2"/>
  <c r="B1412" i="2"/>
  <c r="B1380" i="2"/>
  <c r="F1354" i="2"/>
  <c r="B1352" i="2"/>
  <c r="F1282" i="2"/>
  <c r="B1280" i="2"/>
  <c r="F1274" i="2"/>
  <c r="B1272" i="2"/>
  <c r="B1260" i="2"/>
  <c r="F1254" i="2"/>
  <c r="B1252" i="2"/>
  <c r="F1214" i="2"/>
  <c r="B1200" i="2"/>
  <c r="F1194" i="2"/>
  <c r="B1192" i="2"/>
  <c r="F1146" i="2"/>
  <c r="B916" i="2"/>
  <c r="B908" i="2"/>
  <c r="F682" i="2"/>
  <c r="F566" i="2"/>
  <c r="B564" i="2"/>
  <c r="F550" i="2"/>
  <c r="B548" i="2"/>
  <c r="F542" i="2"/>
  <c r="B540" i="2"/>
  <c r="B524" i="2"/>
  <c r="F518" i="2"/>
  <c r="B516" i="2"/>
  <c r="F502" i="2"/>
  <c r="B464" i="2"/>
  <c r="F403" i="2"/>
  <c r="B401" i="2"/>
  <c r="F375" i="2"/>
  <c r="F311" i="2"/>
  <c r="B309" i="2"/>
  <c r="F303" i="2"/>
  <c r="B301" i="2"/>
  <c r="F4354" i="2"/>
  <c r="B4326" i="2"/>
  <c r="F4322" i="2"/>
  <c r="B4294" i="2"/>
  <c r="F4290" i="2"/>
  <c r="B4262" i="2"/>
  <c r="F4258" i="2"/>
  <c r="B4170" i="2"/>
  <c r="F4166" i="2"/>
  <c r="F4125" i="2"/>
  <c r="F3937" i="2"/>
  <c r="B3751" i="2"/>
  <c r="F3747" i="2"/>
  <c r="B3735" i="2"/>
  <c r="F3731" i="2"/>
  <c r="B3719" i="2"/>
  <c r="F3715" i="2"/>
  <c r="B3703" i="2"/>
  <c r="F3699" i="2"/>
  <c r="B3687" i="2"/>
  <c r="F3683" i="2"/>
  <c r="B3671" i="2"/>
  <c r="F3667" i="2"/>
  <c r="B3655" i="2"/>
  <c r="F3651" i="2"/>
  <c r="B3587" i="2"/>
  <c r="F3583" i="2"/>
  <c r="B3571" i="2"/>
  <c r="B3557" i="2"/>
  <c r="F3553" i="2"/>
  <c r="B3549" i="2"/>
  <c r="F3545" i="2"/>
  <c r="B3541" i="2"/>
  <c r="F3537" i="2"/>
  <c r="B3533" i="2"/>
  <c r="F3529" i="2"/>
  <c r="B3525" i="2"/>
  <c r="F3521" i="2"/>
  <c r="B3517" i="2"/>
  <c r="F3502" i="2"/>
  <c r="F3494" i="2"/>
  <c r="F3486" i="2"/>
  <c r="F3478" i="2"/>
  <c r="F3470" i="2"/>
  <c r="F3462" i="2"/>
  <c r="F3454" i="2"/>
  <c r="B3311" i="2"/>
  <c r="F3307" i="2"/>
  <c r="B3295" i="2"/>
  <c r="F3291" i="2"/>
  <c r="B3279" i="2"/>
  <c r="F3275" i="2"/>
  <c r="B3263" i="2"/>
  <c r="F3259" i="2"/>
  <c r="B3247" i="2"/>
  <c r="B3231" i="2"/>
  <c r="F3227" i="2"/>
  <c r="B3215" i="2"/>
  <c r="F3211" i="2"/>
  <c r="B3199" i="2"/>
  <c r="F3195" i="2"/>
  <c r="F2806" i="2"/>
  <c r="F2798" i="2"/>
  <c r="F2762" i="2"/>
  <c r="F2754" i="2"/>
  <c r="F2746" i="2"/>
  <c r="F2738" i="2"/>
  <c r="F2730" i="2"/>
  <c r="F2722" i="2"/>
  <c r="F2714" i="2"/>
  <c r="F2706" i="2"/>
  <c r="B2683" i="2"/>
  <c r="F2679" i="2"/>
  <c r="B2591" i="2"/>
  <c r="F2587" i="2"/>
  <c r="B2575" i="2"/>
  <c r="F2571" i="2"/>
  <c r="B2559" i="2"/>
  <c r="B2556" i="2"/>
  <c r="F2550" i="2"/>
  <c r="B2548" i="2"/>
  <c r="F2474" i="2"/>
  <c r="B2472" i="2"/>
  <c r="F2466" i="2"/>
  <c r="B2464" i="2"/>
  <c r="F2458" i="2"/>
  <c r="B2456" i="2"/>
  <c r="F2450" i="2"/>
  <c r="B2448" i="2"/>
  <c r="F2442" i="2"/>
  <c r="B2440" i="2"/>
  <c r="F2434" i="2"/>
  <c r="B2432" i="2"/>
  <c r="F2426" i="2"/>
  <c r="F2350" i="2"/>
  <c r="B2348" i="2"/>
  <c r="F2342" i="2"/>
  <c r="B2340" i="2"/>
  <c r="B2328" i="2"/>
  <c r="F2322" i="2"/>
  <c r="B2320" i="2"/>
  <c r="F2314" i="2"/>
  <c r="B2312" i="2"/>
  <c r="F2306" i="2"/>
  <c r="B2304" i="2"/>
  <c r="F2298" i="2"/>
  <c r="B2296" i="2"/>
  <c r="F2186" i="2"/>
  <c r="B2184" i="2"/>
  <c r="F2178" i="2"/>
  <c r="B2176" i="2"/>
  <c r="B2164" i="2"/>
  <c r="F2158" i="2"/>
  <c r="B2156" i="2"/>
  <c r="F2150" i="2"/>
  <c r="B2148" i="2"/>
  <c r="F2142" i="2"/>
  <c r="B2140" i="2"/>
  <c r="F2134" i="2"/>
  <c r="B2132" i="2"/>
  <c r="F2058" i="2"/>
  <c r="B2056" i="2"/>
  <c r="F2050" i="2"/>
  <c r="B2048" i="2"/>
  <c r="F2042" i="2"/>
  <c r="F1878" i="2"/>
  <c r="F1866" i="2"/>
  <c r="B1864" i="2"/>
  <c r="B1852" i="2"/>
  <c r="F1846" i="2"/>
  <c r="B1844" i="2"/>
  <c r="F1838" i="2"/>
  <c r="B1836" i="2"/>
  <c r="F1830" i="2"/>
  <c r="B1828" i="2"/>
  <c r="F1822" i="2"/>
  <c r="B1820" i="2"/>
  <c r="F1814" i="2"/>
  <c r="B1812" i="2"/>
  <c r="F1794" i="2"/>
  <c r="B1792" i="2"/>
  <c r="F1786" i="2"/>
  <c r="B1784" i="2"/>
  <c r="B1772" i="2"/>
  <c r="F1766" i="2"/>
  <c r="B1764" i="2"/>
  <c r="F1758" i="2"/>
  <c r="B1756" i="2"/>
  <c r="F1750" i="2"/>
  <c r="B1748" i="2"/>
  <c r="F1742" i="2"/>
  <c r="B1740" i="2"/>
  <c r="F1734" i="2"/>
  <c r="B1732" i="2"/>
  <c r="F1726" i="2"/>
  <c r="B1724" i="2"/>
  <c r="F1718" i="2"/>
  <c r="B1716" i="2"/>
  <c r="F1710" i="2"/>
  <c r="B1708" i="2"/>
  <c r="F1702" i="2"/>
  <c r="B1700" i="2"/>
  <c r="F1682" i="2"/>
  <c r="F1670" i="2"/>
  <c r="B1668" i="2"/>
  <c r="F1582" i="2"/>
  <c r="B1580" i="2"/>
  <c r="B1568" i="2"/>
  <c r="F1562" i="2"/>
  <c r="B1560" i="2"/>
  <c r="F1458" i="2"/>
  <c r="B1456" i="2"/>
  <c r="F1438" i="2"/>
  <c r="B1436" i="2"/>
  <c r="F1430" i="2"/>
  <c r="F1334" i="2"/>
  <c r="B1332" i="2"/>
  <c r="F1326" i="2"/>
  <c r="B1324" i="2"/>
  <c r="B1312" i="2"/>
  <c r="F1306" i="2"/>
  <c r="B1304" i="2"/>
  <c r="F1298" i="2"/>
  <c r="F1126" i="2"/>
  <c r="B1124" i="2"/>
  <c r="F1118" i="2"/>
  <c r="B1116" i="2"/>
  <c r="F1110" i="2"/>
  <c r="B1108" i="2"/>
  <c r="F1102" i="2"/>
  <c r="B1100" i="2"/>
  <c r="F1082" i="2"/>
  <c r="B1080" i="2"/>
  <c r="F1074" i="2"/>
  <c r="B1072" i="2"/>
  <c r="F1066" i="2"/>
  <c r="B1064" i="2"/>
  <c r="F1058" i="2"/>
  <c r="B1056" i="2"/>
  <c r="F1050" i="2"/>
  <c r="B1048" i="2"/>
  <c r="B1036" i="2"/>
  <c r="F1030" i="2"/>
  <c r="B1028" i="2"/>
  <c r="F1022" i="2"/>
  <c r="B1020" i="2"/>
  <c r="F1014" i="2"/>
  <c r="B1012" i="2"/>
  <c r="F1006" i="2"/>
  <c r="B1004" i="2"/>
  <c r="F986" i="2"/>
  <c r="B984" i="2"/>
  <c r="F978" i="2"/>
  <c r="B976" i="2"/>
  <c r="F970" i="2"/>
  <c r="B968" i="2"/>
  <c r="F962" i="2"/>
  <c r="B960" i="2"/>
  <c r="F954" i="2"/>
  <c r="F890" i="2"/>
  <c r="B888" i="2"/>
  <c r="F882" i="2"/>
  <c r="F870" i="2"/>
  <c r="B868" i="2"/>
  <c r="F850" i="2"/>
  <c r="B848" i="2"/>
  <c r="F830" i="2"/>
  <c r="B828" i="2"/>
  <c r="F810" i="2"/>
  <c r="B808" i="2"/>
  <c r="F802" i="2"/>
  <c r="B800" i="2"/>
  <c r="F766" i="2"/>
  <c r="B764" i="2"/>
  <c r="B752" i="2"/>
  <c r="F746" i="2"/>
  <c r="F698" i="2"/>
  <c r="B696" i="2"/>
  <c r="F614" i="2"/>
  <c r="B612" i="2"/>
  <c r="B600" i="2"/>
  <c r="F582" i="2"/>
  <c r="F435" i="2"/>
  <c r="B433" i="2"/>
  <c r="F427" i="2"/>
  <c r="B425" i="2"/>
  <c r="F419" i="2"/>
  <c r="F363" i="2"/>
  <c r="B361" i="2"/>
  <c r="F355" i="2"/>
  <c r="B353" i="2"/>
  <c r="F347" i="2"/>
  <c r="F283" i="2"/>
  <c r="B281" i="2"/>
  <c r="F275" i="2"/>
  <c r="B273" i="2"/>
  <c r="F255" i="2"/>
  <c r="B253" i="2"/>
  <c r="F247" i="2"/>
  <c r="B245" i="2"/>
  <c r="F239" i="2"/>
  <c r="B237" i="2"/>
  <c r="F231" i="2"/>
  <c r="B229" i="2"/>
  <c r="F223" i="2"/>
  <c r="B221" i="2"/>
  <c r="F203" i="2"/>
  <c r="B201" i="2"/>
  <c r="F195" i="2"/>
  <c r="B193" i="2"/>
  <c r="F187" i="2"/>
  <c r="B185" i="2"/>
  <c r="F179" i="2"/>
  <c r="B177" i="2"/>
  <c r="F171" i="2"/>
  <c r="B169" i="2"/>
  <c r="F163" i="2"/>
  <c r="F151" i="2"/>
  <c r="B149" i="2"/>
  <c r="F143" i="2"/>
  <c r="B141" i="2"/>
  <c r="F135" i="2"/>
  <c r="B133" i="2"/>
  <c r="F127" i="2"/>
  <c r="B125" i="2"/>
  <c r="F119" i="2"/>
  <c r="B117" i="2"/>
  <c r="F111" i="2"/>
  <c r="B109" i="2"/>
  <c r="B97" i="2"/>
  <c r="F91" i="2"/>
  <c r="B89" i="2"/>
  <c r="F83" i="2"/>
  <c r="B81" i="2"/>
  <c r="F75" i="2"/>
  <c r="B73" i="2"/>
  <c r="F67" i="2"/>
  <c r="B65" i="2"/>
  <c r="F59" i="2"/>
  <c r="B57" i="2"/>
  <c r="F39" i="2"/>
  <c r="B37" i="2"/>
  <c r="F31" i="2"/>
  <c r="B29" i="2"/>
  <c r="F23" i="2"/>
  <c r="F2887" i="2"/>
  <c r="B2875" i="2"/>
  <c r="F2871" i="2"/>
  <c r="B2859" i="2"/>
  <c r="F2855" i="2"/>
  <c r="B2843" i="2"/>
  <c r="F2839" i="2"/>
  <c r="B2827" i="2"/>
  <c r="F2823" i="2"/>
  <c r="B2783" i="2"/>
  <c r="F2779" i="2"/>
  <c r="B2656" i="2"/>
  <c r="B2648" i="2"/>
  <c r="B2640" i="2"/>
  <c r="B2632" i="2"/>
  <c r="B2624" i="2"/>
  <c r="B2616" i="2"/>
  <c r="B2608" i="2"/>
  <c r="F2530" i="2"/>
  <c r="B2528" i="2"/>
  <c r="F2522" i="2"/>
  <c r="B2520" i="2"/>
  <c r="F2514" i="2"/>
  <c r="B2512" i="2"/>
  <c r="F2506" i="2"/>
  <c r="B2504" i="2"/>
  <c r="F2498" i="2"/>
  <c r="B2496" i="2"/>
  <c r="F2490" i="2"/>
  <c r="B2488" i="2"/>
  <c r="F2414" i="2"/>
  <c r="B2412" i="2"/>
  <c r="F2406" i="2"/>
  <c r="B2404" i="2"/>
  <c r="F2398" i="2"/>
  <c r="B2396" i="2"/>
  <c r="F2390" i="2"/>
  <c r="B2388" i="2"/>
  <c r="F2382" i="2"/>
  <c r="B2380" i="2"/>
  <c r="F2374" i="2"/>
  <c r="B2372" i="2"/>
  <c r="F2366" i="2"/>
  <c r="F2278" i="2"/>
  <c r="B2276" i="2"/>
  <c r="F2270" i="2"/>
  <c r="B2268" i="2"/>
  <c r="F2262" i="2"/>
  <c r="B2260" i="2"/>
  <c r="F2254" i="2"/>
  <c r="B2252" i="2"/>
  <c r="F2234" i="2"/>
  <c r="B2232" i="2"/>
  <c r="F2226" i="2"/>
  <c r="B2224" i="2"/>
  <c r="F2218" i="2"/>
  <c r="B2216" i="2"/>
  <c r="F2210" i="2"/>
  <c r="B2208" i="2"/>
  <c r="F2202" i="2"/>
  <c r="F2114" i="2"/>
  <c r="B2112" i="2"/>
  <c r="F2106" i="2"/>
  <c r="B2104" i="2"/>
  <c r="B2092" i="2"/>
  <c r="F2074" i="2"/>
  <c r="F2030" i="2"/>
  <c r="B2028" i="2"/>
  <c r="B2016" i="2"/>
  <c r="F2010" i="2"/>
  <c r="B2008" i="2"/>
  <c r="F2002" i="2"/>
  <c r="B2000" i="2"/>
  <c r="F1982" i="2"/>
  <c r="B1980" i="2"/>
  <c r="F1974" i="2"/>
  <c r="B1972" i="2"/>
  <c r="F1966" i="2"/>
  <c r="B1964" i="2"/>
  <c r="B1952" i="2"/>
  <c r="F1946" i="2"/>
  <c r="B1944" i="2"/>
  <c r="F1938" i="2"/>
  <c r="B1936" i="2"/>
  <c r="F1918" i="2"/>
  <c r="B1916" i="2"/>
  <c r="B1904" i="2"/>
  <c r="B1892" i="2"/>
  <c r="F1650" i="2"/>
  <c r="B1648" i="2"/>
  <c r="F1642" i="2"/>
  <c r="B1640" i="2"/>
  <c r="F1634" i="2"/>
  <c r="B1632" i="2"/>
  <c r="F1626" i="2"/>
  <c r="B1624" i="2"/>
  <c r="F1618" i="2"/>
  <c r="B1616" i="2"/>
  <c r="F1610" i="2"/>
  <c r="F1542" i="2"/>
  <c r="B1540" i="2"/>
  <c r="F1522" i="2"/>
  <c r="B1520" i="2"/>
  <c r="F1502" i="2"/>
  <c r="B1500" i="2"/>
  <c r="F1482" i="2"/>
  <c r="B1480" i="2"/>
  <c r="F1474" i="2"/>
  <c r="F1418" i="2"/>
  <c r="B1416" i="2"/>
  <c r="F1410" i="2"/>
  <c r="B1408" i="2"/>
  <c r="B1396" i="2"/>
  <c r="F1378" i="2"/>
  <c r="B1376" i="2"/>
  <c r="B1364" i="2"/>
  <c r="F1358" i="2"/>
  <c r="B1356" i="2"/>
  <c r="F1350" i="2"/>
  <c r="F1286" i="2"/>
  <c r="B1284" i="2"/>
  <c r="F1278" i="2"/>
  <c r="B1276" i="2"/>
  <c r="F1258" i="2"/>
  <c r="B1256" i="2"/>
  <c r="F1238" i="2"/>
  <c r="B1236" i="2"/>
  <c r="F1218" i="2"/>
  <c r="B1216" i="2"/>
  <c r="F906" i="2"/>
  <c r="F782" i="2"/>
  <c r="F734" i="2"/>
  <c r="B732" i="2"/>
  <c r="F714" i="2"/>
  <c r="B712" i="2"/>
  <c r="F642" i="2"/>
  <c r="F570" i="2"/>
  <c r="B568" i="2"/>
  <c r="F562" i="2"/>
  <c r="B560" i="2"/>
  <c r="F554" i="2"/>
  <c r="B552" i="2"/>
  <c r="F546" i="2"/>
  <c r="B544" i="2"/>
  <c r="F538" i="2"/>
  <c r="B536" i="2"/>
  <c r="F530" i="2"/>
  <c r="B528" i="2"/>
  <c r="F522" i="2"/>
  <c r="B520" i="2"/>
  <c r="F514" i="2"/>
  <c r="B512" i="2"/>
  <c r="F506" i="2"/>
  <c r="B504" i="2"/>
  <c r="F407" i="2"/>
  <c r="B405" i="2"/>
  <c r="F399" i="2"/>
  <c r="B397" i="2"/>
  <c r="F391" i="2"/>
  <c r="B389" i="2"/>
  <c r="B377" i="2"/>
  <c r="F335" i="2"/>
  <c r="B333" i="2"/>
  <c r="B321" i="2"/>
  <c r="F315" i="2"/>
  <c r="B313" i="2"/>
  <c r="F307" i="2"/>
  <c r="B305" i="2"/>
  <c r="F299" i="2"/>
  <c r="F4133" i="2"/>
  <c r="F3945" i="2"/>
  <c r="F3634" i="2"/>
  <c r="F3626" i="2"/>
  <c r="F3618" i="2"/>
  <c r="F3610" i="2"/>
  <c r="F3602" i="2"/>
  <c r="B3552" i="2"/>
  <c r="B3544" i="2"/>
  <c r="B3536" i="2"/>
  <c r="B3528" i="2"/>
  <c r="F3505" i="2"/>
  <c r="B3501" i="2"/>
  <c r="F3497" i="2"/>
  <c r="B3493" i="2"/>
  <c r="B3485" i="2"/>
  <c r="B3477" i="2"/>
  <c r="F3465" i="2"/>
  <c r="B3461" i="2"/>
  <c r="F3438" i="2"/>
  <c r="F3414" i="2"/>
  <c r="F3398" i="2"/>
  <c r="F3382" i="2"/>
  <c r="F3366" i="2"/>
  <c r="F3350" i="2"/>
  <c r="F3334" i="2"/>
  <c r="F3170" i="2"/>
  <c r="F3162" i="2"/>
  <c r="F3146" i="2"/>
  <c r="F3130" i="2"/>
  <c r="B3107" i="2"/>
  <c r="F3103" i="2"/>
  <c r="B3091" i="2"/>
  <c r="B3075" i="2"/>
  <c r="B3027" i="2"/>
  <c r="B3011" i="2"/>
  <c r="F3007" i="2"/>
  <c r="B2979" i="2"/>
  <c r="B2963" i="2"/>
  <c r="F2959" i="2"/>
  <c r="F2943" i="2"/>
  <c r="B2931" i="2"/>
  <c r="F2927" i="2"/>
  <c r="B2915" i="2"/>
  <c r="F2911" i="2"/>
  <c r="B2883" i="2"/>
  <c r="F2879" i="2"/>
  <c r="B2867" i="2"/>
  <c r="F2863" i="2"/>
  <c r="B2851" i="2"/>
  <c r="F2847" i="2"/>
  <c r="F2831" i="2"/>
  <c r="F2809" i="2"/>
  <c r="B2805" i="2"/>
  <c r="F2787" i="2"/>
  <c r="B2761" i="2"/>
  <c r="B2753" i="2"/>
  <c r="B2745" i="2"/>
  <c r="B2737" i="2"/>
  <c r="B2729" i="2"/>
  <c r="F2725" i="2"/>
  <c r="F2717" i="2"/>
  <c r="B2713" i="2"/>
  <c r="B2705" i="2"/>
  <c r="F2662" i="2"/>
  <c r="F2646" i="2"/>
  <c r="F2630" i="2"/>
  <c r="F2622" i="2"/>
  <c r="F2606" i="2"/>
  <c r="F2534" i="2"/>
  <c r="B2532" i="2"/>
  <c r="F2526" i="2"/>
  <c r="B2524" i="2"/>
  <c r="F2518" i="2"/>
  <c r="B2516" i="2"/>
  <c r="B2508" i="2"/>
  <c r="F2502" i="2"/>
  <c r="B2500" i="2"/>
  <c r="F2494" i="2"/>
  <c r="B2492" i="2"/>
  <c r="F2410" i="2"/>
  <c r="B2408" i="2"/>
  <c r="F2402" i="2"/>
  <c r="B2400" i="2"/>
  <c r="F2378" i="2"/>
  <c r="B2376" i="2"/>
  <c r="F2370" i="2"/>
  <c r="B2368" i="2"/>
  <c r="F2282" i="2"/>
  <c r="F2266" i="2"/>
  <c r="B2264" i="2"/>
  <c r="B2256" i="2"/>
  <c r="F2250" i="2"/>
  <c r="B2248" i="2"/>
  <c r="B2236" i="2"/>
  <c r="F2230" i="2"/>
  <c r="B2228" i="2"/>
  <c r="F2214" i="2"/>
  <c r="B2212" i="2"/>
  <c r="F2206" i="2"/>
  <c r="B2204" i="2"/>
  <c r="B2116" i="2"/>
  <c r="F2090" i="2"/>
  <c r="F2078" i="2"/>
  <c r="B2076" i="2"/>
  <c r="B2012" i="2"/>
  <c r="F2006" i="2"/>
  <c r="B2004" i="2"/>
  <c r="F1998" i="2"/>
  <c r="B1996" i="2"/>
  <c r="B1984" i="2"/>
  <c r="F1970" i="2"/>
  <c r="B1968" i="2"/>
  <c r="B1948" i="2"/>
  <c r="F1934" i="2"/>
  <c r="B1932" i="2"/>
  <c r="B1920" i="2"/>
  <c r="F1890" i="2"/>
  <c r="F1654" i="2"/>
  <c r="B1652" i="2"/>
  <c r="F1646" i="2"/>
  <c r="B1644" i="2"/>
  <c r="F1638" i="2"/>
  <c r="B1636" i="2"/>
  <c r="F1622" i="2"/>
  <c r="B1620" i="2"/>
  <c r="F1614" i="2"/>
  <c r="B1612" i="2"/>
  <c r="F1546" i="2"/>
  <c r="B1504" i="2"/>
  <c r="F1394" i="2"/>
  <c r="B1392" i="2"/>
  <c r="F1362" i="2"/>
  <c r="B1360" i="2"/>
  <c r="B1240" i="2"/>
  <c r="F1234" i="2"/>
  <c r="B1232" i="2"/>
  <c r="B1220" i="2"/>
  <c r="B1212" i="2"/>
  <c r="B1180" i="2"/>
  <c r="F1174" i="2"/>
  <c r="B1172" i="2"/>
  <c r="F1154" i="2"/>
  <c r="B1152" i="2"/>
  <c r="B1144" i="2"/>
  <c r="F938" i="2"/>
  <c r="B936" i="2"/>
  <c r="F918" i="2"/>
  <c r="F910" i="2"/>
  <c r="F786" i="2"/>
  <c r="B784" i="2"/>
  <c r="F730" i="2"/>
  <c r="B728" i="2"/>
  <c r="B716" i="2"/>
  <c r="F710" i="2"/>
  <c r="F670" i="2"/>
  <c r="B668" i="2"/>
  <c r="B656" i="2"/>
  <c r="B644" i="2"/>
  <c r="F558" i="2"/>
  <c r="B556" i="2"/>
  <c r="F534" i="2"/>
  <c r="B532" i="2"/>
  <c r="F526" i="2"/>
  <c r="F510" i="2"/>
  <c r="B508" i="2"/>
  <c r="B500" i="2"/>
  <c r="B488" i="2"/>
  <c r="B476" i="2"/>
  <c r="F395" i="2"/>
  <c r="B393" i="2"/>
  <c r="F319" i="2"/>
  <c r="B317" i="2"/>
  <c r="F718" i="2" l="1"/>
  <c r="F1893" i="2"/>
  <c r="F2664" i="2"/>
  <c r="F323" i="2"/>
  <c r="F645" i="2"/>
  <c r="F788" i="2"/>
  <c r="F921" i="2"/>
  <c r="F1366" i="2"/>
  <c r="F1485" i="2"/>
  <c r="F1656" i="2"/>
  <c r="F2079" i="2"/>
  <c r="F2238" i="2"/>
  <c r="F2416" i="2"/>
  <c r="F44" i="2"/>
  <c r="F365" i="2"/>
  <c r="F440" i="2"/>
  <c r="F587" i="2"/>
  <c r="F754" i="2"/>
  <c r="F991" i="2"/>
  <c r="F1314" i="2"/>
  <c r="F1442" i="2"/>
  <c r="F2064" i="2"/>
  <c r="F2476" i="2"/>
  <c r="F2812" i="2"/>
  <c r="F4191" i="2"/>
  <c r="F378" i="2"/>
  <c r="F2536" i="2"/>
  <c r="F2765" i="2"/>
  <c r="F700" i="2"/>
  <c r="F815" i="2"/>
  <c r="F1570" i="2"/>
  <c r="F1671" i="2"/>
  <c r="F2166" i="2"/>
  <c r="F2330" i="2"/>
  <c r="F2596" i="2"/>
  <c r="F3183" i="2"/>
  <c r="F1157" i="2"/>
  <c r="F4156" i="2"/>
  <c r="F602" i="2"/>
  <c r="F833" i="2"/>
  <c r="F1038" i="2"/>
  <c r="F337" i="2"/>
  <c r="F572" i="2"/>
  <c r="F671" i="2"/>
  <c r="F736" i="2"/>
  <c r="F772" i="2"/>
  <c r="F871" i="2"/>
  <c r="F1262" i="2"/>
  <c r="F1340" i="2"/>
  <c r="F1382" i="2"/>
  <c r="F1420" i="2"/>
  <c r="F1527" i="2"/>
  <c r="F1585" i="2"/>
  <c r="F1773" i="2"/>
  <c r="F1854" i="2"/>
  <c r="F152" i="2"/>
  <c r="F258" i="2"/>
  <c r="F289" i="2"/>
  <c r="C37" i="1" s="1"/>
  <c r="F409" i="2"/>
  <c r="F465" i="2"/>
  <c r="F477" i="2"/>
  <c r="F490" i="2"/>
  <c r="F632" i="2"/>
  <c r="F658" i="2"/>
  <c r="F854" i="2"/>
  <c r="F944" i="2"/>
  <c r="F1132" i="2"/>
  <c r="F1182" i="2"/>
  <c r="F1506" i="2"/>
  <c r="F1600" i="2"/>
  <c r="F1798" i="2"/>
  <c r="F1906" i="2"/>
  <c r="F1953" i="2"/>
  <c r="F1985" i="2"/>
  <c r="F2017" i="2"/>
  <c r="F2032" i="2"/>
  <c r="F2691" i="2"/>
  <c r="F3234" i="2"/>
  <c r="F3588" i="2"/>
  <c r="F5587" i="2"/>
  <c r="F6117" i="2"/>
  <c r="F98" i="2"/>
  <c r="F206" i="2"/>
  <c r="C28" i="1" s="1"/>
  <c r="F453" i="2"/>
  <c r="F1686" i="2"/>
  <c r="F1880" i="2"/>
  <c r="F2094" i="2"/>
  <c r="F2890" i="2"/>
  <c r="F3442" i="2"/>
  <c r="F3958" i="2"/>
  <c r="F4227" i="2"/>
  <c r="F4781" i="2"/>
  <c r="F5505" i="2"/>
  <c r="F684" i="2"/>
  <c r="F896" i="2"/>
  <c r="F1548" i="2"/>
  <c r="F617" i="2"/>
  <c r="F1085" i="2"/>
  <c r="F1202" i="2"/>
  <c r="F1222" i="2"/>
  <c r="F1242" i="2"/>
  <c r="F1288" i="2"/>
  <c r="F1398" i="2"/>
  <c r="F1464" i="2"/>
  <c r="F1867" i="2"/>
  <c r="F1921" i="2"/>
  <c r="F2120" i="2"/>
  <c r="F2192" i="2"/>
  <c r="F2284" i="2"/>
  <c r="F2356" i="2"/>
  <c r="F2788" i="2"/>
  <c r="F3640" i="2"/>
  <c r="F5356" i="2"/>
  <c r="F2946" i="2"/>
  <c r="F3014" i="2"/>
  <c r="F3038" i="2"/>
  <c r="F3115" i="2"/>
  <c r="F3313" i="2"/>
  <c r="F3506" i="2"/>
  <c r="F3560" i="2"/>
  <c r="F4009" i="2"/>
  <c r="F4410" i="2"/>
  <c r="F6222" i="2"/>
  <c r="F6900" i="2"/>
  <c r="F4586" i="2"/>
  <c r="F4990" i="2"/>
  <c r="F5318" i="2"/>
  <c r="F7004" i="2"/>
  <c r="F4731" i="2"/>
  <c r="F4843" i="2"/>
  <c r="F5566" i="2"/>
  <c r="F6438" i="2"/>
  <c r="F7147" i="2"/>
  <c r="F5125" i="2"/>
  <c r="F5302" i="2"/>
  <c r="F5337" i="2"/>
  <c r="F6080" i="2"/>
  <c r="F5279" i="2"/>
  <c r="F5399" i="2"/>
  <c r="F5650" i="2"/>
  <c r="F5795" i="2"/>
  <c r="F5994" i="2"/>
  <c r="F6067" i="2"/>
  <c r="F5629" i="2"/>
  <c r="F5758" i="2"/>
  <c r="F5916" i="2"/>
  <c r="F6139" i="2"/>
  <c r="F6150" i="2"/>
  <c r="F6366" i="2"/>
  <c r="F6671" i="2"/>
  <c r="F6932" i="2"/>
  <c r="F7470" i="2"/>
  <c r="F4069" i="2"/>
  <c r="F4107" i="2"/>
  <c r="F4793" i="2"/>
  <c r="F4822" i="2"/>
  <c r="F5171" i="2"/>
  <c r="F5377" i="2"/>
  <c r="F5443" i="2"/>
  <c r="F5545" i="2"/>
  <c r="F5671" i="2"/>
  <c r="F5692" i="2"/>
  <c r="F5821" i="2"/>
  <c r="F5945" i="2"/>
  <c r="F6034" i="2"/>
  <c r="F6054" i="2"/>
  <c r="F6475" i="2"/>
  <c r="F6713" i="2"/>
  <c r="F6868" i="2"/>
  <c r="F7559" i="2"/>
  <c r="F7648" i="2"/>
  <c r="F5421" i="2"/>
  <c r="F5465" i="2"/>
  <c r="F5608" i="2"/>
  <c r="F5705" i="2"/>
  <c r="F5808" i="2"/>
  <c r="F5879" i="2"/>
  <c r="F6014" i="2"/>
  <c r="F6093" i="2"/>
  <c r="F6294" i="2"/>
  <c r="F6513" i="2"/>
  <c r="F6684" i="2"/>
  <c r="F6771" i="2"/>
  <c r="F6800" i="2"/>
  <c r="F7036" i="2"/>
  <c r="F7073" i="2"/>
  <c r="F7236" i="2"/>
  <c r="F8118" i="2"/>
  <c r="F8543" i="2"/>
  <c r="F6819" i="2"/>
  <c r="F6836" i="2"/>
  <c r="F6852" i="2"/>
  <c r="F6964" i="2"/>
  <c r="F7423" i="2"/>
  <c r="F5718" i="2"/>
  <c r="F5850" i="2"/>
  <c r="F5974" i="2"/>
  <c r="F6106" i="2"/>
  <c r="F6128" i="2"/>
  <c r="F6616" i="2"/>
  <c r="F6742" i="2"/>
  <c r="F7110" i="2"/>
  <c r="F7320" i="2"/>
  <c r="F7869" i="2"/>
  <c r="F7970" i="2"/>
  <c r="F8412" i="2"/>
  <c r="F7273" i="2"/>
  <c r="F7367" i="2"/>
  <c r="F7768" i="2"/>
  <c r="F8339" i="2"/>
  <c r="F8375" i="2"/>
  <c r="F8894" i="2"/>
  <c r="F9092" i="2"/>
  <c r="F9234" i="2"/>
  <c r="F8017" i="2"/>
  <c r="F8225" i="2"/>
  <c r="F8282" i="2"/>
  <c r="F8486" i="2"/>
  <c r="F9223" i="2"/>
  <c r="F9657" i="2"/>
  <c r="F8449" i="2"/>
  <c r="F8777" i="2"/>
  <c r="F8660" i="2"/>
  <c r="F9245" i="2"/>
  <c r="F9382" i="2"/>
  <c r="F9519" i="2"/>
  <c r="F9876" i="2"/>
  <c r="F9794" i="2"/>
  <c r="F10040" i="2"/>
  <c r="F10" i="5"/>
  <c r="F9958" i="2"/>
  <c r="F10122" i="2"/>
  <c r="C32" i="1"/>
  <c r="C36" i="1"/>
  <c r="C38" i="1"/>
  <c r="C34" i="1"/>
  <c r="C30" i="1"/>
  <c r="C26" i="1"/>
  <c r="C33" i="1"/>
  <c r="C29" i="1"/>
  <c r="C39" i="1"/>
  <c r="C20" i="1"/>
  <c r="C23" i="1"/>
  <c r="C35" i="1"/>
  <c r="C19" i="1"/>
  <c r="C18" i="1"/>
  <c r="C27" i="1" l="1"/>
  <c r="C16" i="1"/>
  <c r="B10" i="2"/>
  <c r="C7" i="1" s="1"/>
  <c r="B9" i="2"/>
  <c r="C8" i="1" s="1"/>
  <c r="C24" i="1"/>
</calcChain>
</file>

<file path=xl/comments1.xml><?xml version="1.0" encoding="utf-8"?>
<comments xmlns="http://schemas.openxmlformats.org/spreadsheetml/2006/main">
  <authors>
    <author>Zuria Castellanos</author>
    <author>nextapp</author>
  </authors>
  <commentList>
    <comment ref="E11" authorId="0" shapeId="0">
      <text>
        <r>
          <rPr>
            <b/>
            <sz val="9"/>
            <rFont val="Tahoma"/>
          </rPr>
          <t>Introduzca el año del PACC</t>
        </r>
      </text>
    </comment>
    <comment ref="E12" authorId="0" shapeId="0">
      <text>
        <r>
          <rPr>
            <b/>
            <sz val="9"/>
            <rFont val="Tahoma"/>
          </rPr>
          <t>Introduzca la fecha de aprobación, en formato dd/mm/aaaa</t>
        </r>
      </text>
    </comment>
    <comment ref="A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" authorId="1" shapeId="0">
      <text/>
    </comment>
    <comment ref="C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" authorId="1" shapeId="0">
      <text/>
    </comment>
    <comment ref="F20" authorId="1" shapeId="0">
      <text/>
    </comment>
    <comment ref="A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" authorId="1" shapeId="0">
      <text/>
    </comment>
    <comment ref="C5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0" authorId="1" shapeId="0">
      <text/>
    </comment>
    <comment ref="F51" authorId="1" shapeId="0">
      <text/>
    </comment>
    <comment ref="A5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3" authorId="1" shapeId="0">
      <text/>
    </comment>
    <comment ref="C1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4" authorId="1" shapeId="0">
      <text/>
    </comment>
    <comment ref="F105" authorId="1" shapeId="0">
      <text/>
    </comment>
    <comment ref="A1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7" authorId="1" shapeId="0">
      <text/>
    </comment>
    <comment ref="C15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8" authorId="1" shapeId="0">
      <text/>
    </comment>
    <comment ref="F159" authorId="1" shapeId="0">
      <text/>
    </comment>
    <comment ref="A16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11" authorId="1" shapeId="0">
      <text/>
    </comment>
    <comment ref="C2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12" authorId="1" shapeId="0">
      <text/>
    </comment>
    <comment ref="F213" authorId="1" shapeId="0">
      <text/>
    </comment>
    <comment ref="A2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3" authorId="1" shapeId="0">
      <text/>
    </comment>
    <comment ref="C26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4" authorId="1" shapeId="0">
      <text/>
    </comment>
    <comment ref="F265" authorId="1" shapeId="0">
      <text/>
    </comment>
    <comment ref="A26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4" authorId="1" shapeId="0">
      <text/>
    </comment>
    <comment ref="C2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5" authorId="1" shapeId="0">
      <text/>
    </comment>
    <comment ref="F296" authorId="1" shapeId="0">
      <text/>
    </comment>
    <comment ref="A2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2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2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2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2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2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2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2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28" authorId="1" shapeId="0">
      <text/>
    </comment>
    <comment ref="C32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29" authorId="1" shapeId="0">
      <text/>
    </comment>
    <comment ref="F330" authorId="1" shapeId="0">
      <text/>
    </comment>
    <comment ref="A33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3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3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4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4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4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4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4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4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4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42" authorId="1" shapeId="0">
      <text/>
    </comment>
    <comment ref="C34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43" authorId="1" shapeId="0">
      <text/>
    </comment>
    <comment ref="F344" authorId="1" shapeId="0">
      <text/>
    </comment>
    <comment ref="A34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4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4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70" authorId="1" shapeId="0">
      <text/>
    </comment>
    <comment ref="C3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71" authorId="1" shapeId="0">
      <text/>
    </comment>
    <comment ref="F372" authorId="1" shapeId="0">
      <text/>
    </comment>
    <comment ref="A3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8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8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8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8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8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8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8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83" authorId="1" shapeId="0">
      <text/>
    </comment>
    <comment ref="C38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84" authorId="1" shapeId="0">
      <text/>
    </comment>
    <comment ref="F385" authorId="1" shapeId="0">
      <text/>
    </comment>
    <comment ref="A38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8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8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4" authorId="1" shapeId="0">
      <text/>
    </comment>
    <comment ref="C4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5" authorId="1" shapeId="0">
      <text/>
    </comment>
    <comment ref="F416" authorId="1" shapeId="0">
      <text/>
    </comment>
    <comment ref="A4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45" authorId="1" shapeId="0">
      <text/>
    </comment>
    <comment ref="C4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46" authorId="1" shapeId="0">
      <text/>
    </comment>
    <comment ref="F447" authorId="1" shapeId="0">
      <text/>
    </comment>
    <comment ref="A4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5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5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5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5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5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5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5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58" authorId="1" shapeId="0">
      <text/>
    </comment>
    <comment ref="C45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59" authorId="1" shapeId="0">
      <text/>
    </comment>
    <comment ref="F460" authorId="1" shapeId="0">
      <text/>
    </comment>
    <comment ref="A46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6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6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0" authorId="1" shapeId="0">
      <text/>
    </comment>
    <comment ref="C4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1" authorId="1" shapeId="0">
      <text/>
    </comment>
    <comment ref="F472" authorId="1" shapeId="0">
      <text/>
    </comment>
    <comment ref="A4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2" authorId="1" shapeId="0">
      <text/>
    </comment>
    <comment ref="C48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3" authorId="1" shapeId="0">
      <text/>
    </comment>
    <comment ref="F484" authorId="1" shapeId="0">
      <text/>
    </comment>
    <comment ref="A48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5" authorId="1" shapeId="0">
      <text/>
    </comment>
    <comment ref="C4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6" authorId="1" shapeId="0">
      <text/>
    </comment>
    <comment ref="F497" authorId="1" shapeId="0">
      <text/>
    </comment>
    <comment ref="A4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77" authorId="1" shapeId="0">
      <text/>
    </comment>
    <comment ref="C5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78" authorId="1" shapeId="0">
      <text/>
    </comment>
    <comment ref="F579" authorId="1" shapeId="0">
      <text/>
    </comment>
    <comment ref="A5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9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9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9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9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9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9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9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92" authorId="1" shapeId="0">
      <text/>
    </comment>
    <comment ref="C59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93" authorId="1" shapeId="0">
      <text/>
    </comment>
    <comment ref="F594" authorId="1" shapeId="0">
      <text/>
    </comment>
    <comment ref="A59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9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9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0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0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0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0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0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0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0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07" authorId="1" shapeId="0">
      <text/>
    </comment>
    <comment ref="C60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8" authorId="1" shapeId="0">
      <text/>
    </comment>
    <comment ref="F609" authorId="1" shapeId="0">
      <text/>
    </comment>
    <comment ref="A61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1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1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2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2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2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2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2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2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2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22" authorId="1" shapeId="0">
      <text/>
    </comment>
    <comment ref="C62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23" authorId="1" shapeId="0">
      <text/>
    </comment>
    <comment ref="F624" authorId="1" shapeId="0">
      <text/>
    </comment>
    <comment ref="A62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2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2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3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3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3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3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3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3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3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37" authorId="1" shapeId="0">
      <text/>
    </comment>
    <comment ref="C63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38" authorId="1" shapeId="0">
      <text/>
    </comment>
    <comment ref="F639" authorId="1" shapeId="0">
      <text/>
    </comment>
    <comment ref="A64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4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4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4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4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4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4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4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50" authorId="1" shapeId="0">
      <text/>
    </comment>
    <comment ref="C65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51" authorId="1" shapeId="0">
      <text/>
    </comment>
    <comment ref="F652" authorId="1" shapeId="0">
      <text/>
    </comment>
    <comment ref="A65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5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5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6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6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63" authorId="1" shapeId="0">
      <text/>
    </comment>
    <comment ref="C66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4" authorId="1" shapeId="0">
      <text/>
    </comment>
    <comment ref="F665" authorId="1" shapeId="0">
      <text/>
    </comment>
    <comment ref="A66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6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6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6" authorId="1" shapeId="0">
      <text/>
    </comment>
    <comment ref="C6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7" authorId="1" shapeId="0">
      <text/>
    </comment>
    <comment ref="F678" authorId="1" shapeId="0">
      <text/>
    </comment>
    <comment ref="A6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9" authorId="1" shapeId="0">
      <text/>
    </comment>
    <comment ref="C69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90" authorId="1" shapeId="0">
      <text/>
    </comment>
    <comment ref="F691" authorId="1" shapeId="0">
      <text/>
    </comment>
    <comment ref="A69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9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9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05" authorId="1" shapeId="0">
      <text/>
    </comment>
    <comment ref="C7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06" authorId="1" shapeId="0">
      <text/>
    </comment>
    <comment ref="F707" authorId="1" shapeId="0">
      <text/>
    </comment>
    <comment ref="A7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2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2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2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2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2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2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2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23" authorId="1" shapeId="0">
      <text/>
    </comment>
    <comment ref="C72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24" authorId="1" shapeId="0">
      <text/>
    </comment>
    <comment ref="F725" authorId="1" shapeId="0">
      <text/>
    </comment>
    <comment ref="A72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2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2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41" authorId="1" shapeId="0">
      <text/>
    </comment>
    <comment ref="C7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42" authorId="1" shapeId="0">
      <text/>
    </comment>
    <comment ref="F743" authorId="1" shapeId="0">
      <text/>
    </comment>
    <comment ref="A7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5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5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5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5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5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5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5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59" authorId="1" shapeId="0">
      <text/>
    </comment>
    <comment ref="C76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60" authorId="1" shapeId="0">
      <text/>
    </comment>
    <comment ref="F761" authorId="1" shapeId="0">
      <text/>
    </comment>
    <comment ref="A76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6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6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77" authorId="1" shapeId="0">
      <text/>
    </comment>
    <comment ref="C7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78" authorId="1" shapeId="0">
      <text/>
    </comment>
    <comment ref="F779" authorId="1" shapeId="0">
      <text/>
    </comment>
    <comment ref="A7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9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9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9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9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9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9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9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93" authorId="1" shapeId="0">
      <text/>
    </comment>
    <comment ref="C79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94" authorId="1" shapeId="0">
      <text/>
    </comment>
    <comment ref="F795" authorId="1" shapeId="0">
      <text/>
    </comment>
    <comment ref="A79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9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9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1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1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1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1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1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1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1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20" authorId="1" shapeId="0">
      <text/>
    </comment>
    <comment ref="C82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21" authorId="1" shapeId="0">
      <text/>
    </comment>
    <comment ref="F822" authorId="1" shapeId="0">
      <text/>
    </comment>
    <comment ref="A82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2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2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3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3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3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3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3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3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3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38" authorId="1" shapeId="0">
      <text/>
    </comment>
    <comment ref="C83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39" authorId="1" shapeId="0">
      <text/>
    </comment>
    <comment ref="F840" authorId="1" shapeId="0">
      <text/>
    </comment>
    <comment ref="A84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4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4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5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5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5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5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5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5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5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59" authorId="1" shapeId="0">
      <text/>
    </comment>
    <comment ref="C86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60" authorId="1" shapeId="0">
      <text/>
    </comment>
    <comment ref="F861" authorId="1" shapeId="0">
      <text/>
    </comment>
    <comment ref="A86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6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6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76" authorId="1" shapeId="0">
      <text/>
    </comment>
    <comment ref="C8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77" authorId="1" shapeId="0">
      <text/>
    </comment>
    <comment ref="F878" authorId="1" shapeId="0">
      <text/>
    </comment>
    <comment ref="A8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9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9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9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9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9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0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0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01" authorId="1" shapeId="0">
      <text/>
    </comment>
    <comment ref="C90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02" authorId="1" shapeId="0">
      <text/>
    </comment>
    <comment ref="F903" authorId="1" shapeId="0">
      <text/>
    </comment>
    <comment ref="A90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0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0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2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2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2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2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2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2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2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6" authorId="1" shapeId="0">
      <text/>
    </comment>
    <comment ref="C92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27" authorId="1" shapeId="0">
      <text/>
    </comment>
    <comment ref="F928" authorId="1" shapeId="0">
      <text/>
    </comment>
    <comment ref="A93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3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3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4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4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4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4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4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4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4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49" authorId="1" shapeId="0">
      <text/>
    </comment>
    <comment ref="C95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50" authorId="1" shapeId="0">
      <text/>
    </comment>
    <comment ref="F951" authorId="1" shapeId="0">
      <text/>
    </comment>
    <comment ref="A95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5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5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5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5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9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9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9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9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9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9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9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96" authorId="1" shapeId="0">
      <text/>
    </comment>
    <comment ref="C99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97" authorId="1" shapeId="0">
      <text/>
    </comment>
    <comment ref="F998" authorId="1" shapeId="0">
      <text/>
    </comment>
    <comment ref="A100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0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0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4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4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4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4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4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4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4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43" authorId="1" shapeId="0">
      <text/>
    </comment>
    <comment ref="C104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44" authorId="1" shapeId="0">
      <text/>
    </comment>
    <comment ref="F1045" authorId="1" shapeId="0">
      <text/>
    </comment>
    <comment ref="A104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4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4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90" authorId="1" shapeId="0">
      <text/>
    </comment>
    <comment ref="C10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91" authorId="1" shapeId="0">
      <text/>
    </comment>
    <comment ref="F1092" authorId="1" shapeId="0">
      <text/>
    </comment>
    <comment ref="A10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3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3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3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3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3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3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3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37" authorId="1" shapeId="0">
      <text/>
    </comment>
    <comment ref="C113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38" authorId="1" shapeId="0">
      <text/>
    </comment>
    <comment ref="F1139" authorId="1" shapeId="0">
      <text/>
    </comment>
    <comment ref="A114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4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4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6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6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6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6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6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6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6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62" authorId="1" shapeId="0">
      <text/>
    </comment>
    <comment ref="C116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63" authorId="1" shapeId="0">
      <text/>
    </comment>
    <comment ref="F1164" authorId="1" shapeId="0">
      <text/>
    </comment>
    <comment ref="A116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6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6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87" authorId="1" shapeId="0">
      <text/>
    </comment>
    <comment ref="C11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88" authorId="1" shapeId="0">
      <text/>
    </comment>
    <comment ref="F1189" authorId="1" shapeId="0">
      <text/>
    </comment>
    <comment ref="A11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0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0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0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0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0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0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0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07" authorId="1" shapeId="0">
      <text/>
    </comment>
    <comment ref="C120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08" authorId="1" shapeId="0">
      <text/>
    </comment>
    <comment ref="F1209" authorId="1" shapeId="0">
      <text/>
    </comment>
    <comment ref="A121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1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1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2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2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2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2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2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2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2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27" authorId="1" shapeId="0">
      <text/>
    </comment>
    <comment ref="C122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28" authorId="1" shapeId="0">
      <text/>
    </comment>
    <comment ref="F1229" authorId="1" shapeId="0">
      <text/>
    </comment>
    <comment ref="A123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3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3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4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4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4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4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4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4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4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47" authorId="1" shapeId="0">
      <text/>
    </comment>
    <comment ref="C124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48" authorId="1" shapeId="0">
      <text/>
    </comment>
    <comment ref="F1249" authorId="1" shapeId="0">
      <text/>
    </comment>
    <comment ref="A125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5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5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6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6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6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6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6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6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6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67" authorId="1" shapeId="0">
      <text/>
    </comment>
    <comment ref="C126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68" authorId="1" shapeId="0">
      <text/>
    </comment>
    <comment ref="F1269" authorId="1" shapeId="0">
      <text/>
    </comment>
    <comment ref="A127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7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7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9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9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9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9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9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9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9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93" authorId="1" shapeId="0">
      <text/>
    </comment>
    <comment ref="C129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94" authorId="1" shapeId="0">
      <text/>
    </comment>
    <comment ref="F1295" authorId="1" shapeId="0">
      <text/>
    </comment>
    <comment ref="A129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9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9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1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1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1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1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1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1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1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19" authorId="1" shapeId="0">
      <text/>
    </comment>
    <comment ref="C132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20" authorId="1" shapeId="0">
      <text/>
    </comment>
    <comment ref="F1321" authorId="1" shapeId="0">
      <text/>
    </comment>
    <comment ref="A132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2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2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45" authorId="1" shapeId="0">
      <text/>
    </comment>
    <comment ref="C13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46" authorId="1" shapeId="0">
      <text/>
    </comment>
    <comment ref="F1347" authorId="1" shapeId="0">
      <text/>
    </comment>
    <comment ref="A13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6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6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6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6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6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7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7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71" authorId="1" shapeId="0">
      <text/>
    </comment>
    <comment ref="C137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72" authorId="1" shapeId="0">
      <text/>
    </comment>
    <comment ref="F1373" authorId="1" shapeId="0">
      <text/>
    </comment>
    <comment ref="A137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7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7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87" authorId="1" shapeId="0">
      <text/>
    </comment>
    <comment ref="C13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88" authorId="1" shapeId="0">
      <text/>
    </comment>
    <comment ref="F1389" authorId="1" shapeId="0">
      <text/>
    </comment>
    <comment ref="A13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4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4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4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4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4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4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4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4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403" authorId="1" shapeId="0">
      <text/>
    </comment>
    <comment ref="C14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404" authorId="1" shapeId="0">
      <text/>
    </comment>
    <comment ref="F1405" authorId="1" shapeId="0">
      <text/>
    </comment>
    <comment ref="A14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4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4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4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4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4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42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42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42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42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4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42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42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42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425" authorId="1" shapeId="0">
      <text/>
    </comment>
    <comment ref="C142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426" authorId="1" shapeId="0">
      <text/>
    </comment>
    <comment ref="F1427" authorId="1" shapeId="0">
      <text/>
    </comment>
    <comment ref="A142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42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4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4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4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42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44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44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44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44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4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44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44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44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447" authorId="1" shapeId="0">
      <text/>
    </comment>
    <comment ref="C144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448" authorId="1" shapeId="0">
      <text/>
    </comment>
    <comment ref="F1449" authorId="1" shapeId="0">
      <text/>
    </comment>
    <comment ref="A145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45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4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4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4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45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4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4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4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4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4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4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4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4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469" authorId="1" shapeId="0">
      <text/>
    </comment>
    <comment ref="C14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470" authorId="1" shapeId="0">
      <text/>
    </comment>
    <comment ref="F1471" authorId="1" shapeId="0">
      <text/>
    </comment>
    <comment ref="A14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4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4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4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4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4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4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4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4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4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4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4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4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4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490" authorId="1" shapeId="0">
      <text/>
    </comment>
    <comment ref="C14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491" authorId="1" shapeId="0">
      <text/>
    </comment>
    <comment ref="F1492" authorId="1" shapeId="0">
      <text/>
    </comment>
    <comment ref="A14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4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4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4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4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4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11" authorId="1" shapeId="0">
      <text/>
    </comment>
    <comment ref="C15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12" authorId="1" shapeId="0">
      <text/>
    </comment>
    <comment ref="F1513" authorId="1" shapeId="0">
      <text/>
    </comment>
    <comment ref="A15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3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3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3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3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3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3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3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32" authorId="1" shapeId="0">
      <text/>
    </comment>
    <comment ref="C153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33" authorId="1" shapeId="0">
      <text/>
    </comment>
    <comment ref="F1534" authorId="1" shapeId="0">
      <text/>
    </comment>
    <comment ref="A153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3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3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5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5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5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5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5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5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5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53" authorId="1" shapeId="0">
      <text/>
    </comment>
    <comment ref="C155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54" authorId="1" shapeId="0">
      <text/>
    </comment>
    <comment ref="F1555" authorId="1" shapeId="0">
      <text/>
    </comment>
    <comment ref="A155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5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5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7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7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7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7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7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7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7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75" authorId="1" shapeId="0">
      <text/>
    </comment>
    <comment ref="C157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76" authorId="1" shapeId="0">
      <text/>
    </comment>
    <comment ref="F1577" authorId="1" shapeId="0">
      <text/>
    </comment>
    <comment ref="A157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7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7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90" authorId="1" shapeId="0">
      <text/>
    </comment>
    <comment ref="C15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91" authorId="1" shapeId="0">
      <text/>
    </comment>
    <comment ref="F1592" authorId="1" shapeId="0">
      <text/>
    </comment>
    <comment ref="A15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05" authorId="1" shapeId="0">
      <text/>
    </comment>
    <comment ref="C16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06" authorId="1" shapeId="0">
      <text/>
    </comment>
    <comment ref="F1607" authorId="1" shapeId="0">
      <text/>
    </comment>
    <comment ref="A16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61" authorId="1" shapeId="0">
      <text/>
    </comment>
    <comment ref="C16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62" authorId="1" shapeId="0">
      <text/>
    </comment>
    <comment ref="F1663" authorId="1" shapeId="0">
      <text/>
    </comment>
    <comment ref="A16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76" authorId="1" shapeId="0">
      <text/>
    </comment>
    <comment ref="C16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77" authorId="1" shapeId="0">
      <text/>
    </comment>
    <comment ref="F1678" authorId="1" shapeId="0">
      <text/>
    </comment>
    <comment ref="A16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91" authorId="1" shapeId="0">
      <text/>
    </comment>
    <comment ref="C16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92" authorId="1" shapeId="0">
      <text/>
    </comment>
    <comment ref="F1693" authorId="1" shapeId="0">
      <text/>
    </comment>
    <comment ref="A16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77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77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77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77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7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77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7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7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78" authorId="1" shapeId="0">
      <text/>
    </comment>
    <comment ref="C177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779" authorId="1" shapeId="0">
      <text/>
    </comment>
    <comment ref="F1780" authorId="1" shapeId="0">
      <text/>
    </comment>
    <comment ref="A178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78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7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7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7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78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03" authorId="1" shapeId="0">
      <text/>
    </comment>
    <comment ref="C18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04" authorId="1" shapeId="0">
      <text/>
    </comment>
    <comment ref="F1805" authorId="1" shapeId="0">
      <text/>
    </comment>
    <comment ref="A18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5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5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5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5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5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5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5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59" authorId="1" shapeId="0">
      <text/>
    </comment>
    <comment ref="C186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60" authorId="1" shapeId="0">
      <text/>
    </comment>
    <comment ref="F1861" authorId="1" shapeId="0">
      <text/>
    </comment>
    <comment ref="A186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6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6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7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7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7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7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7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7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7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72" authorId="1" shapeId="0">
      <text/>
    </comment>
    <comment ref="C187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73" authorId="1" shapeId="0">
      <text/>
    </comment>
    <comment ref="F1874" authorId="1" shapeId="0">
      <text/>
    </comment>
    <comment ref="A187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7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7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8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8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8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8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8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8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8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8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85" authorId="1" shapeId="0">
      <text/>
    </comment>
    <comment ref="C188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86" authorId="1" shapeId="0">
      <text/>
    </comment>
    <comment ref="F1887" authorId="1" shapeId="0">
      <text/>
    </comment>
    <comment ref="A188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8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8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8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8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9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9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9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9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9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9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9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98" authorId="1" shapeId="0">
      <text/>
    </comment>
    <comment ref="C189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99" authorId="1" shapeId="0">
      <text/>
    </comment>
    <comment ref="F1900" authorId="1" shapeId="0">
      <text/>
    </comment>
    <comment ref="A190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90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90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9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9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90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9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9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9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9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9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9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9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9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911" authorId="1" shapeId="0">
      <text/>
    </comment>
    <comment ref="C19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12" authorId="1" shapeId="0">
      <text/>
    </comment>
    <comment ref="F1913" authorId="1" shapeId="0">
      <text/>
    </comment>
    <comment ref="A19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9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9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9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9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9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92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92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92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92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9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92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92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92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926" authorId="1" shapeId="0">
      <text/>
    </comment>
    <comment ref="C192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27" authorId="1" shapeId="0">
      <text/>
    </comment>
    <comment ref="F1928" authorId="1" shapeId="0">
      <text/>
    </comment>
    <comment ref="A193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93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9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9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9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93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95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95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95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95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9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95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95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95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958" authorId="1" shapeId="0">
      <text/>
    </comment>
    <comment ref="C195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59" authorId="1" shapeId="0">
      <text/>
    </comment>
    <comment ref="F1960" authorId="1" shapeId="0">
      <text/>
    </comment>
    <comment ref="A196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96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9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9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9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96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9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9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9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9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9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9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9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9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990" authorId="1" shapeId="0">
      <text/>
    </comment>
    <comment ref="C19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91" authorId="1" shapeId="0">
      <text/>
    </comment>
    <comment ref="F1992" authorId="1" shapeId="0">
      <text/>
    </comment>
    <comment ref="A19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9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9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9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9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9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02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02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02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02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0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02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02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02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022" authorId="1" shapeId="0">
      <text/>
    </comment>
    <comment ref="C202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023" authorId="1" shapeId="0">
      <text/>
    </comment>
    <comment ref="F2024" authorId="1" shapeId="0">
      <text/>
    </comment>
    <comment ref="A202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02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0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0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0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02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03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03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03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03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0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03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03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03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037" authorId="1" shapeId="0">
      <text/>
    </comment>
    <comment ref="C203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038" authorId="1" shapeId="0">
      <text/>
    </comment>
    <comment ref="F2039" authorId="1" shapeId="0">
      <text/>
    </comment>
    <comment ref="A204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04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0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0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0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04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0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0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0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0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0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0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0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0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069" authorId="1" shapeId="0">
      <text/>
    </comment>
    <comment ref="C20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070" authorId="1" shapeId="0">
      <text/>
    </comment>
    <comment ref="F2071" authorId="1" shapeId="0">
      <text/>
    </comment>
    <comment ref="A20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0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0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0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0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0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0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0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0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0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0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0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0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0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084" authorId="1" shapeId="0">
      <text/>
    </comment>
    <comment ref="C20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085" authorId="1" shapeId="0">
      <text/>
    </comment>
    <comment ref="F2086" authorId="1" shapeId="0">
      <text/>
    </comment>
    <comment ref="A20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0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0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0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0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0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09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09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09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09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0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09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09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09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099" authorId="1" shapeId="0">
      <text/>
    </comment>
    <comment ref="C210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100" authorId="1" shapeId="0">
      <text/>
    </comment>
    <comment ref="F2101" authorId="1" shapeId="0">
      <text/>
    </comment>
    <comment ref="A210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10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1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1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1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10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12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12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12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12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1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12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12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12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125" authorId="1" shapeId="0">
      <text/>
    </comment>
    <comment ref="C212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126" authorId="1" shapeId="0">
      <text/>
    </comment>
    <comment ref="F2127" authorId="1" shapeId="0">
      <text/>
    </comment>
    <comment ref="A212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12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1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1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1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12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16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16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16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16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1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16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17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17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171" authorId="1" shapeId="0">
      <text/>
    </comment>
    <comment ref="C217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172" authorId="1" shapeId="0">
      <text/>
    </comment>
    <comment ref="F2173" authorId="1" shapeId="0">
      <text/>
    </comment>
    <comment ref="A217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17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1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1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1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17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19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19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19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19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1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19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19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19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197" authorId="1" shapeId="0">
      <text/>
    </comment>
    <comment ref="C219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198" authorId="1" shapeId="0">
      <text/>
    </comment>
    <comment ref="F2199" authorId="1" shapeId="0">
      <text/>
    </comment>
    <comment ref="A220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20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2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2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2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20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24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24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24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24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2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24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24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24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243" authorId="1" shapeId="0">
      <text/>
    </comment>
    <comment ref="C224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244" authorId="1" shapeId="0">
      <text/>
    </comment>
    <comment ref="F2245" authorId="1" shapeId="0">
      <text/>
    </comment>
    <comment ref="A224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24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2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2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2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24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28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28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28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28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2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28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28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28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289" authorId="1" shapeId="0">
      <text/>
    </comment>
    <comment ref="C229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290" authorId="1" shapeId="0">
      <text/>
    </comment>
    <comment ref="F2291" authorId="1" shapeId="0">
      <text/>
    </comment>
    <comment ref="A229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29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2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2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2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29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33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33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33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33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3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33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33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33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335" authorId="1" shapeId="0">
      <text/>
    </comment>
    <comment ref="C233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336" authorId="1" shapeId="0">
      <text/>
    </comment>
    <comment ref="F2337" authorId="1" shapeId="0">
      <text/>
    </comment>
    <comment ref="A233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33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3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33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33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33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3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3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3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3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3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3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3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3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361" authorId="1" shapeId="0">
      <text/>
    </comment>
    <comment ref="C23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362" authorId="1" shapeId="0">
      <text/>
    </comment>
    <comment ref="F2363" authorId="1" shapeId="0">
      <text/>
    </comment>
    <comment ref="A23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3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3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3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3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3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1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1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1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1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1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2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2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21" authorId="1" shapeId="0">
      <text/>
    </comment>
    <comment ref="C242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22" authorId="1" shapeId="0">
      <text/>
    </comment>
    <comment ref="F2423" authorId="1" shapeId="0">
      <text/>
    </comment>
    <comment ref="A242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2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2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47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47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47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47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4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47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48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48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81" authorId="1" shapeId="0">
      <text/>
    </comment>
    <comment ref="C248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482" authorId="1" shapeId="0">
      <text/>
    </comment>
    <comment ref="F2483" authorId="1" shapeId="0">
      <text/>
    </comment>
    <comment ref="A248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8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8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41" authorId="1" shapeId="0">
      <text/>
    </comment>
    <comment ref="C25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42" authorId="1" shapeId="0">
      <text/>
    </comment>
    <comment ref="F2543" authorId="1" shapeId="0">
      <text/>
    </comment>
    <comment ref="A25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9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9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9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9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9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0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0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01" authorId="1" shapeId="0">
      <text/>
    </comment>
    <comment ref="C260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02" authorId="1" shapeId="0">
      <text/>
    </comment>
    <comment ref="F2603" authorId="1" shapeId="0">
      <text/>
    </comment>
    <comment ref="A260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0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0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0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69" authorId="1" shapeId="0">
      <text/>
    </comment>
    <comment ref="C26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70" authorId="1" shapeId="0">
      <text/>
    </comment>
    <comment ref="F2671" authorId="1" shapeId="0">
      <text/>
    </comment>
    <comment ref="A26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6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6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6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6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6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69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69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69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69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6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69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69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69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96" authorId="1" shapeId="0">
      <text/>
    </comment>
    <comment ref="C269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697" authorId="1" shapeId="0">
      <text/>
    </comment>
    <comment ref="F2698" authorId="1" shapeId="0">
      <text/>
    </comment>
    <comment ref="A270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0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0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70" authorId="1" shapeId="0">
      <text/>
    </comment>
    <comment ref="C27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71" authorId="1" shapeId="0">
      <text/>
    </comment>
    <comment ref="F2772" authorId="1" shapeId="0">
      <text/>
    </comment>
    <comment ref="A27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79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79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79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79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7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79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79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79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93" authorId="1" shapeId="0">
      <text/>
    </comment>
    <comment ref="C279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794" authorId="1" shapeId="0">
      <text/>
    </comment>
    <comment ref="F2795" authorId="1" shapeId="0">
      <text/>
    </comment>
    <comment ref="A279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79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7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7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7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79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1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1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1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1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1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1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1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17" authorId="1" shapeId="0">
      <text/>
    </comment>
    <comment ref="C281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18" authorId="1" shapeId="0">
      <text/>
    </comment>
    <comment ref="F2819" authorId="1" shapeId="0">
      <text/>
    </comment>
    <comment ref="A282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2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2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95" authorId="1" shapeId="0">
      <text/>
    </comment>
    <comment ref="C28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96" authorId="1" shapeId="0">
      <text/>
    </comment>
    <comment ref="F2897" authorId="1" shapeId="0">
      <text/>
    </comment>
    <comment ref="A28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4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4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4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4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4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5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5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51" authorId="1" shapeId="0">
      <text/>
    </comment>
    <comment ref="C295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52" authorId="1" shapeId="0">
      <text/>
    </comment>
    <comment ref="F2953" authorId="1" shapeId="0">
      <text/>
    </comment>
    <comment ref="A295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95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95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95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95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95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01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01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01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01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0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01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01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01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019" authorId="1" shapeId="0">
      <text/>
    </comment>
    <comment ref="C302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020" authorId="1" shapeId="0">
      <text/>
    </comment>
    <comment ref="F3021" authorId="1" shapeId="0">
      <text/>
    </comment>
    <comment ref="A302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02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0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0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0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02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04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04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04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04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0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04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04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04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043" authorId="1" shapeId="0">
      <text/>
    </comment>
    <comment ref="C304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044" authorId="1" shapeId="0">
      <text/>
    </comment>
    <comment ref="F3045" authorId="1" shapeId="0">
      <text/>
    </comment>
    <comment ref="A304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04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0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0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0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04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11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11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11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11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1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11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11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11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120" authorId="1" shapeId="0">
      <text/>
    </comment>
    <comment ref="C312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121" authorId="1" shapeId="0">
      <text/>
    </comment>
    <comment ref="F3122" authorId="1" shapeId="0">
      <text/>
    </comment>
    <comment ref="A312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12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1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1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12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12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1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1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1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1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1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1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1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1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188" authorId="1" shapeId="0">
      <text/>
    </comment>
    <comment ref="C31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189" authorId="1" shapeId="0">
      <text/>
    </comment>
    <comment ref="F3190" authorId="1" shapeId="0">
      <text/>
    </comment>
    <comment ref="A31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1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1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1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1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1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23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23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23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23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2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23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23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23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239" authorId="1" shapeId="0">
      <text/>
    </comment>
    <comment ref="C324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240" authorId="1" shapeId="0">
      <text/>
    </comment>
    <comment ref="F3241" authorId="1" shapeId="0">
      <text/>
    </comment>
    <comment ref="A324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24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2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2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2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24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3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3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3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3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3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3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3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3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318" authorId="1" shapeId="0">
      <text/>
    </comment>
    <comment ref="C33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319" authorId="1" shapeId="0">
      <text/>
    </comment>
    <comment ref="F3320" authorId="1" shapeId="0">
      <text/>
    </comment>
    <comment ref="A33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3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3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3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3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3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44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44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44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44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4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44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44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44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447" authorId="1" shapeId="0">
      <text/>
    </comment>
    <comment ref="C344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448" authorId="1" shapeId="0">
      <text/>
    </comment>
    <comment ref="F3449" authorId="1" shapeId="0">
      <text/>
    </comment>
    <comment ref="A345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45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4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4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4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45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5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5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5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5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5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5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5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5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511" authorId="1" shapeId="0">
      <text/>
    </comment>
    <comment ref="C35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512" authorId="1" shapeId="0">
      <text/>
    </comment>
    <comment ref="F3513" authorId="1" shapeId="0">
      <text/>
    </comment>
    <comment ref="A35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5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5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5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5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5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56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56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56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56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5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56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56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56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565" authorId="1" shapeId="0">
      <text/>
    </comment>
    <comment ref="C356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566" authorId="1" shapeId="0">
      <text/>
    </comment>
    <comment ref="F3567" authorId="1" shapeId="0">
      <text/>
    </comment>
    <comment ref="A356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56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5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5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5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56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59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59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59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59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5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59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59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59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593" authorId="1" shapeId="0">
      <text/>
    </comment>
    <comment ref="C359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594" authorId="1" shapeId="0">
      <text/>
    </comment>
    <comment ref="F3595" authorId="1" shapeId="0">
      <text/>
    </comment>
    <comment ref="A359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59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5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5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5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59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6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6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6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6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6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6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6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6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645" authorId="1" shapeId="0">
      <text/>
    </comment>
    <comment ref="C36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646" authorId="1" shapeId="0">
      <text/>
    </comment>
    <comment ref="F3647" authorId="1" shapeId="0">
      <text/>
    </comment>
    <comment ref="A36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6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6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6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6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6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96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96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96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96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9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96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96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96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963" authorId="1" shapeId="0">
      <text/>
    </comment>
    <comment ref="C396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964" authorId="1" shapeId="0">
      <text/>
    </comment>
    <comment ref="F3965" authorId="1" shapeId="0">
      <text/>
    </comment>
    <comment ref="A396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96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9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9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9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96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0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0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0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0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0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0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0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0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014" authorId="1" shapeId="0">
      <text/>
    </comment>
    <comment ref="C40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015" authorId="1" shapeId="0">
      <text/>
    </comment>
    <comment ref="F4016" authorId="1" shapeId="0">
      <text/>
    </comment>
    <comment ref="A40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0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0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0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0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0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07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07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07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07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0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07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07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07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074" authorId="1" shapeId="0">
      <text/>
    </comment>
    <comment ref="C407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075" authorId="1" shapeId="0">
      <text/>
    </comment>
    <comment ref="F4076" authorId="1" shapeId="0">
      <text/>
    </comment>
    <comment ref="A407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07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0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0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0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07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1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1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1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1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1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1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1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1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12" authorId="1" shapeId="0">
      <text/>
    </comment>
    <comment ref="C411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13" authorId="1" shapeId="0">
      <text/>
    </comment>
    <comment ref="F4114" authorId="1" shapeId="0">
      <text/>
    </comment>
    <comment ref="A411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11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1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11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11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11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61" authorId="1" shapeId="0">
      <text/>
    </comment>
    <comment ref="C41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62" authorId="1" shapeId="0">
      <text/>
    </comment>
    <comment ref="F4163" authorId="1" shapeId="0">
      <text/>
    </comment>
    <comment ref="A41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1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1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1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1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1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9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9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9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9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9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9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9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96" authorId="1" shapeId="0">
      <text/>
    </comment>
    <comment ref="C419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97" authorId="1" shapeId="0">
      <text/>
    </comment>
    <comment ref="F4198" authorId="1" shapeId="0">
      <text/>
    </comment>
    <comment ref="A420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20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2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2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2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20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23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23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23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23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2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23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23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23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232" authorId="1" shapeId="0">
      <text/>
    </comment>
    <comment ref="C423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233" authorId="1" shapeId="0">
      <text/>
    </comment>
    <comment ref="F4234" authorId="1" shapeId="0">
      <text/>
    </comment>
    <comment ref="A423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23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2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2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2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23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41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41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41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41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4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41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41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41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415" authorId="1" shapeId="0">
      <text/>
    </comment>
    <comment ref="C441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416" authorId="1" shapeId="0">
      <text/>
    </comment>
    <comment ref="F4417" authorId="1" shapeId="0">
      <text/>
    </comment>
    <comment ref="A441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41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4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4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4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41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5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5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5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5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5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5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5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5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591" authorId="1" shapeId="0">
      <text/>
    </comment>
    <comment ref="C45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592" authorId="1" shapeId="0">
      <text/>
    </comment>
    <comment ref="F4593" authorId="1" shapeId="0">
      <text/>
    </comment>
    <comment ref="A45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5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5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5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5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5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3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3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3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3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3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3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3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3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36" authorId="1" shapeId="0">
      <text/>
    </comment>
    <comment ref="C473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37" authorId="1" shapeId="0">
      <text/>
    </comment>
    <comment ref="F4738" authorId="1" shapeId="0">
      <text/>
    </comment>
    <comment ref="A474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4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4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8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8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8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8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8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8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8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86" authorId="1" shapeId="0">
      <text/>
    </comment>
    <comment ref="C478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87" authorId="1" shapeId="0">
      <text/>
    </comment>
    <comment ref="F4788" authorId="1" shapeId="0">
      <text/>
    </comment>
    <comment ref="A479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9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9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79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79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79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79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7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79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9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9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798" authorId="1" shapeId="0">
      <text/>
    </comment>
    <comment ref="C479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799" authorId="1" shapeId="0">
      <text/>
    </comment>
    <comment ref="F4800" authorId="1" shapeId="0">
      <text/>
    </comment>
    <comment ref="A480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0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0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0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2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2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2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2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2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2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2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27" authorId="1" shapeId="0">
      <text/>
    </comment>
    <comment ref="C482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28" authorId="1" shapeId="0">
      <text/>
    </comment>
    <comment ref="F4829" authorId="1" shapeId="0">
      <text/>
    </comment>
    <comment ref="A483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3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3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84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84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84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84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8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84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84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84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48" authorId="1" shapeId="0">
      <text/>
    </comment>
    <comment ref="C484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849" authorId="1" shapeId="0">
      <text/>
    </comment>
    <comment ref="F4850" authorId="1" shapeId="0">
      <text/>
    </comment>
    <comment ref="A485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85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8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8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8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85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95" authorId="1" shapeId="0">
      <text/>
    </comment>
    <comment ref="C49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96" authorId="1" shapeId="0">
      <text/>
    </comment>
    <comment ref="F4997" authorId="1" shapeId="0">
      <text/>
    </comment>
    <comment ref="A49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2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2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2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2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2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2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2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30" authorId="1" shapeId="0">
      <text/>
    </comment>
    <comment ref="C513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31" authorId="1" shapeId="0">
      <text/>
    </comment>
    <comment ref="F5132" authorId="1" shapeId="0">
      <text/>
    </comment>
    <comment ref="A513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3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3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3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3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3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76" authorId="1" shapeId="0">
      <text/>
    </comment>
    <comment ref="C51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77" authorId="1" shapeId="0">
      <text/>
    </comment>
    <comment ref="F5178" authorId="1" shapeId="0">
      <text/>
    </comment>
    <comment ref="A51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2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2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2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2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2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2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2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2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284" authorId="1" shapeId="0">
      <text/>
    </comment>
    <comment ref="C52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285" authorId="1" shapeId="0">
      <text/>
    </comment>
    <comment ref="F5286" authorId="1" shapeId="0">
      <text/>
    </comment>
    <comment ref="A52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2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2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2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2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2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30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30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30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30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3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30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30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30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07" authorId="1" shapeId="0">
      <text/>
    </comment>
    <comment ref="C530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308" authorId="1" shapeId="0">
      <text/>
    </comment>
    <comment ref="F5309" authorId="1" shapeId="0">
      <text/>
    </comment>
    <comment ref="A531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31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3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3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3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31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32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32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32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32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3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32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32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32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23" authorId="1" shapeId="0">
      <text/>
    </comment>
    <comment ref="C532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324" authorId="1" shapeId="0">
      <text/>
    </comment>
    <comment ref="F5325" authorId="1" shapeId="0">
      <text/>
    </comment>
    <comment ref="A532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32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3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3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3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32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34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34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34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34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3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34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34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34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42" authorId="1" shapeId="0">
      <text/>
    </comment>
    <comment ref="C534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343" authorId="1" shapeId="0">
      <text/>
    </comment>
    <comment ref="F5344" authorId="1" shapeId="0">
      <text/>
    </comment>
    <comment ref="A534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34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3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3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3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34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3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3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3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3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3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3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3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3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61" authorId="1" shapeId="0">
      <text/>
    </comment>
    <comment ref="C53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362" authorId="1" shapeId="0">
      <text/>
    </comment>
    <comment ref="F5363" authorId="1" shapeId="0">
      <text/>
    </comment>
    <comment ref="A53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3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3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3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3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3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38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38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38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38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3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38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38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38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82" authorId="1" shapeId="0">
      <text/>
    </comment>
    <comment ref="C538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383" authorId="1" shapeId="0">
      <text/>
    </comment>
    <comment ref="F5384" authorId="1" shapeId="0">
      <text/>
    </comment>
    <comment ref="A538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38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3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3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3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38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40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40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40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40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40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40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40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40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404" authorId="1" shapeId="0">
      <text/>
    </comment>
    <comment ref="C540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405" authorId="1" shapeId="0">
      <text/>
    </comment>
    <comment ref="F5406" authorId="1" shapeId="0">
      <text/>
    </comment>
    <comment ref="A540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40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4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40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40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40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42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42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42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42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4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42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42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42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426" authorId="1" shapeId="0">
      <text/>
    </comment>
    <comment ref="C542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427" authorId="1" shapeId="0">
      <text/>
    </comment>
    <comment ref="F5428" authorId="1" shapeId="0">
      <text/>
    </comment>
    <comment ref="A543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43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4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4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4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43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44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44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44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44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4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44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44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44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448" authorId="1" shapeId="0">
      <text/>
    </comment>
    <comment ref="C544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449" authorId="1" shapeId="0">
      <text/>
    </comment>
    <comment ref="F5450" authorId="1" shapeId="0">
      <text/>
    </comment>
    <comment ref="A545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45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4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4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4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45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4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4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4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4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4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4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4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4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470" authorId="1" shapeId="0">
      <text/>
    </comment>
    <comment ref="C54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471" authorId="1" shapeId="0">
      <text/>
    </comment>
    <comment ref="F5472" authorId="1" shapeId="0">
      <text/>
    </comment>
    <comment ref="A54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4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4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4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50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50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50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50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5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50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50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50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510" authorId="1" shapeId="0">
      <text/>
    </comment>
    <comment ref="C551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511" authorId="1" shapeId="0">
      <text/>
    </comment>
    <comment ref="F5512" authorId="1" shapeId="0">
      <text/>
    </comment>
    <comment ref="A551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51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5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5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5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51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54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54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54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54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5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54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54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54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550" authorId="1" shapeId="0">
      <text/>
    </comment>
    <comment ref="C555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551" authorId="1" shapeId="0">
      <text/>
    </comment>
    <comment ref="F5552" authorId="1" shapeId="0">
      <text/>
    </comment>
    <comment ref="A555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55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5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5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5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55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56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56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56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56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5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56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57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57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571" authorId="1" shapeId="0">
      <text/>
    </comment>
    <comment ref="C557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572" authorId="1" shapeId="0">
      <text/>
    </comment>
    <comment ref="F5573" authorId="1" shapeId="0">
      <text/>
    </comment>
    <comment ref="A557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57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5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5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5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57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59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59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59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59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5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59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59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59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592" authorId="1" shapeId="0">
      <text/>
    </comment>
    <comment ref="C559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593" authorId="1" shapeId="0">
      <text/>
    </comment>
    <comment ref="F5594" authorId="1" shapeId="0">
      <text/>
    </comment>
    <comment ref="A559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59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5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5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5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59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61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61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61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61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6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61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61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61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613" authorId="1" shapeId="0">
      <text/>
    </comment>
    <comment ref="C561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614" authorId="1" shapeId="0">
      <text/>
    </comment>
    <comment ref="F5615" authorId="1" shapeId="0">
      <text/>
    </comment>
    <comment ref="A561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61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6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6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6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61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63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63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63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63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6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63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63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63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634" authorId="1" shapeId="0">
      <text/>
    </comment>
    <comment ref="C563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635" authorId="1" shapeId="0">
      <text/>
    </comment>
    <comment ref="F5636" authorId="1" shapeId="0">
      <text/>
    </comment>
    <comment ref="A563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63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63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63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63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63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6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6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6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6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6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6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6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6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655" authorId="1" shapeId="0">
      <text/>
    </comment>
    <comment ref="C56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656" authorId="1" shapeId="0">
      <text/>
    </comment>
    <comment ref="F5657" authorId="1" shapeId="0">
      <text/>
    </comment>
    <comment ref="A56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6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6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6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6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6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6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6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6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6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6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6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6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6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676" authorId="1" shapeId="0">
      <text/>
    </comment>
    <comment ref="C56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677" authorId="1" shapeId="0">
      <text/>
    </comment>
    <comment ref="F5678" authorId="1" shapeId="0">
      <text/>
    </comment>
    <comment ref="A56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6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6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6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69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69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69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69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6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69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69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69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697" authorId="1" shapeId="0">
      <text/>
    </comment>
    <comment ref="C569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698" authorId="1" shapeId="0">
      <text/>
    </comment>
    <comment ref="F5699" authorId="1" shapeId="0">
      <text/>
    </comment>
    <comment ref="A570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70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7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7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7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70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70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70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70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70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7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70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70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70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710" authorId="1" shapeId="0">
      <text/>
    </comment>
    <comment ref="C571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711" authorId="1" shapeId="0">
      <text/>
    </comment>
    <comment ref="F5712" authorId="1" shapeId="0">
      <text/>
    </comment>
    <comment ref="A571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71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7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7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7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71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72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72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72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72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7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72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72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72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723" authorId="1" shapeId="0">
      <text/>
    </comment>
    <comment ref="C572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724" authorId="1" shapeId="0">
      <text/>
    </comment>
    <comment ref="F5725" authorId="1" shapeId="0">
      <text/>
    </comment>
    <comment ref="A572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72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7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7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7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72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76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76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76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76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7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76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76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76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763" authorId="1" shapeId="0">
      <text/>
    </comment>
    <comment ref="C576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764" authorId="1" shapeId="0">
      <text/>
    </comment>
    <comment ref="F5765" authorId="1" shapeId="0">
      <text/>
    </comment>
    <comment ref="A576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76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7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7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7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76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79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79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79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79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7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79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79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79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00" authorId="1" shapeId="0">
      <text/>
    </comment>
    <comment ref="C580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01" authorId="1" shapeId="0">
      <text/>
    </comment>
    <comment ref="F5802" authorId="1" shapeId="0">
      <text/>
    </comment>
    <comment ref="A580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0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0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81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81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81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81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8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81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81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81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13" authorId="1" shapeId="0">
      <text/>
    </comment>
    <comment ref="C581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14" authorId="1" shapeId="0">
      <text/>
    </comment>
    <comment ref="F5815" authorId="1" shapeId="0">
      <text/>
    </comment>
    <comment ref="A581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1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1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82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82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82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82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8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82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82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82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26" authorId="1" shapeId="0">
      <text/>
    </comment>
    <comment ref="C582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27" authorId="1" shapeId="0">
      <text/>
    </comment>
    <comment ref="F5828" authorId="1" shapeId="0">
      <text/>
    </comment>
    <comment ref="A583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3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3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8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8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8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8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8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8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8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8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55" authorId="1" shapeId="0">
      <text/>
    </comment>
    <comment ref="C58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56" authorId="1" shapeId="0">
      <text/>
    </comment>
    <comment ref="F5857" authorId="1" shapeId="0">
      <text/>
    </comment>
    <comment ref="A58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8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8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8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8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8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8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8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8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84" authorId="1" shapeId="0">
      <text/>
    </comment>
    <comment ref="C58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885" authorId="1" shapeId="0">
      <text/>
    </comment>
    <comment ref="F5886" authorId="1" shapeId="0">
      <text/>
    </comment>
    <comment ref="A58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91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91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91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91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9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91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92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92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921" authorId="1" shapeId="0">
      <text/>
    </comment>
    <comment ref="C592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922" authorId="1" shapeId="0">
      <text/>
    </comment>
    <comment ref="F5923" authorId="1" shapeId="0">
      <text/>
    </comment>
    <comment ref="A592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92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9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9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9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92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94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94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94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94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9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94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94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94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950" authorId="1" shapeId="0">
      <text/>
    </comment>
    <comment ref="C595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951" authorId="1" shapeId="0">
      <text/>
    </comment>
    <comment ref="F5952" authorId="1" shapeId="0">
      <text/>
    </comment>
    <comment ref="A595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95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9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9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9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95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97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97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97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97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9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97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97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97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979" authorId="1" shapeId="0">
      <text/>
    </comment>
    <comment ref="C598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980" authorId="1" shapeId="0">
      <text/>
    </comment>
    <comment ref="F5981" authorId="1" shapeId="0">
      <text/>
    </comment>
    <comment ref="A598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98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98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9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9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98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99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99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99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99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9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99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99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99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999" authorId="1" shapeId="0">
      <text/>
    </comment>
    <comment ref="C600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00" authorId="1" shapeId="0">
      <text/>
    </comment>
    <comment ref="F6001" authorId="1" shapeId="0">
      <text/>
    </comment>
    <comment ref="A600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00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0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0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0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00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01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01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01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01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0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01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01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01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019" authorId="1" shapeId="0">
      <text/>
    </comment>
    <comment ref="C602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20" authorId="1" shapeId="0">
      <text/>
    </comment>
    <comment ref="F6021" authorId="1" shapeId="0">
      <text/>
    </comment>
    <comment ref="A602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02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0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0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0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02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03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03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03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03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0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03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03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03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039" authorId="1" shapeId="0">
      <text/>
    </comment>
    <comment ref="C604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40" authorId="1" shapeId="0">
      <text/>
    </comment>
    <comment ref="F6041" authorId="1" shapeId="0">
      <text/>
    </comment>
    <comment ref="A604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04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0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0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0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04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05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05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05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05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0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05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05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05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059" authorId="1" shapeId="0">
      <text/>
    </comment>
    <comment ref="C606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60" authorId="1" shapeId="0">
      <text/>
    </comment>
    <comment ref="F6061" authorId="1" shapeId="0">
      <text/>
    </comment>
    <comment ref="A606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06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0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0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0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06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07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07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07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07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0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07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07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07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072" authorId="1" shapeId="0">
      <text/>
    </comment>
    <comment ref="C607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73" authorId="1" shapeId="0">
      <text/>
    </comment>
    <comment ref="F6074" authorId="1" shapeId="0">
      <text/>
    </comment>
    <comment ref="A607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07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0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0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0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07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08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08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08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08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08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08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08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08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085" authorId="1" shapeId="0">
      <text/>
    </comment>
    <comment ref="C608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86" authorId="1" shapeId="0">
      <text/>
    </comment>
    <comment ref="F6087" authorId="1" shapeId="0">
      <text/>
    </comment>
    <comment ref="A608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08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0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08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08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08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09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09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09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09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0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09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09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09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098" authorId="1" shapeId="0">
      <text/>
    </comment>
    <comment ref="C609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99" authorId="1" shapeId="0">
      <text/>
    </comment>
    <comment ref="F6100" authorId="1" shapeId="0">
      <text/>
    </comment>
    <comment ref="A610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10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10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1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1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10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1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1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1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1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1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1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1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1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111" authorId="1" shapeId="0">
      <text/>
    </comment>
    <comment ref="C61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112" authorId="1" shapeId="0">
      <text/>
    </comment>
    <comment ref="F6113" authorId="1" shapeId="0">
      <text/>
    </comment>
    <comment ref="A61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1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1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1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1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1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12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12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12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12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1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12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12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12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122" authorId="1" shapeId="0">
      <text/>
    </comment>
    <comment ref="C612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123" authorId="1" shapeId="0">
      <text/>
    </comment>
    <comment ref="F6124" authorId="1" shapeId="0">
      <text/>
    </comment>
    <comment ref="A612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12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1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1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1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12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13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13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13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13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1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13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13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13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133" authorId="1" shapeId="0">
      <text/>
    </comment>
    <comment ref="C613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134" authorId="1" shapeId="0">
      <text/>
    </comment>
    <comment ref="F6135" authorId="1" shapeId="0">
      <text/>
    </comment>
    <comment ref="A613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13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1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1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1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13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14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14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14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14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1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14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14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14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144" authorId="1" shapeId="0">
      <text/>
    </comment>
    <comment ref="C614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145" authorId="1" shapeId="0">
      <text/>
    </comment>
    <comment ref="F6146" authorId="1" shapeId="0">
      <text/>
    </comment>
    <comment ref="A614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14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1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1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1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14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1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1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1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1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1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1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1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1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155" authorId="1" shapeId="0">
      <text/>
    </comment>
    <comment ref="C61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156" authorId="1" shapeId="0">
      <text/>
    </comment>
    <comment ref="F6157" authorId="1" shapeId="0">
      <text/>
    </comment>
    <comment ref="A61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1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1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1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1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1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22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22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22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22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2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22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22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22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227" authorId="1" shapeId="0">
      <text/>
    </comment>
    <comment ref="C622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228" authorId="1" shapeId="0">
      <text/>
    </comment>
    <comment ref="F6229" authorId="1" shapeId="0">
      <text/>
    </comment>
    <comment ref="A623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23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2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2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23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23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29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29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29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29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2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29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29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29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299" authorId="1" shapeId="0">
      <text/>
    </comment>
    <comment ref="C630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300" authorId="1" shapeId="0">
      <text/>
    </comment>
    <comment ref="F6301" authorId="1" shapeId="0">
      <text/>
    </comment>
    <comment ref="A630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30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3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3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3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30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36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36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36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36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3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36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37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37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371" authorId="1" shapeId="0">
      <text/>
    </comment>
    <comment ref="C637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372" authorId="1" shapeId="0">
      <text/>
    </comment>
    <comment ref="F6373" authorId="1" shapeId="0">
      <text/>
    </comment>
    <comment ref="A637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37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3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3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37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37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44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44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44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44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4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44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4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4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443" authorId="1" shapeId="0">
      <text/>
    </comment>
    <comment ref="C644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444" authorId="1" shapeId="0">
      <text/>
    </comment>
    <comment ref="F6445" authorId="1" shapeId="0">
      <text/>
    </comment>
    <comment ref="A644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44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4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4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4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44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47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47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47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47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4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47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7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7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480" authorId="1" shapeId="0">
      <text/>
    </comment>
    <comment ref="C648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481" authorId="1" shapeId="0">
      <text/>
    </comment>
    <comment ref="F6482" authorId="1" shapeId="0">
      <text/>
    </comment>
    <comment ref="A648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48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4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4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4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48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5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5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5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5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5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5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5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5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518" authorId="1" shapeId="0">
      <text/>
    </comment>
    <comment ref="C65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519" authorId="1" shapeId="0">
      <text/>
    </comment>
    <comment ref="F6520" authorId="1" shapeId="0">
      <text/>
    </comment>
    <comment ref="A65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5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5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5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5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5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1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1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1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1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1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62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62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621" authorId="1" shapeId="0">
      <text/>
    </comment>
    <comment ref="C662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22" authorId="1" shapeId="0">
      <text/>
    </comment>
    <comment ref="F6623" authorId="1" shapeId="0">
      <text/>
    </comment>
    <comment ref="A662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62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62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6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62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62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6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6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676" authorId="1" shapeId="0">
      <text/>
    </comment>
    <comment ref="C66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77" authorId="1" shapeId="0">
      <text/>
    </comment>
    <comment ref="F6678" authorId="1" shapeId="0">
      <text/>
    </comment>
    <comment ref="A66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6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6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6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6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8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8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8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8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8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68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68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689" authorId="1" shapeId="0">
      <text/>
    </comment>
    <comment ref="C669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90" authorId="1" shapeId="0">
      <text/>
    </comment>
    <comment ref="F6691" authorId="1" shapeId="0">
      <text/>
    </comment>
    <comment ref="A669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69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6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6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6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69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18" authorId="1" shapeId="0">
      <text/>
    </comment>
    <comment ref="C67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19" authorId="1" shapeId="0">
      <text/>
    </comment>
    <comment ref="F6720" authorId="1" shapeId="0">
      <text/>
    </comment>
    <comment ref="A67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7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7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7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7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7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4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4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4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4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4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4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4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47" authorId="1" shapeId="0">
      <text/>
    </comment>
    <comment ref="C674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48" authorId="1" shapeId="0">
      <text/>
    </comment>
    <comment ref="F6749" authorId="1" shapeId="0">
      <text/>
    </comment>
    <comment ref="A675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75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7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7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7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75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76" authorId="1" shapeId="0">
      <text/>
    </comment>
    <comment ref="C67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77" authorId="1" shapeId="0">
      <text/>
    </comment>
    <comment ref="F6778" authorId="1" shapeId="0">
      <text/>
    </comment>
    <comment ref="A67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7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7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7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7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7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05" authorId="1" shapeId="0">
      <text/>
    </comment>
    <comment ref="C68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06" authorId="1" shapeId="0">
      <text/>
    </comment>
    <comment ref="F6807" authorId="1" shapeId="0">
      <text/>
    </comment>
    <comment ref="A68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2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2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2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2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2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2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2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24" authorId="1" shapeId="0">
      <text/>
    </comment>
    <comment ref="C682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25" authorId="1" shapeId="0">
      <text/>
    </comment>
    <comment ref="F6826" authorId="1" shapeId="0">
      <text/>
    </comment>
    <comment ref="A682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2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2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41" authorId="1" shapeId="0">
      <text/>
    </comment>
    <comment ref="C68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42" authorId="1" shapeId="0">
      <text/>
    </comment>
    <comment ref="F6843" authorId="1" shapeId="0">
      <text/>
    </comment>
    <comment ref="A68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5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5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5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5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5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5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5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5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57" authorId="1" shapeId="0">
      <text/>
    </comment>
    <comment ref="C685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58" authorId="1" shapeId="0">
      <text/>
    </comment>
    <comment ref="F6859" authorId="1" shapeId="0">
      <text/>
    </comment>
    <comment ref="A686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6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6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7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7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7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7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7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7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7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73" authorId="1" shapeId="0">
      <text/>
    </comment>
    <comment ref="C687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74" authorId="1" shapeId="0">
      <text/>
    </comment>
    <comment ref="F6875" authorId="1" shapeId="0">
      <text/>
    </comment>
    <comment ref="A687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7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7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9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9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9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9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9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9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9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9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905" authorId="1" shapeId="0">
      <text/>
    </comment>
    <comment ref="C69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906" authorId="1" shapeId="0">
      <text/>
    </comment>
    <comment ref="F6907" authorId="1" shapeId="0">
      <text/>
    </comment>
    <comment ref="A69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9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9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9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9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9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93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93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93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93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9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93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93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93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937" authorId="1" shapeId="0">
      <text/>
    </comment>
    <comment ref="C693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938" authorId="1" shapeId="0">
      <text/>
    </comment>
    <comment ref="F6939" authorId="1" shapeId="0">
      <text/>
    </comment>
    <comment ref="A694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94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9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9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9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94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9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9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9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9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9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9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9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9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969" authorId="1" shapeId="0">
      <text/>
    </comment>
    <comment ref="C69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970" authorId="1" shapeId="0">
      <text/>
    </comment>
    <comment ref="F6971" authorId="1" shapeId="0">
      <text/>
    </comment>
    <comment ref="A69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9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9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9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9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9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00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00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00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00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0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00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00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00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009" authorId="1" shapeId="0">
      <text/>
    </comment>
    <comment ref="C701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010" authorId="1" shapeId="0">
      <text/>
    </comment>
    <comment ref="F7011" authorId="1" shapeId="0">
      <text/>
    </comment>
    <comment ref="A701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01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0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01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01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01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0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0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0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0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0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0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0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0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041" authorId="1" shapeId="0">
      <text/>
    </comment>
    <comment ref="C70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042" authorId="1" shapeId="0">
      <text/>
    </comment>
    <comment ref="F7043" authorId="1" shapeId="0">
      <text/>
    </comment>
    <comment ref="A70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0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0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0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0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0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07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07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07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07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0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07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07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07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078" authorId="1" shapeId="0">
      <text/>
    </comment>
    <comment ref="C707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079" authorId="1" shapeId="0">
      <text/>
    </comment>
    <comment ref="F7080" authorId="1" shapeId="0">
      <text/>
    </comment>
    <comment ref="A708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08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0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0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0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08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11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11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11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11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1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11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11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11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115" authorId="1" shapeId="0">
      <text/>
    </comment>
    <comment ref="C711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116" authorId="1" shapeId="0">
      <text/>
    </comment>
    <comment ref="F7117" authorId="1" shapeId="0">
      <text/>
    </comment>
    <comment ref="A711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11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1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1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1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11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15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15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15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15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15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15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15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15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152" authorId="1" shapeId="0">
      <text/>
    </comment>
    <comment ref="C715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153" authorId="1" shapeId="0">
      <text/>
    </comment>
    <comment ref="F7154" authorId="1" shapeId="0">
      <text/>
    </comment>
    <comment ref="A715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15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1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15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15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15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2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2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2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2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2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2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2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2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241" authorId="1" shapeId="0">
      <text/>
    </comment>
    <comment ref="C72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242" authorId="1" shapeId="0">
      <text/>
    </comment>
    <comment ref="F7243" authorId="1" shapeId="0">
      <text/>
    </comment>
    <comment ref="A72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2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2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2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2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2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27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27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27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27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2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27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27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27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278" authorId="1" shapeId="0">
      <text/>
    </comment>
    <comment ref="C727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279" authorId="1" shapeId="0">
      <text/>
    </comment>
    <comment ref="F7280" authorId="1" shapeId="0">
      <text/>
    </comment>
    <comment ref="A728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28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2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2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2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28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32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32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32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32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3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32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32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32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325" authorId="1" shapeId="0">
      <text/>
    </comment>
    <comment ref="C732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326" authorId="1" shapeId="0">
      <text/>
    </comment>
    <comment ref="F7327" authorId="1" shapeId="0">
      <text/>
    </comment>
    <comment ref="A732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32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3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3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3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32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37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37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37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37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3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37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37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37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372" authorId="1" shapeId="0">
      <text/>
    </comment>
    <comment ref="C737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373" authorId="1" shapeId="0">
      <text/>
    </comment>
    <comment ref="F7374" authorId="1" shapeId="0">
      <text/>
    </comment>
    <comment ref="A737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37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3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3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37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37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42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42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42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42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4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42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42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42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428" authorId="1" shapeId="0">
      <text/>
    </comment>
    <comment ref="C742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429" authorId="1" shapeId="0">
      <text/>
    </comment>
    <comment ref="F7430" authorId="1" shapeId="0">
      <text/>
    </comment>
    <comment ref="A743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43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4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4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4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43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47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47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47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47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4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47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47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47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475" authorId="1" shapeId="0">
      <text/>
    </comment>
    <comment ref="C747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476" authorId="1" shapeId="0">
      <text/>
    </comment>
    <comment ref="F7477" authorId="1" shapeId="0">
      <text/>
    </comment>
    <comment ref="A747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47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4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4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4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47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56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56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56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56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5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56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56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56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564" authorId="1" shapeId="0">
      <text/>
    </comment>
    <comment ref="C756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565" authorId="1" shapeId="0">
      <text/>
    </comment>
    <comment ref="F7566" authorId="1" shapeId="0">
      <text/>
    </comment>
    <comment ref="A756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56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5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56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56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56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65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65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65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65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6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65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65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65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653" authorId="1" shapeId="0">
      <text/>
    </comment>
    <comment ref="C765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654" authorId="1" shapeId="0">
      <text/>
    </comment>
    <comment ref="F7655" authorId="1" shapeId="0">
      <text/>
    </comment>
    <comment ref="A765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65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6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6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65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65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77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77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77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77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7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77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77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77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773" authorId="1" shapeId="0">
      <text/>
    </comment>
    <comment ref="C777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774" authorId="1" shapeId="0">
      <text/>
    </comment>
    <comment ref="F7775" authorId="1" shapeId="0">
      <text/>
    </comment>
    <comment ref="A777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77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7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7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7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77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87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87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87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87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8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87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87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87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874" authorId="1" shapeId="0">
      <text/>
    </comment>
    <comment ref="C787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875" authorId="1" shapeId="0">
      <text/>
    </comment>
    <comment ref="F7876" authorId="1" shapeId="0">
      <text/>
    </comment>
    <comment ref="A787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87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8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8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8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87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97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97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97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97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9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97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97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97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975" authorId="1" shapeId="0">
      <text/>
    </comment>
    <comment ref="C797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976" authorId="1" shapeId="0">
      <text/>
    </comment>
    <comment ref="F7977" authorId="1" shapeId="0">
      <text/>
    </comment>
    <comment ref="A797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97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9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9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9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97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02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02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02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02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0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02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02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02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022" authorId="1" shapeId="0">
      <text/>
    </comment>
    <comment ref="C802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023" authorId="1" shapeId="0">
      <text/>
    </comment>
    <comment ref="F8024" authorId="1" shapeId="0">
      <text/>
    </comment>
    <comment ref="A802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02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0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0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0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02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12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12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12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12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1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12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12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12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123" authorId="1" shapeId="0">
      <text/>
    </comment>
    <comment ref="C812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124" authorId="1" shapeId="0">
      <text/>
    </comment>
    <comment ref="F8125" authorId="1" shapeId="0">
      <text/>
    </comment>
    <comment ref="A812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12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1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1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1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12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22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22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22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22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2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22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22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22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230" authorId="1" shapeId="0">
      <text/>
    </comment>
    <comment ref="C823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231" authorId="1" shapeId="0">
      <text/>
    </comment>
    <comment ref="F8232" authorId="1" shapeId="0">
      <text/>
    </comment>
    <comment ref="A823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23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23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23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23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23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2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2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2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2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2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2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2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2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287" authorId="1" shapeId="0">
      <text/>
    </comment>
    <comment ref="C82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288" authorId="1" shapeId="0">
      <text/>
    </comment>
    <comment ref="F8289" authorId="1" shapeId="0">
      <text/>
    </comment>
    <comment ref="A82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2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2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2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2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2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34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34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34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34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3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34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34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34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344" authorId="1" shapeId="0">
      <text/>
    </comment>
    <comment ref="C834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345" authorId="1" shapeId="0">
      <text/>
    </comment>
    <comment ref="F8346" authorId="1" shapeId="0">
      <text/>
    </comment>
    <comment ref="A834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34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3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3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3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34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37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37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37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37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3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37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37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37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380" authorId="1" shapeId="0">
      <text/>
    </comment>
    <comment ref="C838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381" authorId="1" shapeId="0">
      <text/>
    </comment>
    <comment ref="F8382" authorId="1" shapeId="0">
      <text/>
    </comment>
    <comment ref="A838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38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3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3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3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38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41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41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41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41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4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41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41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41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417" authorId="1" shapeId="0">
      <text/>
    </comment>
    <comment ref="C841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418" authorId="1" shapeId="0">
      <text/>
    </comment>
    <comment ref="F8419" authorId="1" shapeId="0">
      <text/>
    </comment>
    <comment ref="A842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42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4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4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4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42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45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45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45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45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4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45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45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45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454" authorId="1" shapeId="0">
      <text/>
    </comment>
    <comment ref="C845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455" authorId="1" shapeId="0">
      <text/>
    </comment>
    <comment ref="F8456" authorId="1" shapeId="0">
      <text/>
    </comment>
    <comment ref="A845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45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4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4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45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45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4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4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4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4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4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4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4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4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491" authorId="1" shapeId="0">
      <text/>
    </comment>
    <comment ref="C84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492" authorId="1" shapeId="0">
      <text/>
    </comment>
    <comment ref="F8493" authorId="1" shapeId="0">
      <text/>
    </comment>
    <comment ref="A84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4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4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4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4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4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54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54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54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54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5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54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54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54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548" authorId="1" shapeId="0">
      <text/>
    </comment>
    <comment ref="C854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549" authorId="1" shapeId="0">
      <text/>
    </comment>
    <comment ref="F8550" authorId="1" shapeId="0">
      <text/>
    </comment>
    <comment ref="A855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55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5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5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5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55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66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66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66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66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6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66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66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66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665" authorId="1" shapeId="0">
      <text/>
    </comment>
    <comment ref="C866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666" authorId="1" shapeId="0">
      <text/>
    </comment>
    <comment ref="F8667" authorId="1" shapeId="0">
      <text/>
    </comment>
    <comment ref="A866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66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6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6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6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66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78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78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78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78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7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78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78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78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782" authorId="1" shapeId="0">
      <text/>
    </comment>
    <comment ref="C878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783" authorId="1" shapeId="0">
      <text/>
    </comment>
    <comment ref="F8784" authorId="1" shapeId="0">
      <text/>
    </comment>
    <comment ref="A878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78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7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7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78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78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89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89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89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89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8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89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89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89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899" authorId="1" shapeId="0">
      <text/>
    </comment>
    <comment ref="C890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900" authorId="1" shapeId="0">
      <text/>
    </comment>
    <comment ref="F8901" authorId="1" shapeId="0">
      <text/>
    </comment>
    <comment ref="A890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90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9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9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9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90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09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09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09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09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0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09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09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09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097" authorId="1" shapeId="0">
      <text/>
    </comment>
    <comment ref="C909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098" authorId="1" shapeId="0">
      <text/>
    </comment>
    <comment ref="F9099" authorId="1" shapeId="0">
      <text/>
    </comment>
    <comment ref="A910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10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1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1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1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10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22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22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22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22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2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22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22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22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28" authorId="1" shapeId="0">
      <text/>
    </comment>
    <comment ref="C922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229" authorId="1" shapeId="0">
      <text/>
    </comment>
    <comment ref="F9230" authorId="1" shapeId="0">
      <text/>
    </comment>
    <comment ref="A923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23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2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2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2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23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23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23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23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23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2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23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23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23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39" authorId="1" shapeId="0">
      <text/>
    </comment>
    <comment ref="C924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240" authorId="1" shapeId="0">
      <text/>
    </comment>
    <comment ref="F9241" authorId="1" shapeId="0">
      <text/>
    </comment>
    <comment ref="A924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24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2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2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24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24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24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24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24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24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2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24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24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24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50" authorId="1" shapeId="0">
      <text/>
    </comment>
    <comment ref="C925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251" authorId="1" shapeId="0">
      <text/>
    </comment>
    <comment ref="F9252" authorId="1" shapeId="0">
      <text/>
    </comment>
    <comment ref="A925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25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2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2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25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25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3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3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3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3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3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3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3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3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387" authorId="1" shapeId="0">
      <text/>
    </comment>
    <comment ref="C93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388" authorId="1" shapeId="0">
      <text/>
    </comment>
    <comment ref="F9389" authorId="1" shapeId="0">
      <text/>
    </comment>
    <comment ref="A93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3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3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3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3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3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52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52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52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52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5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52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52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52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524" authorId="1" shapeId="0">
      <text/>
    </comment>
    <comment ref="C952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525" authorId="1" shapeId="0">
      <text/>
    </comment>
    <comment ref="F9526" authorId="1" shapeId="0">
      <text/>
    </comment>
    <comment ref="A952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52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5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5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5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52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6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6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6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6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6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6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6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62" authorId="1" shapeId="0">
      <text/>
    </comment>
    <comment ref="C966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63" authorId="1" shapeId="0">
      <text/>
    </comment>
    <comment ref="F9664" authorId="1" shapeId="0">
      <text/>
    </comment>
    <comment ref="A966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6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6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79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79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79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79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7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79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79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79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99" authorId="1" shapeId="0">
      <text/>
    </comment>
    <comment ref="C980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800" authorId="1" shapeId="0">
      <text/>
    </comment>
    <comment ref="F9801" authorId="1" shapeId="0">
      <text/>
    </comment>
    <comment ref="A980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80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8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8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80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80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87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87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87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87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8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87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88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88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881" authorId="1" shapeId="0">
      <text/>
    </comment>
    <comment ref="C988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882" authorId="1" shapeId="0">
      <text/>
    </comment>
    <comment ref="F9883" authorId="1" shapeId="0">
      <text/>
    </comment>
    <comment ref="A988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88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8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8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88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88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96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96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96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96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9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96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96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96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963" authorId="1" shapeId="0">
      <text/>
    </comment>
    <comment ref="C996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964" authorId="1" shapeId="0">
      <text/>
    </comment>
    <comment ref="F9965" authorId="1" shapeId="0">
      <text/>
    </comment>
    <comment ref="A996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96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9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9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9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96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0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0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0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0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0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0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0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0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045" authorId="1" shapeId="0">
      <text/>
    </comment>
    <comment ref="C100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046" authorId="1" shapeId="0">
      <text/>
    </comment>
    <comment ref="F10047" authorId="1" shapeId="0">
      <text/>
    </comment>
    <comment ref="A100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0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0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0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0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0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</commentList>
</comments>
</file>

<file path=xl/comments2.xml><?xml version="1.0" encoding="utf-8"?>
<comments xmlns="http://schemas.openxmlformats.org/spreadsheetml/2006/main">
  <authors>
    <author>mcorreia</author>
  </authors>
  <commentList>
    <comment ref="A2" authorId="0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" authorId="0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" authorId="0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" authorId="0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" authorId="0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" authorId="0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" authorId="0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" authorId="0" shapeId="0">
      <text/>
    </comment>
    <comment ref="C5" authorId="0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" authorId="0" shapeId="0">
      <text/>
    </comment>
    <comment ref="F6" authorId="0" shapeId="0">
      <text/>
    </comment>
    <comment ref="A8" authorId="0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" authorId="0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" authorId="0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sharedStrings.xml><?xml version="1.0" encoding="utf-8"?>
<sst xmlns="http://schemas.openxmlformats.org/spreadsheetml/2006/main" count="35009" uniqueCount="20075">
  <si>
    <t>Torasemida</t>
  </si>
  <si>
    <t>Servicios de carpas para fiestas</t>
  </si>
  <si>
    <t>39121512</t>
  </si>
  <si>
    <t>Extrusiones en frío de berilio</t>
  </si>
  <si>
    <t>Máquinas contabilizadoras</t>
  </si>
  <si>
    <t>Bolsillos para tarjetas</t>
  </si>
  <si>
    <t>Anillos de recubrimiento de ángulo de tubería</t>
  </si>
  <si>
    <t>Mezcladora de tornillo sencillo</t>
  </si>
  <si>
    <t>Toallas de cirugía</t>
  </si>
  <si>
    <t>Incubadoras de cámara única de tres gases de pared seca con control de humedad</t>
  </si>
  <si>
    <t>Contadores alfa</t>
  </si>
  <si>
    <t>Varillas de magnesio</t>
  </si>
  <si>
    <t>42181801</t>
  </si>
  <si>
    <t>Bolsas de arena para urnas de incineración</t>
  </si>
  <si>
    <t>Conductos de estaño</t>
  </si>
  <si>
    <t>Objetos de acero inoxidable fundidos por moldeo en cáscara</t>
  </si>
  <si>
    <t>Equipo de filtración de carbón</t>
  </si>
  <si>
    <t>Reguladores de fluido</t>
  </si>
  <si>
    <t>51151732</t>
  </si>
  <si>
    <t>Servicios de fabricación de maquinaria o equipo para productos alimenticios</t>
  </si>
  <si>
    <t>Pistones de freno</t>
  </si>
  <si>
    <t>Pistolas de tornillos eléctricas</t>
  </si>
  <si>
    <t>Monseñor Nouel</t>
  </si>
  <si>
    <t>Amitriptilinoxida</t>
  </si>
  <si>
    <t>Servicios de evaluación de la fracturación del pozo en el fondo del pozo</t>
  </si>
  <si>
    <t>Kits de limpieza de computadores o equipos de oficina</t>
  </si>
  <si>
    <t>Limpiadores o desodorantes para ostomía</t>
  </si>
  <si>
    <t>Bicheros</t>
  </si>
  <si>
    <t>Desecho o desperdicios de alimentos</t>
  </si>
  <si>
    <t>Servicio de mantenimiento de equipo industrial</t>
  </si>
  <si>
    <t>Reguladores de aire</t>
  </si>
  <si>
    <t>Fuentes de lenguaje</t>
  </si>
  <si>
    <t>Detectores</t>
  </si>
  <si>
    <t>Contenedores para filtros</t>
  </si>
  <si>
    <t>Sistemas de compresas húmedas</t>
  </si>
  <si>
    <t>Rectificadores de soldadura</t>
  </si>
  <si>
    <t>51181706</t>
  </si>
  <si>
    <t>Ensayos de armas nucleares</t>
  </si>
  <si>
    <t>Detectores de calor</t>
  </si>
  <si>
    <t>Componentes de metal precioso hidroformados</t>
  </si>
  <si>
    <t>Flashes o iluminación para cámaras</t>
  </si>
  <si>
    <t>viveres par alimentarse en el INCART</t>
  </si>
  <si>
    <t>Servicios de evaluación de sistemas de salud</t>
  </si>
  <si>
    <t>Materiales para acabados</t>
  </si>
  <si>
    <t>Mesas de plancha</t>
  </si>
  <si>
    <t>41103011</t>
  </si>
  <si>
    <t>Temozolomida</t>
  </si>
  <si>
    <t>Comidas combinadas congeladas</t>
  </si>
  <si>
    <t>LEVIN,SONDAS Y TUBOS 4</t>
  </si>
  <si>
    <t>Mosto de st'john</t>
  </si>
  <si>
    <t>Equipo de retractilado industrial</t>
  </si>
  <si>
    <t>Cubiertas para zapatos para personal médico</t>
  </si>
  <si>
    <t>Abacos</t>
  </si>
  <si>
    <t>Productos de aspiradores respiratorios o accesorios</t>
  </si>
  <si>
    <t>Medidores de frecuencia eléctrica</t>
  </si>
  <si>
    <t>Elementos de sujeción de video para microscopios</t>
  </si>
  <si>
    <t>Fibras de lana</t>
  </si>
  <si>
    <t>Dispensadores de servilletas para servicio de comidas</t>
  </si>
  <si>
    <t>Trampas de agua para ventiladores</t>
  </si>
  <si>
    <t>LUGAR DE EJECUCIÓN / ENTREGA</t>
  </si>
  <si>
    <t>Prismas</t>
  </si>
  <si>
    <t>Accesorios de cable</t>
  </si>
  <si>
    <t>Resina de poliestireno</t>
  </si>
  <si>
    <t>El Peñón</t>
  </si>
  <si>
    <t>Oftalmodinamómetros</t>
  </si>
  <si>
    <t>Plomo en placa labrada</t>
  </si>
  <si>
    <t>Golfscopios</t>
  </si>
  <si>
    <t>Cubiertas para microscopios</t>
  </si>
  <si>
    <t>Equipo de reparar ejes</t>
  </si>
  <si>
    <t>Parrillas</t>
  </si>
  <si>
    <t>Benzocaína</t>
  </si>
  <si>
    <t>Vástagos de pistón de cilindro hidráulico</t>
  </si>
  <si>
    <t>Tarjetas periféricas controladoras</t>
  </si>
  <si>
    <t>Circuitos integrados de regulador de tensión</t>
  </si>
  <si>
    <t>Puertas, tapas o estantes de baterías</t>
  </si>
  <si>
    <t>Vehículo dolly</t>
  </si>
  <si>
    <t>Láseres para uso quirúrgico o accesorios</t>
  </si>
  <si>
    <t>Equipo para aplicar concreto lanzado o shotcrete</t>
  </si>
  <si>
    <t>Tapas de motor</t>
  </si>
  <si>
    <t>PARA USO INCART</t>
  </si>
  <si>
    <t>Punzones para papel u ojales</t>
  </si>
  <si>
    <t>Papel periódico de colores</t>
  </si>
  <si>
    <t>Etopósido</t>
  </si>
  <si>
    <t>Servicios de asesoría en derechos de agua</t>
  </si>
  <si>
    <t>Forjas de aleación no ferrosa maquinadas con troquel abierto</t>
  </si>
  <si>
    <t>Compuesto cloruro de polivinilo</t>
  </si>
  <si>
    <t>Loma de Cabrera</t>
  </si>
  <si>
    <t>Combinacion de dextrosa fructosa y ácido fosfórico</t>
  </si>
  <si>
    <t>Activadores electromagnéticos</t>
  </si>
  <si>
    <t>Ensambles de tubería soldada de solvente de acero de carbono</t>
  </si>
  <si>
    <t>Acabadoras de asfalto</t>
  </si>
  <si>
    <t>Servicios de formación profesional en derecho</t>
  </si>
  <si>
    <t>Evacuadores de uso quirúrgico</t>
  </si>
  <si>
    <t>Botellas de cultivo rotatorias</t>
  </si>
  <si>
    <t>Cerramientos del panel de control o distribución</t>
  </si>
  <si>
    <t>Prensadoras de cuero</t>
  </si>
  <si>
    <t>12352206</t>
  </si>
  <si>
    <t>Producción de cultivos de especias</t>
  </si>
  <si>
    <t>Kits o reactivos para electroforesis capilar</t>
  </si>
  <si>
    <t>Servicios de sistemas de información geográfica (sig)</t>
  </si>
  <si>
    <t>Brochas de afeitar</t>
  </si>
  <si>
    <t>Servicios de formación profesional ambiental</t>
  </si>
  <si>
    <t>Unidades de suministro de energía</t>
  </si>
  <si>
    <t>Sistemas de control medioambiental marítimo</t>
  </si>
  <si>
    <t>Cabezas de traperos</t>
  </si>
  <si>
    <t>Servicios de producción de vídeos</t>
  </si>
  <si>
    <t>Jeringas de material de impresión o accesorios para uso odontológico</t>
  </si>
  <si>
    <t>Ensambles de láminas pegadas de inconel</t>
  </si>
  <si>
    <t>Telas o cintas de velcro</t>
  </si>
  <si>
    <t>Servicios de pruebas de agua</t>
  </si>
  <si>
    <t>Instrumentos para probar vidrio</t>
  </si>
  <si>
    <t>Gallitos de bádminton</t>
  </si>
  <si>
    <t>Reactivos o kits o sustratos de detección cromogénica de proteínas</t>
  </si>
  <si>
    <t>Manguitos de mástil</t>
  </si>
  <si>
    <t>Trombones</t>
  </si>
  <si>
    <t>42202901</t>
  </si>
  <si>
    <t>Conductos de acero</t>
  </si>
  <si>
    <t>Escaleras de entrenamiento para rehabilitación o terapia</t>
  </si>
  <si>
    <t>Kioscos de libros</t>
  </si>
  <si>
    <t>Ensayos clínicos de medicamentos de uso humano</t>
  </si>
  <si>
    <t>Unidades de estimulación de bombeo</t>
  </si>
  <si>
    <t>Polistirex de hidrocodona</t>
  </si>
  <si>
    <t>Básculas de eslinga para pacientes</t>
  </si>
  <si>
    <t>Tablas de esquí acuático o tablas para arrodillarse o boogieboards</t>
  </si>
  <si>
    <t>Estante de literatura</t>
  </si>
  <si>
    <t>Fundición en arena de plomo</t>
  </si>
  <si>
    <t>Monitores de imágenes de resonancia magnética mri para uso médico</t>
  </si>
  <si>
    <t>Acetato de leuprolide</t>
  </si>
  <si>
    <t>73181009</t>
  </si>
  <si>
    <t>Vacuna contra el virus de la hepatitis a</t>
  </si>
  <si>
    <t>Ensamblajes magnéticos de recogida</t>
  </si>
  <si>
    <t>Dispensador de almohadillas de petri</t>
  </si>
  <si>
    <t>Oxtrifilina</t>
  </si>
  <si>
    <t>Estuches para sets de instrumental médico o sus accesorios</t>
  </si>
  <si>
    <t>Naltrexona</t>
  </si>
  <si>
    <t>Estacas de localización</t>
  </si>
  <si>
    <t>Breakers de circuito de caja moldeada</t>
  </si>
  <si>
    <t>Cuentas tipo “pony”</t>
  </si>
  <si>
    <t>Servicios de procesamiento de aves de corral</t>
  </si>
  <si>
    <t>Martillos o martillos quirúrgicos para uso quirúrgico</t>
  </si>
  <si>
    <t>Sistemas de cañón de cadena</t>
  </si>
  <si>
    <t>Servicios: Consultoría basada en la calidad de los servicios</t>
  </si>
  <si>
    <t>Flufenazina</t>
  </si>
  <si>
    <t>40101506</t>
  </si>
  <si>
    <t>Asociaciones ecofeministas</t>
  </si>
  <si>
    <t>Cinta de ductos</t>
  </si>
  <si>
    <t>Prímula</t>
  </si>
  <si>
    <t>Ensambles estructurales con soldadura de fuerte o débil de latón</t>
  </si>
  <si>
    <t>Sets de punctum de tapón para uso oftálmico</t>
  </si>
  <si>
    <t>Relojes de bolsillo</t>
  </si>
  <si>
    <t>Forros de catre para el cuidado del paciente</t>
  </si>
  <si>
    <t>Carpofen</t>
  </si>
  <si>
    <t>Monociclos</t>
  </si>
  <si>
    <t>Películas metalizadas</t>
  </si>
  <si>
    <t>Servicios gubernamentales de información</t>
  </si>
  <si>
    <t>Extrusoras</t>
  </si>
  <si>
    <t>Conectores o adaptadores o válvulas de circuitos</t>
  </si>
  <si>
    <t>Gemfibrozilo</t>
  </si>
  <si>
    <t>Analizadores de ácidos grasos</t>
  </si>
  <si>
    <t>Conjuntos de circuitos mixtos</t>
  </si>
  <si>
    <t>Estrategias de prevención de la guerra</t>
  </si>
  <si>
    <t>Engranajes de tornillo sin fin</t>
  </si>
  <si>
    <t>Limpiaparabrisas de avión</t>
  </si>
  <si>
    <t>Crisoles cerámicos</t>
  </si>
  <si>
    <t>Norfloxacina</t>
  </si>
  <si>
    <t>Vendajes o compresas para el cuidado de quemaduras</t>
  </si>
  <si>
    <t>Clorhidrato de topotecan</t>
  </si>
  <si>
    <t>Tuercas sujetadoras</t>
  </si>
  <si>
    <t>Hierro en barra labrada</t>
  </si>
  <si>
    <t>Corticotropina</t>
  </si>
  <si>
    <t>Carretera principal</t>
  </si>
  <si>
    <t>Semillas o plántulas de perejil</t>
  </si>
  <si>
    <t>Suministro de electricidad monofásica</t>
  </si>
  <si>
    <t>Clorhidrato de bencidamina</t>
  </si>
  <si>
    <t>Vendajes hidrocoloides</t>
  </si>
  <si>
    <t>Servicios de paisajismo</t>
  </si>
  <si>
    <t>Tela de correas</t>
  </si>
  <si>
    <t>Equipo de núcleos</t>
  </si>
  <si>
    <t>Rodillos para prados o terrenos deportivos</t>
  </si>
  <si>
    <t>Objetos fundidos maquinados por proceso v de plomo</t>
  </si>
  <si>
    <t>Láminas de silicona</t>
  </si>
  <si>
    <t>Equipo de producción de vacunas</t>
  </si>
  <si>
    <t>47131602</t>
  </si>
  <si>
    <t>Grabadores</t>
  </si>
  <si>
    <t>Ensambles de tubería con soldadura fuerte o débil de titanio</t>
  </si>
  <si>
    <t>Máquinas para hacer encaje</t>
  </si>
  <si>
    <t>Pasador de horquilla</t>
  </si>
  <si>
    <t>Publicidad en vallas</t>
  </si>
  <si>
    <t>Rejilla de plástico</t>
  </si>
  <si>
    <t>Herramientas de prueba de fondo de pozo</t>
  </si>
  <si>
    <t>Servicios de calentamiento de metales</t>
  </si>
  <si>
    <t>Kits o suministros de detección de sangre post mortem</t>
  </si>
  <si>
    <t>Servicios de estructura jerárquica (tree) de las pruebas de seguridad de pozos submarinos</t>
  </si>
  <si>
    <t>Clorhidrato de pentazocina</t>
  </si>
  <si>
    <t>Bandejas o paquetes o kits para procedimientos urológicos</t>
  </si>
  <si>
    <t>Petróleo crudo</t>
  </si>
  <si>
    <t>Almacenaje de cajeros automáticos</t>
  </si>
  <si>
    <t>Cinta de vinilo</t>
  </si>
  <si>
    <t>Kits de dilatación</t>
  </si>
  <si>
    <t>Dispositivos de circulación de producción</t>
  </si>
  <si>
    <t>Chapa de hierro</t>
  </si>
  <si>
    <t>Bombas de pistón</t>
  </si>
  <si>
    <t>CAJ</t>
  </si>
  <si>
    <t>Evacuadores de humo o accesorios para uso quirúrgico</t>
  </si>
  <si>
    <t>USO BANCO DE SANGRE</t>
  </si>
  <si>
    <t>Inventario forestal</t>
  </si>
  <si>
    <t>Servicios de registros laborales internacionales</t>
  </si>
  <si>
    <t>Unidades de hemodiálisis</t>
  </si>
  <si>
    <t>Separador de huevos para uso doméstico</t>
  </si>
  <si>
    <t>Partes de repuesto para bombas de circulación</t>
  </si>
  <si>
    <t>Kits de desinfectantes</t>
  </si>
  <si>
    <t>Piezas de aleación ferrosa fundidas a presión</t>
  </si>
  <si>
    <t>Componentes de titanio formados por estiramiento por presión</t>
  </si>
  <si>
    <t>Curio cm</t>
  </si>
  <si>
    <t>Instrumentos geofísicos de gravedad</t>
  </si>
  <si>
    <t>Servicios de fabricación de tapetes o alfombras</t>
  </si>
  <si>
    <t>Especialización de cultivos</t>
  </si>
  <si>
    <t>Software de control de vuelos</t>
  </si>
  <si>
    <t>Carcasas de equipos de red</t>
  </si>
  <si>
    <t>Escaleras</t>
  </si>
  <si>
    <t>Recubrimientos ópticos</t>
  </si>
  <si>
    <t>Acabados para automotores</t>
  </si>
  <si>
    <t>Bancos limpios</t>
  </si>
  <si>
    <t>Oro au</t>
  </si>
  <si>
    <t>32101617</t>
  </si>
  <si>
    <t>Estantes para portaobjetos de microscopios</t>
  </si>
  <si>
    <t>Fundición en arena de aleación no ferrosa</t>
  </si>
  <si>
    <t>Plantilla de deslizamiento</t>
  </si>
  <si>
    <t>Nitrofurazona</t>
  </si>
  <si>
    <t>Escuelas de música</t>
  </si>
  <si>
    <t>Kits de evacuación para servicios médicos de emergencia</t>
  </si>
  <si>
    <t>Productos o kits o accesorios para el tratamiento de la impotencia</t>
  </si>
  <si>
    <t>Servicios de teñido o impresión y acabado</t>
  </si>
  <si>
    <t>Servicios de pulida</t>
  </si>
  <si>
    <t>Asientos o sillas para la ducha o el baño para los discapacitados físicamente</t>
  </si>
  <si>
    <t>Modelos de astronomía</t>
  </si>
  <si>
    <t>Seguro de equipos electrónicos</t>
  </si>
  <si>
    <t>Gases compuestos clorados</t>
  </si>
  <si>
    <t>Vidrio moldeado</t>
  </si>
  <si>
    <t>Recicladores de solventes</t>
  </si>
  <si>
    <t>Tubos de gastrostomía para uso general</t>
  </si>
  <si>
    <t>Cunas de posicionamiento para bebés</t>
  </si>
  <si>
    <t>Hojas o folletos de instrucciones</t>
  </si>
  <si>
    <t>Explosivos plásticos</t>
  </si>
  <si>
    <t>Obturadores o puntas o accesorios para uso odontológico</t>
  </si>
  <si>
    <t>Clorobutanol</t>
  </si>
  <si>
    <t>Equipo electrónico para cancelar eco de voz</t>
  </si>
  <si>
    <t>Difusores ópticos</t>
  </si>
  <si>
    <t>Baldes de escurrido de esterilización</t>
  </si>
  <si>
    <t>Espátulas plásticas para uso comercial</t>
  </si>
  <si>
    <t>39121719</t>
  </si>
  <si>
    <t>Componentes de acero inoxidable formados enrollados</t>
  </si>
  <si>
    <t>Repuestos o accesorios de sistema secundario de ruptura de roca</t>
  </si>
  <si>
    <t>Ensayo de productos</t>
  </si>
  <si>
    <t>Conmutadores de control de carga de subestación</t>
  </si>
  <si>
    <t>Materiales de enseñanza  de publicidad o comercialización de marcas</t>
  </si>
  <si>
    <t>Hato Mayor del Rey</t>
  </si>
  <si>
    <t>Sets de calibradores para sistemas de combinación de desplegadores e impresoras de rayos x</t>
  </si>
  <si>
    <t>Monitoreo ambiental</t>
  </si>
  <si>
    <t>Martillos para diapasones para uso médico</t>
  </si>
  <si>
    <t>Set de muebles</t>
  </si>
  <si>
    <t>Mineral de cianita</t>
  </si>
  <si>
    <t>Escaleras de muelle</t>
  </si>
  <si>
    <t>Zapatas perfiladoras de zanjadora</t>
  </si>
  <si>
    <t>Bolas de ping pong</t>
  </si>
  <si>
    <t>Borradores</t>
  </si>
  <si>
    <t>Adhesivos de espuma</t>
  </si>
  <si>
    <t>Cartuchos explosivos</t>
  </si>
  <si>
    <t>Contenedores de recolección frepp sepp</t>
  </si>
  <si>
    <t>Cuerda de poliéster</t>
  </si>
  <si>
    <t>Baños de arena</t>
  </si>
  <si>
    <t>Papel periódico de alto brillo</t>
  </si>
  <si>
    <t>Kits de encuadernación</t>
  </si>
  <si>
    <t>Vacuna contra el cólera</t>
  </si>
  <si>
    <t>Puente para peatones</t>
  </si>
  <si>
    <t>Capacidades de bucle local</t>
  </si>
  <si>
    <t>Almacenamiento de datos</t>
  </si>
  <si>
    <t>Etiquetas no adhesivas</t>
  </si>
  <si>
    <t>Molibdeno mo</t>
  </si>
  <si>
    <t>Puertas de persiana para camiones</t>
  </si>
  <si>
    <t>Metopimazina</t>
  </si>
  <si>
    <t>San José de Matanzas</t>
  </si>
  <si>
    <t>Servicios de prevención o control de alergias</t>
  </si>
  <si>
    <t>Boca de Mao</t>
  </si>
  <si>
    <t>Venturis</t>
  </si>
  <si>
    <t>Servicios de minería  a cielo abierto</t>
  </si>
  <si>
    <t>Ensambles de placas remachadas de acero de aleación baja</t>
  </si>
  <si>
    <t>Servicios de tarraja con macho</t>
  </si>
  <si>
    <t>Herramientas o accesorios para optómetras</t>
  </si>
  <si>
    <t>Conmutadores con aislamiento de gas</t>
  </si>
  <si>
    <t>Ganchos para empaquetaduras</t>
  </si>
  <si>
    <t>UNIDAD DE HEMODIALISIS</t>
  </si>
  <si>
    <t>51152003</t>
  </si>
  <si>
    <t>10151801</t>
  </si>
  <si>
    <t>Fluoropolímeros ptfe</t>
  </si>
  <si>
    <t>Sevoflurano</t>
  </si>
  <si>
    <t>Azadas</t>
  </si>
  <si>
    <t>Equipo para gusanos de seda</t>
  </si>
  <si>
    <t>Conductos de aleación ferrosa</t>
  </si>
  <si>
    <t>Mesilato de dihidroergotamina</t>
  </si>
  <si>
    <t>Dragas</t>
  </si>
  <si>
    <t>Secadores atomizadores</t>
  </si>
  <si>
    <t>Análisis de riesgo o seguridad</t>
  </si>
  <si>
    <t>Maquinaria de inspección de alcantarillas</t>
  </si>
  <si>
    <t>Distractores o accesorios para uso quirúrgico</t>
  </si>
  <si>
    <t>51142227</t>
  </si>
  <si>
    <t>Materiales de enseñanza de comprensión del vegetarianismo</t>
  </si>
  <si>
    <t>Estudios de predicciones sindicados o privados</t>
  </si>
  <si>
    <t>Sistemas hidráulicos de avión</t>
  </si>
  <si>
    <t>Bombas de succión</t>
  </si>
  <si>
    <t>Servicios de diseño del control de gas o agua</t>
  </si>
  <si>
    <t>Mordazas para reparar tubería</t>
  </si>
  <si>
    <t>Tanques de buceo</t>
  </si>
  <si>
    <t>Imágenes infrarrojas</t>
  </si>
  <si>
    <t>Consola central para teléfonos</t>
  </si>
  <si>
    <t>Servicios de producción de los subproductos de la pesca</t>
  </si>
  <si>
    <t>Kits para remover etiquetas</t>
  </si>
  <si>
    <t>Defensa civil</t>
  </si>
  <si>
    <t>24111802</t>
  </si>
  <si>
    <t>52151709</t>
  </si>
  <si>
    <t>Pipetas o columnas o accesorios de destilación</t>
  </si>
  <si>
    <t>Tarjetas de aceleración de audio</t>
  </si>
  <si>
    <t>Aparatos para probar soldaduras</t>
  </si>
  <si>
    <t>Día</t>
  </si>
  <si>
    <t>Sondas de oxigeno disuelto</t>
  </si>
  <si>
    <t>Extrusiones por impacto de berilio</t>
  </si>
  <si>
    <t>UNIDAD CUIDADOS INTENSIVOS</t>
  </si>
  <si>
    <t>Lepirudina</t>
  </si>
  <si>
    <t>Dopplers vasculares de mano o accesorios</t>
  </si>
  <si>
    <t>Seguros de desempleo</t>
  </si>
  <si>
    <t>Ángulos de acero inoxidable</t>
  </si>
  <si>
    <t>Forjas de hierro maquinadas con impresión por troquel</t>
  </si>
  <si>
    <t>Lectores de tarjetas perforadas</t>
  </si>
  <si>
    <t>Accesorios para equipos enfriadores de laboratorio</t>
  </si>
  <si>
    <t>Semillas o plántulas de repollitos de bruselas</t>
  </si>
  <si>
    <t>Tortas oleaginosas</t>
  </si>
  <si>
    <t>Albuterol</t>
  </si>
  <si>
    <t>Kits o bandejas operativas reusables pre ensambladas para uso odontológico</t>
  </si>
  <si>
    <t>Estudios de factibilidad o selección de ideas de proyectos</t>
  </si>
  <si>
    <t>Servicios de modificación del perfil del pozo</t>
  </si>
  <si>
    <t>Servicios quiroprácticos</t>
  </si>
  <si>
    <t>Hidroxiurea</t>
  </si>
  <si>
    <t>MEDICAMENTOS GENERALES 2</t>
  </si>
  <si>
    <t>Selladores de rosca</t>
  </si>
  <si>
    <t>Fresadoras con mango</t>
  </si>
  <si>
    <t>Compuestos para modelado  no endurecibles a base de aceite</t>
  </si>
  <si>
    <t>Objetos maquinados de compuestos fundidos en molde en concha</t>
  </si>
  <si>
    <t>Clubes de aficionados a los juegos de cartas</t>
  </si>
  <si>
    <t>Servicio de inspección de edificios</t>
  </si>
  <si>
    <t>Guías para el plan de estudios</t>
  </si>
  <si>
    <t>Osmio os</t>
  </si>
  <si>
    <t>Componentes de zinc formados con explosivos</t>
  </si>
  <si>
    <t>Sets de demostración de ondas</t>
  </si>
  <si>
    <t>Fuentes de luz quirúrgica o accesorios para endoscopia</t>
  </si>
  <si>
    <t>Servicios de plataformas  petroleras autoelevables (jackup)</t>
  </si>
  <si>
    <t>50171902</t>
  </si>
  <si>
    <t>Instrumentos de microquímica</t>
  </si>
  <si>
    <t>Tubería de acero</t>
  </si>
  <si>
    <t>Bonos emitidos por el sector privado</t>
  </si>
  <si>
    <t>Columpios para patios de recreo</t>
  </si>
  <si>
    <t>Herramientas de pesca no especificada</t>
  </si>
  <si>
    <t>Servicios de tratamiento de superficies</t>
  </si>
  <si>
    <t>Sondas dentales</t>
  </si>
  <si>
    <t>51191509</t>
  </si>
  <si>
    <t>Aditivos de fragancia</t>
  </si>
  <si>
    <t>Análisis de regresión</t>
  </si>
  <si>
    <t>Rotámetros</t>
  </si>
  <si>
    <t>Chamota</t>
  </si>
  <si>
    <t>Trimipramina mesilato</t>
  </si>
  <si>
    <t>Derivatógrafos de análisis térmico</t>
  </si>
  <si>
    <t>Mepivacaína</t>
  </si>
  <si>
    <t>Medios de carga y descarga para aviones</t>
  </si>
  <si>
    <t>Itraconazol</t>
  </si>
  <si>
    <t>Maquinaria para recuperación de gas</t>
  </si>
  <si>
    <t>Servicios de filtrar de campo petrolero</t>
  </si>
  <si>
    <t>Lavadoras de platos para uso comercial</t>
  </si>
  <si>
    <t>Motores de corriente alterna (CA)</t>
  </si>
  <si>
    <t>Grano de cereal</t>
  </si>
  <si>
    <t>Equipos o moldes para decorar ponqués</t>
  </si>
  <si>
    <t>Servicios de matadero</t>
  </si>
  <si>
    <t>Mazos o bloques de sonido</t>
  </si>
  <si>
    <t>Cabezales de cemento en superficie</t>
  </si>
  <si>
    <t>Capecitabina</t>
  </si>
  <si>
    <t>Kits de primeros auxilios para servicios médicos de emergencia</t>
  </si>
  <si>
    <t>Blancos de material óptico infrarrojo</t>
  </si>
  <si>
    <t>Tableros perforados para matemáticas básicas</t>
  </si>
  <si>
    <t>Analizadores de combustión catalítica</t>
  </si>
  <si>
    <t>Módulos de servicio para naves espaciales</t>
  </si>
  <si>
    <t>Probadores de impacto</t>
  </si>
  <si>
    <t>Papeles de rayos x diagnósticos para uso médico</t>
  </si>
  <si>
    <t>Captopril</t>
  </si>
  <si>
    <t>51182403</t>
  </si>
  <si>
    <t>Herramientas manuales de supresión de incendios</t>
  </si>
  <si>
    <t>Puntas pulidoras o de terminado para uso odontológico</t>
  </si>
  <si>
    <t>Calafateo</t>
  </si>
  <si>
    <t>14111703</t>
  </si>
  <si>
    <t>Componentes de plomo estampados</t>
  </si>
  <si>
    <t>Protectores de bolsillos</t>
  </si>
  <si>
    <t>Almohadillas para remover manchas de los instrumentos</t>
  </si>
  <si>
    <t>Lápices de cauterización operados mediante pilas de uso quirúrgico</t>
  </si>
  <si>
    <t>Auditorias internas</t>
  </si>
  <si>
    <t>Detectores de nivel de dialisato para hemodiálisis</t>
  </si>
  <si>
    <t>Planchas de escurrimiento</t>
  </si>
  <si>
    <t>Semillas o plántulas de alfalfa</t>
  </si>
  <si>
    <t>Gluconato ferroso</t>
  </si>
  <si>
    <t>Pirita</t>
  </si>
  <si>
    <t>Ensambles de tubería con soldadura fuerte o débil de acero al carbono</t>
  </si>
  <si>
    <t>Agujas para procedimientos de radiología</t>
  </si>
  <si>
    <t>Bombillos o lámparas de escopios para exámenes médicos</t>
  </si>
  <si>
    <t>Palos de espinaquer</t>
  </si>
  <si>
    <t>Equipo de bolos</t>
  </si>
  <si>
    <t>Asociaciones empresariales sectoriales</t>
  </si>
  <si>
    <t>Raspadores de comida para uso doméstico</t>
  </si>
  <si>
    <t>Retractores de dedos</t>
  </si>
  <si>
    <t>Sobres de catálogos o de gancho</t>
  </si>
  <si>
    <t>Películas de poliamida</t>
  </si>
  <si>
    <t>Papel de fotografía</t>
  </si>
  <si>
    <t>Resina fenólica</t>
  </si>
  <si>
    <t>Flowheads</t>
  </si>
  <si>
    <t>Maquinas abre huecos</t>
  </si>
  <si>
    <t>Carnavales ambulantes</t>
  </si>
  <si>
    <t>Libros de recursos o actividades de los continentes</t>
  </si>
  <si>
    <t>Taladro sobre orugas</t>
  </si>
  <si>
    <t>Tarjetas de captura de video</t>
  </si>
  <si>
    <t>Anillos de  joyería fina</t>
  </si>
  <si>
    <t>Clorhidrato de alfentanil</t>
  </si>
  <si>
    <t>Oficina de correos</t>
  </si>
  <si>
    <t>Tapizado del techo</t>
  </si>
  <si>
    <t>Oleato polipéptido de trietanolamina</t>
  </si>
  <si>
    <t>42203705</t>
  </si>
  <si>
    <t>Receptáculo multiplicador eléctrico</t>
  </si>
  <si>
    <t>Componentes de zinc formados en torno</t>
  </si>
  <si>
    <t>Polipéptido de hierro heme</t>
  </si>
  <si>
    <t>Transporte de ganado por ferrocarril</t>
  </si>
  <si>
    <t>Tiras no adhesivas para uso médico</t>
  </si>
  <si>
    <t>42311505</t>
  </si>
  <si>
    <t>Papeles filtrantes para laboratorio</t>
  </si>
  <si>
    <t>Dispensadores de cinta</t>
  </si>
  <si>
    <t>Kits o bandejas o paquetes o sets para sutura</t>
  </si>
  <si>
    <t>Cornos ingleses</t>
  </si>
  <si>
    <t>Chimeneas de derivación</t>
  </si>
  <si>
    <t>Cartas de navegación o mapas o atlas electrónicos</t>
  </si>
  <si>
    <t>Equipo de partición de geles</t>
  </si>
  <si>
    <t>Equipo para recolectar especímenes de entomología</t>
  </si>
  <si>
    <t>Manipuladores para recipientes</t>
  </si>
  <si>
    <t>Retractores de tejidos</t>
  </si>
  <si>
    <t>51101591</t>
  </si>
  <si>
    <t>Tamayo</t>
  </si>
  <si>
    <t>Ensambles de láminas soldadas con soldadura ultra violeta de acero al carbono</t>
  </si>
  <si>
    <t>Machos de roscado</t>
  </si>
  <si>
    <t>Sistemas de visión basados en cámaras para recolección automática de información</t>
  </si>
  <si>
    <t>Calentadores de inducción</t>
  </si>
  <si>
    <t>Arados de subsuelo</t>
  </si>
  <si>
    <t>Arcilla común</t>
  </si>
  <si>
    <t>44102304</t>
  </si>
  <si>
    <t>Ollas a presión para uso doméstico</t>
  </si>
  <si>
    <t>Libros de actividades de fonética</t>
  </si>
  <si>
    <t>Retractores para micro cirugía</t>
  </si>
  <si>
    <t>Objetos maquinados de aleación de níquel fundidos en arena</t>
  </si>
  <si>
    <t>Marcos para el inodoro para los discapacitados físicamente</t>
  </si>
  <si>
    <t>Zonas de exclusión aérea</t>
  </si>
  <si>
    <t>Proveedor de servicio de correo electrónico</t>
  </si>
  <si>
    <t>Placa de cobre</t>
  </si>
  <si>
    <t>Ensambles de tubería soldada con ultra violeta de latón</t>
  </si>
  <si>
    <t>Cantimploras de laboratorio dental</t>
  </si>
  <si>
    <t>Fentanilo</t>
  </si>
  <si>
    <t>Bandas para el sudor</t>
  </si>
  <si>
    <t>Servicios relativos a silos</t>
  </si>
  <si>
    <t>Equipo de futbol de bandera</t>
  </si>
  <si>
    <t>Recibos o libros de recibos</t>
  </si>
  <si>
    <t>Conductos de zinc</t>
  </si>
  <si>
    <t>Arneses para cámaras</t>
  </si>
  <si>
    <t>Cinta guía</t>
  </si>
  <si>
    <t>Almejas vivas</t>
  </si>
  <si>
    <t>Sabana de la Mar</t>
  </si>
  <si>
    <t>Tarjetas didácticas electrónicas</t>
  </si>
  <si>
    <t>Pasa bocas mezcla instantáneas</t>
  </si>
  <si>
    <t>Terracota</t>
  </si>
  <si>
    <t>Servicios de siembra de árboles de huerta o viñedos</t>
  </si>
  <si>
    <t>Removedores para uso quirúrgico</t>
  </si>
  <si>
    <t>Cornisas</t>
  </si>
  <si>
    <t>Componentes o accesorios para sistemas de planillas médicas</t>
  </si>
  <si>
    <t>Indometacina</t>
  </si>
  <si>
    <t>Servicios de puerto para la flota pesquera</t>
  </si>
  <si>
    <t>Lámina de titanio</t>
  </si>
  <si>
    <t>Alicates de guardalínea</t>
  </si>
  <si>
    <t>Mamá Tingó</t>
  </si>
  <si>
    <t>compra de viveres para alimentarse en el 2019</t>
  </si>
  <si>
    <t>53102505</t>
  </si>
  <si>
    <t>Núcleo de panal de madera</t>
  </si>
  <si>
    <t>Lavadoras de platos para uso doméstico</t>
  </si>
  <si>
    <t>Servicios de fracturación del pozo con fluido a base de ácido</t>
  </si>
  <si>
    <t>Válvulas purgadoras de sedimentos (barro o lodo)</t>
  </si>
  <si>
    <t>Servicios de promotores o directores técnicos de clubes deportivos</t>
  </si>
  <si>
    <t>Fundas para equipos de uso quirúrgico</t>
  </si>
  <si>
    <t>Estuches de instrumentos para endoscopia</t>
  </si>
  <si>
    <t>Gamuza</t>
  </si>
  <si>
    <t>Tarjetas de voz</t>
  </si>
  <si>
    <t>Textil sintético de tejido jacquard</t>
  </si>
  <si>
    <t>Kits de actividades o juegos para tableros geométricos</t>
  </si>
  <si>
    <t>Servicios de análisis de alimentos</t>
  </si>
  <si>
    <t>Leucovorina cálcica</t>
  </si>
  <si>
    <t>12161503</t>
  </si>
  <si>
    <t>Cubiertos para uso comercial</t>
  </si>
  <si>
    <t>Alambre soldador</t>
  </si>
  <si>
    <t>Retractores de columna o nervios</t>
  </si>
  <si>
    <t>Conectores herméticos</t>
  </si>
  <si>
    <t>42161504</t>
  </si>
  <si>
    <t>Ensambles de barras soldadas con soldadura sónica no metálica</t>
  </si>
  <si>
    <t>Cubiertas desechables para bandejas de uso odontológico</t>
  </si>
  <si>
    <t>Clips para cables</t>
  </si>
  <si>
    <t>Servicios de control de arena en el fluido de limpieza</t>
  </si>
  <si>
    <t>Mercenarios</t>
  </si>
  <si>
    <t>Capuchas de seguridad</t>
  </si>
  <si>
    <t>Certificados de regalo</t>
  </si>
  <si>
    <t>Papel corrugado para manualidades</t>
  </si>
  <si>
    <t>Hato Mayor</t>
  </si>
  <si>
    <t>Aditivos soldantes</t>
  </si>
  <si>
    <t>Servicios de acceso de discado</t>
  </si>
  <si>
    <t>Compuestos de incrustación</t>
  </si>
  <si>
    <t>Hidroaviones militares</t>
  </si>
  <si>
    <t>Fotocontroles</t>
  </si>
  <si>
    <t>Estabilizadores de andamiaje</t>
  </si>
  <si>
    <t>Kits para educación o entrenamiento médico</t>
  </si>
  <si>
    <t>Clorhidrato de levobunolol</t>
  </si>
  <si>
    <t>Monedas o acuñación</t>
  </si>
  <si>
    <t>Ángulos de aluminio</t>
  </si>
  <si>
    <t>Servicios de análisis de elecciones</t>
  </si>
  <si>
    <t>Caleidoscopios</t>
  </si>
  <si>
    <t>Clorhidrato de fenfluramina</t>
  </si>
  <si>
    <t>Tubo de vidrio</t>
  </si>
  <si>
    <t>Pulpo vivo</t>
  </si>
  <si>
    <t>Extensores de cemento</t>
  </si>
  <si>
    <t>Ensambles de tubería con soldadura fuerte o débil de latón</t>
  </si>
  <si>
    <t>Marcadores de tela</t>
  </si>
  <si>
    <t>Intercaladores</t>
  </si>
  <si>
    <t>Ventilador</t>
  </si>
  <si>
    <t>Pozo petrolero cemento estándar fino tipo iii</t>
  </si>
  <si>
    <t>Canastas metálicas</t>
  </si>
  <si>
    <t>Balanzas colgantes para autopsias</t>
  </si>
  <si>
    <t>OPERACIONES / PROYECTOS 3</t>
  </si>
  <si>
    <t>Ladrillos de silimanita</t>
  </si>
  <si>
    <t>Butirato de hidrocortisona</t>
  </si>
  <si>
    <t>Aleación de níquel en barra labrada</t>
  </si>
  <si>
    <t>Hernando Alonso</t>
  </si>
  <si>
    <t>Máquinas para curtir cuero</t>
  </si>
  <si>
    <t>Vestidos folclóricos para niña</t>
  </si>
  <si>
    <t>Discos abrasivos</t>
  </si>
  <si>
    <t>Adaptadores de placas de sujeción para tallado o máquinas pulidoras para uso odontológico</t>
  </si>
  <si>
    <t>Cefotetan</t>
  </si>
  <si>
    <t>Y o horquillas de tubería</t>
  </si>
  <si>
    <t>Objetos de aleación ferrosa fundidos por moldeo en cáscara</t>
  </si>
  <si>
    <t>Cestas de ropa</t>
  </si>
  <si>
    <t>Mesilato de eprosartán</t>
  </si>
  <si>
    <t>Cloruro de betanecol</t>
  </si>
  <si>
    <t>55121503</t>
  </si>
  <si>
    <t>Forjaduras en estampa abierta de aleación ferrosa</t>
  </si>
  <si>
    <t>Ensambles de barras soldadas con solvente de acero inoxidable</t>
  </si>
  <si>
    <t>Hombreras o charreteras</t>
  </si>
  <si>
    <t>Equipos de intercambio de base</t>
  </si>
  <si>
    <t>Objetos maquinados de bronce fundidos en molde cerámico</t>
  </si>
  <si>
    <t>39121402</t>
  </si>
  <si>
    <t>Videos de entrenamiento para la educación del personal médico</t>
  </si>
  <si>
    <t>Cubiertos desechables para uso doméstico</t>
  </si>
  <si>
    <t>Materiales didácticos de mecánica de fluidos o máquinas</t>
  </si>
  <si>
    <t>Servicios de legislación de seguridad social</t>
  </si>
  <si>
    <t>51101715</t>
  </si>
  <si>
    <t>Ejercitadoras de pulmón para rehabilitación o terapia</t>
  </si>
  <si>
    <t>Vibradores de concreto</t>
  </si>
  <si>
    <t>Fosfato de disopiramida</t>
  </si>
  <si>
    <t>Dispositivos o accesorios para estabilización o prevención de caídas de pacientes</t>
  </si>
  <si>
    <t>11101713</t>
  </si>
  <si>
    <t>Material de fibra</t>
  </si>
  <si>
    <t>Bridas roscadas</t>
  </si>
  <si>
    <t>Hornos de sistemas de pintura</t>
  </si>
  <si>
    <t>Micro centrífugas refrigeradas</t>
  </si>
  <si>
    <t>Papel para impresora o fotocopiadora</t>
  </si>
  <si>
    <t>Equipo de examen ultrasónico</t>
  </si>
  <si>
    <t>Varillaje de los componentes del motor</t>
  </si>
  <si>
    <t>Estimulante bisacodilo</t>
  </si>
  <si>
    <t>Sistemas de correo de voz</t>
  </si>
  <si>
    <t>Bandejas para cadáveres</t>
  </si>
  <si>
    <t>Coladeras para uso comercial</t>
  </si>
  <si>
    <t>MEDICAMENTOS CITOSTATICOS</t>
  </si>
  <si>
    <t>Ganchos de incisión post mortem</t>
  </si>
  <si>
    <t>Tazones de ponche para servicio de comidas</t>
  </si>
  <si>
    <t>Vectores de casete</t>
  </si>
  <si>
    <t>Redes de capacitores</t>
  </si>
  <si>
    <t>Arcilla húmeda cocida en horno</t>
  </si>
  <si>
    <t>Buques de comando</t>
  </si>
  <si>
    <t>Protectores de dedos para uso odontológico</t>
  </si>
  <si>
    <t>Salicilato de metilo</t>
  </si>
  <si>
    <t>Alternadores</t>
  </si>
  <si>
    <t>Fruta fresca</t>
  </si>
  <si>
    <t>Accesorios o suministros para analizadores de microbiología</t>
  </si>
  <si>
    <t>Fieltros de recubrimiento ortopédico para el codo</t>
  </si>
  <si>
    <t>Adhesivos de recompensa con forma de estrella</t>
  </si>
  <si>
    <t>Máquinas cortadoras de cuero</t>
  </si>
  <si>
    <t>Amplificadores</t>
  </si>
  <si>
    <t>Transistores fotosensibles</t>
  </si>
  <si>
    <t xml:space="preserve">Unidad de Compra </t>
  </si>
  <si>
    <t>Maquinaria de isomerización</t>
  </si>
  <si>
    <t>Pintura líquida para cuerpo o cara</t>
  </si>
  <si>
    <t>Modelos del cuerpo de plantas, partes u órganos</t>
  </si>
  <si>
    <t>Monitoreo de la calidad de la energía</t>
  </si>
  <si>
    <t>Núcleo de panal de metal no ferroso</t>
  </si>
  <si>
    <t>Ensambles de láminas atornilladas de acero de aleación baja</t>
  </si>
  <si>
    <t>Ácido tiaprofénico</t>
  </si>
  <si>
    <t>CANULAS Y CATETER 3</t>
  </si>
  <si>
    <t>Guías de tubería</t>
  </si>
  <si>
    <t>Promegestona</t>
  </si>
  <si>
    <t>Batista</t>
  </si>
  <si>
    <t>Pintura gel removible de alta viscosidad para vidrio o cerámica</t>
  </si>
  <si>
    <t>Puertas de avión</t>
  </si>
  <si>
    <t>Hojas de sierra</t>
  </si>
  <si>
    <t>Tinzaparina sódica</t>
  </si>
  <si>
    <t>Películas de polipropileno</t>
  </si>
  <si>
    <t>Cajas de paso de seguridad de rayos x para uso médico</t>
  </si>
  <si>
    <t>Software de servicios de internet para móviles</t>
  </si>
  <si>
    <t>Servicios de asesoramiento sobre liquidaciones o ventas de empresas</t>
  </si>
  <si>
    <t>Tarjetas sencillas de circuitos impresos</t>
  </si>
  <si>
    <t>Pescadería</t>
  </si>
  <si>
    <t>Tuercas de férula</t>
  </si>
  <si>
    <t>Sulfato de bleomicina</t>
  </si>
  <si>
    <t>El Carretón</t>
  </si>
  <si>
    <t>Software de preparación tributaria</t>
  </si>
  <si>
    <t>Patines de carrocería</t>
  </si>
  <si>
    <t>Tejas de asfalto</t>
  </si>
  <si>
    <t>Sujetadores de agujas quirúrgicas para uso general</t>
  </si>
  <si>
    <t>Componentes compuestos maquinados por extrusión de impacto</t>
  </si>
  <si>
    <t>Componentes de aleación no ferrosa maquinados por extrusión en frío</t>
  </si>
  <si>
    <t>Componentes de magnesio formados con explosivos</t>
  </si>
  <si>
    <t>Brilladoras de pisos</t>
  </si>
  <si>
    <t>Tarjetas u hojas de tiempo</t>
  </si>
  <si>
    <t>Caja de ingletes</t>
  </si>
  <si>
    <t>Puerta de acceso de redes</t>
  </si>
  <si>
    <t>Movimientos de homosexuales, lesbianas, bisexuales o transexuales</t>
  </si>
  <si>
    <t>Análisis de tránsito</t>
  </si>
  <si>
    <t>Equipo central de televisión</t>
  </si>
  <si>
    <t>Pulpa o materias primas para papel hecho a mano</t>
  </si>
  <si>
    <t>40142102</t>
  </si>
  <si>
    <t>Cisapride</t>
  </si>
  <si>
    <t>Perfiles laminados para suelos</t>
  </si>
  <si>
    <t>Mezcladoras de material de pavimentación</t>
  </si>
  <si>
    <t>Máquinas desyerbadoras</t>
  </si>
  <si>
    <t>Acetato de caspofungina</t>
  </si>
  <si>
    <t>Sujetadores para dispositivos de cocina para los discapacitados físicamente</t>
  </si>
  <si>
    <t>Servicios laborales internacionales</t>
  </si>
  <si>
    <t>Memoria dram síncrona (sdram)</t>
  </si>
  <si>
    <t>Formaciones solares de la nave espacial</t>
  </si>
  <si>
    <t>Compresor de ensamblaje</t>
  </si>
  <si>
    <t>Lavador húmedo</t>
  </si>
  <si>
    <t>Componentes de acero inoxidable hidroformados</t>
  </si>
  <si>
    <t>Refugio militar</t>
  </si>
  <si>
    <t>Servicios de mantenimiento de cementerios</t>
  </si>
  <si>
    <t>Limpiadores derivados del petróleo</t>
  </si>
  <si>
    <t>Venta de tierras residenciales</t>
  </si>
  <si>
    <t>Escariadores dentales</t>
  </si>
  <si>
    <t>Servicios de producción o reciclaje de papel</t>
  </si>
  <si>
    <t>Contenedor de paredes rectas</t>
  </si>
  <si>
    <t>Clubes de aficionados a la poesía o la literatura</t>
  </si>
  <si>
    <t>Instrumentos de secado o accesorios para uso odontológico</t>
  </si>
  <si>
    <t>Paneles de instrumentos para equipos hospitalarios</t>
  </si>
  <si>
    <t>Breakers de circuito magnético</t>
  </si>
  <si>
    <t>Goteros dosificadores</t>
  </si>
  <si>
    <t>Cadenas de rodillos</t>
  </si>
  <si>
    <t>Soluciones para limpiar joyas</t>
  </si>
  <si>
    <t>Servicios legales sobre daños a personas</t>
  </si>
  <si>
    <t>Balastos de lámparas</t>
  </si>
  <si>
    <t>Bombas centrífugas para laboratorio</t>
  </si>
  <si>
    <t>Cartografía de la contaminación del suelo</t>
  </si>
  <si>
    <t>Sistemas de control de medios</t>
  </si>
  <si>
    <t>Equipo para manejo de carga</t>
  </si>
  <si>
    <t>Sets de auscultación uretral</t>
  </si>
  <si>
    <t>Pistones de cilindro</t>
  </si>
  <si>
    <t>Libros de recursos o actividades de probabilidades</t>
  </si>
  <si>
    <t>Tiras para análisis de orina</t>
  </si>
  <si>
    <t>Cipionato de estradiol</t>
  </si>
  <si>
    <t>Tolcapone</t>
  </si>
  <si>
    <t>Queratoscopios</t>
  </si>
  <si>
    <t>Vacuna contra la rabia</t>
  </si>
  <si>
    <t>Niveladoras</t>
  </si>
  <si>
    <t>Servicios de perforación direccional de pozos de radio corto</t>
  </si>
  <si>
    <t>Juan Adrián</t>
  </si>
  <si>
    <t>Micrótomos</t>
  </si>
  <si>
    <t>Pedología</t>
  </si>
  <si>
    <t>Bombas simplex</t>
  </si>
  <si>
    <t>Piezas de hierro forjadas a martinete</t>
  </si>
  <si>
    <t>MEDICAMENTOS GENERALES 1</t>
  </si>
  <si>
    <t>Cal magra</t>
  </si>
  <si>
    <t>Contrapuertas</t>
  </si>
  <si>
    <t>Circuitos integrados de comparador de tensión</t>
  </si>
  <si>
    <t>Equipos de búsqueda y salvamento</t>
  </si>
  <si>
    <t>51111716</t>
  </si>
  <si>
    <t>Llaves para tuercas</t>
  </si>
  <si>
    <t>Kits de afeitado o cuchillas de preparación o corta uñas para uso quirúrgico</t>
  </si>
  <si>
    <t>Distribución de energía eléctrica municipal</t>
  </si>
  <si>
    <t>Sistemas telefónicos receptores o transmisores para electrocardiografía ekg</t>
  </si>
  <si>
    <t>Pintura acrílica para aerógrafo</t>
  </si>
  <si>
    <t>Polonio po</t>
  </si>
  <si>
    <t>Objetos de acero inoxidable fundidos en molde cerámico</t>
  </si>
  <si>
    <t>Extrusiones en frío de estaño</t>
  </si>
  <si>
    <t>Residencia de ancianos</t>
  </si>
  <si>
    <t>Carburo de tungsteno</t>
  </si>
  <si>
    <t>Vaporizadores</t>
  </si>
  <si>
    <t>Embarcaciones de desembarque aerodeslizadas</t>
  </si>
  <si>
    <t>Pesca con sedal y anzuelo</t>
  </si>
  <si>
    <t>Lingotes de cobre</t>
  </si>
  <si>
    <t>Maquinaria de molido</t>
  </si>
  <si>
    <t>Vectores de fusión</t>
  </si>
  <si>
    <t>Bromhidrato hidroxianfetamina</t>
  </si>
  <si>
    <t xml:space="preserve">compra de lacteos para el INCART </t>
  </si>
  <si>
    <t>Pernos de cabeza hexagonal</t>
  </si>
  <si>
    <t>Mordaza de soporte</t>
  </si>
  <si>
    <t>Servicios de herramientas de punto libre</t>
  </si>
  <si>
    <t>Puertas rodantes</t>
  </si>
  <si>
    <t>Artefactos de alumbrado halógeno</t>
  </si>
  <si>
    <t>Aparatos para metabolismo basal</t>
  </si>
  <si>
    <t>Señales con mensajes móviles</t>
  </si>
  <si>
    <t>Fulvestrant</t>
  </si>
  <si>
    <t>Unidad de control</t>
  </si>
  <si>
    <t>Película de fotografía instantánea</t>
  </si>
  <si>
    <t>Alargadores fotográficos</t>
  </si>
  <si>
    <t>Papel multipropósito</t>
  </si>
  <si>
    <t>Servicios de fabricación de aeronaves o naves espaciales</t>
  </si>
  <si>
    <t>Tazas o tazones (mugs) para los discapacitados físicamente</t>
  </si>
  <si>
    <t>Envoltorios o recubrimientos de metal</t>
  </si>
  <si>
    <t>Tecnecio te</t>
  </si>
  <si>
    <t>Acordeones</t>
  </si>
  <si>
    <t>24141506</t>
  </si>
  <si>
    <t>Juan López</t>
  </si>
  <si>
    <t>Arcilla cerámica terapéutica o accesorios</t>
  </si>
  <si>
    <t>Acetato de octreotida</t>
  </si>
  <si>
    <t>Woks para uso doméstico</t>
  </si>
  <si>
    <t>Suministros de tracción de piernas</t>
  </si>
  <si>
    <t>Grabadora de relieve para cinta</t>
  </si>
  <si>
    <t>Tablero de montaje de núcleo de espuma</t>
  </si>
  <si>
    <t>Buzones</t>
  </si>
  <si>
    <t>Equipos de ósmosis inversa</t>
  </si>
  <si>
    <t>Plumas</t>
  </si>
  <si>
    <t>Sistemas o accesorios para la entrega de drogas</t>
  </si>
  <si>
    <t>Incubadoras de cámara única de dióxido de carbono de pared seca con control de humedad</t>
  </si>
  <si>
    <t>Forjas de titanio maquinadas con troquel abierto</t>
  </si>
  <si>
    <t>Servicios de voladura de minas</t>
  </si>
  <si>
    <t>Enciclopedias electrónicas</t>
  </si>
  <si>
    <t>Dinamómetros</t>
  </si>
  <si>
    <t>Demeclociclina</t>
  </si>
  <si>
    <t>Forjaduras en estampa abierta de aluminio</t>
  </si>
  <si>
    <t>Aceleradores de cemento</t>
  </si>
  <si>
    <t>Exposiciones de arte</t>
  </si>
  <si>
    <t>M3</t>
  </si>
  <si>
    <t>Estante para separador de empresa cautiva de circuito de subscriptor digital dsl</t>
  </si>
  <si>
    <t>Emulsiones</t>
  </si>
  <si>
    <t>Ultrasonido o unidades de eco mamográficas</t>
  </si>
  <si>
    <t>Sulfato de metaproterenol</t>
  </si>
  <si>
    <t>Rodamiento partido</t>
  </si>
  <si>
    <t>Objetivos para tiro con arco</t>
  </si>
  <si>
    <t>Estaciones meteorológicas</t>
  </si>
  <si>
    <t>Hidrotratador de destilado</t>
  </si>
  <si>
    <t>Ensambles de tubos atornillados de inconel</t>
  </si>
  <si>
    <t>Orinales de uso general para pacientes</t>
  </si>
  <si>
    <t>Bobinadoras de cable</t>
  </si>
  <si>
    <t>Cubiertas para productos para terapia de calor o frío</t>
  </si>
  <si>
    <t>Tiras o papeles para pruebas químicas</t>
  </si>
  <si>
    <t>Aleación ferrosa en placa labrada</t>
  </si>
  <si>
    <t>PARA USO PACIENTES INCART.</t>
  </si>
  <si>
    <t>Insertos de tubo de aparatos de rayos x para uso médico</t>
  </si>
  <si>
    <t>Trimetoprima</t>
  </si>
  <si>
    <t>Poleas de elevación de tijeras para cadáveres</t>
  </si>
  <si>
    <t>Cuchillos o cuchillas o tijeras o accesorios para cirugía oftálmica</t>
  </si>
  <si>
    <t>Magnetómetros</t>
  </si>
  <si>
    <t>Embargos</t>
  </si>
  <si>
    <t>Materiales pedagógicos  para hacer exámenes</t>
  </si>
  <si>
    <t>Servicios de planificación para el revestimiento de tuberías del pozo</t>
  </si>
  <si>
    <t>Sello hoyo u hoyo pulido</t>
  </si>
  <si>
    <t>Dispositivos o accesorios para limpiar dientes</t>
  </si>
  <si>
    <t>Hebra de spandex</t>
  </si>
  <si>
    <t>Mella</t>
  </si>
  <si>
    <t>Clorhidrato de levocabastina</t>
  </si>
  <si>
    <t>Goma de mascar</t>
  </si>
  <si>
    <t>Mata Palacio</t>
  </si>
  <si>
    <t>Instrumentos quirúrgicos maxilofaciales o accesorios</t>
  </si>
  <si>
    <t>Aparatos de gas de anestesia</t>
  </si>
  <si>
    <t>Medias veladas</t>
  </si>
  <si>
    <t>Servicios de escolarización secundaria para personas discapacitadas</t>
  </si>
  <si>
    <t>Extrusiones por impacto de estaño</t>
  </si>
  <si>
    <t>Aislamiento de fibra</t>
  </si>
  <si>
    <t>31162405</t>
  </si>
  <si>
    <t>Agentes de dispersión</t>
  </si>
  <si>
    <t>Estrógenos esterificados</t>
  </si>
  <si>
    <t>Accesorios para hornos de laboratorio</t>
  </si>
  <si>
    <t>Unidades de ultrasonido vascular</t>
  </si>
  <si>
    <t>Elaboración o reproducción de películas de cine</t>
  </si>
  <si>
    <t>Dispositivos para la medición de alturas</t>
  </si>
  <si>
    <t>Latas de pizza para uso comercial</t>
  </si>
  <si>
    <t>Tarjetas de módulos de memoria</t>
  </si>
  <si>
    <t>Vástagos del estárter</t>
  </si>
  <si>
    <t>Servicios de misioneros evangélicos</t>
  </si>
  <si>
    <t>Servicios de cooperación militar</t>
  </si>
  <si>
    <t>Máquinas de escribir</t>
  </si>
  <si>
    <t>Elementos de restricción de extremidades</t>
  </si>
  <si>
    <t>Sulfato de tranilcipromina</t>
  </si>
  <si>
    <t>Lomos o cierres de encuadernación</t>
  </si>
  <si>
    <t>Impresoras de múltiples funciones</t>
  </si>
  <si>
    <t>30161504</t>
  </si>
  <si>
    <t>Plutonio empobrecido</t>
  </si>
  <si>
    <t xml:space="preserve">Lavanderia 4 </t>
  </si>
  <si>
    <t>Deserpidina</t>
  </si>
  <si>
    <t>La Ciénaga</t>
  </si>
  <si>
    <t>Aeronave de alas giratorias basculantes</t>
  </si>
  <si>
    <t>Recipiente absorbente</t>
  </si>
  <si>
    <t>Cámaras aéreas</t>
  </si>
  <si>
    <t>Accesorios de almacenamiento para máquinas de almacenamiento</t>
  </si>
  <si>
    <t>Servicios de cementar envoltura intermediaria</t>
  </si>
  <si>
    <t>Forjas de aleación no ferrosa maquinadas con troquel cerrado</t>
  </si>
  <si>
    <t>Batería de oxido de mercurio</t>
  </si>
  <si>
    <t>Elevador de boom articulado</t>
  </si>
  <si>
    <t>Servicios de control de calidad del tratamiento de la fracturación del pozo</t>
  </si>
  <si>
    <t>Limpiadores de baños</t>
  </si>
  <si>
    <t>Cubierta de la bobina</t>
  </si>
  <si>
    <t>Bridas ciegas de lentes</t>
  </si>
  <si>
    <t>51191515</t>
  </si>
  <si>
    <t>Marcadores de teléfonos</t>
  </si>
  <si>
    <t>Poleas o accesorios para rehabilitación o terapia</t>
  </si>
  <si>
    <t>Contenedores fríos</t>
  </si>
  <si>
    <t>Fustas y látigos</t>
  </si>
  <si>
    <t>Remolques de camping o caravanas</t>
  </si>
  <si>
    <t>Reglas de medición de altura de pacientes</t>
  </si>
  <si>
    <t>Ensambles de láminas soldadas con soldadura solvente de acero inoxidable</t>
  </si>
  <si>
    <t>Indicadores de monitoreo de congelamiento</t>
  </si>
  <si>
    <t>Arandelas de acabado</t>
  </si>
  <si>
    <t>Sistemas de electro elución</t>
  </si>
  <si>
    <t>Puertas de automotores desmontables</t>
  </si>
  <si>
    <t>Válvulas con pistones lubricados</t>
  </si>
  <si>
    <t>Bridas de corrediza</t>
  </si>
  <si>
    <t>Parachoques para automotores</t>
  </si>
  <si>
    <t>Vidarabina</t>
  </si>
  <si>
    <t>Ganchos giratorios</t>
  </si>
  <si>
    <t>Materiales didácticos de electricidad o electrónica</t>
  </si>
  <si>
    <t>Servicios de bombeo horizontal del pozo</t>
  </si>
  <si>
    <t>Paquetes de muebles de gerencia modulares</t>
  </si>
  <si>
    <t>Conjunto del impulsor</t>
  </si>
  <si>
    <t>51101815</t>
  </si>
  <si>
    <t>Canastas de flowhead</t>
  </si>
  <si>
    <t>Vías aéreas faríngeas</t>
  </si>
  <si>
    <t>Accesorios de las bujías</t>
  </si>
  <si>
    <t>27112718</t>
  </si>
  <si>
    <t>Mangos de hachas para uso quirúrgico</t>
  </si>
  <si>
    <t>Medio seco premezclado</t>
  </si>
  <si>
    <t>Separadores de azulejos</t>
  </si>
  <si>
    <t>Ensambles de barras soldadas con soldadura fuerte o débil de acero inoxidable</t>
  </si>
  <si>
    <t>Calentadores de banda</t>
  </si>
  <si>
    <t>Pisos laminados</t>
  </si>
  <si>
    <t>Paquetes de muebles para ejecutivos no modulares</t>
  </si>
  <si>
    <t>Sistemas de advertencia del avión</t>
  </si>
  <si>
    <t>Plantas de trituración</t>
  </si>
  <si>
    <t>Capuchas de viento para oídos</t>
  </si>
  <si>
    <t>Datos del mercado</t>
  </si>
  <si>
    <t>Plataformas flotantes de almacenamiento costa afuera</t>
  </si>
  <si>
    <t>Textil de fibra vegetal tejida distinta de algodón simple</t>
  </si>
  <si>
    <t>Club de exploradores (scouts)</t>
  </si>
  <si>
    <t>Paquetes de bordes</t>
  </si>
  <si>
    <t>Rodillos de tinta para huellas dactilares o de palma de la mano</t>
  </si>
  <si>
    <t>Calculadoras o accesorios</t>
  </si>
  <si>
    <t>Incineradores de laboratorio</t>
  </si>
  <si>
    <t>24122006</t>
  </si>
  <si>
    <t>Bordes rectos</t>
  </si>
  <si>
    <t>Controles de calidad o calibradores o estándares para inmunología o serología</t>
  </si>
  <si>
    <t>Nebulizadores o accesorios</t>
  </si>
  <si>
    <t>Agentes de curado transmitidos por el agua</t>
  </si>
  <si>
    <t>Ensambles de tubería atornillada de inconel</t>
  </si>
  <si>
    <t>Válvulas de ventilación del cárter</t>
  </si>
  <si>
    <t>51111819</t>
  </si>
  <si>
    <t>Servicios de aislamiento de testigos</t>
  </si>
  <si>
    <t>Anzuelos para pesca comercial</t>
  </si>
  <si>
    <t>Vigas de madera</t>
  </si>
  <si>
    <t>Conductos de registrar datos de superficie</t>
  </si>
  <si>
    <t>Tuercas ciegas</t>
  </si>
  <si>
    <t>50192401</t>
  </si>
  <si>
    <t>Candados</t>
  </si>
  <si>
    <t>Ruedas abrasivas de diamante</t>
  </si>
  <si>
    <t>Juegos clásicos</t>
  </si>
  <si>
    <t>Piezas de berilio fundidas a presión</t>
  </si>
  <si>
    <t>Sets de actividades o juegos de valor posicional</t>
  </si>
  <si>
    <t>Desc.</t>
  </si>
  <si>
    <t>Borradores eléctricos</t>
  </si>
  <si>
    <t>Ovejas</t>
  </si>
  <si>
    <t>Retractores de bajo grado</t>
  </si>
  <si>
    <t>Tubos de rayos x para uso médico</t>
  </si>
  <si>
    <t>Fieltros de recubrimiento ortopédico para pierna o accesorios</t>
  </si>
  <si>
    <t>Acrivastina</t>
  </si>
  <si>
    <t>Manzanos</t>
  </si>
  <si>
    <t>Servicios de enchapado</t>
  </si>
  <si>
    <t>Kits de fijación externa para uso veterinario</t>
  </si>
  <si>
    <t>Recuperación de información de las bases de datos</t>
  </si>
  <si>
    <t>Bares portátiles</t>
  </si>
  <si>
    <t>Objetos de plomo fundidos en molde de grafito</t>
  </si>
  <si>
    <t>Niveladores para muelles</t>
  </si>
  <si>
    <t>Lámina de zinc</t>
  </si>
  <si>
    <t>Remolques</t>
  </si>
  <si>
    <t>Fluorouracilo</t>
  </si>
  <si>
    <t>Sierras eléctricas o de pila o neumáticas o colocadores de tornillos o accesorios para uso quirúrgico</t>
  </si>
  <si>
    <t>Ensambles de tubería atornillada de acero de aleación baja</t>
  </si>
  <si>
    <t>Ensambles estructurales pegados de cobre</t>
  </si>
  <si>
    <t>Generador de ozono</t>
  </si>
  <si>
    <t>Carrotanques</t>
  </si>
  <si>
    <t>Servicios de control de seguridad ambiental</t>
  </si>
  <si>
    <t>Buques de apoyo de combate rápido</t>
  </si>
  <si>
    <t>Pigmentos orgánicos</t>
  </si>
  <si>
    <t>Suministros o accesorios de irrigación o aspiración de oído nariz y garganta ent</t>
  </si>
  <si>
    <t>Postes o puestos de línea arterial o intravenosa</t>
  </si>
  <si>
    <t>Condensadores de microscopios</t>
  </si>
  <si>
    <t>Protectores de mano para uso quirúrgico</t>
  </si>
  <si>
    <t>Tubos receptores de televisión o cámara</t>
  </si>
  <si>
    <t>Estilista de moda</t>
  </si>
  <si>
    <t>Bombas de sangre para unidades de hemodiálisis</t>
  </si>
  <si>
    <t>Bombas de chorro de fondo de pozo</t>
  </si>
  <si>
    <t>Máquinas soldadoras o suministros de laboratorio dental</t>
  </si>
  <si>
    <t>Pavimentar o hacer la superficie de carreteras o caminos</t>
  </si>
  <si>
    <t>Servicios de control de arena en el fluido de fracturación</t>
  </si>
  <si>
    <t>Satélites de navegación</t>
  </si>
  <si>
    <t>Máquinas de bolas de dulce o novedades para niños</t>
  </si>
  <si>
    <t>Servicios de operación del servicio de pesca en el campo petrolífero</t>
  </si>
  <si>
    <t>Software para hacer etiquetas</t>
  </si>
  <si>
    <t>Aluminio en barra labrada</t>
  </si>
  <si>
    <t>Máquinas de resistencia para la parte superior del cuerpo</t>
  </si>
  <si>
    <t>Insertos o accesorios para pipeteras</t>
  </si>
  <si>
    <t>Alambre de púas</t>
  </si>
  <si>
    <t>Decímetro</t>
  </si>
  <si>
    <t>Limpiaparabrisas marítimos</t>
  </si>
  <si>
    <t>Pinzas de cerrado</t>
  </si>
  <si>
    <t>Zapatones para bebé</t>
  </si>
  <si>
    <t>Cables serpentinas marinos sísmicos</t>
  </si>
  <si>
    <t>Personal maquinista permanente</t>
  </si>
  <si>
    <t>Periosteotomos</t>
  </si>
  <si>
    <t>Bandejas o ensamblajes para almacenamiento de dispositivos</t>
  </si>
  <si>
    <t>Objetos fundidos maquinados con troquel de compuestos</t>
  </si>
  <si>
    <t>Conductos de plástico</t>
  </si>
  <si>
    <t>Volante de inercia del motor</t>
  </si>
  <si>
    <t>Ensambles de barras pegadas no metálica</t>
  </si>
  <si>
    <t>Máquinas de agrupación</t>
  </si>
  <si>
    <t>Estireno bloque copolímero tes</t>
  </si>
  <si>
    <t>Libros de planificación del profesor</t>
  </si>
  <si>
    <t>Patines de toma de corriente</t>
  </si>
  <si>
    <t>Baldes para limpieza</t>
  </si>
  <si>
    <t>Estuches o bolsas de rescate para servicios médicos de emergencia</t>
  </si>
  <si>
    <t>Equipo de tiro al plato</t>
  </si>
  <si>
    <t>Aerosoles endodónticos</t>
  </si>
  <si>
    <t>Alcanzadores para los discapacitados físicamente</t>
  </si>
  <si>
    <t>Sulfato fisostigmina</t>
  </si>
  <si>
    <t>Pernos de carruaje</t>
  </si>
  <si>
    <t>Componentes de aluminio hidroformados</t>
  </si>
  <si>
    <t>Acero inoxidable en barra labrada</t>
  </si>
  <si>
    <t>Carteles borrador para arte</t>
  </si>
  <si>
    <t>Kits para embalsamar</t>
  </si>
  <si>
    <t>Ensambles de placas soldadas con soldadura sónica de aleación wasp</t>
  </si>
  <si>
    <t>Materiales didácticos de artes gráficas o fotografía</t>
  </si>
  <si>
    <t>Cortadores jet de cable de recuperación</t>
  </si>
  <si>
    <t>Escalones para salas de cirugía o accesorios</t>
  </si>
  <si>
    <t>Operaciones especializadas para la cosecha forestal</t>
  </si>
  <si>
    <t>Servicios de programación de sistemas operativos</t>
  </si>
  <si>
    <t>Gabinetes de control de presión de aire para uso médico</t>
  </si>
  <si>
    <t>Bancas tapizadas</t>
  </si>
  <si>
    <t>Congeladores de cofre ultra fríos o ultra bajos</t>
  </si>
  <si>
    <t>Discos o paneles de identificación o sensibilidad para microbiología o bacteriología</t>
  </si>
  <si>
    <t>Equipo para protección</t>
  </si>
  <si>
    <t>Sulfonato poliestireno sódico</t>
  </si>
  <si>
    <t>Interruptores de radiofrecuencia (RF)</t>
  </si>
  <si>
    <t>Textil de fibra vegetal tejida distinta de algodón</t>
  </si>
  <si>
    <t>Formoterol</t>
  </si>
  <si>
    <t>Bolsas o estantes para bolsas</t>
  </si>
  <si>
    <t>Control de plagas forestales</t>
  </si>
  <si>
    <t>Servicios de higienización de lavabos</t>
  </si>
  <si>
    <t>Granos</t>
  </si>
  <si>
    <t>Comidas combinadas de repisa</t>
  </si>
  <si>
    <t>Unidades múltiples de control de arena</t>
  </si>
  <si>
    <t>Cuchillas de sierra o accesorios para uso quirúrgico</t>
  </si>
  <si>
    <t>Artefactos de escritorio</t>
  </si>
  <si>
    <t>Buques de desembarco</t>
  </si>
  <si>
    <t>Alambre para radio o televisión</t>
  </si>
  <si>
    <t>Textiles de seda de tejido  jacquard</t>
  </si>
  <si>
    <t>Clorhidrato de benoxinato</t>
  </si>
  <si>
    <t>Meprednisona</t>
  </si>
  <si>
    <t>51111902</t>
  </si>
  <si>
    <t>Bobina de latón</t>
  </si>
  <si>
    <t>Máquinas respiradoras de presión positiva intermitente ippb</t>
  </si>
  <si>
    <t>Molduras al vacío de vidrio</t>
  </si>
  <si>
    <t>Monción</t>
  </si>
  <si>
    <t>Productos para sangre o formación de sangre para uso veterinario</t>
  </si>
  <si>
    <t>Servicios de aparición pública de partidos políticos</t>
  </si>
  <si>
    <t>Ensambles de tubos pegados de titanio</t>
  </si>
  <si>
    <t>Cefonicida</t>
  </si>
  <si>
    <t>Patines de inyección neumática de metanol</t>
  </si>
  <si>
    <t>Seguros de asistencia médica y hospitalización</t>
  </si>
  <si>
    <t>Fosfato sódico de prednisolona</t>
  </si>
  <si>
    <t>Ruedas motrices</t>
  </si>
  <si>
    <t>Fluidos para preparación de lentes</t>
  </si>
  <si>
    <t>Marcadores de pintura</t>
  </si>
  <si>
    <t>Canaletas</t>
  </si>
  <si>
    <t>Equipos o suministros de cuarto oscuro de rayos x para uso médico</t>
  </si>
  <si>
    <t>Tensores de correa</t>
  </si>
  <si>
    <t>Clorhidrato de guanfacina</t>
  </si>
  <si>
    <t>Emulsiones para nutricion pacientes</t>
  </si>
  <si>
    <t>Libros de actividades o recursos basados en la biblia</t>
  </si>
  <si>
    <t>Abulones vivos</t>
  </si>
  <si>
    <t>Columnas de cromatografía</t>
  </si>
  <si>
    <t>Sellos para bolsas de monedas</t>
  </si>
  <si>
    <t>Kits de expresión de insectos</t>
  </si>
  <si>
    <t>Materiales de enseñanza de preparación de exámenes</t>
  </si>
  <si>
    <t>Campo de aterrizaje</t>
  </si>
  <si>
    <t>Células competentes para levadura</t>
  </si>
  <si>
    <t>Manganeso mn</t>
  </si>
  <si>
    <t>Plafones</t>
  </si>
  <si>
    <t>Componentes de aleación de níquel formados con explosivos</t>
  </si>
  <si>
    <t>Mineral de níquel</t>
  </si>
  <si>
    <t>Aplicador</t>
  </si>
  <si>
    <t>Conductores temporales</t>
  </si>
  <si>
    <t>Barredoras para pisos</t>
  </si>
  <si>
    <t>Trajes para bebé</t>
  </si>
  <si>
    <t>embutidos</t>
  </si>
  <si>
    <t>45111802</t>
  </si>
  <si>
    <t>Paneles de identificación</t>
  </si>
  <si>
    <t>Analizadores de gas de oxígeno</t>
  </si>
  <si>
    <t>Servicios de escuelas de enseñanza automovilística</t>
  </si>
  <si>
    <t>Kits de electricista</t>
  </si>
  <si>
    <t>Multi gimnasios</t>
  </si>
  <si>
    <t>Organizaciones para viajes de estudiantes</t>
  </si>
  <si>
    <t>MEDICAENTOS HIPOCALCEMIA, HIPOFOSFASTEMIA, HIPOGLICEMIANTE Y SUPLEMENTO PROTEICO 2</t>
  </si>
  <si>
    <t>Punzones o sujeta punzones o accesorios para uso quirúrgico</t>
  </si>
  <si>
    <t>Ensambles de barras soldadas con solvente de latón</t>
  </si>
  <si>
    <t>Misoprostol</t>
  </si>
  <si>
    <t>Luces de tormenta</t>
  </si>
  <si>
    <t>Forjas de estaño maquinadas con troquel abierto</t>
  </si>
  <si>
    <t>Tanques de expansión</t>
  </si>
  <si>
    <t>Semillas de avena</t>
  </si>
  <si>
    <t>Grasa</t>
  </si>
  <si>
    <t>Cintas antideslizantes de seguridad</t>
  </si>
  <si>
    <t>Accesorios o suministros para analizadores de inmunología</t>
  </si>
  <si>
    <t>Piezas de aluminio fundidas a presión</t>
  </si>
  <si>
    <t>50101634</t>
  </si>
  <si>
    <t>Tenazas para uso quirúrgico</t>
  </si>
  <si>
    <t>Lavanderia</t>
  </si>
  <si>
    <t>Unidad de tubo y transformador de rayos x para uso médico</t>
  </si>
  <si>
    <t>Ensambles de tubería con soldadura fuerte o débil de aluminio</t>
  </si>
  <si>
    <t>Separadores de cartón</t>
  </si>
  <si>
    <t>Parques temáticos</t>
  </si>
  <si>
    <t>FECHA INICIO PROCESO DE COMPRA</t>
  </si>
  <si>
    <t>Manteles</t>
  </si>
  <si>
    <t>Kits de tocador</t>
  </si>
  <si>
    <t>52151802</t>
  </si>
  <si>
    <t>Conductos o red de conductos de plástico</t>
  </si>
  <si>
    <t>Corredores o agentes inmobiliarios</t>
  </si>
  <si>
    <t>Medidores  de fase</t>
  </si>
  <si>
    <t>Diagramas de física nuclear</t>
  </si>
  <si>
    <t>Contratos de longitud excavada de las brocas de perforación del campo petrolero</t>
  </si>
  <si>
    <t>Software de extracción de datos</t>
  </si>
  <si>
    <t>Contenedores de desperdicios o revestimientos rígidos</t>
  </si>
  <si>
    <t>Catalizadores de material de impresión de uso odontológico</t>
  </si>
  <si>
    <t>Servicios de canalones y tubos de bajada</t>
  </si>
  <si>
    <t>Vehículos de servicios de transporte</t>
  </si>
  <si>
    <t>Analizadores de gas nitrógeno</t>
  </si>
  <si>
    <t>Componentes de zinc maquinados por extrusión en frío</t>
  </si>
  <si>
    <t>Cubiertas de casetes o película radiográfica</t>
  </si>
  <si>
    <t>42202703</t>
  </si>
  <si>
    <t>Bombas de tambor</t>
  </si>
  <si>
    <t>Ventiladores de cuidado en casa</t>
  </si>
  <si>
    <t>Pulpa de papel</t>
  </si>
  <si>
    <t>Escáneres cromatográficos</t>
  </si>
  <si>
    <t>Cámaras de comercio</t>
  </si>
  <si>
    <t>Válvula de estrangulación</t>
  </si>
  <si>
    <t>Clorhidrato de anfepramona</t>
  </si>
  <si>
    <t>Baños de parafina terapéuticos o sus accesorios</t>
  </si>
  <si>
    <t>Ensambles de láminas soldadas con soldadura solvente de aluminio</t>
  </si>
  <si>
    <t>Río San Juan</t>
  </si>
  <si>
    <t>Torniquetes neumáticos o eléctricos o accesorios para uso quirúrgico</t>
  </si>
  <si>
    <t>Cascos</t>
  </si>
  <si>
    <t>Escudos térmicas</t>
  </si>
  <si>
    <t>Objetos de aluminio fundidos a la cera perdida</t>
  </si>
  <si>
    <t>Samovares para uso doméstico</t>
  </si>
  <si>
    <t>Rodillos y aplanadoras de impresión</t>
  </si>
  <si>
    <t>Elevadores de taladro de perforación</t>
  </si>
  <si>
    <t>Servicios de informes de tribunales</t>
  </si>
  <si>
    <t>Servicios de asesoramiento sobre química ambiental</t>
  </si>
  <si>
    <t>HEMODIALISIS 2</t>
  </si>
  <si>
    <t>Desodorantes</t>
  </si>
  <si>
    <t>51111802</t>
  </si>
  <si>
    <t>Pinturas de agua</t>
  </si>
  <si>
    <t>Tubos de traqueotomía</t>
  </si>
  <si>
    <t>Tanato de clorfenamina</t>
  </si>
  <si>
    <t>Extrusiones de perfiles de bronce</t>
  </si>
  <si>
    <t>Formaldehído de melamina</t>
  </si>
  <si>
    <t>Sí</t>
  </si>
  <si>
    <t>Lectores electrónicos de tarjetas</t>
  </si>
  <si>
    <t>Componentes de berilio formados por estiramiento</t>
  </si>
  <si>
    <t>Acondicionadores de señal</t>
  </si>
  <si>
    <t>Lavamanos</t>
  </si>
  <si>
    <t>Estuches o bolsas o accesorios de primeros auxilios para servicios médicos de emergencia</t>
  </si>
  <si>
    <t>Válvulas esféricas de ángulo</t>
  </si>
  <si>
    <t>MEDICAMENTOS GENERALES 3</t>
  </si>
  <si>
    <t>Bobina de acero</t>
  </si>
  <si>
    <t>Vestidos folclóricos para niño</t>
  </si>
  <si>
    <t>Varillas telescópicas</t>
  </si>
  <si>
    <t>Servicios de formación profesional en telecomunicaciones</t>
  </si>
  <si>
    <t>Planificación o valoración de zonas agroecológicas</t>
  </si>
  <si>
    <t>Equipos de transferencia electrónica de fondos para puntos de venta</t>
  </si>
  <si>
    <t>Equipos y componentes de red de acceso inalámbrica 3g umts</t>
  </si>
  <si>
    <t>Detectores de humo</t>
  </si>
  <si>
    <t>Objetos maquinados de estaño fundidos en molde de grafito</t>
  </si>
  <si>
    <t>PALEATIVOS</t>
  </si>
  <si>
    <t>Accesorios para estampación de caucho</t>
  </si>
  <si>
    <t>Ensambles de tubos soldados con disolvente no metálica</t>
  </si>
  <si>
    <t>Pasta sencilla o fideos</t>
  </si>
  <si>
    <t>Componentes de acero inoxidable formados por estiramiento</t>
  </si>
  <si>
    <t>Remolques para ganado</t>
  </si>
  <si>
    <t>Software de creación y edición de páginas web</t>
  </si>
  <si>
    <t>Pinturas de revestimiento</t>
  </si>
  <si>
    <t>Adhesivos líquidos</t>
  </si>
  <si>
    <t>Centímetro Cuadrado</t>
  </si>
  <si>
    <t>31162402</t>
  </si>
  <si>
    <t>Unidades de flotación de cemento a granel</t>
  </si>
  <si>
    <t>Componentes de titanio hidroformados</t>
  </si>
  <si>
    <t>Concreto aislante</t>
  </si>
  <si>
    <t>Trompos</t>
  </si>
  <si>
    <t>Mostradores refrigerados</t>
  </si>
  <si>
    <t>Estiércol o guano</t>
  </si>
  <si>
    <t>Ensambles de barras soldadas con soldadura sónica de aleación hast x</t>
  </si>
  <si>
    <t>26131806</t>
  </si>
  <si>
    <t>Carcasas de computadoras</t>
  </si>
  <si>
    <t>Sistemas centrífugos de perfusión o accesorios</t>
  </si>
  <si>
    <t>Delitos aduaneros</t>
  </si>
  <si>
    <t>Central de energía eólica</t>
  </si>
  <si>
    <t>Bolas de hockey de campo</t>
  </si>
  <si>
    <t>Filtros de ozono</t>
  </si>
  <si>
    <t>Pistola de resina</t>
  </si>
  <si>
    <t>Leche para perros o gatos</t>
  </si>
  <si>
    <t>Anillo de pistón</t>
  </si>
  <si>
    <t>Plumillas o sus accesorios</t>
  </si>
  <si>
    <t>Arandelas giratorias</t>
  </si>
  <si>
    <t>51161620</t>
  </si>
  <si>
    <t>Tornillo de orejas</t>
  </si>
  <si>
    <t>Equipos de bombas de irrigación para uso quirúrgico o lavado pulsado o accesorios con o sin succión</t>
  </si>
  <si>
    <t>Herramientas de flotación de cemento</t>
  </si>
  <si>
    <t>Ensambles de láminas atornilladas de aluminio</t>
  </si>
  <si>
    <t>Elementos de restricción de cintura y torso</t>
  </si>
  <si>
    <t>Isoxsuprina</t>
  </si>
  <si>
    <t>Equipos de vacío o vapor de mercurio</t>
  </si>
  <si>
    <t>Cucharas para uso doméstico</t>
  </si>
  <si>
    <t>Componentes compuestos maquinados por extrusión hidrostática</t>
  </si>
  <si>
    <t>Guías para fenestrómetro</t>
  </si>
  <si>
    <t>Servicios de producción no maderera</t>
  </si>
  <si>
    <t>Película de blanco y negro</t>
  </si>
  <si>
    <t>Objetos maquinados de cobre fundidos en molde de yeso</t>
  </si>
  <si>
    <t>Crédito fiscal de inversión</t>
  </si>
  <si>
    <t>Servicios de tiendas en buques</t>
  </si>
  <si>
    <t>Residuo de semillas de linaza</t>
  </si>
  <si>
    <t>Espumas de poliolefina</t>
  </si>
  <si>
    <t>Servicios de apuntalamiento</t>
  </si>
  <si>
    <t>Servicios de ortodoncia</t>
  </si>
  <si>
    <t>31161511</t>
  </si>
  <si>
    <t>Carritos o accesorios para uso médico</t>
  </si>
  <si>
    <t>Servicios de televisión por cable</t>
  </si>
  <si>
    <t>Cerrojos de puerta</t>
  </si>
  <si>
    <t>Pastas de ensamble</t>
  </si>
  <si>
    <t>Servicios de mantenimiento o administración de represas</t>
  </si>
  <si>
    <t>Instrumentos de control para uso quirúrgico</t>
  </si>
  <si>
    <t>Destornilladores para miomas para uso quirúrgico</t>
  </si>
  <si>
    <t>Cable de floropolímero</t>
  </si>
  <si>
    <t>Bujes kelly</t>
  </si>
  <si>
    <t>Reflectores</t>
  </si>
  <si>
    <t>Cesio cs</t>
  </si>
  <si>
    <t>Retractores quirúrgicos para uso general</t>
  </si>
  <si>
    <t>Ensambles de láminas soldadas con soldadura fuerte o débil de inconel</t>
  </si>
  <si>
    <t>Equipo de limpieza de alfombras</t>
  </si>
  <si>
    <t>Componentes de metal ferroso pulverizado</t>
  </si>
  <si>
    <t>Tubos de dialisato para hemodiálisis</t>
  </si>
  <si>
    <t>Reproductores o grabadoras de discos compactos</t>
  </si>
  <si>
    <t>Conectores estancos de cables</t>
  </si>
  <si>
    <t>Hierbas frescas</t>
  </si>
  <si>
    <t>Morbillivirus</t>
  </si>
  <si>
    <t>46191505</t>
  </si>
  <si>
    <t>Equipo para protección contra las heladas</t>
  </si>
  <si>
    <t>Agujas quirúrgicas para oídos o narices o gargantas</t>
  </si>
  <si>
    <t>Formas de icopor</t>
  </si>
  <si>
    <t>Aleación no ferrosa en placa labrada</t>
  </si>
  <si>
    <t>Kits de contenedores de autotransfusión o kits centrífugos</t>
  </si>
  <si>
    <t>Chaquetas o batas para personal médico</t>
  </si>
  <si>
    <t>Cofinanciación</t>
  </si>
  <si>
    <t>Cepillos operativos dentales</t>
  </si>
  <si>
    <t>Gabinetes o muebles de almacenamiento de instrumentos para uso médico</t>
  </si>
  <si>
    <t>Tarjetas de puertos paralelos</t>
  </si>
  <si>
    <t>Servicios de evaluación de la cementación del pozo</t>
  </si>
  <si>
    <t>Conectores o adaptadores de suministro de oxígeno</t>
  </si>
  <si>
    <t>Las Maguanas, Hato Nuevo</t>
  </si>
  <si>
    <t>Monitores para tubos de rayo catódico crt</t>
  </si>
  <si>
    <t>Encerado de pisos y limpieza de tapetes</t>
  </si>
  <si>
    <t>Edificio de la estación terminal</t>
  </si>
  <si>
    <t>Inversiones de soldadura</t>
  </si>
  <si>
    <t>Flucitosina</t>
  </si>
  <si>
    <t>Calzado para demorar el fuego</t>
  </si>
  <si>
    <t>Servicios de programación de inversiones urbanas</t>
  </si>
  <si>
    <t>Aerosoles laríngeos</t>
  </si>
  <si>
    <t>Barra de combustible nuclear</t>
  </si>
  <si>
    <t>Galletas de dulce</t>
  </si>
  <si>
    <t>Transporte de agua</t>
  </si>
  <si>
    <t>Kits de micro química para laboratorio</t>
  </si>
  <si>
    <t>Plantas acuáticas almacenadas en repisa</t>
  </si>
  <si>
    <t>Fumigacion 4</t>
  </si>
  <si>
    <t>Sets para procedimientos mielográficos</t>
  </si>
  <si>
    <t>Servicios de cerrajería</t>
  </si>
  <si>
    <t>Adhesivos químicos</t>
  </si>
  <si>
    <t>Herramientas de soldadura</t>
  </si>
  <si>
    <t>Kits de marcos</t>
  </si>
  <si>
    <t>Servicios de fabricación de material rodante para ferrocarriles</t>
  </si>
  <si>
    <t>Mezcladores de audio</t>
  </si>
  <si>
    <t>42202001</t>
  </si>
  <si>
    <t>Servicios de fabricación de fibra acrílica</t>
  </si>
  <si>
    <t>Boquillas de ducha</t>
  </si>
  <si>
    <t>Ensambles de láminas pegadas de latón</t>
  </si>
  <si>
    <t>Recubrimientos interiores para guantes médicos</t>
  </si>
  <si>
    <t>Embarcaciones a vela de recreo</t>
  </si>
  <si>
    <t>Papas preparadas frescas o arroz o pasta o relleno</t>
  </si>
  <si>
    <t>Guayabo Dulce</t>
  </si>
  <si>
    <t>Cloropolietileno cm</t>
  </si>
  <si>
    <t>Objetivos de erosión superficial</t>
  </si>
  <si>
    <t>Resina de policarbonato</t>
  </si>
  <si>
    <t>Vestidos de aislamiento o de flotación</t>
  </si>
  <si>
    <t>Cáscara sagrada</t>
  </si>
  <si>
    <t>Objetos maquinados de latón fundidos en molde cerámico</t>
  </si>
  <si>
    <t>Partes de repuesto para bombas rotatorias</t>
  </si>
  <si>
    <t>Hafnio hf</t>
  </si>
  <si>
    <t>Tarjetas de presentación</t>
  </si>
  <si>
    <t>Bobinas o sujeta bobinas</t>
  </si>
  <si>
    <t>Trajes isotérmicos</t>
  </si>
  <si>
    <t>Componentes de bronce formados en torno</t>
  </si>
  <si>
    <t>Amortiguadores de fondo de pozo</t>
  </si>
  <si>
    <t>Compresores semi radiales</t>
  </si>
  <si>
    <t>Verduras frescas</t>
  </si>
  <si>
    <t>44111509</t>
  </si>
  <si>
    <t>Pileta de contención</t>
  </si>
  <si>
    <t>Bandejas para disección</t>
  </si>
  <si>
    <t>Kits o accesorios de preparación de semen</t>
  </si>
  <si>
    <t>Sistemas empacados de tratamiento de agua</t>
  </si>
  <si>
    <t>Yunques</t>
  </si>
  <si>
    <t>Equipo de elevación de gas</t>
  </si>
  <si>
    <t>Componentes de acero maquinados por extrusión de impacto</t>
  </si>
  <si>
    <t>Clarines</t>
  </si>
  <si>
    <t>Norgestimato</t>
  </si>
  <si>
    <t>Planchas de huecograbado o litografía</t>
  </si>
  <si>
    <t>Máquinas de cigarrillos</t>
  </si>
  <si>
    <t>Asientos de comer (para bebés) o accesorios</t>
  </si>
  <si>
    <t>Caña de pecar de fondo de pozo</t>
  </si>
  <si>
    <t>Barraquito</t>
  </si>
  <si>
    <t>Lisinopril</t>
  </si>
  <si>
    <t>Hornos de convección de gravedad</t>
  </si>
  <si>
    <t>Ensambles de tubería pegada de aleación hast x</t>
  </si>
  <si>
    <t>Enganches de remolque</t>
  </si>
  <si>
    <t>Servicios de muestreo de fluidos de fondo de pozo</t>
  </si>
  <si>
    <t>Servicios de monitoreo del control de arena</t>
  </si>
  <si>
    <t>Etiquetas de identificación</t>
  </si>
  <si>
    <t>Fenólico pf</t>
  </si>
  <si>
    <t>Educación para padres</t>
  </si>
  <si>
    <t>Reguladores ambientales del avión</t>
  </si>
  <si>
    <t>Películas coextruídas</t>
  </si>
  <si>
    <t>Tiras para ensayos de pH</t>
  </si>
  <si>
    <t>Dihidrato de enalaprilato</t>
  </si>
  <si>
    <t>Colorantes rosanilina</t>
  </si>
  <si>
    <t>Kits de pruebas rápidas</t>
  </si>
  <si>
    <t>Objetos maquinados de aleación no ferrosa fundidos en molde cerámico</t>
  </si>
  <si>
    <t>Levobupivacaína hidrocloruro</t>
  </si>
  <si>
    <t>Sulfato ferroso</t>
  </si>
  <si>
    <t>Servicios de estándares o regulación de edificios urbanos</t>
  </si>
  <si>
    <t>Servicios de embalaje</t>
  </si>
  <si>
    <t>Ensambles de tubos atornillados de aleación wasp</t>
  </si>
  <si>
    <t>Exposiciones</t>
  </si>
  <si>
    <t>52152102</t>
  </si>
  <si>
    <t>Alcanos cíclicos</t>
  </si>
  <si>
    <t>Servicio de análisis de sistemas</t>
  </si>
  <si>
    <t>Salas de reuniones o banquetes</t>
  </si>
  <si>
    <t>Bloque de plantilla</t>
  </si>
  <si>
    <t>42231701</t>
  </si>
  <si>
    <t>Interfaces de componentes de intercambio codec</t>
  </si>
  <si>
    <t>Muescas para uso quirúrgico</t>
  </si>
  <si>
    <t>Estación de barcos de socorro</t>
  </si>
  <si>
    <t>Limpieza e Higiene 4</t>
  </si>
  <si>
    <t>81112201</t>
  </si>
  <si>
    <t>Producción de nueces</t>
  </si>
  <si>
    <t>Enjuague bucal</t>
  </si>
  <si>
    <t>Componentes de acero al carbono estampados</t>
  </si>
  <si>
    <t>Herramientas o kits de accesorios para perforar pozos</t>
  </si>
  <si>
    <t>Protectores de hojas</t>
  </si>
  <si>
    <t>Clorhidrato de meclozina</t>
  </si>
  <si>
    <t>Barredoras de alfombras</t>
  </si>
  <si>
    <t>Materiales pedagógicos para la formación del carácter</t>
  </si>
  <si>
    <t>Bastidores de impresión de serigrafía</t>
  </si>
  <si>
    <t>Servicios de detección de gases tóxicos</t>
  </si>
  <si>
    <t>Objetos maquinados de metal precioso fundidos en molde cerámico</t>
  </si>
  <si>
    <t>Cintas de video en blanco</t>
  </si>
  <si>
    <t>Libros de recursos de gramática</t>
  </si>
  <si>
    <t>Nafcilina sódica</t>
  </si>
  <si>
    <t>Agujas de bordado</t>
  </si>
  <si>
    <t>Cambiadores de discos ópticos</t>
  </si>
  <si>
    <t>Ensambles de placas atornilladas de aleación hast x</t>
  </si>
  <si>
    <t>Viveres</t>
  </si>
  <si>
    <t>Pintura acrílica estilo escolar</t>
  </si>
  <si>
    <t>Varillas de níquel</t>
  </si>
  <si>
    <t>Micrófonos de voz para computadores</t>
  </si>
  <si>
    <t>Maquinaria de soldadura al arco en atmósfera de gas inerte con electrodo consumible (MIG)</t>
  </si>
  <si>
    <t>Bases o patas o extensiones de patas para muebles</t>
  </si>
  <si>
    <t>Potenciómetros</t>
  </si>
  <si>
    <t>Expansión comercial</t>
  </si>
  <si>
    <t>Dique Seco</t>
  </si>
  <si>
    <t>Trazador radioactivo para uso odontológico</t>
  </si>
  <si>
    <t>Uso de armas convencionales</t>
  </si>
  <si>
    <t>41101901</t>
  </si>
  <si>
    <t>Servicios de capacitación en seguridad</t>
  </si>
  <si>
    <t>Pentobarbital</t>
  </si>
  <si>
    <t>Collares cervicales o de extracción de víctimas para servicios médicos de emergencia</t>
  </si>
  <si>
    <t>Nicotinato de xantinol</t>
  </si>
  <si>
    <t>43232503</t>
  </si>
  <si>
    <t>Leasing de vehículos sedán, cupé o camioneta</t>
  </si>
  <si>
    <t>Pastas anti – soldado</t>
  </si>
  <si>
    <t>Servicios de desinsectación</t>
  </si>
  <si>
    <t>Tejados de pizarra</t>
  </si>
  <si>
    <t>Equipos para fermentación microbiológica</t>
  </si>
  <si>
    <t>Servicios de oleoductos</t>
  </si>
  <si>
    <t>Marcadores de base disolvente</t>
  </si>
  <si>
    <t>Lansoprazol</t>
  </si>
  <si>
    <t>Sistemas de medida de la humedad industrial nucleónica</t>
  </si>
  <si>
    <t>Filtros de combustible</t>
  </si>
  <si>
    <t>Semillas de girasol</t>
  </si>
  <si>
    <t>Servicios no gubernamentales de ayuda de emergencia</t>
  </si>
  <si>
    <t>Matrices de semiconductor</t>
  </si>
  <si>
    <t>Unidades o accesorios de electromiografía emg</t>
  </si>
  <si>
    <t>Tallos del cable de recuperación</t>
  </si>
  <si>
    <t>Consola de control de calderas</t>
  </si>
  <si>
    <t>Servicios de organizaciones de agricultores o campesinos</t>
  </si>
  <si>
    <t>Unidades de braquiterapia</t>
  </si>
  <si>
    <t>Valerato de estradiol</t>
  </si>
  <si>
    <t>Cortivazol</t>
  </si>
  <si>
    <t>Dominós</t>
  </si>
  <si>
    <t>Llantas de avión</t>
  </si>
  <si>
    <t>Jeringas o agujas o jeringas con agujas de uso odontológico</t>
  </si>
  <si>
    <t>Gaitas</t>
  </si>
  <si>
    <t>Espesantes de comidas o bebidas nutricionales para uso médico</t>
  </si>
  <si>
    <t>Aros de prendedores para pasar cadenas de joyería fina</t>
  </si>
  <si>
    <t>Utensilios de cocina desechables para uso doméstico</t>
  </si>
  <si>
    <t>Servicios de interpretación de la fracturación del campo petrolero</t>
  </si>
  <si>
    <t>51131802</t>
  </si>
  <si>
    <t>Monitores de temperatura y velocidad del aire</t>
  </si>
  <si>
    <t>Estudios regionales o locales para proyectos</t>
  </si>
  <si>
    <t>Juegos terapéuticos</t>
  </si>
  <si>
    <t>Soportes de contención de derrames</t>
  </si>
  <si>
    <t>Registros gráficos de electrocardiografía ekg</t>
  </si>
  <si>
    <t>Cubiertas de rodillos de avance</t>
  </si>
  <si>
    <t>Guías locales o de excursiones</t>
  </si>
  <si>
    <t>Bancos de trabajo</t>
  </si>
  <si>
    <t>Brazos de techo para instalaciones médicas</t>
  </si>
  <si>
    <t>Módulos enfriadores refrigerados</t>
  </si>
  <si>
    <t>Excavadora de hoyos para postes</t>
  </si>
  <si>
    <t>Servicio de contabilidad de costos</t>
  </si>
  <si>
    <t>Desviadores de fluido</t>
  </si>
  <si>
    <t>Accesorios para instrumentos de cuerda</t>
  </si>
  <si>
    <t>Interferómetros</t>
  </si>
  <si>
    <t>Herramientas curvatubos</t>
  </si>
  <si>
    <t>Accesorios para mesas de examen o procedimientos médicos para uso general excluyendo sábanas para cubrirlas</t>
  </si>
  <si>
    <t>Facturas o libros de facturas</t>
  </si>
  <si>
    <t>Combinación de ácido cítrico y citrato de potasio</t>
  </si>
  <si>
    <t>Amuletos</t>
  </si>
  <si>
    <t>Seminarios teológicos</t>
  </si>
  <si>
    <t>Colecciones de estampillas</t>
  </si>
  <si>
    <t>Bombas neumáticas de exportación</t>
  </si>
  <si>
    <t>31151601</t>
  </si>
  <si>
    <t>Esterilizadores uv ultravioleta para laboratorios</t>
  </si>
  <si>
    <t>Hebra de nylon</t>
  </si>
  <si>
    <t>Bolígrafos de base acuosa</t>
  </si>
  <si>
    <t>Troqueles de cortar o labrar</t>
  </si>
  <si>
    <t>Captura de animales</t>
  </si>
  <si>
    <t>Juncalito</t>
  </si>
  <si>
    <t>Cableado preformado de panel</t>
  </si>
  <si>
    <t>Oceanografía estuarina</t>
  </si>
  <si>
    <t>Diente de rueda de cadena</t>
  </si>
  <si>
    <t>Objetos de magnesio fundidos en molde fijo</t>
  </si>
  <si>
    <t>Bloques de cerámica</t>
  </si>
  <si>
    <t>Servicios de administración del agua del campo petrolífero</t>
  </si>
  <si>
    <t>Almohadilla de petri</t>
  </si>
  <si>
    <t>Juntas de cardán</t>
  </si>
  <si>
    <t>Servicios de audiencias legislativas</t>
  </si>
  <si>
    <t>Cátodos o emisores</t>
  </si>
  <si>
    <t>Cadenas resistentes de bobina</t>
  </si>
  <si>
    <t>Guantes de terapia para terapia de calor o frío</t>
  </si>
  <si>
    <t>Servicio de instalación de sistemas</t>
  </si>
  <si>
    <t>Excepción - Rescisión de contratos cuya terminación no exceda el 40% del monto total del proyecto, obra o servicio</t>
  </si>
  <si>
    <t>Resma</t>
  </si>
  <si>
    <t>Forros para mesas de plancha</t>
  </si>
  <si>
    <t>Herramientas o accesorios para vidrios de colores</t>
  </si>
  <si>
    <t>Dispensadores de pitillos</t>
  </si>
  <si>
    <t>Asesores de inversiones</t>
  </si>
  <si>
    <t>Sensores de flujo</t>
  </si>
  <si>
    <t>Pasaportes</t>
  </si>
  <si>
    <t>Servicios de tarjetas telefónicas prepagadas</t>
  </si>
  <si>
    <t>Servicios de bailarines</t>
  </si>
  <si>
    <t>Instrumentos para probar papel</t>
  </si>
  <si>
    <t>Triclorfon</t>
  </si>
  <si>
    <t>Bombas químicas</t>
  </si>
  <si>
    <t>Biblioteca</t>
  </si>
  <si>
    <t>Software de correo electrónico</t>
  </si>
  <si>
    <t>Filtros de redes o comunicaciones ópticas</t>
  </si>
  <si>
    <t>Cargadores de baldes o accesorios para uso quirúrgico</t>
  </si>
  <si>
    <t>Entrevistas personales para investigaciones de mercado</t>
  </si>
  <si>
    <t>Dispensadores de leche</t>
  </si>
  <si>
    <t>Carritos para libros</t>
  </si>
  <si>
    <t>Discos para hacer cabuchones</t>
  </si>
  <si>
    <t>Súper aleación inconel 600</t>
  </si>
  <si>
    <t>Componentes de titanio maquinados por extrusión en caliente</t>
  </si>
  <si>
    <t>Grabadoras de punta de trazado</t>
  </si>
  <si>
    <t>Microscopios invertidos</t>
  </si>
  <si>
    <t>Mangueras de agua</t>
  </si>
  <si>
    <t>Litografías</t>
  </si>
  <si>
    <t>Rodamientos de balineras</t>
  </si>
  <si>
    <t>Bañeras o tinas para bebés</t>
  </si>
  <si>
    <t>Tipografía</t>
  </si>
  <si>
    <t>Máquinas para probar ductilidad</t>
  </si>
  <si>
    <t>Poleas</t>
  </si>
  <si>
    <t>Plomo en barra labrada</t>
  </si>
  <si>
    <t>Ácido acético  antiséptico</t>
  </si>
  <si>
    <t>Planchas para uso doméstico</t>
  </si>
  <si>
    <t>41115702</t>
  </si>
  <si>
    <t>Sulfato de abacavir</t>
  </si>
  <si>
    <t>Murales de palabras</t>
  </si>
  <si>
    <t>Ensambles estructurales pegados de inconel</t>
  </si>
  <si>
    <t>Tapones limpiadores de equipo de flotación de cemento</t>
  </si>
  <si>
    <t>Clorhidrato de diltiazem</t>
  </si>
  <si>
    <t>Almacenamiento para balones o redes de voleibol</t>
  </si>
  <si>
    <t>Aleaciones de acrilonitrilo estireno acrílico asa</t>
  </si>
  <si>
    <t>Puntos de purpurina</t>
  </si>
  <si>
    <t>Molduras de titanio</t>
  </si>
  <si>
    <t>Mezclador de masa para uso doméstico</t>
  </si>
  <si>
    <t>Butóxido de piperonilo</t>
  </si>
  <si>
    <t>Trotadoras</t>
  </si>
  <si>
    <t>Accesorios para sillas de ruedas</t>
  </si>
  <si>
    <t>Compresores refrigerantes</t>
  </si>
  <si>
    <t>Uniones hidráulicas</t>
  </si>
  <si>
    <t>Pijamas o camisas de dormir o batas para niña</t>
  </si>
  <si>
    <t>Retratos</t>
  </si>
  <si>
    <t>Partes o accesorios de muñecas</t>
  </si>
  <si>
    <t>Reactivos de purificación del agua</t>
  </si>
  <si>
    <t>Villa Isabela</t>
  </si>
  <si>
    <t>Bengalas de gas</t>
  </si>
  <si>
    <t>Cadenas de la transmisión</t>
  </si>
  <si>
    <t>Pijamas o camisas de dormir o batas para niño</t>
  </si>
  <si>
    <t>Servicios de carnicería</t>
  </si>
  <si>
    <t>Servicios de mantenimiento del alumbrado</t>
  </si>
  <si>
    <t>Servicios bilaterales internacionales y líneas privadas internacionales arrendadas</t>
  </si>
  <si>
    <t>Capacitación relacionada con el turismo</t>
  </si>
  <si>
    <t>Tripanosomiasis animal</t>
  </si>
  <si>
    <t>Cubiertas o sets urológicos</t>
  </si>
  <si>
    <t>Cilindros principales</t>
  </si>
  <si>
    <t>Bujes de pared</t>
  </si>
  <si>
    <t>Sellos de metal</t>
  </si>
  <si>
    <t>Adaptador de música en espera</t>
  </si>
  <si>
    <t>Minería hidráulica</t>
  </si>
  <si>
    <t>Equipo de cobalto 60 para teleterapia radioterapia</t>
  </si>
  <si>
    <t>Suelo de corcho</t>
  </si>
  <si>
    <t>Arandelas de separación</t>
  </si>
  <si>
    <t>Lanza del cable de recuperación</t>
  </si>
  <si>
    <t>Medidores de resistencia al aislamiento</t>
  </si>
  <si>
    <t>Aparatos de difracción óptica</t>
  </si>
  <si>
    <t>Forjas de acero maquinadas con impresión por troquel</t>
  </si>
  <si>
    <t>Ácidos orgánicos o sus sustitutos</t>
  </si>
  <si>
    <t>Equipo para la exploración de uranio</t>
  </si>
  <si>
    <t>Ensambles de placas soldadas con solvente de inconel</t>
  </si>
  <si>
    <t>Valdecoxib</t>
  </si>
  <si>
    <t>Ensambles de tubería soldada de solvente no metálico</t>
  </si>
  <si>
    <t>Pasadores roscados</t>
  </si>
  <si>
    <t>Chapa de titanio</t>
  </si>
  <si>
    <t>NUTRICION 2</t>
  </si>
  <si>
    <t>Materiales de enseñanza de seguridad personal</t>
  </si>
  <si>
    <t>Trabajo con la energía</t>
  </si>
  <si>
    <t>Misiones de investigación</t>
  </si>
  <si>
    <t>Oceanografía física</t>
  </si>
  <si>
    <t>Topes o accesorios endodónticos</t>
  </si>
  <si>
    <t>Servicios de formación profesional forestal</t>
  </si>
  <si>
    <t>El Cercado</t>
  </si>
  <si>
    <t>Visores o accesorios de rayos x para uso odontológico</t>
  </si>
  <si>
    <t>Servicios de  acabado en la transformación de metales</t>
  </si>
  <si>
    <t>Equipo de equilibrio</t>
  </si>
  <si>
    <t>Válvulas de seguridad</t>
  </si>
  <si>
    <t>Placa de metales preciosos</t>
  </si>
  <si>
    <t>Celiprolol</t>
  </si>
  <si>
    <t>Resinas de reparación de cura fría para prótesis dentales</t>
  </si>
  <si>
    <t>Inhibidores de incrustaciones</t>
  </si>
  <si>
    <t>Evaluación de la contaminación por pesticidas</t>
  </si>
  <si>
    <t>Analizadores monitores de contenido de aceite</t>
  </si>
  <si>
    <t>Villa Vásquez</t>
  </si>
  <si>
    <t>Servicios de análisis o gestión de problemas sociales</t>
  </si>
  <si>
    <t>Cuero de gamuza</t>
  </si>
  <si>
    <t>Butilbromuro de hioscina</t>
  </si>
  <si>
    <t>Geófonos sísmicos</t>
  </si>
  <si>
    <t>Mezcladores de aire de oxígeno</t>
  </si>
  <si>
    <t>Bloques porosos</t>
  </si>
  <si>
    <t>Servicio de pruebas de control de la presión de ensayo de la varilla de barrena</t>
  </si>
  <si>
    <t>Dispositivos de bobinar sísmicos</t>
  </si>
  <si>
    <t>Ensambles estructurales con soldadura sónica de acero al carbono</t>
  </si>
  <si>
    <t>Hilado de acrílico</t>
  </si>
  <si>
    <t>Literas o camillas o accesorios para respuesta de emergencia</t>
  </si>
  <si>
    <t>Controles de calidad o calibradores o estándares de análisis de orina</t>
  </si>
  <si>
    <t>Válvulas de mariposa con diseño de casquillo</t>
  </si>
  <si>
    <t>Muñequeras protectoras</t>
  </si>
  <si>
    <t>Materiales de enseñanza para compra de carro</t>
  </si>
  <si>
    <t>Balanzas analíticas</t>
  </si>
  <si>
    <t>Controles de calidad o calibradores o estándares para toxicología</t>
  </si>
  <si>
    <t>Semillas o plántulas de okra</t>
  </si>
  <si>
    <t>Las Coles</t>
  </si>
  <si>
    <t>Servicios de copias en blanco y negro o de cotejo</t>
  </si>
  <si>
    <t>Software de manejo de proyectos</t>
  </si>
  <si>
    <t>Terminales portátiles de ingreso de información</t>
  </si>
  <si>
    <t>Amikacina</t>
  </si>
  <si>
    <t>Telas para tapicería</t>
  </si>
  <si>
    <t>Destornilladores</t>
  </si>
  <si>
    <t>Aires acondicionados</t>
  </si>
  <si>
    <t>Bancos de pruebas de componentes o motores</t>
  </si>
  <si>
    <t>Pilas alcalinas</t>
  </si>
  <si>
    <t>Mestranol</t>
  </si>
  <si>
    <t>Centrífugas de mesa</t>
  </si>
  <si>
    <t>Férulas o stents nasales</t>
  </si>
  <si>
    <t>Espéculos para uso quirúrgico</t>
  </si>
  <si>
    <t>Entretenimiento grabado en video</t>
  </si>
  <si>
    <t>Raquetas de tenis</t>
  </si>
  <si>
    <t>Objetos de plomo fundidos en molde fijo</t>
  </si>
  <si>
    <t>Varillas de zinc</t>
  </si>
  <si>
    <t>Compactadores</t>
  </si>
  <si>
    <t>Tapas sellantes para endoscopia</t>
  </si>
  <si>
    <t>Aciclovir</t>
  </si>
  <si>
    <t>Adaptadores neumáticos</t>
  </si>
  <si>
    <t>Mezclas de suplemento completo para levadura</t>
  </si>
  <si>
    <t>Capacetes de cilindro neumático</t>
  </si>
  <si>
    <t>Impresoras de plotter</t>
  </si>
  <si>
    <t>Carteles para el salón de clase</t>
  </si>
  <si>
    <t>EL VALLE</t>
  </si>
  <si>
    <t>Servicios ferroviarios continentales o intercontinentales</t>
  </si>
  <si>
    <t>Protectores de nervios dentales</t>
  </si>
  <si>
    <t>Películas de alcohol vinilo etileno</t>
  </si>
  <si>
    <t>Camarón vivo</t>
  </si>
  <si>
    <t>Bordes o ribetes corrugados</t>
  </si>
  <si>
    <t>Cementos de caucho</t>
  </si>
  <si>
    <t>Estaciones de soldado, desoldado o mixtas</t>
  </si>
  <si>
    <t>Barras de latón</t>
  </si>
  <si>
    <t>Capsaicina</t>
  </si>
  <si>
    <t>Bitartrato de dihidrocodeína</t>
  </si>
  <si>
    <t>Guantes o mitones</t>
  </si>
  <si>
    <t>Receptores de sistemas de posicionamiento global</t>
  </si>
  <si>
    <t>Materiales de enseñanza para proyectos de acolchado</t>
  </si>
  <si>
    <t>Higiene o ventilación industrial</t>
  </si>
  <si>
    <t>Vehículos de transporte a grane</t>
  </si>
  <si>
    <t>Butilhidroxianisol</t>
  </si>
  <si>
    <t>Reportero de ensayo genético</t>
  </si>
  <si>
    <t>Materiales o accesorios plásticos amigables maleables a bajas temperaturas</t>
  </si>
  <si>
    <t>Servicios de vacunación</t>
  </si>
  <si>
    <t>Promecio pm</t>
  </si>
  <si>
    <t>Mesas para planos</t>
  </si>
  <si>
    <t>Hebra de seda</t>
  </si>
  <si>
    <t>Objetos de estaño fundidos en molde cerámico</t>
  </si>
  <si>
    <t>Sistemas de pared principal para uso clínico</t>
  </si>
  <si>
    <t>Decanoato de nandrolona</t>
  </si>
  <si>
    <t>Modelos del desarrollo del campo del campo petrolero</t>
  </si>
  <si>
    <t>Electromiógrafos</t>
  </si>
  <si>
    <t>Refugios o paraísos fiscales</t>
  </si>
  <si>
    <t>Kits de lavado para diálisis peritoneal</t>
  </si>
  <si>
    <t>Motores neumáticos</t>
  </si>
  <si>
    <t>Estación de servicios de rescate</t>
  </si>
  <si>
    <t>Rosales</t>
  </si>
  <si>
    <t>Perforadora de avance</t>
  </si>
  <si>
    <t>Máquinas de forja radial</t>
  </si>
  <si>
    <t>Ayudas de costura para los discapacitados físicamente</t>
  </si>
  <si>
    <t>Broncoscopios o accesorios</t>
  </si>
  <si>
    <t>Cinta de máquinas de escribir</t>
  </si>
  <si>
    <t>Poliacrilato acm</t>
  </si>
  <si>
    <t>Portaobjetos de microscopio</t>
  </si>
  <si>
    <t>Rodamientos de rodillos</t>
  </si>
  <si>
    <t>Aumentadores de la rata de penetración</t>
  </si>
  <si>
    <t>Punzones para grabado</t>
  </si>
  <si>
    <t>Imanes de neodimio</t>
  </si>
  <si>
    <t>Servicios de edición</t>
  </si>
  <si>
    <t>Alambre para interconexiones</t>
  </si>
  <si>
    <t>Samario sm</t>
  </si>
  <si>
    <t>Moldes para dar forma a los compuestos para modelado</t>
  </si>
  <si>
    <t>Ensambles de láminas soldadas con soldadura fuerte o débil de acero al carbono</t>
  </si>
  <si>
    <t>Batas de baño</t>
  </si>
  <si>
    <t>Computadores notebook</t>
  </si>
  <si>
    <t>Objetos maquinados de titanio fundidos en arena</t>
  </si>
  <si>
    <t>Citrato de amonio férrico</t>
  </si>
  <si>
    <t>Nicorandi</t>
  </si>
  <si>
    <t>Inyectores</t>
  </si>
  <si>
    <t>Máquinas de Torción</t>
  </si>
  <si>
    <t>HILOS QUIRURGICOS 2</t>
  </si>
  <si>
    <t>Ámina</t>
  </si>
  <si>
    <t>Gorro de quirófano para personal médico</t>
  </si>
  <si>
    <t>Cancioneros</t>
  </si>
  <si>
    <t>Reactivos analizadores de histología</t>
  </si>
  <si>
    <t>Probadores de abrasión</t>
  </si>
  <si>
    <t>Neumotacos</t>
  </si>
  <si>
    <t>Buques de cruceros</t>
  </si>
  <si>
    <t>Tablas o accesorios para autopsias</t>
  </si>
  <si>
    <t>Forjas de aluminio maquinadas por anillo enrollado</t>
  </si>
  <si>
    <t>Ensambles de tubería atornillada de acero inoxidable</t>
  </si>
  <si>
    <t>Modelos geométricos sólidos</t>
  </si>
  <si>
    <t>Nilutamida</t>
  </si>
  <si>
    <t>Programación para assembler</t>
  </si>
  <si>
    <t>Trifosfatos deoxinucleotidos dntps</t>
  </si>
  <si>
    <t>Sistemas de alarma</t>
  </si>
  <si>
    <t>Papeles cartulina</t>
  </si>
  <si>
    <t>Administración de emisoras de televisión</t>
  </si>
  <si>
    <t>Patos (bacinillas) para uso general</t>
  </si>
  <si>
    <t>Forjaduras en estampa abierta de cobre</t>
  </si>
  <si>
    <t>Rotores</t>
  </si>
  <si>
    <t>Tenazas de corte final</t>
  </si>
  <si>
    <t>Equipo de red de entrega de contenido</t>
  </si>
  <si>
    <t>Diamantes industriales</t>
  </si>
  <si>
    <t>Recipientes de plástico</t>
  </si>
  <si>
    <t>Máquinas para derretir nieve o hielo</t>
  </si>
  <si>
    <t>Muletas o accesorios para muletas</t>
  </si>
  <si>
    <t>Transportadores de carga a granel</t>
  </si>
  <si>
    <t>Libra </t>
  </si>
  <si>
    <t>Mezcladores de cócteles o accesorios</t>
  </si>
  <si>
    <t>Manostatos</t>
  </si>
  <si>
    <t>Boquillas</t>
  </si>
  <si>
    <t>Productos para el cuidado de los pies</t>
  </si>
  <si>
    <t>Techado prearmado</t>
  </si>
  <si>
    <t>Asociaciones deportivas del personal</t>
  </si>
  <si>
    <t>Bloques o poleas</t>
  </si>
  <si>
    <t>Ejes de cardán</t>
  </si>
  <si>
    <t>Kits o vectores de clonación de reacción en cadena de polimerasa pcr</t>
  </si>
  <si>
    <t>Tapones de drenaje (de aceite)</t>
  </si>
  <si>
    <t>Alambre de aluminio</t>
  </si>
  <si>
    <t>Servicios de producción de vacunas, sueros o antibióticos</t>
  </si>
  <si>
    <t>Acoplamiento neumático</t>
  </si>
  <si>
    <t>Moldes para matrizar</t>
  </si>
  <si>
    <t>53111501</t>
  </si>
  <si>
    <t>MEDICAMENTOS  ANALGESICOS Y ANTIPIRECTICOS  2</t>
  </si>
  <si>
    <t>85121808</t>
  </si>
  <si>
    <t>Kits de montaje</t>
  </si>
  <si>
    <t>Relaciones laborales o con los sindicatos</t>
  </si>
  <si>
    <t>Sargramostim</t>
  </si>
  <si>
    <t>30171514</t>
  </si>
  <si>
    <t>51161811</t>
  </si>
  <si>
    <t>Máquinas de vapor para planchar</t>
  </si>
  <si>
    <t>Servicios de transcripción</t>
  </si>
  <si>
    <t>Espátulas de células</t>
  </si>
  <si>
    <t>Arenisca</t>
  </si>
  <si>
    <t>Clavos de tapicería</t>
  </si>
  <si>
    <t>Accesorios de encordado o acordonado</t>
  </si>
  <si>
    <t>Sets de instrumentos quirúrgicos generales</t>
  </si>
  <si>
    <t>Cepillos para instrumentos estériles o estiletes instrumentales o pañitos limpiadores de instrumentos para uso quirúrgico</t>
  </si>
  <si>
    <t>Paquetes de muebles secretariales no modulares</t>
  </si>
  <si>
    <t>Sorgo para forraje</t>
  </si>
  <si>
    <t>Unidades de disco de motor</t>
  </si>
  <si>
    <t>Ensambles de placas soldadas con soldadura ultra violeta de aleación wasp</t>
  </si>
  <si>
    <t>Separadores de difusión</t>
  </si>
  <si>
    <t>Comprobantes</t>
  </si>
  <si>
    <t>Millar</t>
  </si>
  <si>
    <t>Equipos de afeitado o piezas de mano o cuchillas o accesorios para uso quirúrgico</t>
  </si>
  <si>
    <t>Plomos o pesos comerciales</t>
  </si>
  <si>
    <t>Semillas o plántulas de lechuga</t>
  </si>
  <si>
    <t>Porta trajes</t>
  </si>
  <si>
    <t>Aparatos de hipotermia</t>
  </si>
  <si>
    <t>Forjas de bronce maquinadas con impresión por troquel</t>
  </si>
  <si>
    <t>Pie cúbico</t>
  </si>
  <si>
    <t>Bridas de orificio</t>
  </si>
  <si>
    <t>Clubes o consorcios de trueque</t>
  </si>
  <si>
    <t>Tubos de irrigación urinaria</t>
  </si>
  <si>
    <t>Ensambles de láminas soldadas con soldadura solvente de inconel</t>
  </si>
  <si>
    <t>Encuadernación por carda o grapa</t>
  </si>
  <si>
    <t>Motores de turbina</t>
  </si>
  <si>
    <t>Arcillas de fundición</t>
  </si>
  <si>
    <t>Ramipril</t>
  </si>
  <si>
    <t>Tuercas de prensa</t>
  </si>
  <si>
    <t>Reproductores o grabadoras mp3</t>
  </si>
  <si>
    <t>Levantadores de hojas</t>
  </si>
  <si>
    <t>Levas de bloqueo</t>
  </si>
  <si>
    <t>Servicios de programación de la nutrición</t>
  </si>
  <si>
    <t>Abarrotes y otros</t>
  </si>
  <si>
    <t>Estuches para ayudas auditivas</t>
  </si>
  <si>
    <t>Servicios de registro acústico dipolar</t>
  </si>
  <si>
    <t>Diacs</t>
  </si>
  <si>
    <t>Filtros de insuflación endoscópica</t>
  </si>
  <si>
    <t>Pinceles para acuarela</t>
  </si>
  <si>
    <t>Iluminación para salas de cirugía o accesorios</t>
  </si>
  <si>
    <t>Mazas de hierro</t>
  </si>
  <si>
    <t>Objetos de latón fundidos por proceso en v</t>
  </si>
  <si>
    <t>Impresión de publicaciones</t>
  </si>
  <si>
    <t>Clorhidrato de procarbazina</t>
  </si>
  <si>
    <t>Servicios consulares</t>
  </si>
  <si>
    <t>Equipo de análisis de muestras de plantas</t>
  </si>
  <si>
    <t>Sartenes para uso doméstico</t>
  </si>
  <si>
    <t>Kits para implantes dentales</t>
  </si>
  <si>
    <t>Forjas de aleación ferrosa maquinadas con impresión por troquel</t>
  </si>
  <si>
    <t>47101504</t>
  </si>
  <si>
    <t>Cangrejos vivos</t>
  </si>
  <si>
    <t>Insertores o removedores de lentes de contacto</t>
  </si>
  <si>
    <t>Aparatos “kjeldahl” para la determinación de nitrógeno</t>
  </si>
  <si>
    <t>Bayahíbe</t>
  </si>
  <si>
    <t>27112003</t>
  </si>
  <si>
    <t>Ensambles de placas soldadas de aluminio</t>
  </si>
  <si>
    <t>Ensambles de barras remachadas de acero al carbono</t>
  </si>
  <si>
    <t>Raspa</t>
  </si>
  <si>
    <t>Servicios de empacado de grava del campo petrolero</t>
  </si>
  <si>
    <t>Químicos de control de olor</t>
  </si>
  <si>
    <t>Generadores a gas</t>
  </si>
  <si>
    <t>Ensambles de barras soldadas con soldadura ultra violeta no metálica</t>
  </si>
  <si>
    <t>Reorganización de la deuda</t>
  </si>
  <si>
    <t>Producción de cultivos de tabaco</t>
  </si>
  <si>
    <t>Sets filiformes para la trompa de eustaquio</t>
  </si>
  <si>
    <t>Cortadores químicos de cable de recuperación</t>
  </si>
  <si>
    <t>Traperos húmedos</t>
  </si>
  <si>
    <t>Estudios hidrológicos</t>
  </si>
  <si>
    <t>Balsas</t>
  </si>
  <si>
    <t>Servicios de talleres postales</t>
  </si>
  <si>
    <t>Dispensadores de tapas de botella</t>
  </si>
  <si>
    <t>Ensambles de láminas atornilladas de inconel</t>
  </si>
  <si>
    <t>Productos ortóticos o para el cuidado de los pies</t>
  </si>
  <si>
    <t>Tarjetas aceleradoras de gráficas o video</t>
  </si>
  <si>
    <t>Convertidores de barrido (scan)</t>
  </si>
  <si>
    <t>Silvicultura</t>
  </si>
  <si>
    <t>Componentes de titanio formados por estiramiento</t>
  </si>
  <si>
    <t>Ruedas de oración</t>
  </si>
  <si>
    <t>Varillas de cobre</t>
  </si>
  <si>
    <t>Objetos maquinados de metal precioso fundidos en molde de grafito</t>
  </si>
  <si>
    <t>Túnel para ferrocarril</t>
  </si>
  <si>
    <t>41106006</t>
  </si>
  <si>
    <t>Trimebutina</t>
  </si>
  <si>
    <t>Llaves de cinta</t>
  </si>
  <si>
    <t>Forros para botones</t>
  </si>
  <si>
    <t>Conductos de caucho</t>
  </si>
  <si>
    <t>Ladrillos de concreto</t>
  </si>
  <si>
    <t>Ropa atlética para hombre</t>
  </si>
  <si>
    <t>Servicios de cementar geo térmico de pozo</t>
  </si>
  <si>
    <t>Enfriadores de agua de rayos x para uso médico</t>
  </si>
  <si>
    <t>Servicios de producción de químicos inorgánicos</t>
  </si>
  <si>
    <t>Relés de interrupción de fase</t>
  </si>
  <si>
    <t>Bandas de impresión</t>
  </si>
  <si>
    <t>Catéteres de línea arterial</t>
  </si>
  <si>
    <t>Termopozos</t>
  </si>
  <si>
    <t>Forjas de plomo maquinadas con troquel cerrado</t>
  </si>
  <si>
    <t>Tintes o suministros de uso odontológico</t>
  </si>
  <si>
    <t>51172109</t>
  </si>
  <si>
    <t>Diagramas de astronomía</t>
  </si>
  <si>
    <t>Reactivos analizadores de microbiología</t>
  </si>
  <si>
    <t>Estructuras de soporte de boca de pozo</t>
  </si>
  <si>
    <t>Servicios de codificación de software</t>
  </si>
  <si>
    <t>Carne de ave o carne congelada</t>
  </si>
  <si>
    <t>Extrusoras para materiales de modelado</t>
  </si>
  <si>
    <t>51111701</t>
  </si>
  <si>
    <t>Máquinas contadoras de dinero</t>
  </si>
  <si>
    <t>Poliftalamida (PPA)</t>
  </si>
  <si>
    <t>Inflado de montaje de llantas</t>
  </si>
  <si>
    <t>Equipo de paracaidismo</t>
  </si>
  <si>
    <t>Manijas de elevación para contenedores o bandejas de esterilización</t>
  </si>
  <si>
    <t>Tintas para textiles a base de aceite</t>
  </si>
  <si>
    <t>Frutas y vegetales 2</t>
  </si>
  <si>
    <t>Accesorios para esmaltar</t>
  </si>
  <si>
    <t>Colector de desviación</t>
  </si>
  <si>
    <t>51101593</t>
  </si>
  <si>
    <t>Solución de vinilo</t>
  </si>
  <si>
    <t>Extrusiones por impacto de cobre</t>
  </si>
  <si>
    <t>51152001</t>
  </si>
  <si>
    <t>Servicios temporales de arquitectura</t>
  </si>
  <si>
    <t>Bromuro de rapacuronio</t>
  </si>
  <si>
    <t>Mezcladores de rodillo</t>
  </si>
  <si>
    <t>Papel calcante</t>
  </si>
  <si>
    <t>Servicios de asesoría para estudios en el extranjero</t>
  </si>
  <si>
    <t>Analizadores de iones</t>
  </si>
  <si>
    <t>Oxibuprocaína</t>
  </si>
  <si>
    <t>Ensambles de barras soldadas con soldadura sónica de acero al carbono</t>
  </si>
  <si>
    <t>Hojas de papel para acuarela</t>
  </si>
  <si>
    <t>Servicios de producción de carbón</t>
  </si>
  <si>
    <t>Dronabinol</t>
  </si>
  <si>
    <t>Encintado de los pasahilos</t>
  </si>
  <si>
    <t>Cartulina metalizada</t>
  </si>
  <si>
    <t>Palos para convulsiones</t>
  </si>
  <si>
    <t>Incubadoras para uso médico</t>
  </si>
  <si>
    <t>Movimientos para la  liberación femenina</t>
  </si>
  <si>
    <t>Servicios de enfriamiento o refrigeración</t>
  </si>
  <si>
    <t>Software de logística de planeación de requerimiento de materiales y cadena de suministros</t>
  </si>
  <si>
    <t>EXCEPCIÓN - CONSTRUCCIÓN, INSTALACIÓN O ADQUISICIÓN DE OFICINAS PARA EL SERVICIO EXTERIOR</t>
  </si>
  <si>
    <t>Servicios de recuperación de tubería electromagnética</t>
  </si>
  <si>
    <t>Objetos maquinados no metálicos fundidos en molde de grafito</t>
  </si>
  <si>
    <t>Unidades de grabación de conversaciones</t>
  </si>
  <si>
    <t>Equipo de transporte de fracturación usando unidades de soporte</t>
  </si>
  <si>
    <t>Cinta de bísmalemida</t>
  </si>
  <si>
    <t>Líquido de retracción gingival</t>
  </si>
  <si>
    <t>Trípodes para cámaras</t>
  </si>
  <si>
    <t>Mobiliario para hornos</t>
  </si>
  <si>
    <t>Servicios de registro de resistencia</t>
  </si>
  <si>
    <t>Grabadoras de cintas magnéticas</t>
  </si>
  <si>
    <t>Fundición en arena de aleación ferrosa</t>
  </si>
  <si>
    <t>Malacates o güinches</t>
  </si>
  <si>
    <t>Condensadores (espesantes)</t>
  </si>
  <si>
    <t>Nitroprusiato de sodio</t>
  </si>
  <si>
    <t>Ángulos de aleación ferrosa</t>
  </si>
  <si>
    <t>Soportes para correas</t>
  </si>
  <si>
    <t>Materiales o marcadores de identificación de equipos</t>
  </si>
  <si>
    <t>Termómetros clínicos para uso veterinario</t>
  </si>
  <si>
    <t>Vástagos de succión de aleación de acero</t>
  </si>
  <si>
    <t>70171802</t>
  </si>
  <si>
    <t>Cosedoras para cierre de piel</t>
  </si>
  <si>
    <t>Clavecines</t>
  </si>
  <si>
    <t>Cornos franceses</t>
  </si>
  <si>
    <t>Cabezales de cemento bajo el mar</t>
  </si>
  <si>
    <t>51121710</t>
  </si>
  <si>
    <t>Medidores de agua</t>
  </si>
  <si>
    <t>Conductos de cobre</t>
  </si>
  <si>
    <t>Óxidos inorgánicos</t>
  </si>
  <si>
    <t>Trituradores de roca</t>
  </si>
  <si>
    <t>51121725</t>
  </si>
  <si>
    <t>Servicios o programas de relaciones de inversionistas</t>
  </si>
  <si>
    <t>Sistemas de audio conferencias</t>
  </si>
  <si>
    <t>Ventiladores para cuidado intensivo de bebés</t>
  </si>
  <si>
    <t>Servicios de implementación de aplicaciones</t>
  </si>
  <si>
    <t>Cuchillas para paspartú</t>
  </si>
  <si>
    <t>Amoxapina</t>
  </si>
  <si>
    <t>Cefprozil</t>
  </si>
  <si>
    <t>Pan congelado</t>
  </si>
  <si>
    <t>Gorras deportivas</t>
  </si>
  <si>
    <t>INSUMOS HOSPITALIZACION GENERAL</t>
  </si>
  <si>
    <t>Palmar de Ocoa</t>
  </si>
  <si>
    <t>Libros de recursos de verbos</t>
  </si>
  <si>
    <t>Anillos elásticos</t>
  </si>
  <si>
    <t>Bóvedas formadas</t>
  </si>
  <si>
    <t>Cintas de seda</t>
  </si>
  <si>
    <t>42222304</t>
  </si>
  <si>
    <t>Adhesivos brillantes</t>
  </si>
  <si>
    <t>Flurbiprofen sódico</t>
  </si>
  <si>
    <t>Cables para auriculares de teléfonos</t>
  </si>
  <si>
    <t>Carcasas de embrague</t>
  </si>
  <si>
    <t>Forjas de aluminio maquinadas con troquel cerrado</t>
  </si>
  <si>
    <t>43201538</t>
  </si>
  <si>
    <t>Estuches para transportar o almacenar sets de inmovilización para servicios médicos de emergencia</t>
  </si>
  <si>
    <t>Componentes de estaño maquinados por extrusión en caliente</t>
  </si>
  <si>
    <t>Tarjetas de actividades para trabajar material didáctico manipulable de matemáticas temprana</t>
  </si>
  <si>
    <t>Chamanes</t>
  </si>
  <si>
    <t>Libros de recursos de historia</t>
  </si>
  <si>
    <t>Servicios de estudio fotográfico  o fotos fijas</t>
  </si>
  <si>
    <t>Bolsas para enema</t>
  </si>
  <si>
    <t>Geles de baño</t>
  </si>
  <si>
    <t>Servicios de exterminación o fumigación</t>
  </si>
  <si>
    <t>Cinta metálica</t>
  </si>
  <si>
    <t>Articaína</t>
  </si>
  <si>
    <t>MEDICAMENTOS VASOPROTECTOR 3</t>
  </si>
  <si>
    <t>Colorantes fdc seguros para alimentos o cosméticos</t>
  </si>
  <si>
    <t>Núcleo de panal de acero</t>
  </si>
  <si>
    <t>Efedrina</t>
  </si>
  <si>
    <t>Gravímetros</t>
  </si>
  <si>
    <t>Tuercas de resorte</t>
  </si>
  <si>
    <t>Carritos para catéteres</t>
  </si>
  <si>
    <t>Agujas de insuflación endoscópica</t>
  </si>
  <si>
    <t>Prensaestopas</t>
  </si>
  <si>
    <t>Pantuflas para niña</t>
  </si>
  <si>
    <t>Resina polietersulfona</t>
  </si>
  <si>
    <t>Pipetas de caída</t>
  </si>
  <si>
    <t>Cobertores o cobijas de protección contra el calor para servicios médicos de emergencia</t>
  </si>
  <si>
    <t>Colegios de abogados</t>
  </si>
  <si>
    <t>Removedores de pegamento o adhesivo para uso médico</t>
  </si>
  <si>
    <t>Bobina de chapa de aluminio</t>
  </si>
  <si>
    <t>Orificios de ajuste</t>
  </si>
  <si>
    <t>Impresión textil</t>
  </si>
  <si>
    <t>42182013</t>
  </si>
  <si>
    <t>Componentes de acero maquinados por extrusión en caliente</t>
  </si>
  <si>
    <t>42222008</t>
  </si>
  <si>
    <t>14111601</t>
  </si>
  <si>
    <t>Culata de cilindro</t>
  </si>
  <si>
    <t>Diapasones</t>
  </si>
  <si>
    <t>Vara de extensión</t>
  </si>
  <si>
    <t>Componentes de latón maquinados por extrusión de impacto</t>
  </si>
  <si>
    <t>Separadores de granos finos de lodo</t>
  </si>
  <si>
    <t>Simuladores o dispositivos de aseguramiento de calidad o de calibración para tomografía computarizada ct o cat para uso médico</t>
  </si>
  <si>
    <t>Ensamblajes de vial de infusión de analgésicos</t>
  </si>
  <si>
    <t>Alcanos</t>
  </si>
  <si>
    <t>Bibliotecas gubernamentales o militares nacionales</t>
  </si>
  <si>
    <t>47132102</t>
  </si>
  <si>
    <t>Válvulas de motor</t>
  </si>
  <si>
    <t>Cabezales de impresión</t>
  </si>
  <si>
    <t>Kellys</t>
  </si>
  <si>
    <t xml:space="preserve">Para la compra de utilensilios de cocina </t>
  </si>
  <si>
    <t>51111711</t>
  </si>
  <si>
    <t>14121504</t>
  </si>
  <si>
    <t>Tubería de magnesio</t>
  </si>
  <si>
    <t>INSUMOS DE LABORATORIO ESPECIALES</t>
  </si>
  <si>
    <t>56122004</t>
  </si>
  <si>
    <t>Servicios de diseño de gráficos o gráficas</t>
  </si>
  <si>
    <t>Servicios de tratamiento de materiales anticorrosivos</t>
  </si>
  <si>
    <t>Sal de mesa</t>
  </si>
  <si>
    <t>Vacuna contra el virus de la influenza</t>
  </si>
  <si>
    <t>Almohadilla de topa</t>
  </si>
  <si>
    <t>Mesas o puestos o asientos para tomografía computarizada ct o cat para uso médico</t>
  </si>
  <si>
    <t>Uniformes de personal de ambulancias</t>
  </si>
  <si>
    <t>Puerta de doble barra</t>
  </si>
  <si>
    <t>Libros de actividades del alfabeto</t>
  </si>
  <si>
    <t>Galván</t>
  </si>
  <si>
    <t>Escáneres de radioisótopos para uso médico</t>
  </si>
  <si>
    <t>73121801</t>
  </si>
  <si>
    <t>Servicios de centros de datos</t>
  </si>
  <si>
    <t>Sillas para jardín</t>
  </si>
  <si>
    <t>Economía de la salud</t>
  </si>
  <si>
    <t>Objetos de aleación ferrosa fundidos por proceso en v</t>
  </si>
  <si>
    <t>Elementos de ánodo</t>
  </si>
  <si>
    <t>Fluidos de amortiguación</t>
  </si>
  <si>
    <t>51111606</t>
  </si>
  <si>
    <t>Objetos maquinados en molde permanente de hierro fundidos</t>
  </si>
  <si>
    <t>Analizadores de frecuencia</t>
  </si>
  <si>
    <t>Productos de artesanía multicultural</t>
  </si>
  <si>
    <t>Servicios de inspección o higiene de la carne</t>
  </si>
  <si>
    <t>Escurridores para uso doméstico</t>
  </si>
  <si>
    <t>51131909</t>
  </si>
  <si>
    <t>Nimodipina</t>
  </si>
  <si>
    <t>Kits o materiales de disección</t>
  </si>
  <si>
    <t>Dexametasona</t>
  </si>
  <si>
    <t>Telémetros o buscadores de rango</t>
  </si>
  <si>
    <t>Kits de reacondicionamiento</t>
  </si>
  <si>
    <t>Bolsas de drenaje para ostomía</t>
  </si>
  <si>
    <t>Espejo de bloques para patrones</t>
  </si>
  <si>
    <t>Unidades de brazo c de rayos x para uso médico</t>
  </si>
  <si>
    <t>Cercado de madera</t>
  </si>
  <si>
    <t>Ceras naturales</t>
  </si>
  <si>
    <t>Repuestos o accesorios de sistema mecanizado de soporte en tierra</t>
  </si>
  <si>
    <t>Materiales de enseñanza de análisis de colores personales</t>
  </si>
  <si>
    <t>Pasadores posicionadores</t>
  </si>
  <si>
    <t>Máquinas expendedoras de papas a la francesa</t>
  </si>
  <si>
    <t>Puertas lógicas</t>
  </si>
  <si>
    <t>Escuelas de pilotos</t>
  </si>
  <si>
    <t>Bobinas de motor</t>
  </si>
  <si>
    <t>56101716</t>
  </si>
  <si>
    <t>Polimida pi</t>
  </si>
  <si>
    <t>Kits de reparación de filtros</t>
  </si>
  <si>
    <t>Sindicatos de empleadores</t>
  </si>
  <si>
    <t>Servicios de terminación de pozos inteligentes</t>
  </si>
  <si>
    <t>Ensambles de tubería remachada de acero de aleación baja</t>
  </si>
  <si>
    <t>Columpios o rebotadores o accesorios</t>
  </si>
  <si>
    <t>Asientos acolchonados o accesorios terapéuticos</t>
  </si>
  <si>
    <t>Pantalla de hoyo de desagüe</t>
  </si>
  <si>
    <t>Consolas primarias o remotas o secundarias de imágenes de resonancia magnética mri para uso médico</t>
  </si>
  <si>
    <t>Dextroanfetamina</t>
  </si>
  <si>
    <t>Clorhidrato de amilocaína</t>
  </si>
  <si>
    <t>Bolsas de recolección de unidades de sangre</t>
  </si>
  <si>
    <t>Piezas de acero fundidas a presión</t>
  </si>
  <si>
    <t>Equipo protector para soccer</t>
  </si>
  <si>
    <t>Impresoras de imágenes digitales</t>
  </si>
  <si>
    <t>Protectores de línea de control</t>
  </si>
  <si>
    <t>Fijadores para procesar película de rayos x para uso médico</t>
  </si>
  <si>
    <t>Extrusiones por impacto de caucho</t>
  </si>
  <si>
    <t>Software de diseño asistido de computador cad</t>
  </si>
  <si>
    <t>Trometamina</t>
  </si>
  <si>
    <t>Tubería de plomo</t>
  </si>
  <si>
    <t>Fluconazol</t>
  </si>
  <si>
    <t>Endurecedores de material de impresión para uso odontológico</t>
  </si>
  <si>
    <t>Sociedades médicas</t>
  </si>
  <si>
    <t>Elastómetros</t>
  </si>
  <si>
    <t>Suministros o accesorios de aspiradoras</t>
  </si>
  <si>
    <t>Brazos y ensamblaje de cabezal</t>
  </si>
  <si>
    <t>Baños maría para uso comercial</t>
  </si>
  <si>
    <t>Gases cromatográficos</t>
  </si>
  <si>
    <t>Vigas de aluminio</t>
  </si>
  <si>
    <t>Núcleo de panal de titanio</t>
  </si>
  <si>
    <t>Cortador rotativo de tela o papel</t>
  </si>
  <si>
    <t>Semillas o plántulas de maní</t>
  </si>
  <si>
    <t>Coronas</t>
  </si>
  <si>
    <t>52152101</t>
  </si>
  <si>
    <t>Globos terrestres o celestes</t>
  </si>
  <si>
    <t>Historietas cómicas</t>
  </si>
  <si>
    <t>Sobres o empaques para especímenes o láminas de muestras</t>
  </si>
  <si>
    <t>Contadores electrónicos</t>
  </si>
  <si>
    <t>Poder judicial político o servicios</t>
  </si>
  <si>
    <t>Avena para forraje</t>
  </si>
  <si>
    <t>Rompedores de polímero ácido</t>
  </si>
  <si>
    <t>55121721</t>
  </si>
  <si>
    <t>Servicio de análisis de bases de datos</t>
  </si>
  <si>
    <t>Mepiramina maleato</t>
  </si>
  <si>
    <t>Desecho o desperdicio textil</t>
  </si>
  <si>
    <t>Combinación de esfero y resaltador</t>
  </si>
  <si>
    <t>Servicios de preparación del presupuesto de programas</t>
  </si>
  <si>
    <t>51141919</t>
  </si>
  <si>
    <t>Geles</t>
  </si>
  <si>
    <t>30131703</t>
  </si>
  <si>
    <t>San Juan</t>
  </si>
  <si>
    <t>Hilado de vidrio</t>
  </si>
  <si>
    <t>Termómetros de alimentos o cocina para uso doméstico</t>
  </si>
  <si>
    <t>52151704</t>
  </si>
  <si>
    <t>Jabalinas</t>
  </si>
  <si>
    <t>Servicios de investigación embriológica</t>
  </si>
  <si>
    <t>Pétalos secos</t>
  </si>
  <si>
    <t>Carritos o estantes para sutura</t>
  </si>
  <si>
    <t>Embarcación para dragados</t>
  </si>
  <si>
    <t>Revestimientos para cromatografía de gas</t>
  </si>
  <si>
    <t>Clorhidrato de nafazolina</t>
  </si>
  <si>
    <t>Servicios de preparación del mercado para cultivos extensivos</t>
  </si>
  <si>
    <t>Rebosamientos de tuberías de producción</t>
  </si>
  <si>
    <t>Puertas giratorias</t>
  </si>
  <si>
    <t>Oxiquinolina</t>
  </si>
  <si>
    <t>Servicios de registro por resonancia magnética</t>
  </si>
  <si>
    <t>Servicios de recuperación de desastres</t>
  </si>
  <si>
    <t>Paños para lavar</t>
  </si>
  <si>
    <t>Servicios de soldadura con proyección</t>
  </si>
  <si>
    <t>Boca de Cachón</t>
  </si>
  <si>
    <t>Lámparas de vapor de mercurio</t>
  </si>
  <si>
    <t>Puntas de espéculos para escopios o dispensadores de puntas de espéculos para uso médico</t>
  </si>
  <si>
    <t>Polvos abrasivos de uso odontológico</t>
  </si>
  <si>
    <t>22101703</t>
  </si>
  <si>
    <t>LICITACIÓN RESTRINGIDA</t>
  </si>
  <si>
    <t>Hostos</t>
  </si>
  <si>
    <t>Cilindros neumáticos</t>
  </si>
  <si>
    <t>Espirales vaginales o uterinas</t>
  </si>
  <si>
    <t>Forjas de zinc maquinadas por reducción</t>
  </si>
  <si>
    <t>Lamivudina</t>
  </si>
  <si>
    <t>Tripsina cristalizada</t>
  </si>
  <si>
    <t>Escariadores o punzones de mano para uso quirúrgico</t>
  </si>
  <si>
    <t>Mupirocina</t>
  </si>
  <si>
    <t>Pesca por sonar</t>
  </si>
  <si>
    <t>Limpiadores de automotores</t>
  </si>
  <si>
    <t>Platinas de impresión</t>
  </si>
  <si>
    <t>Hierbas secas</t>
  </si>
  <si>
    <t>Materiales de detección nucleicos y cromogénicos</t>
  </si>
  <si>
    <t>Filtros de bio separación</t>
  </si>
  <si>
    <t>Tanques de procesamiento</t>
  </si>
  <si>
    <t>Leche de cardo</t>
  </si>
  <si>
    <t>Cabezas de adaptador de cable de recuperación</t>
  </si>
  <si>
    <t>Unidades de absorción para aparatos de gas de anestesia</t>
  </si>
  <si>
    <t>Clubes deportivos de invierno</t>
  </si>
  <si>
    <t>Tazas medidoras para uso comercial</t>
  </si>
  <si>
    <t>Remaches para ropa</t>
  </si>
  <si>
    <t>Fosinopril sódico</t>
  </si>
  <si>
    <t>Conductos o red de conductos de cobre</t>
  </si>
  <si>
    <t>Sistemas de análisis de agua</t>
  </si>
  <si>
    <t>Puentes grúas</t>
  </si>
  <si>
    <t>Ensambles de tubos soldados con disolvente de aleación wasp</t>
  </si>
  <si>
    <t>Irbesartán</t>
  </si>
  <si>
    <t>Tendido de cables</t>
  </si>
  <si>
    <t>Cucharas de fundición</t>
  </si>
  <si>
    <t>Ensambles de tubos soldados con soldadura fuerte o débil de aleación wasp</t>
  </si>
  <si>
    <t>Equipo de carga</t>
  </si>
  <si>
    <t>Papel higiénico</t>
  </si>
  <si>
    <t>Servicios de ortopedia</t>
  </si>
  <si>
    <t>Cámaras para debajo del agua</t>
  </si>
  <si>
    <t>Rollos de instrumentos para instrumentos o accesorios quirúrgicos post mortem</t>
  </si>
  <si>
    <t>Lienzos mortuorios</t>
  </si>
  <si>
    <t>Experimentación con animales</t>
  </si>
  <si>
    <t>Pastel seco</t>
  </si>
  <si>
    <t>Coque</t>
  </si>
  <si>
    <t>Servicios de ingeniería para perforación de pozos</t>
  </si>
  <si>
    <t>Sensores de resistencia o conductividad eléctrica</t>
  </si>
  <si>
    <t>Químicos de impresiones latentes para uso forense</t>
  </si>
  <si>
    <t>Servicios temporales de ingeniería</t>
  </si>
  <si>
    <t>Juncos para cestería</t>
  </si>
  <si>
    <t>Remolque de motocicleta</t>
  </si>
  <si>
    <t>Rodapiés</t>
  </si>
  <si>
    <t>Cetonas o quinonas o sus sustitutos</t>
  </si>
  <si>
    <t>Tranvías</t>
  </si>
  <si>
    <t>Paquetes mortuorios</t>
  </si>
  <si>
    <t>Calcomanías</t>
  </si>
  <si>
    <t>HIGUAMO</t>
  </si>
  <si>
    <t>14111507</t>
  </si>
  <si>
    <t>44121613</t>
  </si>
  <si>
    <t>Material de elaboración de muestras para recintos radiactivos</t>
  </si>
  <si>
    <t>72101703</t>
  </si>
  <si>
    <t>31162702</t>
  </si>
  <si>
    <t>Polynoxylin</t>
  </si>
  <si>
    <t>42281603</t>
  </si>
  <si>
    <t>Servicios de tendido de conductos o tuberías de producción</t>
  </si>
  <si>
    <t>Guías de onda del avión</t>
  </si>
  <si>
    <t>Estudio de vertederos de desechos industriales</t>
  </si>
  <si>
    <t>Mesas o accesorios para procedimientos de cesáreas o salas de partos o productos relacionados</t>
  </si>
  <si>
    <t>Unidades electrónicas nucleares nim</t>
  </si>
  <si>
    <t>Vagones de pasajeros</t>
  </si>
  <si>
    <t>Cartulina de sulfito</t>
  </si>
  <si>
    <t>Unidades de magneto óptico mo</t>
  </si>
  <si>
    <t>Endoscopios flexibles o accesorios o productos relacionados</t>
  </si>
  <si>
    <t>Máquinas agrícolas de briqueta</t>
  </si>
  <si>
    <t>Papel kits de papeles surtidos</t>
  </si>
  <si>
    <t>Kits de mantenimiento antiestáticos</t>
  </si>
  <si>
    <t>Stands</t>
  </si>
  <si>
    <t>Rodamiento de agujas</t>
  </si>
  <si>
    <t>Cuerda de nylon</t>
  </si>
  <si>
    <t>Equipo para operar el revestimiento para conductor</t>
  </si>
  <si>
    <t>Carbonato de litio</t>
  </si>
  <si>
    <t>Muelles de extensión</t>
  </si>
  <si>
    <t>Sustitutos de huevo</t>
  </si>
  <si>
    <t>La Cueva</t>
  </si>
  <si>
    <t>Ayudas de entrenamiento para resucitación cardiopulmonar cpr</t>
  </si>
  <si>
    <t>Dihidrocodeina resinato</t>
  </si>
  <si>
    <t>Velas de Cera</t>
  </si>
  <si>
    <t>Collar de perforación</t>
  </si>
  <si>
    <t>Secadores por congelación o liofilizadores</t>
  </si>
  <si>
    <t>Piezas de aluminio forjadas a martinete</t>
  </si>
  <si>
    <t>Mineral de uranio</t>
  </si>
  <si>
    <t>41111704</t>
  </si>
  <si>
    <t>Juegos de acción</t>
  </si>
  <si>
    <t>31181503</t>
  </si>
  <si>
    <t>51111812</t>
  </si>
  <si>
    <t>Carretones de mano o accesorios</t>
  </si>
  <si>
    <t>Ensambles estructurales con soldadura de solvente de acero de aleación baja</t>
  </si>
  <si>
    <t>Tanqueros de taladro sísmico</t>
  </si>
  <si>
    <t>Gabinetes o congeladores ultra fríos o ultra bajos independientes</t>
  </si>
  <si>
    <t>Máquinas de resistencia para la parte inferior del cuerpo</t>
  </si>
  <si>
    <t>Tiras o papeles para prueba de ph</t>
  </si>
  <si>
    <t>Ensambles de tubos soldados con soldadura sónica de latón</t>
  </si>
  <si>
    <t>Vallejuelo</t>
  </si>
  <si>
    <t>Adaptadores de escariadores para uso quirúrgico</t>
  </si>
  <si>
    <t>Vasos de observación para laboratorio</t>
  </si>
  <si>
    <t>Ropa para cuartos de limpieza</t>
  </si>
  <si>
    <t>Hardware o pesas de tracción ortopédica</t>
  </si>
  <si>
    <t>Arrancadoras de troncos</t>
  </si>
  <si>
    <t>Servicio de contabilidad financiera</t>
  </si>
  <si>
    <t>Ensambles de tubos remachados de aluminio</t>
  </si>
  <si>
    <t>Soportes de batería</t>
  </si>
  <si>
    <t>Instrumentos de higiene dental</t>
  </si>
  <si>
    <t>Mineral de cobalto</t>
  </si>
  <si>
    <t>Ferreteria y Pintura 1</t>
  </si>
  <si>
    <t>Ojos móviles decorativos</t>
  </si>
  <si>
    <t>Publicaciones periódicas</t>
  </si>
  <si>
    <t>Extractores de tubería</t>
  </si>
  <si>
    <t>Pilares de aluminio</t>
  </si>
  <si>
    <t>Atenolol</t>
  </si>
  <si>
    <t>Publicidad en periódicos</t>
  </si>
  <si>
    <t>Ropa para demorar el fuego</t>
  </si>
  <si>
    <t>Rieles de máquina</t>
  </si>
  <si>
    <t>Valeriana</t>
  </si>
  <si>
    <t>Objetos maquinados de aleación de níquel fundidos en molde cerámico</t>
  </si>
  <si>
    <t>Concreto conductor</t>
  </si>
  <si>
    <t>Munición para deportes</t>
  </si>
  <si>
    <t>Esmeriladoras</t>
  </si>
  <si>
    <t>Mullita</t>
  </si>
  <si>
    <t>Absorbentes granulares</t>
  </si>
  <si>
    <t>Botas para niña</t>
  </si>
  <si>
    <t>Servicios de construcción de barcos o botes de pesca</t>
  </si>
  <si>
    <t>Retractores cervicales</t>
  </si>
  <si>
    <t>Brocas de mano o de torsión o kits de brocas o accesorios para uso quirúrgico</t>
  </si>
  <si>
    <t>Servicios transporte de carga por carretera (en camión) a nivel regional y nacional</t>
  </si>
  <si>
    <t>Mariscos almacenados en repisa</t>
  </si>
  <si>
    <t>Sistemas de navegación o accesorios para mapeo linfático</t>
  </si>
  <si>
    <t>Cintas contra alteración</t>
  </si>
  <si>
    <t>Solventes de cera de uso odontológico</t>
  </si>
  <si>
    <t>Tornillos de máquina</t>
  </si>
  <si>
    <t>Máquinas exhibidoras de snacks o productos en paquetes pequeños</t>
  </si>
  <si>
    <t>Servicios de cárcel o prisión o penitenciaría</t>
  </si>
  <si>
    <t>Artículos para el cuidado de los ojos</t>
  </si>
  <si>
    <t>Sistemas de codificación o de decodificación</t>
  </si>
  <si>
    <t>Soluciones para diálisis peritoneal</t>
  </si>
  <si>
    <t>Toallas de papel</t>
  </si>
  <si>
    <t>Equipo para cría de ganado</t>
  </si>
  <si>
    <t>Servicios de troquelado</t>
  </si>
  <si>
    <t>Camillas canasta o accesorios</t>
  </si>
  <si>
    <t>Ácido aminocaproico</t>
  </si>
  <si>
    <t>Maquinaria para cargar nitrato de amonio y fuel oil - anfo</t>
  </si>
  <si>
    <t>Clorhidrato de hidroxizina</t>
  </si>
  <si>
    <t>Poliestireno (icopor) ps</t>
  </si>
  <si>
    <t>Sistemas de navegación vehicular</t>
  </si>
  <si>
    <t>Máquinas para pulir lentes</t>
  </si>
  <si>
    <t>Soportes para las rodillas</t>
  </si>
  <si>
    <t>Servicios de extracción de testigos mediante tubería flexible contínua</t>
  </si>
  <si>
    <t>Evaporadores, concentradores o secadores de energía atómica</t>
  </si>
  <si>
    <t>Unidades de la fuente de alimentación de avión</t>
  </si>
  <si>
    <t>Acoplamiento automático del chasis</t>
  </si>
  <si>
    <t>Servicios de redacción  de instrucciones</t>
  </si>
  <si>
    <t>Cintas para cajas registradoras</t>
  </si>
  <si>
    <t>Germicida seco</t>
  </si>
  <si>
    <t>Sets de instrumentos para cirugía maxilofacial</t>
  </si>
  <si>
    <t>Almacenamiento de pescados</t>
  </si>
  <si>
    <t>Puente para pasar un oleoducto</t>
  </si>
  <si>
    <t>Piezas de plomo forjadas a martinete</t>
  </si>
  <si>
    <t>Tambores de elevación</t>
  </si>
  <si>
    <t>Tejidos animales o fluidos corporales</t>
  </si>
  <si>
    <t>Olfatómetros</t>
  </si>
  <si>
    <t>Palmar Arriba</t>
  </si>
  <si>
    <t>Economía o finanzas del transporte</t>
  </si>
  <si>
    <t>Portafolio para dibujos</t>
  </si>
  <si>
    <t>Echinacea</t>
  </si>
  <si>
    <t>El Valle</t>
  </si>
  <si>
    <t>Servicios de terceros de negociaciones o reclamaciones territoriales</t>
  </si>
  <si>
    <t>Servicios de corrección de pruebas</t>
  </si>
  <si>
    <t>Servicios de procesamiento o preparación de datos</t>
  </si>
  <si>
    <t>Mazindol</t>
  </si>
  <si>
    <t>Enrolladores de vendajes</t>
  </si>
  <si>
    <t>Lavado o kits de preparación del paciente para uso quirúrgico</t>
  </si>
  <si>
    <t>Plomo pb</t>
  </si>
  <si>
    <t>PARA USO PACIENTES INCART</t>
  </si>
  <si>
    <t>Yoyós</t>
  </si>
  <si>
    <t>Forjas de aluminio maquinadas con troquel abierto</t>
  </si>
  <si>
    <t>Kits de domo de monitoreo de presión de sangre</t>
  </si>
  <si>
    <t>Bolígrafos</t>
  </si>
  <si>
    <t>Analizadores de absorción de gas químico</t>
  </si>
  <si>
    <t>Servicios de captación de votos</t>
  </si>
  <si>
    <t>Articulos de escritorio 1</t>
  </si>
  <si>
    <t>Válvulas de control</t>
  </si>
  <si>
    <t>Adhesivos basados en la biblia</t>
  </si>
  <si>
    <t>Servicios de formación pedagógica</t>
  </si>
  <si>
    <t>UNIDAD DE CUIDADOS INTENSIVOS 3</t>
  </si>
  <si>
    <t>Ensambles de tubos soldados con soldadura ultra violeta de titanio</t>
  </si>
  <si>
    <t>Servicios de programación de aplicaciones</t>
  </si>
  <si>
    <t>Pastas</t>
  </si>
  <si>
    <t>Servicios de gestión de datos sísmicos</t>
  </si>
  <si>
    <t>Lentejuelas o ribetes decorativos</t>
  </si>
  <si>
    <t>Papel o tejidos de álbum</t>
  </si>
  <si>
    <t>85121801</t>
  </si>
  <si>
    <t>51141921</t>
  </si>
  <si>
    <t>Mercurio hg</t>
  </si>
  <si>
    <t>Fruta estable sin refrigerar</t>
  </si>
  <si>
    <t>Listones de avión</t>
  </si>
  <si>
    <t>Servicios de procesamiento de campos petroleros</t>
  </si>
  <si>
    <t>Buje de automóvil</t>
  </si>
  <si>
    <t>Ventiladores para cuidados intensivos de adultos o pediátricos</t>
  </si>
  <si>
    <t>Incubadoras de cámara dual de tres gases recubierta de agua</t>
  </si>
  <si>
    <t>Reproductor de casetes o grabadora</t>
  </si>
  <si>
    <t>INSUMOS LABORATORIO CLINICO 1</t>
  </si>
  <si>
    <t>Servicio de pruebas periódicas del pozo</t>
  </si>
  <si>
    <t>Medios o suplementos para schizosaccharomyces pombe (levadura de fisión)</t>
  </si>
  <si>
    <t>Motores de par de torsión</t>
  </si>
  <si>
    <t>Limpiones para huecograbado o litografía</t>
  </si>
  <si>
    <t>Afiladores o correas o compuestos histológicos</t>
  </si>
  <si>
    <t>Deflazacort</t>
  </si>
  <si>
    <t>Vestidos folclóricos para bebé</t>
  </si>
  <si>
    <t>Ensambles de láminas soldadas con soldadura ultra violeta de aleación wasp</t>
  </si>
  <si>
    <t>Sistemas de control de iluminación</t>
  </si>
  <si>
    <t>Horquillas ajustables</t>
  </si>
  <si>
    <t>Equipos o accesorios para calentar o secar</t>
  </si>
  <si>
    <t>Películas de cine en discos de video digital dvd</t>
  </si>
  <si>
    <t>Casas residenciales</t>
  </si>
  <si>
    <t>Componentes de cobre formados enrollados</t>
  </si>
  <si>
    <t>Filtros de aceite</t>
  </si>
  <si>
    <t>Osciloscopios</t>
  </si>
  <si>
    <t>Partes o accesorios de soporte para computadores</t>
  </si>
  <si>
    <t>26131603</t>
  </si>
  <si>
    <t>Flecainida</t>
  </si>
  <si>
    <t>Papel de notas autoadhesivas</t>
  </si>
  <si>
    <t>Salvaléon de Higüey</t>
  </si>
  <si>
    <t>Servicios de planificación de reuniones</t>
  </si>
  <si>
    <t>Múltiples para lodo</t>
  </si>
  <si>
    <t>Taladro de perforación en tierra</t>
  </si>
  <si>
    <t>Película o cinta de corrección</t>
  </si>
  <si>
    <t>Betaína</t>
  </si>
  <si>
    <t>Casetes o película de rayos x de uso general para uso médico</t>
  </si>
  <si>
    <t>Acuerdos de garantía</t>
  </si>
  <si>
    <t>Unidades de ultrafiltración continua lenta scuf o productos relacionados</t>
  </si>
  <si>
    <t>Camas o accesorios de cuidado del paciente para cuidado especial</t>
  </si>
  <si>
    <t>Software de pruebas de programas</t>
  </si>
  <si>
    <t>Máquina tajadora</t>
  </si>
  <si>
    <t>30101717</t>
  </si>
  <si>
    <t>Materiales de enseñanza de diseño de jardines</t>
  </si>
  <si>
    <t>Kits de matemáticas para la primera infancia</t>
  </si>
  <si>
    <t>Servicios de embajadas o embajadores</t>
  </si>
  <si>
    <t>Especies o extractos</t>
  </si>
  <si>
    <t>Fundas protectoras de almohada para hospital</t>
  </si>
  <si>
    <t>Circuitos integrados de accionamiento o control por motor</t>
  </si>
  <si>
    <t>Columnas para extracción de fase sólida spe</t>
  </si>
  <si>
    <t>Servicios de fabricación de locomotoras</t>
  </si>
  <si>
    <t>Fusibles de cerámicas</t>
  </si>
  <si>
    <t>Interruptores de seguridad</t>
  </si>
  <si>
    <t>Servicios de fracturación  del pozo de petróleo</t>
  </si>
  <si>
    <t>Resina sulfuro de polifenilene</t>
  </si>
  <si>
    <t>Partes o accesorios no modulares</t>
  </si>
  <si>
    <t>Reactivos analizadores de gas en la sangre</t>
  </si>
  <si>
    <t>Subs de chatarra</t>
  </si>
  <si>
    <t>Bolas de golf</t>
  </si>
  <si>
    <t>Envoltura de yeso</t>
  </si>
  <si>
    <t>Analizadores térmicos diferenciales</t>
  </si>
  <si>
    <t>Insertos o pestañas para archivos</t>
  </si>
  <si>
    <t>Piezas de compresor o accesorios</t>
  </si>
  <si>
    <t>Ropa aislante para entornos fríos</t>
  </si>
  <si>
    <t>Servicios de impresión y duplicación de discos compactos dc</t>
  </si>
  <si>
    <t>Kilómetro cuadrado</t>
  </si>
  <si>
    <t>Laparascopios o telescopios laparoscópicos</t>
  </si>
  <si>
    <t>55121731</t>
  </si>
  <si>
    <t>Montacargas de techo para pacientes</t>
  </si>
  <si>
    <t>Controladores de analizador digital</t>
  </si>
  <si>
    <t>Camas guía</t>
  </si>
  <si>
    <t>Cerivastatina sódica</t>
  </si>
  <si>
    <t>Plutonio enriquecido</t>
  </si>
  <si>
    <t>Lingotes de aluminio</t>
  </si>
  <si>
    <t>Objetos de aleación no ferrosa fundidos en molde fijo</t>
  </si>
  <si>
    <t>Limpieza total de derramamiento de sustancias tóxicas</t>
  </si>
  <si>
    <t>Forjaduras en estampa de impresión de plomo</t>
  </si>
  <si>
    <t>31201505</t>
  </si>
  <si>
    <t>Servicios de entrega (handover) o plan de sucesión del campo petrolero</t>
  </si>
  <si>
    <t>Bastidores o moldes para papel hecho a mano</t>
  </si>
  <si>
    <t>Vacuna meningococo</t>
  </si>
  <si>
    <t>Bolsas o almohadas de hielo terapéuticas</t>
  </si>
  <si>
    <t>Repisas no modulares</t>
  </si>
  <si>
    <t>Necesidades de dotación de personal jurídico temporal</t>
  </si>
  <si>
    <t>Asas de transformadores</t>
  </si>
  <si>
    <t>La Vega</t>
  </si>
  <si>
    <t>Hidrocortisona buteprato</t>
  </si>
  <si>
    <t>Servicios de desviación con aparato para cambiar el trazo de perforación</t>
  </si>
  <si>
    <t>Adenosina</t>
  </si>
  <si>
    <t>Aparejos de maniobras</t>
  </si>
  <si>
    <t>Anteojos de natación o aletas de natación</t>
  </si>
  <si>
    <t>Servicios de recopilación o reporte de información para créditos al consumidor</t>
  </si>
  <si>
    <t>Microscopios monoculares</t>
  </si>
  <si>
    <t>Tornillos esféricos o conjuntos de tornillos esféricos</t>
  </si>
  <si>
    <t>Discos cortadores o separadores para uso odontológico</t>
  </si>
  <si>
    <t>Imanes de ferrita</t>
  </si>
  <si>
    <t>Vectores enfocados a cromosomas</t>
  </si>
  <si>
    <t>Componentes no metálicos perforados</t>
  </si>
  <si>
    <t>Tajadores de alimentos para uso comercial</t>
  </si>
  <si>
    <t>Sustituto de café</t>
  </si>
  <si>
    <t>Filtros de células aglomeradas</t>
  </si>
  <si>
    <t>Gabinetes para almacenamiento de herramientas para trabajar en madera o gabinetes con herramientas</t>
  </si>
  <si>
    <t>Monitores de temperatura para unidades de hemodiálisis</t>
  </si>
  <si>
    <t>Objetos de plomo fundidos por proceso en v</t>
  </si>
  <si>
    <t>Botellas limpiadoras</t>
  </si>
  <si>
    <t>Limpiadores de discos compactos o removedores de rayones</t>
  </si>
  <si>
    <t>Lámparas de proyección</t>
  </si>
  <si>
    <t>Fundentes de soldadura fuerte</t>
  </si>
  <si>
    <t>Convertidores rotativos eléctricos</t>
  </si>
  <si>
    <t>Piezas de estaño fundidas a presión</t>
  </si>
  <si>
    <t>Objetos de estaño fundidos por proceso en v</t>
  </si>
  <si>
    <t>Organizadores individual (sin apoyo)</t>
  </si>
  <si>
    <t>Cefalexina</t>
  </si>
  <si>
    <t>Ensambles de tubos soldados con soldadura sónica de acero inoxidable</t>
  </si>
  <si>
    <t>Ahumadores u hornos para ahumar para uso comercial</t>
  </si>
  <si>
    <t>Servicios de fabricación de herramientas eléctricas</t>
  </si>
  <si>
    <t>Dofetilida</t>
  </si>
  <si>
    <t>Sumidero de alcantarilla</t>
  </si>
  <si>
    <t>Servicios de cuidado de animales domésticos</t>
  </si>
  <si>
    <t>Alfileres o taches</t>
  </si>
  <si>
    <t>Bancos</t>
  </si>
  <si>
    <t>Resina</t>
  </si>
  <si>
    <t>Sets para diagnóstico neurológico</t>
  </si>
  <si>
    <t>Autobuses</t>
  </si>
  <si>
    <t>Instrumentos probadores foto elásticos</t>
  </si>
  <si>
    <t>Cordones para zapatos</t>
  </si>
  <si>
    <t>Rueda aserrada seguidora de patrones</t>
  </si>
  <si>
    <t>Huevos frescos</t>
  </si>
  <si>
    <t>Unidades de catálogo de tarjetas</t>
  </si>
  <si>
    <t>Analizadores de alcohol</t>
  </si>
  <si>
    <t>Fusibles de clase</t>
  </si>
  <si>
    <t>Ipecacuana</t>
  </si>
  <si>
    <t>Rastrillos</t>
  </si>
  <si>
    <t>La Caleta</t>
  </si>
  <si>
    <t>Sistemas de aprendizaje a distancia</t>
  </si>
  <si>
    <t>Videoscopios</t>
  </si>
  <si>
    <t>Transbordadores de pasajeros o vehículos</t>
  </si>
  <si>
    <t>Kits citogenéticos</t>
  </si>
  <si>
    <t>52152002</t>
  </si>
  <si>
    <t>Talegos de esterilización</t>
  </si>
  <si>
    <t>Piedras montadas</t>
  </si>
  <si>
    <t>46171610</t>
  </si>
  <si>
    <t>Furazolidona</t>
  </si>
  <si>
    <t>Interruptores de interface de bus</t>
  </si>
  <si>
    <t>Deslizadoras</t>
  </si>
  <si>
    <t>Monoctanoina</t>
  </si>
  <si>
    <t>Rampas de carga</t>
  </si>
  <si>
    <t>Agujas para máquina de cose</t>
  </si>
  <si>
    <t>Componentes de bronce maquinados por extrusión hidrostática</t>
  </si>
  <si>
    <t>Banda de acero ferroso</t>
  </si>
  <si>
    <t>Máquinas para doblar telas o paños</t>
  </si>
  <si>
    <t>51171821</t>
  </si>
  <si>
    <t>Servicios del consejo nacional</t>
  </si>
  <si>
    <t>Circuitos integrados de aplicaciones específicas (asic)</t>
  </si>
  <si>
    <t>Tablones de madera</t>
  </si>
  <si>
    <t>Alarmas de gas para uso médico</t>
  </si>
  <si>
    <t>Servicios de esparcido de cal</t>
  </si>
  <si>
    <t>Semillas o plántulas de guar</t>
  </si>
  <si>
    <t>Somatostatina</t>
  </si>
  <si>
    <t>Palo Alto</t>
  </si>
  <si>
    <t>Tela acolchada</t>
  </si>
  <si>
    <t>Kit de herramientas para ajustar rodamiento</t>
  </si>
  <si>
    <t>Ginkgo biloba</t>
  </si>
  <si>
    <t>Servicios de recuperación de información de la base de datos a distancia</t>
  </si>
  <si>
    <t>Maquinaria para elaboración de zumos</t>
  </si>
  <si>
    <t>Componentes plásticos maquinados por extrusión en caliente</t>
  </si>
  <si>
    <t>Limpiadores cáusticos</t>
  </si>
  <si>
    <t>Alambre para artefactos</t>
  </si>
  <si>
    <t>Kits de bombas de senos</t>
  </si>
  <si>
    <t>Bandejas o accesorios epidurales</t>
  </si>
  <si>
    <t>Asientos de examen clínico o accesorios</t>
  </si>
  <si>
    <t>Alabantes</t>
  </si>
  <si>
    <t>Colorantes fluorescentes</t>
  </si>
  <si>
    <t>Equipo de motor de caché</t>
  </si>
  <si>
    <t>Agarradores para canecas</t>
  </si>
  <si>
    <t>Ensambles estructurales atornillados de titanio</t>
  </si>
  <si>
    <t>50201712</t>
  </si>
  <si>
    <t>Concepción de La Vega</t>
  </si>
  <si>
    <t>Kits o accesorios de aislamiento de pastas de uso odontológico</t>
  </si>
  <si>
    <t>Clorhidrato de olopatadina</t>
  </si>
  <si>
    <t>Satélites meteorológicos</t>
  </si>
  <si>
    <t>Modelos anatómicos</t>
  </si>
  <si>
    <t>Ensambles de barras soldadas con soldadura ultra violeta de acero al carbono</t>
  </si>
  <si>
    <t>Sondas o varas de medición para uso quirúrgico</t>
  </si>
  <si>
    <t>Ordenación de las cuencas hidrográficas</t>
  </si>
  <si>
    <t>Flumetrina</t>
  </si>
  <si>
    <t>Sujetafusibles</t>
  </si>
  <si>
    <t>Cargador de circuito digital dlc</t>
  </si>
  <si>
    <t>Ollas o calderas para salmón para uso comercial</t>
  </si>
  <si>
    <t>Billeteras para “picture card”</t>
  </si>
  <si>
    <t>OPERACIONES / PLATA FISICA 2</t>
  </si>
  <si>
    <t>Cuentas para macramé</t>
  </si>
  <si>
    <t>Software de integración de aplicaciones de empresas</t>
  </si>
  <si>
    <t>Materiales de enseñanza de habilidades de consumo y comparación de precios</t>
  </si>
  <si>
    <t>Ojos (mirillas) para puertas</t>
  </si>
  <si>
    <t>Objetos maquinados de cinc fundidos en molde en concha</t>
  </si>
  <si>
    <t>Mangas de desplazamiento</t>
  </si>
  <si>
    <t>Tubos de insuflación endoscópica</t>
  </si>
  <si>
    <t>Tela o textil de queso</t>
  </si>
  <si>
    <t>USO CENTRO QUIRURGICO</t>
  </si>
  <si>
    <t>Memoria ram estática (sram)</t>
  </si>
  <si>
    <t>Acero</t>
  </si>
  <si>
    <t>Limitador de papel</t>
  </si>
  <si>
    <t>Semillas o plántulas de canela</t>
  </si>
  <si>
    <t>Componentes compuestos perforados</t>
  </si>
  <si>
    <t>Escudos o máscaras protectoras para resucitación cardiopulmonar cpr</t>
  </si>
  <si>
    <t>Servicios de ingeniería de aplicaciones desbalanceadas</t>
  </si>
  <si>
    <t>Secadores para laboratorio</t>
  </si>
  <si>
    <t>Fluvastatina sódica</t>
  </si>
  <si>
    <t>Sistemas de comunicación pública</t>
  </si>
  <si>
    <t>Ensambles estructurales con soldadura de fuerte o débil no metálica</t>
  </si>
  <si>
    <t>Servicios de fabricación de géneros de tejido ancho</t>
  </si>
  <si>
    <t>Reguladores</t>
  </si>
  <si>
    <t>Carnes y pescados 1</t>
  </si>
  <si>
    <t>Equipo de desagüe</t>
  </si>
  <si>
    <t>Arandelas cuadradas</t>
  </si>
  <si>
    <t>47131503</t>
  </si>
  <si>
    <t>Unidad</t>
  </si>
  <si>
    <t>Cadenas de seguridad</t>
  </si>
  <si>
    <t>Instrumentos o controles de nivel de líquido</t>
  </si>
  <si>
    <t>Grano de harina</t>
  </si>
  <si>
    <t>Pantallas de serigrafía</t>
  </si>
  <si>
    <t>Embutidos 2</t>
  </si>
  <si>
    <t>Estuches o cubiertas para instrumentos o sets de uso odontológico</t>
  </si>
  <si>
    <t>Cacerolas para baño maría</t>
  </si>
  <si>
    <t>Suministros de grabado de dientes</t>
  </si>
  <si>
    <t>Ensambles de placas soldadas con soldadura ultra violeta de acero de aleación baja</t>
  </si>
  <si>
    <t>Pie</t>
  </si>
  <si>
    <t>Diapositivas de física nuclear</t>
  </si>
  <si>
    <t>Mezclas de suplemento brent para levadura</t>
  </si>
  <si>
    <t>Bromuro de clidinio</t>
  </si>
  <si>
    <t>Juntas de velocidad constante</t>
  </si>
  <si>
    <t>Sistemas de grupo electrógeno de pista (apu)</t>
  </si>
  <si>
    <t>Piezas de latón forjadas a martinete</t>
  </si>
  <si>
    <t>Buzones de correo multi recipientes</t>
  </si>
  <si>
    <t>MEDICAMENTOS BRONCODILATADORES, DERMATITIS Y DIURETICOS 2</t>
  </si>
  <si>
    <t>Accesorios para electrocardiografía ekg</t>
  </si>
  <si>
    <t>Clorhidrato de trihexifenidilo</t>
  </si>
  <si>
    <t>Cruces de la tubería de perforación</t>
  </si>
  <si>
    <t>23171619</t>
  </si>
  <si>
    <t>Freidoras para uso comercial</t>
  </si>
  <si>
    <t>Objetos de acero fundidos por proceso en v</t>
  </si>
  <si>
    <t>Servicios de monitoreo del flujo del pozo petrolero o de gas</t>
  </si>
  <si>
    <t>Analizadores de susceptibilidad paramagnética</t>
  </si>
  <si>
    <t>Servicios de limpieza total orgánica de la matriz</t>
  </si>
  <si>
    <t>Bolsas de autotransfusión o transferencia de sangre</t>
  </si>
  <si>
    <t>Ensambles de tubos soldados con disolvente de latón</t>
  </si>
  <si>
    <t>Tablas de acceso público</t>
  </si>
  <si>
    <t>Cuchillos para mantequilla</t>
  </si>
  <si>
    <t>Servicios de terminación multilateral de pozos</t>
  </si>
  <si>
    <t>Reactivos o soluciones o tinturas para inmunología o serología</t>
  </si>
  <si>
    <t>Tuercas de anclaje</t>
  </si>
  <si>
    <t>Bulbos de lirio</t>
  </si>
  <si>
    <t>Ventilador de elevación de avión</t>
  </si>
  <si>
    <t>Colistina metansulfonato</t>
  </si>
  <si>
    <t>Diagramas o dibujos técnicos</t>
  </si>
  <si>
    <t>Cánulas o tubos o accesorios de succión para uso médico</t>
  </si>
  <si>
    <t>Servicios de bombeo a presión del pozo en el emplazamiento</t>
  </si>
  <si>
    <t>Telurómetros</t>
  </si>
  <si>
    <t>Tapones para uso quirúrgico</t>
  </si>
  <si>
    <t>Conjuntos de anillo colector del avión</t>
  </si>
  <si>
    <t>Guías para agujas</t>
  </si>
  <si>
    <t>Calculadoras de función pulmonar</t>
  </si>
  <si>
    <t>Metilcelulosa</t>
  </si>
  <si>
    <t>Impresión promocional o publicitaria</t>
  </si>
  <si>
    <t>Mangos de herramientas</t>
  </si>
  <si>
    <t>Sistemas de entrenamiento de apoyo terrestre</t>
  </si>
  <si>
    <t>Carbonato de calcio</t>
  </si>
  <si>
    <t>Servicios para procesos de apelación</t>
  </si>
  <si>
    <t>Tanques de combustible</t>
  </si>
  <si>
    <t>Servicios sísmicos de pasarela</t>
  </si>
  <si>
    <t>Unidades de disco flexible</t>
  </si>
  <si>
    <t>Tambores no metálicos</t>
  </si>
  <si>
    <t>Sensores análogos sísmicos</t>
  </si>
  <si>
    <t>Camiones de carga</t>
  </si>
  <si>
    <t>Semillas o plántulas de arroz</t>
  </si>
  <si>
    <t>Teteras o cafeteras para uso doméstico</t>
  </si>
  <si>
    <t>Envoltura de tuberías</t>
  </si>
  <si>
    <t>Sujetador de traperos o escobas</t>
  </si>
  <si>
    <t>Canales para montar carpetas</t>
  </si>
  <si>
    <t>Congeladores para almacenar plasma</t>
  </si>
  <si>
    <t>Esterillas para sillas</t>
  </si>
  <si>
    <t>Ángulos de plástico</t>
  </si>
  <si>
    <t>Marrones calientes</t>
  </si>
  <si>
    <t>Bumeranes</t>
  </si>
  <si>
    <t>Puerta de enlace de internet inalámbrico</t>
  </si>
  <si>
    <t>Máquinas de doble nivel no invasivas</t>
  </si>
  <si>
    <t>Viseras para monitores fluoroscopios para uso médico</t>
  </si>
  <si>
    <t>Carcasa  insonorizante de máquina</t>
  </si>
  <si>
    <t>Servicios de publicaciones financiadas por el autor</t>
  </si>
  <si>
    <t>Detección de drogas o alcohol</t>
  </si>
  <si>
    <t>Servicios de diseño de las tareas de fracturación del pozo</t>
  </si>
  <si>
    <t>25111710</t>
  </si>
  <si>
    <t>Asas de paquetes</t>
  </si>
  <si>
    <t>Fertilizante nitrogenado</t>
  </si>
  <si>
    <t>Conectores de cables eléctricos</t>
  </si>
  <si>
    <t>Forjaduras en estampa abierta de berilio</t>
  </si>
  <si>
    <t>Intercaladores o desintercaladores de impresión</t>
  </si>
  <si>
    <t>42271502</t>
  </si>
  <si>
    <t>Recuperadores de ancla</t>
  </si>
  <si>
    <t>Sacos o bolsas para empacar</t>
  </si>
  <si>
    <t>Majagual</t>
  </si>
  <si>
    <t>Oxaprozin</t>
  </si>
  <si>
    <t>Recursos para aprender a hablar latín</t>
  </si>
  <si>
    <t>Ensambles de barras soldadas con soldadura fuerte o débil de titanio</t>
  </si>
  <si>
    <t>Ingeniería de costas</t>
  </si>
  <si>
    <t>Clorhidrato de fluoxetina</t>
  </si>
  <si>
    <t>Insertos cerámicos</t>
  </si>
  <si>
    <t>Tubos de función pulmonar o accesorios</t>
  </si>
  <si>
    <t>Medidores de energía</t>
  </si>
  <si>
    <t>Reguladores de gas</t>
  </si>
  <si>
    <t>Kits de cámaras</t>
  </si>
  <si>
    <t>Conmutadores de llave</t>
  </si>
  <si>
    <t>Rodillos para impresión a mano</t>
  </si>
  <si>
    <t>Soluciones de glutaraldehida</t>
  </si>
  <si>
    <t>Sets de instrumentos endoscópicos</t>
  </si>
  <si>
    <t>Encuestas por correo electrónico para la investigación de mercados</t>
  </si>
  <si>
    <t>Arquitectura de sistemas</t>
  </si>
  <si>
    <t>Bocados para caballos</t>
  </si>
  <si>
    <t>Visiómetros para uso oftálmico</t>
  </si>
  <si>
    <t>Bandas para la cabeza</t>
  </si>
  <si>
    <t>Etiquetas para llaves</t>
  </si>
  <si>
    <t>Servicios de comprobación de hechos</t>
  </si>
  <si>
    <t>41103311</t>
  </si>
  <si>
    <t>Sistemas de impacto repetitivo</t>
  </si>
  <si>
    <t>Maizal</t>
  </si>
  <si>
    <t>Unununium uuu</t>
  </si>
  <si>
    <t>Pijamas o camisas de dormir o batas para bebé</t>
  </si>
  <si>
    <t>Película de ventana</t>
  </si>
  <si>
    <t>Amortiguadores de chispas</t>
  </si>
  <si>
    <t>Rociador manual</t>
  </si>
  <si>
    <t>Servicios de refinanciación</t>
  </si>
  <si>
    <t>Satélites de comunicación</t>
  </si>
  <si>
    <t>Equipo central de satélite</t>
  </si>
  <si>
    <t>Servicios de transmisión por telex</t>
  </si>
  <si>
    <t>Cal viva</t>
  </si>
  <si>
    <t>Forjaduras en estampa abierta de estaño</t>
  </si>
  <si>
    <t>Ensambles de barras soldadas con solvente de aluminio</t>
  </si>
  <si>
    <t>Semillas o plántulas de vainilla</t>
  </si>
  <si>
    <t>El Pozo</t>
  </si>
  <si>
    <t>Análisis de cadenas de suministro o servicios de reingeniería</t>
  </si>
  <si>
    <t>48101511</t>
  </si>
  <si>
    <t>Otras soluciones reguladoras</t>
  </si>
  <si>
    <t>Pesca de ballenas</t>
  </si>
  <si>
    <t>Estuches o bolsas de productos de extracción para servicios médicos de emergencia</t>
  </si>
  <si>
    <t>Retractores de vena</t>
  </si>
  <si>
    <t>Sistemas de irrigación de heridas</t>
  </si>
  <si>
    <t>Calcio ca</t>
  </si>
  <si>
    <t>51191510</t>
  </si>
  <si>
    <t>Tarjetas del alfabeto para murales</t>
  </si>
  <si>
    <t>Cuchillas de mezcladora</t>
  </si>
  <si>
    <t>Componentes de cobre formados en torno</t>
  </si>
  <si>
    <t>Clorhidrato de metanfetamina</t>
  </si>
  <si>
    <t>Clorhidrato de molindona</t>
  </si>
  <si>
    <t>Servicios de revestimiento de pozos en su emplazamiento</t>
  </si>
  <si>
    <t>Bandejas para propósitos generales</t>
  </si>
  <si>
    <t>Cordón de macramé</t>
  </si>
  <si>
    <t>Espectrómetros de absorción atómica aa</t>
  </si>
  <si>
    <t>Materiales de enseñanza de equivalencias o matemáticas en la cocina</t>
  </si>
  <si>
    <t>Tapas para válvulas de sangre para unidades de hemodiálisis</t>
  </si>
  <si>
    <t>Básculas para medir el peso corporal</t>
  </si>
  <si>
    <t>Pistolas de calafateo eléctricas</t>
  </si>
  <si>
    <t>Papel crepé tratado con látex</t>
  </si>
  <si>
    <t>Albendazol</t>
  </si>
  <si>
    <t>Remaches de compresión</t>
  </si>
  <si>
    <t>Adaptadores o conectores o candados o tapas o protectores para tubos arteriales o intravenosos</t>
  </si>
  <si>
    <t>Jeringas sin agujas para uso médico</t>
  </si>
  <si>
    <t>Clorhidrato de remifentanilo</t>
  </si>
  <si>
    <t>Pralidoxima</t>
  </si>
  <si>
    <t>Fumarato de clemastina</t>
  </si>
  <si>
    <t>Calcetines</t>
  </si>
  <si>
    <t>Estradiol</t>
  </si>
  <si>
    <t>Kits de purificación de fagos de ácido desoxirribonucleico dna</t>
  </si>
  <si>
    <t>Cacerola para hornear para uso doméstico</t>
  </si>
  <si>
    <t>Testolactona</t>
  </si>
  <si>
    <t>Herramientas de prueba de hoyo</t>
  </si>
  <si>
    <t>Almohadas absorbentes</t>
  </si>
  <si>
    <t>Objetos fundidos maquinados con troquel de zinc</t>
  </si>
  <si>
    <t>Recursos para aprender a hablar italiano</t>
  </si>
  <si>
    <t>Software de interface y preguntas de usuario de base de datos</t>
  </si>
  <si>
    <t>Clorhidrato de pilocarpina</t>
  </si>
  <si>
    <t>Molino de alimentos para uso doméstico</t>
  </si>
  <si>
    <t>Objetos fundidos maquinados por proceso v no metálico</t>
  </si>
  <si>
    <t>20131308</t>
  </si>
  <si>
    <t>Templos</t>
  </si>
  <si>
    <t>Coladores o coladeras para uso doméstico</t>
  </si>
  <si>
    <t>Meprobromato</t>
  </si>
  <si>
    <t>Compra de bienes de lavanderia y limpieza del INCART</t>
  </si>
  <si>
    <t>Vacuna contra difteria y toxoide tetánico y pertussis acelular</t>
  </si>
  <si>
    <t>Perborato sódico</t>
  </si>
  <si>
    <t>42142504</t>
  </si>
  <si>
    <t>Servicios de adquisición de datos sísmicos de tierras de 2d/ 3d/ 4d</t>
  </si>
  <si>
    <t>Ensambles de láminas soldadas con soldadura fuerte o débil de acero de aleación baja</t>
  </si>
  <si>
    <t>Lubricadores neumáticos</t>
  </si>
  <si>
    <t>Personal  temporal  de almacén</t>
  </si>
  <si>
    <t>Ángulos de caucho</t>
  </si>
  <si>
    <t>Capuchas para la cabeza para uso médico</t>
  </si>
  <si>
    <t>Agentes antideslizantes</t>
  </si>
  <si>
    <t>Cajas de hielo</t>
  </si>
  <si>
    <t>Clorhidrato de nalmefeno</t>
  </si>
  <si>
    <t>Catéteres para monitoreo de presión intrauterina</t>
  </si>
  <si>
    <t>Mercado</t>
  </si>
  <si>
    <t>Colocadores de estampillas</t>
  </si>
  <si>
    <t>Terminales eléctricos</t>
  </si>
  <si>
    <t>Aparatos para probar choque</t>
  </si>
  <si>
    <t>Ostras vivas</t>
  </si>
  <si>
    <t>Catéteres umbilicales</t>
  </si>
  <si>
    <t>Máquinas de relleno</t>
  </si>
  <si>
    <t>Clorhidrato de meclizina</t>
  </si>
  <si>
    <t>Tintas para veteado</t>
  </si>
  <si>
    <t>OPERACIONES / ELECTROMEDICINA Y MANTENIMIENTO 2</t>
  </si>
  <si>
    <t>Diclofenaco sódico</t>
  </si>
  <si>
    <t>Palo Verde</t>
  </si>
  <si>
    <t>Buques de carga o de contenedores</t>
  </si>
  <si>
    <t>Telares manuales</t>
  </si>
  <si>
    <t>Formación profesional para la industria láctea</t>
  </si>
  <si>
    <t>Linezolida</t>
  </si>
  <si>
    <t>Taburetes de cirujanos o accesorios</t>
  </si>
  <si>
    <t>Circuitos basculantes</t>
  </si>
  <si>
    <t>Compresores de flujo axiales</t>
  </si>
  <si>
    <t>Forjas de latón maquinadas por anillo enrollado</t>
  </si>
  <si>
    <t>Cebos para pesca</t>
  </si>
  <si>
    <t>Sulfonamidas antibióticas</t>
  </si>
  <si>
    <t>Productos dentales para uso veterinario</t>
  </si>
  <si>
    <t>Unidades de tomografía de emisión computarizada de fotones únicos spect para uso médico</t>
  </si>
  <si>
    <t>42281904</t>
  </si>
  <si>
    <t>Servicios de asesoramiento sobre tecnología ambiental</t>
  </si>
  <si>
    <t>Láminas de transferencia</t>
  </si>
  <si>
    <t>Manipuladores endoscópicos</t>
  </si>
  <si>
    <t>Servicios de registración del contador de inmersión</t>
  </si>
  <si>
    <t>Medidores de estacionamiento</t>
  </si>
  <si>
    <t>Descongelantes o deshieladores</t>
  </si>
  <si>
    <t>Pinzas o fórceps láser para uso quirúrgico</t>
  </si>
  <si>
    <t>Sets de instrumentos para micro cirugía, cirugía plástica o cirugía delicada</t>
  </si>
  <si>
    <t>Papel pergamino</t>
  </si>
  <si>
    <t>Granuladores</t>
  </si>
  <si>
    <t>46182002</t>
  </si>
  <si>
    <t>Cartografía</t>
  </si>
  <si>
    <t>Servicios de procesamiento de pescado o productos de pescado</t>
  </si>
  <si>
    <t>Servicios de registro de propagación electromagnética</t>
  </si>
  <si>
    <t>Placas de cerrojo</t>
  </si>
  <si>
    <t>44103101</t>
  </si>
  <si>
    <t>Fundición en arena de cobre</t>
  </si>
  <si>
    <t>Limas o cortaúñas para uso veterinario</t>
  </si>
  <si>
    <t>Servicios de guardas de seguridad</t>
  </si>
  <si>
    <t>Repaglinida</t>
  </si>
  <si>
    <t>44122116</t>
  </si>
  <si>
    <t>Platos o discos</t>
  </si>
  <si>
    <t>Kits de demostración de la luz</t>
  </si>
  <si>
    <t>Calamar vivo</t>
  </si>
  <si>
    <t>Sets o kits de administración de quimioterapia</t>
  </si>
  <si>
    <t>Vigabatrina</t>
  </si>
  <si>
    <t>Termo cabezas</t>
  </si>
  <si>
    <t>Herramientas de calibración de cable de recuperación</t>
  </si>
  <si>
    <t>Sets de transferencia de diálisis peritoneal ambulatoria continua capd</t>
  </si>
  <si>
    <t>Blanco</t>
  </si>
  <si>
    <t>Sets de catéter y aguja para yeyunostomía</t>
  </si>
  <si>
    <t>Servicios de limpieza de telas y muebles</t>
  </si>
  <si>
    <t>Docetaxel</t>
  </si>
  <si>
    <t>51101504</t>
  </si>
  <si>
    <t>Sistemas de comunicación del avión</t>
  </si>
  <si>
    <t>Servicios de enfermería</t>
  </si>
  <si>
    <t>PARA USO AREAS HOSPITALIZACION Y URGENCIAS</t>
  </si>
  <si>
    <t>Ketorolac trometamina</t>
  </si>
  <si>
    <t>Transmisor o telemetría o accesorios para electrocardiografía ekg</t>
  </si>
  <si>
    <t>Almohadillas o bombas de presión alterna</t>
  </si>
  <si>
    <t>Objetos de hierro fundidos en molde cerámico</t>
  </si>
  <si>
    <t>Clorhidrato de mecloretamina</t>
  </si>
  <si>
    <t>Azufre s</t>
  </si>
  <si>
    <t>46181811</t>
  </si>
  <si>
    <t>Recursos de estanques piscícolas</t>
  </si>
  <si>
    <t>Servicios de programación para clientes o servidores</t>
  </si>
  <si>
    <t>Ensambles de placas remachadas de aleación wasp</t>
  </si>
  <si>
    <t>Mes</t>
  </si>
  <si>
    <t>Batidora de crema para uso doméstico</t>
  </si>
  <si>
    <t>Mezcladoras de grada giratoria</t>
  </si>
  <si>
    <t>Calentadores de fibra cerámica</t>
  </si>
  <si>
    <t>Sujetadores de lentes oftálmicos</t>
  </si>
  <si>
    <t>Objetos maquinados de aluminio fundidos en molde de grafito</t>
  </si>
  <si>
    <t>Instalación de mármol, piedra o azulejos</t>
  </si>
  <si>
    <t>Estantes de correas de billetes</t>
  </si>
  <si>
    <t>Mesas para acampar</t>
  </si>
  <si>
    <t>Clavijas de afinación</t>
  </si>
  <si>
    <t>Injertos de tubería</t>
  </si>
  <si>
    <t>Servicios de terminación dual del pozo</t>
  </si>
  <si>
    <t>Polividona o povidona</t>
  </si>
  <si>
    <t>Clorhidrato de cinamedrina</t>
  </si>
  <si>
    <t>73151701</t>
  </si>
  <si>
    <t>Mesas para hockey aéreo o accesorios</t>
  </si>
  <si>
    <t>Objetos de hierro fundidos en molde de grafito</t>
  </si>
  <si>
    <t>Adhesivos de termo impregnación</t>
  </si>
  <si>
    <t>Ensambles de placas soldadas de aleación wasp</t>
  </si>
  <si>
    <t>Instrumentos o accesorios manuales monopolares o bipolares para endoscopia o productos relacionados</t>
  </si>
  <si>
    <t>Mesas de simulación de corrientes de agua</t>
  </si>
  <si>
    <t>Carritos móviles de tracción</t>
  </si>
  <si>
    <t>Ensambles estructurales con soldadura ultra violeta de cobre</t>
  </si>
  <si>
    <t>Mantenimiento o soporte de sistemas patentados o autorizados</t>
  </si>
  <si>
    <t>Ensambles de láminas soldadas con soldadura solvente de titanio</t>
  </si>
  <si>
    <t>Objetos maquinados centrifugados de magnesio fundidos</t>
  </si>
  <si>
    <t>Monitores de oxígeno o suministros</t>
  </si>
  <si>
    <t>Castillo</t>
  </si>
  <si>
    <t>000876</t>
  </si>
  <si>
    <t>Libros de actividades en clase</t>
  </si>
  <si>
    <t>Esparcidoras de gravilla</t>
  </si>
  <si>
    <t>UNIDAD DE CUIDADOS INTENSIVOS 2</t>
  </si>
  <si>
    <t>Concentrador de bus serial universal o conectores</t>
  </si>
  <si>
    <t>Brocas o taladros para endoscopia</t>
  </si>
  <si>
    <t>fumigacion 2</t>
  </si>
  <si>
    <t>Ensambles de tubos pegados no metálica</t>
  </si>
  <si>
    <t>Servicios de producción de jabones o preparaciones para limpieza o perfumes o cosméticos</t>
  </si>
  <si>
    <t>42295206</t>
  </si>
  <si>
    <t>Servicios de promoción o planificación del empleo</t>
  </si>
  <si>
    <t>MEDICAMENTOS ANTICOAGULANTE Y ANTICONVULSIVO 2</t>
  </si>
  <si>
    <t>Dibujo técnico</t>
  </si>
  <si>
    <t>Vacuna contra el virus del sarampión</t>
  </si>
  <si>
    <t>Servicios de protección contra la radiación</t>
  </si>
  <si>
    <t>Verduras congeladas</t>
  </si>
  <si>
    <t>Bolsas o reservorios de drenaje de incisiones para uso médico</t>
  </si>
  <si>
    <t>Polarímetros o refractómetros manuales</t>
  </si>
  <si>
    <t>Cintas umbilicales para bebés</t>
  </si>
  <si>
    <t>Hornos de caja para laboratorio</t>
  </si>
  <si>
    <t>Hidroflumetiazida</t>
  </si>
  <si>
    <t>12352108</t>
  </si>
  <si>
    <t>31211904</t>
  </si>
  <si>
    <t>Escaladores de escaleras</t>
  </si>
  <si>
    <t>24112602</t>
  </si>
  <si>
    <t>Erbio er</t>
  </si>
  <si>
    <t>Vibradores de hueso audiométricos o analizadores de oído medio</t>
  </si>
  <si>
    <t>39101602</t>
  </si>
  <si>
    <t>Don Antonio Guzmán Fernández</t>
  </si>
  <si>
    <t>Producción de cereales</t>
  </si>
  <si>
    <t>Bancas de laboratorio</t>
  </si>
  <si>
    <t>Buscadores de pernos</t>
  </si>
  <si>
    <t>Acero estampado en relieve</t>
  </si>
  <si>
    <t>Camiones de bomberos y de rescate</t>
  </si>
  <si>
    <t>Forjas de aleación de níquel maquinadas con impresión por troquel</t>
  </si>
  <si>
    <t>Ornamentos o decoraciones</t>
  </si>
  <si>
    <t>Kits de reactivos para usar con muestreadores de aire</t>
  </si>
  <si>
    <t>Fichas o contadores de dos caras</t>
  </si>
  <si>
    <t>Submarinos</t>
  </si>
  <si>
    <t>Servicios de formación profesional sobre cuidado personal</t>
  </si>
  <si>
    <t>Tornillos de retención o productos relacionados para operaciones de uso odontológico</t>
  </si>
  <si>
    <t>43211708</t>
  </si>
  <si>
    <t>Tubos o conectores de oxígeno para uso médico</t>
  </si>
  <si>
    <t>Accesorios para jeringas</t>
  </si>
  <si>
    <t>Libros de actividades de fracciones</t>
  </si>
  <si>
    <t>Piezas de titanio fundidas a presión</t>
  </si>
  <si>
    <t>Soluciones de decontaminación</t>
  </si>
  <si>
    <t>Puertas de madera</t>
  </si>
  <si>
    <t>Rompeolas</t>
  </si>
  <si>
    <t>Faja para hernias</t>
  </si>
  <si>
    <t>Palos de hockey de campo</t>
  </si>
  <si>
    <t>Deflector</t>
  </si>
  <si>
    <t>Vehículos utilitarios</t>
  </si>
  <si>
    <t>Cartones de colores</t>
  </si>
  <si>
    <t>44103103</t>
  </si>
  <si>
    <t>Certificados específicos de grado</t>
  </si>
  <si>
    <t>Aleaciones de soldadura fuerte de uso odontológico</t>
  </si>
  <si>
    <t>Chapas de oro de laboratorio dental</t>
  </si>
  <si>
    <t>12131707</t>
  </si>
  <si>
    <t>Objetos maquinados de berilio fundidos en molde de yeso</t>
  </si>
  <si>
    <t>Cromatógrafos de capa delgada de alta presión tlc</t>
  </si>
  <si>
    <t>Servicios de pruebas de equipo o inspección del emplazamiento del pozo</t>
  </si>
  <si>
    <t>Desarrollo de políticas u objetivos empresariales</t>
  </si>
  <si>
    <t>31171804</t>
  </si>
  <si>
    <t>Bolsos o carteras</t>
  </si>
  <si>
    <t>Juguetes para jalar</t>
  </si>
  <si>
    <t>51131903</t>
  </si>
  <si>
    <t>39121529</t>
  </si>
  <si>
    <t>Kits o suministros para pruebas de citometría de flujo</t>
  </si>
  <si>
    <t>Salicilato de colina</t>
  </si>
  <si>
    <t>Circuitos integrados lineales</t>
  </si>
  <si>
    <t>Equipos de windsurfing</t>
  </si>
  <si>
    <t>Servicios de perforación de tuberías de pozos</t>
  </si>
  <si>
    <t>Cierre de presión</t>
  </si>
  <si>
    <t>Floruro de sodio</t>
  </si>
  <si>
    <t>UNIDAD DE CUIDADOS INTENSIVOS 4</t>
  </si>
  <si>
    <t>Materiales de comprensión de lectura</t>
  </si>
  <si>
    <t>Cumplimiento del mercadeo directo</t>
  </si>
  <si>
    <t>Potasio k</t>
  </si>
  <si>
    <t>Dispositivos de posicionamiento</t>
  </si>
  <si>
    <t>Objetos de metal precioso fundidos por proceso en v</t>
  </si>
  <si>
    <t>Glibenclamida o gliburida</t>
  </si>
  <si>
    <t>Placa de hierro</t>
  </si>
  <si>
    <t>Ensambles de tubería pegada de acero al carbono</t>
  </si>
  <si>
    <t>Nicotina</t>
  </si>
  <si>
    <t>Almacenamiento no modular</t>
  </si>
  <si>
    <t>Rodamientos cónicos</t>
  </si>
  <si>
    <t>Dispositivos de inspección o medición</t>
  </si>
  <si>
    <t>Caballetes</t>
  </si>
  <si>
    <t>Accesorios para retractores</t>
  </si>
  <si>
    <t>Rotadores de núcleo para cirugía oftálmica</t>
  </si>
  <si>
    <t>Servicios de protección de las especies en peligro de extinción</t>
  </si>
  <si>
    <t>Objetos de berilio fundidos por moldeo en cáscara</t>
  </si>
  <si>
    <t>Placa central de microordenador.</t>
  </si>
  <si>
    <t>Botas de seguridad</t>
  </si>
  <si>
    <t>Retractores oftálmicos</t>
  </si>
  <si>
    <t>Deducciones tributarias</t>
  </si>
  <si>
    <t>Células mamíferas</t>
  </si>
  <si>
    <t>Nizatidina</t>
  </si>
  <si>
    <t>Especias 3</t>
  </si>
  <si>
    <t>Guayubín</t>
  </si>
  <si>
    <t>Paquetes de trauma para respuesta de larga distancia ldr para servicios médicos de emergencia</t>
  </si>
  <si>
    <t>Cabral</t>
  </si>
  <si>
    <t>51102301</t>
  </si>
  <si>
    <t>Filtros de cápsulas</t>
  </si>
  <si>
    <t>Oficina de admisión</t>
  </si>
  <si>
    <t>Proveedores de servicios de aplicación</t>
  </si>
  <si>
    <t>Aspiradoras para entomología</t>
  </si>
  <si>
    <t>Equipo de centro distribuidor de cables</t>
  </si>
  <si>
    <t>Kits de caligrafía</t>
  </si>
  <si>
    <t>Objetos de fundición centrífuga de aleación no ferrosa</t>
  </si>
  <si>
    <t>Embarcaciones de patrulla costera</t>
  </si>
  <si>
    <t>Sistema y accesorios de terapia de compresión crio terapéutica</t>
  </si>
  <si>
    <t>Resina fliuoropolímero</t>
  </si>
  <si>
    <t>Tazas o botellas de filtración</t>
  </si>
  <si>
    <t>Hassio hs</t>
  </si>
  <si>
    <t>Folders</t>
  </si>
  <si>
    <t>Equipos y componentes de red de acceso inalámbrica oss</t>
  </si>
  <si>
    <t>Llamadas de animales</t>
  </si>
  <si>
    <t>Bobinas magnéticas</t>
  </si>
  <si>
    <t>Gestión presupuestal o de inversiones públicas</t>
  </si>
  <si>
    <t>Sistemas de documentación de gel</t>
  </si>
  <si>
    <t>Combinación de neveras y congeladores para uso doméstico</t>
  </si>
  <si>
    <t>Biombos de poca altura o paneles para jugar</t>
  </si>
  <si>
    <t>Catéteres nasales o kits de cateterización para uso médico</t>
  </si>
  <si>
    <t>Calzado para cuartos de limpieza</t>
  </si>
  <si>
    <t>Aceites penetrantes</t>
  </si>
  <si>
    <t>Monto Estimado Total</t>
  </si>
  <si>
    <t>Clubes nocturnos</t>
  </si>
  <si>
    <t>Servicios de registro de votantes o conteo o análisis o escrutinio</t>
  </si>
  <si>
    <t>Marcadores metálicos</t>
  </si>
  <si>
    <t>Probadores hipot</t>
  </si>
  <si>
    <t>Termómetros de mano</t>
  </si>
  <si>
    <t>Semillas o plántulas de remolacha</t>
  </si>
  <si>
    <t>Citrato de oxolamina</t>
  </si>
  <si>
    <t>Puestos de objetivos para tiro con arco</t>
  </si>
  <si>
    <t>Sets de carteleras para la primera infancia</t>
  </si>
  <si>
    <t>Crisoles para hornos de laboratorio</t>
  </si>
  <si>
    <t>Hidralazina hidrocloruro</t>
  </si>
  <si>
    <t>Probadores de disolución o desintegración</t>
  </si>
  <si>
    <t>Papeles adheridos con película</t>
  </si>
  <si>
    <t>Lubricantes de grafito</t>
  </si>
  <si>
    <t>Forjas de acero inoxidable maquinadas con troquel cerrado</t>
  </si>
  <si>
    <t>Sistema de pintura de fosfato o “e coat”</t>
  </si>
  <si>
    <t>Marcadores o soportes de metal</t>
  </si>
  <si>
    <t>Anillos colectores</t>
  </si>
  <si>
    <t>libros de recursos o actividades de numeración</t>
  </si>
  <si>
    <t>Proyectores de tubo de rayo catódico</t>
  </si>
  <si>
    <t>Almohadillas abrasivas</t>
  </si>
  <si>
    <t>Kerosene</t>
  </si>
  <si>
    <t>Soportes en escuadra</t>
  </si>
  <si>
    <t>Ojivas de misiles</t>
  </si>
  <si>
    <t>Jeringas para muestras</t>
  </si>
  <si>
    <t>Kits de estudio de geología</t>
  </si>
  <si>
    <t>Marcos de pantalla</t>
  </si>
  <si>
    <t>Hebra de caucho o látex</t>
  </si>
  <si>
    <t>Planchas eléctricas para uso doméstico</t>
  </si>
  <si>
    <t>Sujetadores de naipes para los discapacitados físicamente</t>
  </si>
  <si>
    <t>Potasio de pemirolast</t>
  </si>
  <si>
    <t>30171501</t>
  </si>
  <si>
    <t>Monitores de apnea o accesorios</t>
  </si>
  <si>
    <t>Colimadores para mapeo linfático</t>
  </si>
  <si>
    <t>Pedales</t>
  </si>
  <si>
    <t>Accesorios para incubadoras</t>
  </si>
  <si>
    <t>Rollos o cintas para enyesar para uso ortopédico</t>
  </si>
  <si>
    <t>Pistolas de cápsulas</t>
  </si>
  <si>
    <t>51111616</t>
  </si>
  <si>
    <t>Adhesivos de seguimiento basados en la biblia</t>
  </si>
  <si>
    <t>Butetisalicilato de metilo</t>
  </si>
  <si>
    <t>Tenazas para halar o correr el cable de recuperación</t>
  </si>
  <si>
    <t>Arandelas curvas</t>
  </si>
  <si>
    <t>Accesorios de prueba</t>
  </si>
  <si>
    <t>Compresores rotativos</t>
  </si>
  <si>
    <t>Activadores eléctricos</t>
  </si>
  <si>
    <t>Utensilios o moldes o juguetes de plástico para arena o agua</t>
  </si>
  <si>
    <t>Dispositivos o tubos para compresión secuencial vascular</t>
  </si>
  <si>
    <t>Ferreteria y pintura 4</t>
  </si>
  <si>
    <t>Sets o kits de succión para uso médico</t>
  </si>
  <si>
    <t>Criadero de peces</t>
  </si>
  <si>
    <t>Lanchas pequeñas</t>
  </si>
  <si>
    <t>Zonisamida</t>
  </si>
  <si>
    <t>Disfraces o accesorios</t>
  </si>
  <si>
    <t>Contadores geiger</t>
  </si>
  <si>
    <t>Bicarbonato de potasio</t>
  </si>
  <si>
    <t>Polietersulfona pes</t>
  </si>
  <si>
    <t>51142405</t>
  </si>
  <si>
    <t>Sembradoras</t>
  </si>
  <si>
    <t>Probadores de cables o conductores o unidades de electrocardiografía ekg</t>
  </si>
  <si>
    <t>Cable de cobre</t>
  </si>
  <si>
    <t>Codos hidráulicos o de compresión</t>
  </si>
  <si>
    <t>Calzadores para los discapacitados físicamente</t>
  </si>
  <si>
    <t>Compresas oclusivas</t>
  </si>
  <si>
    <t>Digoxina inmune fab</t>
  </si>
  <si>
    <t>Máquina cortadora</t>
  </si>
  <si>
    <t>Llaves macho con mango en t</t>
  </si>
  <si>
    <t>Tubería de latón</t>
  </si>
  <si>
    <t>Sembradoras de grano</t>
  </si>
  <si>
    <t>Aparato de visión teledirigido para recintos radiactivos</t>
  </si>
  <si>
    <t>Barras de aleación no ferrosa</t>
  </si>
  <si>
    <t>Bromuro de mepenzolato</t>
  </si>
  <si>
    <t>Extrusiones en frío de acero</t>
  </si>
  <si>
    <t>Fuentes gamma</t>
  </si>
  <si>
    <t>Sets de construcción</t>
  </si>
  <si>
    <t>Nitrato de pilocarpina</t>
  </si>
  <si>
    <t>Conductos de aluminio</t>
  </si>
  <si>
    <t>Servicios de organizaciones internacionales de beneficencia</t>
  </si>
  <si>
    <t>Metoclopramida</t>
  </si>
  <si>
    <t>Alúmina y otros compuestos de aluminio</t>
  </si>
  <si>
    <t>Lustres</t>
  </si>
  <si>
    <t>Microscopios de electrones</t>
  </si>
  <si>
    <t>Clorhidrato de vardenafil</t>
  </si>
  <si>
    <t>Libros de recursos de adjetivos</t>
  </si>
  <si>
    <t>Bar refrigerador</t>
  </si>
  <si>
    <t>Tornillos o cables o alfileres o instrumentos para cortar alambre para uso quirúrgico</t>
  </si>
  <si>
    <t>Transformadores de instrumentos</t>
  </si>
  <si>
    <t>Materiales de fotocomposición</t>
  </si>
  <si>
    <t>Componentes hidráulicos de embrague</t>
  </si>
  <si>
    <t>Gabinetes refrigeradores para las morgues</t>
  </si>
  <si>
    <t>Sánchez</t>
  </si>
  <si>
    <t>Localizadores de guía de alambre para endoscopia</t>
  </si>
  <si>
    <t>Puertas de cintas</t>
  </si>
  <si>
    <t>Materiales o dispositivos de agarre para los discapacitados físicamente</t>
  </si>
  <si>
    <t>Carbono c</t>
  </si>
  <si>
    <t>Servicios de cooperación económica</t>
  </si>
  <si>
    <t>Ensambles de tubería remachada de inconel</t>
  </si>
  <si>
    <t>Barnices litográficos</t>
  </si>
  <si>
    <t>Entomología de cultivos extensivos</t>
  </si>
  <si>
    <t>Componentes de aleación ferrosa maquinados por extrusión hidrostática</t>
  </si>
  <si>
    <t>Bobina de magnesio</t>
  </si>
  <si>
    <t>Poliéster termoplástico</t>
  </si>
  <si>
    <t>Las Lagunas Abajo</t>
  </si>
  <si>
    <t>Ventanas giratorias</t>
  </si>
  <si>
    <t>Materiales de unión de yesos o tablillas</t>
  </si>
  <si>
    <t>Objetos de bronce fundidos en molde fijo</t>
  </si>
  <si>
    <t>Unidades temáticas de historia</t>
  </si>
  <si>
    <t>Servicios de cooperación técnica</t>
  </si>
  <si>
    <t>Redes r/c de resistores o capacitores</t>
  </si>
  <si>
    <t>Bombas y accesorios de balón intra aórtico</t>
  </si>
  <si>
    <t>Guerra basada en el espacio</t>
  </si>
  <si>
    <t>Conectores planos</t>
  </si>
  <si>
    <t>Semillas de ajonjolí</t>
  </si>
  <si>
    <t>Balanzas de triple haz</t>
  </si>
  <si>
    <t>Servicios de elevación con alambre (slickline)</t>
  </si>
  <si>
    <t>Correas plásticas</t>
  </si>
  <si>
    <t>14121812</t>
  </si>
  <si>
    <t>Monitores o medidores de colesterol</t>
  </si>
  <si>
    <t>Levantadores o niveladores para uso quirúrgico</t>
  </si>
  <si>
    <t>Tartrato de brimonidina</t>
  </si>
  <si>
    <t>Implantes neuroquirúrgicos</t>
  </si>
  <si>
    <t>Chalecos para hombre</t>
  </si>
  <si>
    <t>Dispositivos o accesorios eléctricos para limpieza de instrumentos</t>
  </si>
  <si>
    <t>Fosfestrol de sodio</t>
  </si>
  <si>
    <t>Cartón blanqueado</t>
  </si>
  <si>
    <t>Objetos maquinados centrifugados de cobre fundidos</t>
  </si>
  <si>
    <t>Brocas de diamante natural</t>
  </si>
  <si>
    <t>Trocar o funda u obturador o cánula para endoscopia</t>
  </si>
  <si>
    <t>Contadores de coincidencia o no coincidencia</t>
  </si>
  <si>
    <t>Tiratrones</t>
  </si>
  <si>
    <t>Películas de fluoropolímero</t>
  </si>
  <si>
    <t>Máquinas de acabados</t>
  </si>
  <si>
    <t>Guayacanes</t>
  </si>
  <si>
    <t>Detectores de radón</t>
  </si>
  <si>
    <t>Tenazas</t>
  </si>
  <si>
    <t>Sistemas para estirar la piel</t>
  </si>
  <si>
    <t>Ganchos iluminadores de película de rayos x para uso médico</t>
  </si>
  <si>
    <t>Semillas o plántulas de repollo</t>
  </si>
  <si>
    <t>73141703</t>
  </si>
  <si>
    <t>Motores de engranajes</t>
  </si>
  <si>
    <t>Banda de acero inoxidable</t>
  </si>
  <si>
    <t>Servicios gubernamentales de auditoría</t>
  </si>
  <si>
    <t>Malla</t>
  </si>
  <si>
    <t>Sistema de flujo de video</t>
  </si>
  <si>
    <t>Grabadoras de punto de fusión</t>
  </si>
  <si>
    <t>Oscilógrafos</t>
  </si>
  <si>
    <t>Desoxidantes</t>
  </si>
  <si>
    <t>Clips de uso interno para uso médico</t>
  </si>
  <si>
    <t>Instrumentos de encerado para uso odontológico</t>
  </si>
  <si>
    <t>Encuestas por muestreo</t>
  </si>
  <si>
    <t>Pantallas o piezas o equipo estacionario de separación</t>
  </si>
  <si>
    <t>Mesas de billar</t>
  </si>
  <si>
    <t>Servicios de recuperación de desechos en el campo petrolífero</t>
  </si>
  <si>
    <t>Equipo de control de olores</t>
  </si>
  <si>
    <t>Extrusiones de perfiles de aleación ferrosa</t>
  </si>
  <si>
    <t>Conjunto de cable de fibra óptica</t>
  </si>
  <si>
    <t>Fichas con números del uno al cien</t>
  </si>
  <si>
    <t>Objetos de fundición centrífuga de hierro</t>
  </si>
  <si>
    <t>51101509</t>
  </si>
  <si>
    <t>Teodolitos</t>
  </si>
  <si>
    <t>Hondo Valle</t>
  </si>
  <si>
    <t>Analizadores de microbiología</t>
  </si>
  <si>
    <t>Cilostazol</t>
  </si>
  <si>
    <t>Tela de calcado</t>
  </si>
  <si>
    <t>Neumáticos de bicicleta</t>
  </si>
  <si>
    <t>Camillas para pacientes o accesorios para camillas</t>
  </si>
  <si>
    <t>Bisoprolol fumarato</t>
  </si>
  <si>
    <t>Agua pesada</t>
  </si>
  <si>
    <t>Frascos de cultivo de tejidos</t>
  </si>
  <si>
    <t>Piezas de bronce forjadas a martinete</t>
  </si>
  <si>
    <t>Tubos para cromatografía</t>
  </si>
  <si>
    <t>San José de los Llanos</t>
  </si>
  <si>
    <t>Materiales didácticos de diseño o delineación</t>
  </si>
  <si>
    <t>Terminales de facsímil</t>
  </si>
  <si>
    <t>Morruato de sodio</t>
  </si>
  <si>
    <t>47121603</t>
  </si>
  <si>
    <t>Aparatos de fondue para servicio de comidas</t>
  </si>
  <si>
    <t>Hélices marítimas</t>
  </si>
  <si>
    <t>Proyecto 4</t>
  </si>
  <si>
    <t>Ensambles de barras soldadas con soldadura ultra violeta de acero inoxidable</t>
  </si>
  <si>
    <t>Parlantes de computador</t>
  </si>
  <si>
    <t>Tubería de aire acidificante</t>
  </si>
  <si>
    <t>Procesadores de micro filmado</t>
  </si>
  <si>
    <t>Baños de aceite</t>
  </si>
  <si>
    <t>Martillos cinceladores eléctricos</t>
  </si>
  <si>
    <t>Productos de retiro del tubo para ventiladores</t>
  </si>
  <si>
    <t>Ensambles de placas soldadas con soldadura sónica de inconel</t>
  </si>
  <si>
    <t>Zócalos de tubo</t>
  </si>
  <si>
    <t>Máquinas de cappuccino o expreso</t>
  </si>
  <si>
    <t>Forjaduras anulares laminadas de berilio</t>
  </si>
  <si>
    <t>Fumarato de ketotifeno</t>
  </si>
  <si>
    <t>Fibra oscura</t>
  </si>
  <si>
    <t>Kits de disección para autopsias</t>
  </si>
  <si>
    <t>Vectores de expresión de ácido desoxirribonucleico complementario cdna</t>
  </si>
  <si>
    <t>Tetranitrato de pentaeritrito</t>
  </si>
  <si>
    <t>Papeles para telégrafo</t>
  </si>
  <si>
    <t>Materiales de enseñanza de habilidades para la búsqueda de empleo</t>
  </si>
  <si>
    <t>Política de salud</t>
  </si>
  <si>
    <t>Servicios de mantenimiento de la plataforma de pozos petroleros</t>
  </si>
  <si>
    <t>Cromoglicato de sodio</t>
  </si>
  <si>
    <t>Publicidad en radio</t>
  </si>
  <si>
    <t>Materiales de impresión hidrocoloides irreversibles reversibles combinados</t>
  </si>
  <si>
    <t>Tubos capilares o hematocritos</t>
  </si>
  <si>
    <t>Sistemas de información ambiental</t>
  </si>
  <si>
    <t>Almacenamiento individual (sin apoyo)</t>
  </si>
  <si>
    <t>Jugadores de repuesto para foosball</t>
  </si>
  <si>
    <t>Accesorios para ayudas de estudio</t>
  </si>
  <si>
    <t>Piezas de cosechadora o accesorios</t>
  </si>
  <si>
    <t>Unidades de diatermia de onda corta</t>
  </si>
  <si>
    <t>Sets de recuperación para uso quirúrgico</t>
  </si>
  <si>
    <t>Vagones</t>
  </si>
  <si>
    <t>Servicios del consejo de administración fiduciaria</t>
  </si>
  <si>
    <t>Incubadoras de cámara única de tres gases recubierta de agua con control de humedad</t>
  </si>
  <si>
    <t>Fichas con fracciones</t>
  </si>
  <si>
    <t>Raspadores</t>
  </si>
  <si>
    <t>Servicios relacionados con el arte</t>
  </si>
  <si>
    <t>Papel para gráficos</t>
  </si>
  <si>
    <t>Placas traseras o paneles o ensamblajes</t>
  </si>
  <si>
    <t>Plantilla de eje</t>
  </si>
  <si>
    <t>Equipos litográficos</t>
  </si>
  <si>
    <t>Graseras (de lubricación)</t>
  </si>
  <si>
    <t>Sets de carteleras grandes</t>
  </si>
  <si>
    <t>Servicios de contabilidad de sueldos y salarios</t>
  </si>
  <si>
    <t>Resina polieterimida</t>
  </si>
  <si>
    <t>Tornillo de hombros</t>
  </si>
  <si>
    <t>Programación para java</t>
  </si>
  <si>
    <t>Ensamblajes de bandas de compresión de aparatos de rayos x para uso médico</t>
  </si>
  <si>
    <t>Clips para vendajes o compresas</t>
  </si>
  <si>
    <t>Santo Domingo Oeste</t>
  </si>
  <si>
    <t>Gestión de servicios de voluntariado</t>
  </si>
  <si>
    <t>Basiliximab</t>
  </si>
  <si>
    <t>Objetos maquinados de cinc fundidos en molde de grafito</t>
  </si>
  <si>
    <t>Sirolimus</t>
  </si>
  <si>
    <t>Servicios de conformación  por estirado</t>
  </si>
  <si>
    <t>Crisoles de vidrio</t>
  </si>
  <si>
    <t>Componentes de metal precioso maquinados por extrusión de impacto</t>
  </si>
  <si>
    <t>Jeringas con agujas para uso médico</t>
  </si>
  <si>
    <t>Pinzas de cerca</t>
  </si>
  <si>
    <t>Metilsulfato de neostigmina</t>
  </si>
  <si>
    <t>Máquina segadora de heno</t>
  </si>
  <si>
    <t>Revistas</t>
  </si>
  <si>
    <t>Componentes y sistemas de sonido del vehículo</t>
  </si>
  <si>
    <t>Pipeta de desplazamiento de aire de un solo canal manuales</t>
  </si>
  <si>
    <t>Equipo de examen de radiografía cs 137</t>
  </si>
  <si>
    <t>51102710</t>
  </si>
  <si>
    <t>Piñones</t>
  </si>
  <si>
    <t>51171622</t>
  </si>
  <si>
    <t>Tirafondos</t>
  </si>
  <si>
    <t>12161804</t>
  </si>
  <si>
    <t>Amifostina</t>
  </si>
  <si>
    <t>Resaltadores</t>
  </si>
  <si>
    <t>Servicios de investigación toxicológica</t>
  </si>
  <si>
    <t>Mercados cambio de divisas</t>
  </si>
  <si>
    <t>Gestión de control de la calidad del agua</t>
  </si>
  <si>
    <t>Gadolinio gd</t>
  </si>
  <si>
    <t>Soportes de montaje magnético</t>
  </si>
  <si>
    <t>Turbinas para enfriar el avión</t>
  </si>
  <si>
    <t>Servicios de mecánica de rocas</t>
  </si>
  <si>
    <t>Agrimensura</t>
  </si>
  <si>
    <t>DESTINADO A MIPYMES</t>
  </si>
  <si>
    <t>Sistemas de cosecha de venas</t>
  </si>
  <si>
    <t>Tarjetas receptoras de red óptica</t>
  </si>
  <si>
    <t>Capacidad del cable submarino y capacidad pop a pop del cable submarino</t>
  </si>
  <si>
    <t>Marcadores de películas de rayos x para uso médico</t>
  </si>
  <si>
    <t>Servicios de reducción del arrastre o torque en la perforación en el fondo del pozo</t>
  </si>
  <si>
    <t>La Caya</t>
  </si>
  <si>
    <t>Metildopa</t>
  </si>
  <si>
    <t>Osciladores a cristal</t>
  </si>
  <si>
    <t>Servicios de terminación o intervención de pozos submarinos submarino</t>
  </si>
  <si>
    <t>Probadores de resistencia de la tierra</t>
  </si>
  <si>
    <t>Contenedores para almacenar alimentos para uso doméstico</t>
  </si>
  <si>
    <t>Software de servicios de directorio por internet</t>
  </si>
  <si>
    <t>Servicios contra incendios municipales o nacionales</t>
  </si>
  <si>
    <t>Disolventes</t>
  </si>
  <si>
    <t>Uniones estrechas de acidificación</t>
  </si>
  <si>
    <t>Telurio te</t>
  </si>
  <si>
    <t>Tolmetin sódico</t>
  </si>
  <si>
    <t>Gas radón rn</t>
  </si>
  <si>
    <t>Controles de enfermería o monitores de salida</t>
  </si>
  <si>
    <t>Protectores transductores para unidades de hemodiálisis</t>
  </si>
  <si>
    <t>Tela de fieltro</t>
  </si>
  <si>
    <t>Sistema de supresión de incendios</t>
  </si>
  <si>
    <t>Contramanivela</t>
  </si>
  <si>
    <t>Equipo de interrupción ssp in</t>
  </si>
  <si>
    <t>Fórmulas de suplementos pediátricos</t>
  </si>
  <si>
    <t>Chapa de níquel</t>
  </si>
  <si>
    <t>Inhibidores de hielo para sistemas de combustibles</t>
  </si>
  <si>
    <t>Diclorhidrato de mibefradil</t>
  </si>
  <si>
    <t>Engranajes de fricción</t>
  </si>
  <si>
    <t>Ensambles de tubería soldada con ultra violeta de acero al carbono</t>
  </si>
  <si>
    <t>Receptor acústico de telégrafo</t>
  </si>
  <si>
    <t>Lovastatina</t>
  </si>
  <si>
    <t>Kits de resucitación</t>
  </si>
  <si>
    <t>Sistemas de suspensión para trenes</t>
  </si>
  <si>
    <t>Prendas o soporte para compresión o vasculares</t>
  </si>
  <si>
    <t>Objetos maquinados en molde permanente de acero inoxidable fundidos</t>
  </si>
  <si>
    <t>Lienzo preestirado</t>
  </si>
  <si>
    <t>Unidades de ultrasonido o doppler o eco pulso o ecografía de diagnóstico general para uso médico</t>
  </si>
  <si>
    <t>Kits de matemáticas para multiplicar</t>
  </si>
  <si>
    <t>Mesas</t>
  </si>
  <si>
    <t>Materiales de duplicación de uso odontológico</t>
  </si>
  <si>
    <t>Piezas de plomo fundidas a presión</t>
  </si>
  <si>
    <t>Servicios de helicópteros</t>
  </si>
  <si>
    <t>Tarjetas de puerto en serie</t>
  </si>
  <si>
    <t>Tubería de acero inoxidable</t>
  </si>
  <si>
    <t>Escalerillas transportables o rodantes</t>
  </si>
  <si>
    <t>Resina compuesta</t>
  </si>
  <si>
    <t>Reservorios venosos de perfusión</t>
  </si>
  <si>
    <t>Isoniazida</t>
  </si>
  <si>
    <t>Pistola de perforación de tubos completa</t>
  </si>
  <si>
    <t>Objetos maquinados de metales preciosos fundidos a la cera perdida</t>
  </si>
  <si>
    <t>Sensores de flujo o reguladores o componentes</t>
  </si>
  <si>
    <t>Antiséptico de aire</t>
  </si>
  <si>
    <t>51111519</t>
  </si>
  <si>
    <t>Estetoscopios auriculares</t>
  </si>
  <si>
    <t>Arneses de seguridad del avión</t>
  </si>
  <si>
    <t>Servicios de registro de pozos de descomposición térmica</t>
  </si>
  <si>
    <t>Bases de secuenciación</t>
  </si>
  <si>
    <t>Objetos maquinados de hierro fundidos en arena</t>
  </si>
  <si>
    <t>Tiotepa</t>
  </si>
  <si>
    <t>Papeles de dibujo</t>
  </si>
  <si>
    <t>42131702</t>
  </si>
  <si>
    <t>Componentes de bronce formados enrollados</t>
  </si>
  <si>
    <t>Hornos de tubo programables</t>
  </si>
  <si>
    <t>Archivos para tarjetas rotativas o de presentación</t>
  </si>
  <si>
    <t>12352202</t>
  </si>
  <si>
    <t>Dermatoscopios</t>
  </si>
  <si>
    <t>Kits o suministros de prueba de bancos de sangre</t>
  </si>
  <si>
    <t>Forjaduras en estampa de impresión de magnesio</t>
  </si>
  <si>
    <t>Orinales</t>
  </si>
  <si>
    <t>Forjaduras en estampa abierta de hierro</t>
  </si>
  <si>
    <t>Servicios de exhibición de ganado</t>
  </si>
  <si>
    <t>Analizadores radio isotópicos</t>
  </si>
  <si>
    <t>Acetato de cortisona</t>
  </si>
  <si>
    <t>Ropa atlética para niño</t>
  </si>
  <si>
    <t>Pantallas o piezas o equipo de clasificación neumática</t>
  </si>
  <si>
    <t>La Guázara</t>
  </si>
  <si>
    <t>Servicios de video en fondo de pozo para registros de producción</t>
  </si>
  <si>
    <t>Objetos maquinados en molde permanente de aluminio fundidos</t>
  </si>
  <si>
    <t>42291613</t>
  </si>
  <si>
    <t>Código de conducta médica</t>
  </si>
  <si>
    <t>Ángulos de latón</t>
  </si>
  <si>
    <t>Santiago</t>
  </si>
  <si>
    <t>Servicios de cortadoras químicas</t>
  </si>
  <si>
    <t>Cascos anti motines</t>
  </si>
  <si>
    <t>Frasco dewar de cable de recuperación</t>
  </si>
  <si>
    <t>Equipo de hidroprocesamiento de destilado</t>
  </si>
  <si>
    <t>Software y firmware de interruptor wan</t>
  </si>
  <si>
    <t>Soportes de montaje para cilindros neumáticos</t>
  </si>
  <si>
    <t>Aparatos de fax</t>
  </si>
  <si>
    <t>Camisetas interiores</t>
  </si>
  <si>
    <t>Forjaduras en estampa de impresión de titanio</t>
  </si>
  <si>
    <t>Necesidades de dotación de personal medico temporal</t>
  </si>
  <si>
    <t>Simuladores de terremotos</t>
  </si>
  <si>
    <t>Compresores de combinación</t>
  </si>
  <si>
    <t>Alfuzosina hidrocloruro</t>
  </si>
  <si>
    <t>Subs ventilación bajo balance</t>
  </si>
  <si>
    <t>Lámparas de arco</t>
  </si>
  <si>
    <t>Vacuna contra el neumococo</t>
  </si>
  <si>
    <t>Contenedores para muestras</t>
  </si>
  <si>
    <t>Bujes de taladro</t>
  </si>
  <si>
    <t>Servicios de taponamiento de pozos</t>
  </si>
  <si>
    <t>Luces intraorales</t>
  </si>
  <si>
    <t>Toma muestras para recintos radiactivos</t>
  </si>
  <si>
    <t>Catéteres venosos centrales</t>
  </si>
  <si>
    <t>Llaves para tubos</t>
  </si>
  <si>
    <t>Soportes o carriles ópticos</t>
  </si>
  <si>
    <t>Taladros de roca hidráulicos</t>
  </si>
  <si>
    <t>Ensambles de barras soldadas con soldadura fuerte o débil de inconel</t>
  </si>
  <si>
    <t>Varas de empuje</t>
  </si>
  <si>
    <t>Mezclas químicas orgánicas</t>
  </si>
  <si>
    <t>51111702</t>
  </si>
  <si>
    <t>Máquinas para moldear al vacío</t>
  </si>
  <si>
    <t>Carbachol</t>
  </si>
  <si>
    <t>Servicios de fabricación de maquinaria o equipo de oficina</t>
  </si>
  <si>
    <t>Componentes de acero inoxidable estampados</t>
  </si>
  <si>
    <t>Remates para varillas</t>
  </si>
  <si>
    <t>Reactivos o suplementos para medio para insectos</t>
  </si>
  <si>
    <t>Equipo de presión de fondo de hoyo de cable de recuperación</t>
  </si>
  <si>
    <t>NUTRICION 3</t>
  </si>
  <si>
    <t>Packs de comprobación para esterilizadores de vapor</t>
  </si>
  <si>
    <t>Clorhidrato de doxorubicina</t>
  </si>
  <si>
    <t>Señales magnéticas</t>
  </si>
  <si>
    <t>Tablas medidoras</t>
  </si>
  <si>
    <t>Programas de asistencia a empleados</t>
  </si>
  <si>
    <t>Cortadoras o bordeadoras de fotografías</t>
  </si>
  <si>
    <t>42182207</t>
  </si>
  <si>
    <t>Lápices de madera</t>
  </si>
  <si>
    <t>Servicios de magos</t>
  </si>
  <si>
    <t>Ensambles de placas soldadas con soldadura sónica de latón</t>
  </si>
  <si>
    <t>Servicios del consejo del trabajo</t>
  </si>
  <si>
    <t>Sistemas monetarios</t>
  </si>
  <si>
    <t>Endosador</t>
  </si>
  <si>
    <t>Lectores de tubo o disco</t>
  </si>
  <si>
    <t>Instrumentos para probar madera</t>
  </si>
  <si>
    <t>Tapetes de baño</t>
  </si>
  <si>
    <t>Poliméricos</t>
  </si>
  <si>
    <t>Injertos o injertos dobles hidráulicos</t>
  </si>
  <si>
    <t>42271910</t>
  </si>
  <si>
    <t>Dispensadores de medicamentos para salas de cirugía o productos relacionados</t>
  </si>
  <si>
    <t>Lubricadores de cable de recuperación</t>
  </si>
  <si>
    <t>Cistouretroscopios</t>
  </si>
  <si>
    <t>Análisis de fertilidad del suelo</t>
  </si>
  <si>
    <t>31201521</t>
  </si>
  <si>
    <t>Sistema de ejes de acero inoxidable</t>
  </si>
  <si>
    <t>Evaluación de proyectos de nutrición</t>
  </si>
  <si>
    <t>Duvergé</t>
  </si>
  <si>
    <t>Maleato de fluvoxamina</t>
  </si>
  <si>
    <t>Pelotas de lacrosse</t>
  </si>
  <si>
    <t>Servicios de pruebas de laboratorios de cemento para campos petroleros</t>
  </si>
  <si>
    <t>Varillas de acero inoxidable</t>
  </si>
  <si>
    <t>Anclajes de expansión de clavo</t>
  </si>
  <si>
    <t>Proyecciones de la balanza comercial</t>
  </si>
  <si>
    <t>Objetos maquinados centrifugados de berilio fundidos</t>
  </si>
  <si>
    <t>Componentes de titanio formados enrollados</t>
  </si>
  <si>
    <t>Sartenes desengrasantes</t>
  </si>
  <si>
    <t>Insertores o kits de insertores para uso quirúrgico</t>
  </si>
  <si>
    <t>Objetos maquinados de latón fundidos en molde en concha</t>
  </si>
  <si>
    <t>Temporizadores</t>
  </si>
  <si>
    <t>Tela de hilado de papel</t>
  </si>
  <si>
    <t>Profundización de pozos de mina</t>
  </si>
  <si>
    <t>Ensambles estructurales con soldadura sónica de aleación hast x</t>
  </si>
  <si>
    <t>Coliwasas (muestreadores de desechos líquidos de compostaje)</t>
  </si>
  <si>
    <t>Periódicos</t>
  </si>
  <si>
    <t>Conmutadores rotatorios</t>
  </si>
  <si>
    <t>Servicios de adquisición de datos sísmicos marinos de 2d/ 3d/ 4d</t>
  </si>
  <si>
    <t>Servicios de registro de la geometría de la perforación</t>
  </si>
  <si>
    <t>Ensambles de barras atornilladas de acero al carbono</t>
  </si>
  <si>
    <t>Rituximab</t>
  </si>
  <si>
    <t>Tornillo de fiador</t>
  </si>
  <si>
    <t>Platino pyt</t>
  </si>
  <si>
    <t>Kits o suministros para pruebas ambientales</t>
  </si>
  <si>
    <t>Cuchillas retractoras ortopédicas</t>
  </si>
  <si>
    <t>Clavos de tabla de arneses</t>
  </si>
  <si>
    <t>Barras de pánico</t>
  </si>
  <si>
    <t>MEDICAMENTOS CONTROLADOS 3</t>
  </si>
  <si>
    <t>Filos de sierra de banda para cortar metal</t>
  </si>
  <si>
    <t>Bolsas de té</t>
  </si>
  <si>
    <t>Celdas competentes de bacterias</t>
  </si>
  <si>
    <t>Compuestos disipadores de calor</t>
  </si>
  <si>
    <t>Poliestireno sindiotáctico</t>
  </si>
  <si>
    <t>Mezcladoras intensivas</t>
  </si>
  <si>
    <t>Eliminadores de oxígeno</t>
  </si>
  <si>
    <t>Espectrómetros</t>
  </si>
  <si>
    <t>Avión cazabombardero</t>
  </si>
  <si>
    <t>Cintas o cintas onduladas decorativas</t>
  </si>
  <si>
    <t>Overoles de protección</t>
  </si>
  <si>
    <t>Mesas o estaciones de trabajo o accesorios para rehabilitación o terapia</t>
  </si>
  <si>
    <t>Clorhidrato de butenafina</t>
  </si>
  <si>
    <t>Capacitores o varactores variables</t>
  </si>
  <si>
    <t>Retractores para urología o sus accesorios para uso quirúrgico</t>
  </si>
  <si>
    <t>Cuellos de ganso marinos</t>
  </si>
  <si>
    <t>Lacado</t>
  </si>
  <si>
    <t>Guías de campana de cable de recuperación</t>
  </si>
  <si>
    <t>Ensambles estructurales con soldadura ultra violeta de inconel</t>
  </si>
  <si>
    <t>Servicios de taxidermia</t>
  </si>
  <si>
    <t>Forjaduras anulares laminadas de magnesio</t>
  </si>
  <si>
    <t>Azelastina hidrocloruro</t>
  </si>
  <si>
    <t>Forjas de estaño maquinadas con impresión por troquel</t>
  </si>
  <si>
    <t>Conmutadores de vacío</t>
  </si>
  <si>
    <t>Jabones para enema</t>
  </si>
  <si>
    <t>Servicios de fabricación de maquinaria o equipos para construcción</t>
  </si>
  <si>
    <t>Luz frontal del vehículo</t>
  </si>
  <si>
    <t>Calentadores de pivote</t>
  </si>
  <si>
    <t>23191004</t>
  </si>
  <si>
    <t>Servicios de química de la producción del campo petrolero</t>
  </si>
  <si>
    <t>Varillas de acero</t>
  </si>
  <si>
    <t>Sistemas de eliminación de residuos radiactivos</t>
  </si>
  <si>
    <t>Incubadoras de cámara dual de dióxido de carbono de pared seca con control de humedad</t>
  </si>
  <si>
    <t>Calafateos</t>
  </si>
  <si>
    <t>Costas o costos de procesos civiles</t>
  </si>
  <si>
    <t>Estabilizador</t>
  </si>
  <si>
    <t>Analizadores de ionización de la llama</t>
  </si>
  <si>
    <t>Almacenaje de mercancías embandejadas</t>
  </si>
  <si>
    <t>Kits de ventriculostomía</t>
  </si>
  <si>
    <t>Instrumentos para probar carbón</t>
  </si>
  <si>
    <t>Fentermina de resina</t>
  </si>
  <si>
    <t>Etileno</t>
  </si>
  <si>
    <t>Libros de recursos o actividades de geografía</t>
  </si>
  <si>
    <t>Sonares</t>
  </si>
  <si>
    <t>Grabadoras de tablas</t>
  </si>
  <si>
    <t>47121701</t>
  </si>
  <si>
    <t>Sistemas de intercomunicación hospitalaria</t>
  </si>
  <si>
    <t>Rotores de centrífugas</t>
  </si>
  <si>
    <t>Epidiascopios</t>
  </si>
  <si>
    <t>Alcance caliente para cámaras ambientales o de cultivo</t>
  </si>
  <si>
    <t>Carretes de almacenamiento de estantes</t>
  </si>
  <si>
    <t>Puestos para impresoras</t>
  </si>
  <si>
    <t>Lápices de colores para dibujar de base de cera</t>
  </si>
  <si>
    <t>Mostradores</t>
  </si>
  <si>
    <t>Repelente de humedad</t>
  </si>
  <si>
    <t>Objetos maquinados de compuestos fundidos en molde de grafito</t>
  </si>
  <si>
    <t>Triacs</t>
  </si>
  <si>
    <t>Galería de arte</t>
  </si>
  <si>
    <t>Recolectores de tóner</t>
  </si>
  <si>
    <t>Tapas de encuadernación</t>
  </si>
  <si>
    <t>Servicios de rehabilitación para personas invidentes o con problemas de vista</t>
  </si>
  <si>
    <t>Aceites de lubricación de relojes</t>
  </si>
  <si>
    <t>Lentes de vitrectomía</t>
  </si>
  <si>
    <t>Remaches articulados</t>
  </si>
  <si>
    <t>Construcción de sistemas de fontanería</t>
  </si>
  <si>
    <t>Kits de pruebas para insectos</t>
  </si>
  <si>
    <t>31201605</t>
  </si>
  <si>
    <t>Servicios secretariales o de administración de oficinas</t>
  </si>
  <si>
    <t>Padre Las Casas</t>
  </si>
  <si>
    <t>Asbesto (amianto)</t>
  </si>
  <si>
    <t>Protectores de piernas</t>
  </si>
  <si>
    <t>Nizao</t>
  </si>
  <si>
    <t>Tapones bull de perforación</t>
  </si>
  <si>
    <t>Combinaciones de esfero y lápiz</t>
  </si>
  <si>
    <t>Docusato de sodio</t>
  </si>
  <si>
    <t>Cruces de tubo</t>
  </si>
  <si>
    <t>Pivotes de agua</t>
  </si>
  <si>
    <t>Clorhidrato de moexipril</t>
  </si>
  <si>
    <t>Chirino</t>
  </si>
  <si>
    <t>Fundición en arena de latón</t>
  </si>
  <si>
    <t>Taburetes de bar</t>
  </si>
  <si>
    <t>Máquinas para teñir cuero</t>
  </si>
  <si>
    <t>51171501</t>
  </si>
  <si>
    <t>Anillos de fijación para cirugía oftálmica</t>
  </si>
  <si>
    <t>Servicios de curtido o teñido de pieles</t>
  </si>
  <si>
    <t>Termómetros de fibra óptica para uso médico</t>
  </si>
  <si>
    <t>Saleros, pimenteros o especieros</t>
  </si>
  <si>
    <t>Diamante en bruto</t>
  </si>
  <si>
    <t>Aparato de fricción</t>
  </si>
  <si>
    <t>Excavadoras móviles</t>
  </si>
  <si>
    <t>Portaelectrodos</t>
  </si>
  <si>
    <t>Ensambles de tubería atornillada de acero al carbono</t>
  </si>
  <si>
    <t>Remolques quitanieves</t>
  </si>
  <si>
    <t>Archivos planos</t>
  </si>
  <si>
    <t>Cámaras de plomo para protección contra la radiación</t>
  </si>
  <si>
    <t>Hornos para uso comercial</t>
  </si>
  <si>
    <t>Sericultura</t>
  </si>
  <si>
    <t>Alimentadores</t>
  </si>
  <si>
    <t>Compresores de barril</t>
  </si>
  <si>
    <t>Resina polietereterquetona</t>
  </si>
  <si>
    <t>Botas de esquí</t>
  </si>
  <si>
    <t>Servicios de transporte internacional por buque</t>
  </si>
  <si>
    <t>Ruedas de fieltro</t>
  </si>
  <si>
    <t>Capilares o cartuchos</t>
  </si>
  <si>
    <t>Cafeteras para uso doméstico</t>
  </si>
  <si>
    <t>Lámparas de calor para uso comercial</t>
  </si>
  <si>
    <t>Puntos para energía o para encendedores</t>
  </si>
  <si>
    <t>41104202</t>
  </si>
  <si>
    <t>Películas protectoras</t>
  </si>
  <si>
    <t>41103202</t>
  </si>
  <si>
    <t>Navajas de afeitar</t>
  </si>
  <si>
    <t>Soluciones reguladoras de bicarbonato</t>
  </si>
  <si>
    <t>Obras de teatro basadas en la biblia</t>
  </si>
  <si>
    <t>Ceras sintéticas</t>
  </si>
  <si>
    <t>Semillas de centeno</t>
  </si>
  <si>
    <t>Grasas o lípidos</t>
  </si>
  <si>
    <t>Servicios de circuitos de conmutación automática de alta velocidad</t>
  </si>
  <si>
    <t>Agujas para coser a mano</t>
  </si>
  <si>
    <t>Servicios de relaciones públicas</t>
  </si>
  <si>
    <t>Servicios de plantación o mantenimiento de jardines</t>
  </si>
  <si>
    <t>Equipo de seguridad de redes vpn</t>
  </si>
  <si>
    <t>Extrusiones en frío de aleación no ferrosa</t>
  </si>
  <si>
    <t>Sellos para calificar</t>
  </si>
  <si>
    <t>Mezclas suplementarias completas sintéticas para levadura</t>
  </si>
  <si>
    <t>Agujas o sets para grabar</t>
  </si>
  <si>
    <t>Pinzas o torniquetes para servicios médicos de emergencia</t>
  </si>
  <si>
    <t>Arandelas de seguridad</t>
  </si>
  <si>
    <t>Servicios de fumigación  de parques o jardines</t>
  </si>
  <si>
    <t>Quillas laríngeas o accesorios</t>
  </si>
  <si>
    <t>Servicios de laboratorios biológicos</t>
  </si>
  <si>
    <t>Expansores</t>
  </si>
  <si>
    <t>Robots</t>
  </si>
  <si>
    <t>Edificios de tiendas</t>
  </si>
  <si>
    <t>Abrigos o chaquetas para hombre</t>
  </si>
  <si>
    <t>Bicicletas de carreras</t>
  </si>
  <si>
    <t>Unidades o accesorios de extracción obstétrica</t>
  </si>
  <si>
    <t>Servicios de terminación pozo con equilibrio inferior</t>
  </si>
  <si>
    <t>Almohadillas para escritorio o sus accesorios</t>
  </si>
  <si>
    <t>Órtosis ortopédicas espinales</t>
  </si>
  <si>
    <t>Filminas de monedas</t>
  </si>
  <si>
    <t>Servicios de cosecha de semillas</t>
  </si>
  <si>
    <t>Pernos de anclaje</t>
  </si>
  <si>
    <t>Unidades de terminales de telecomunicaciones</t>
  </si>
  <si>
    <t>Rajadores</t>
  </si>
  <si>
    <t>Dicloxacilina sódica</t>
  </si>
  <si>
    <t>Asociaciones científicas</t>
  </si>
  <si>
    <t>Dragalíneas</t>
  </si>
  <si>
    <t>Servicios de estandarización de especificaciones</t>
  </si>
  <si>
    <t>limpiaparabrisas para automóviles</t>
  </si>
  <si>
    <t>Semillas o plántulas de brócoli</t>
  </si>
  <si>
    <t>Aceite de fusores</t>
  </si>
  <si>
    <t>Organizaciones de eventos culturales</t>
  </si>
  <si>
    <t>Tiras de prueba o papel de prueba químico</t>
  </si>
  <si>
    <t>Tanques</t>
  </si>
  <si>
    <t>Dispositivos para enderezar dedos post mortem</t>
  </si>
  <si>
    <t>Aduja de fibra comprimida</t>
  </si>
  <si>
    <t>Servicios de cría y cuidado del ganado</t>
  </si>
  <si>
    <t>Prensas de laboratorio</t>
  </si>
  <si>
    <t>Portaherramientas o monturas de herramienta graduables</t>
  </si>
  <si>
    <t>Objetos fundidos maquinados por proceso v de metal precioso</t>
  </si>
  <si>
    <t>Condensadores intercambiadores de calor para laboratorio</t>
  </si>
  <si>
    <t>Hornos microondas para uso doméstico</t>
  </si>
  <si>
    <t>Crisoles para máquinas de fundición de uso odontológico</t>
  </si>
  <si>
    <t>Moldes para uso comercial</t>
  </si>
  <si>
    <t>Recolectores de polvo de huesos</t>
  </si>
  <si>
    <t>Cefdinir</t>
  </si>
  <si>
    <t>Lámina de magnesio</t>
  </si>
  <si>
    <t>Ensambles de tubos atornillados de acero al carbono</t>
  </si>
  <si>
    <t>Software de navegación de rutas</t>
  </si>
  <si>
    <t>Sólidos de aleación ferrosa</t>
  </si>
  <si>
    <t>Ventanas para automotores</t>
  </si>
  <si>
    <t>Piscina de natación</t>
  </si>
  <si>
    <t>Sondeos de exploración o extracción de testigos</t>
  </si>
  <si>
    <t>Hora Hombre</t>
  </si>
  <si>
    <t>Objetos de zinc fundidos por moldeo en cáscara</t>
  </si>
  <si>
    <t>23101510</t>
  </si>
  <si>
    <t>Borato</t>
  </si>
  <si>
    <t>Contenedores desechables de esterilización</t>
  </si>
  <si>
    <t>El Carril</t>
  </si>
  <si>
    <t>Centro de formación profesional</t>
  </si>
  <si>
    <t>Cargadores de catres para niños</t>
  </si>
  <si>
    <t>Kits de purificación de reacción en cadena de polimerasa</t>
  </si>
  <si>
    <t>Escobillas del motor</t>
  </si>
  <si>
    <t>Decoraciones de dos caras</t>
  </si>
  <si>
    <t>Moxifloxacina clorhidrato</t>
  </si>
  <si>
    <t>Servicios de explotación a cielo abierto</t>
  </si>
  <si>
    <t>11121610</t>
  </si>
  <si>
    <t>Objetos maquinados de acero fundidos en arena</t>
  </si>
  <si>
    <t>Conductos o red de conductos de titanio</t>
  </si>
  <si>
    <t>Servicios de recuperación de tubería en el campo petrolífero</t>
  </si>
  <si>
    <t>Triptorelina</t>
  </si>
  <si>
    <t>Juegos colaborativos</t>
  </si>
  <si>
    <t>Demulsificantes</t>
  </si>
  <si>
    <t>Manteles de papel</t>
  </si>
  <si>
    <t>Glucagón</t>
  </si>
  <si>
    <t>Cuerda de goma,</t>
  </si>
  <si>
    <t>Ensambles de tubos soldados con soldadura fuerte o débil de latón</t>
  </si>
  <si>
    <t>Losartán potásico</t>
  </si>
  <si>
    <t>Diclofenaco</t>
  </si>
  <si>
    <t>Ornipresina</t>
  </si>
  <si>
    <t>Grabadoras de lluvia</t>
  </si>
  <si>
    <t>Bombas solenoides</t>
  </si>
  <si>
    <t>Merbromina</t>
  </si>
  <si>
    <t>Zanamivir</t>
  </si>
  <si>
    <t>Kits de síntesis de ácido desoxirribonucleico dna complementario</t>
  </si>
  <si>
    <t>Membranas de transferencia por adsorción</t>
  </si>
  <si>
    <t>Productos de yeso de uso odontológico</t>
  </si>
  <si>
    <t>Paredes de vidrio</t>
  </si>
  <si>
    <t>Hornos de barbecue para uso comercial</t>
  </si>
  <si>
    <t>Administración veterinaria</t>
  </si>
  <si>
    <t>51151812</t>
  </si>
  <si>
    <t>Objetos de magnesio fundidos en molde de yeso</t>
  </si>
  <si>
    <t>Para compra de Utensilios de cocina</t>
  </si>
  <si>
    <t>Máquinas para planchar o prensas</t>
  </si>
  <si>
    <t>Servicios de protección del paisaje</t>
  </si>
  <si>
    <t>compra de alimentos y bebidas para el INCART</t>
  </si>
  <si>
    <t>Objetos de acero inoxidable fundidos en molde de yeso</t>
  </si>
  <si>
    <t>Nabumetona</t>
  </si>
  <si>
    <t>Cerradores de puertas</t>
  </si>
  <si>
    <t>Cabeceras o pies de cama</t>
  </si>
  <si>
    <t>Taladradoras eléctricas</t>
  </si>
  <si>
    <t>Fotocopiadoras</t>
  </si>
  <si>
    <t>Explotación ganadera</t>
  </si>
  <si>
    <t>Espejo de inspección para los discapacitados físicamente</t>
  </si>
  <si>
    <t>Comida húmeda para reptiles</t>
  </si>
  <si>
    <t>Materiales de enseñanza del cuidado o mantenimiento o lavado de la ropa</t>
  </si>
  <si>
    <t>Ópalos</t>
  </si>
  <si>
    <t>Bombas de infusión de jeringa intravenosa</t>
  </si>
  <si>
    <t>Porosímetros</t>
  </si>
  <si>
    <t>Puñal</t>
  </si>
  <si>
    <t>Introductores o ganchos de guía o guías de alambre o deslizadores de alambre para cirugía no endoscópica o procedimientos de corazón abierto</t>
  </si>
  <si>
    <t>Quemadores eléctricos</t>
  </si>
  <si>
    <t>Edificio para laboratorios</t>
  </si>
  <si>
    <t>Ensambles de barras pegadas de acero inoxidable</t>
  </si>
  <si>
    <t>Dalteparina sódica</t>
  </si>
  <si>
    <t>Tiocianoacetato de isobornilo</t>
  </si>
  <si>
    <t>Agentes para engruesar el lodo</t>
  </si>
  <si>
    <t>Tela para ribeteado</t>
  </si>
  <si>
    <t>Clorhidrato de bepridil</t>
  </si>
  <si>
    <t>Woks para uso comercial</t>
  </si>
  <si>
    <t>42142802</t>
  </si>
  <si>
    <t>Servicios de empacado de productos no alimenticios</t>
  </si>
  <si>
    <t>Cables de alimentación</t>
  </si>
  <si>
    <t>Papel de lentes para microscopio</t>
  </si>
  <si>
    <t>Paneles</t>
  </si>
  <si>
    <t>Adaptadores o conectores o accesorios para soportes de filtros farmacéuticos</t>
  </si>
  <si>
    <t>Sistemas de contabilización de llamadas telefónicas</t>
  </si>
  <si>
    <t>Despliegue de armas</t>
  </si>
  <si>
    <t>Acetato de glatiramer</t>
  </si>
  <si>
    <t>MEDICAMENTOS ANTIBACTERIANO 1</t>
  </si>
  <si>
    <t>MEDICAMENTOS ANTIBACTERIANO 2</t>
  </si>
  <si>
    <t>Docosanol</t>
  </si>
  <si>
    <t>Dispositivos para decantar fluidos para uso quirúrgico</t>
  </si>
  <si>
    <t>Bombas de leva rotatorias</t>
  </si>
  <si>
    <t>Carritos de emergencia o resucitación</t>
  </si>
  <si>
    <t>Semillas o esquejes de árboles frutales</t>
  </si>
  <si>
    <t>Equipo de presión de registro de fondo de pozo</t>
  </si>
  <si>
    <t>Velos para danza</t>
  </si>
  <si>
    <t>El Seibo</t>
  </si>
  <si>
    <t>Tuercas domo</t>
  </si>
  <si>
    <t>Cañerías o tuberías de riego</t>
  </si>
  <si>
    <t>Servicios de formación  profesional  en química</t>
  </si>
  <si>
    <t>Cuchillas de acondicionamiento de punta de soldadura</t>
  </si>
  <si>
    <t>Moldeables de aislación</t>
  </si>
  <si>
    <t>Ladrillo de mulita</t>
  </si>
  <si>
    <t>Cartuchos de filtración de agua</t>
  </si>
  <si>
    <t>Ensambles de tubos soldados con disolvente de inconel</t>
  </si>
  <si>
    <t>Herramientas de resistividad</t>
  </si>
  <si>
    <t>Cepillos de aplicar</t>
  </si>
  <si>
    <t>Cuidado de la boca para los discapacitados físicamente</t>
  </si>
  <si>
    <t>Tuercas de brida</t>
  </si>
  <si>
    <t>Montajes de choque del avión</t>
  </si>
  <si>
    <t>Pistolas de revestimiento</t>
  </si>
  <si>
    <t>Unidades de transmisión del avión</t>
  </si>
  <si>
    <t>Servicios de corte en tiras</t>
  </si>
  <si>
    <t>Nueces y semillas sin cascara</t>
  </si>
  <si>
    <t>Cerramientos hepa filtrados</t>
  </si>
  <si>
    <t>Carrete del cabezal del revestimiento</t>
  </si>
  <si>
    <t>52121505</t>
  </si>
  <si>
    <t>Personal militar</t>
  </si>
  <si>
    <t>Reactivos analizadores de hematología</t>
  </si>
  <si>
    <t>Escáneres</t>
  </si>
  <si>
    <t>Comidas para llevar preparadas profesionalmente</t>
  </si>
  <si>
    <t>Citrato de bismuto ranitidina</t>
  </si>
  <si>
    <t>Maquinas dispensadoras de cantidades grandes</t>
  </si>
  <si>
    <t>Butadieno acilonitrilo nbr</t>
  </si>
  <si>
    <t>31241609</t>
  </si>
  <si>
    <t>Servicios de laboratorio de fluidos de fondo del pozo</t>
  </si>
  <si>
    <t>Clips para faldas de mesa</t>
  </si>
  <si>
    <t>Bloques de pilas específicas para productos</t>
  </si>
  <si>
    <t>USO MEDICOS Y PACIENTES</t>
  </si>
  <si>
    <t>Servicios de inhibición orgánica de la matriz</t>
  </si>
  <si>
    <t>Herramientas de avellanado o escariado</t>
  </si>
  <si>
    <t>Túnel para carretea</t>
  </si>
  <si>
    <t>Estación móvil de telefonía</t>
  </si>
  <si>
    <t>Kits de rapel para servicios médicos de emergencia</t>
  </si>
  <si>
    <t>Oro</t>
  </si>
  <si>
    <t>Cursos nocturnos</t>
  </si>
  <si>
    <t>MEDICAMENTOS ESPECIALES</t>
  </si>
  <si>
    <t>Sistemas de ensamblaje para vehículos de chasis (vo)</t>
  </si>
  <si>
    <t>Tuercas abrazaderas</t>
  </si>
  <si>
    <t>Servicios de diseño de las tareas de cementación del pozo</t>
  </si>
  <si>
    <t>Objetos de aleación no ferrosa fundidos en molde de grafito</t>
  </si>
  <si>
    <t>56111802</t>
  </si>
  <si>
    <t>Gavetas organizadoras para el escritorio</t>
  </si>
  <si>
    <t>Rollos de télex</t>
  </si>
  <si>
    <t>Almohadillas o acolchado para deportes</t>
  </si>
  <si>
    <t>Melófonos</t>
  </si>
  <si>
    <t>Rifubutina</t>
  </si>
  <si>
    <t>Venta de tierras comerciales o industriales</t>
  </si>
  <si>
    <t>Monitores de pantalla táctil (touch)</t>
  </si>
  <si>
    <t>Colecciones de monedas</t>
  </si>
  <si>
    <t>Servicios de terminación del pozo permanente</t>
  </si>
  <si>
    <t>Éter de polifenilene ppe</t>
  </si>
  <si>
    <t>Bandejas de agua</t>
  </si>
  <si>
    <t>42132104</t>
  </si>
  <si>
    <t>Museos</t>
  </si>
  <si>
    <t>Organizaciones de asistencia a presos</t>
  </si>
  <si>
    <t>Válvulas de mariposa con diseño de disco</t>
  </si>
  <si>
    <t>50192703</t>
  </si>
  <si>
    <t>Tetracaína</t>
  </si>
  <si>
    <t>Sujetadores de cierre</t>
  </si>
  <si>
    <t>Carcasas o pedestales de rodamientos</t>
  </si>
  <si>
    <t>Puntal tensor</t>
  </si>
  <si>
    <t>Ciclosporina</t>
  </si>
  <si>
    <t>Objetos maquinados centrifugados no metálicos fundidos</t>
  </si>
  <si>
    <t>Pegamentos</t>
  </si>
  <si>
    <t>51181506</t>
  </si>
  <si>
    <t>Clorhidrato de ranitidina</t>
  </si>
  <si>
    <t>Salmón vivos</t>
  </si>
  <si>
    <t>14111604</t>
  </si>
  <si>
    <t>Mendelevio md</t>
  </si>
  <si>
    <t>Botones o puentes o accesorios relacionados para sutura</t>
  </si>
  <si>
    <t>Barco para sísmica</t>
  </si>
  <si>
    <t>Estuches o forros para transportar termómetros para uso médico</t>
  </si>
  <si>
    <t>Servicios de odontólogos</t>
  </si>
  <si>
    <t>Hardware para anteojos</t>
  </si>
  <si>
    <t>Taladros en barcazas</t>
  </si>
  <si>
    <t>12352501</t>
  </si>
  <si>
    <t>Besilato de atracurio</t>
  </si>
  <si>
    <t>Clubes de cartas</t>
  </si>
  <si>
    <t>Teléfonos análogos</t>
  </si>
  <si>
    <t>Pelotas de tenis</t>
  </si>
  <si>
    <t>Polvo de diamante</t>
  </si>
  <si>
    <t>Mercurio de uso odontológico</t>
  </si>
  <si>
    <t>Resinas de relleno directo</t>
  </si>
  <si>
    <t>Servicios de investigación neurológica</t>
  </si>
  <si>
    <t>Relleno</t>
  </si>
  <si>
    <t>Cadenas de oro o plata o platino</t>
  </si>
  <si>
    <t>Rodillos de amasar para uso comercial</t>
  </si>
  <si>
    <t>42182601</t>
  </si>
  <si>
    <t>Colectores de cable de recuperación</t>
  </si>
  <si>
    <t>Carne de ave o carne en conserva</t>
  </si>
  <si>
    <t>Servicios de proveedores de teléfonos con pago</t>
  </si>
  <si>
    <t>Guía de alineación de la madera</t>
  </si>
  <si>
    <t>Equipos de cirugía fragmatoma de retina vítrea para cirugía oftálmica</t>
  </si>
  <si>
    <t>Santo Domingo</t>
  </si>
  <si>
    <t>Espátulas para enmasillar</t>
  </si>
  <si>
    <t>Cacodilato ferroso</t>
  </si>
  <si>
    <t>Servicios de limpieza con chorro de perdigones</t>
  </si>
  <si>
    <t>Bupivacaína</t>
  </si>
  <si>
    <t>Canalización eléctrica</t>
  </si>
  <si>
    <t>Galón</t>
  </si>
  <si>
    <t>Instrumentos de cerclaje para uso quirúrgico</t>
  </si>
  <si>
    <t>Mesas de retención o sistemas de medición para examen pediátrico</t>
  </si>
  <si>
    <t>Componentes de berilio formados enrollados</t>
  </si>
  <si>
    <t>Malla red</t>
  </si>
  <si>
    <t>Localizadores radiográficos</t>
  </si>
  <si>
    <t>Válvulas de control de rotación</t>
  </si>
  <si>
    <t>Fluidos centradores</t>
  </si>
  <si>
    <t>42271915</t>
  </si>
  <si>
    <t>Carbenicilina</t>
  </si>
  <si>
    <t>Conductos o red de conductos de aluminio</t>
  </si>
  <si>
    <t>Mangueras de aire</t>
  </si>
  <si>
    <t>MEDICAMENTOS ANALGESICOS Y ANTIPERICTICO 3</t>
  </si>
  <si>
    <t>Operadores de introducción de datos de telefonía</t>
  </si>
  <si>
    <t>51102702</t>
  </si>
  <si>
    <t>Libros de recursos y actividades de pentominós</t>
  </si>
  <si>
    <t>Herramientas de geo - dirección</t>
  </si>
  <si>
    <t>Clordiazepóxido</t>
  </si>
  <si>
    <t>Pinturas de látex</t>
  </si>
  <si>
    <t>Indicadores</t>
  </si>
  <si>
    <t>LEVIN,SONDAS Y TUBOS 2</t>
  </si>
  <si>
    <t>51142702</t>
  </si>
  <si>
    <t>Soluciones de dialisato para hemodiálisis</t>
  </si>
  <si>
    <t>Desarrollo de las exportaciones</t>
  </si>
  <si>
    <t>Sujetadores de tubos de gastrostomía o yeyunostomía</t>
  </si>
  <si>
    <t>50201706</t>
  </si>
  <si>
    <t>Kits de herramientas para baterías</t>
  </si>
  <si>
    <t>Luces de punto caliente de película de rayos x para uso médico</t>
  </si>
  <si>
    <t>Acetato de calcio</t>
  </si>
  <si>
    <t>Indicadores de aceite</t>
  </si>
  <si>
    <t>Cintas para certificados</t>
  </si>
  <si>
    <t>Toltrazuril</t>
  </si>
  <si>
    <t>Sordinas</t>
  </si>
  <si>
    <t>Formato de verificación de depósito</t>
  </si>
  <si>
    <t>Fiscornos</t>
  </si>
  <si>
    <t>Xilacina</t>
  </si>
  <si>
    <t>Combinaciones</t>
  </si>
  <si>
    <t>Etiquetas de direcciones o de correo</t>
  </si>
  <si>
    <t>Camilla de primeros auxilios</t>
  </si>
  <si>
    <t>Señales iluminadas</t>
  </si>
  <si>
    <t>Centrales de gas</t>
  </si>
  <si>
    <t>Banyos</t>
  </si>
  <si>
    <t>Paneles de madera</t>
  </si>
  <si>
    <t>51141531</t>
  </si>
  <si>
    <t>Servicios de producción de etileno o derivados</t>
  </si>
  <si>
    <t>Pantallas de control de arena</t>
  </si>
  <si>
    <t>Filtros multi hoja o de prensa para laboratorios</t>
  </si>
  <si>
    <t>Herramientas de calafateado</t>
  </si>
  <si>
    <t>Clorhidrato de diclonina</t>
  </si>
  <si>
    <t>Malecón</t>
  </si>
  <si>
    <t>Evaporadores de producción de campo de petróleo</t>
  </si>
  <si>
    <t>Oboes</t>
  </si>
  <si>
    <t>Esterilizadores de radiación</t>
  </si>
  <si>
    <t>Programación para visual basic</t>
  </si>
  <si>
    <t>Servicios: Consultorías</t>
  </si>
  <si>
    <t>Bidés</t>
  </si>
  <si>
    <t>Servicios de inspección del empaquetado</t>
  </si>
  <si>
    <t>12191601</t>
  </si>
  <si>
    <t>Unidades de cirugía endoscópica</t>
  </si>
  <si>
    <t>40141742</t>
  </si>
  <si>
    <t>Servicios de fabricación de maquinaria o equipos para impresión de papel</t>
  </si>
  <si>
    <t>Circuitos de telecomunicaciones analógicas punto a punto</t>
  </si>
  <si>
    <t>Servicios de pintura de interiores</t>
  </si>
  <si>
    <t>Placas</t>
  </si>
  <si>
    <t>Inhaladores de anestesia o unidades de inhalación o accesorios</t>
  </si>
  <si>
    <t>Kits de matemáticas para mediciones</t>
  </si>
  <si>
    <t>Papeles tímpano</t>
  </si>
  <si>
    <t>Carro deportivo</t>
  </si>
  <si>
    <t>Correas en v</t>
  </si>
  <si>
    <t>Banda de estaño</t>
  </si>
  <si>
    <t>Bates de beisbol</t>
  </si>
  <si>
    <t>Resina acetato vinilo etileno</t>
  </si>
  <si>
    <t>Carretas de empujar</t>
  </si>
  <si>
    <t>Servicios de organización de elecciones</t>
  </si>
  <si>
    <t>Vertedero de basuras</t>
  </si>
  <si>
    <t>Collares de retención</t>
  </si>
  <si>
    <t>Geles para ultrasonido o doppler o eco para uso médico</t>
  </si>
  <si>
    <t>Ollas para uso doméstico</t>
  </si>
  <si>
    <t>Servicios de pesca mediante tubería flexible contínua</t>
  </si>
  <si>
    <t>Cabos de amarre</t>
  </si>
  <si>
    <t>Compresores de motor</t>
  </si>
  <si>
    <t>Sweaters para mujer</t>
  </si>
  <si>
    <t>Citrato de calcio</t>
  </si>
  <si>
    <t>Lentes para cámaras</t>
  </si>
  <si>
    <t>Bobinas de resorte para ortodoncia</t>
  </si>
  <si>
    <t>Constanza</t>
  </si>
  <si>
    <t>Yeso</t>
  </si>
  <si>
    <t>Servicios de operación o administración de plantas cárnicas</t>
  </si>
  <si>
    <t>Topes de tubería</t>
  </si>
  <si>
    <t>Servicios de elaboración de mantequilla o crema de leche</t>
  </si>
  <si>
    <t>Bolsas para billetes o billeteras</t>
  </si>
  <si>
    <t>Puestos de estudio</t>
  </si>
  <si>
    <t>Rodamientos radiales</t>
  </si>
  <si>
    <t>Kits para modelado de arcilla</t>
  </si>
  <si>
    <t>Satélites de órbita sincronizada con el sol</t>
  </si>
  <si>
    <t>Chapa de estaño</t>
  </si>
  <si>
    <t>LICITACIÓN PÚBLICA</t>
  </si>
  <si>
    <t>Carriles de muelle o accesorios</t>
  </si>
  <si>
    <t>Material didácticos manipulativos de clasificación o sets de actividades de clasificación para matemáticas temprana</t>
  </si>
  <si>
    <t>Tarjetas de interface de red</t>
  </si>
  <si>
    <t>Kits de matemáticas para bachillerato básico</t>
  </si>
  <si>
    <t>COMPRA DE INSUMOS BAJO COMODATO</t>
  </si>
  <si>
    <t>Gafas protectoras</t>
  </si>
  <si>
    <t>Materiales de enseñanza de educación sobre el parto</t>
  </si>
  <si>
    <t>Herramientas de jardinería para los discapacitados físicamente</t>
  </si>
  <si>
    <t>Bombas de engranaje</t>
  </si>
  <si>
    <t>Guía de sierra</t>
  </si>
  <si>
    <t>Vendajes intravenosos</t>
  </si>
  <si>
    <t>Sets de actividades o juegos de bloques para patrones</t>
  </si>
  <si>
    <t>Dispensador de papel de seda del cuarto de baño</t>
  </si>
  <si>
    <t>Solución de antipirina y benzocaína</t>
  </si>
  <si>
    <t>Impuesto a la sucesión o sobre transferencia de propiedad</t>
  </si>
  <si>
    <t>Tanques de propelente del avión</t>
  </si>
  <si>
    <t>Tambores abrasivos</t>
  </si>
  <si>
    <t>42271909</t>
  </si>
  <si>
    <t>Cuchillos para uso odontológico</t>
  </si>
  <si>
    <t>Materiales elastoméricos para impresiones dentales</t>
  </si>
  <si>
    <t>Materiales pedagógicos para ortografía</t>
  </si>
  <si>
    <t>Barras de fijación de niños para uso oftálmico</t>
  </si>
  <si>
    <t>Formación de recursos humanos para el sector bancario o financiero</t>
  </si>
  <si>
    <t>Sub Capítulo</t>
  </si>
  <si>
    <t>53102902</t>
  </si>
  <si>
    <t>Señales de seguridad</t>
  </si>
  <si>
    <t>Asiento de válvula del motor</t>
  </si>
  <si>
    <t>Alfombras para exteriores</t>
  </si>
  <si>
    <t>Aluminio en placa labrada</t>
  </si>
  <si>
    <t>Dispositivos para ver micro fichas o micro cintas</t>
  </si>
  <si>
    <t>Simuladores para fumar</t>
  </si>
  <si>
    <t>Sellos de plástico</t>
  </si>
  <si>
    <t>Instrumentos para probar cuero</t>
  </si>
  <si>
    <t>Calzado atlético para bebé</t>
  </si>
  <si>
    <t>Bidones no metálicos para líquido inflamable</t>
  </si>
  <si>
    <t>Paquete</t>
  </si>
  <si>
    <t>Equipo orsat</t>
  </si>
  <si>
    <t>Textiles o redes para entomología</t>
  </si>
  <si>
    <t>Objetos maquinados de acero inoxidable fundidos en molde de yeso</t>
  </si>
  <si>
    <t>Alpiste</t>
  </si>
  <si>
    <t>Bebidas para infantes</t>
  </si>
  <si>
    <t>HILOS QUIRURGICOS 3</t>
  </si>
  <si>
    <t>42221504</t>
  </si>
  <si>
    <t>Agentes de espuma</t>
  </si>
  <si>
    <t>Servicios de tubos para pozos</t>
  </si>
  <si>
    <t>Undecilenato de calcio</t>
  </si>
  <si>
    <t>Componentes de ortesis termoplástica</t>
  </si>
  <si>
    <t>51161703</t>
  </si>
  <si>
    <t>Sistemas digestivos</t>
  </si>
  <si>
    <t>Anastrozol</t>
  </si>
  <si>
    <t>Sets de administración de alimentación enteral</t>
  </si>
  <si>
    <t>Unidades de diálisis peritoneal</t>
  </si>
  <si>
    <t>Gramicidina</t>
  </si>
  <si>
    <t>60122003</t>
  </si>
  <si>
    <t>Ceftriaxona</t>
  </si>
  <si>
    <t>Revestimiento de los cilindros</t>
  </si>
  <si>
    <t>Fresas</t>
  </si>
  <si>
    <t>42221612</t>
  </si>
  <si>
    <t>Pesas de calibración o sets de pesas</t>
  </si>
  <si>
    <t xml:space="preserve">Alimentos, abarrotes y otros </t>
  </si>
  <si>
    <t>Traperos para polvo</t>
  </si>
  <si>
    <t>Materiales didácticos de transporte</t>
  </si>
  <si>
    <t>Arandelas de resorte</t>
  </si>
  <si>
    <t>Máquinas perforadoras de libros</t>
  </si>
  <si>
    <t>Mineral de zirconio</t>
  </si>
  <si>
    <t>Libros de recursos o actividades de bloques geométricos o de bloques para patrones</t>
  </si>
  <si>
    <t>Levantadores de huellas dactilares</t>
  </si>
  <si>
    <t>Cajas de conexiones de tuberías</t>
  </si>
  <si>
    <t>Sets o kits de anestesia</t>
  </si>
  <si>
    <t>Ensambles de láminas pegadas de aleación hast x</t>
  </si>
  <si>
    <t>Ensambles de láminas soldadas con soldadura ultra violeta no metálica</t>
  </si>
  <si>
    <t>Paneles de instrumentos</t>
  </si>
  <si>
    <t>Sets de espéculos para oído</t>
  </si>
  <si>
    <t>Electrodos</t>
  </si>
  <si>
    <t>Plato del jabón</t>
  </si>
  <si>
    <t>Bombas de vacío</t>
  </si>
  <si>
    <t>Indocianina verde</t>
  </si>
  <si>
    <t>Trituradores de cono</t>
  </si>
  <si>
    <t>Fuel oil de calefacción # 2</t>
  </si>
  <si>
    <t>Filtros o accesorios para máscaras o respiradores</t>
  </si>
  <si>
    <t>Edificio de la cárcel</t>
  </si>
  <si>
    <t>Productos químicos protectores</t>
  </si>
  <si>
    <t>Varillas medidoras</t>
  </si>
  <si>
    <t>Máquinas para envolver paquetes</t>
  </si>
  <si>
    <t>Alimemazina</t>
  </si>
  <si>
    <t>Árboles de transmisión</t>
  </si>
  <si>
    <t>Palmeras</t>
  </si>
  <si>
    <t>Repuestos de marcadores</t>
  </si>
  <si>
    <t>Servicios audiovisuales</t>
  </si>
  <si>
    <t>Válvulas de aguja</t>
  </si>
  <si>
    <t>Mineral de zinc</t>
  </si>
  <si>
    <t>Antimicóticos</t>
  </si>
  <si>
    <t>Barbecues</t>
  </si>
  <si>
    <t>Anisindiona</t>
  </si>
  <si>
    <t>Conectores de radiofrecuencia (rf)</t>
  </si>
  <si>
    <t>Marcos para ventanas giratorias</t>
  </si>
  <si>
    <t>Paso elevado</t>
  </si>
  <si>
    <t>Bujes eléctricos</t>
  </si>
  <si>
    <t>60122002</t>
  </si>
  <si>
    <t>Sólidos de aleación no ferrosa</t>
  </si>
  <si>
    <t>Apuntaladores cerámicos cubiertos de resina</t>
  </si>
  <si>
    <t>Servicios de prevención o control de enfermedades de la niñez</t>
  </si>
  <si>
    <t>Metotrexato</t>
  </si>
  <si>
    <t>Ralladores para uso doméstico</t>
  </si>
  <si>
    <t>Queratómetros refractores de combinación</t>
  </si>
  <si>
    <t>Kits de genética</t>
  </si>
  <si>
    <t>42132105</t>
  </si>
  <si>
    <t>Libros de recursos de poesía</t>
  </si>
  <si>
    <t>Espaillat</t>
  </si>
  <si>
    <t>Servicios de administración o mantenimiento de parques</t>
  </si>
  <si>
    <t>Protectores de yesos o tablillas</t>
  </si>
  <si>
    <t>Forjas de aleación no ferrosa maquinadas con impresión por troquel</t>
  </si>
  <si>
    <t>Plantilla de instalación</t>
  </si>
  <si>
    <t>Servicios no gubernamentales de ayuda al desarrollo</t>
  </si>
  <si>
    <t>Valrubicina</t>
  </si>
  <si>
    <t>Máscaras para senos nasales terapéuticas</t>
  </si>
  <si>
    <t>Compuestos orgánicos nitro o nitroso</t>
  </si>
  <si>
    <t>Ferritas</t>
  </si>
  <si>
    <t>Suministros de bolos</t>
  </si>
  <si>
    <t>Clubes deportivos profesionales o semiprofesionales</t>
  </si>
  <si>
    <t>Palacio de justicia</t>
  </si>
  <si>
    <t>Ensambles de placas atornilladas de aleación wasp</t>
  </si>
  <si>
    <t>Aleación de acero inoxidable 316</t>
  </si>
  <si>
    <t>Excepción - Proveedor Único</t>
  </si>
  <si>
    <t>51121743</t>
  </si>
  <si>
    <t>Escaleras para muelles</t>
  </si>
  <si>
    <t>Cable galvanizado</t>
  </si>
  <si>
    <t>Tubos de extensión</t>
  </si>
  <si>
    <t>Cubiertas para rodillos de pintura</t>
  </si>
  <si>
    <t>Betametasona</t>
  </si>
  <si>
    <t>Clorhidrato de amantadina</t>
  </si>
  <si>
    <t>Trampas para deportes</t>
  </si>
  <si>
    <t>Cuñas</t>
  </si>
  <si>
    <t>Cinturón o accesorios para ostomía</t>
  </si>
  <si>
    <t>Latas de propulsor de airbags</t>
  </si>
  <si>
    <t>Trampas frías</t>
  </si>
  <si>
    <t>Formas de cartón corrugado</t>
  </si>
  <si>
    <t>Antisépticos basados en alcohol o acetona</t>
  </si>
  <si>
    <t>Correas de conexión a tierra para el talón</t>
  </si>
  <si>
    <t>GASES ARTERIALES PARA UNIDAD DE CUIDADOS INTENSIVOS</t>
  </si>
  <si>
    <t>Sabana Alta</t>
  </si>
  <si>
    <t>Tornillos de soldadura</t>
  </si>
  <si>
    <t>Bolsas de circuito de respiración</t>
  </si>
  <si>
    <t>Mangueras de ácido</t>
  </si>
  <si>
    <t>Tazas o tazones (mugs) para servicio de comidas</t>
  </si>
  <si>
    <t>Espéculos para examen anal o rectal</t>
  </si>
  <si>
    <t>Servicios de auditoria ambiental sectoriales</t>
  </si>
  <si>
    <t>Pistolas de calafateado</t>
  </si>
  <si>
    <t>Pernos elevadores</t>
  </si>
  <si>
    <t>Recortadoras de chapa de uña vibratoria</t>
  </si>
  <si>
    <t>Prensas de sellamiento</t>
  </si>
  <si>
    <t>Bloques o aletas o tabletas de mordida para uso odontológico</t>
  </si>
  <si>
    <t>Travoprost</t>
  </si>
  <si>
    <t>Estación de bomberos</t>
  </si>
  <si>
    <t>Bóvedas de vidrio moldeado</t>
  </si>
  <si>
    <t>Vendedores callejeros de alimentos</t>
  </si>
  <si>
    <t>Moldura de latón</t>
  </si>
  <si>
    <t>Transistores de efecto de campo de unión (jfet)</t>
  </si>
  <si>
    <t>Objetos de titanio fundidos en molde de grafito</t>
  </si>
  <si>
    <t>Centros de carga</t>
  </si>
  <si>
    <t>Objetos maquinados de estaño fundidos en molde cerámico</t>
  </si>
  <si>
    <t>Plasma sanguíneo humano</t>
  </si>
  <si>
    <t>zonas acolchadas de juego</t>
  </si>
  <si>
    <t>Máquina de martillar con la peña de cuentas de vidrio</t>
  </si>
  <si>
    <t>Extrusiones de perfiles de plástico</t>
  </si>
  <si>
    <t>Rotores de avión</t>
  </si>
  <si>
    <t>Cubiertos o utensilios para los discapacitados físicamente</t>
  </si>
  <si>
    <t>Servicios de tesorería</t>
  </si>
  <si>
    <t>Claraboyas con ventilación</t>
  </si>
  <si>
    <t>Dispositivos o accesorios de sujeción prostética</t>
  </si>
  <si>
    <t>Vectores de expresión de insectos</t>
  </si>
  <si>
    <t>Apuntaladores cerámicos</t>
  </si>
  <si>
    <t>Polipropileno pp</t>
  </si>
  <si>
    <t>Aviones ultralivianos</t>
  </si>
  <si>
    <t>Vestidos o faldas o saris o kimonos para niña</t>
  </si>
  <si>
    <t>Bridas de boquilla para soldar</t>
  </si>
  <si>
    <t>Servicios de extracción de metales</t>
  </si>
  <si>
    <t>Butano</t>
  </si>
  <si>
    <t>Exopeptidasa g2</t>
  </si>
  <si>
    <t>Lactato de pentazocina</t>
  </si>
  <si>
    <t>Núcleo de panal de magnesio</t>
  </si>
  <si>
    <t>Bombas de émbolo</t>
  </si>
  <si>
    <t>Bonao</t>
  </si>
  <si>
    <t>Motores de vapor</t>
  </si>
  <si>
    <t>Maquinaria para triturar plástico</t>
  </si>
  <si>
    <t>Explosivos propelentes</t>
  </si>
  <si>
    <t>Servicios de la asamblea general</t>
  </si>
  <si>
    <t>Reveladores para impresoras o fotocopiadoras</t>
  </si>
  <si>
    <t>Correas de distribución de engranaje</t>
  </si>
  <si>
    <t>Helicópteros de carga</t>
  </si>
  <si>
    <t>Equipo de esmerilado de lentes</t>
  </si>
  <si>
    <t>Micro centrífugas</t>
  </si>
  <si>
    <t>Materiales de impresión agar de uso odontológico</t>
  </si>
  <si>
    <t>Semillas o plántulas de puerro</t>
  </si>
  <si>
    <t>Equipos para perforar pozos de agua</t>
  </si>
  <si>
    <t>Rompevientos o barreras naturales de protección forestal</t>
  </si>
  <si>
    <t>Libros de ideas o recursos del plan de estudios de bachillerato básico</t>
  </si>
  <si>
    <t>Pistolas festoneadas</t>
  </si>
  <si>
    <t>Expansores para uso odontológico</t>
  </si>
  <si>
    <t>Forjaduras en estampa cerrada de plomo</t>
  </si>
  <si>
    <t>Tubos de pentodo</t>
  </si>
  <si>
    <t>Agua Santa del Yuna</t>
  </si>
  <si>
    <t>Servicios de almacenaje de documentos</t>
  </si>
  <si>
    <t>Deshidratadores</t>
  </si>
  <si>
    <t>Metandriol</t>
  </si>
  <si>
    <t>Equipos de impresión tipográfica</t>
  </si>
  <si>
    <t>OBRAS</t>
  </si>
  <si>
    <t>Herramientas de detección de fracturas para uso odontológico</t>
  </si>
  <si>
    <t>Cercos de puertas</t>
  </si>
  <si>
    <t>Agujas arteriales</t>
  </si>
  <si>
    <t>CANTIDAD TOTAL ESTIMADA</t>
  </si>
  <si>
    <t>Remolques carrotanque sin temperatura controlada</t>
  </si>
  <si>
    <t>Peras de caucho para usos médicos</t>
  </si>
  <si>
    <t>Pastillas de témpera</t>
  </si>
  <si>
    <t>Crematorio</t>
  </si>
  <si>
    <t>Accesorios de pistola de perforación de tubos completa</t>
  </si>
  <si>
    <t>Tubos endotraqueales</t>
  </si>
  <si>
    <t>Pantallas o cortinas para soldar</t>
  </si>
  <si>
    <t>NUTRICION 4</t>
  </si>
  <si>
    <t>Programación para cobol</t>
  </si>
  <si>
    <t>47131604</t>
  </si>
  <si>
    <t>Servicios de conferencia telefónica</t>
  </si>
  <si>
    <t>Componentes de bronce estampados</t>
  </si>
  <si>
    <t>Etiquetas de esterilización</t>
  </si>
  <si>
    <t>Servicios de registro  durante la perforación</t>
  </si>
  <si>
    <t>Semillas, bulbos, plántulas o esquejes de tulipán</t>
  </si>
  <si>
    <t>Componentes de hierro hidroformados</t>
  </si>
  <si>
    <t>Bridas</t>
  </si>
  <si>
    <t>Teléfono de pago con mecanismos</t>
  </si>
  <si>
    <t>Universidades (colleges) comunitarias de dos años</t>
  </si>
  <si>
    <t>Servicios de laboratorios patológicos</t>
  </si>
  <si>
    <t>Identificador de llamadas telefónicas autónoma</t>
  </si>
  <si>
    <t>Filtros de luz</t>
  </si>
  <si>
    <t>Esmalte para uñas</t>
  </si>
  <si>
    <t>Mangas de seguridad</t>
  </si>
  <si>
    <t>Gualete</t>
  </si>
  <si>
    <t>Objetos fundidos maquinados por proceso v de aluminio</t>
  </si>
  <si>
    <t>Software de navegador de internet</t>
  </si>
  <si>
    <t>Azaleas</t>
  </si>
  <si>
    <t>Ensambles estructurales con soldadura sónica de latón</t>
  </si>
  <si>
    <t>Cuchillos para yeso para uso odontológico</t>
  </si>
  <si>
    <t>Sondas o guías de intubación</t>
  </si>
  <si>
    <t>Unidades o accesorios de succión para servicios médicos de emergencia</t>
  </si>
  <si>
    <t>Máscaras o accesorios</t>
  </si>
  <si>
    <t>51142608</t>
  </si>
  <si>
    <t>Diluidores de laboratorio</t>
  </si>
  <si>
    <t>Piso de acero antideslizante</t>
  </si>
  <si>
    <t>La Jaiba</t>
  </si>
  <si>
    <t>Servicio de administración de listas de direcciones</t>
  </si>
  <si>
    <t>Puestos de yeso</t>
  </si>
  <si>
    <t>Producción de granos o legumbres</t>
  </si>
  <si>
    <t>Servicios de formación profesional en transporte marítimo</t>
  </si>
  <si>
    <t>Ladrillos resistentes al ácido</t>
  </si>
  <si>
    <t>Removedores de coronas o puentes</t>
  </si>
  <si>
    <t>Tela de caucho</t>
  </si>
  <si>
    <t>Anillos para soldar en fuerte</t>
  </si>
  <si>
    <t>Pirazinamida</t>
  </si>
  <si>
    <t>MEDICAMENTOS HIPOCALCEMIA, HIPOFOSFASTEMIA, HIPOGLICEMIANTE Y SUPLEMENTO PROTEICO 1</t>
  </si>
  <si>
    <t>Bombas de desplazamiento positivo</t>
  </si>
  <si>
    <t>Objetos fundidos maquinados con troquel de metal precioso</t>
  </si>
  <si>
    <t>Libros de referencia</t>
  </si>
  <si>
    <t>Cadenas de llaves o estuches de llaves</t>
  </si>
  <si>
    <t>Objetos de cobre fundidos por moldeo en cáscara</t>
  </si>
  <si>
    <t>Resguardo de la máquina</t>
  </si>
  <si>
    <t>Los Botados</t>
  </si>
  <si>
    <t>Ángulos de acero</t>
  </si>
  <si>
    <t>Receptáculos eléctricos</t>
  </si>
  <si>
    <t>Defensas traseras o cercas para beisbol</t>
  </si>
  <si>
    <t>42261512</t>
  </si>
  <si>
    <t>Martillos o cabezas de martillo para uso quirúrgico</t>
  </si>
  <si>
    <t>Servicio de telecomunicaciones de retransmisión en trama</t>
  </si>
  <si>
    <t>Ensambles de barras soldadas con solvente de titanio</t>
  </si>
  <si>
    <t>Alendronato sódico</t>
  </si>
  <si>
    <t>Espécimen de esqueleto o hueso o concha</t>
  </si>
  <si>
    <t>Objetos maquinados de zinc fundidos a la cera perdida</t>
  </si>
  <si>
    <t>Clorhidrato de amiodarona</t>
  </si>
  <si>
    <t>Rejilla de hierro</t>
  </si>
  <si>
    <t>Abre estuches para relojes</t>
  </si>
  <si>
    <t>Cámaras fijas</t>
  </si>
  <si>
    <t>Estantes o accesorios para máquinas lavadoras</t>
  </si>
  <si>
    <t>Control del ruido o de la acústica</t>
  </si>
  <si>
    <t>Contadores de células diferenciales hematológicas manuales o electrónicos</t>
  </si>
  <si>
    <t>Servicios de elevadores artificiales del campo petrolero</t>
  </si>
  <si>
    <t>Tubos de pruebas de separador</t>
  </si>
  <si>
    <t>Equipo protector para beisbol o softbol</t>
  </si>
  <si>
    <t>Tablas de extensión para mesas</t>
  </si>
  <si>
    <t>Lámparas incandescentes</t>
  </si>
  <si>
    <t>Placa de concreto</t>
  </si>
  <si>
    <t>INSUMOS CONSULTA EXTERNA Y FISIOTERAPIA 3</t>
  </si>
  <si>
    <t>Cortaúñas o limas para los discapacitados físicamente</t>
  </si>
  <si>
    <t>Refrescadores de aliento</t>
  </si>
  <si>
    <t>Controles de calidad o calibradores o estándares para microbiología o bacteriología</t>
  </si>
  <si>
    <t>Modelos del cuerpo humano, partes u órganos</t>
  </si>
  <si>
    <t>Mineral de torio</t>
  </si>
  <si>
    <t>Servicios de biblioteca o documentación</t>
  </si>
  <si>
    <t>Piezas de magnesio fundidas a presión</t>
  </si>
  <si>
    <t>Limpiones</t>
  </si>
  <si>
    <t>Polea de distribución</t>
  </si>
  <si>
    <t>Rellenos para colchones</t>
  </si>
  <si>
    <t>Centrífugas de mesa refrigeradas</t>
  </si>
  <si>
    <t>Bingo</t>
  </si>
  <si>
    <t>Minivans o vans</t>
  </si>
  <si>
    <t>Aesculus</t>
  </si>
  <si>
    <t>Alquido</t>
  </si>
  <si>
    <t>Epinefrina bitartrato</t>
  </si>
  <si>
    <t>Unidades de presión de sangre de mercurio</t>
  </si>
  <si>
    <t>Proyectores de cuadros o accesorios</t>
  </si>
  <si>
    <t>Inmunoglobulinas bacterianas</t>
  </si>
  <si>
    <t>Enganches de rieles</t>
  </si>
  <si>
    <t>Agitador magnético</t>
  </si>
  <si>
    <t>Software de pruebas de aviación</t>
  </si>
  <si>
    <t>Consolas de mezclado de audio</t>
  </si>
  <si>
    <t>Cartuchos de etiquetas adhesivas</t>
  </si>
  <si>
    <t>Máquinas de presión de aire positivo continuo no invasivo</t>
  </si>
  <si>
    <t>Aprepitant</t>
  </si>
  <si>
    <t>Sistemas balísticos de la marina</t>
  </si>
  <si>
    <t>Tiosalicilato de sodio</t>
  </si>
  <si>
    <t>Zapatos de yeso</t>
  </si>
  <si>
    <t>Software de adquisiciones</t>
  </si>
  <si>
    <t>Sierras de mano o sierras de alambre o manijas para sierras para huesos para uso quirúrgico</t>
  </si>
  <si>
    <t>Sets o accesorios de placas pseudoisocromáticas</t>
  </si>
  <si>
    <t>Cultivos de protozoos</t>
  </si>
  <si>
    <t>Encendedores para cigarrillos</t>
  </si>
  <si>
    <t>Cables para cableado</t>
  </si>
  <si>
    <t>Objetivos para microscopios</t>
  </si>
  <si>
    <t>51181806</t>
  </si>
  <si>
    <t>Servicios de anclaje (deadman)</t>
  </si>
  <si>
    <t>Servicios de lucha contra incendios en el pozo</t>
  </si>
  <si>
    <t>Kits de suministros de incubadoras para bebés</t>
  </si>
  <si>
    <t>Maquinaria para asar</t>
  </si>
  <si>
    <t>Jarabacoa</t>
  </si>
  <si>
    <t>Pinturas acrílicas</t>
  </si>
  <si>
    <t>Hornos de convección mecánica para laboratorio</t>
  </si>
  <si>
    <t>Hierro en placa labrada</t>
  </si>
  <si>
    <t>Citrato de dietilcarbamazina</t>
  </si>
  <si>
    <t>Lápiz (stylus) para computador de luz</t>
  </si>
  <si>
    <t>Clorhidrato de terbinafina</t>
  </si>
  <si>
    <t>Bobina de metales preciosos</t>
  </si>
  <si>
    <t>Abrazadera para viga doble t</t>
  </si>
  <si>
    <t>Derechos no defendibles (iru) de utilización de sistemas de cables submarinos o terrestres</t>
  </si>
  <si>
    <t>Atorvastatina de calcio</t>
  </si>
  <si>
    <t>Cruces de cable de recuperación</t>
  </si>
  <si>
    <t>Cable de telecomunicaciones exterior de planta</t>
  </si>
  <si>
    <t>Conmutadores de botón deslizante</t>
  </si>
  <si>
    <t>Trandolapril</t>
  </si>
  <si>
    <t>Etiquetas removibles</t>
  </si>
  <si>
    <t>Columnas de entrega de gas para uso médico</t>
  </si>
  <si>
    <t>Software de manejo de licencias</t>
  </si>
  <si>
    <t>Productos de debridación autolítica para uso médico</t>
  </si>
  <si>
    <t>La Sabina</t>
  </si>
  <si>
    <t>Objetos fundidos maquinados con troquel de berilio</t>
  </si>
  <si>
    <t>Indicadores de vacío</t>
  </si>
  <si>
    <t>Sistemas de computador para archivo de fotografías médicas pacs</t>
  </si>
  <si>
    <t>Barcos de asalto anfibio</t>
  </si>
  <si>
    <t>Latas de ponqués o pies para uso comercial</t>
  </si>
  <si>
    <t>Mesilato de benztropina</t>
  </si>
  <si>
    <t>Pozo petrolero cemento tipo ii clase b</t>
  </si>
  <si>
    <t>Vehículos de lanzamiento sólido</t>
  </si>
  <si>
    <t>Semillas o plántulas de ahuyama</t>
  </si>
  <si>
    <t>Equipos y componentes de red básica móvil gprs 2.5g</t>
  </si>
  <si>
    <t>Dilatadores o accesorios para uso quirúrgico</t>
  </si>
  <si>
    <t>Acumuladores hidráulicos</t>
  </si>
  <si>
    <t>Tarjetas de actividades de resolución de problemas</t>
  </si>
  <si>
    <t>Taburetes para aulas de clase</t>
  </si>
  <si>
    <t>Adaptadores o conectores de succión</t>
  </si>
  <si>
    <t>Picadores para los discapacitados físicamente</t>
  </si>
  <si>
    <t>Películas de policarbonato</t>
  </si>
  <si>
    <t>Mesas de aire</t>
  </si>
  <si>
    <t>Espejos convexos de seguridad</t>
  </si>
  <si>
    <t>Congeladores para almacenar material inflamable</t>
  </si>
  <si>
    <t>INSUMOS IMAGENES 1</t>
  </si>
  <si>
    <t>Almohadilla para sellos de estampación de caucho</t>
  </si>
  <si>
    <t>Manejo de pasturas</t>
  </si>
  <si>
    <t>Ampollas o accesorios</t>
  </si>
  <si>
    <t>Cinta reflectiva</t>
  </si>
  <si>
    <t>Suministros de terapia de tracción de perno</t>
  </si>
  <si>
    <t>Alambre del cable de recuperación</t>
  </si>
  <si>
    <t>Las Barías-La Estancia</t>
  </si>
  <si>
    <t>Botes de pesca</t>
  </si>
  <si>
    <t>Comida viva para reptiles</t>
  </si>
  <si>
    <t>Reservorios</t>
  </si>
  <si>
    <t>Válvulas de turbina</t>
  </si>
  <si>
    <t>Tosilato de bretilio</t>
  </si>
  <si>
    <t>Toallas playeras</t>
  </si>
  <si>
    <t>Servicios de administración del ecosistema marino</t>
  </si>
  <si>
    <t>Prensa de mesa</t>
  </si>
  <si>
    <t>Cocteles de alcohol o bebidas mixtas</t>
  </si>
  <si>
    <t>Servicios de reubicación</t>
  </si>
  <si>
    <t>Mejoramiento de pastizales</t>
  </si>
  <si>
    <t>Servicios de asesoramiento sobre planificación estratégica</t>
  </si>
  <si>
    <t>Recipientes de cuarzo para horno para laboratorio</t>
  </si>
  <si>
    <t>Reteplasa</t>
  </si>
  <si>
    <t>Cintas de seguridad</t>
  </si>
  <si>
    <t>Chapa de cinc</t>
  </si>
  <si>
    <t>Objetos maquinados centrifugados de acero fundidos</t>
  </si>
  <si>
    <t>Accesorios para serigrafía</t>
  </si>
  <si>
    <t>Auto alimentadores o accesorios para los discapacitados físicamente</t>
  </si>
  <si>
    <t>42161608</t>
  </si>
  <si>
    <t>Villa Riva</t>
  </si>
  <si>
    <t>Palmitato de pipotiazina</t>
  </si>
  <si>
    <t>Poliéster uretano au</t>
  </si>
  <si>
    <t>Forjas de berilio maquinadas por reducción</t>
  </si>
  <si>
    <t>Unidades o accesorios para monitoreo de presión intracraneal icp</t>
  </si>
  <si>
    <t>Vendajes de espuma</t>
  </si>
  <si>
    <t>Carnadas</t>
  </si>
  <si>
    <t>Salsas para ensaladas o dips</t>
  </si>
  <si>
    <t>Propelente de pistola</t>
  </si>
  <si>
    <t>Cable desnudo</t>
  </si>
  <si>
    <t>Marcadores a base de agua</t>
  </si>
  <si>
    <t>Raquetas de ping pong</t>
  </si>
  <si>
    <t>Tubería de aleación ferrosa</t>
  </si>
  <si>
    <t>Chatarra de aleación ferrosa</t>
  </si>
  <si>
    <t>Equipo para tratamiento de semillas</t>
  </si>
  <si>
    <t>Pañuelos de papel resistentes a la humedad</t>
  </si>
  <si>
    <t>Caballetes de sobremesa</t>
  </si>
  <si>
    <t>Tapas de conectores eléctricos</t>
  </si>
  <si>
    <t>80111618</t>
  </si>
  <si>
    <t>Colorantes naturales</t>
  </si>
  <si>
    <t>Tees de patada para futbol</t>
  </si>
  <si>
    <t>Incubadoras para uso general de convección de gravedad</t>
  </si>
  <si>
    <t>Rejilla de acero inoxidable</t>
  </si>
  <si>
    <t>Resinas de polieter</t>
  </si>
  <si>
    <t>Herramientas de halar tapones</t>
  </si>
  <si>
    <t>Azitromicina</t>
  </si>
  <si>
    <t>Clorhidrato de verapamilo</t>
  </si>
  <si>
    <t>Cinta de sellado de hilo de poli tetrafluoretileno (ptfe)</t>
  </si>
  <si>
    <t>Servicios de planimetría direccional</t>
  </si>
  <si>
    <t>Centros de escucha</t>
  </si>
  <si>
    <t>Revestimientos de pavimento de concreto</t>
  </si>
  <si>
    <t>Levantadores de asientos de inodoro para los discapacitados físicamente</t>
  </si>
  <si>
    <t>Electrolitos de cloruro de sodio</t>
  </si>
  <si>
    <t>Lámparas de hendidura para uso oftálmico</t>
  </si>
  <si>
    <t>Servicios de presión alta mediante tubería flexible contínua</t>
  </si>
  <si>
    <t>Discos versátiles digitales dvd</t>
  </si>
  <si>
    <t>Pedales de ejercicio para rehabilitación o terapia</t>
  </si>
  <si>
    <t>Kits de circuitos para ventiladores</t>
  </si>
  <si>
    <t>Hidrocloruro de esmolol</t>
  </si>
  <si>
    <t>42294306</t>
  </si>
  <si>
    <t>Carcasas para bombas</t>
  </si>
  <si>
    <t>Servicios de hospedaje de operación de sitios web</t>
  </si>
  <si>
    <t>Software de diseño de patrones</t>
  </si>
  <si>
    <t>Objetos de cobre fundidos en molde cerámico</t>
  </si>
  <si>
    <t>Conectores hidráulicos rápidos</t>
  </si>
  <si>
    <t>Maquinaria de soldadura por ultrasonido</t>
  </si>
  <si>
    <t>Podómetros</t>
  </si>
  <si>
    <t>Cladribina</t>
  </si>
  <si>
    <t>Ensambles de barras pegadas de acero al carbono</t>
  </si>
  <si>
    <t>Objetos maquinados de aleación ferrosa fundidos en molde en concha</t>
  </si>
  <si>
    <t>Muelle de embarque</t>
  </si>
  <si>
    <t>Espectrómetros de resonancia magnética nuclear (NMR)</t>
  </si>
  <si>
    <t>Máquinas o accesorios de laboratorio dental</t>
  </si>
  <si>
    <t>Forjas de berilio maquinadas con impresión por troquel</t>
  </si>
  <si>
    <t>Airbags</t>
  </si>
  <si>
    <t>Servicios de formación profesional para jóvenes rurales o granjeros</t>
  </si>
  <si>
    <t>Personal temporal de servicio al cliente</t>
  </si>
  <si>
    <t>Aprovisionar vehículos de combustible</t>
  </si>
  <si>
    <t>Maimón</t>
  </si>
  <si>
    <t>Fundición en arena de magnesio</t>
  </si>
  <si>
    <t>Folders de archivo expandibles</t>
  </si>
  <si>
    <t>Papel no recubierto tratado con látex</t>
  </si>
  <si>
    <t>Placa de bronce</t>
  </si>
  <si>
    <t>Círculos o cuadrados de fracciones</t>
  </si>
  <si>
    <t>Objetos fundidos maquinados por proceso v de titanio</t>
  </si>
  <si>
    <t>Relés de voltaje alterno</t>
  </si>
  <si>
    <t>Parques</t>
  </si>
  <si>
    <t>Melamina mf</t>
  </si>
  <si>
    <t>Unidades de electroencefalografía (EEG) o accesorios</t>
  </si>
  <si>
    <t>Equipo de ruptura catalítica</t>
  </si>
  <si>
    <t>Protectores o revestimientos de mesa de trabajo</t>
  </si>
  <si>
    <t>Servicios de medición de la resistividad durante la perforación</t>
  </si>
  <si>
    <t>Equipo de acceso de buscapersonas</t>
  </si>
  <si>
    <t>Muñequeras antiestáticas</t>
  </si>
  <si>
    <t>Jeringas para oídos para uso médico</t>
  </si>
  <si>
    <t>Paneles de madera comprimida</t>
  </si>
  <si>
    <t>Esterillas o plataformas para rehabilitación o terapia</t>
  </si>
  <si>
    <t>Interfaces</t>
  </si>
  <si>
    <t xml:space="preserve">Objeto de Contratación </t>
  </si>
  <si>
    <t>Servicios de perforación o pesca en el campo petrolífero</t>
  </si>
  <si>
    <t>Semillas o esquejes de coníferas</t>
  </si>
  <si>
    <t>Maquinaria de doblado de tubos</t>
  </si>
  <si>
    <t>Clorhidrato de oxicodona</t>
  </si>
  <si>
    <t>Objetos de bronce fundidos en molde de yeso</t>
  </si>
  <si>
    <t>Procesadores de película para uso odontológico</t>
  </si>
  <si>
    <t>Servicios de orfanatos o adopción</t>
  </si>
  <si>
    <t>Software de servidor de portales</t>
  </si>
  <si>
    <t>Adaptadores para plomería</t>
  </si>
  <si>
    <t>Servicios de actuación</t>
  </si>
  <si>
    <t>Glicopirrolato</t>
  </si>
  <si>
    <t>Restricciones o arneses para animales para laboratorio</t>
  </si>
  <si>
    <t>Objetos maquinados de aleación de níquel fundidos en molde de yeso</t>
  </si>
  <si>
    <t>Bombas centrífugas</t>
  </si>
  <si>
    <t>51141604</t>
  </si>
  <si>
    <t>Sibutramina</t>
  </si>
  <si>
    <t>Empaque de burbujas</t>
  </si>
  <si>
    <t>Carreteles de pesca</t>
  </si>
  <si>
    <t>La Cuchilla</t>
  </si>
  <si>
    <t>Kits de soporte de vida para servicios médicos de emergencia</t>
  </si>
  <si>
    <t>Máscaras o accesorios de resucitación</t>
  </si>
  <si>
    <t>71141201</t>
  </si>
  <si>
    <t>Nefelómetros</t>
  </si>
  <si>
    <t>Conductos de acero inoxidable</t>
  </si>
  <si>
    <t>10141609</t>
  </si>
  <si>
    <t>Servicios de fermentos o enzimas</t>
  </si>
  <si>
    <t>Especialistas en interconexión de tecnologías de la información temporales</t>
  </si>
  <si>
    <t>Lata de aceite</t>
  </si>
  <si>
    <t>Kit de reparación de motores</t>
  </si>
  <si>
    <t>Carritos para estuches de salas de cirugía o carritos de procedimiento o gabinetes de pared o accesorios</t>
  </si>
  <si>
    <t>Fibroscopios</t>
  </si>
  <si>
    <t>Cajas o dispensadores de guantes médicos</t>
  </si>
  <si>
    <t>Bronce en placa labrada</t>
  </si>
  <si>
    <t>Centrífugas de piso refrigeradas</t>
  </si>
  <si>
    <t>Catres para acampar</t>
  </si>
  <si>
    <t>FINALIDAD DE LA CONTRATACIÓN</t>
  </si>
  <si>
    <t>Muelles helicoidales</t>
  </si>
  <si>
    <t>Bancos o estantes para pesas</t>
  </si>
  <si>
    <t>Servicios de producción de pinturas, barnices o lacas</t>
  </si>
  <si>
    <t>Protectores de ojos o sus accesorios</t>
  </si>
  <si>
    <t>Rejilla de acero</t>
  </si>
  <si>
    <t>Altamira</t>
  </si>
  <si>
    <t>Graderías para patios de recreo</t>
  </si>
  <si>
    <t>Instalaciones penales para discapacitados mentales</t>
  </si>
  <si>
    <t>Necesidades de personal de mercadeo temporal</t>
  </si>
  <si>
    <t>Setas u hongos</t>
  </si>
  <si>
    <t>Rodamientos de rueda</t>
  </si>
  <si>
    <t>Servicios de promoción comercial</t>
  </si>
  <si>
    <t>Bolsas de papel</t>
  </si>
  <si>
    <t>Servicios de formación profesional en hidráulica</t>
  </si>
  <si>
    <t>51101807</t>
  </si>
  <si>
    <t>Sets de instrumentos para cirugía urológica</t>
  </si>
  <si>
    <t>Bastidores de prensa hidráulica</t>
  </si>
  <si>
    <t>Servicios de diseño de serigrafía</t>
  </si>
  <si>
    <t>Misiones experimentales o educativas</t>
  </si>
  <si>
    <t>Veragua</t>
  </si>
  <si>
    <t>Herramientas dirigibles giratorias</t>
  </si>
  <si>
    <t>Sets de vehículos</t>
  </si>
  <si>
    <t>Escalas dentales</t>
  </si>
  <si>
    <t>Salvavidas o equipo salvavidas</t>
  </si>
  <si>
    <t>Autoclaves o esterilizadores de vapor</t>
  </si>
  <si>
    <t>Manipuladores</t>
  </si>
  <si>
    <t>Utensilios para artesanía de espuma</t>
  </si>
  <si>
    <t>Propelente sólido</t>
  </si>
  <si>
    <t>Papel secante</t>
  </si>
  <si>
    <t>Resina estireno butadieno acrilonitrilo</t>
  </si>
  <si>
    <t>Ensambles de tubería con soldadura fuerte o débil de acero de aleación baja</t>
  </si>
  <si>
    <t>Unidades de rayos x de baja energía para uso médico</t>
  </si>
  <si>
    <t>Componentes de sistema helicoidal para tomografía computarizada ct o cat para uso médico</t>
  </si>
  <si>
    <t>Componentes de aleación no ferrosa formados por estiramiento</t>
  </si>
  <si>
    <t>Instrumentos para probar alfarería</t>
  </si>
  <si>
    <t>Servicios de fabricación de muebles</t>
  </si>
  <si>
    <t>Aparatos de penetración para recintos radiactivos</t>
  </si>
  <si>
    <t>Sistemas de señalización para aeropuertos</t>
  </si>
  <si>
    <t>Componentes de sistema ultra rápido para tomografía computarizada ct o cat para uso médico</t>
  </si>
  <si>
    <t>Calentadoras de comida para uso comercial</t>
  </si>
  <si>
    <t>Microscopios de fases automáticos</t>
  </si>
  <si>
    <t>Puntas de pipeta de referencia</t>
  </si>
  <si>
    <t>Servicios de muestreo de pruebas de formación</t>
  </si>
  <si>
    <t>24102004</t>
  </si>
  <si>
    <t>Purpurina metálica</t>
  </si>
  <si>
    <t>Unidades móviles o transportables o unidad de camión para tomografía computarizada ct o cat para uso médico</t>
  </si>
  <si>
    <t>Películas de acetato, vinilo o poliéster</t>
  </si>
  <si>
    <t>Conmutadores de flujo</t>
  </si>
  <si>
    <t>40142008</t>
  </si>
  <si>
    <t>Ganchos de atornillar</t>
  </si>
  <si>
    <t>Controles de calidad o calibradores o estándares para histología</t>
  </si>
  <si>
    <t>Máquinas de maíz pira para uso comercial</t>
  </si>
  <si>
    <t>Analizadores de toxicología</t>
  </si>
  <si>
    <t>Sistemas de escape o eyección de aeronaves</t>
  </si>
  <si>
    <t>Desagües</t>
  </si>
  <si>
    <t>Fundas o sobre fundas de esterilización</t>
  </si>
  <si>
    <t>Aparatos de cultivo de tejidos</t>
  </si>
  <si>
    <t>Acumuladores neumáticos del avión</t>
  </si>
  <si>
    <t>Alambre forrado pero no aislado</t>
  </si>
  <si>
    <t>Investigación de mercado s basada en internet</t>
  </si>
  <si>
    <t>39121436</t>
  </si>
  <si>
    <t>Silicona vmq y pmq y pvmq</t>
  </si>
  <si>
    <t>Clorhidrato de melfalan</t>
  </si>
  <si>
    <t>Version: 1.0.0</t>
  </si>
  <si>
    <t>Sets de jeringas de inyección intravenosa sin aguja o cánula de inyección</t>
  </si>
  <si>
    <t>Multiplexor de división de tiempo tdm</t>
  </si>
  <si>
    <t>Encuentro de carreteras</t>
  </si>
  <si>
    <t>Maquinas diversas para ensamble</t>
  </si>
  <si>
    <t>15121520</t>
  </si>
  <si>
    <t>Pozo petrolero cemento clase c</t>
  </si>
  <si>
    <t>Calcipotriene</t>
  </si>
  <si>
    <t>Música en cintas o discos compactos</t>
  </si>
  <si>
    <t>Líneas de flujo de boca de pozo</t>
  </si>
  <si>
    <t>Servicios de perforación de pozos con  tubo transportado</t>
  </si>
  <si>
    <t>Sujeta filtros o ciclones para laboratorios</t>
  </si>
  <si>
    <t>Accesorios para baños o tanques de hidroterapia</t>
  </si>
  <si>
    <t>Impresoras láser</t>
  </si>
  <si>
    <t>Troqueladoras</t>
  </si>
  <si>
    <t>Pesas para cocina o dietas para uso doméstico</t>
  </si>
  <si>
    <t>Software de bibliotecas</t>
  </si>
  <si>
    <t>24112403</t>
  </si>
  <si>
    <t>Programación para html</t>
  </si>
  <si>
    <t>Puntas de irrigación o succión o sondas de coagulación o accesorios para endoscopia</t>
  </si>
  <si>
    <t>Retractores torácicos o cardiovasculares</t>
  </si>
  <si>
    <t>Sondas de medición electrónicas</t>
  </si>
  <si>
    <t>Arrendamiento de instalaciones comerciales o industriales</t>
  </si>
  <si>
    <t>Inserción en cines</t>
  </si>
  <si>
    <t>Dispensador de trapos para limpiar</t>
  </si>
  <si>
    <t>Cuchillas de repuesto para raspadores</t>
  </si>
  <si>
    <t>SOLUCIONES 4</t>
  </si>
  <si>
    <t>Sierras para autopsias</t>
  </si>
  <si>
    <t>Maleato de enalpril</t>
  </si>
  <si>
    <t>Generadores de timbres de teléfono</t>
  </si>
  <si>
    <t>Implantes oftálmicos</t>
  </si>
  <si>
    <t>Cobre en barra labrada</t>
  </si>
  <si>
    <t>Zorros vivos</t>
  </si>
  <si>
    <t>Loracarbef</t>
  </si>
  <si>
    <t>Trípodes de luces de operación para uso odontológico</t>
  </si>
  <si>
    <t>Poinsettias</t>
  </si>
  <si>
    <t>Estribos del taladro de perforación</t>
  </si>
  <si>
    <t>Buques cisterna</t>
  </si>
  <si>
    <t>Carburadores</t>
  </si>
  <si>
    <t>Paneles de protección o control de generadores</t>
  </si>
  <si>
    <t>Perfiles de estaño</t>
  </si>
  <si>
    <t>Excreciones</t>
  </si>
  <si>
    <t>Tintas para serigrafía a base de aceite</t>
  </si>
  <si>
    <t>48101531</t>
  </si>
  <si>
    <t>Clorhidrato etilmorfina</t>
  </si>
  <si>
    <t>Mesas para jardín o mesas para picnic</t>
  </si>
  <si>
    <t>Campanas para puertas</t>
  </si>
  <si>
    <t>Papel crepé no tratado</t>
  </si>
  <si>
    <t>Almohadillas de transmisión de ultrasonido para uso médico</t>
  </si>
  <si>
    <t>Separadores para laboratorio</t>
  </si>
  <si>
    <t>Jima Abajo</t>
  </si>
  <si>
    <t>Torniquetes u oclusores vasculares o ligantes o accesorios de uso quirúrgico</t>
  </si>
  <si>
    <t>Milla</t>
  </si>
  <si>
    <t>Sistemas de estanterías de despliegue largas de rayos x para uso médico</t>
  </si>
  <si>
    <t>Equipos o suministros o accesorios para gastroenterología</t>
  </si>
  <si>
    <t>Tecnología mos bipolar (bimos)</t>
  </si>
  <si>
    <t>Tapones de servicio de fracturación</t>
  </si>
  <si>
    <t>Booms de bengalas</t>
  </si>
  <si>
    <t>Hornos de tubo</t>
  </si>
  <si>
    <t>Programas de reconocimiento de servicios</t>
  </si>
  <si>
    <t>Servicios de  teneduría de libros</t>
  </si>
  <si>
    <t>Flutamida</t>
  </si>
  <si>
    <t>Dispositivos para restringir llamadas para equipos de telefonía</t>
  </si>
  <si>
    <t>Procesadores de unidad de procesamiento central cpu</t>
  </si>
  <si>
    <t>Formularios o cuestionarios de negocios</t>
  </si>
  <si>
    <t>Repetidores de red</t>
  </si>
  <si>
    <t>Bombas para sumideros</t>
  </si>
  <si>
    <t>Kits de ventriculostomía para servicios médicos de emergencia</t>
  </si>
  <si>
    <t>Servicios de protección del ensanche y calibración de la perforación en el fondo del pozo</t>
  </si>
  <si>
    <t>Seguidores de la leva</t>
  </si>
  <si>
    <t>Cristales piezoeléctricos</t>
  </si>
  <si>
    <t>Cubiertas de cajas eléctricas</t>
  </si>
  <si>
    <t>Componentes de estaño formados con explosivos</t>
  </si>
  <si>
    <t>Componentes de aluminio formados en torno</t>
  </si>
  <si>
    <t>Violonchelos</t>
  </si>
  <si>
    <t>Libros de recursos o actividades del gobierno</t>
  </si>
  <si>
    <t>Desprendedor de etiqueta de seguridad</t>
  </si>
  <si>
    <t>Carboncillos</t>
  </si>
  <si>
    <t>Sierras para silvicultura</t>
  </si>
  <si>
    <t>Productos de limpieza de utensilios o pinceles</t>
  </si>
  <si>
    <t>Reactivos analizadores de coagulación</t>
  </si>
  <si>
    <t>Bobina de aleación ferrosa</t>
  </si>
  <si>
    <t>Baños para órganos</t>
  </si>
  <si>
    <t>Implantes de tejidos sintéticos</t>
  </si>
  <si>
    <t>Servicios de monitoreo o medición de la contaminación del aire</t>
  </si>
  <si>
    <t>Salmueras monovalentes</t>
  </si>
  <si>
    <t>Éter</t>
  </si>
  <si>
    <t>Espaciadores de tintes de uso odontológico</t>
  </si>
  <si>
    <t>Bancos privados</t>
  </si>
  <si>
    <t>Retractores de inclinación para uso quirúrgico</t>
  </si>
  <si>
    <t>Resistores fijos</t>
  </si>
  <si>
    <t>Arreglos sísmicos</t>
  </si>
  <si>
    <t>Clorhidrato de micofenolato de mofetilo</t>
  </si>
  <si>
    <t>Objetos maquinados centrifugados de aleación ferrosa fundidos</t>
  </si>
  <si>
    <t>Servicios de perforación de pozos con alambre (slickline)</t>
  </si>
  <si>
    <t>Accesorios para cromatografía líquida</t>
  </si>
  <si>
    <t>Eufrasia</t>
  </si>
  <si>
    <t>OPERACIONES / ELECTROMEDICINA Y MANTENIMIENTO 1</t>
  </si>
  <si>
    <t>Remolque de sembradora</t>
  </si>
  <si>
    <t>Albúmina humana</t>
  </si>
  <si>
    <t>Objetos maquinados de titanio fundidos en molde cerámico</t>
  </si>
  <si>
    <t>Planificación de servicios médicos</t>
  </si>
  <si>
    <t>Soplador de spa</t>
  </si>
  <si>
    <t>Cefotaxima</t>
  </si>
  <si>
    <t>Sindicatos de funcionarios</t>
  </si>
  <si>
    <t>Set de cuchillos para uso doméstico</t>
  </si>
  <si>
    <t>Elevador de boom telescópico</t>
  </si>
  <si>
    <t>Tambores para impresoras o faxes o fotocopiadoras</t>
  </si>
  <si>
    <t>Tableros de letras o símbolos para los discapacitados físicamente</t>
  </si>
  <si>
    <t>Lámparas de escenario o estudio</t>
  </si>
  <si>
    <t>Servicios de silos</t>
  </si>
  <si>
    <t>Broches</t>
  </si>
  <si>
    <t>Levantamiento o reparación de techos</t>
  </si>
  <si>
    <t>Centros de servicio multimedia</t>
  </si>
  <si>
    <t>Porta especímenes</t>
  </si>
  <si>
    <t>50161814</t>
  </si>
  <si>
    <t>Bandejas o juegos de toracentesis</t>
  </si>
  <si>
    <t>Objetos maquinados centrifugados de aleación de níquel fundidos</t>
  </si>
  <si>
    <t>Cabezas para bombas</t>
  </si>
  <si>
    <t>51101584</t>
  </si>
  <si>
    <t>Ligas deportivas de adultos</t>
  </si>
  <si>
    <t>44103111</t>
  </si>
  <si>
    <t>42241510</t>
  </si>
  <si>
    <t>Bromhidrato de citalopram</t>
  </si>
  <si>
    <t>Sacarímetros</t>
  </si>
  <si>
    <t>56112103</t>
  </si>
  <si>
    <t>Vibradores neumáticos</t>
  </si>
  <si>
    <t>Instrumentos para probar concreto o cemento</t>
  </si>
  <si>
    <t>Emparedados frescos</t>
  </si>
  <si>
    <t>Rieles de metal</t>
  </si>
  <si>
    <t>Etileno acrílico aem</t>
  </si>
  <si>
    <t>Kits o suministros de transporte de pacientes para servicios médicos de emergencia</t>
  </si>
  <si>
    <t>Vectores enfocados a genes</t>
  </si>
  <si>
    <t>Guardas de salpicaduras o accesorios para uso quirúrgico</t>
  </si>
  <si>
    <t>56101703</t>
  </si>
  <si>
    <t>Dispositivos de elevación o transferencia de cadáveres</t>
  </si>
  <si>
    <t>Villa Elisa</t>
  </si>
  <si>
    <t>Servicios de estadistas</t>
  </si>
  <si>
    <t>Sujetadores de película radiológica para uso odontológico</t>
  </si>
  <si>
    <t>Zonas o soluciones prefabricadas para electroforesis</t>
  </si>
  <si>
    <t>Clorhidrato de propoxifeno</t>
  </si>
  <si>
    <t>Cepillo dispensador de jabón</t>
  </si>
  <si>
    <t>Gráficos de tela</t>
  </si>
  <si>
    <t>Sets o bandejas de irrigación para alimentación enteral</t>
  </si>
  <si>
    <t>Agua de rosas</t>
  </si>
  <si>
    <t>Coches de tranvías</t>
  </si>
  <si>
    <t>Componentes de estaño formados en torno</t>
  </si>
  <si>
    <t>Viaducto para el tren</t>
  </si>
  <si>
    <t>Caucho espuma natural</t>
  </si>
  <si>
    <t>Destoxificación química</t>
  </si>
  <si>
    <t>Forjaduras anulares laminadas de hierro</t>
  </si>
  <si>
    <t>Camión grúas convencionales</t>
  </si>
  <si>
    <t>Hornos microondas para uso comercial</t>
  </si>
  <si>
    <t>Lodos con base de petróleo</t>
  </si>
  <si>
    <t>Equipos de alineación de llantas</t>
  </si>
  <si>
    <t>Carros policiales</t>
  </si>
  <si>
    <t>Tarjetas didácticas de construcción de palabras</t>
  </si>
  <si>
    <t>Servicios de hidro conformado</t>
  </si>
  <si>
    <t>Sindicatos de aviación</t>
  </si>
  <si>
    <t>Bombas para remover agua</t>
  </si>
  <si>
    <t>26101758</t>
  </si>
  <si>
    <t>50161511</t>
  </si>
  <si>
    <t>Casquillos de lámparas</t>
  </si>
  <si>
    <t>Goniómetros</t>
  </si>
  <si>
    <t>Correas de metal</t>
  </si>
  <si>
    <t>Guayabal</t>
  </si>
  <si>
    <t>Casetes para tejidos para histología</t>
  </si>
  <si>
    <t>Titanio en placa labrada</t>
  </si>
  <si>
    <t>Conductores de bus</t>
  </si>
  <si>
    <t>Registradores de datos de vuelo</t>
  </si>
  <si>
    <t>Extrusiones en frío de titanio</t>
  </si>
  <si>
    <t>Latas de bebida</t>
  </si>
  <si>
    <t>Asesor de colores</t>
  </si>
  <si>
    <t>Objetos maquinados en molde permanente no metálicos fundidos</t>
  </si>
  <si>
    <t>Monte de la Jagua</t>
  </si>
  <si>
    <t>Goznes o bisagras</t>
  </si>
  <si>
    <t>Granates</t>
  </si>
  <si>
    <t>27111702</t>
  </si>
  <si>
    <t>22101618</t>
  </si>
  <si>
    <t>Didrocloruro de dexmedetomidina</t>
  </si>
  <si>
    <t>Altretamina</t>
  </si>
  <si>
    <t>Desecho o desperdicios de caucho</t>
  </si>
  <si>
    <t>Carbapenémicos incluyendo tienamicinas</t>
  </si>
  <si>
    <t>Equipos de inspección boroscópica</t>
  </si>
  <si>
    <t>Plantas acuáticas frescas</t>
  </si>
  <si>
    <t>Servo controlador</t>
  </si>
  <si>
    <t>Sistemas de lavado pulsado o accesorios relacionados para el tratamiento de heridas</t>
  </si>
  <si>
    <t>Kits o materiales de cultivos</t>
  </si>
  <si>
    <t>Cintas adhesivas de escritorio con el alfabeto</t>
  </si>
  <si>
    <t>Deshidratadores de gabinete</t>
  </si>
  <si>
    <t>Columnas para cromatografía líquida lc</t>
  </si>
  <si>
    <t>Proyecto 2-C</t>
  </si>
  <si>
    <t>Agregadores de banda ancha</t>
  </si>
  <si>
    <t>Reservas de metales preciosos</t>
  </si>
  <si>
    <t>Anti – excoriación</t>
  </si>
  <si>
    <t>Almacenaje refrigerado</t>
  </si>
  <si>
    <t>Enderezadores eléctricos de cables</t>
  </si>
  <si>
    <t>Fibra de coco</t>
  </si>
  <si>
    <t>Caracteres de señalización</t>
  </si>
  <si>
    <t>Conjuntos de bogie</t>
  </si>
  <si>
    <t>Cilindros o brilladoras</t>
  </si>
  <si>
    <t>Lazos para saltar</t>
  </si>
  <si>
    <t>Escúter</t>
  </si>
  <si>
    <t>Artefactos de útiles fabricados</t>
  </si>
  <si>
    <t>Transporte internacional aéreo de carga</t>
  </si>
  <si>
    <t>Baños de agua de agitación orbital</t>
  </si>
  <si>
    <t>Compartimentos de caja o estantería</t>
  </si>
  <si>
    <t>Platina de acero inoxidable</t>
  </si>
  <si>
    <t>Grasa saturada animal comestibles</t>
  </si>
  <si>
    <t>Forjas de aleación de níquel maquinadas por anillo enrollado</t>
  </si>
  <si>
    <t>Yoduro de timol</t>
  </si>
  <si>
    <t>Pamoato de imipramina</t>
  </si>
  <si>
    <t>Forros para equipos médicos</t>
  </si>
  <si>
    <t>Aditivos de migración anti gas</t>
  </si>
  <si>
    <t>Tretinoina</t>
  </si>
  <si>
    <t>Barras de magnesio</t>
  </si>
  <si>
    <t>YD</t>
  </si>
  <si>
    <t>Equipo para apicultura</t>
  </si>
  <si>
    <t>Palancas</t>
  </si>
  <si>
    <t>Arañas de luces</t>
  </si>
  <si>
    <t>Derechos de paso para el tránsito por sistemas de semicircuitos, procesamiento de datos distribuidos (ddp) y alquiler administrativo</t>
  </si>
  <si>
    <t>Balones de soccer</t>
  </si>
  <si>
    <t>Abrazaderas de espiga</t>
  </si>
  <si>
    <t>Sensores de no contacto</t>
  </si>
  <si>
    <t>UD</t>
  </si>
  <si>
    <t>Retinoscopios para uso oftálmico</t>
  </si>
  <si>
    <t>Geles o soluciones tópicas de yodo</t>
  </si>
  <si>
    <t>Forjas no metálicas maquinadas con troquel cerrado</t>
  </si>
  <si>
    <t>Etiquetas de seguridad</t>
  </si>
  <si>
    <t>Cruce de carreteras</t>
  </si>
  <si>
    <t>Extendedores de tinta de impresión</t>
  </si>
  <si>
    <t>Sistema remoto de bloqueo</t>
  </si>
  <si>
    <t>Habitación sencilla</t>
  </si>
  <si>
    <t>Ganchos o estantes o sujetadores para instrumentos de esterilización</t>
  </si>
  <si>
    <t>Mezclas de algodón</t>
  </si>
  <si>
    <t>Acebutolol</t>
  </si>
  <si>
    <t>Servicios de elaboración de bejuco o mimbre</t>
  </si>
  <si>
    <t>Suavizantes</t>
  </si>
  <si>
    <t>Ensambles de tubería soldada de solvente de inconel</t>
  </si>
  <si>
    <t>Adaptadores de herramientas de perforación</t>
  </si>
  <si>
    <t>Sistemas de control de la altitud del nave espacial</t>
  </si>
  <si>
    <t>Tarjetas de imágenes de fonética</t>
  </si>
  <si>
    <t>27113201</t>
  </si>
  <si>
    <t>51201802</t>
  </si>
  <si>
    <t>39121308</t>
  </si>
  <si>
    <t>Kits de experimentos de ácido desoxirribonucleico (adn)</t>
  </si>
  <si>
    <t>Boca de Yuma</t>
  </si>
  <si>
    <t>51101548</t>
  </si>
  <si>
    <t>Componentes de aleación no ferrosa maquinados por extrusión en caliente</t>
  </si>
  <si>
    <t>Materiales de empaque rellenos de aire</t>
  </si>
  <si>
    <t>Controles de calidad o calibradores o estándares de coagulación</t>
  </si>
  <si>
    <t>Objetos de latón fundidos en molde cerámico</t>
  </si>
  <si>
    <t>Componentes de estaño perforados</t>
  </si>
  <si>
    <t>Pinzas de cocina para uso doméstico</t>
  </si>
  <si>
    <t>Almacenamiento de tubería de perforación de pozo</t>
  </si>
  <si>
    <t>Ensambles estructurales con soldadura de fuerte o débil de cobre</t>
  </si>
  <si>
    <t>Acetato de polivinilo</t>
  </si>
  <si>
    <t>Relojes de pared</t>
  </si>
  <si>
    <t>Guanito</t>
  </si>
  <si>
    <t>Instrumentos geofísicos magnetómetros</t>
  </si>
  <si>
    <t>Baños turcos o de vapor o rituales</t>
  </si>
  <si>
    <t>Objetos de titanio fundidos por moldeo en cáscara</t>
  </si>
  <si>
    <t>Eslingas de seguridad</t>
  </si>
  <si>
    <t>Cloruro de doxacurio</t>
  </si>
  <si>
    <t>51151916</t>
  </si>
  <si>
    <t>Máquinas revestidoras</t>
  </si>
  <si>
    <t>Componentes de zinc formados por estiramiento</t>
  </si>
  <si>
    <t>Ensambles estructurales pegados de aleación hast x</t>
  </si>
  <si>
    <t>Laboratorio de lenguas</t>
  </si>
  <si>
    <t>Estuches de soporte de vida para servicios médicos de emergencia</t>
  </si>
  <si>
    <t>Bandejas de cajas de efectivo</t>
  </si>
  <si>
    <t>51181704</t>
  </si>
  <si>
    <t>Proveedores de motores de búsqueda en la web</t>
  </si>
  <si>
    <t>Copoliester</t>
  </si>
  <si>
    <t>Servicios de registro nuclear geoquímico</t>
  </si>
  <si>
    <t>Rociadores</t>
  </si>
  <si>
    <t>Conjugados o derivados oligoméricos</t>
  </si>
  <si>
    <t>Instrumentos de prueba de redondez</t>
  </si>
  <si>
    <t>Placa de estaño</t>
  </si>
  <si>
    <t>Parabrisas para automotores</t>
  </si>
  <si>
    <t>Suplemento de potasio</t>
  </si>
  <si>
    <t>Latas de comida</t>
  </si>
  <si>
    <t>Carbón activado</t>
  </si>
  <si>
    <t>Controladores de agujas únicas para unidades de hemodiálisis</t>
  </si>
  <si>
    <t>Componentes de aleación de níquel formados enrollados</t>
  </si>
  <si>
    <t>Sistemas electrónicos de ignición</t>
  </si>
  <si>
    <t>Tejidos de lana urdidos a la jacquard</t>
  </si>
  <si>
    <t>Lavadores de película</t>
  </si>
  <si>
    <t>Válvulas de expansión</t>
  </si>
  <si>
    <t>Levomepromazina</t>
  </si>
  <si>
    <t>Acopladores</t>
  </si>
  <si>
    <t>Tornillos de extensión para álbumes de recuerdos</t>
  </si>
  <si>
    <t>Adaptador de batería o accesorios</t>
  </si>
  <si>
    <t>Monturas adhesivas</t>
  </si>
  <si>
    <t>Instrumentos audiovisuales para inspección de pozos</t>
  </si>
  <si>
    <t>Servicios de enchapes</t>
  </si>
  <si>
    <t>Servicios de cooperación internacional</t>
  </si>
  <si>
    <t>Agentes reactivos o zonas para hibridación</t>
  </si>
  <si>
    <t>Materiales de enseñanza de formación sobre puericultura</t>
  </si>
  <si>
    <t>Rodamientos de manguito interior</t>
  </si>
  <si>
    <t>Instrumentos de colocación para uso odontológico</t>
  </si>
  <si>
    <t>Separadores del agua del avión</t>
  </si>
  <si>
    <t>Concentradores centrífugos o de vacío</t>
  </si>
  <si>
    <t>Analizadores de dióxido de carbono disuelto</t>
  </si>
  <si>
    <t>Bombas dúplex</t>
  </si>
  <si>
    <t>Clofibrato</t>
  </si>
  <si>
    <t>Impermeabilización</t>
  </si>
  <si>
    <t>Candados de números</t>
  </si>
  <si>
    <t>Ensambles de láminas remachadas no metálica</t>
  </si>
  <si>
    <t>Estroboscopios</t>
  </si>
  <si>
    <t>Piezas de berilio forjadas a martinete</t>
  </si>
  <si>
    <t>Máquinas para hacer bloques de hielo</t>
  </si>
  <si>
    <t>Libros de recursos o de actividades de la suma</t>
  </si>
  <si>
    <t>Vinos para cocinar</t>
  </si>
  <si>
    <t>73152102</t>
  </si>
  <si>
    <t>Objetos fundidos maquinados con troquel de magnesio</t>
  </si>
  <si>
    <t>Materiales de enseñanza sobre actividades de la ciencia de los alimentos</t>
  </si>
  <si>
    <t>Clorhidrato de dicicloverina</t>
  </si>
  <si>
    <t>Componentes compuestos formados con explosivos</t>
  </si>
  <si>
    <t>Enfriadores de unidades de procesamiento central</t>
  </si>
  <si>
    <t>Diagramas de asientos de los estudiantes en el salón de clases</t>
  </si>
  <si>
    <t>Mezcla de salsa</t>
  </si>
  <si>
    <t>Extrusiones en frío de cobre</t>
  </si>
  <si>
    <t>Sorteo de Obras</t>
  </si>
  <si>
    <t>Reconocimiento militar</t>
  </si>
  <si>
    <t>Uniformes militares</t>
  </si>
  <si>
    <t>Abrelatas eléctricos para uso comercial</t>
  </si>
  <si>
    <t>Clorhidrato de fenilefrina</t>
  </si>
  <si>
    <t>Servicios de investigación inmunológica</t>
  </si>
  <si>
    <t>Hoja de digital en polvo o preparados</t>
  </si>
  <si>
    <t>Pernos estructurales</t>
  </si>
  <si>
    <t>Objetos fundidos maquinados con troquel de cobre</t>
  </si>
  <si>
    <t>Donepezilo clorhidrato</t>
  </si>
  <si>
    <t>Servicios de elaboración de aceites o grasas vegetales</t>
  </si>
  <si>
    <t>Servicios para la restitución de títulos de propiedad</t>
  </si>
  <si>
    <t>Servicios de prevención o control de epidemias</t>
  </si>
  <si>
    <t>Planificación de las importaciones</t>
  </si>
  <si>
    <t>HILOS QUIRUGICOS 4</t>
  </si>
  <si>
    <t>Brocas o accesorios para uso quirúrgico</t>
  </si>
  <si>
    <t>Materiales de cuero o de acordonados de cuero</t>
  </si>
  <si>
    <t>Cortadores de roca</t>
  </si>
  <si>
    <t>Equipo de análisis volumétrico</t>
  </si>
  <si>
    <t>Ictamol</t>
  </si>
  <si>
    <t>Elementos respiraderos</t>
  </si>
  <si>
    <t>Arrastre de cables</t>
  </si>
  <si>
    <t>Servicios de producción de bioproteínas</t>
  </si>
  <si>
    <t>Componentes de magnesio maquinados por extrusión en caliente</t>
  </si>
  <si>
    <t>Balanzas de laboratorio</t>
  </si>
  <si>
    <t>Marcadores de tamaño o estándares de ácido desoxirribonucleico dna</t>
  </si>
  <si>
    <t>Sistemas de estanterías para equipo electrónico montado sobre estantes</t>
  </si>
  <si>
    <t>Componentes de aleación de níquel maquinados por extrusión de impacto</t>
  </si>
  <si>
    <t>Ensambles de tubería con soldadura sónica de acero de aleación baja</t>
  </si>
  <si>
    <t>HEMODIALISIS 4</t>
  </si>
  <si>
    <t>Llaves de tuercas de boca cerrada</t>
  </si>
  <si>
    <t>Reguladores de temperatura</t>
  </si>
  <si>
    <t>Docusato de calcio</t>
  </si>
  <si>
    <t>Sulfato de salbutamol</t>
  </si>
  <si>
    <t>Pista de carreras</t>
  </si>
  <si>
    <t>Servicios de formación profesional en asistencia sanitaria</t>
  </si>
  <si>
    <t>Equipo de medición de flujo</t>
  </si>
  <si>
    <t>Probadores de estado lógico</t>
  </si>
  <si>
    <t>Triptófano</t>
  </si>
  <si>
    <t>Repisas de distribución de documentos</t>
  </si>
  <si>
    <t>Auxiliares de salud a domicilio</t>
  </si>
  <si>
    <t>Simuladores de vuelo de naves espaciales</t>
  </si>
  <si>
    <t>Rieles de aluminio</t>
  </si>
  <si>
    <t>Melatonina</t>
  </si>
  <si>
    <t>Reservorios cardiovasculares</t>
  </si>
  <si>
    <t>Pincel pastelero para uso doméstico</t>
  </si>
  <si>
    <t>Objetos maquinados de aleación no ferrosa fundidos a la cera perdida</t>
  </si>
  <si>
    <t>Servicios de investigación o experimentación de la industria pesquera</t>
  </si>
  <si>
    <t>72102004</t>
  </si>
  <si>
    <t>Especias 2</t>
  </si>
  <si>
    <t>Comida húmeda para gatos</t>
  </si>
  <si>
    <t>Línea digital de abonado (dsl)</t>
  </si>
  <si>
    <t>Cintas para hacer etiquetas</t>
  </si>
  <si>
    <t>Pinceles especializados</t>
  </si>
  <si>
    <t>Servicios de fabricación de equipo médico o dental</t>
  </si>
  <si>
    <t>Transistores bipolares de puerta aislada (igbt)</t>
  </si>
  <si>
    <t>Objetos maquinados de plomo fundidos en molde cerámico</t>
  </si>
  <si>
    <t>Paños para herramientas</t>
  </si>
  <si>
    <t>Gas helio he</t>
  </si>
  <si>
    <t>Retractores para amputación</t>
  </si>
  <si>
    <t>Servicios legales para adopción</t>
  </si>
  <si>
    <t>Berkelio bk</t>
  </si>
  <si>
    <t>Forjas de aleación no ferrosa maquinadas por anillo enrollado</t>
  </si>
  <si>
    <t>Pentastarch</t>
  </si>
  <si>
    <t>Servicios de desarrollo de aplicaciones para servidores de internet / intranet</t>
  </si>
  <si>
    <t>Acuarios</t>
  </si>
  <si>
    <t>Servicios de monitoreo de la fracturación del pozo</t>
  </si>
  <si>
    <t>Follaje seco</t>
  </si>
  <si>
    <t>5180</t>
  </si>
  <si>
    <t xml:space="preserve">Bienes de seguridad para usar en el 2019 en el incart </t>
  </si>
  <si>
    <t>Pompones brillantes para manualidades</t>
  </si>
  <si>
    <t>Aleaciones de acrilonitrilo butadieno estireno abs</t>
  </si>
  <si>
    <t>Antimonio</t>
  </si>
  <si>
    <t>Toallas de baño</t>
  </si>
  <si>
    <t>Servicios de kickover de elevación por presión de gas</t>
  </si>
  <si>
    <t>Pisos de caucho</t>
  </si>
  <si>
    <t>Reactivo cupferrón</t>
  </si>
  <si>
    <t>Servicios de formación profesional en artesanías</t>
  </si>
  <si>
    <t>Separadores</t>
  </si>
  <si>
    <t>51121904</t>
  </si>
  <si>
    <t>Modelos o accesorios de valor posicional</t>
  </si>
  <si>
    <t>Viguetas de madera</t>
  </si>
  <si>
    <t>Impresión en relieve</t>
  </si>
  <si>
    <t>Adaptadores o conectores o instalaciones para laboratorio</t>
  </si>
  <si>
    <t>Máquinas dobladoras</t>
  </si>
  <si>
    <t>Vidrio flotado</t>
  </si>
  <si>
    <t>Proyectores de perfil</t>
  </si>
  <si>
    <t>Tartrato de rivastigmina</t>
  </si>
  <si>
    <t>Forjas de aluminio maquinadas por reducción</t>
  </si>
  <si>
    <t>Oxidante de muestras</t>
  </si>
  <si>
    <t>Rings para boxeo</t>
  </si>
  <si>
    <t>Vidrio templado</t>
  </si>
  <si>
    <t>Aditivos desoldantes</t>
  </si>
  <si>
    <t>Incineradores</t>
  </si>
  <si>
    <t>Servicios de lesiones cerebrales o de la médula espinal</t>
  </si>
  <si>
    <t>Laguna Nisibón</t>
  </si>
  <si>
    <t>Ensambles estructurales atornillados no metálica</t>
  </si>
  <si>
    <t>Materiales de enseñanza sobre cómo poner la mesa</t>
  </si>
  <si>
    <t>Polietileno de media densidad mdpe</t>
  </si>
  <si>
    <t>Botones de acceso gástrico</t>
  </si>
  <si>
    <t>51111712</t>
  </si>
  <si>
    <t>Tintas</t>
  </si>
  <si>
    <t>Porta etiquetas o accesorios</t>
  </si>
  <si>
    <t>Servicios sísmicos de hoyo pequeño</t>
  </si>
  <si>
    <t>Servicios de evaluación del aprendizaje a distancia</t>
  </si>
  <si>
    <t>Objetos fundidos maquinados por proceso v de aleaciones no ferrosas</t>
  </si>
  <si>
    <t>Vectores o kits de sistemas hídricos</t>
  </si>
  <si>
    <t>Moldes de extrusión de caucho o plástico</t>
  </si>
  <si>
    <t>Sistemas láser de medición</t>
  </si>
  <si>
    <t>INSUMOS DE LABORATORIO ESPECIALES II</t>
  </si>
  <si>
    <t>Diltiazem malato</t>
  </si>
  <si>
    <t>Componentes de cobre perforados</t>
  </si>
  <si>
    <t>Sabana Yegua</t>
  </si>
  <si>
    <t>Objetos de fundición centrífuga de metal precioso</t>
  </si>
  <si>
    <t>Equipos de desinfección ultravioleta</t>
  </si>
  <si>
    <t>Equipo estereotóxico para uso veterinario</t>
  </si>
  <si>
    <t>Bandejas de procedimiento para exámenes</t>
  </si>
  <si>
    <t>Barras paralelas para rehabilitación o terapia</t>
  </si>
  <si>
    <t>Servicios de cartografía de los recursos hidráulicos</t>
  </si>
  <si>
    <t>OBJETO DE CONTRATACIÓN</t>
  </si>
  <si>
    <t>Perfiles de acero</t>
  </si>
  <si>
    <t>Baños de agua de agitación recíproca</t>
  </si>
  <si>
    <t>Objetos maquinados de aluminio fundidos en molde cerámico</t>
  </si>
  <si>
    <t>Cintas o vendajes o correas o mangas para posicionamiento de catéter arterial o intravenoso</t>
  </si>
  <si>
    <t>Vitrificados</t>
  </si>
  <si>
    <t>Analizadores o sensores de bombas de infusión intravenosas</t>
  </si>
  <si>
    <t>Minas</t>
  </si>
  <si>
    <t>Bombillos de electrodos para electrocardiografía ekg</t>
  </si>
  <si>
    <t>Cobijas para incendios</t>
  </si>
  <si>
    <t>Rodillos agrícolas</t>
  </si>
  <si>
    <t>Libros de actividades para construcción de palabras</t>
  </si>
  <si>
    <t>Madera para marcos</t>
  </si>
  <si>
    <t>Súper cargadores</t>
  </si>
  <si>
    <t>Marcos para ventanas con hojas de desplazamiento horizontal</t>
  </si>
  <si>
    <t>Cortadoras de papel o repuestos</t>
  </si>
  <si>
    <t>Tela o textil de bismaleimida</t>
  </si>
  <si>
    <t>Balanzas de humedad</t>
  </si>
  <si>
    <t>Centros para vestirse</t>
  </si>
  <si>
    <t>Servicios de asistencia de emergencia a refugiados</t>
  </si>
  <si>
    <t>Filtros de pintura</t>
  </si>
  <si>
    <t>Compra Bienes de Acabados y Textiles Para Uso en el INCART</t>
  </si>
  <si>
    <t>Partes o accesorios individuales (sin apoyo)</t>
  </si>
  <si>
    <t>Espátulas de artista</t>
  </si>
  <si>
    <t>Tartrato de levorfanol</t>
  </si>
  <si>
    <t>Paletas para mezclar pintura o tinta</t>
  </si>
  <si>
    <t>Forjas de plomo maquinadas por anillo enrollado</t>
  </si>
  <si>
    <t>Baldosines acústicos para techos</t>
  </si>
  <si>
    <t>Helicópteros de reconocimiento</t>
  </si>
  <si>
    <t>Pinzas para tubos de administración o transfusión de sangre</t>
  </si>
  <si>
    <t>MEDICAMENTOS ANTIBACTERIANO 3</t>
  </si>
  <si>
    <t>Máquinas electrónicas de pruebas</t>
  </si>
  <si>
    <t>Maletines</t>
  </si>
  <si>
    <t>Servicios generales/misceláneos  de control de arena</t>
  </si>
  <si>
    <t>Creación o planificación de instituciones ambientales</t>
  </si>
  <si>
    <t>Forjas de plomo maquinadas por reducción</t>
  </si>
  <si>
    <t>Microcontroladores</t>
  </si>
  <si>
    <t>Mariposas</t>
  </si>
  <si>
    <t>Filtros de autotransfusión</t>
  </si>
  <si>
    <t>Alfombras sintéticas</t>
  </si>
  <si>
    <t>Labrado de llanta</t>
  </si>
  <si>
    <t>Baldes para enema</t>
  </si>
  <si>
    <t>Calentadores de deslizamiento</t>
  </si>
  <si>
    <t>Camisas o blusas para niña</t>
  </si>
  <si>
    <t>Rosina de madera</t>
  </si>
  <si>
    <t>52151907</t>
  </si>
  <si>
    <t>Destapadores o abrelatas para uso doméstico</t>
  </si>
  <si>
    <t>Samaná</t>
  </si>
  <si>
    <t>Cefepima</t>
  </si>
  <si>
    <t>Membranas para techos</t>
  </si>
  <si>
    <t>Objetos maquinados de aluminio fundidos en molde de yeso</t>
  </si>
  <si>
    <t>Filtros electrónicos</t>
  </si>
  <si>
    <t>Sirenas</t>
  </si>
  <si>
    <t>Conmutadores de proximidad</t>
  </si>
  <si>
    <t>Lentes de proyección</t>
  </si>
  <si>
    <t>Almíbar</t>
  </si>
  <si>
    <t>Letras o números sueltos</t>
  </si>
  <si>
    <t>Carros de perforación</t>
  </si>
  <si>
    <t>Dispositivo de retroalimentación biológica</t>
  </si>
  <si>
    <t>Máquinas perforadoras o para unir papel</t>
  </si>
  <si>
    <t>Pollos vivos</t>
  </si>
  <si>
    <t>Clorpreno cr</t>
  </si>
  <si>
    <t>Servicios de prevención o control de enfermedades nutricionales</t>
  </si>
  <si>
    <t>Kits de construcción de muestrarios</t>
  </si>
  <si>
    <t>Norepinefrina bitartrato</t>
  </si>
  <si>
    <t>Objetos fundidos maquinados con troquel de aleaciones ferrosas</t>
  </si>
  <si>
    <t>Forjas de plomo maquinadas con impresión por troquel</t>
  </si>
  <si>
    <t>Placas secundarias</t>
  </si>
  <si>
    <t>Clorhidrato de ciproheptadina</t>
  </si>
  <si>
    <t>Servicios de gastroenterólogos</t>
  </si>
  <si>
    <t>Parafinas</t>
  </si>
  <si>
    <t>Inmunoglobulinas virales</t>
  </si>
  <si>
    <t>Derivaciones implantables o extensores de derivaciones para uso quirúrgico</t>
  </si>
  <si>
    <t>Implantes plásticos o cosméticos o expansores de tejidos o sets</t>
  </si>
  <si>
    <t>Taladros de núcleo</t>
  </si>
  <si>
    <t>Ensambles estructurales pegados de titanio</t>
  </si>
  <si>
    <t>Receptáculos para residuos sanitarios</t>
  </si>
  <si>
    <t>Organizadores personales</t>
  </si>
  <si>
    <t>Acoples de conformación</t>
  </si>
  <si>
    <t>Aceite de ricino</t>
  </si>
  <si>
    <t>Servicios de fabricación de fibra de poliamida</t>
  </si>
  <si>
    <t>Ensambles estructurales atornillados de inconel</t>
  </si>
  <si>
    <t>Mesas o accesorios para uso odontológico</t>
  </si>
  <si>
    <t>Cepillos para limpiar tubos enterales</t>
  </si>
  <si>
    <t>Pimentel</t>
  </si>
  <si>
    <t>Toners o desarrolladores para uso médico</t>
  </si>
  <si>
    <t>42281902</t>
  </si>
  <si>
    <t>Herramientas y troqueles para tornos</t>
  </si>
  <si>
    <t>Reservistas militares</t>
  </si>
  <si>
    <t>Perfiles de aleación no ferrosa</t>
  </si>
  <si>
    <t>Servicios de asistencia para viajes de peregrinaje</t>
  </si>
  <si>
    <t>Instrumental para electroforesis capilar</t>
  </si>
  <si>
    <t>Analizadores o monitores de gas pulmonar</t>
  </si>
  <si>
    <t>Adaptadores de cubo</t>
  </si>
  <si>
    <t>Máquinas o accesorios para algodón dulce para uso comercial</t>
  </si>
  <si>
    <t>Termorreguladores de pacientes</t>
  </si>
  <si>
    <t>Abridores de hoyos de cable de recuperación</t>
  </si>
  <si>
    <t>Aceites naturales</t>
  </si>
  <si>
    <t>Avión de hélice privado o de negocios</t>
  </si>
  <si>
    <t>Sets o accesorios de remoción de cálculos</t>
  </si>
  <si>
    <t>Ensambles de barras remachadas de titanio</t>
  </si>
  <si>
    <t>Objetos maquinados centrifugados de plomo fundidos</t>
  </si>
  <si>
    <t>Servicios de perforación de pozos con  tubo directo</t>
  </si>
  <si>
    <t>Camino refrigerado para cámaras ambientales o de cultivo</t>
  </si>
  <si>
    <t>Ensambles estructurales atornillados de aleación hast x</t>
  </si>
  <si>
    <t>Tanques de calibración</t>
  </si>
  <si>
    <t>Equipo de acceso de microondas</t>
  </si>
  <si>
    <t>Filamento de lámpara</t>
  </si>
  <si>
    <t>Mesas urológicas o accesorios para uso quirúrgico</t>
  </si>
  <si>
    <t>42295303</t>
  </si>
  <si>
    <t>Sellos de caucho de base diez</t>
  </si>
  <si>
    <t>Cuero sintético o de imitación</t>
  </si>
  <si>
    <t>Palma enana americana (saw palmetto)</t>
  </si>
  <si>
    <t>Jamao Afuera</t>
  </si>
  <si>
    <t>Pipetas serológicas</t>
  </si>
  <si>
    <t>Ensambles de tubería atornillada de latón</t>
  </si>
  <si>
    <t>Objetos de metal precioso fundidos por moldeo en cáscara</t>
  </si>
  <si>
    <t>Maquinaria para bordados</t>
  </si>
  <si>
    <t>44122011</t>
  </si>
  <si>
    <t>Colecciones de historietas cómicas</t>
  </si>
  <si>
    <t>Clorhidrato de trimetobenzamida</t>
  </si>
  <si>
    <t>Encendedores</t>
  </si>
  <si>
    <t>Renio re</t>
  </si>
  <si>
    <t>Semillas o plántulas de veza</t>
  </si>
  <si>
    <t>Pipeta multicanales electrónicas</t>
  </si>
  <si>
    <t>Bordes de tejado</t>
  </si>
  <si>
    <t>Correas de caucho</t>
  </si>
  <si>
    <t>Saponaria</t>
  </si>
  <si>
    <t>Software de entorno de desarrollo</t>
  </si>
  <si>
    <t>Unidades o accesorios para unidades de signos vitales multi parámetro</t>
  </si>
  <si>
    <t>Servicios de redacción del currículum vítae</t>
  </si>
  <si>
    <t>Mitología</t>
  </si>
  <si>
    <t>31211502</t>
  </si>
  <si>
    <t>Servicios mecánicos para bombas del campo petrolero</t>
  </si>
  <si>
    <t>Planes de jubilación autodirigidos o de iniciativa propia</t>
  </si>
  <si>
    <t>Contadores de la turbina de gas de producción del pozo</t>
  </si>
  <si>
    <t>Necesidades de dotación de personal de tecnologías de la información permanente</t>
  </si>
  <si>
    <t>Cinceles u osteotomos para autopsias</t>
  </si>
  <si>
    <t>Carpintería rústica</t>
  </si>
  <si>
    <t>Servicios de gestión de fábricas</t>
  </si>
  <si>
    <t>Sensores de fuerza o de torsión</t>
  </si>
  <si>
    <t>Componentes de cobre maquinados por extrusión hidrostática</t>
  </si>
  <si>
    <t>Servicios de registro acústicos digital</t>
  </si>
  <si>
    <t>Unidades de curado de laboratorio dental</t>
  </si>
  <si>
    <t>Tarjetas de circuito de doble cara</t>
  </si>
  <si>
    <t>Antenas de televisión</t>
  </si>
  <si>
    <t>Puestos o accesorios de equipos quirúrgicos</t>
  </si>
  <si>
    <t>51142941</t>
  </si>
  <si>
    <t>Extrusiones de perfiles de acero inoxidable</t>
  </si>
  <si>
    <t>Protectores contra termitas</t>
  </si>
  <si>
    <t>Textiles de tejido de pana</t>
  </si>
  <si>
    <t>Terminal de punto de venta pos</t>
  </si>
  <si>
    <t>Heparina de calcio</t>
  </si>
  <si>
    <t>OPERACIONES / PLATA FISICA 3</t>
  </si>
  <si>
    <t>Perfiles de cobre</t>
  </si>
  <si>
    <t>Carritos de pacientes</t>
  </si>
  <si>
    <t>Cánulas de perfusión de uso quirúrgico</t>
  </si>
  <si>
    <t>Suministros de limpieza de impresoras o faxes o fotocopiadoras</t>
  </si>
  <si>
    <t>equipo de seguridad 4</t>
  </si>
  <si>
    <t>Dinitrato de isosorbida</t>
  </si>
  <si>
    <t>Servicios de distribución minorista</t>
  </si>
  <si>
    <t>Objetos maquinados de aleación ferrosa fundidos en molde de grafito</t>
  </si>
  <si>
    <t>Anillos de molde o suministros relacionados para uso odontológico</t>
  </si>
  <si>
    <t>Servicios de venta directa</t>
  </si>
  <si>
    <t>Trituradores para uso quirúrgico</t>
  </si>
  <si>
    <t>Sistemas de purificación del agua para unidades de hemodiálisis</t>
  </si>
  <si>
    <t>Signos de tráfico</t>
  </si>
  <si>
    <t>Aparatos de prospección geológica</t>
  </si>
  <si>
    <t>Kits intrauterinos transcervicales</t>
  </si>
  <si>
    <t>Servicios de asistencia forestal</t>
  </si>
  <si>
    <t>HEMODIALISIS 3</t>
  </si>
  <si>
    <t>Resinas de indeno</t>
  </si>
  <si>
    <t>Reservorios de succión para uso quirúrgico</t>
  </si>
  <si>
    <t>Bloques de piedra</t>
  </si>
  <si>
    <t>Salvavidas</t>
  </si>
  <si>
    <t>Kits de etiquetado radiactivos de ácido nucleico</t>
  </si>
  <si>
    <t>Norgestrel</t>
  </si>
  <si>
    <t>Bombas triplex</t>
  </si>
  <si>
    <t>Equipo de limpieza de lodo</t>
  </si>
  <si>
    <t>Equipos de compostaje de barro o algas</t>
  </si>
  <si>
    <t>Chorro de balines o perdigones</t>
  </si>
  <si>
    <t>Solución reveladora</t>
  </si>
  <si>
    <t>Ventana externa de láser o lentes</t>
  </si>
  <si>
    <t>Acetato de trembolona</t>
  </si>
  <si>
    <t>Adaptadores o accesorios para jeringa</t>
  </si>
  <si>
    <t>Láminas absorbentes o fieltros para papel hecho a mano</t>
  </si>
  <si>
    <t>49141506</t>
  </si>
  <si>
    <t>Trajes para niño</t>
  </si>
  <si>
    <t>Servicios de redes gestionadas por redes virtuales privadas (vpn)</t>
  </si>
  <si>
    <t>Sets de partes anteriores o posteriores de dientes</t>
  </si>
  <si>
    <t>Carbocisteína</t>
  </si>
  <si>
    <t>Tornillos de apriete</t>
  </si>
  <si>
    <t>Aparatos para observar la radiación solar en la superficie</t>
  </si>
  <si>
    <t>Operaciones de relleno sanitario</t>
  </si>
  <si>
    <t>Cartones acanalados ranurados</t>
  </si>
  <si>
    <t>Villa los Almácigos</t>
  </si>
  <si>
    <t>Medidores de conductividad</t>
  </si>
  <si>
    <t>Trajes mortuorios</t>
  </si>
  <si>
    <t>Tarjetas de audio conferencia</t>
  </si>
  <si>
    <t>MES</t>
  </si>
  <si>
    <t>Sets de extensión arterial o intravenosa</t>
  </si>
  <si>
    <t>Deferoxamina mesilato</t>
  </si>
  <si>
    <t>Dispositivos para escalar para rehabilitación o terapia</t>
  </si>
  <si>
    <t>Red de protección</t>
  </si>
  <si>
    <t>86131502</t>
  </si>
  <si>
    <t>Acetato de fludrocortisona</t>
  </si>
  <si>
    <t>42295421</t>
  </si>
  <si>
    <t>Sujetadores absorbentes para uso odontológico</t>
  </si>
  <si>
    <t>Servicios de control de la población</t>
  </si>
  <si>
    <t>Filtros de jeringa</t>
  </si>
  <si>
    <t xml:space="preserve">AÑO FISCAL </t>
  </si>
  <si>
    <t>Rebobinadores de arneses de seguridad</t>
  </si>
  <si>
    <t>Tuercas de inserción</t>
  </si>
  <si>
    <t>Productos de debridación mecánica para uso médico</t>
  </si>
  <si>
    <t>Sistemas de procesamiento de datos sísmicos</t>
  </si>
  <si>
    <t>Servicios de la elaboración  de huevos</t>
  </si>
  <si>
    <t>Pedro García</t>
  </si>
  <si>
    <t>Filtros de aparatos de rayos x para uso médico</t>
  </si>
  <si>
    <t>Acetato de metilprednisolona</t>
  </si>
  <si>
    <t>Piretanida</t>
  </si>
  <si>
    <t>Platina de latón</t>
  </si>
  <si>
    <t>Derivaciones o catéteres o dispositivos de acceso permanente para diálisis peritoneal</t>
  </si>
  <si>
    <t>Objetos fundidos maquinados con troquel no metálico</t>
  </si>
  <si>
    <t>Compactadores de basura para uso doméstico</t>
  </si>
  <si>
    <t>Horno de secado del núcleo</t>
  </si>
  <si>
    <t>Libros de recursos de fonética</t>
  </si>
  <si>
    <t>Limpieza e Higuiene 3</t>
  </si>
  <si>
    <t>Bordes o ribetes festoneados y troquelados con formas</t>
  </si>
  <si>
    <t>Software de video conferencias</t>
  </si>
  <si>
    <t>Objetos de estaño fundidos a la cera perdida</t>
  </si>
  <si>
    <t>Pinceles de utilidad</t>
  </si>
  <si>
    <t>Sabana Higüero</t>
  </si>
  <si>
    <t>Cono de perforación de pozos</t>
  </si>
  <si>
    <t>Escarificadores</t>
  </si>
  <si>
    <t>Portadores de lámina de oro</t>
  </si>
  <si>
    <t>Varillas de soldadura o soldadura con latón a gas</t>
  </si>
  <si>
    <t>Unidades de abrasión por aire de laboratorio dental</t>
  </si>
  <si>
    <t>Servicios profesionales de adquisiciones</t>
  </si>
  <si>
    <t>Papel de construcción</t>
  </si>
  <si>
    <t>Naranjal</t>
  </si>
  <si>
    <t>Locomotoras diesel de pasajeros</t>
  </si>
  <si>
    <t>Sets de administración de tubos intravenosos o arteriales</t>
  </si>
  <si>
    <t>Marcos de papel</t>
  </si>
  <si>
    <t>Bromuro de rocuronio</t>
  </si>
  <si>
    <t>Semillas o plántulas de rábano</t>
  </si>
  <si>
    <t>Bauxitas sinterizadas cubierta de resina</t>
  </si>
  <si>
    <t>Bloques de mordida o correas endoscópicas</t>
  </si>
  <si>
    <t>Chalecos y chaquetas de fuerza (de restricción)</t>
  </si>
  <si>
    <t>Antilinfocito o inmunoglobulina linfocítica</t>
  </si>
  <si>
    <t>Servicios de corte químico mediante tubería flexible contínua</t>
  </si>
  <si>
    <t>Guantes para tiro con arco</t>
  </si>
  <si>
    <t>Servicios de impresión industrial flexográfica</t>
  </si>
  <si>
    <t>Dispositivos de acceso de redes digitales de servicios integrados isdn</t>
  </si>
  <si>
    <t>Agujas o kits o accesorios para pericardiocentesis</t>
  </si>
  <si>
    <t>Incubadoras de cámara dual de dióxido de carbono recubierta de agua</t>
  </si>
  <si>
    <t>51101538</t>
  </si>
  <si>
    <t>Unidades para oxímetros de pulso</t>
  </si>
  <si>
    <t>Hornos o gabinetes secadores</t>
  </si>
  <si>
    <t>Dispositivos o curetas de extracción al vacío o productos relacionados para uso quirúrgico</t>
  </si>
  <si>
    <t>Compuestos para remover carbón</t>
  </si>
  <si>
    <t>Suministros para hornear</t>
  </si>
  <si>
    <t>Bromhidrato de galantamina</t>
  </si>
  <si>
    <t>Excavadoras dentales</t>
  </si>
  <si>
    <t>27113101</t>
  </si>
  <si>
    <t>Aplicaciones al vacío o de succión para uso médico</t>
  </si>
  <si>
    <t>Grasas saturadas de vegetales o plantas comestibles</t>
  </si>
  <si>
    <t>Negociaciones comerciales</t>
  </si>
  <si>
    <t>42191612</t>
  </si>
  <si>
    <t>Ensambles estructurales con soldadura de fuerte o débil de acero de aleación baja</t>
  </si>
  <si>
    <t>Cuerdas para arcos</t>
  </si>
  <si>
    <t>Kits de limpieza para uso general</t>
  </si>
  <si>
    <t>Kits de formación de base para prótesis dentales</t>
  </si>
  <si>
    <t>Películas para empacar</t>
  </si>
  <si>
    <t>Filiforme para dilatar el uréter o la uretra</t>
  </si>
  <si>
    <t>Ifosfamida</t>
  </si>
  <si>
    <t>Clorhidrato de tramadol</t>
  </si>
  <si>
    <t>OPERACIONES / SEGURIDAD 2</t>
  </si>
  <si>
    <t>OPERACIONES / SEGURIDAD 3</t>
  </si>
  <si>
    <t>Bolsas para equipos médicos</t>
  </si>
  <si>
    <t>INSUMOS CONSULTA EXTERNA Y FISIOTERAPIA 1</t>
  </si>
  <si>
    <t>Materiales de enseñanza  para la  planificación o diseño del hogar</t>
  </si>
  <si>
    <t>Clubes sociales para personas discapacitadas</t>
  </si>
  <si>
    <t>Conmutadores de desconexión de estaciones de maniobra</t>
  </si>
  <si>
    <t>Soportes de gráficos o accesorios</t>
  </si>
  <si>
    <t>ARTÍCULO</t>
  </si>
  <si>
    <t>Bolsas de arena o sets de bolsas de arena para rehabilitación o terapia</t>
  </si>
  <si>
    <t>Trituradores giratorios</t>
  </si>
  <si>
    <t>Bitartrato de fenilpropanolamina</t>
  </si>
  <si>
    <t>Mangas deslizantes</t>
  </si>
  <si>
    <t>Varillas de esquí</t>
  </si>
  <si>
    <t>Prendas para dar forma al cuerpo</t>
  </si>
  <si>
    <t>Impulsores de tarro</t>
  </si>
  <si>
    <t>Revestimiento de la banda transportadora</t>
  </si>
  <si>
    <t>Pletismógrafos de cuerpo</t>
  </si>
  <si>
    <t>Extrusiones por impacto de zinc</t>
  </si>
  <si>
    <t>Clorotiazida</t>
  </si>
  <si>
    <t>Vigas de metales preciosos</t>
  </si>
  <si>
    <t>Ladrillos de piedra</t>
  </si>
  <si>
    <t>Cabezales de rociadores de incendios</t>
  </si>
  <si>
    <t>Misiles de entrenamiento</t>
  </si>
  <si>
    <t>Objetos de acero fundidos en molde de yeso</t>
  </si>
  <si>
    <t>Tanques de inmersión</t>
  </si>
  <si>
    <t>Almohadillas (pads) táctil (touch)</t>
  </si>
  <si>
    <t>Servicios de drenaje de tierras</t>
  </si>
  <si>
    <t>Misiles antiaéreos</t>
  </si>
  <si>
    <t>Ensambles estructurales pegados de latón</t>
  </si>
  <si>
    <t>Tableros de noticias o accesorios</t>
  </si>
  <si>
    <t>Tuercas almenadas</t>
  </si>
  <si>
    <t>Letras o números en cursiva</t>
  </si>
  <si>
    <t>Afiches o sets para el salón de clases</t>
  </si>
  <si>
    <t>Azatioprina</t>
  </si>
  <si>
    <t>Equipo de paravelismo</t>
  </si>
  <si>
    <t>Campo de deportes</t>
  </si>
  <si>
    <t>Tejas</t>
  </si>
  <si>
    <t>Moratoria o desarme nuclear</t>
  </si>
  <si>
    <t>Equipo de comunicación de información de radio frecuencia</t>
  </si>
  <si>
    <t>Tarjetas didácticas de equivalencias</t>
  </si>
  <si>
    <t>73111503</t>
  </si>
  <si>
    <t>Danazol</t>
  </si>
  <si>
    <t>Pintura de acuarela de platillo</t>
  </si>
  <si>
    <t>Aplanadoras en frío</t>
  </si>
  <si>
    <t>Pasa bocas o comida recreacional para gatos o perros</t>
  </si>
  <si>
    <t>Suministro de electricidad  trifásica</t>
  </si>
  <si>
    <t>Puertas corrediza empotrable</t>
  </si>
  <si>
    <t>Mampostería de ladrillo</t>
  </si>
  <si>
    <t>Agujas de tubo al vacío</t>
  </si>
  <si>
    <t>Servicios de diseño de cementar el pozo</t>
  </si>
  <si>
    <t>Cinta de fibra de vidrio</t>
  </si>
  <si>
    <t>Filtros de línea para laboratorio</t>
  </si>
  <si>
    <t>Afiches de creación  personal</t>
  </si>
  <si>
    <t>Clorhidrato de idarrubicina</t>
  </si>
  <si>
    <t>Sacudidores recíprocos</t>
  </si>
  <si>
    <t>Torta de neem</t>
  </si>
  <si>
    <t>Retenedoras para muelles</t>
  </si>
  <si>
    <t>Estuches enrollables para instrumentos o accesorios de uso veterinario</t>
  </si>
  <si>
    <t>Bolitas de poliestireno</t>
  </si>
  <si>
    <t xml:space="preserve">servicios de recoleccion de basura en el incart </t>
  </si>
  <si>
    <t>Tubería de hierro</t>
  </si>
  <si>
    <t>Cortadores rotatorios de metales</t>
  </si>
  <si>
    <t>Mangas de filtro de esterilización</t>
  </si>
  <si>
    <t>Servicios de estimulación de la matriz de sellamiento de la formación</t>
  </si>
  <si>
    <t>Servoválvula</t>
  </si>
  <si>
    <t>Máquinas de serigrafía</t>
  </si>
  <si>
    <t>Ceniceros</t>
  </si>
  <si>
    <t>Tubería corta para campo petrolero</t>
  </si>
  <si>
    <t>Forjas de metales preciosos maquinadas por reducción</t>
  </si>
  <si>
    <t>Contendedores de granel intermedios flexibles</t>
  </si>
  <si>
    <t>Kits de conversión de maquinaria de construcción</t>
  </si>
  <si>
    <t>Varillas de hierro</t>
  </si>
  <si>
    <t>Guardería infantil</t>
  </si>
  <si>
    <t>Mesas o bufetes para el comedor</t>
  </si>
  <si>
    <t>Monitores de presión arterial para unidades de hemodiálisis</t>
  </si>
  <si>
    <t>Software de entrenamiento basado en computadores</t>
  </si>
  <si>
    <t>Baldes para salas de cirugía o accesorios o productos relacionados</t>
  </si>
  <si>
    <t>Terazosina</t>
  </si>
  <si>
    <t>Ensambles de láminas soldadas con soldadura fuerte o débil de acero inoxidable</t>
  </si>
  <si>
    <t>Bombas de aire</t>
  </si>
  <si>
    <t>Bobina de cinc</t>
  </si>
  <si>
    <t>Bandejas o boles para contar o clasificar para matemáticas tempranas</t>
  </si>
  <si>
    <t>51111904</t>
  </si>
  <si>
    <t>Contadores o reguladores de goteo intravenoso</t>
  </si>
  <si>
    <t>Alfileres para acolchados</t>
  </si>
  <si>
    <t>Extracción de los residuos de semilla de babool</t>
  </si>
  <si>
    <t>Terminados o ceras para pisos</t>
  </si>
  <si>
    <t>Sistemas de cría en fincas</t>
  </si>
  <si>
    <t>Esterilla o sábana para transferencia de pacientes</t>
  </si>
  <si>
    <t>Liquidaciones</t>
  </si>
  <si>
    <t>22101902</t>
  </si>
  <si>
    <t>Acetato de flecainida</t>
  </si>
  <si>
    <t>42294101</t>
  </si>
  <si>
    <t>Quemadores de gas</t>
  </si>
  <si>
    <t>Mineral de plata</t>
  </si>
  <si>
    <t>Estroncio sr</t>
  </si>
  <si>
    <t>compra de  embutidos para el INCART</t>
  </si>
  <si>
    <t>Módulos de comando de naves especiales</t>
  </si>
  <si>
    <t>Monitores de estado de líneas telefónicas</t>
  </si>
  <si>
    <t>Incubadoras de cámara única de tres gases recubierta de agua</t>
  </si>
  <si>
    <t>Filtros u otras partes de repuesto para muestreadores</t>
  </si>
  <si>
    <t>Mezclas químicas inorgánicas</t>
  </si>
  <si>
    <t>Rodamientos simples</t>
  </si>
  <si>
    <t>Propafenona</t>
  </si>
  <si>
    <t>Barras de cinc</t>
  </si>
  <si>
    <t>Calibradores o accesorios para uso odontológico</t>
  </si>
  <si>
    <t>Almohadillas para el oído o el parlante de los auriculares de teléfonos</t>
  </si>
  <si>
    <t>Recolectores de lodo</t>
  </si>
  <si>
    <t>Mezcladores de toque para laboratorio</t>
  </si>
  <si>
    <t>Máquinas para hacer té para uso doméstico</t>
  </si>
  <si>
    <t>El Higuerito</t>
  </si>
  <si>
    <t>Kits de químicos para procesar películas de rayos x de uso médico</t>
  </si>
  <si>
    <t>Rosina aceite de pino</t>
  </si>
  <si>
    <t>Equipos de filtración de gel</t>
  </si>
  <si>
    <t>Carretera de acceso</t>
  </si>
  <si>
    <t>39121108</t>
  </si>
  <si>
    <t>Materiales de enseñanza de  habilidades de estudio</t>
  </si>
  <si>
    <t>Software de música ambiental o publicidad para mensajería</t>
  </si>
  <si>
    <t>41103801</t>
  </si>
  <si>
    <t>Contrachapado</t>
  </si>
  <si>
    <t>Metro cuadrado</t>
  </si>
  <si>
    <t>Ensambles de barras atornilladas de aleación wasp</t>
  </si>
  <si>
    <t>Servicios de preselección  de hojas de vida o currículum vitae</t>
  </si>
  <si>
    <t>Accesorios para instrumentos de medición de presión de sangre</t>
  </si>
  <si>
    <t>Propionato de clobetasol</t>
  </si>
  <si>
    <t>Níquel ni</t>
  </si>
  <si>
    <t>Butobarbital</t>
  </si>
  <si>
    <t>Esculturas</t>
  </si>
  <si>
    <t>Centros asistenciales de urgencia</t>
  </si>
  <si>
    <t>Bauxitas sinterizadas</t>
  </si>
  <si>
    <t>Placa de zinc</t>
  </si>
  <si>
    <t>Servicios de siembra de cultivos</t>
  </si>
  <si>
    <t>Materiales para la enseñanza del arte del color en el diseño  de telas</t>
  </si>
  <si>
    <t>Ensambles estructurales atornillados de acero inoxidable</t>
  </si>
  <si>
    <t>Objetos maquinados de compuestos fundidos en molde de yeso</t>
  </si>
  <si>
    <t>Servicios de trituración secundaria, regeneración o revestimiento para herramientas de corte</t>
  </si>
  <si>
    <t>Sistemas de suspensión para camiones</t>
  </si>
  <si>
    <t>51142934</t>
  </si>
  <si>
    <t>Kits o enzimas para secuenciación</t>
  </si>
  <si>
    <t>COMPRA INSUMOS BAJO COMODATO</t>
  </si>
  <si>
    <t>Circuitos integrados de temporizador</t>
  </si>
  <si>
    <t>Montajes ópticos experimentales</t>
  </si>
  <si>
    <t>El Salado</t>
  </si>
  <si>
    <t>Émbolo del lavaplatos o inodoro</t>
  </si>
  <si>
    <t>27111801</t>
  </si>
  <si>
    <t>Componentes o accesorios de impresoras lectoras de micro fichas</t>
  </si>
  <si>
    <t>Servicios de mapas de burbujas del campo petrolero</t>
  </si>
  <si>
    <t>Magnetrones</t>
  </si>
  <si>
    <t>Servicios en la costa</t>
  </si>
  <si>
    <t>Encuestas para investigaciones de mercados en el lugar</t>
  </si>
  <si>
    <t>Ensambles de láminas soldadas con soldadura ultra violeta de acero inoxidable</t>
  </si>
  <si>
    <t>Barahona</t>
  </si>
  <si>
    <t>Ladrillos de cerámica</t>
  </si>
  <si>
    <t>Auto marcadores</t>
  </si>
  <si>
    <t>Placa de presión</t>
  </si>
  <si>
    <t>Máquinas perforadoras</t>
  </si>
  <si>
    <t>Fondaparinux sódico</t>
  </si>
  <si>
    <t>Abrazaderas de manguera o tubo</t>
  </si>
  <si>
    <t>Máquinas para clasificar papel</t>
  </si>
  <si>
    <t>Objetos fundidos maquinados por proceso v de acero</t>
  </si>
  <si>
    <t>Transmisiones automáticas</t>
  </si>
  <si>
    <t>Marcadores o estándares de ácido ribonucleico rna</t>
  </si>
  <si>
    <t>51141704</t>
  </si>
  <si>
    <t>Cubetas para hielo</t>
  </si>
  <si>
    <t>Paladio pd</t>
  </si>
  <si>
    <t>Luxómetros</t>
  </si>
  <si>
    <t>Herramientas sónicas del cable de recuperación</t>
  </si>
  <si>
    <t>Extractores de fibra cruda</t>
  </si>
  <si>
    <t>Objetos maquinados no metálicos fundidos a la cera perdida</t>
  </si>
  <si>
    <t xml:space="preserve">Bienes de fumigacion </t>
  </si>
  <si>
    <t>Kits de descompresión del colon</t>
  </si>
  <si>
    <t>Derecho tributario</t>
  </si>
  <si>
    <t>Ensambles de placas remachadas de acero al carbono</t>
  </si>
  <si>
    <t>Vigas de aleación no ferrosa</t>
  </si>
  <si>
    <t>Servicios de fabricación de cerámica o porcelana o loza de barro</t>
  </si>
  <si>
    <t>Amortiguadores para camiones</t>
  </si>
  <si>
    <t>Servicios de elaboración de productos cárnicos o derivados</t>
  </si>
  <si>
    <t>51142942</t>
  </si>
  <si>
    <t>Servicios internacionales de monitoreo de medicamentos</t>
  </si>
  <si>
    <t>Servicios de adquisición sísmica marina cuatro dimensional</t>
  </si>
  <si>
    <t>Objetos maquinados de bronce fundidos en molde en concha</t>
  </si>
  <si>
    <t>Sujetadores de aleta de mordida</t>
  </si>
  <si>
    <t>Bombas de circulación</t>
  </si>
  <si>
    <t>Mezcladores</t>
  </si>
  <si>
    <t>Componentes de aleación ferrosa formados por estiramiento</t>
  </si>
  <si>
    <t>26111702</t>
  </si>
  <si>
    <t>Asociaciones de contadores</t>
  </si>
  <si>
    <t>Servicios del rendimiento de la perforación del campo  petrolero</t>
  </si>
  <si>
    <t>Unidades bidimensionales de terapia de radiación de intensidad modulada de acelerador lineal imrt para uso médico</t>
  </si>
  <si>
    <t>Propionato de sodio</t>
  </si>
  <si>
    <t>Reactivos analizadores de inmunología</t>
  </si>
  <si>
    <t>Cinturones de manera de caminar para rehabilitación o terapia</t>
  </si>
  <si>
    <t>23153035</t>
  </si>
  <si>
    <t>Antiácidos de bicarbonato de sodio</t>
  </si>
  <si>
    <t>Tuercas de fiador</t>
  </si>
  <si>
    <t>Textiles de lana</t>
  </si>
  <si>
    <t>Kits de purificación de ácido nucleico etiquetado</t>
  </si>
  <si>
    <t>Paño filtrante</t>
  </si>
  <si>
    <t>Clorhidrato de midodrina</t>
  </si>
  <si>
    <t>Tratamiento o rehabilitación de suelos contaminados</t>
  </si>
  <si>
    <t>Rifampicina</t>
  </si>
  <si>
    <t>Componentes de aleación de níquel formados en torno</t>
  </si>
  <si>
    <t>Perfiles de caucho</t>
  </si>
  <si>
    <t>Barras espaciadoras del cable de recuperación</t>
  </si>
  <si>
    <t>Señaladores</t>
  </si>
  <si>
    <t>Probadores de superficie de electrodos para electrocardiografía ekg</t>
  </si>
  <si>
    <t>Artefactos para lámpara proyectada hacia abajo</t>
  </si>
  <si>
    <t>Tarros del cable de recuperación</t>
  </si>
  <si>
    <t>11111606</t>
  </si>
  <si>
    <t>Barandas para camas para uso médico o quirúrgico</t>
  </si>
  <si>
    <t>Rodaderos de piscina</t>
  </si>
  <si>
    <t>Seguro de deterioro de valores</t>
  </si>
  <si>
    <t>Circuitos de telecomunicaciones analógicas multipunto</t>
  </si>
  <si>
    <t>Fibras de seda</t>
  </si>
  <si>
    <t>Campanas de llamada</t>
  </si>
  <si>
    <t>Cortadora de paspartú</t>
  </si>
  <si>
    <t>Peinillas o utensilios para aplicación de pintura o tinta</t>
  </si>
  <si>
    <t>Objetos maquinados en molde permanente de cinc fundidos</t>
  </si>
  <si>
    <t>Libros de recursos de lectura</t>
  </si>
  <si>
    <t>Helicópteros de ataque</t>
  </si>
  <si>
    <t>Semillas o plántulas de curry</t>
  </si>
  <si>
    <t>Equipo de prueba de culminación</t>
  </si>
  <si>
    <t>Bolsas para equipos deportivos</t>
  </si>
  <si>
    <t>39121425</t>
  </si>
  <si>
    <t>Implantes cardiovasculares</t>
  </si>
  <si>
    <t>Ensambles de barras soldadas con soldadura ultra violeta de acero de aleación baja</t>
  </si>
  <si>
    <t>Anillos</t>
  </si>
  <si>
    <t>Servicios de administración o gestión de proyectos o programas urbanos</t>
  </si>
  <si>
    <t>Palos de hockey</t>
  </si>
  <si>
    <t>Accesorios para hacer facetas o pulir caras</t>
  </si>
  <si>
    <t>Tiamfenicol</t>
  </si>
  <si>
    <t>Reductores de tubo</t>
  </si>
  <si>
    <t>Tabletas o gotas de fluoruro</t>
  </si>
  <si>
    <t>Ensambles de tubos atornillados de latón</t>
  </si>
  <si>
    <t>Bolsas de carpa</t>
  </si>
  <si>
    <t>Bajos</t>
  </si>
  <si>
    <t>Hilado de seda</t>
  </si>
  <si>
    <t>Tratamiento o rehabilitación de la contaminación de las aguas subterráneas</t>
  </si>
  <si>
    <t>Incidentes fronterizos</t>
  </si>
  <si>
    <t>Manijas de guía de alambre para endoscopia</t>
  </si>
  <si>
    <t>Ensambles de tubería soldada de solvente de latón</t>
  </si>
  <si>
    <t>Zona de juegos infantiles</t>
  </si>
  <si>
    <t>44101602</t>
  </si>
  <si>
    <t>Sensores de fibra</t>
  </si>
  <si>
    <t>Gina</t>
  </si>
  <si>
    <t>Rotavirus</t>
  </si>
  <si>
    <t>Refugios</t>
  </si>
  <si>
    <t>43202204</t>
  </si>
  <si>
    <t>Sets de cardioplegia de perfusión</t>
  </si>
  <si>
    <t>Ensambles de placas soldadas con soldadura fuerte o débil de latón</t>
  </si>
  <si>
    <t>Equipos de fluorización</t>
  </si>
  <si>
    <t>Objetos fundidos maquinados por proceso v de compuestos</t>
  </si>
  <si>
    <t>Papel crepé para manualidades</t>
  </si>
  <si>
    <t>Papel membreteado</t>
  </si>
  <si>
    <t>Capacitación administrativa</t>
  </si>
  <si>
    <t>Servicios de multiplicación de semillas</t>
  </si>
  <si>
    <t>Ensambles de láminas soldadas con soldadura fuerte o débil de latón</t>
  </si>
  <si>
    <t>Servicios de asesoría  fiscal</t>
  </si>
  <si>
    <t>Resinas de polipropileno</t>
  </si>
  <si>
    <t>Porterías</t>
  </si>
  <si>
    <t>Crisoles de fundición</t>
  </si>
  <si>
    <t>Ensambles de láminas remachadas de aleación wasp</t>
  </si>
  <si>
    <t>Sujeta libros</t>
  </si>
  <si>
    <t>Venta de edificio comercial</t>
  </si>
  <si>
    <t>Servicios para la  prevención de incendios</t>
  </si>
  <si>
    <t>Maquinas de vueltas de campo de petróleo</t>
  </si>
  <si>
    <t>Ignición</t>
  </si>
  <si>
    <t>Excavadoras de orugas</t>
  </si>
  <si>
    <t>Diclofenaco potásico</t>
  </si>
  <si>
    <t>Homogeneizadores dobles</t>
  </si>
  <si>
    <t>50101538</t>
  </si>
  <si>
    <t>Hilo post mortem</t>
  </si>
  <si>
    <t>Soluciones reguladoras ácidas</t>
  </si>
  <si>
    <t>Altoparlantes</t>
  </si>
  <si>
    <t>Varillas de titanio</t>
  </si>
  <si>
    <t>Tubos de recolección o contenedores de sangre no al vacío</t>
  </si>
  <si>
    <t>Ganchos de suspensión</t>
  </si>
  <si>
    <t>Kits de enfermedades infecciosas para autopsias</t>
  </si>
  <si>
    <t>Accesorios borrador para arte</t>
  </si>
  <si>
    <t>Camas</t>
  </si>
  <si>
    <t>Accesorios para espejos de examen de oído nariz garganta ent</t>
  </si>
  <si>
    <t>Metano</t>
  </si>
  <si>
    <t>Gabinetes para almacenamiento de herramientas de educación técnico o gabinetes con herramientas</t>
  </si>
  <si>
    <t>Probadores de redes digitales de servicios integrados isdn</t>
  </si>
  <si>
    <t>Objetos de estaño fundidos en molde fijo</t>
  </si>
  <si>
    <t>Barras de fracciones</t>
  </si>
  <si>
    <t>Objetos de plomo fundidos en molde cerámico</t>
  </si>
  <si>
    <t>Tribunales militares</t>
  </si>
  <si>
    <t>Módulo de relés múltiples o de placa de relés</t>
  </si>
  <si>
    <t>PARA USO HOSPITALIZACION Y URGENCIA</t>
  </si>
  <si>
    <t>Cabeza de Toro</t>
  </si>
  <si>
    <t>Materiales de enseñanza de comprensión de la violación en una cita o las habilidades para salir en cita o el acoso</t>
  </si>
  <si>
    <t>Tiza</t>
  </si>
  <si>
    <t>Jeringas de recolección de sangre</t>
  </si>
  <si>
    <t>Hidrocloruro de carteolol</t>
  </si>
  <si>
    <t>Tubería de superficie de pruebas de pozo</t>
  </si>
  <si>
    <t>Ingeniería de pozos</t>
  </si>
  <si>
    <t>Equipo para preparar micro muestras</t>
  </si>
  <si>
    <t>Tostadoras sinfín para uso comercial</t>
  </si>
  <si>
    <t>Pistolas o cintas o esferos etiquetadores de esterilización</t>
  </si>
  <si>
    <t>Repuestos o accesorios de sistema de exploración o desarrollo</t>
  </si>
  <si>
    <t>Servicios de fabricación de maquinaria o equipo para fábricas de cemento</t>
  </si>
  <si>
    <t>Anclajes de cuña</t>
  </si>
  <si>
    <t>INSUMOS CIRUGIA GENERAL 3</t>
  </si>
  <si>
    <t>Alambres o espirales de encuadernación</t>
  </si>
  <si>
    <t>Postales de comunicación del profesor</t>
  </si>
  <si>
    <t>Forjas de berilio maquinadas con troquel cerrado</t>
  </si>
  <si>
    <t>Barras de acero inoxidable</t>
  </si>
  <si>
    <t>Señalización fluorescente de emplazamientos peligrosos</t>
  </si>
  <si>
    <t>Celdas de carga</t>
  </si>
  <si>
    <t>Dispositivos de telecomunicación tdd o teletipos tty para los discapacitados físicamente</t>
  </si>
  <si>
    <t>Limpieza de campanas o ventiladores extractores de humo</t>
  </si>
  <si>
    <t>Parrillas de vehículos</t>
  </si>
  <si>
    <t>Música de fondo</t>
  </si>
  <si>
    <t>Servicios de achique de pozos</t>
  </si>
  <si>
    <t>Fenoles o sus sustitutos y derivados</t>
  </si>
  <si>
    <t>Cuchillos eléctricos para uso doméstico</t>
  </si>
  <si>
    <t>Metronidazol</t>
  </si>
  <si>
    <t>42295427</t>
  </si>
  <si>
    <t>Espejos metálicos</t>
  </si>
  <si>
    <t>Válvulas con pistón no lubricado</t>
  </si>
  <si>
    <t>Deshidratadores de vacío</t>
  </si>
  <si>
    <t>Ensalada fresca de repisa</t>
  </si>
  <si>
    <t>Redes de resistores</t>
  </si>
  <si>
    <t>Pantoja</t>
  </si>
  <si>
    <t>Servicios de arado</t>
  </si>
  <si>
    <t>Aditivos de pérdida de fluido de polímeros naturales</t>
  </si>
  <si>
    <t>Ácido desoxirribonucleico adn genómico purificado</t>
  </si>
  <si>
    <t>Descansos para las muñecas</t>
  </si>
  <si>
    <t>42291609</t>
  </si>
  <si>
    <t>Dispositivos de cuerpo entero para deslizarse o voltearse</t>
  </si>
  <si>
    <t>Aldehídos o sus sustitutos</t>
  </si>
  <si>
    <t>Rotuladores</t>
  </si>
  <si>
    <t>Tijeras</t>
  </si>
  <si>
    <t>Salmueras divalentes</t>
  </si>
  <si>
    <t>Caballos</t>
  </si>
  <si>
    <t>Papel libretas o libros de mensajes telefónicos</t>
  </si>
  <si>
    <t>Tuercas hexagonales</t>
  </si>
  <si>
    <t>Escritorios</t>
  </si>
  <si>
    <t>Servicios para defensa o de derecho penal</t>
  </si>
  <si>
    <t>Servicios de recuperación permanente de tuberías magnéticas</t>
  </si>
  <si>
    <t>Micrófonos</t>
  </si>
  <si>
    <t>Congeladores para bancos de sangre</t>
  </si>
  <si>
    <t>Electrococleógrafos</t>
  </si>
  <si>
    <t>Ollas para servicio de comidas</t>
  </si>
  <si>
    <t>Bombas de infusión controlada de analgésicos para pacientes</t>
  </si>
  <si>
    <t>Núcleo de panal de metales preciosos</t>
  </si>
  <si>
    <t>Ticarcilina</t>
  </si>
  <si>
    <t>Disectores de tejido para periodoncia</t>
  </si>
  <si>
    <t>INSUMOS LABORATORIO CLINICO 3</t>
  </si>
  <si>
    <t>Centralizadores</t>
  </si>
  <si>
    <t>Memoria rdram (rambus)</t>
  </si>
  <si>
    <t>Ensambles de láminas remachadas de cobre</t>
  </si>
  <si>
    <t>PLANIFICACION (PLAN ESTRATEGICO INSTITUCIONAL)</t>
  </si>
  <si>
    <t>Bombas de preparación de muestras</t>
  </si>
  <si>
    <t>Máquinas de limpieza o acabado de juntas</t>
  </si>
  <si>
    <t>Movimientos estudiantiles</t>
  </si>
  <si>
    <t>Lámparas de mesa</t>
  </si>
  <si>
    <t>Platos o frascos para tintura para laboratorio</t>
  </si>
  <si>
    <t>Servicios de  mantenimiento o administración de canales</t>
  </si>
  <si>
    <t>Placas de pared</t>
  </si>
  <si>
    <t>Quemadores (fogones)</t>
  </si>
  <si>
    <t>Servicios de campañas publicitarias</t>
  </si>
  <si>
    <t>Servicios de revestimientos de muros</t>
  </si>
  <si>
    <t>Adhesivos líquidos para vendajes o compresas</t>
  </si>
  <si>
    <t>Hidrocloruro de sertralina</t>
  </si>
  <si>
    <t>Elementos de sujeción de fotos para microscopios</t>
  </si>
  <si>
    <t>Pasta o fideos de repisa</t>
  </si>
  <si>
    <t>Preespolvoreadora</t>
  </si>
  <si>
    <t>Máquinas lavadoras o secadoras combinadas tipo lavandería</t>
  </si>
  <si>
    <t>Acueductos</t>
  </si>
  <si>
    <t>Tornamesas</t>
  </si>
  <si>
    <t>Núcleo de panal de latón</t>
  </si>
  <si>
    <t>Servicios de hojalatería</t>
  </si>
  <si>
    <t>Achicadores mecánicos de cable de recuperación</t>
  </si>
  <si>
    <t>Ácidos inorgánicos</t>
  </si>
  <si>
    <t>Sala de patología</t>
  </si>
  <si>
    <t>Ollas para cocinar pasta para uso comercial</t>
  </si>
  <si>
    <t>Chapa de plástico</t>
  </si>
  <si>
    <t>Ensambles estructurales con soldadura de fuerte o débil de titanio</t>
  </si>
  <si>
    <t>Sets de examen físico para cirujanos de vuelo</t>
  </si>
  <si>
    <t>Tereftalato de polietileno o glicol modificado</t>
  </si>
  <si>
    <t>Viaducto para carretera</t>
  </si>
  <si>
    <t>Modelos con formas de números o accesorios</t>
  </si>
  <si>
    <t>Portaengranajes</t>
  </si>
  <si>
    <t>Ropa de protección contra materiales peligrosos</t>
  </si>
  <si>
    <t>Objetos fundidos maquinados con troquel de acero inoxidable</t>
  </si>
  <si>
    <t>Transportes integrados de carga</t>
  </si>
  <si>
    <t>Mezcladoras de lodo</t>
  </si>
  <si>
    <t>Álbumes de recuerdos</t>
  </si>
  <si>
    <t>Luces de curación o accesorios para odontología estética</t>
  </si>
  <si>
    <t>Cables blindados</t>
  </si>
  <si>
    <t>Fondos de pensiones administrados por sindicatos o gremios</t>
  </si>
  <si>
    <t>Equipo básico móvil in</t>
  </si>
  <si>
    <t>Acollador de auto retracción</t>
  </si>
  <si>
    <t>Servicios de monitoreo de la torre de perforación del pozo</t>
  </si>
  <si>
    <t>Herramientas de medición de desempeño de perforación</t>
  </si>
  <si>
    <t>Manejo de suelos inundables</t>
  </si>
  <si>
    <t>Sensores de opacidad o polvo o visibilidad</t>
  </si>
  <si>
    <t>Gabinetes de tratamiento para uso médico</t>
  </si>
  <si>
    <t>Servicios de investigación epidemiológica</t>
  </si>
  <si>
    <t>Cercado de metal</t>
  </si>
  <si>
    <t>Bolsas para correo</t>
  </si>
  <si>
    <t>Forjas de zinc maquinadas con troquel cerrado</t>
  </si>
  <si>
    <t>Kits de análisis del consumidor</t>
  </si>
  <si>
    <t>Acero e24-2 o a37-2</t>
  </si>
  <si>
    <t>Ensambles de placas soldadas con soldadura fuerte o débil de cobre</t>
  </si>
  <si>
    <t>San José del Puerto</t>
  </si>
  <si>
    <t>Clorhidrato de ticlopidina</t>
  </si>
  <si>
    <t>Servicios de diseño del servicio de fracturación del pozo</t>
  </si>
  <si>
    <t>Residuo de germen de maíz</t>
  </si>
  <si>
    <t>Componentes de berilio formados por estiramiento por presión</t>
  </si>
  <si>
    <t>Misiles superficie a superficie</t>
  </si>
  <si>
    <t>Ganchos de tablero</t>
  </si>
  <si>
    <t>Aditivos de pérdida de fluido de polímeros modificados</t>
  </si>
  <si>
    <t>Esterillas de descanso para niños</t>
  </si>
  <si>
    <t>Lanchas de recreo a remo</t>
  </si>
  <si>
    <t>Papel mimeógrafo</t>
  </si>
  <si>
    <t>Biperideno</t>
  </si>
  <si>
    <t>Pseudoefedrina</t>
  </si>
  <si>
    <t>Clorhidrato de benazepril</t>
  </si>
  <si>
    <t>Escuelas públicas de educación primaria o secundaria</t>
  </si>
  <si>
    <t>Molduras de cinc</t>
  </si>
  <si>
    <t>Juntas de interferencia electromagnética (IEM)</t>
  </si>
  <si>
    <t>Acero perforado</t>
  </si>
  <si>
    <t>Objetos de metal precioso fundidos en molde de grafito</t>
  </si>
  <si>
    <t>Stanozolol</t>
  </si>
  <si>
    <t>Hidrocloruro de hidromorfona</t>
  </si>
  <si>
    <t>Componentes de metal precioso perforados</t>
  </si>
  <si>
    <t>viveres para usarse en el INCART</t>
  </si>
  <si>
    <t>Sala de cateterismo</t>
  </si>
  <si>
    <t>Zaleplon</t>
  </si>
  <si>
    <t>10151701</t>
  </si>
  <si>
    <t>Dimeticona</t>
  </si>
  <si>
    <t>Recipientes para emesis (vómito)</t>
  </si>
  <si>
    <t>Epirubicina hidrocloruro</t>
  </si>
  <si>
    <t>Equipo de examen de corriente parásita</t>
  </si>
  <si>
    <t>Juegos de mesa</t>
  </si>
  <si>
    <t>Placas frontales de teléfonos</t>
  </si>
  <si>
    <t>Sets o accesorios de equipos eléctricos para uso quirúrgico</t>
  </si>
  <si>
    <t>Tubería de cinc</t>
  </si>
  <si>
    <t>Cierres o tapas para tubos de ensayo</t>
  </si>
  <si>
    <t>Tiras de prueba de desinfección</t>
  </si>
  <si>
    <t>Compuestos anti – adherentes o anti – manchas</t>
  </si>
  <si>
    <t>Objetos maquinados de hierro fundidos en molde de yeso</t>
  </si>
  <si>
    <t>Vigilancia o mantenimiento o monitoreo de alarmas</t>
  </si>
  <si>
    <t>Arandelas aislantes eléctricas</t>
  </si>
  <si>
    <t>Equipos de purificación de agua</t>
  </si>
  <si>
    <t>Recubrimientos de bandejas de instrumentos de esterilización</t>
  </si>
  <si>
    <t>Pequeñas bolsas de papel de sales absorbentes húmedas</t>
  </si>
  <si>
    <t>Servicios de fabricación de instrumentos científicos o equipos de medición</t>
  </si>
  <si>
    <t>Servicios de producción de papel o cartón</t>
  </si>
  <si>
    <t>Ecualizadores</t>
  </si>
  <si>
    <t>Servicios de limpieza de cultivos</t>
  </si>
  <si>
    <t>Maleato de carbinoxamina</t>
  </si>
  <si>
    <t>Equipo de entomología para clavar especímenes</t>
  </si>
  <si>
    <t>Objetos de estaño fundidos en molde de grafito</t>
  </si>
  <si>
    <t>Alto parlantes para telecomunicaciones</t>
  </si>
  <si>
    <t>Cajas de interruptores de computador</t>
  </si>
  <si>
    <t>Conmutadores de pedal</t>
  </si>
  <si>
    <t>Semillas o plántulas de endivias</t>
  </si>
  <si>
    <t>Compuertas de ventilación</t>
  </si>
  <si>
    <t>Transporte aéreo a carretera (por camión)</t>
  </si>
  <si>
    <t>Componentes de estaño formados por estiramiento por presión</t>
  </si>
  <si>
    <t>49201610</t>
  </si>
  <si>
    <t>Cartón</t>
  </si>
  <si>
    <t>Ensambles de tubos soldados con disolvente de acero al carbono</t>
  </si>
  <si>
    <t>Termómetros de resistencia</t>
  </si>
  <si>
    <t>Casquillos de extracción</t>
  </si>
  <si>
    <t>Interruptores de volquete</t>
  </si>
  <si>
    <t>Forradores de bandeja de pintura</t>
  </si>
  <si>
    <t>Mármol</t>
  </si>
  <si>
    <t>Objetos de cobre fundidos por proceso en v</t>
  </si>
  <si>
    <t>Almohadillas absorbentes</t>
  </si>
  <si>
    <t>Compra de abarrotes y otros alimentos</t>
  </si>
  <si>
    <t>Puertos o líneas de muestreo de gas para ventiladores</t>
  </si>
  <si>
    <t>Organizadores o álbumes para fotos</t>
  </si>
  <si>
    <t>Cernedor para uso doméstico</t>
  </si>
  <si>
    <t>Propiltiouracilo</t>
  </si>
  <si>
    <t>Ensambles de tubería remachada de cobre</t>
  </si>
  <si>
    <t>SNCC.F.069</t>
  </si>
  <si>
    <t>Equipo de camping para los discapacitados físicamente</t>
  </si>
  <si>
    <t>Componentes de acero inoxidable maquinados por extrusión de impacto</t>
  </si>
  <si>
    <t>Clorhidrato de acetato de levometadil</t>
  </si>
  <si>
    <t>Avión jet de carga</t>
  </si>
  <si>
    <t>Planeadores</t>
  </si>
  <si>
    <t>Copiadora de películas de filminas</t>
  </si>
  <si>
    <t>51121718</t>
  </si>
  <si>
    <t>Adaptador de cabeza de tubería</t>
  </si>
  <si>
    <t>Servicios de impresión industrial de transferencia térmica</t>
  </si>
  <si>
    <t>Medias absorbentes</t>
  </si>
  <si>
    <t>Máquinas para hacer cubos de hielo</t>
  </si>
  <si>
    <t>Rompetuercas</t>
  </si>
  <si>
    <t>Derecho de reclamación por tratamiento médico.</t>
  </si>
  <si>
    <t>Cobijas o cortinas de calentamiento o enfriamiento terapéutico</t>
  </si>
  <si>
    <t>Magnesio</t>
  </si>
  <si>
    <t>Servicios de inversión rural</t>
  </si>
  <si>
    <t>Ensambles de láminas remachadas de aluminio</t>
  </si>
  <si>
    <t>Cortinas de cirugía</t>
  </si>
  <si>
    <t>Chutes de arrastre</t>
  </si>
  <si>
    <t>Escalas para uso comercial</t>
  </si>
  <si>
    <t>Cajas de almacenamiento criogénicas</t>
  </si>
  <si>
    <t>Motores hidroeléctricos</t>
  </si>
  <si>
    <t>Alfabetos táctiles</t>
  </si>
  <si>
    <t>Tableros de cartas o accesorios</t>
  </si>
  <si>
    <t>Partes o kits o accesorios para aparatos de rayos x para uso odontológico</t>
  </si>
  <si>
    <t>Pedro Santana</t>
  </si>
  <si>
    <t>Esposas</t>
  </si>
  <si>
    <t>Servicios de telemetría electromagnética durante la perforación</t>
  </si>
  <si>
    <t>Ayuda no gubernamental</t>
  </si>
  <si>
    <t>Servicios de fracturación mediante tubería flexible contínua</t>
  </si>
  <si>
    <t>Componentes de bronce maquinados por extrusión de impacto</t>
  </si>
  <si>
    <t>Acoplamientos mecánicos</t>
  </si>
  <si>
    <t>Servicios de estándares de calidad o aditivos alimentarios</t>
  </si>
  <si>
    <t>Servicios de herrería</t>
  </si>
  <si>
    <t>Lavado de preparación o soluciones de pintura para uso quirúrgico</t>
  </si>
  <si>
    <t>Tubos para administración o transfusión de sangre</t>
  </si>
  <si>
    <t>51171909</t>
  </si>
  <si>
    <t>Recursos de historia de la mujer</t>
  </si>
  <si>
    <t>Dispositivos de posicionamiento de los pacientes para salas de cirugía o accesorios</t>
  </si>
  <si>
    <t>Engranajes piñón</t>
  </si>
  <si>
    <t>Bombas de seno o sus accesorios</t>
  </si>
  <si>
    <t>Barras de seguridad</t>
  </si>
  <si>
    <t>Drenajes de incisión para uso médico</t>
  </si>
  <si>
    <t>Bombas de infusión intravenosa multicanal</t>
  </si>
  <si>
    <t>Servicios de fracturación del pozo con fluido a base de emulsión</t>
  </si>
  <si>
    <t>Fuentes de ondas</t>
  </si>
  <si>
    <t>Máquinas de hacer tabletas</t>
  </si>
  <si>
    <t>Cámaras anecóicas</t>
  </si>
  <si>
    <t>Telemercadeo</t>
  </si>
  <si>
    <t>Servicios de tratamiento de derramamiento  de petróleo</t>
  </si>
  <si>
    <t>Receptores de satélite</t>
  </si>
  <si>
    <t>41112509</t>
  </si>
  <si>
    <t>Ensambles de placas remachadas de aluminio</t>
  </si>
  <si>
    <t>YD2</t>
  </si>
  <si>
    <t>Armazones</t>
  </si>
  <si>
    <t>Cepillos de pelo o peinillas para los discapacitados físicamente</t>
  </si>
  <si>
    <t>51211615</t>
  </si>
  <si>
    <t>Tazas de preparación para uso quirúrgico</t>
  </si>
  <si>
    <t>Bloques sintéticos para impresión</t>
  </si>
  <si>
    <t>Sillas para ejecutivos</t>
  </si>
  <si>
    <t>Sulfato de guanadrel</t>
  </si>
  <si>
    <t>Latón en barra labrada</t>
  </si>
  <si>
    <t>Pesas de estado físico</t>
  </si>
  <si>
    <t>Clorhidrato de moricizina</t>
  </si>
  <si>
    <t>11151511</t>
  </si>
  <si>
    <t>Cunas</t>
  </si>
  <si>
    <t>Instrumentos de medición de perforación</t>
  </si>
  <si>
    <t>Discos pulidores o de terminado para uso odontológico</t>
  </si>
  <si>
    <t>48101915</t>
  </si>
  <si>
    <t>Servicios de elaboración de hilo</t>
  </si>
  <si>
    <t>42271802</t>
  </si>
  <si>
    <t>Cuchillos de gingivectomía</t>
  </si>
  <si>
    <t>Kits o suministros para parasitología o micología</t>
  </si>
  <si>
    <t>Benzoato de rizatriptán</t>
  </si>
  <si>
    <t>Obleas para ostomía</t>
  </si>
  <si>
    <t>Inclinadores</t>
  </si>
  <si>
    <t>San Felipe de Puerto Plata</t>
  </si>
  <si>
    <t>Horquilla de jardín</t>
  </si>
  <si>
    <t>Fracción de proteína de plasma humano</t>
  </si>
  <si>
    <t>Analizadores de acceso aleatorio</t>
  </si>
  <si>
    <t>Kits de fracturas para servicios médicos de emergencia</t>
  </si>
  <si>
    <t>Secantes de pintura</t>
  </si>
  <si>
    <t>Servicios de prescripción del derecho internacional</t>
  </si>
  <si>
    <t>Kits de cuidado de la piel para catéter arterial o intravenoso</t>
  </si>
  <si>
    <t>Onza</t>
  </si>
  <si>
    <t>Terrarios</t>
  </si>
  <si>
    <t>Comida para cerdos</t>
  </si>
  <si>
    <t>Tablas para mover pacientes o sus accesorios</t>
  </si>
  <si>
    <t>Aplicadores de lociones para los discapacitados físicamente</t>
  </si>
  <si>
    <t>Troqueles rotativos</t>
  </si>
  <si>
    <t>Alfombras trenzadas</t>
  </si>
  <si>
    <t>Estrógenos conjugados</t>
  </si>
  <si>
    <t>Clubes para la tercera edad</t>
  </si>
  <si>
    <t>Equipos y componentes de red de acceso inalámbrica gsm 2g</t>
  </si>
  <si>
    <t>Reuniones y eventos</t>
  </si>
  <si>
    <t>Válvulas de bombeo</t>
  </si>
  <si>
    <t>Prensas de impresión para huecograbado o litografía</t>
  </si>
  <si>
    <t>Servicio de colocación</t>
  </si>
  <si>
    <t>Máquinas para procesar seda</t>
  </si>
  <si>
    <t>Manuales de laboratorio</t>
  </si>
  <si>
    <t>Utensilios de Cocina 4</t>
  </si>
  <si>
    <t>Controles de temperatura criogénicos</t>
  </si>
  <si>
    <t>Servicios de protección de minorías</t>
  </si>
  <si>
    <t>Medio discoide dictiostelium</t>
  </si>
  <si>
    <t>Accesorios o suministros para analizadores de secuencia desoxirribonucleica</t>
  </si>
  <si>
    <t>José Fco. Peña Gómez</t>
  </si>
  <si>
    <t>Servicios de procesos de combinación de metales básicos</t>
  </si>
  <si>
    <t>Puntales</t>
  </si>
  <si>
    <t>Esterilizadores de aire seco o de aire caliente</t>
  </si>
  <si>
    <t>Ataduras de torsión</t>
  </si>
  <si>
    <t>Cargadores de orugas</t>
  </si>
  <si>
    <t>Reflectómetros</t>
  </si>
  <si>
    <t>Exprimidores de jugo para uso doméstico</t>
  </si>
  <si>
    <t>Equipo de extracción para laboratorios</t>
  </si>
  <si>
    <t>Amplificadores ópticos</t>
  </si>
  <si>
    <t>Forjas compuestas maquinadas con impresión por troquel</t>
  </si>
  <si>
    <t>Materiales de aprendizaje electrónico de ciencias sociales</t>
  </si>
  <si>
    <t>Plataformas flotantes de producción costa afuera</t>
  </si>
  <si>
    <t>Vestidos o faldas o saris o kimonos para para mujer</t>
  </si>
  <si>
    <t>20122506</t>
  </si>
  <si>
    <t>Bandejas o cubetas para instrumentos dentales</t>
  </si>
  <si>
    <t>Montaje de exposición de artículos</t>
  </si>
  <si>
    <t>Sets de candados</t>
  </si>
  <si>
    <t>Maquinaria para cocinar</t>
  </si>
  <si>
    <t>Módulo de fibra de compensación de dispersión dcfm</t>
  </si>
  <si>
    <t>Sulfato de isoproterenol</t>
  </si>
  <si>
    <t>Blindajes de plomo</t>
  </si>
  <si>
    <t>Fundas o manijas para luces de uso quirúrgico</t>
  </si>
  <si>
    <t>Circuladores</t>
  </si>
  <si>
    <t>Capacitación en iniciativas estratégicas en los concesionarios</t>
  </si>
  <si>
    <t>Trampas de yeso de laboratorio dental</t>
  </si>
  <si>
    <t>Exploración geofísica</t>
  </si>
  <si>
    <t>Kits de oxígeno o resucitación para servicios médicos de emergencia</t>
  </si>
  <si>
    <t>Cremas o lociones para farmacéuticas</t>
  </si>
  <si>
    <t>Pantallas de agua móviles</t>
  </si>
  <si>
    <t>Disectores para uso quirúrgico</t>
  </si>
  <si>
    <t>Clorhidrato de oximetazolina</t>
  </si>
  <si>
    <t>Piperacilina</t>
  </si>
  <si>
    <t>Software de barras de códigos</t>
  </si>
  <si>
    <t>Protectores o cubiertas de puntas de endoscopios</t>
  </si>
  <si>
    <t>Tela de camuflaje</t>
  </si>
  <si>
    <t>55121727</t>
  </si>
  <si>
    <t>Servicios de estudios de muestras de población</t>
  </si>
  <si>
    <t>Protectores de líneas telefónicas</t>
  </si>
  <si>
    <t>Servicios de bombeo del campo petrolero con co2</t>
  </si>
  <si>
    <t>Tamices</t>
  </si>
  <si>
    <t>Esterillas de mesa de trabajo antiestáticas</t>
  </si>
  <si>
    <t>Buques petroleros de escuadra</t>
  </si>
  <si>
    <t>Proyecciones económicas</t>
  </si>
  <si>
    <t>Pelotas de beisbol</t>
  </si>
  <si>
    <t>Intercambiadores de enfriado</t>
  </si>
  <si>
    <t>Ensambles de tubería pegada de titanio</t>
  </si>
  <si>
    <t>Cable de kaptan</t>
  </si>
  <si>
    <t>Taladro de perforación marina movido con gatos</t>
  </si>
  <si>
    <t>53131622</t>
  </si>
  <si>
    <t>Objetos de aluminio fundidos en molde cerámico</t>
  </si>
  <si>
    <t>Formatos o libros de inventarios</t>
  </si>
  <si>
    <t>Férula</t>
  </si>
  <si>
    <t>31162108</t>
  </si>
  <si>
    <t>Máquina de moldeado continuo</t>
  </si>
  <si>
    <t>73181010</t>
  </si>
  <si>
    <t>Acetato de goserelina</t>
  </si>
  <si>
    <t>Dobladores de avión</t>
  </si>
  <si>
    <t>Butiral polivinilo</t>
  </si>
  <si>
    <t>Canca la Piedra</t>
  </si>
  <si>
    <t>Acuerdos comerciales bilaterales</t>
  </si>
  <si>
    <t>Kits de expresión de levadura</t>
  </si>
  <si>
    <t>Ensambles de tubería pegada de aleación wasp</t>
  </si>
  <si>
    <t>Aparatos respiratorios auto contenidos que suministran aire para respirar o accesorios</t>
  </si>
  <si>
    <t>Recursos de genealogía</t>
  </si>
  <si>
    <t>Modelos de accidentes geográficos</t>
  </si>
  <si>
    <t xml:space="preserve">equipos de seguridad para el 2019 </t>
  </si>
  <si>
    <t>Servicios de fabricación de maquinaria o equipos para productos químicos o farmacéuticos</t>
  </si>
  <si>
    <t>Bridas de techo</t>
  </si>
  <si>
    <t>Servicios de laboratorios de análisis de sangre</t>
  </si>
  <si>
    <t>Lógica de matriz de puertas (gal)</t>
  </si>
  <si>
    <t>Protector de carpetas</t>
  </si>
  <si>
    <t>Avión de hélice comercial de pasajeros</t>
  </si>
  <si>
    <t>Desogestrel y etinilestradiol</t>
  </si>
  <si>
    <t>Aparato de lanzamiento</t>
  </si>
  <si>
    <t>Sandalias para hombre</t>
  </si>
  <si>
    <t>Sillas altas (taburetes)</t>
  </si>
  <si>
    <t>Dispensadores de tazas</t>
  </si>
  <si>
    <t>OZAMA O METROPOLITANA</t>
  </si>
  <si>
    <t>Mesas móviles para bancos</t>
  </si>
  <si>
    <t>Partes de repuesto para bombas centrífugas</t>
  </si>
  <si>
    <t>Diamantes</t>
  </si>
  <si>
    <t>Llaves de tubo</t>
  </si>
  <si>
    <t>Gilsonita</t>
  </si>
  <si>
    <t>Paja</t>
  </si>
  <si>
    <t>Tofisopam</t>
  </si>
  <si>
    <t>Tintes de laboratorio dental</t>
  </si>
  <si>
    <t>Reflectores de radar</t>
  </si>
  <si>
    <t>Software de soporte de aviación en tierra</t>
  </si>
  <si>
    <t>Tejidos de lana de ligamento de sarga</t>
  </si>
  <si>
    <t>Remaches ciegos</t>
  </si>
  <si>
    <t>Sindicatos de profesores</t>
  </si>
  <si>
    <t>Cinta de nylon</t>
  </si>
  <si>
    <t>Caja</t>
  </si>
  <si>
    <t>Forjas de titanio maquinadas con impresión por troquel</t>
  </si>
  <si>
    <t>Accesorios para esculturas</t>
  </si>
  <si>
    <t>Aparatos de movimiento rectilíneo</t>
  </si>
  <si>
    <t>42131601</t>
  </si>
  <si>
    <t>Servicios de medición del flujo del pozo</t>
  </si>
  <si>
    <t>Gomas</t>
  </si>
  <si>
    <t>41104014</t>
  </si>
  <si>
    <t>Semillas o plántulas de chiles</t>
  </si>
  <si>
    <t>Lavador de jaulas</t>
  </si>
  <si>
    <t>Metalistería de arquitectura</t>
  </si>
  <si>
    <t>Máquinas de lavado o para sacar el agua</t>
  </si>
  <si>
    <t>Guías de referencia del gobierno</t>
  </si>
  <si>
    <t>Tableros de borrado en seco o accesorios</t>
  </si>
  <si>
    <t>Termómetros de superficie</t>
  </si>
  <si>
    <t>Placa de magnesio</t>
  </si>
  <si>
    <t>Furoato de diloxanida</t>
  </si>
  <si>
    <t>Eventos competitivos</t>
  </si>
  <si>
    <t>Habitación doble</t>
  </si>
  <si>
    <t>Hidrocloruro de labetalol</t>
  </si>
  <si>
    <t>Caucho bloque o borona</t>
  </si>
  <si>
    <t>46171602</t>
  </si>
  <si>
    <t>USO PACIENTES Y MEDICOS</t>
  </si>
  <si>
    <t>Dextrometorfano polistirex</t>
  </si>
  <si>
    <t>Objetos maquinados de magnesio fundidos en molde cerámico</t>
  </si>
  <si>
    <t>Objetos de metal precioso fundidos a la cera perdida</t>
  </si>
  <si>
    <t>Servicios de enseñanza a distancia</t>
  </si>
  <si>
    <t>Compra de bienes de escritorio para el INCART</t>
  </si>
  <si>
    <t>Cordón de llanta</t>
  </si>
  <si>
    <t>Cromatógrafos de capa delgada</t>
  </si>
  <si>
    <t>Conductos o red de conductos de zinc</t>
  </si>
  <si>
    <t>Ensambles de tubos soldados con soldadura ultra violeta no metálica</t>
  </si>
  <si>
    <t>Inyectores o accesorios de agentes de contraste para imágenes para uso médico</t>
  </si>
  <si>
    <t>Estantes o soportes para productos abrasivos de uso odontológico</t>
  </si>
  <si>
    <t>Ordeñadoras</t>
  </si>
  <si>
    <t>Discos para bombas</t>
  </si>
  <si>
    <t>Miconazol</t>
  </si>
  <si>
    <t>Auriculares de teléfonos</t>
  </si>
  <si>
    <t>Control de roedores</t>
  </si>
  <si>
    <t>Servicios de terminación del pozo de elevación de gas</t>
  </si>
  <si>
    <t>42251804</t>
  </si>
  <si>
    <t>Puerto Viejo</t>
  </si>
  <si>
    <t>Sets para manicure</t>
  </si>
  <si>
    <t>Baños secos o bloques calentadores</t>
  </si>
  <si>
    <t>Lágrimas artificiales</t>
  </si>
  <si>
    <t>Barras de cobre</t>
  </si>
  <si>
    <t>Claraboyas fijas</t>
  </si>
  <si>
    <t>Estuches para cánulas de succión para uso médico</t>
  </si>
  <si>
    <t>MEDICAMENTOS ANESTESICO 1</t>
  </si>
  <si>
    <t>Troncos</t>
  </si>
  <si>
    <t>Transistores uniempalme</t>
  </si>
  <si>
    <t>Medidores kvp</t>
  </si>
  <si>
    <t>Objetos maquinados de aleación ferrosa fundidos a la cera perdida</t>
  </si>
  <si>
    <t>Estufas de calefacción</t>
  </si>
  <si>
    <t>La Otra Banda</t>
  </si>
  <si>
    <t>Dihidroergotamina</t>
  </si>
  <si>
    <t>Bordes o ribetes brillantes</t>
  </si>
  <si>
    <t>Extintores</t>
  </si>
  <si>
    <t>Suxametonio</t>
  </si>
  <si>
    <t>Banda transportadora extensible</t>
  </si>
  <si>
    <t>Cuñas de pisada y trompos de combinación para equipo radiográfico</t>
  </si>
  <si>
    <t>Perfiles de latón</t>
  </si>
  <si>
    <t>Aluminio al</t>
  </si>
  <si>
    <t>Equipos de sistema estándar de comunicaciones de imágenes digitales en medicina dicom</t>
  </si>
  <si>
    <t>Azadones</t>
  </si>
  <si>
    <t>Soportes para la boca para uso odontológico</t>
  </si>
  <si>
    <t>Alambre de cobre "nu gold"</t>
  </si>
  <si>
    <t>Baños múltiples</t>
  </si>
  <si>
    <t>Papel de cubierta</t>
  </si>
  <si>
    <t>Sweaters para niña</t>
  </si>
  <si>
    <t>Gas metilacetileno propadieno mapp</t>
  </si>
  <si>
    <t>Software de servidor de transacciones</t>
  </si>
  <si>
    <t>Camiones ligeros o vehículos utilitarios deportivos</t>
  </si>
  <si>
    <t>Emorfazona</t>
  </si>
  <si>
    <t>Intercambiadores de calor del avión</t>
  </si>
  <si>
    <t>Forjas no metálicas maquinadas con impresión por troquel</t>
  </si>
  <si>
    <t>Servicios de administración de la propiedad</t>
  </si>
  <si>
    <t>Software de monitoreo de red</t>
  </si>
  <si>
    <t>Tubería de cristal</t>
  </si>
  <si>
    <t>Dispositivos o accesorios para remover especímenes o tejidos para endoscopia</t>
  </si>
  <si>
    <t>Vectores de expresión de levadura</t>
  </si>
  <si>
    <t>Mezquitas</t>
  </si>
  <si>
    <t>Carnes procesadas y preparadas congelado</t>
  </si>
  <si>
    <t>Equipos y componentes de red básica móvil wlan</t>
  </si>
  <si>
    <t>Asociaciones educativas o de profesores</t>
  </si>
  <si>
    <t>Cajas eléctricas especiales</t>
  </si>
  <si>
    <t>Taladros de barreo profundo de martillo superior</t>
  </si>
  <si>
    <t>Barras de bronce</t>
  </si>
  <si>
    <t>Servicios de baldeo de la tierra</t>
  </si>
  <si>
    <t>Carboplatino</t>
  </si>
  <si>
    <t>Productos para optimizar la reacción en cadena de polimerasa pcr</t>
  </si>
  <si>
    <t>Negro carbono</t>
  </si>
  <si>
    <t>Recubrimiento de tubería para campo petrolero</t>
  </si>
  <si>
    <t>Kits de matemáticas para bachillerato</t>
  </si>
  <si>
    <t>Petrolatos</t>
  </si>
  <si>
    <t>Software de lan</t>
  </si>
  <si>
    <t>Centros de entretenimiento</t>
  </si>
  <si>
    <t>Servicios de alivio de atascamiento de los tubos en la perforación en el fondo del pozo</t>
  </si>
  <si>
    <t>Máquinas de composición de monotipos</t>
  </si>
  <si>
    <t>Software de categorización o clasificación</t>
  </si>
  <si>
    <t>Formatos o libros de ventas</t>
  </si>
  <si>
    <t>Servicios de sistemas de comunicación por satélite o terrestre</t>
  </si>
  <si>
    <t>Hemoconcentradores de perfusión o accesorios</t>
  </si>
  <si>
    <t>Villarpando</t>
  </si>
  <si>
    <t>Crayones de acuarela</t>
  </si>
  <si>
    <t>Baterías para vehículos</t>
  </si>
  <si>
    <t>Comidas combinadas frescas</t>
  </si>
  <si>
    <t>Sensor de pistones pre-arranque</t>
  </si>
  <si>
    <t>Acollador de protección contra caídas</t>
  </si>
  <si>
    <t>Reservorios de cardiotomía de perfusión</t>
  </si>
  <si>
    <t>Máquinas contestadoras</t>
  </si>
  <si>
    <t>Cuña de etalón</t>
  </si>
  <si>
    <t>Tela para batik</t>
  </si>
  <si>
    <t>Iluminación de la sala de operación para campo quirúrgico o accesorios o productos relacionados</t>
  </si>
  <si>
    <t>Ensambles estructurales con soldadura ultra violeta de latón</t>
  </si>
  <si>
    <t>Acetato de aluminio</t>
  </si>
  <si>
    <t>Servicios de reparación del pozo</t>
  </si>
  <si>
    <t>Componentes compuestos estampados</t>
  </si>
  <si>
    <t>Calentadores de agua para uso doméstico</t>
  </si>
  <si>
    <t>Contenedores o dispensadores de clips</t>
  </si>
  <si>
    <t>Forjaduras en estampa de impresión de berilio</t>
  </si>
  <si>
    <t>Palos para vestirse para los discapacitados físicamente</t>
  </si>
  <si>
    <t>Partes de repuesto para bombas de pozo</t>
  </si>
  <si>
    <t>Coches de bebé</t>
  </si>
  <si>
    <t>Nitrato de galio</t>
  </si>
  <si>
    <t>Máquina ralladora</t>
  </si>
  <si>
    <t>Escáner radiocromatográfico</t>
  </si>
  <si>
    <t>Incubadoras de cámara dual de tres gases de pared seca</t>
  </si>
  <si>
    <t>Protector de salpicaduras para uso doméstico</t>
  </si>
  <si>
    <t>Probadores de resistencia de textiles</t>
  </si>
  <si>
    <t>Acetaminofén</t>
  </si>
  <si>
    <t>Paquetes de muebles de gerencia no modulares</t>
  </si>
  <si>
    <t>MEDICAMENTOS CITOSTATICOS 2</t>
  </si>
  <si>
    <t>47131618</t>
  </si>
  <si>
    <t>22101502</t>
  </si>
  <si>
    <t>51101551</t>
  </si>
  <si>
    <t>Bitartrato de colina</t>
  </si>
  <si>
    <t>Accesorios para urinales o inodoros</t>
  </si>
  <si>
    <t>Objetos fundidos maquinados por proceso v de latón</t>
  </si>
  <si>
    <t>Marcadores de identificación</t>
  </si>
  <si>
    <t>Ensambles de placas soldadas con solvente de aluminio</t>
  </si>
  <si>
    <t>Rodaderos para patios de recreo</t>
  </si>
  <si>
    <t>Ensambles de tubos soldados con soldadura sónica de aluminio</t>
  </si>
  <si>
    <t>Artículos de pasamanería y ornamentales</t>
  </si>
  <si>
    <t>Mesas para aulas de clase</t>
  </si>
  <si>
    <t>Hepatitis a</t>
  </si>
  <si>
    <t>Calzas o kits de calzas para sistemas post dentales</t>
  </si>
  <si>
    <t>Servicios de moledura de caucho</t>
  </si>
  <si>
    <t>Ganciclovir sódico</t>
  </si>
  <si>
    <t>Medidores de voltaje o de corriente</t>
  </si>
  <si>
    <t>Cometas</t>
  </si>
  <si>
    <t>Solventes activos</t>
  </si>
  <si>
    <t>Tarjetas de actividades de tableros geométricos</t>
  </si>
  <si>
    <t>Componentes de latón perforados</t>
  </si>
  <si>
    <t>Motores térmicos</t>
  </si>
  <si>
    <t>Almacenador de casetes</t>
  </si>
  <si>
    <t>Plumeros o cepillos de mango largo para los discapacitados físicamente</t>
  </si>
  <si>
    <t>Guillotinas para cortar papel</t>
  </si>
  <si>
    <t>Agujas de fístula</t>
  </si>
  <si>
    <t>Pimpinella</t>
  </si>
  <si>
    <t>Pasadores de deslizamiento</t>
  </si>
  <si>
    <t>Cinta aislante eléctrica</t>
  </si>
  <si>
    <t>Servicios de fabricación de maletas</t>
  </si>
  <si>
    <t>Aceite motor</t>
  </si>
  <si>
    <t>Ensambles de barras soldadas con soldadura sónica de aleación wasp</t>
  </si>
  <si>
    <t>Fenestrómetros de oído</t>
  </si>
  <si>
    <t>Cinta de montaje</t>
  </si>
  <si>
    <t>MEDICAMENTOS PALEATIVOS USO PACIENTES</t>
  </si>
  <si>
    <t>Matanzas</t>
  </si>
  <si>
    <t>Cortinas transparentes de incisión o bolsas para instrumentos para uso quirúrgico</t>
  </si>
  <si>
    <t>Ganchos para abotonarse para los discapacitados físicamente</t>
  </si>
  <si>
    <t>Sets de diapasones para uso médico</t>
  </si>
  <si>
    <t>Enriquillo</t>
  </si>
  <si>
    <t>Tableros</t>
  </si>
  <si>
    <t>Estiradores urológicos</t>
  </si>
  <si>
    <t>Detectores de gases inflamables o peligrosos para generadores</t>
  </si>
  <si>
    <t>Aceites para lubricación de armas</t>
  </si>
  <si>
    <t>Caperuzas o cajones para gases</t>
  </si>
  <si>
    <t>Mezcladores de video</t>
  </si>
  <si>
    <t>Platos o placas o insertos recubiertos para cultivo de tejidos</t>
  </si>
  <si>
    <t>DISTRITO MUNICIPAL</t>
  </si>
  <si>
    <t>Hoja de fibra comprimida con metal inserto</t>
  </si>
  <si>
    <t>Esterilla de representación gráfica</t>
  </si>
  <si>
    <t>Tiabendazol</t>
  </si>
  <si>
    <t>Bases de látex</t>
  </si>
  <si>
    <t>01</t>
  </si>
  <si>
    <t>Tubos o accesorios para pruebas de análisis de orina</t>
  </si>
  <si>
    <t>Forjas de acero inoxidable maquinadas por anillo enrollado</t>
  </si>
  <si>
    <t>Revisteros</t>
  </si>
  <si>
    <t>Papel autocopiante</t>
  </si>
  <si>
    <t>51141812</t>
  </si>
  <si>
    <t>Catalizadores a la medida</t>
  </si>
  <si>
    <t>Distribución de energía eléctrica industrial</t>
  </si>
  <si>
    <t>Mezcla para rebosar o de pan</t>
  </si>
  <si>
    <t>PAQ</t>
  </si>
  <si>
    <t>Gatos</t>
  </si>
  <si>
    <t>Orfanato</t>
  </si>
  <si>
    <t>Canabacoa</t>
  </si>
  <si>
    <t>Enfriadores de evaporación</t>
  </si>
  <si>
    <t>Servicios de información o documentación de la industria pesquera</t>
  </si>
  <si>
    <t>Cámaras gamma de uso general para uso médico</t>
  </si>
  <si>
    <t>Sulfato de penbutolol</t>
  </si>
  <si>
    <t>Accesorios para esponjas o esponjillas</t>
  </si>
  <si>
    <t>Proyectores de filminas</t>
  </si>
  <si>
    <t>Servicios de planificación de campos petroleros</t>
  </si>
  <si>
    <t>Uvilla</t>
  </si>
  <si>
    <t>Relojes de arena</t>
  </si>
  <si>
    <t>Nylon</t>
  </si>
  <si>
    <t>Pelotas de equipos de balonmano</t>
  </si>
  <si>
    <t>Gramo</t>
  </si>
  <si>
    <t>Muestreadores de agua</t>
  </si>
  <si>
    <t>Satélites científicos o de investigación</t>
  </si>
  <si>
    <t>Kits o accesorios de cateterización urológica</t>
  </si>
  <si>
    <t>Cajas de monedas para teléfonos de pago</t>
  </si>
  <si>
    <t>Esponjas de gasa</t>
  </si>
  <si>
    <t>Diodo láser</t>
  </si>
  <si>
    <t>Rollos de esterilización</t>
  </si>
  <si>
    <t>Suite</t>
  </si>
  <si>
    <t>Servicios de soldadura fuerte con latón</t>
  </si>
  <si>
    <t>Clorhidrato de  fentermina</t>
  </si>
  <si>
    <t>Ensambles estructurales con soldadura ultra violeta de acero al carbono</t>
  </si>
  <si>
    <t>Estudios geológicos</t>
  </si>
  <si>
    <t>Multiplexor de división de onda wdm</t>
  </si>
  <si>
    <t>Salas limpias</t>
  </si>
  <si>
    <t>Techos duros desmontables</t>
  </si>
  <si>
    <t>32141107</t>
  </si>
  <si>
    <t>Tapón calibrador de cierre</t>
  </si>
  <si>
    <t>Ensambles de tubos soldados con soldadura sónica de titanio</t>
  </si>
  <si>
    <t>Estaciones de bombeo alcantarillado</t>
  </si>
  <si>
    <t>Partes de repuesto para bombas dosificadoras</t>
  </si>
  <si>
    <t>Clorhidrato de apraclonidina</t>
  </si>
  <si>
    <t>Topes de retención</t>
  </si>
  <si>
    <t>Clorhidrato de mefloquina</t>
  </si>
  <si>
    <t>Batidoras manuales para uso comercial</t>
  </si>
  <si>
    <t>Brocas de núcleo</t>
  </si>
  <si>
    <t>Agua mineral</t>
  </si>
  <si>
    <t>Dispositivos braille para los discapacitados físicamente</t>
  </si>
  <si>
    <t>Vigas de cobre</t>
  </si>
  <si>
    <t>Ensambles de tubería remachada de aleación hast x</t>
  </si>
  <si>
    <t>Espumas de terpolímero propileno etileno</t>
  </si>
  <si>
    <t>Clavellina</t>
  </si>
  <si>
    <t>Modelos de células</t>
  </si>
  <si>
    <t>Alcance refrigerado para cámaras ambientales o de cultivo</t>
  </si>
  <si>
    <t>Aparato para medir el pie</t>
  </si>
  <si>
    <t>51131607</t>
  </si>
  <si>
    <t>Lactato de sodio</t>
  </si>
  <si>
    <t>Tijeras para estaño</t>
  </si>
  <si>
    <t>Partido</t>
  </si>
  <si>
    <t>Compra de Acabados y Textiles para uso en el INCART</t>
  </si>
  <si>
    <t>Servicios de fabricación de abrasivos</t>
  </si>
  <si>
    <t>Componentes de hierro perforados</t>
  </si>
  <si>
    <t>Semillas o plántulas de tomillo</t>
  </si>
  <si>
    <t>Zonas desmilitarizadas</t>
  </si>
  <si>
    <t>Servicios de cosecha de cultivos extensivos</t>
  </si>
  <si>
    <t>Máquinas para tornear</t>
  </si>
  <si>
    <t>La Canela</t>
  </si>
  <si>
    <t>Diodos zener</t>
  </si>
  <si>
    <t>Servicios de trastornos alimenticios</t>
  </si>
  <si>
    <t>Ojales de cable de rescate</t>
  </si>
  <si>
    <t>Brocas para poner tuercas</t>
  </si>
  <si>
    <t>Trazadores de campo visual para uso oftálmico</t>
  </si>
  <si>
    <t>COMODATOS 2</t>
  </si>
  <si>
    <t>Alicates para uso quirúrgico</t>
  </si>
  <si>
    <t>Mechas explosivas</t>
  </si>
  <si>
    <t>27111909</t>
  </si>
  <si>
    <t>Analizadores de productos cárnicos o lácteos</t>
  </si>
  <si>
    <t>42272209</t>
  </si>
  <si>
    <t>Ventanas salientes</t>
  </si>
  <si>
    <t>Cuentas de pompones para manualidades</t>
  </si>
  <si>
    <t>51101552</t>
  </si>
  <si>
    <t>Publicidad en los cines</t>
  </si>
  <si>
    <t>Tambores metálicos</t>
  </si>
  <si>
    <t>Campos de minigolf</t>
  </si>
  <si>
    <t>Dorzolimato clorhidrato</t>
  </si>
  <si>
    <t>Suplementos vitamínicos</t>
  </si>
  <si>
    <t>Ensambles de placas soldadas con soldadura fuerte o débil de titanio</t>
  </si>
  <si>
    <t>Sulfato de vinblastina</t>
  </si>
  <si>
    <t>Bombas de tornillo</t>
  </si>
  <si>
    <t>Yates</t>
  </si>
  <si>
    <t>Ensambles de barras soldadas con solvente de aleación wasp</t>
  </si>
  <si>
    <t>Tope de protección anti choque</t>
  </si>
  <si>
    <t>Cintas de medición para uso quirúrgico</t>
  </si>
  <si>
    <t>Jamao al Norte</t>
  </si>
  <si>
    <t>Lentes de contacto</t>
  </si>
  <si>
    <t>Servicios de corte de césped</t>
  </si>
  <si>
    <t>Máquinas para hacer facetas o pulir caras</t>
  </si>
  <si>
    <t>Equipo de acceso de televisión</t>
  </si>
  <si>
    <t>Estuches de intubación para servicios médicos de emergencia</t>
  </si>
  <si>
    <t>Módulos o sistemas de comunicación de enfermería</t>
  </si>
  <si>
    <t>51191507</t>
  </si>
  <si>
    <t>Enzimas</t>
  </si>
  <si>
    <t>Incentivos tributarios</t>
  </si>
  <si>
    <t>Tuercas de rodamiento</t>
  </si>
  <si>
    <t>Accesorios para centrífugas de laboratorio</t>
  </si>
  <si>
    <t>Metolazona</t>
  </si>
  <si>
    <t>Amortización de la deuda</t>
  </si>
  <si>
    <t>Servicios de limpieza de suelos</t>
  </si>
  <si>
    <t>Embriones conservados</t>
  </si>
  <si>
    <t>Tijeras dentales</t>
  </si>
  <si>
    <t>Tilapia viva</t>
  </si>
  <si>
    <t>Paneles de puerta</t>
  </si>
  <si>
    <t>Guías de referencia de las operaciones básicas</t>
  </si>
  <si>
    <t>Organizadores o clasificadores de correspondencia</t>
  </si>
  <si>
    <t>Kit de mantenimiento de vehículo de soporte en tierra</t>
  </si>
  <si>
    <t>Extrusiones por impacto de titanio</t>
  </si>
  <si>
    <t>Consola de teleconferencias</t>
  </si>
  <si>
    <t>Kits de demostración de química</t>
  </si>
  <si>
    <t>Equipo de examen de radiografía co 60</t>
  </si>
  <si>
    <t>Forros para edredones</t>
  </si>
  <si>
    <t>Caucho clorhidrato</t>
  </si>
  <si>
    <t>Servicios de preparación de semilleros</t>
  </si>
  <si>
    <t>Cinturones o tirantes</t>
  </si>
  <si>
    <t>Servicios de registro espectroscópico por rayos gamma</t>
  </si>
  <si>
    <t>Dispositivos electrónicos de seguridad o armado</t>
  </si>
  <si>
    <t>Cableado preformado de comunicación</t>
  </si>
  <si>
    <t>CERTIFICACION DEL INCART</t>
  </si>
  <si>
    <t>Estampillas</t>
  </si>
  <si>
    <t>Ensambles de barras soldadas con soldadura fuerte o débil de aleación hast x</t>
  </si>
  <si>
    <t>Servicios de elaboración de especias</t>
  </si>
  <si>
    <t>39121106</t>
  </si>
  <si>
    <t>Película de transparencia</t>
  </si>
  <si>
    <t>Objetos de bronce fundidos en molde cerámico</t>
  </si>
  <si>
    <t>Radio fonógrafos</t>
  </si>
  <si>
    <t>Retardo de envío del cable de recuperación</t>
  </si>
  <si>
    <t>Accesorios para batik</t>
  </si>
  <si>
    <t>Ropa reflectora o accesorios</t>
  </si>
  <si>
    <t>Ensambles de barras atornilladas de aluminio</t>
  </si>
  <si>
    <t>Portaobjetos preparados preservados</t>
  </si>
  <si>
    <t>Servicios de ensanchamiento de la perforación en el fondo del pozo</t>
  </si>
  <si>
    <t>Servicios de corte de parafina en el campo petrolero</t>
  </si>
  <si>
    <t>Lodos con base en agua</t>
  </si>
  <si>
    <t>Estuches o bolsas de respuesta para servicios médicos de emergencia</t>
  </si>
  <si>
    <t>Meloxicam</t>
  </si>
  <si>
    <t>Asientos de inodoro elevados para los discapacitados físicamente</t>
  </si>
  <si>
    <t>Cañas de felpilla abultadas</t>
  </si>
  <si>
    <t>Servicios de modelar del depósito</t>
  </si>
  <si>
    <t>Almohadillas de uso oftálmico</t>
  </si>
  <si>
    <t>Kits de costura</t>
  </si>
  <si>
    <t>Roscas para uso quirúrgico</t>
  </si>
  <si>
    <t>Servicios de lixiviación sobre el terreno</t>
  </si>
  <si>
    <t>Fondos de pensiones autodirigidos o patrocinados por el empleador</t>
  </si>
  <si>
    <t>Platina de aluminio</t>
  </si>
  <si>
    <t>Recolección o destrucción o transformación o eliminación de basuras</t>
  </si>
  <si>
    <t>Sistemas o accesorios de manejo de fluido endoscópico</t>
  </si>
  <si>
    <t>Servicios de fabricación de maquinaria o equipo textil</t>
  </si>
  <si>
    <t>INSUMOS CIRUGIA MENOR 3</t>
  </si>
  <si>
    <t>Producción de hortalizas</t>
  </si>
  <si>
    <t>Reductores de fricción catódica</t>
  </si>
  <si>
    <t>Suministros para terapia de irradiación de tiroides</t>
  </si>
  <si>
    <t>Unidades de registro de pozo</t>
  </si>
  <si>
    <t>Cadenas de seguridad o accesorios</t>
  </si>
  <si>
    <t>Ensambles de tubos soldados con disolvente de aluminio</t>
  </si>
  <si>
    <t>Cortadores de barras o varillas</t>
  </si>
  <si>
    <t>Aeronave agrícola de ala fija</t>
  </si>
  <si>
    <t>Fibras de vidrio</t>
  </si>
  <si>
    <t>Adaptadores ópticos</t>
  </si>
  <si>
    <t>Bario ba</t>
  </si>
  <si>
    <t>Ladrillos aislantes térmicos</t>
  </si>
  <si>
    <t>Kits o vectores de muta génesis plásmida</t>
  </si>
  <si>
    <t>Rejilla de fibra de vidrio</t>
  </si>
  <si>
    <t>Acabados y Textiles 4</t>
  </si>
  <si>
    <t>Servicios legales de cobro de deudas o cartera.</t>
  </si>
  <si>
    <t>Gabinetes o estaciones para flujo laminar</t>
  </si>
  <si>
    <t>Molduras de magnesio</t>
  </si>
  <si>
    <t>Divisores del haz óptico</t>
  </si>
  <si>
    <t>Acabados y Textiles 2</t>
  </si>
  <si>
    <t>Acabados y Textiles 3</t>
  </si>
  <si>
    <t>Chapa de acero inoxidable</t>
  </si>
  <si>
    <t>Oximas</t>
  </si>
  <si>
    <t>Ángulos de metales preciosos</t>
  </si>
  <si>
    <t>Objetos de hierro fundidos por proceso en v</t>
  </si>
  <si>
    <t>Servicios de asesoría en riego</t>
  </si>
  <si>
    <t>Matayaya</t>
  </si>
  <si>
    <t>Faisanes vivos</t>
  </si>
  <si>
    <t>Servicios de control de la vibración de perforación en el fondo del pozo</t>
  </si>
  <si>
    <t>Ensambles estructurales con soldadura sónica de aleación wasp</t>
  </si>
  <si>
    <t>Monitores de gas arterial o accesorios</t>
  </si>
  <si>
    <t>Iluminación o electricidad o componentes de información de soporte para computadores</t>
  </si>
  <si>
    <t>Manga trenzada extensible</t>
  </si>
  <si>
    <t>Oxalato de escitalopram</t>
  </si>
  <si>
    <t>Iluminación o electricidad o componentes de información de pie</t>
  </si>
  <si>
    <t>Semillas o plántulas de batata</t>
  </si>
  <si>
    <t>42295408</t>
  </si>
  <si>
    <t>Software de administración</t>
  </si>
  <si>
    <t>Medios para pintura de acuarela</t>
  </si>
  <si>
    <t>Brazos articulados</t>
  </si>
  <si>
    <t>Correas para perros</t>
  </si>
  <si>
    <t>Anti incrustante</t>
  </si>
  <si>
    <t>Sistemas de detección de fallo de elementos para reactores nucleares</t>
  </si>
  <si>
    <t>Ángulos de plomo</t>
  </si>
  <si>
    <t>Forjas de hierro maquinadas con troquel cerrado</t>
  </si>
  <si>
    <t>Servicios de legislatura política</t>
  </si>
  <si>
    <t>Cámaras digitales</t>
  </si>
  <si>
    <t>Acetazolamida sódica</t>
  </si>
  <si>
    <t>Pulgada</t>
  </si>
  <si>
    <t>Estudios de emplazamientos  de vertederos de desechos de fábricas de productos químicos o refinerías de petróleo</t>
  </si>
  <si>
    <t>Embutidos 3</t>
  </si>
  <si>
    <t>Servicios convencionales de extracción de testigos</t>
  </si>
  <si>
    <t>Maquinaria de soldadura de tungsteno a gas inerte (TIG)</t>
  </si>
  <si>
    <t>Pinzas dentales</t>
  </si>
  <si>
    <t>Puestos de lavamanos para uso quirúrgico</t>
  </si>
  <si>
    <t>Pernos de espiga o de reborde</t>
  </si>
  <si>
    <t>Guías para planes de estudios integrados</t>
  </si>
  <si>
    <t>Fieltros de recubrimiento ortopédico para tobillo o pie</t>
  </si>
  <si>
    <t>Recubrimientos o plastilinas o sellantes resistentes al calor</t>
  </si>
  <si>
    <t>Tabletas para limpiar dentaduras postizas</t>
  </si>
  <si>
    <t>Espumas de neopreno</t>
  </si>
  <si>
    <t>Pozos mezcladores para odontología estética</t>
  </si>
  <si>
    <t>Barreras de adhesión para uso quirúrgico</t>
  </si>
  <si>
    <t>Organizaciones de asistencia a los adultos mayores</t>
  </si>
  <si>
    <t>Consuelo</t>
  </si>
  <si>
    <t>Ensambles de tubería soldada de solvente de acero inoxidable</t>
  </si>
  <si>
    <t>Lingotes de estiramiento por presión de aleación ferrosa</t>
  </si>
  <si>
    <t>Tartrato de fenindamina</t>
  </si>
  <si>
    <t>Mangas o vejigas de presión de la sangre</t>
  </si>
  <si>
    <t>Entarimado, instalación o acabado de suelos</t>
  </si>
  <si>
    <t>Papaverina</t>
  </si>
  <si>
    <t>Tarjetas de fax</t>
  </si>
  <si>
    <t>Servicios de producción de fertilizantes</t>
  </si>
  <si>
    <t>Materiales de ecología acuática</t>
  </si>
  <si>
    <t>Banco de Sangre</t>
  </si>
  <si>
    <t>44121634</t>
  </si>
  <si>
    <t>Difteria</t>
  </si>
  <si>
    <t>Rompecabezas tangram</t>
  </si>
  <si>
    <t>Placas de identificación de máquinas</t>
  </si>
  <si>
    <t>Combinación de reproductor de video disco digital dvd, disco video casete vcd, disco compacto cd</t>
  </si>
  <si>
    <t>Materiales de enseñanza para el desarrollo de la capacidad de adaptación</t>
  </si>
  <si>
    <t>Liquidez monetaria</t>
  </si>
  <si>
    <t>Servicios de laminación</t>
  </si>
  <si>
    <t>Mediación o conciliación o negociación o resolución de disputas</t>
  </si>
  <si>
    <t>Kits o suministros para pruebas de citología</t>
  </si>
  <si>
    <t>Lentes para anteojos</t>
  </si>
  <si>
    <t>Accesorios o suministros para analizadores de toxicología</t>
  </si>
  <si>
    <t>Dispensadores de hielo</t>
  </si>
  <si>
    <t>31211903</t>
  </si>
  <si>
    <t>Zapatos de seguridad</t>
  </si>
  <si>
    <t>Tierra</t>
  </si>
  <si>
    <t>Ruedas de avión</t>
  </si>
  <si>
    <t>Nonivamida</t>
  </si>
  <si>
    <t>Cera para huesos</t>
  </si>
  <si>
    <t>Espátulas para uso quirúrgico</t>
  </si>
  <si>
    <t>Grifos</t>
  </si>
  <si>
    <t>Clorhidrato de imipramina</t>
  </si>
  <si>
    <t>Platos o bandejas de papel</t>
  </si>
  <si>
    <t>Kits de fundas cardiovasculares</t>
  </si>
  <si>
    <t>Ensambles de barras remachadas no metálica</t>
  </si>
  <si>
    <t>Ununbium uub</t>
  </si>
  <si>
    <t>Servicios acústicos para registros  del pozo</t>
  </si>
  <si>
    <t>Muelles de torsión</t>
  </si>
  <si>
    <t>Limpiaparabrisas de camión</t>
  </si>
  <si>
    <t>Tubos centrífugos</t>
  </si>
  <si>
    <t>Puente de conexión</t>
  </si>
  <si>
    <t>BANCO DE SANGRE 4</t>
  </si>
  <si>
    <t>Satélites geoestacionarios</t>
  </si>
  <si>
    <t>Conchas o protectores de senos</t>
  </si>
  <si>
    <t>Sistema de dirección hidráulica</t>
  </si>
  <si>
    <t>Hatillo Palma</t>
  </si>
  <si>
    <t>Retenedores o accesorios para filtros</t>
  </si>
  <si>
    <t>Conservación o protección de los recursos pesqueros</t>
  </si>
  <si>
    <t>Soporte guía ajustable</t>
  </si>
  <si>
    <t>Nifedipina</t>
  </si>
  <si>
    <t>Componentes plásticos maquinados por extrusión hidrostática</t>
  </si>
  <si>
    <t>Procesadores de alimentos para uso doméstico</t>
  </si>
  <si>
    <t>Servicios de cementación de tapones</t>
  </si>
  <si>
    <t>Controladores o sus partes o accesorios para uso quirúrgico</t>
  </si>
  <si>
    <t>Perforadoras para uso quirúrgico</t>
  </si>
  <si>
    <t>Servicios de plegado</t>
  </si>
  <si>
    <t>Brocha de corte</t>
  </si>
  <si>
    <t>Pasteles de sal frescos</t>
  </si>
  <si>
    <t>Forjas de cobre maquinadas con troquel abierto</t>
  </si>
  <si>
    <t>Componentes de magnesio formados enrollados</t>
  </si>
  <si>
    <t>Ensambles de tubería con soldadura sónica de inconel</t>
  </si>
  <si>
    <t>Transmisores de humedad</t>
  </si>
  <si>
    <t>Molino de bola</t>
  </si>
  <si>
    <t>Herramientas de arenadora</t>
  </si>
  <si>
    <t>Calzoncillos</t>
  </si>
  <si>
    <t>Karts</t>
  </si>
  <si>
    <t>Kits de equipos médicos de laboratorio o de campo o productos relacionados</t>
  </si>
  <si>
    <t>Servicios de protección recursos genéticos</t>
  </si>
  <si>
    <t>Herramientas o materiales o equipos de manualidades para los discapacitados físicamente</t>
  </si>
  <si>
    <t>Estetoscopio acústico para uso médico o accesorios</t>
  </si>
  <si>
    <t>Co-precipitantes de ácidos nucleicos</t>
  </si>
  <si>
    <t>Nafta</t>
  </si>
  <si>
    <t>Carga y descarga de mercancías</t>
  </si>
  <si>
    <t>Barra anti -  ladeo</t>
  </si>
  <si>
    <t>Kits de clases de materia</t>
  </si>
  <si>
    <t>Turbo compresores</t>
  </si>
  <si>
    <t>Servicios de geología</t>
  </si>
  <si>
    <t>Materiales de enseñanza de comprensión del servicio a la comunidad</t>
  </si>
  <si>
    <t>Monitores de ventilación pulmonar</t>
  </si>
  <si>
    <t>Servicios de aprendizaje diplomado a distancia</t>
  </si>
  <si>
    <t>Agentes de humectación</t>
  </si>
  <si>
    <t>Accesorios de vástago de cilindro neumático</t>
  </si>
  <si>
    <t>Ligas para protectores de ojos</t>
  </si>
  <si>
    <t>Unidades de encerado de laboratorio dental</t>
  </si>
  <si>
    <t>Especias 4</t>
  </si>
  <si>
    <t>Copas o contenedores para prótesis dentales</t>
  </si>
  <si>
    <t>Unidades de autotransfusión</t>
  </si>
  <si>
    <t>42201826</t>
  </si>
  <si>
    <t>Maniquíes humanos anatómicos para educación o entrenamiento médico</t>
  </si>
  <si>
    <t>Poleas de transmisión</t>
  </si>
  <si>
    <t>Anillos amortiguadores de cilindro neumático</t>
  </si>
  <si>
    <t>Escáneres de imágenes de resonancia magnética mri para uso médico</t>
  </si>
  <si>
    <t>Objetos maquinados de acero inoxidable fundidos en molde cerámico</t>
  </si>
  <si>
    <t>Ohmetros</t>
  </si>
  <si>
    <t>Pintura témpera lavable</t>
  </si>
  <si>
    <t>Servicios de copias a color o de cotejo</t>
  </si>
  <si>
    <t>Avión jet de pasajeros</t>
  </si>
  <si>
    <t>Arquitectura naval</t>
  </si>
  <si>
    <t>Tableros de salto o accesorios para rehabilitación o terapia</t>
  </si>
  <si>
    <t>Maniobras aéreas</t>
  </si>
  <si>
    <t>Estiradores gastrointestinales</t>
  </si>
  <si>
    <t>Tubos de percusión</t>
  </si>
  <si>
    <t>Objetos maquinados de magnesio fundidos a la cera perdida</t>
  </si>
  <si>
    <t>Tarjetas perforadas de incentivo</t>
  </si>
  <si>
    <t>Pistolas de pintar</t>
  </si>
  <si>
    <t>Retenedores de órganos internos</t>
  </si>
  <si>
    <t>Equipo central de microondas</t>
  </si>
  <si>
    <t>Homogeneizadores</t>
  </si>
  <si>
    <t>Ayudas de mecanografía para los discapacitados físicamente</t>
  </si>
  <si>
    <t>Pamabrom</t>
  </si>
  <si>
    <t>Uniones de voladura</t>
  </si>
  <si>
    <t>Bicicletas para niños</t>
  </si>
  <si>
    <t>Alquenos</t>
  </si>
  <si>
    <t>Formación de recursos humanos para el sector  industrial</t>
  </si>
  <si>
    <t>Cuchillas o dientes u otros filos cortantes</t>
  </si>
  <si>
    <t>Ensambles de láminas soldadas con soldadura sónica de titanio</t>
  </si>
  <si>
    <t>Exploración geológica</t>
  </si>
  <si>
    <t>Tarjetas de actividades de bloques de atributos</t>
  </si>
  <si>
    <t>Kits o contenedores de recolección de citologías</t>
  </si>
  <si>
    <t>Estetoscopios esofágicos</t>
  </si>
  <si>
    <t>Iluminación para habitaciones de pacientes o accesorios</t>
  </si>
  <si>
    <t>Cheques o chequeras</t>
  </si>
  <si>
    <t>Servicios de fundición de metales</t>
  </si>
  <si>
    <t>51111508</t>
  </si>
  <si>
    <t>Apernador de cable</t>
  </si>
  <si>
    <t>Bibliotecas</t>
  </si>
  <si>
    <t>Catéteres uretrales</t>
  </si>
  <si>
    <t>Protectores de árboles de acidificación</t>
  </si>
  <si>
    <t>Soluciones electrolíticas múltiples</t>
  </si>
  <si>
    <t>Aparatos de tracción</t>
  </si>
  <si>
    <t>56101518</t>
  </si>
  <si>
    <t>Servicios de socorro alimentario</t>
  </si>
  <si>
    <t>Objetos fundidos maquinados por proceso v de acero inoxidable</t>
  </si>
  <si>
    <t>Materas para invernadero</t>
  </si>
  <si>
    <t>Servicios de producción de pulpa</t>
  </si>
  <si>
    <t>Productos de hiperventilación</t>
  </si>
  <si>
    <t>Hilado de algodón</t>
  </si>
  <si>
    <t>Administración de propiedades</t>
  </si>
  <si>
    <t>Aplicadores de muestras</t>
  </si>
  <si>
    <t>Nistatina</t>
  </si>
  <si>
    <t>51182102</t>
  </si>
  <si>
    <t>Condimento</t>
  </si>
  <si>
    <t>Gumboro</t>
  </si>
  <si>
    <t>Computadores personales</t>
  </si>
  <si>
    <t>Defensas traseras para tiro con arco</t>
  </si>
  <si>
    <t>Cabarete</t>
  </si>
  <si>
    <t>Fertilizante de potasio</t>
  </si>
  <si>
    <t>Objetos maquinados de plomo fundidos en molde de grafito</t>
  </si>
  <si>
    <t>Cepillos de limpieza</t>
  </si>
  <si>
    <t>Orugas: eslabones o zapatas o sus piezas</t>
  </si>
  <si>
    <t>Leva de transmisión</t>
  </si>
  <si>
    <t>Palustres</t>
  </si>
  <si>
    <t>Conjunto pulverizador</t>
  </si>
  <si>
    <t>Lámparas de sodio de alta presión hid</t>
  </si>
  <si>
    <t>Bromuro de neostigmina</t>
  </si>
  <si>
    <t>Conductos o red de conductos de aleación ferrosa</t>
  </si>
  <si>
    <t>30151701</t>
  </si>
  <si>
    <t>Tubos fotomultiplicadores</t>
  </si>
  <si>
    <t>Pinzas de tubos intravenosos o arteriales</t>
  </si>
  <si>
    <t>Estaciones de impresión o pantallas para serigrafía</t>
  </si>
  <si>
    <t>Ensambles de barras soldadas con soldadura fuerte o débil de cobre</t>
  </si>
  <si>
    <t>Aros o bastones de ritmo</t>
  </si>
  <si>
    <t>Permanganato de potasio</t>
  </si>
  <si>
    <t>Sondas o accesorios para ultrasonido o eco vaginal</t>
  </si>
  <si>
    <t>Objetos maquinados de aleación de níquel fundidos en molde de grafito</t>
  </si>
  <si>
    <t>Rifles de aire o pistolas de aire</t>
  </si>
  <si>
    <t>Servicios de prevención o control de la lepra</t>
  </si>
  <si>
    <t>Timbres de puerta</t>
  </si>
  <si>
    <t>Rejillas móviles de rayos x para uso médico</t>
  </si>
  <si>
    <t>Instrumentos de membrana intraocular para cirugía oftálmica</t>
  </si>
  <si>
    <t>Servicios de fabricación de computadores electrónicos o equipos de procesamiento de datos</t>
  </si>
  <si>
    <t>Aleación ferrosa en barra labrada</t>
  </si>
  <si>
    <t>Servicios de personal para arrastre de aparejos del pozo</t>
  </si>
  <si>
    <t>Electrómetros</t>
  </si>
  <si>
    <t>Enroscado de tubería de perforación de pozos</t>
  </si>
  <si>
    <t>Células de insectos</t>
  </si>
  <si>
    <t>Servicios de medición de calibre durante la perforación</t>
  </si>
  <si>
    <t>Kits de profilaxis para uso odontológico</t>
  </si>
  <si>
    <t>Lentes endoscópicos</t>
  </si>
  <si>
    <t>Cintas médicas o quirúrgicas para pegar la piel</t>
  </si>
  <si>
    <t>Servicios de pruebas de rellenos de perforación</t>
  </si>
  <si>
    <t>Máquina para cocinar al vapor</t>
  </si>
  <si>
    <t>Auto muestreadores</t>
  </si>
  <si>
    <t>Carruseles para patios de recreo</t>
  </si>
  <si>
    <t>Cúpulas protectoras de la antena de avión</t>
  </si>
  <si>
    <t>Desechos de aceite</t>
  </si>
  <si>
    <t>Guerrillas</t>
  </si>
  <si>
    <t>Productos o accesorios aspiradores para biopsia</t>
  </si>
  <si>
    <t>Grasa de lana</t>
  </si>
  <si>
    <t>Ensambles de placas soldadas de acero de aleación baja</t>
  </si>
  <si>
    <t>Espéculos para otoscopia</t>
  </si>
  <si>
    <t>Ensambles de placas remachadas de aleación hast x</t>
  </si>
  <si>
    <t>42293109</t>
  </si>
  <si>
    <t>Componentes de plomo formados en torno</t>
  </si>
  <si>
    <t>Contactos eléctricos</t>
  </si>
  <si>
    <t>Servicios de fabricantes de cerámica</t>
  </si>
  <si>
    <t>Perímetros para uso oftálmico</t>
  </si>
  <si>
    <t>Tarjetas de préstamo de bibliotecas</t>
  </si>
  <si>
    <t>Anillos de retracción para uso quirúrgico</t>
  </si>
  <si>
    <t>Resinas de forrado temporales de base para prótesis dentales</t>
  </si>
  <si>
    <t>Ganadero</t>
  </si>
  <si>
    <t>47132101</t>
  </si>
  <si>
    <t>Herramientas de colocación de hidróxido de calcio</t>
  </si>
  <si>
    <t>Servicios de asesoría o control en la preparación de alimentos</t>
  </si>
  <si>
    <t>Chapa de bronce</t>
  </si>
  <si>
    <t>Objetos maquinados centrifugados de latón fundidos</t>
  </si>
  <si>
    <t>47121613</t>
  </si>
  <si>
    <t>Cañas de pescar</t>
  </si>
  <si>
    <t>Agentes de circulación perdida</t>
  </si>
  <si>
    <t>Lámina de aleación ferrosa</t>
  </si>
  <si>
    <t>Proyecciones comerciales</t>
  </si>
  <si>
    <t>Buje de eje</t>
  </si>
  <si>
    <t>Diseño de bases de datos</t>
  </si>
  <si>
    <t>Cepillos de rueda</t>
  </si>
  <si>
    <t>Estante para secar pasta para uso doméstico</t>
  </si>
  <si>
    <t>Ensambles estructurales remachados de aleación wasp</t>
  </si>
  <si>
    <t>Estudio de emplazamientos de plantas de limpieza en seco</t>
  </si>
  <si>
    <t>51171606</t>
  </si>
  <si>
    <t>Reactivos analizadores de química</t>
  </si>
  <si>
    <t>Paneles de control de turbina de gas</t>
  </si>
  <si>
    <t>Software de recuperación o búsqueda de información</t>
  </si>
  <si>
    <t>Objetos maquinados en molde permanente de latón fundidos</t>
  </si>
  <si>
    <t>Instrumentos de esterilización o insertos de estuches de esterilización</t>
  </si>
  <si>
    <t>Ácido etacrínico</t>
  </si>
  <si>
    <t>Seguro de garantía de fidelidad</t>
  </si>
  <si>
    <t>Gráficos para el salón de clase</t>
  </si>
  <si>
    <t>Participación política</t>
  </si>
  <si>
    <t>Carritos de aislamiento para uso médico</t>
  </si>
  <si>
    <t>Candados de instrumentos</t>
  </si>
  <si>
    <t>Floctafenina</t>
  </si>
  <si>
    <t>Contenedores sin medio químico para recolección de heces</t>
  </si>
  <si>
    <t>Cosedoras para uso interno</t>
  </si>
  <si>
    <t>Servicios de ama de llaves</t>
  </si>
  <si>
    <t>Enfriadores para laboratorio</t>
  </si>
  <si>
    <t>Iluminación exterior para vagones de tren</t>
  </si>
  <si>
    <t>Alcoholes tio (mercaptanos)</t>
  </si>
  <si>
    <t>Carros o puestos o accesorios para cilindros de gas para uso médico</t>
  </si>
  <si>
    <t>Prensas de moldeo en frío</t>
  </si>
  <si>
    <t>Fieltros de recubrimiento ortopédico para cadera</t>
  </si>
  <si>
    <t>Ensambles estructurales atornillados de acero al carbono</t>
  </si>
  <si>
    <t>Pinturas basadas en pigmentos</t>
  </si>
  <si>
    <t>Molduras por inyección de plástico</t>
  </si>
  <si>
    <t>Servicios de programación de aplicaciones de bases de datos (erp)</t>
  </si>
  <si>
    <t>Hidrotratador de gasolina</t>
  </si>
  <si>
    <t>Piezas de aleación ferrosa forjadas a martinete</t>
  </si>
  <si>
    <t>Moldes de estiramiento de metal por presión</t>
  </si>
  <si>
    <t>Agujas de tejer</t>
  </si>
  <si>
    <t>Mangueras marítimas</t>
  </si>
  <si>
    <t>Semillas o plántulas de trébol</t>
  </si>
  <si>
    <t>Audífonos</t>
  </si>
  <si>
    <t>Servicios de formación profesional agrícola</t>
  </si>
  <si>
    <t>Oxitetraciclina</t>
  </si>
  <si>
    <t>Kits para extracción de plásmidos de ácido desoxirribonucleico dna de la levadura</t>
  </si>
  <si>
    <t>Materiales de enseñanza de etiqueta o modales en la mesa</t>
  </si>
  <si>
    <t>Cable de cobre no eléctrico</t>
  </si>
  <si>
    <t>Máquinas para teñir</t>
  </si>
  <si>
    <t>Batea de aceite</t>
  </si>
  <si>
    <t>Probadores de punto de inflamación</t>
  </si>
  <si>
    <t>Cubiertas contra el polvo de esterilización</t>
  </si>
  <si>
    <t>Sensores olfativos</t>
  </si>
  <si>
    <t>Máquinas para pruebas de flexión o transversales</t>
  </si>
  <si>
    <t>Einstenio es</t>
  </si>
  <si>
    <t>51101835</t>
  </si>
  <si>
    <t>Ácido nordihidroguaiarético</t>
  </si>
  <si>
    <t>Ligaduras abdominales</t>
  </si>
  <si>
    <t>Servicios de laboratorios de rayos x</t>
  </si>
  <si>
    <t>Santiago de los Caballeros</t>
  </si>
  <si>
    <t>Gamuzas o cueros para lavar</t>
  </si>
  <si>
    <t>Servicios de protección de los derechos humanos</t>
  </si>
  <si>
    <t>51141702</t>
  </si>
  <si>
    <t>Yodoformo</t>
  </si>
  <si>
    <t>Soportes de abrazaderas de rodilla o de abrazaderas de rodilla articuladas</t>
  </si>
  <si>
    <t>Partes de repuesto para bombas de lodo</t>
  </si>
  <si>
    <t>Máquinas de emparejamiento de libros</t>
  </si>
  <si>
    <t>Tubos de disco sellado</t>
  </si>
  <si>
    <t>Piedras dentales para laboratorios</t>
  </si>
  <si>
    <t>Software de compresión de información</t>
  </si>
  <si>
    <t>Libros de recursos para actividades en la escuela dominical</t>
  </si>
  <si>
    <t>Servicios de prevención o control de la enfermedad por radiación</t>
  </si>
  <si>
    <t>Recolección o transformación o eliminación de residuos líquidos</t>
  </si>
  <si>
    <t>Componentes de acero inoxidable perforados</t>
  </si>
  <si>
    <t>Servicios de distribución o análisis de la población</t>
  </si>
  <si>
    <t>Kits de ciencias para niños</t>
  </si>
  <si>
    <t>Analizadores de proteína</t>
  </si>
  <si>
    <t>Aparatos para observar la precipitación o evaporación en la superficie</t>
  </si>
  <si>
    <t>Robots de soldadura</t>
  </si>
  <si>
    <t>Servicios geológicos</t>
  </si>
  <si>
    <t>Cadena de distribución</t>
  </si>
  <si>
    <t>Servicios de defensoría del pueblo (ombudsman)</t>
  </si>
  <si>
    <t>Servicios de vocalistas</t>
  </si>
  <si>
    <t>Defibrotide</t>
  </si>
  <si>
    <t>Válvulas de presión de exhalación y positiva peep</t>
  </si>
  <si>
    <t>Chorros de riego</t>
  </si>
  <si>
    <t>30191601</t>
  </si>
  <si>
    <t>Cartones de huevos</t>
  </si>
  <si>
    <t>Dietilamina diclofenaco</t>
  </si>
  <si>
    <t>Soporte de pared</t>
  </si>
  <si>
    <t>Estrategia militar</t>
  </si>
  <si>
    <t>Servicios de fabricación de fibra de seda</t>
  </si>
  <si>
    <t>Hetastarch</t>
  </si>
  <si>
    <t xml:space="preserve">PLANIFICACION DEL INCART </t>
  </si>
  <si>
    <t>Condones</t>
  </si>
  <si>
    <t>20101703</t>
  </si>
  <si>
    <t>Extrusiones en frío de acero inoxidable</t>
  </si>
  <si>
    <t>Tijeras para autopsias</t>
  </si>
  <si>
    <t>Guantes de preparación para uso quirúrgico</t>
  </si>
  <si>
    <t>Mesilato de bromocriptina</t>
  </si>
  <si>
    <t>Clorazapato dipotásico</t>
  </si>
  <si>
    <t>Software de imágenes gráficas o de fotografía</t>
  </si>
  <si>
    <t>Kits de instalación o modificación de equipos de telecomunicaciones</t>
  </si>
  <si>
    <t>Transmisión escalonada o transmisión stepper o graduador escalonado</t>
  </si>
  <si>
    <t>Líneas de flotadores</t>
  </si>
  <si>
    <t>Rejillas enfriadoras para uso doméstico</t>
  </si>
  <si>
    <t>Quinientas unidades</t>
  </si>
  <si>
    <t>Piritionato de zinc</t>
  </si>
  <si>
    <t>Cabuya</t>
  </si>
  <si>
    <t>Asientos de bebé para el carro</t>
  </si>
  <si>
    <t>Componentes de aleación ferrosa maquinados por extrusión en caliente</t>
  </si>
  <si>
    <t>Anfotericina b</t>
  </si>
  <si>
    <t>Alquinos</t>
  </si>
  <si>
    <t>Alcoholes o sus sustitutos</t>
  </si>
  <si>
    <t>Duplicadores digitales</t>
  </si>
  <si>
    <t>Equipo de cemento líquido a granel</t>
  </si>
  <si>
    <t>Tubería de hojalata</t>
  </si>
  <si>
    <t>Accesorios para instrumentos de medición de peso</t>
  </si>
  <si>
    <t>Servicios del sistema de las organizaciones</t>
  </si>
  <si>
    <t>Tuercas soldables</t>
  </si>
  <si>
    <t>Componentes de estaño estampados</t>
  </si>
  <si>
    <t>Productos para el cuidado de la piel</t>
  </si>
  <si>
    <t>12161902</t>
  </si>
  <si>
    <t>Máquinas impresoras de fotograbados</t>
  </si>
  <si>
    <t>Objetos maquinados de cobre fundidos en arena</t>
  </si>
  <si>
    <t>47111505</t>
  </si>
  <si>
    <t>Aerosoles antisalpicaduras</t>
  </si>
  <si>
    <t>Servicios de restauración del emplazamiento del pozo</t>
  </si>
  <si>
    <t>46182007</t>
  </si>
  <si>
    <t>Cinceles de madera</t>
  </si>
  <si>
    <t>Publicidad en páginas amarillas o en directorios comerciales o de servicios</t>
  </si>
  <si>
    <t>Harina</t>
  </si>
  <si>
    <t>Kits de matemáticas para primaria</t>
  </si>
  <si>
    <t>Transductores de bombas de infusión intravenosas</t>
  </si>
  <si>
    <t>Papel para dibujo de pasta de madera triturada</t>
  </si>
  <si>
    <t>Filtros de microbiología</t>
  </si>
  <si>
    <t>Sendero de caminantes</t>
  </si>
  <si>
    <t>Cortinas</t>
  </si>
  <si>
    <t>Sistemas de recuperación de la información computarizada</t>
  </si>
  <si>
    <t>Limpiadores para lentes de cámara</t>
  </si>
  <si>
    <t>Aparato de corte o de soldadura fuerte o de soldadura por llama de gas</t>
  </si>
  <si>
    <t>Las Palomas</t>
  </si>
  <si>
    <t>Servicios de redes digitales de servicios integrados (isdn)</t>
  </si>
  <si>
    <t>Herraduras para mula</t>
  </si>
  <si>
    <t>Bridas de amoníaco</t>
  </si>
  <si>
    <t>Sismógrafos o grabadoras sísmicas</t>
  </si>
  <si>
    <t>Objetos maquinados de aleación de níquel fundidos a la cera perdida</t>
  </si>
  <si>
    <t>51141920</t>
  </si>
  <si>
    <t>Resinas plásticas</t>
  </si>
  <si>
    <t>Luces de techo o lámparas de techo o accesorios para exámenes médicos</t>
  </si>
  <si>
    <t>Lápices de colores</t>
  </si>
  <si>
    <t>Analizadores de película radiográfica para uso odontológico</t>
  </si>
  <si>
    <t>Productos de coraza de pecho</t>
  </si>
  <si>
    <t>Agentes de control de asfaltenos de parafina tipo solvente</t>
  </si>
  <si>
    <t>Polímero acetal</t>
  </si>
  <si>
    <t>Kits post endodoncia</t>
  </si>
  <si>
    <t>Cunas para extremidades</t>
  </si>
  <si>
    <t>Hebra de bismaleimida</t>
  </si>
  <si>
    <t>Perfiles de bronce</t>
  </si>
  <si>
    <t>51141618</t>
  </si>
  <si>
    <t>Percoladores urológicos</t>
  </si>
  <si>
    <t>Cocinas de oficinas</t>
  </si>
  <si>
    <t>Columnas</t>
  </si>
  <si>
    <t>Bandejas para compresas</t>
  </si>
  <si>
    <t>42293603</t>
  </si>
  <si>
    <t>Ensambles estructurales remachados de acero al carbono</t>
  </si>
  <si>
    <t>Objetos maquinados de aleación no ferrosa fundidos en arena</t>
  </si>
  <si>
    <t>Plutonio pu</t>
  </si>
  <si>
    <t>Troqueles de acero de medida</t>
  </si>
  <si>
    <t>Para la compra de Productos de limpieza e Higuiene</t>
  </si>
  <si>
    <t>Barriles para bombas</t>
  </si>
  <si>
    <t>Papel libros o cuadernos para bitácoras</t>
  </si>
  <si>
    <t>Tapetes decorativos</t>
  </si>
  <si>
    <t>Elevadores hidráulicos o accesorios para uso clínico</t>
  </si>
  <si>
    <t>Saccharomyces boulardii</t>
  </si>
  <si>
    <t>Detonadores</t>
  </si>
  <si>
    <t>Marina</t>
  </si>
  <si>
    <t>Limas</t>
  </si>
  <si>
    <t>Marcadores de textiles o lápices para textiles o tiza para textiles</t>
  </si>
  <si>
    <t>Servicios de conservación en cámara frigorífica</t>
  </si>
  <si>
    <t>Helicópteros agrícolas</t>
  </si>
  <si>
    <t>Misiles aire a superficie</t>
  </si>
  <si>
    <t>Servicios de formación profesional industrial</t>
  </si>
  <si>
    <t>Clorhidrato de tetracaina</t>
  </si>
  <si>
    <t>Detectores de escape de líquidos</t>
  </si>
  <si>
    <t>Cables para cámaras</t>
  </si>
  <si>
    <t>Compuestos indicadores de presión de uso odontológico</t>
  </si>
  <si>
    <t>Cámaras de ionización</t>
  </si>
  <si>
    <t>Alfileteros</t>
  </si>
  <si>
    <t>Guerra de guerrillas</t>
  </si>
  <si>
    <t>Cambita Garabitos</t>
  </si>
  <si>
    <t>Análisis macroeconómico</t>
  </si>
  <si>
    <t>Esponja especial para laparotomía o detectable por rayos x o de uso quirúrgico</t>
  </si>
  <si>
    <t>Procedimientos</t>
  </si>
  <si>
    <t>Aparatos de percepción de profundidad</t>
  </si>
  <si>
    <t>Contenedores o semillas de intra cavidad para braquiterapia</t>
  </si>
  <si>
    <t>Componentes de aleación de níquel perforados</t>
  </si>
  <si>
    <t>Bebidas deportivas o de energía</t>
  </si>
  <si>
    <t>Iluminación paisajística</t>
  </si>
  <si>
    <t>Equipo de conexión cruzada digital dcx de banda estrecha o de banda ancha</t>
  </si>
  <si>
    <t>Servicios de prevención o control de la tuberculosis</t>
  </si>
  <si>
    <t>Selección ganadera</t>
  </si>
  <si>
    <t>Objetos maquinados de estaño fundidos a la cera perdida</t>
  </si>
  <si>
    <t>Kits de laringoscopia para servicios médicos de emergencia</t>
  </si>
  <si>
    <t>Mejillones vivos</t>
  </si>
  <si>
    <t>Contenedores de insectos para laboratorio</t>
  </si>
  <si>
    <t>Sepulturar</t>
  </si>
  <si>
    <t>Hardware de filtración o accesorios para laboratorio</t>
  </si>
  <si>
    <t>MEDICAMENTOS ANTICOAGULANTE Y ANTICONVULSIVO 3</t>
  </si>
  <si>
    <t>Pintura para cerámica o vidrio horneado</t>
  </si>
  <si>
    <t>INSUMOS HOSPITALIZACION GENERAL 1</t>
  </si>
  <si>
    <t>Hidrocortisona</t>
  </si>
  <si>
    <t>Reglas t</t>
  </si>
  <si>
    <t>Equipo de lavabos para aeronaves</t>
  </si>
  <si>
    <t>Barcos de munición</t>
  </si>
  <si>
    <t>Inductores</t>
  </si>
  <si>
    <t>Combustible marítimo</t>
  </si>
  <si>
    <t>Forjaduras anulares laminadas de aluminio</t>
  </si>
  <si>
    <t>Pavimentadoras</t>
  </si>
  <si>
    <t>Despliegue de mapas o secuencias vectoriales</t>
  </si>
  <si>
    <t>Servicios de transporte nacional por barcazas</t>
  </si>
  <si>
    <t>Contenedores de succión para uso médico</t>
  </si>
  <si>
    <t>Spoilers de avión</t>
  </si>
  <si>
    <t>Cloruro de benzalconio</t>
  </si>
  <si>
    <t>Instrumentos de determinación de tamaño de válvula para uso quirúrgico</t>
  </si>
  <si>
    <t>Alfileres neurológicos</t>
  </si>
  <si>
    <t>Fosfomicina trometamol</t>
  </si>
  <si>
    <t>Rompedores de polímero orgánico</t>
  </si>
  <si>
    <t>Servicios de simulación del depósito</t>
  </si>
  <si>
    <t>Varilla roscada</t>
  </si>
  <si>
    <t>Tanques almacenadores de petróleo</t>
  </si>
  <si>
    <t>Kits de partes de conmutadores telefónicos</t>
  </si>
  <si>
    <t>Adaptadores de catéteres endoscópicos</t>
  </si>
  <si>
    <t>Servicios de compensación de fondos</t>
  </si>
  <si>
    <t>Anticuerpos</t>
  </si>
  <si>
    <t>Rompedores de emulsión aceite en agua</t>
  </si>
  <si>
    <t>Máquinas de lavado en seco</t>
  </si>
  <si>
    <t>Hemostáticos de colágeno micro fibrilar</t>
  </si>
  <si>
    <t>Estrona</t>
  </si>
  <si>
    <t>Purpurina iridiscente</t>
  </si>
  <si>
    <t>Acoples de pestillo expreso</t>
  </si>
  <si>
    <t>Canastas de impresión para uso odontológico</t>
  </si>
  <si>
    <t>51191601</t>
  </si>
  <si>
    <t>Memoria ram dinámica (dram)</t>
  </si>
  <si>
    <t>Servicios de formación con explosivos</t>
  </si>
  <si>
    <t>Impuesto sobre la tierra</t>
  </si>
  <si>
    <t>Analizadores de glucosa</t>
  </si>
  <si>
    <t>Barco de trabajo de gas o petróleo</t>
  </si>
  <si>
    <t>Hialuronato de sodio</t>
  </si>
  <si>
    <t>Cartulina de pasta de madera triturada</t>
  </si>
  <si>
    <t>Cucharas de pala</t>
  </si>
  <si>
    <t>Kits de matemáticas de fracciones</t>
  </si>
  <si>
    <t>Ensambles de barras remachadas de aluminio</t>
  </si>
  <si>
    <t>Ensambles de tubos remachados de acero al carbono</t>
  </si>
  <si>
    <t>Básculas de pañales</t>
  </si>
  <si>
    <t>Accesorios de almacenamiento de soporte para computadores</t>
  </si>
  <si>
    <t>Pinzas de corte diagonal</t>
  </si>
  <si>
    <t>Silibinina</t>
  </si>
  <si>
    <t>Bismuto</t>
  </si>
  <si>
    <t>Bohechio</t>
  </si>
  <si>
    <t>Juguetes inflables</t>
  </si>
  <si>
    <t>Dantroleno sódico</t>
  </si>
  <si>
    <t>Ensambles de tubos soldados con soldadura ultra violeta de inconel</t>
  </si>
  <si>
    <t>Patinetas o patines de ocho figuras para rehabilitación o terapia</t>
  </si>
  <si>
    <t>Hotel</t>
  </si>
  <si>
    <t>USO GENERAL DE INCART</t>
  </si>
  <si>
    <t>Clorquinaldol</t>
  </si>
  <si>
    <t>Sistemas de estéreo portátiles</t>
  </si>
  <si>
    <t>Ventanas fijas</t>
  </si>
  <si>
    <t>Lactato de calcio</t>
  </si>
  <si>
    <t>Acero en placa labrada</t>
  </si>
  <si>
    <t>USO TRATAMIENTO DE CANCER</t>
  </si>
  <si>
    <t>INSUMOS CIRUGIA MAYOR 3</t>
  </si>
  <si>
    <t>Servicios de bombeo para control de arena de no fracturación</t>
  </si>
  <si>
    <t>41122601</t>
  </si>
  <si>
    <t>Vulcanizadoras</t>
  </si>
  <si>
    <t>41121601</t>
  </si>
  <si>
    <t>Baterías recargables</t>
  </si>
  <si>
    <t>Equipo de crecimiento de cristal</t>
  </si>
  <si>
    <t>Santo Domingo Norte</t>
  </si>
  <si>
    <t>Equipo para teñir muestras de histología o citología</t>
  </si>
  <si>
    <t>Puntas de pipeta universales</t>
  </si>
  <si>
    <t>Electroscopios</t>
  </si>
  <si>
    <t>Alambre aislado o forrado</t>
  </si>
  <si>
    <t>Tensores de cadena</t>
  </si>
  <si>
    <t>Forjaduras en estampa de impresión de bronce</t>
  </si>
  <si>
    <t>Puntos o cintas de dibujo</t>
  </si>
  <si>
    <t>Agencias de detectives</t>
  </si>
  <si>
    <t>Tazones (“mugs”) para uso doméstico</t>
  </si>
  <si>
    <t>Unidades de facsímil para máquinas de oficina</t>
  </si>
  <si>
    <t>Aros de basquetbol</t>
  </si>
  <si>
    <t>Relojes de mesa o repisa</t>
  </si>
  <si>
    <t>Lupas</t>
  </si>
  <si>
    <t>Cloruro de cetilpiridinio</t>
  </si>
  <si>
    <t>Forjaduras anulares laminadas de metal precioso</t>
  </si>
  <si>
    <t>Equipo multi banco o de floculación</t>
  </si>
  <si>
    <t>Intermedios de acrilato o metacrilato</t>
  </si>
  <si>
    <t>Objetos de zinc fundidos en molde de grafito</t>
  </si>
  <si>
    <t>Edificio de la terminal del ferry</t>
  </si>
  <si>
    <t>Servicios de distribución de alimentos</t>
  </si>
  <si>
    <t>Ingeniería de puertos</t>
  </si>
  <si>
    <t>Sistemas de dosificación de residuos radiactivos</t>
  </si>
  <si>
    <t>Caolín u otras arcillas caolínicas</t>
  </si>
  <si>
    <t>Talladores de amalgamas dentales</t>
  </si>
  <si>
    <t>Máscaras anti putrefacción</t>
  </si>
  <si>
    <t>Pernos en u</t>
  </si>
  <si>
    <t>Dispositivos de inoculación</t>
  </si>
  <si>
    <t>Bandejas de biopsia de médula de hueso para laboratorio</t>
  </si>
  <si>
    <t>Miradores</t>
  </si>
  <si>
    <t>Retractores de esternón</t>
  </si>
  <si>
    <t>Bolsas mezcladoras para uso odontológico</t>
  </si>
  <si>
    <t>Componentes de aleación de níquel maquinados por extrusión hidrostática</t>
  </si>
  <si>
    <t>Servicios de recubrimiento rollo a rollo (web)</t>
  </si>
  <si>
    <t>Refuerzos para orificios</t>
  </si>
  <si>
    <t>Forjas compuestas maquinadas con troquel cerrado</t>
  </si>
  <si>
    <t>Servicios de fabricación de partes y accesorios de vehículos de motor</t>
  </si>
  <si>
    <t>Pantalones terapéuticos para terapia fría o caliente</t>
  </si>
  <si>
    <t>Objetos de hierro fundidos en molde de yeso</t>
  </si>
  <si>
    <t>Materiales protectores de la boca para atletas</t>
  </si>
  <si>
    <t>Cintas o escarapelas para el salón de clases</t>
  </si>
  <si>
    <t>Analizadores de red</t>
  </si>
  <si>
    <t>SERVICIOS</t>
  </si>
  <si>
    <t>Productos de tecnología de rápida amplificación o terminaciones de ácido desoxirribonucleico complementario race</t>
  </si>
  <si>
    <t>Carnes procesadas y preparadas fresco</t>
  </si>
  <si>
    <t>Alimentador mecánico</t>
  </si>
  <si>
    <t>Adaptadores para centrífugas</t>
  </si>
  <si>
    <t>FECHA DE NECESSIDAD</t>
  </si>
  <si>
    <t>Servicios de impresión industrial offset</t>
  </si>
  <si>
    <t>Pantallas de ventana</t>
  </si>
  <si>
    <t>Componentes de plomo formados con explosivos</t>
  </si>
  <si>
    <t>Cortadores de alambres</t>
  </si>
  <si>
    <t>Servicios de fabricación de equipos electrónicos</t>
  </si>
  <si>
    <t>Accesorios para bloquear o transferir</t>
  </si>
  <si>
    <t>Soporte de reborde</t>
  </si>
  <si>
    <t>Trampolines</t>
  </si>
  <si>
    <t>Halazepam</t>
  </si>
  <si>
    <t>SOLUCIONES 3</t>
  </si>
  <si>
    <t>Metaxalona</t>
  </si>
  <si>
    <t>51111717</t>
  </si>
  <si>
    <t>Barras nutricionales o pudín u otros suplementos</t>
  </si>
  <si>
    <t>Papeles de registro para electroencefalógrafos</t>
  </si>
  <si>
    <t>Repuestos de minas</t>
  </si>
  <si>
    <t>Fomivirsen sódico</t>
  </si>
  <si>
    <t>Estuches para aparatos o accesorios de resucitación</t>
  </si>
  <si>
    <t>Calzado atlético para niño</t>
  </si>
  <si>
    <t>Citrato de clomifeno</t>
  </si>
  <si>
    <t>Diseño de comunicaciones por redes de área local</t>
  </si>
  <si>
    <t>Componentes compuestos formados en torno</t>
  </si>
  <si>
    <t>Articulos de escritorio 3</t>
  </si>
  <si>
    <t>Repisa u organizador colgante para elementos de aseo personal</t>
  </si>
  <si>
    <t>Citrato de tamoxifeno</t>
  </si>
  <si>
    <t>Generadores para soldadura</t>
  </si>
  <si>
    <t>servicios de temple y enfriamiento</t>
  </si>
  <si>
    <t>Kits o accesorios para enema</t>
  </si>
  <si>
    <t>Sets o accesorios de suministro quirúrgico general</t>
  </si>
  <si>
    <t>Sandalias para bebé</t>
  </si>
  <si>
    <t>Poliestireno de alto impacto hips</t>
  </si>
  <si>
    <t>Servicios de obstetricia o de preparación para el parto</t>
  </si>
  <si>
    <t>Estiradores quirúrgicos tracheales</t>
  </si>
  <si>
    <t>Tirotricina</t>
  </si>
  <si>
    <t>Elevadores de pacientes o accesorios</t>
  </si>
  <si>
    <t>Cabezas de pulir</t>
  </si>
  <si>
    <t>Cable de radiofrecuencia (rf)</t>
  </si>
  <si>
    <t>Materiales de enseñanza de recursos de nutrición prenatal o abuso fetal</t>
  </si>
  <si>
    <t>Bloques para producir hemisferios (“dapping punches”)</t>
  </si>
  <si>
    <t>Resina de polisulfona</t>
  </si>
  <si>
    <t>DESECHABLES MEDICOS 2</t>
  </si>
  <si>
    <t>Localizadores de fallas de fibra óptica</t>
  </si>
  <si>
    <t>Servicios de soldadura de arco</t>
  </si>
  <si>
    <t>San Fernando de Montecristi</t>
  </si>
  <si>
    <t>Fuentes de poder de tubería flexible</t>
  </si>
  <si>
    <t>Claraboyas de tubo</t>
  </si>
  <si>
    <t>Protectores de rosca para campo petrolero</t>
  </si>
  <si>
    <t>Borato de epinefrina</t>
  </si>
  <si>
    <t>Pristinamicina</t>
  </si>
  <si>
    <t>Buserelina</t>
  </si>
  <si>
    <t>Sulfato de hidroxicloroquina</t>
  </si>
  <si>
    <t>Carvedilol</t>
  </si>
  <si>
    <t>Ayudas para esténciles o textos</t>
  </si>
  <si>
    <t>Compostadores</t>
  </si>
  <si>
    <t>Equipo de resonancia</t>
  </si>
  <si>
    <t>Textil sintético de tejido dobby</t>
  </si>
  <si>
    <t>Clorhidrato de tocainida</t>
  </si>
  <si>
    <t>Planificación del transporte</t>
  </si>
  <si>
    <t>Fibras de nylon</t>
  </si>
  <si>
    <t>Productos de debridación enzimática para uso médico</t>
  </si>
  <si>
    <t>Llaves de impacto neumático</t>
  </si>
  <si>
    <t>Servicios de medicina herbolaria  o de herbolarios</t>
  </si>
  <si>
    <t>Textiles de terciopelo de algodón</t>
  </si>
  <si>
    <t>Aleación de aluminio 7178</t>
  </si>
  <si>
    <t>Absorbentes de empaquetado</t>
  </si>
  <si>
    <t>Levantadores o ayudas para ponerse de pie</t>
  </si>
  <si>
    <t>Materiales de enseñanza de  educación acerca de los trastornos alimenticios</t>
  </si>
  <si>
    <t>Tubería de piedra</t>
  </si>
  <si>
    <t>Cajas fuertes</t>
  </si>
  <si>
    <t>Sets de equipos endoscópicos</t>
  </si>
  <si>
    <t>Servicios de procesamiento de remesas</t>
  </si>
  <si>
    <t>Accesorios de carpetas de folders</t>
  </si>
  <si>
    <t>Protectores de micrófono para teléfonos de pago</t>
  </si>
  <si>
    <t>Excepción - Resolución 15-08 sobre compra y contratación de pasaje aéreo, combustible y reparación de vehículos de motor</t>
  </si>
  <si>
    <t>Cable para interconexiones</t>
  </si>
  <si>
    <t>Deslizadores del lecho de perforación</t>
  </si>
  <si>
    <t>51161808</t>
  </si>
  <si>
    <t>Acero en barra labrada</t>
  </si>
  <si>
    <t>Aisladores</t>
  </si>
  <si>
    <t>Izajes laterales</t>
  </si>
  <si>
    <t>15101506</t>
  </si>
  <si>
    <t>Barras de estaño</t>
  </si>
  <si>
    <t>Lógica de matriz programable (pal)</t>
  </si>
  <si>
    <t>Papel de registro de monitores fetales</t>
  </si>
  <si>
    <t>Compuestos para arrancar pintura o barniz</t>
  </si>
  <si>
    <t>Cosecha de bosques de zonas templadas</t>
  </si>
  <si>
    <t>42141601</t>
  </si>
  <si>
    <t>Piezas de magnesio forjadas a martinete</t>
  </si>
  <si>
    <t>Vasijas de barro para servicio de comidas</t>
  </si>
  <si>
    <t>Elevadores de misiles sólidos</t>
  </si>
  <si>
    <t>Ollas arroceras para uso comercial</t>
  </si>
  <si>
    <t>30181503</t>
  </si>
  <si>
    <t>Ensayo de materiales</t>
  </si>
  <si>
    <t>39121002</t>
  </si>
  <si>
    <t>Plataforma de servicios de mensajes basados en locación</t>
  </si>
  <si>
    <t>Rabeprazol sódico</t>
  </si>
  <si>
    <t>51142232</t>
  </si>
  <si>
    <t>Conjuntos de embrague de frenado</t>
  </si>
  <si>
    <t xml:space="preserve">Fumigacion </t>
  </si>
  <si>
    <t>Elefantes</t>
  </si>
  <si>
    <t>Medidoras de tensión</t>
  </si>
  <si>
    <t>Objetos de fundición centrífuga de estaño</t>
  </si>
  <si>
    <t>Aerosoles</t>
  </si>
  <si>
    <t>Servicios de prevención o control inmunológico</t>
  </si>
  <si>
    <t>Esponjas de gelatina absorbible</t>
  </si>
  <si>
    <t>Salicilato de dietilamina</t>
  </si>
  <si>
    <t>Compuestos restauradores de uso odontológico</t>
  </si>
  <si>
    <t>Analizadores de bancos de sangre</t>
  </si>
  <si>
    <t>Forjaduras anulares laminadas de latón</t>
  </si>
  <si>
    <t>Tablero de montaje</t>
  </si>
  <si>
    <t>Tensores</t>
  </si>
  <si>
    <t>Praseodimio pr</t>
  </si>
  <si>
    <t>Primidona</t>
  </si>
  <si>
    <t>Cartuchos de ligadura para ortodoncia</t>
  </si>
  <si>
    <t>Astemizol</t>
  </si>
  <si>
    <t>Cinta para alfombras</t>
  </si>
  <si>
    <t>Extrusiones por impacto de plomo</t>
  </si>
  <si>
    <t>Esteatita</t>
  </si>
  <si>
    <t>Pulidoras</t>
  </si>
  <si>
    <t>Termistores</t>
  </si>
  <si>
    <t>Bromuro de piridostigmina</t>
  </si>
  <si>
    <t>Zapatones para niño</t>
  </si>
  <si>
    <t>Sujetadores de pañitos de limpieza</t>
  </si>
  <si>
    <t>Disco versátil digital dvd de lectura y escritura</t>
  </si>
  <si>
    <t>MONTO ESTIMADO TOTAL</t>
  </si>
  <si>
    <t>Sets o diagramas de anatomía</t>
  </si>
  <si>
    <t>Componentes de plomo formados por estiramiento por presión</t>
  </si>
  <si>
    <t>Componentes de metal precioso maquinados por extrusión en frío</t>
  </si>
  <si>
    <t>Papel bond para para dibujo</t>
  </si>
  <si>
    <t>Paseos de Tiendas</t>
  </si>
  <si>
    <t>Luces de árboles</t>
  </si>
  <si>
    <t>Anclajes de tubería</t>
  </si>
  <si>
    <t>Servicios de presentación informes del campo petrolero</t>
  </si>
  <si>
    <t>40141908</t>
  </si>
  <si>
    <t>Resistores o varistores variables</t>
  </si>
  <si>
    <t>La Entrada</t>
  </si>
  <si>
    <t>Tanques de recolección</t>
  </si>
  <si>
    <t>Plato de orificio</t>
  </si>
  <si>
    <t>Cromatógrafos para cromatografía de líquido de alta presión</t>
  </si>
  <si>
    <t>50202301</t>
  </si>
  <si>
    <t>Parotiditis</t>
  </si>
  <si>
    <t>Artículos de concha</t>
  </si>
  <si>
    <t>Servicios de producción de gas natural</t>
  </si>
  <si>
    <t>Esfinterómetros endoscópicos</t>
  </si>
  <si>
    <t>42202702</t>
  </si>
  <si>
    <t>Válvulas o accesorios para endoscopia</t>
  </si>
  <si>
    <t>Sulfato codeina</t>
  </si>
  <si>
    <t>Lavaderos o accesorios para autopsias</t>
  </si>
  <si>
    <t>Cucharas o curetas oftálmicas</t>
  </si>
  <si>
    <t>Arenas de fracturación</t>
  </si>
  <si>
    <t>Rododendros</t>
  </si>
  <si>
    <t>51151737</t>
  </si>
  <si>
    <t>Instrumentos quirúrgicos o sistemas de guía de imágenes de resonancia magnética mri para uso médico</t>
  </si>
  <si>
    <t>Vendajes de gasa</t>
  </si>
  <si>
    <t>Mesas de conferencia</t>
  </si>
  <si>
    <t>Pinzas o ganchos o fórceps o accesorios para uso quirúrgico</t>
  </si>
  <si>
    <t>Aceite de frenos</t>
  </si>
  <si>
    <t>Máquina de picar con chorro de perdigones</t>
  </si>
  <si>
    <t>Pantallas intensificadoras de rayos x para uso médico</t>
  </si>
  <si>
    <t>Hojas de cuchillo</t>
  </si>
  <si>
    <t>Tenipósido</t>
  </si>
  <si>
    <t>Estuches o bolsas para instrumentos dentales</t>
  </si>
  <si>
    <t>Minoxidil solución tópica</t>
  </si>
  <si>
    <t>Equipos de remoción de hierro</t>
  </si>
  <si>
    <t>Kits o suministros para pruebas químicas</t>
  </si>
  <si>
    <t>Incubadoras de cámara única de dióxido de carbono recubierta de agua con control de humedad</t>
  </si>
  <si>
    <t>Asfalto</t>
  </si>
  <si>
    <t>Clorhidrato de eflomitina</t>
  </si>
  <si>
    <t>Aletas canard de avión</t>
  </si>
  <si>
    <t>FT3</t>
  </si>
  <si>
    <t>Polarizadores</t>
  </si>
  <si>
    <t>Pantallas de lámparas</t>
  </si>
  <si>
    <t>Distribuidores de inyección de combustible</t>
  </si>
  <si>
    <t>Chaquetas para pacientes</t>
  </si>
  <si>
    <t>Plantas artificiales</t>
  </si>
  <si>
    <t>Cerramientos para cultivo de tejidos</t>
  </si>
  <si>
    <t>Limpiador de drenajes</t>
  </si>
  <si>
    <t>Cortadores de alambres o cables</t>
  </si>
  <si>
    <t>Dispensadores de estampillas postales</t>
  </si>
  <si>
    <t>Instrumentos para cubrir heridas para uso quirúrgico</t>
  </si>
  <si>
    <t>Atapulgita</t>
  </si>
  <si>
    <t>Sensores de oxígeno</t>
  </si>
  <si>
    <t>Medidores de corriente para corriente abierta</t>
  </si>
  <si>
    <t>23101502</t>
  </si>
  <si>
    <t>Hamamelis o escoba de bruja</t>
  </si>
  <si>
    <t>Unidades de tomografía de rayos x para uso médico</t>
  </si>
  <si>
    <t>Las Galeras</t>
  </si>
  <si>
    <t>La Peña</t>
  </si>
  <si>
    <t>Componentes de acero formados por estiramiento por presión</t>
  </si>
  <si>
    <t>Bridas de plato</t>
  </si>
  <si>
    <t>Placa de acero inoxidable</t>
  </si>
  <si>
    <t>Tanques refrigeradores de leche</t>
  </si>
  <si>
    <t>Cascos de seguridad</t>
  </si>
  <si>
    <t>Servicios de prevención o control de enfermedades virales</t>
  </si>
  <si>
    <t xml:space="preserve">PARA USO PACIENTES INCART </t>
  </si>
  <si>
    <t>Terminaciones</t>
  </si>
  <si>
    <t>OPERACIONES / ELECTROMEDICINA Y MANTENIMIENTO 3</t>
  </si>
  <si>
    <t>53101502</t>
  </si>
  <si>
    <t>Tintas acrílicas a base de agua</t>
  </si>
  <si>
    <t>Grabadora de chip de circuito integrado ic</t>
  </si>
  <si>
    <t>Cuerda de polipropileno</t>
  </si>
  <si>
    <t>Unidades múltiples de fracturación</t>
  </si>
  <si>
    <t>Tostadoras para uso comercial</t>
  </si>
  <si>
    <t>Invertebrados acuáticos frescos</t>
  </si>
  <si>
    <t>Los Hidalgos</t>
  </si>
  <si>
    <t>Estudios geofísicos</t>
  </si>
  <si>
    <t>Objetos maquinados de plomo fundidos en molde en concha</t>
  </si>
  <si>
    <t>Caballetes de madera</t>
  </si>
  <si>
    <t>Actuadores de boca de pozo</t>
  </si>
  <si>
    <t>Ollas de vapor para uso comercial</t>
  </si>
  <si>
    <t>Software de contabilidad de tiempo</t>
  </si>
  <si>
    <t>Sifones en P</t>
  </si>
  <si>
    <t>Acoplamientos de tubo</t>
  </si>
  <si>
    <t>Instrumentación de flujo de neutrones incorporada al núcleo para reactores nucleares</t>
  </si>
  <si>
    <t>Media o forro prostético de muñón</t>
  </si>
  <si>
    <t>Paneles de corriente alterna (CA) y corriente continua (CC) de baja tensión</t>
  </si>
  <si>
    <t>Forjaduras anulares laminadas de plomo</t>
  </si>
  <si>
    <t>Servicios de mercados de productos básicos o de futuros</t>
  </si>
  <si>
    <t>Relés de control</t>
  </si>
  <si>
    <t>Mulita</t>
  </si>
  <si>
    <t>56101532</t>
  </si>
  <si>
    <t>Bolsillos para archivos o accesorios</t>
  </si>
  <si>
    <t>Transmisores de flujo</t>
  </si>
  <si>
    <t>Acrílico de estireno</t>
  </si>
  <si>
    <t>Ensambles de placas remachadas de titanio</t>
  </si>
  <si>
    <t>Tijeras que se abren solas para los discapacitados físicamente</t>
  </si>
  <si>
    <t>Zafirlukast</t>
  </si>
  <si>
    <t>Insertos de carburo</t>
  </si>
  <si>
    <t>Pasteles de sal de repisa</t>
  </si>
  <si>
    <t>Vigas de estaño</t>
  </si>
  <si>
    <t>Clorhidrato de isoproterenol</t>
  </si>
  <si>
    <t>Zidovudina</t>
  </si>
  <si>
    <t>Detergentes de lavado para laboratorios</t>
  </si>
  <si>
    <t>Geles de agarosa prefabricados</t>
  </si>
  <si>
    <t>Equipos de desalinización</t>
  </si>
  <si>
    <t xml:space="preserve">compra de abarrotes y alimentos </t>
  </si>
  <si>
    <t>Tráiler cama alta</t>
  </si>
  <si>
    <t>Embudos</t>
  </si>
  <si>
    <t>Kits de baterías</t>
  </si>
  <si>
    <t>Cañones de escopetas</t>
  </si>
  <si>
    <t>Tornos o accesorios de laboratorio dental</t>
  </si>
  <si>
    <t>Materiales para acolchonar yesos o tablillas</t>
  </si>
  <si>
    <t>Separador de sistema de antiguo teléfono simple de empresa cautiva pots de circuito de subscriptor digital dsl</t>
  </si>
  <si>
    <t>Instrumentos de incisión del talón de los bebés</t>
  </si>
  <si>
    <t>Clubes deportivos de vuelo</t>
  </si>
  <si>
    <t>Álbumes de estampillas</t>
  </si>
  <si>
    <t>Ensambles de placas soldadas con soldadura sónica de acero inoxidable</t>
  </si>
  <si>
    <t>Ruedas para pulir</t>
  </si>
  <si>
    <t>Iones cromatográficos</t>
  </si>
  <si>
    <t>Unidades de almacenamiento industriales</t>
  </si>
  <si>
    <t>Libros de recursos o actividades del tangram</t>
  </si>
  <si>
    <t xml:space="preserve">Compra de especias </t>
  </si>
  <si>
    <t>Lámparas portátiles</t>
  </si>
  <si>
    <t>Servicios del fondo internacional para el desarrollo agrícola</t>
  </si>
  <si>
    <t>Forjas de magnesio maquinadas con impresión por troquel</t>
  </si>
  <si>
    <t>Descansa brazos</t>
  </si>
  <si>
    <t>Sabana Grande de Palenque</t>
  </si>
  <si>
    <t>La Guáyiga</t>
  </si>
  <si>
    <t>Cámaras hiperbáricas para uso médico</t>
  </si>
  <si>
    <t>Variadores de fase</t>
  </si>
  <si>
    <t>Objetivos para lanzar</t>
  </si>
  <si>
    <t>Nicergolina</t>
  </si>
  <si>
    <t>Piezas de acero inoxidable forjadas a martinete</t>
  </si>
  <si>
    <t>Servicios de salida de tubería mediante tubería flexible contínua</t>
  </si>
  <si>
    <t>Cacerolas para uso doméstico</t>
  </si>
  <si>
    <t>Cartón duro o cartón de colores de dos caras</t>
  </si>
  <si>
    <t>Objetos de cobre fundidos en molde fijo</t>
  </si>
  <si>
    <t>Soportes para escroto</t>
  </si>
  <si>
    <t>Listo para comer o cereal caliente</t>
  </si>
  <si>
    <t>Eyectores de saliva o dispositivos de succión oral o suministros dentales</t>
  </si>
  <si>
    <t>43211721</t>
  </si>
  <si>
    <t>Kits de tratamiento dental para servicios médicos de emergencia</t>
  </si>
  <si>
    <t>Botellas para apretar</t>
  </si>
  <si>
    <t>servilletero</t>
  </si>
  <si>
    <t>Hidrómetros ácidos de batería</t>
  </si>
  <si>
    <t>Alfombrado</t>
  </si>
  <si>
    <t>Ventanas de apertura horizontal</t>
  </si>
  <si>
    <t>Servicios de microficha</t>
  </si>
  <si>
    <t>12141901</t>
  </si>
  <si>
    <t>Enchufes</t>
  </si>
  <si>
    <t>Teléfonos para propósitos especiales</t>
  </si>
  <si>
    <t>Boyá</t>
  </si>
  <si>
    <t>Titanio sin aleación para implantes dentales</t>
  </si>
  <si>
    <t>Electroencefalógrafo eeg o accesorios</t>
  </si>
  <si>
    <t>Ensambles de barras pegadas de inconel</t>
  </si>
  <si>
    <t>El Rosario</t>
  </si>
  <si>
    <t>Curvas</t>
  </si>
  <si>
    <t>Seguro de automóviles o camiones</t>
  </si>
  <si>
    <t>Chalecos o protectores salvavidas</t>
  </si>
  <si>
    <t>Forjaduras anulares laminadas de aleación ferrosa</t>
  </si>
  <si>
    <t>Probadores de torsión</t>
  </si>
  <si>
    <t>Aguja de localización de seno</t>
  </si>
  <si>
    <t>42161617</t>
  </si>
  <si>
    <t>Máquinas de granizados</t>
  </si>
  <si>
    <t>Vectores de secuenciación</t>
  </si>
  <si>
    <t>Servicios educativos preescolares</t>
  </si>
  <si>
    <t>Plumeros para limpiar el polvo</t>
  </si>
  <si>
    <t>Servicios de sopladores de vidrio</t>
  </si>
  <si>
    <t>Flunisolida</t>
  </si>
  <si>
    <t>Cuñas de perforación</t>
  </si>
  <si>
    <t>Controladores ambientales del avión</t>
  </si>
  <si>
    <t>Unidades de carga premium para biopsia de seno mínimamente invasiva</t>
  </si>
  <si>
    <t>Antimoniato de meglumina</t>
  </si>
  <si>
    <t>Adhesivos para bandejas de impresión para uso odontológico</t>
  </si>
  <si>
    <t>Fosfato sódico de estramustina</t>
  </si>
  <si>
    <t>Óxido de polifenileno ppo</t>
  </si>
  <si>
    <t>Cefixima</t>
  </si>
  <si>
    <t>Patines de hielo</t>
  </si>
  <si>
    <t>INSUMOS CIRUGIA MAYOR 2</t>
  </si>
  <si>
    <t>Memoria rom programable borrable (eprom)</t>
  </si>
  <si>
    <t>72102304</t>
  </si>
  <si>
    <t>Detectores de armas o explosivos y suministros</t>
  </si>
  <si>
    <t>Separadores de pruebas de pozo</t>
  </si>
  <si>
    <t>Molinos de martillo</t>
  </si>
  <si>
    <t>Probador quimiógrafo para uso veterinario</t>
  </si>
  <si>
    <t>Papel mantequilla</t>
  </si>
  <si>
    <t>Instalaciones pesqueras en tierra</t>
  </si>
  <si>
    <t>Vigas de magnesio</t>
  </si>
  <si>
    <t>Componentes de latón maquinados por extrusión en frío</t>
  </si>
  <si>
    <t>Armazones o partes o accesorios para camas</t>
  </si>
  <si>
    <t>Objetos maquinados centrifugados de aluminio fundidos</t>
  </si>
  <si>
    <t>Filtros de hibridación</t>
  </si>
  <si>
    <t>Ajustadores del balancín</t>
  </si>
  <si>
    <t>Tarjetas de actividades de  base diez o valor posicional</t>
  </si>
  <si>
    <t>Bombas de perfusión</t>
  </si>
  <si>
    <t>Trifluradina</t>
  </si>
  <si>
    <t>Risperidona</t>
  </si>
  <si>
    <t>Estuches para transportar y almacenar tablillas o tablillas pre cortadas o sistemas de tablillas</t>
  </si>
  <si>
    <t>Materiales didácticos del medio ambiente</t>
  </si>
  <si>
    <t>Cristalizadores</t>
  </si>
  <si>
    <t>Electro magnetos de telégrafo</t>
  </si>
  <si>
    <t>Filos de sierra circular para cortar metal</t>
  </si>
  <si>
    <t>Misiles antitanques</t>
  </si>
  <si>
    <t>Componentes de zinc estampados</t>
  </si>
  <si>
    <t>Componentes de berilio maquinados por extrusión de impacto</t>
  </si>
  <si>
    <t>Chapa de latón</t>
  </si>
  <si>
    <t>Sujetadores de esferos o lápices</t>
  </si>
  <si>
    <t>Europio eu</t>
  </si>
  <si>
    <t>Tablas para cortar para uso doméstico</t>
  </si>
  <si>
    <t>Piloteadoras</t>
  </si>
  <si>
    <t>Materiales de huellas dactilares o impresión post mortem</t>
  </si>
  <si>
    <t>Cable para ser enterrado de forma directa</t>
  </si>
  <si>
    <t>Ensambles de tubería remachada de aluminio</t>
  </si>
  <si>
    <t>Tecnología cmos bipolar (bicmos)</t>
  </si>
  <si>
    <t>Hornos para esmaltar</t>
  </si>
  <si>
    <t>Servicios de transporte nacional por buque</t>
  </si>
  <si>
    <t>Paneles para techos</t>
  </si>
  <si>
    <t>Equipos de seguridad deportiva excepto para la cabeza</t>
  </si>
  <si>
    <t>Kits o materiales de desarrollo de la lectura</t>
  </si>
  <si>
    <t>Forjaduras anulares laminadas de cinc</t>
  </si>
  <si>
    <t>Instalación, reparación o mantenimiento de sistemas de calefacción</t>
  </si>
  <si>
    <t>Navajas de bolsillo</t>
  </si>
  <si>
    <t>Forjaduras en estampa de impresión de acero inoxidable</t>
  </si>
  <si>
    <t>Vehículos de juguete</t>
  </si>
  <si>
    <t>52121703</t>
  </si>
  <si>
    <t>Seguro de accidentes de trabajo</t>
  </si>
  <si>
    <t>OZ</t>
  </si>
  <si>
    <t>Barras de afinación</t>
  </si>
  <si>
    <t>Efavirenz</t>
  </si>
  <si>
    <t>Formación profesional para la agroindustria</t>
  </si>
  <si>
    <t>Stents periféricos</t>
  </si>
  <si>
    <t>Tornillos roscadores</t>
  </si>
  <si>
    <t>Ácido tánico</t>
  </si>
  <si>
    <t>Refrigeradores para propósitos generales o neveras congeladores</t>
  </si>
  <si>
    <t>Servicios de pesca con alambre (slickline)</t>
  </si>
  <si>
    <t>Zapatas de freno de tambor</t>
  </si>
  <si>
    <t>44102801</t>
  </si>
  <si>
    <t>Bandejas de revelado</t>
  </si>
  <si>
    <t>Equipo de explotación forestal</t>
  </si>
  <si>
    <t>Servicios de perforación con tubería flexible continua</t>
  </si>
  <si>
    <t>Pinturas de aceite</t>
  </si>
  <si>
    <t>Cianuros o isocianuros</t>
  </si>
  <si>
    <t>Artemeter</t>
  </si>
  <si>
    <t>Tazones de ponche para uso doméstico</t>
  </si>
  <si>
    <t>Postes de metal</t>
  </si>
  <si>
    <t>Cintas etiquetadoras</t>
  </si>
  <si>
    <t>Hornos microondas para laboratorio</t>
  </si>
  <si>
    <t>Manlift o elevador de personal</t>
  </si>
  <si>
    <t>Limpiadores o pulidores de metales</t>
  </si>
  <si>
    <t>Multímetros</t>
  </si>
  <si>
    <t>Bombas de melaza (syrup)</t>
  </si>
  <si>
    <t>Set de cubiertos</t>
  </si>
  <si>
    <t>Preparaciones tópicas de alcanfor</t>
  </si>
  <si>
    <t>Seguros de vida</t>
  </si>
  <si>
    <t>Componentes de acero inoxidable maquinados por extrusión hidrostática</t>
  </si>
  <si>
    <t>Extrusiones de perfiles de berilio</t>
  </si>
  <si>
    <t>Exoftalmómetros</t>
  </si>
  <si>
    <t>42272220</t>
  </si>
  <si>
    <t>48101813</t>
  </si>
  <si>
    <t>Telmisartán</t>
  </si>
  <si>
    <t>Servicios de producción de chapas</t>
  </si>
  <si>
    <t>Ampollas para laboratorio</t>
  </si>
  <si>
    <t>Lámparas de haluro- metálico</t>
  </si>
  <si>
    <t>Filtros ópticos de banda ancha</t>
  </si>
  <si>
    <t>Clorhidrato de pitofenona</t>
  </si>
  <si>
    <t>Materiales de enseñanza de comprensión de los derechos legales de los adolescentes</t>
  </si>
  <si>
    <t>Estación de radar</t>
  </si>
  <si>
    <t>Colposcopios o vaginoscopios o accesorios</t>
  </si>
  <si>
    <t>Aditivos anti – lodos</t>
  </si>
  <si>
    <t>Sistemas de medida de masa nucleónica industrial por unidad de mineral</t>
  </si>
  <si>
    <t>Accesorios para monitores o medidores</t>
  </si>
  <si>
    <t>Menotropinas</t>
  </si>
  <si>
    <t>Relés de clavija bipolar</t>
  </si>
  <si>
    <t>Unidades de fermentación estándar</t>
  </si>
  <si>
    <t>Demostradores del efecto doppler</t>
  </si>
  <si>
    <t>Colimadores o cascos de cuchillo gamma para radio cirugía</t>
  </si>
  <si>
    <t>Uroquinasa</t>
  </si>
  <si>
    <t>Pistolas</t>
  </si>
  <si>
    <t>Alquiler de esmóquines o trajes de etiqueta</t>
  </si>
  <si>
    <t>Filtros de absorción</t>
  </si>
  <si>
    <t>Ensambles de láminas soldadas con soldadura solvente de acero al carbono</t>
  </si>
  <si>
    <t>Equipo de posicionar sísmico</t>
  </si>
  <si>
    <t>Planchas para uso comercial</t>
  </si>
  <si>
    <t>Calzado atlético para hombre</t>
  </si>
  <si>
    <t>Kits de iniciación para teléfonos móviles</t>
  </si>
  <si>
    <t>Pernos de tensión</t>
  </si>
  <si>
    <t>Reactores de limitación de intensidad</t>
  </si>
  <si>
    <t>Cizallas de pared alta</t>
  </si>
  <si>
    <t>Ensambles de láminas pegadas de cobre</t>
  </si>
  <si>
    <t>Postes de cemento o concreto</t>
  </si>
  <si>
    <t>31201603</t>
  </si>
  <si>
    <t>Oxcarbazepina</t>
  </si>
  <si>
    <t>Bombas de aleta rotativa</t>
  </si>
  <si>
    <t>Cartucheras para esponjas o esponjillas</t>
  </si>
  <si>
    <t>Suturas</t>
  </si>
  <si>
    <t>Pinzas de línea de sangre para unidades de hemodiálisis</t>
  </si>
  <si>
    <t>Extractos inorgánicos para curtiembre</t>
  </si>
  <si>
    <t>Medios de textiles metálicos</t>
  </si>
  <si>
    <t>Insertos de bandejas para aparatos quirúrgicos</t>
  </si>
  <si>
    <t>Influenza b hemofílica con difteria y tétano y pertussis acelular</t>
  </si>
  <si>
    <t>Aparatos de fraccionamiento</t>
  </si>
  <si>
    <t>Fieltro para alfombras</t>
  </si>
  <si>
    <t>Muelles espirales</t>
  </si>
  <si>
    <t>Ensambles de láminas soldadas con soldadura sónica no metálica</t>
  </si>
  <si>
    <t>Difuminadores</t>
  </si>
  <si>
    <t>Servicios de elaboración del vino</t>
  </si>
  <si>
    <t>Hebra de fibra de vidrio</t>
  </si>
  <si>
    <t>Agujas de toracentesis</t>
  </si>
  <si>
    <t>Escuelas religiosas de educación primaria o secundaria</t>
  </si>
  <si>
    <t>Difteria y tétano y pertussis celular</t>
  </si>
  <si>
    <t>Servicios de censo de la población</t>
  </si>
  <si>
    <t>Decoraciones para adherir a las ventanas</t>
  </si>
  <si>
    <t>Ensambles de tubos atornillados de acero inoxidable</t>
  </si>
  <si>
    <t>Microscopios metalúrgicos</t>
  </si>
  <si>
    <t>Servicios de plataforma petroleras en tierra</t>
  </si>
  <si>
    <t>Elementos de rejilla</t>
  </si>
  <si>
    <t>Ensambles de tubería atornillada de cobre</t>
  </si>
  <si>
    <t>Unidades de camión grúa de tubería flexible</t>
  </si>
  <si>
    <t>Generadores de oxígeno</t>
  </si>
  <si>
    <t>Válvulas de cierre de gas o cajas de válvulas para uso médico</t>
  </si>
  <si>
    <t>Plantilla de alineación</t>
  </si>
  <si>
    <t>Puertas para equipos de calefacción</t>
  </si>
  <si>
    <t>Divisiones</t>
  </si>
  <si>
    <t>Dispositivos de tensión del cable de recuperación</t>
  </si>
  <si>
    <t>Transporte marítimo blindado</t>
  </si>
  <si>
    <t>Acoples elastoméricos</t>
  </si>
  <si>
    <t>Resina poliftalamida</t>
  </si>
  <si>
    <t>Análisis de factores</t>
  </si>
  <si>
    <t>Paneles laterales de vehículos</t>
  </si>
  <si>
    <t>MUNICIPIOS</t>
  </si>
  <si>
    <t>COMODATOS 3</t>
  </si>
  <si>
    <t>Fundición en arena de metal precioso</t>
  </si>
  <si>
    <t>Postes para red</t>
  </si>
  <si>
    <t>Forjaduras en estampa de impresión de cobre</t>
  </si>
  <si>
    <t>Máquinas para cancelar estampillas</t>
  </si>
  <si>
    <t>Pernos de cilindro</t>
  </si>
  <si>
    <t>Asociaciones de personal administrativo</t>
  </si>
  <si>
    <t>Lazos de tracción o bucles de tracción o productos relacionados para uso quirúrgico</t>
  </si>
  <si>
    <t>Componentes de bronce hidroformados</t>
  </si>
  <si>
    <t>Máquinas de procesado o llenado estéril o aséptico</t>
  </si>
  <si>
    <t>Ensambles de láminas soldadas con soldadura sónica de acero al carbono</t>
  </si>
  <si>
    <t>Micro disyuntores</t>
  </si>
  <si>
    <t>Mangueras de perforación</t>
  </si>
  <si>
    <t>Contenedores o forros para cámaras</t>
  </si>
  <si>
    <t>Villa Central</t>
  </si>
  <si>
    <t>Servicios de tratamiento químico del suelo</t>
  </si>
  <si>
    <t>Objetos de fundición centrífuga de aleación ferrosa</t>
  </si>
  <si>
    <t>Objetos maquinados de estaño fundidos en arena</t>
  </si>
  <si>
    <t>Túnel</t>
  </si>
  <si>
    <t>Galvanómetros</t>
  </si>
  <si>
    <t>MEDICAMENTOS CITOSTATICOS 4</t>
  </si>
  <si>
    <t>Agujas inyectoras para embalsamar</t>
  </si>
  <si>
    <t>Válvulas de neumáticos</t>
  </si>
  <si>
    <t>Insertos para ostomía</t>
  </si>
  <si>
    <t>Componentes de titanio perforados</t>
  </si>
  <si>
    <t>Componentes no metálicos hidroformados</t>
  </si>
  <si>
    <t>Impresora de inyección de tinta para aplicaciones de impresión comercial</t>
  </si>
  <si>
    <t>Forjas de zinc maquinadas con troquel abierto</t>
  </si>
  <si>
    <t>Sets de instrumentos para cirugía de angiografía</t>
  </si>
  <si>
    <t>Bombillos de repuesto para microscopios de laboratorio</t>
  </si>
  <si>
    <t>El Caimito</t>
  </si>
  <si>
    <t>Helechos secos</t>
  </si>
  <si>
    <t>Recubrimientos o materiales adelgazantes o sets para caries dentales</t>
  </si>
  <si>
    <t>44121618</t>
  </si>
  <si>
    <t>Saxhorno</t>
  </si>
  <si>
    <t>52151650</t>
  </si>
  <si>
    <t>Propano</t>
  </si>
  <si>
    <t>Propelente híbridos</t>
  </si>
  <si>
    <t>Relés de estado sólido</t>
  </si>
  <si>
    <t>USO MEDICO Y PACIENTES</t>
  </si>
  <si>
    <t>Trámites aduaneros</t>
  </si>
  <si>
    <t>Tapa de tanque del inodoro</t>
  </si>
  <si>
    <t>Bosentán</t>
  </si>
  <si>
    <t>Política monetaria</t>
  </si>
  <si>
    <t>Monitores de video</t>
  </si>
  <si>
    <t>Servicios de atraque de buques</t>
  </si>
  <si>
    <t>Montante de dos extremos</t>
  </si>
  <si>
    <t>Monturas ópticas</t>
  </si>
  <si>
    <t>Sacos de cadena</t>
  </si>
  <si>
    <t>MEDICAMENTO ALBUMINA HUMANA</t>
  </si>
  <si>
    <t>Caramifeno</t>
  </si>
  <si>
    <t>Espejos torneados con herramienta de diamante</t>
  </si>
  <si>
    <t>Kit de fonética</t>
  </si>
  <si>
    <t>Fenilpropanolamina</t>
  </si>
  <si>
    <t>INSUMOS CIRUGIA AMBULATORIA 3</t>
  </si>
  <si>
    <t>Incubadoras de agitación</t>
  </si>
  <si>
    <t>Guía de cinta</t>
  </si>
  <si>
    <t>Componentes de estaño maquinados por extrusión de impacto</t>
  </si>
  <si>
    <t>Escarificadoras de carreteras</t>
  </si>
  <si>
    <t>Servicios de control de la higiene de los alimentos</t>
  </si>
  <si>
    <t>Buscadores para uso quirúrgico</t>
  </si>
  <si>
    <t>Combinación de asiento con escritorio</t>
  </si>
  <si>
    <t>Servicios de conformación por enrollado</t>
  </si>
  <si>
    <t>Ganchos de cera de oídos</t>
  </si>
  <si>
    <t>Enoxacina</t>
  </si>
  <si>
    <t>Materiales de enseñanza para desarrollar habilidades de escucha</t>
  </si>
  <si>
    <t>Depósitos desechables de combustible del avión</t>
  </si>
  <si>
    <t>Abre latas para los físicamente discapacitados</t>
  </si>
  <si>
    <t>Accesorios para unidades de oxímetros de pulso</t>
  </si>
  <si>
    <t>Ensambles de barras pegadas de aluminio</t>
  </si>
  <si>
    <t>Las Salinas</t>
  </si>
  <si>
    <t>Blanqueadores</t>
  </si>
  <si>
    <t>42272214</t>
  </si>
  <si>
    <t>Mesas de lectura inclinadas</t>
  </si>
  <si>
    <t>Servicios de campos de refugiados</t>
  </si>
  <si>
    <t>Servicios de fabricación de vehículos de motor</t>
  </si>
  <si>
    <t>Dispositivos de sutura para endoscopia</t>
  </si>
  <si>
    <t>Acetato de prednisolona</t>
  </si>
  <si>
    <t>Motores multifásicos</t>
  </si>
  <si>
    <t>Para la compra de Productos de Limpieza e Higuiene</t>
  </si>
  <si>
    <t>Tubos o tapas o pinzas para enema</t>
  </si>
  <si>
    <t>Pito de vehículo</t>
  </si>
  <si>
    <t>Barras de acero</t>
  </si>
  <si>
    <t>Café</t>
  </si>
  <si>
    <t>Transportadores</t>
  </si>
  <si>
    <t>Antenas de automotores</t>
  </si>
  <si>
    <t>Componentes de aleación ferrosa hidroformados</t>
  </si>
  <si>
    <t>Catéteres o conectores o accesorios de uso quirúrgico</t>
  </si>
  <si>
    <t>Cuartos fríos</t>
  </si>
  <si>
    <t>Protectores de instrumentos de esterilización</t>
  </si>
  <si>
    <t>Vitrinas</t>
  </si>
  <si>
    <t>Ramón Santana</t>
  </si>
  <si>
    <t>Servicios de procesar datos tridimensionales</t>
  </si>
  <si>
    <t>Analizadores de audífonos o sistemas de prueba</t>
  </si>
  <si>
    <t>Agua para la ciudad</t>
  </si>
  <si>
    <t>Aspiradoras</t>
  </si>
  <si>
    <t>Tintas para dibujar a base de agua</t>
  </si>
  <si>
    <t>Clorhidrato de doxepina</t>
  </si>
  <si>
    <t>53102507</t>
  </si>
  <si>
    <t>Emisores (senders) digitales</t>
  </si>
  <si>
    <t>Kits de reparación de bombas</t>
  </si>
  <si>
    <t>Bandejas para pinturas</t>
  </si>
  <si>
    <t>Manijas de carpetas</t>
  </si>
  <si>
    <t>Detectores de gas</t>
  </si>
  <si>
    <t>Caballero</t>
  </si>
  <si>
    <t>Mezcladoras o plantas de concreto</t>
  </si>
  <si>
    <t>Ventana de miradores</t>
  </si>
  <si>
    <t>Tableros de dibujo o retoque</t>
  </si>
  <si>
    <t>Extrusiones de perfiles de caucho</t>
  </si>
  <si>
    <t>Vestidos o faldas o saris o kimonos para bebé</t>
  </si>
  <si>
    <t>TOTAL COMPRA ESTIMADA</t>
  </si>
  <si>
    <t>Política fiscal</t>
  </si>
  <si>
    <t>Congeladores para uso doméstico</t>
  </si>
  <si>
    <t>OPERACIONES / PLATA FISICA 1</t>
  </si>
  <si>
    <t>Contadores beta</t>
  </si>
  <si>
    <t>Ensambles de placas atornilladas de acero de aleación baja</t>
  </si>
  <si>
    <t>Pedestales</t>
  </si>
  <si>
    <t>42142502</t>
  </si>
  <si>
    <t>Forjas de cobre maquinadas con impresión por troquel</t>
  </si>
  <si>
    <t>Estructuras de aparcamiento</t>
  </si>
  <si>
    <t>Silenciadores de exhosto o resonadores</t>
  </si>
  <si>
    <t>Mesas o puestos o asientos o gabinetes o accesorios de rayos x para uso médico</t>
  </si>
  <si>
    <t>Placas de identificación de esterilización</t>
  </si>
  <si>
    <t>Embudos de cocina para uso doméstico</t>
  </si>
  <si>
    <t>Generadores térmicos</t>
  </si>
  <si>
    <t>Rosina de goma</t>
  </si>
  <si>
    <t>Proguanil</t>
  </si>
  <si>
    <t>40161505</t>
  </si>
  <si>
    <t>27111509</t>
  </si>
  <si>
    <t>Microscopios de proyección</t>
  </si>
  <si>
    <t>Transporte de personal</t>
  </si>
  <si>
    <t>Reglas</t>
  </si>
  <si>
    <t>Mesas de fractura de pacientes para salas de cirugía o mesas ortopédicas o accesorios o productos relacionados</t>
  </si>
  <si>
    <t>Lámina de aluminio</t>
  </si>
  <si>
    <t>Unidades de mezcla acidificante</t>
  </si>
  <si>
    <t>Acuerdos internacionales sobre productos básicos</t>
  </si>
  <si>
    <t>Rellenos frescos para emparedados</t>
  </si>
  <si>
    <t>Sujetadores o dispensadores de papeles o tacos</t>
  </si>
  <si>
    <t>Arandelas de tope</t>
  </si>
  <si>
    <t>Juntas de dilatación de conductos de escape</t>
  </si>
  <si>
    <t>Centro comercial</t>
  </si>
  <si>
    <t>Kits de clases de energía</t>
  </si>
  <si>
    <t>Servicios de desviación del tratamiento de la matriz</t>
  </si>
  <si>
    <t>Forjaduras en estampa cerrada de titanio</t>
  </si>
  <si>
    <t>Garantía de terceros</t>
  </si>
  <si>
    <t>Calentadores de inmersión</t>
  </si>
  <si>
    <t>Bolsas o contenedores para nutrición enteral</t>
  </si>
  <si>
    <t>Galio ga</t>
  </si>
  <si>
    <t>Remolque de motonieve</t>
  </si>
  <si>
    <t>Varillas de caucho</t>
  </si>
  <si>
    <t>Kits obstétricos para servicios médicos de emergencia</t>
  </si>
  <si>
    <t>Electrónica de interfaz del avión</t>
  </si>
  <si>
    <t>Forjas de plomo maquinadas con troquel abierto</t>
  </si>
  <si>
    <t>Kits de inicio de vendajes o compresas</t>
  </si>
  <si>
    <t>Berilio en placa labrada</t>
  </si>
  <si>
    <t>Misiles antibalísticos</t>
  </si>
  <si>
    <t>Dipiridamol</t>
  </si>
  <si>
    <t>Cintas en blanco</t>
  </si>
  <si>
    <t>Cabinas de rociado</t>
  </si>
  <si>
    <t>Hebillas</t>
  </si>
  <si>
    <t>Libros de literatura infantil basados en la biblia</t>
  </si>
  <si>
    <t>Partes o accesorios para válvulas</t>
  </si>
  <si>
    <t>Sistema de descarga de jaulas</t>
  </si>
  <si>
    <t>12141916</t>
  </si>
  <si>
    <t>Sujetadores</t>
  </si>
  <si>
    <t>Fusibles de cuchilla</t>
  </si>
  <si>
    <t>50131701</t>
  </si>
  <si>
    <t>Compra de especias para alimentos en el INCART</t>
  </si>
  <si>
    <t>Itrio y</t>
  </si>
  <si>
    <t>51161504</t>
  </si>
  <si>
    <t>Objetos maquinados centrifugados de aleación no ferrosa fundidos</t>
  </si>
  <si>
    <t>Helicópteros médicos o de rescate</t>
  </si>
  <si>
    <t>Estructuras de toma</t>
  </si>
  <si>
    <t>Ensambles de tubos soldados con soldadura fuerte o débil de aluminio</t>
  </si>
  <si>
    <t>Cierres o broches de extensión de transferencia de tubos intravenosos</t>
  </si>
  <si>
    <t>Abrazaderas de tres garras</t>
  </si>
  <si>
    <t>Trituradoras</t>
  </si>
  <si>
    <t>Material didáctico para la enseñanza de mapas</t>
  </si>
  <si>
    <t>Estetoscopios electrónicos o accesorios</t>
  </si>
  <si>
    <t>Lámparas o ensamblajes de fusores</t>
  </si>
  <si>
    <t>Agarres del cable de recuperación</t>
  </si>
  <si>
    <t>Lámparas médicas</t>
  </si>
  <si>
    <t>Mallas o redes para deportes</t>
  </si>
  <si>
    <t>Generadores eólicos</t>
  </si>
  <si>
    <t>Rollos de cable</t>
  </si>
  <si>
    <t>Servicios de elaboración del té</t>
  </si>
  <si>
    <t>Tubos intravenosos de medicación secundaria</t>
  </si>
  <si>
    <t>Planificación de compensaciones o beneficios</t>
  </si>
  <si>
    <t>Inmovilizadores o vendas artroscópicas para rodilla</t>
  </si>
  <si>
    <t>Trampolines para ejercicios</t>
  </si>
  <si>
    <t>Lavadoras de ropa para uso doméstico</t>
  </si>
  <si>
    <t>Tarjetas didácticas de los números</t>
  </si>
  <si>
    <t>Ensambles de placas atornilladas de aluminio</t>
  </si>
  <si>
    <t>Flores secas prensadas</t>
  </si>
  <si>
    <t>Dispositivos para colgar cuadros</t>
  </si>
  <si>
    <t>Doxilamina succinato</t>
  </si>
  <si>
    <t>Chapa de aleación ferrosa</t>
  </si>
  <si>
    <t>Tetracloroetileno</t>
  </si>
  <si>
    <t>Analizadores químicos</t>
  </si>
  <si>
    <t>Estuches o accesorios de ropa para servicios médicos de emergencia</t>
  </si>
  <si>
    <t>Estirador de calzado</t>
  </si>
  <si>
    <t>Hornos de circulación por ventilador</t>
  </si>
  <si>
    <t>Servicios de elaboración de productos de panadería</t>
  </si>
  <si>
    <t>Aditivos no emulsificantes</t>
  </si>
  <si>
    <t>Tubo de perforación</t>
  </si>
  <si>
    <t>Estudio de plantas de transformación de alimentos en el sitio</t>
  </si>
  <si>
    <t>Compuestos anti fijación para uso médico</t>
  </si>
  <si>
    <t>Fusibles de alta temperatura</t>
  </si>
  <si>
    <t>Tanques de compensación</t>
  </si>
  <si>
    <t>Ángulos de bronce</t>
  </si>
  <si>
    <t>Refrigeradores o neveras congeladores a prueba de explosiones</t>
  </si>
  <si>
    <t>Objetos de magnesio fundidos por proceso en v</t>
  </si>
  <si>
    <t>Máquinas de configuración de fototipos</t>
  </si>
  <si>
    <t>51111813</t>
  </si>
  <si>
    <t>Molduras de metal precioso</t>
  </si>
  <si>
    <t>Bandejas para catéteres intravenosos o arteriales</t>
  </si>
  <si>
    <t>Estantes de montaje</t>
  </si>
  <si>
    <t>Software de sistemas expertos</t>
  </si>
  <si>
    <t>Conexiones en t o en cruz de la boca de pozo</t>
  </si>
  <si>
    <t>Cargadores de baterías</t>
  </si>
  <si>
    <t>Rollos de uso odontológico</t>
  </si>
  <si>
    <t>Grafito</t>
  </si>
  <si>
    <t>Strips de conexiones</t>
  </si>
  <si>
    <t>Actuaciones u obras teatrales</t>
  </si>
  <si>
    <t>Mohair sin procesar</t>
  </si>
  <si>
    <t>Servicios de instalación de cables  mediante tubería  flexible contínua</t>
  </si>
  <si>
    <t>Batas de laboratorio</t>
  </si>
  <si>
    <t>Alquiler de uniformes</t>
  </si>
  <si>
    <t>Servicios de cooperativas agrícolas o rurales</t>
  </si>
  <si>
    <t>Reactivos analizadores de bancos de sangre</t>
  </si>
  <si>
    <t>Máquinas para enyesar, sus partes o accesorios de laboratorio dental</t>
  </si>
  <si>
    <t>Los Ríos</t>
  </si>
  <si>
    <t>Azidas o azinas</t>
  </si>
  <si>
    <t>INSUMOS LABORATORIO CLINICO-PATOLOGIA-UCI 3</t>
  </si>
  <si>
    <t>Tarjetas de fotos o actividades de biología</t>
  </si>
  <si>
    <t>Ensambles de barras soldadas con solvente de aleación hast x</t>
  </si>
  <si>
    <t>Sistemas sensores de impacto</t>
  </si>
  <si>
    <t>Guardabarros</t>
  </si>
  <si>
    <t>Contenedores de recolección o transporte de frotis</t>
  </si>
  <si>
    <t>Lápices mecánicos</t>
  </si>
  <si>
    <t>Tetralftalato polibutileno</t>
  </si>
  <si>
    <t>Papeles carbón</t>
  </si>
  <si>
    <t>Objetos de aleación no ferrosa fundidos por moldeo en cáscara</t>
  </si>
  <si>
    <t>Famotidina</t>
  </si>
  <si>
    <t>Villa Montellano</t>
  </si>
  <si>
    <t>Sistemas móviles o transportables o de camión de imágenes de resonancia magnética mri para uso médico</t>
  </si>
  <si>
    <t>Taquistoscopio</t>
  </si>
  <si>
    <t>Nitrato de plata</t>
  </si>
  <si>
    <t>Software de puntos de venta pos</t>
  </si>
  <si>
    <t>Máquinas sumadoras</t>
  </si>
  <si>
    <t>Conductos o red de conductos de piedra</t>
  </si>
  <si>
    <t>Platos pequeños para uso doméstico</t>
  </si>
  <si>
    <t>Cubiertas para informes</t>
  </si>
  <si>
    <t>Sistemas de control de aplanadora</t>
  </si>
  <si>
    <t>Ensambles de tubos soldados con soldadura ultra violeta de aluminio</t>
  </si>
  <si>
    <t>Compresas de presión negativa</t>
  </si>
  <si>
    <t>Revestimiento de aislamiento térmico</t>
  </si>
  <si>
    <t>Grapas c</t>
  </si>
  <si>
    <t>Cables del fondo del océano sísmico</t>
  </si>
  <si>
    <t>42131604</t>
  </si>
  <si>
    <t>Toxina botulínica</t>
  </si>
  <si>
    <t>Iodoquinol</t>
  </si>
  <si>
    <t>Sistemas hidráulicos marítimos</t>
  </si>
  <si>
    <t>Componentes de acero hidroformados</t>
  </si>
  <si>
    <t>Cucharas de servir para uso comercial</t>
  </si>
  <si>
    <t>Bolsas de manejo de vía aérea para servicios médicos de emergencia</t>
  </si>
  <si>
    <t>Conductores permanentes</t>
  </si>
  <si>
    <t>Servicios de suministro de alimentos de emergencia</t>
  </si>
  <si>
    <t>Isopreno isobutileno iir / xiir</t>
  </si>
  <si>
    <t>Verapamilo</t>
  </si>
  <si>
    <t>Tiotixeno</t>
  </si>
  <si>
    <t>Software de puente</t>
  </si>
  <si>
    <t>Kits dentales</t>
  </si>
  <si>
    <t>Sets de instrumentos para cirugía de traqueotomía</t>
  </si>
  <si>
    <t>Placa de aleación ferrosa</t>
  </si>
  <si>
    <t>Unidades de potencia para pista aérea</t>
  </si>
  <si>
    <t>Bombas de aceite</t>
  </si>
  <si>
    <t>Almohadillas o protectores de superficie</t>
  </si>
  <si>
    <t>Medidores de turbiedad</t>
  </si>
  <si>
    <t>Motores de inducción</t>
  </si>
  <si>
    <t>60104912</t>
  </si>
  <si>
    <t>31161725</t>
  </si>
  <si>
    <t>Papel de registro de electrocardiografía (ECG)</t>
  </si>
  <si>
    <t>Servicios de cementación del pozo con forzamiento de inyección</t>
  </si>
  <si>
    <t>Cinturones antiestáticos</t>
  </si>
  <si>
    <t>Compuesto de moldeo de poliéster</t>
  </si>
  <si>
    <t>El Aguacate</t>
  </si>
  <si>
    <t>Ensambles de láminas atornilladas de aleación hast x</t>
  </si>
  <si>
    <t>Consolas</t>
  </si>
  <si>
    <t>Clorhidrato de caprotilina</t>
  </si>
  <si>
    <t>Servicios de operadores turísticos de peregrinaje</t>
  </si>
  <si>
    <t>Compases para encontrar la dirección</t>
  </si>
  <si>
    <t>Máquinas recogedoras de libros</t>
  </si>
  <si>
    <t>Equipos de análisis de inyección de flujo</t>
  </si>
  <si>
    <t>Reactivos para preparar bacterias competentes</t>
  </si>
  <si>
    <t>Servicios de control o regulación del desarrollo urbano</t>
  </si>
  <si>
    <t>Servicios de control de las malas hierbas</t>
  </si>
  <si>
    <t>Servicios financieros gubernamentales</t>
  </si>
  <si>
    <t>Máquinas de moldeo por soplado</t>
  </si>
  <si>
    <t>27112125</t>
  </si>
  <si>
    <t>Mitomicina</t>
  </si>
  <si>
    <t>Retractores láser para uso quirúrgico</t>
  </si>
  <si>
    <t>Batas para personal de peluquerías</t>
  </si>
  <si>
    <t>Fieltros de recubrimiento ortopédico para el brazo</t>
  </si>
  <si>
    <t>Tejas de sílice</t>
  </si>
  <si>
    <t>40151506</t>
  </si>
  <si>
    <t>Mono copas para entomología</t>
  </si>
  <si>
    <t>Estuches para labiales</t>
  </si>
  <si>
    <t>Libros de juegos</t>
  </si>
  <si>
    <t>21101513</t>
  </si>
  <si>
    <t>Cuentas de paja</t>
  </si>
  <si>
    <t>Dispositivos para echar llave o sujetadores para los discapacitados físicamente</t>
  </si>
  <si>
    <t>Clorhidrato de selegilina</t>
  </si>
  <si>
    <t>Clorhidrato de protriptilina</t>
  </si>
  <si>
    <t>Sets de carteleras multipropósito</t>
  </si>
  <si>
    <t>Uniformes de enfermera</t>
  </si>
  <si>
    <t>Servicios de diseño del tratamiento de la matriz</t>
  </si>
  <si>
    <t>Papeles para forrar</t>
  </si>
  <si>
    <t>Termoplástico</t>
  </si>
  <si>
    <t>Ensambles de láminas soldadas con soldadura solvente de latón</t>
  </si>
  <si>
    <t>Sistemas de conservación para administración o transfusión de sangre</t>
  </si>
  <si>
    <t>Litio li</t>
  </si>
  <si>
    <t>Ensambles de barras pegadas de cobre</t>
  </si>
  <si>
    <t>Sujetadores de pinza</t>
  </si>
  <si>
    <t>Dientes de porcelana</t>
  </si>
  <si>
    <t>Recipientes o cuencos para soluciones o mezclas médicas</t>
  </si>
  <si>
    <t>Vacuna contra la fiebre amarilla</t>
  </si>
  <si>
    <t>Componentes de estaño formados por estiramiento</t>
  </si>
  <si>
    <t>Cinematografía</t>
  </si>
  <si>
    <t>Básculas para pesar animales</t>
  </si>
  <si>
    <t>TRATAMIENTO DE CANCER</t>
  </si>
  <si>
    <t>Bombas de vapor</t>
  </si>
  <si>
    <t>50192403</t>
  </si>
  <si>
    <t>Diafragmas de carburador</t>
  </si>
  <si>
    <t>Abrazaderas con mango en t</t>
  </si>
  <si>
    <t>Bujes pilotos</t>
  </si>
  <si>
    <t>Tarjetas didácticas de cultura general</t>
  </si>
  <si>
    <t>Colocadores de chips</t>
  </si>
  <si>
    <t>Kits de reparación del motor</t>
  </si>
  <si>
    <t>Tableros de demostración de electricidad</t>
  </si>
  <si>
    <t>Clorhidrato de difenidol</t>
  </si>
  <si>
    <t>Carcasas de eje</t>
  </si>
  <si>
    <t>14111704</t>
  </si>
  <si>
    <t>Diccionarios electrónicos</t>
  </si>
  <si>
    <t>Accesorios de carrito de portero</t>
  </si>
  <si>
    <t>Placa trasera</t>
  </si>
  <si>
    <t>Agujas para sutura</t>
  </si>
  <si>
    <t>Urofolitropina</t>
  </si>
  <si>
    <t>Servicios de elaboración de azúcar o productos de azúcar</t>
  </si>
  <si>
    <t>Ácido dehidrocólico</t>
  </si>
  <si>
    <t>Ensanchadores de carreteras</t>
  </si>
  <si>
    <t>Boquillas de pintura</t>
  </si>
  <si>
    <t>Servicios de perforación direccional de pozos</t>
  </si>
  <si>
    <t>Recuperadores de canecas</t>
  </si>
  <si>
    <t>Central telefónica interna pbx</t>
  </si>
  <si>
    <t>Alquiler de vestidos o  trajes de noche o de novia</t>
  </si>
  <si>
    <t>Productos de prueba de estrés pulmonar</t>
  </si>
  <si>
    <t>Arandelas en domo o esféricas</t>
  </si>
  <si>
    <t>Sets acondicionadores de tejido dental</t>
  </si>
  <si>
    <t>Vacuna contra el virus del polio</t>
  </si>
  <si>
    <t>Reactivos para extracción o precipitación o re suspensión de ácido nucleico</t>
  </si>
  <si>
    <t>Overoles o monos para niño</t>
  </si>
  <si>
    <t>Butorfanol tartrato</t>
  </si>
  <si>
    <t>Alemtuzumab</t>
  </si>
  <si>
    <t>Alambre de kaptan</t>
  </si>
  <si>
    <t>OPERACIONES / SEGURIDAD 1</t>
  </si>
  <si>
    <t>Contadores beta gamma</t>
  </si>
  <si>
    <t>Clubes deportivos de vela o natación</t>
  </si>
  <si>
    <t>42191907</t>
  </si>
  <si>
    <t>Clorhidrato de naftifina</t>
  </si>
  <si>
    <t>Cobijas eléctricas para uso doméstico</t>
  </si>
  <si>
    <t>Sensores de proximidad</t>
  </si>
  <si>
    <t>Academias de servicio</t>
  </si>
  <si>
    <t>Servicios de perforación de pozos con cables conductores</t>
  </si>
  <si>
    <t>Arándano</t>
  </si>
  <si>
    <t>Calzadores</t>
  </si>
  <si>
    <t>Ensambles de láminas soldadas con soldadura sónica de aluminio</t>
  </si>
  <si>
    <t>Resina polester no saturada</t>
  </si>
  <si>
    <t>Máquina para hacer ravioli para uso doméstico</t>
  </si>
  <si>
    <t>Cepillos de citología endoscópica o microbiología</t>
  </si>
  <si>
    <t>Infladores de aire</t>
  </si>
  <si>
    <t>Pendones para el salón de clase</t>
  </si>
  <si>
    <t>Tableros de dardos</t>
  </si>
  <si>
    <t>Fumarato de formoterol</t>
  </si>
  <si>
    <t>Muestreadores de petróleo</t>
  </si>
  <si>
    <t>Servicios de gasoductos</t>
  </si>
  <si>
    <t>Animales y organismos preservados</t>
  </si>
  <si>
    <t>Metotrexato de sodio</t>
  </si>
  <si>
    <t>Reactores</t>
  </si>
  <si>
    <t>Medidores de impedancia</t>
  </si>
  <si>
    <t>Ascensores</t>
  </si>
  <si>
    <t>31162403</t>
  </si>
  <si>
    <t>Máquinas de peletización de lodo</t>
  </si>
  <si>
    <t>Cinta de tela</t>
  </si>
  <si>
    <t>Coníferas</t>
  </si>
  <si>
    <t>Cooperativas de pesca</t>
  </si>
  <si>
    <t>Sofitos</t>
  </si>
  <si>
    <t>Mesas de foosball</t>
  </si>
  <si>
    <t>Pistolas de calor</t>
  </si>
  <si>
    <t>Comprobadores de integridad de los filtros</t>
  </si>
  <si>
    <t>Vectores de expresión celular de mamíferos</t>
  </si>
  <si>
    <t>Teatro</t>
  </si>
  <si>
    <t>Rectificadoras neumáticas</t>
  </si>
  <si>
    <t>Superficies de trabajo industriales</t>
  </si>
  <si>
    <t>Tazones para servir para uso doméstico</t>
  </si>
  <si>
    <t>Sensores fotoeléctricos</t>
  </si>
  <si>
    <t>Tratadores por llama</t>
  </si>
  <si>
    <t>Servicios de recocido</t>
  </si>
  <si>
    <t>Servicios en la red para mejorar las señales de telecomunicaciones</t>
  </si>
  <si>
    <t>Servicios de defensa de los presos</t>
  </si>
  <si>
    <t>80141902</t>
  </si>
  <si>
    <t>Cidra</t>
  </si>
  <si>
    <t>Grabadoras gráficas</t>
  </si>
  <si>
    <t>Medidor de espesores</t>
  </si>
  <si>
    <t>Aparatos de difracción de neutrones</t>
  </si>
  <si>
    <t>Vidrio laminado</t>
  </si>
  <si>
    <t>Repositorios para mensajes</t>
  </si>
  <si>
    <t>Ensambles de tubos pegados de acero al carbono</t>
  </si>
  <si>
    <t>Materiales de enseñanza de habilidades de planificación de menús para planes de estudios de nutrición</t>
  </si>
  <si>
    <t>23101508</t>
  </si>
  <si>
    <t>Componentes de acero inoxidable formados por estiramiento por presión</t>
  </si>
  <si>
    <t>72103003</t>
  </si>
  <si>
    <t>Cuero de oveja</t>
  </si>
  <si>
    <t>Pulidores o ceras para muebles</t>
  </si>
  <si>
    <t>42161601</t>
  </si>
  <si>
    <t>Tarjetas didácticas de mayor que o menor que</t>
  </si>
  <si>
    <t>Flujómetros o reguladores intravenosos calibrados por dial</t>
  </si>
  <si>
    <t>51142206</t>
  </si>
  <si>
    <t>Kits de manómetros respiratorios</t>
  </si>
  <si>
    <t>Planificación  y trazados de producciones gráficas</t>
  </si>
  <si>
    <t>Piroxicam</t>
  </si>
  <si>
    <t>Ventiladores para enfriar el avión</t>
  </si>
  <si>
    <t>PARA USO PACIENTES DEL INCART</t>
  </si>
  <si>
    <t>Conductos de titanio</t>
  </si>
  <si>
    <t>Tintas para monoimpresión a base de agua</t>
  </si>
  <si>
    <t>Protectores de cables</t>
  </si>
  <si>
    <t>Sistemas de inyección de parafina</t>
  </si>
  <si>
    <t>Vestido protector</t>
  </si>
  <si>
    <t>51182002</t>
  </si>
  <si>
    <t>Enseñanza de idiomas extranjeros basada en la conversación</t>
  </si>
  <si>
    <t>Dispositivos de aseguramiento de calidad o calibración de rayos x para uso médico</t>
  </si>
  <si>
    <t>Inversiones de fundición de yeso unido para aleaciones de oro</t>
  </si>
  <si>
    <t>Anillos de anastomosis</t>
  </si>
  <si>
    <t>Bandas para matriz dental</t>
  </si>
  <si>
    <t>Pasadores de pivote</t>
  </si>
  <si>
    <t>Construcción de apartamentos</t>
  </si>
  <si>
    <t>Amortiguadores de aislamiento de escape</t>
  </si>
  <si>
    <t>Servicios de la organización para la alimentación y la agricultura</t>
  </si>
  <si>
    <t>Tiopental sódico</t>
  </si>
  <si>
    <t>Pernos de sujeción</t>
  </si>
  <si>
    <t>Recursos agrosilvícolas</t>
  </si>
  <si>
    <t>Ensambles estructurales remachados de aluminio</t>
  </si>
  <si>
    <t>Productos de expresión o clonación de recombinación mediada</t>
  </si>
  <si>
    <t>Tubos para gastrostomía endoscópica percutánea</t>
  </si>
  <si>
    <t>Pivote de energía o transmisión superior</t>
  </si>
  <si>
    <t>Sujetador de documentos</t>
  </si>
  <si>
    <t>Servicios de destrucción de documentos</t>
  </si>
  <si>
    <t>Seguro colectivo de joyeros</t>
  </si>
  <si>
    <t>Joyas de recompense</t>
  </si>
  <si>
    <t>Isosorbide</t>
  </si>
  <si>
    <t>Papel de parafinado</t>
  </si>
  <si>
    <t>Bicalutamida</t>
  </si>
  <si>
    <t>Diseños de aplicaciones para computadores personales (pc)</t>
  </si>
  <si>
    <t>Oxazepam</t>
  </si>
  <si>
    <t>Instrumentos de control de perforación o lodo</t>
  </si>
  <si>
    <t>Ensamblajes de circuitos electro plateados</t>
  </si>
  <si>
    <t>41111714</t>
  </si>
  <si>
    <t>51171816</t>
  </si>
  <si>
    <t>Estampador para galletas para uso doméstico</t>
  </si>
  <si>
    <t>Software de sistema de archivo</t>
  </si>
  <si>
    <t>Vigas de aleación ferrosa</t>
  </si>
  <si>
    <t>Tuerca tapa</t>
  </si>
  <si>
    <t>CT</t>
  </si>
  <si>
    <t>Enhebradores de seda dental</t>
  </si>
  <si>
    <t>Fibras de acetato</t>
  </si>
  <si>
    <t>FT</t>
  </si>
  <si>
    <t>Sacudidores orbitales</t>
  </si>
  <si>
    <t>Juguetes táctiles</t>
  </si>
  <si>
    <t>Servicios de coches blindados</t>
  </si>
  <si>
    <t>Fluidos para embalsamar o tratamientos químicos</t>
  </si>
  <si>
    <t>Kits o materiales para tablillas termoplásticas</t>
  </si>
  <si>
    <t>Tarjetas de huellas digitales de solicitante</t>
  </si>
  <si>
    <t>Brazos de lámparas</t>
  </si>
  <si>
    <t>La Mata</t>
  </si>
  <si>
    <t>Taburetes médicos y accesorios</t>
  </si>
  <si>
    <t>52131501</t>
  </si>
  <si>
    <t>42231504</t>
  </si>
  <si>
    <t>Semillas o plántulas de tomate</t>
  </si>
  <si>
    <t>Aurotioglucosa</t>
  </si>
  <si>
    <t>Impresoras de cinta térmica</t>
  </si>
  <si>
    <t>Clorhidrato de dipivefrina</t>
  </si>
  <si>
    <t>51171504</t>
  </si>
  <si>
    <t>42181709</t>
  </si>
  <si>
    <t>Objetos maquinados centrifugados de acero inoxidable fundidos</t>
  </si>
  <si>
    <t>Buques nodriza para submarinos</t>
  </si>
  <si>
    <t>Zafiros</t>
  </si>
  <si>
    <t>Dispositivos o accesorios para irrigación nasal</t>
  </si>
  <si>
    <t>Equipo protector para hockey de piso</t>
  </si>
  <si>
    <t>Servicios de laboratorios de análisis de orina</t>
  </si>
  <si>
    <t>Postes de madera o postes telefónicos</t>
  </si>
  <si>
    <t>Sensores de corriente eléctrica</t>
  </si>
  <si>
    <t>Ensambles de tubería remachada de acero inoxidable</t>
  </si>
  <si>
    <t>Ensambles de tubos remachados de acero de aleación baja</t>
  </si>
  <si>
    <t>Servicios de fabricación de calderas para centrales eléctricas</t>
  </si>
  <si>
    <t>Servicios de deportes acuáticos</t>
  </si>
  <si>
    <t>14121809</t>
  </si>
  <si>
    <t>Materiales en puntos de venta, excluido el material impreso</t>
  </si>
  <si>
    <t>Neodimio nd</t>
  </si>
  <si>
    <t>Unidades de grapadoras</t>
  </si>
  <si>
    <t>Materiales de enseñanza sobre pinturas y tintes para telas</t>
  </si>
  <si>
    <t>Brocas americanas</t>
  </si>
  <si>
    <t>Libros de recursos del alfabeto</t>
  </si>
  <si>
    <t>Accesorios para secadores de congelación o liofolizantes</t>
  </si>
  <si>
    <t>Servicios de fresado mediante tubería flexible contínua</t>
  </si>
  <si>
    <t>Compensadores de flotación</t>
  </si>
  <si>
    <t>Servicios de monitoreo del derrame de petróleo</t>
  </si>
  <si>
    <t>Ensambles estructurales con soldadura de solvente de titanio</t>
  </si>
  <si>
    <t>Mesas de sierra de banda</t>
  </si>
  <si>
    <t>Pravastatina de sodio</t>
  </si>
  <si>
    <t>Juan Santiago</t>
  </si>
  <si>
    <t>Las Charcas de María Nova</t>
  </si>
  <si>
    <t>Extrusiones de perfiles de cobre</t>
  </si>
  <si>
    <t>Necesidades de dotación de personal técnico temporal</t>
  </si>
  <si>
    <t>Rancho de la Guardia</t>
  </si>
  <si>
    <t>Receptores sísmicos</t>
  </si>
  <si>
    <t>Bobina de producción de campo de petróleo</t>
  </si>
  <si>
    <t>Fibras cerámicas</t>
  </si>
  <si>
    <t>Necesidades de dotación de personal técnico permanente</t>
  </si>
  <si>
    <t>Objetos maquinados centrifugados de metal precioso fundidos</t>
  </si>
  <si>
    <t>Ayudas para batear en beisbol</t>
  </si>
  <si>
    <t>Droperidol</t>
  </si>
  <si>
    <t>Lociones de escáner por ultrasonido para uso médico</t>
  </si>
  <si>
    <t>Sombrillas</t>
  </si>
  <si>
    <t>Microscopios fluorescentes</t>
  </si>
  <si>
    <t>Vigas de titanio</t>
  </si>
  <si>
    <t xml:space="preserve">INSUMOS CIRUGIA MAYOR </t>
  </si>
  <si>
    <t>Generador de marcapasos cardíaco o marcapasos de terapia de re sincronización cardíaca</t>
  </si>
  <si>
    <t>Albuminómetros</t>
  </si>
  <si>
    <t>Pasadores de resorte</t>
  </si>
  <si>
    <t>Forjas de latón maquinadas por reducción</t>
  </si>
  <si>
    <t>Juegos de apuestas en red</t>
  </si>
  <si>
    <t>Componentes de magnesio formados por estiramiento por presión</t>
  </si>
  <si>
    <t>Velas</t>
  </si>
  <si>
    <t>Índices de fichas</t>
  </si>
  <si>
    <t>Papel para germinación de semillas</t>
  </si>
  <si>
    <t>Diclorfenamida</t>
  </si>
  <si>
    <t>Laboratorios de idiomas</t>
  </si>
  <si>
    <t>Cloruro de calcio</t>
  </si>
  <si>
    <t>Llaves ajustables</t>
  </si>
  <si>
    <t>Adaptadores o pinzas o conectores de catéter para diálisis peritoneal</t>
  </si>
  <si>
    <t>Impresora flexo gráfica</t>
  </si>
  <si>
    <t>Villa de Pedro Sánchez</t>
  </si>
  <si>
    <t>Acetanilida</t>
  </si>
  <si>
    <t>Obras</t>
  </si>
  <si>
    <t>10171504</t>
  </si>
  <si>
    <t>Topiramato</t>
  </si>
  <si>
    <t>Equipo de manejo de cloro</t>
  </si>
  <si>
    <t>Simuladores de radioterapia de tomografía computarizada ct o cat</t>
  </si>
  <si>
    <t>Servicios de soldadura con láser</t>
  </si>
  <si>
    <t>Distribuidoras de material bituminoso</t>
  </si>
  <si>
    <t>Impresión de papelería o formularios comerciales</t>
  </si>
  <si>
    <t>Portadores de amalgamas</t>
  </si>
  <si>
    <t>Plataformas flotantes de brazo de tensión de almacenamiento costa afuera</t>
  </si>
  <si>
    <t>Soportes para televisiones</t>
  </si>
  <si>
    <t>Pastas protectoras para periodoncia</t>
  </si>
  <si>
    <t>Espumas de poliestireno</t>
  </si>
  <si>
    <t>Administradores temporales de bases de datos o de sistemas de tecnologías de la información</t>
  </si>
  <si>
    <t>Afiches o cuadros de biología</t>
  </si>
  <si>
    <t>Kits de probadores del suelo</t>
  </si>
  <si>
    <t>Futones</t>
  </si>
  <si>
    <t>Montajes de circuitos impresos (pca)</t>
  </si>
  <si>
    <t>Equipo de radiología y fluoroscopia rf para uso médico</t>
  </si>
  <si>
    <t>Barbexaclona</t>
  </si>
  <si>
    <t>Rodillo transportador</t>
  </si>
  <si>
    <t>Dezocina</t>
  </si>
  <si>
    <t>Base para sopas</t>
  </si>
  <si>
    <t>GASES ARTERIALES UNIDAD DE CUIDADOS INTENSIVOS</t>
  </si>
  <si>
    <t>Mandriles</t>
  </si>
  <si>
    <t>Barrido de puerta</t>
  </si>
  <si>
    <t>Protectores de ojos o visores para personal médico</t>
  </si>
  <si>
    <t>42241802</t>
  </si>
  <si>
    <t>Pedernales</t>
  </si>
  <si>
    <t>Portaviones</t>
  </si>
  <si>
    <t>Hexilresorcinol</t>
  </si>
  <si>
    <t>27112305</t>
  </si>
  <si>
    <t>Pedro Corto</t>
  </si>
  <si>
    <t>Comedero Arriba</t>
  </si>
  <si>
    <t>Asientos suspendidos o eslingas para pacientes</t>
  </si>
  <si>
    <t>PALEATIVOS 2</t>
  </si>
  <si>
    <t>Distintivo de película</t>
  </si>
  <si>
    <t>San José de las Matas</t>
  </si>
  <si>
    <t>Sets de garrafas</t>
  </si>
  <si>
    <t>Materiales didácticos sobre el automóvil</t>
  </si>
  <si>
    <t>Mineral de antimonio</t>
  </si>
  <si>
    <t>Juntas obturadoras de corcho</t>
  </si>
  <si>
    <t>44121708</t>
  </si>
  <si>
    <t>Leucovorina</t>
  </si>
  <si>
    <t>Servicios de perforación direccional de alcance extendido de pozos</t>
  </si>
  <si>
    <t>Cable de fibra óptica de exterior</t>
  </si>
  <si>
    <t>Hierros de tratamiento de acidificación</t>
  </si>
  <si>
    <t>Elías Piña</t>
  </si>
  <si>
    <t>Ensambles de láminas soldadas con soldadura fuerte o débil de cobre</t>
  </si>
  <si>
    <t>Clorhidrato de isoetarina</t>
  </si>
  <si>
    <t>Torniquetes</t>
  </si>
  <si>
    <t>Componentes compuestos formados enrollados</t>
  </si>
  <si>
    <t>Fotogeología</t>
  </si>
  <si>
    <t>Marcos de asientos</t>
  </si>
  <si>
    <t>91101501</t>
  </si>
  <si>
    <t>Cuñas de ancla</t>
  </si>
  <si>
    <t>Detectores o analizadores de dióxido de sulfuro</t>
  </si>
  <si>
    <t>46171618</t>
  </si>
  <si>
    <t>Servicios de formación profesional relacionada con la energía</t>
  </si>
  <si>
    <t>Gatos de la varilla de bombeo</t>
  </si>
  <si>
    <t>Miglitol</t>
  </si>
  <si>
    <t>42131509</t>
  </si>
  <si>
    <t>Monserrat</t>
  </si>
  <si>
    <t>Medio para parasitología o micología</t>
  </si>
  <si>
    <t>31211509</t>
  </si>
  <si>
    <t>Kits de expresión celular mamífera</t>
  </si>
  <si>
    <t>Software de protectores de pantalla</t>
  </si>
  <si>
    <t>Objetos maquinados de aleación no ferrosa fundidos en molde de yeso</t>
  </si>
  <si>
    <t>Formas de cartón ondulado</t>
  </si>
  <si>
    <t>Hoja de corcho y caucho</t>
  </si>
  <si>
    <t>40101801</t>
  </si>
  <si>
    <t>Equipos de identificación biométrica</t>
  </si>
  <si>
    <t>Medidor de nivel</t>
  </si>
  <si>
    <t>Fumarato de quetiapina</t>
  </si>
  <si>
    <t>Moca</t>
  </si>
  <si>
    <t>Papel o bolsas o cajas de regalo</t>
  </si>
  <si>
    <t>Calentadores de espacios para uso doméstico</t>
  </si>
  <si>
    <t>60121535</t>
  </si>
  <si>
    <t>Paquetes para procedimientos especiales o a la medida de uso quirúrgico</t>
  </si>
  <si>
    <t>Componentes para conjunto subcrítico</t>
  </si>
  <si>
    <t>Fosfato de primaquina</t>
  </si>
  <si>
    <t>Las Zanjas</t>
  </si>
  <si>
    <t>Cadmio</t>
  </si>
  <si>
    <t>41111507</t>
  </si>
  <si>
    <t xml:space="preserve">Especias </t>
  </si>
  <si>
    <t>Ensambles de columna de dirección</t>
  </si>
  <si>
    <t>Servicios de transmisión de energía eléctrica</t>
  </si>
  <si>
    <t>Mariscos frescos</t>
  </si>
  <si>
    <t>compra de embutidos para usar en el INCART</t>
  </si>
  <si>
    <t>Santiago de la Cruz</t>
  </si>
  <si>
    <t>Raspadores elevadores</t>
  </si>
  <si>
    <t>Ceras de placa de base de uso odontológico</t>
  </si>
  <si>
    <t>Gabinetes de almacenamiento o accesorios para endoscopia</t>
  </si>
  <si>
    <t>Unidades de rayos x para uso odontológico</t>
  </si>
  <si>
    <t>Componentes de hierro formados con explosivos</t>
  </si>
  <si>
    <t>Máscaras quirúrgicas o de aislamiento para personal médico</t>
  </si>
  <si>
    <t>Recursos de manglares</t>
  </si>
  <si>
    <t>Óxido de calcio</t>
  </si>
  <si>
    <t>Ensambles de tubería con soldadura sónica de acero al carbono</t>
  </si>
  <si>
    <t>Mesas de tenis (ping pong)</t>
  </si>
  <si>
    <t>Tenares</t>
  </si>
  <si>
    <t>Gases compuestos de hidrógeno</t>
  </si>
  <si>
    <t>Conductos para cables</t>
  </si>
  <si>
    <t>Capas protectoras para implantes ortopédicos</t>
  </si>
  <si>
    <t>Objetos de titanio fundidos a la cera perdida</t>
  </si>
  <si>
    <t>Tuberías de nailon</t>
  </si>
  <si>
    <t>Clavadora de clavos neumática</t>
  </si>
  <si>
    <t>Micro dosímetros de efecto radio biológico</t>
  </si>
  <si>
    <t>Punzón de trazar</t>
  </si>
  <si>
    <t>Metoxiflurano</t>
  </si>
  <si>
    <t>Monumentos prehistóricos</t>
  </si>
  <si>
    <t>Sacas</t>
  </si>
  <si>
    <t>Fijador de cuchilla</t>
  </si>
  <si>
    <t>Almacenaje de muebles</t>
  </si>
  <si>
    <t>Cohetes reutilizables</t>
  </si>
  <si>
    <t>Q</t>
  </si>
  <si>
    <t>Delantales o petos para personal médico</t>
  </si>
  <si>
    <t>H</t>
  </si>
  <si>
    <t>Molinos de alambre</t>
  </si>
  <si>
    <t>L</t>
  </si>
  <si>
    <t>M</t>
  </si>
  <si>
    <t>Maquinaria de llenado</t>
  </si>
  <si>
    <t>Servicios de empacado para exhibición en el punto de venta</t>
  </si>
  <si>
    <t>Filtros o pantallas para tubos arteriales o intravenosos de uso general</t>
  </si>
  <si>
    <t>Sofás</t>
  </si>
  <si>
    <t>Electrodos de tira o anillo para electrocardiografía ekg neonatal</t>
  </si>
  <si>
    <t>G</t>
  </si>
  <si>
    <t>Magnesio mg</t>
  </si>
  <si>
    <t>Difumarato de emedastina</t>
  </si>
  <si>
    <t>Equipos de ensayo de lentes</t>
  </si>
  <si>
    <t>Paradas de emergencia</t>
  </si>
  <si>
    <t>Dihidroxialuminio-carbonato de sodio</t>
  </si>
  <si>
    <t>30191505</t>
  </si>
  <si>
    <t>Servicios de medición de la presión de formación durante la perforación</t>
  </si>
  <si>
    <t>Bolsa para cubiertos para uso comercial</t>
  </si>
  <si>
    <t>Máquinas de cajero automático atm</t>
  </si>
  <si>
    <t>Diodos schottky</t>
  </si>
  <si>
    <t>Santa Cruz de Barahona</t>
  </si>
  <si>
    <t>Clorhidrato de betahistina</t>
  </si>
  <si>
    <t>Decapantes de arteria carótida o accesorios de uso quirúrgico</t>
  </si>
  <si>
    <t>Tubos de descompresión gástrica</t>
  </si>
  <si>
    <t>Palmitato de colfoscerilo</t>
  </si>
  <si>
    <t>Clorhidrato de difenhidramina</t>
  </si>
  <si>
    <t>Materiales para flanelógrafos</t>
  </si>
  <si>
    <t>42181702</t>
  </si>
  <si>
    <t>Componentes de aluminio perforados</t>
  </si>
  <si>
    <t>Pañitos para limpiar anteojos</t>
  </si>
  <si>
    <t>Butadieno estireno</t>
  </si>
  <si>
    <t>Ampicilina</t>
  </si>
  <si>
    <t>INSUMOS CONSULTA EXTERNA Y FISIOTERAPIA</t>
  </si>
  <si>
    <t>Equipo electro quirúrgico o electro cauterizante</t>
  </si>
  <si>
    <t>Textil sintético de terciopelo</t>
  </si>
  <si>
    <t>Lacre</t>
  </si>
  <si>
    <t>51151715</t>
  </si>
  <si>
    <t>Empalmes de revestimiento de paredes</t>
  </si>
  <si>
    <t xml:space="preserve">CAPÍTULO </t>
  </si>
  <si>
    <t>Componentes de plomo maquinados por extrusión de impacto</t>
  </si>
  <si>
    <t>Controles de calidad o calibradores o estándares de parasitología o micología</t>
  </si>
  <si>
    <t>Conos o delineadores de tráfico</t>
  </si>
  <si>
    <t>Combinación de microscopios de luz y electrones</t>
  </si>
  <si>
    <t>Astillas de madera</t>
  </si>
  <si>
    <t>Cepillos de la banda transportadora</t>
  </si>
  <si>
    <t>Sistemas de empujadores de nudos o de entrega endoscópicos</t>
  </si>
  <si>
    <t>Objetos maquinados de latón fundidos en molde de grafito</t>
  </si>
  <si>
    <t>42311520</t>
  </si>
  <si>
    <t>Servicios de planificación de la estrategia de gestión o conservación de recursos naturales</t>
  </si>
  <si>
    <t>Ensambles de placas soldadas con soldadura ultra violeta no metálica</t>
  </si>
  <si>
    <t>Sujeciones de la banda transportadora</t>
  </si>
  <si>
    <t>Retractores traqueales</t>
  </si>
  <si>
    <t>Servicios sísmicos de pozo cruzado</t>
  </si>
  <si>
    <t>Balones de softbol</t>
  </si>
  <si>
    <t>MEDICAMENTO ALBUMINA HUMANA 1</t>
  </si>
  <si>
    <t>Componentes compuestos maquinados por extrusión en frío</t>
  </si>
  <si>
    <t>Guitarras</t>
  </si>
  <si>
    <t>51111809</t>
  </si>
  <si>
    <t>Colchicina</t>
  </si>
  <si>
    <t>Tanato de difenhidramina</t>
  </si>
  <si>
    <t>Aerógrafos para arte</t>
  </si>
  <si>
    <t>31171712</t>
  </si>
  <si>
    <t>Suministros o kits de productos religiosos</t>
  </si>
  <si>
    <t>Papel de colgadura</t>
  </si>
  <si>
    <t>Semillas o plántulas de pimiento morrón</t>
  </si>
  <si>
    <t>Forjaduras en estampa abierta de magnesio</t>
  </si>
  <si>
    <t>OPERACIONES / PROYECTOS 4</t>
  </si>
  <si>
    <t>Hilado de sintético</t>
  </si>
  <si>
    <t>Frascos al vacío para uso doméstico</t>
  </si>
  <si>
    <t>Comparadores</t>
  </si>
  <si>
    <t>Taninos</t>
  </si>
  <si>
    <t>OPERACIONES / PROYECTOS 1</t>
  </si>
  <si>
    <t>Semillas o plántulas de pimienta</t>
  </si>
  <si>
    <t>Lienzo para bordar</t>
  </si>
  <si>
    <t>Blusones para artistas</t>
  </si>
  <si>
    <t>Palmarejo-Villa Linda</t>
  </si>
  <si>
    <t>Bolsas o revestimientos de evacuación para servicios médicos de emergencia</t>
  </si>
  <si>
    <t>Vigas compuestas de madera</t>
  </si>
  <si>
    <t>Juego de fumador</t>
  </si>
  <si>
    <t>Torre grúas</t>
  </si>
  <si>
    <t>Paraguas para jardín</t>
  </si>
  <si>
    <t>Bayaguana</t>
  </si>
  <si>
    <t>Olla de cocción lenta para uso doméstico</t>
  </si>
  <si>
    <t>Agujas para jeringas de cromatografía</t>
  </si>
  <si>
    <t>Limpiadores de cámara para autoclaves o esterilizadores</t>
  </si>
  <si>
    <t>Kits de señalización</t>
  </si>
  <si>
    <t>Recuperadores o sets para endoscopia</t>
  </si>
  <si>
    <t>Servicios financieros o de  gestión administrativa de empresas  públicas</t>
  </si>
  <si>
    <t>Overoles o monos para hombre</t>
  </si>
  <si>
    <t>Kits de purificación de ácido desoxirribonucleico dna genómico</t>
  </si>
  <si>
    <t>Calibrador o simulador de temperatura</t>
  </si>
  <si>
    <t>Moldes para estampar y formar</t>
  </si>
  <si>
    <t>Bolsas para mareo</t>
  </si>
  <si>
    <t>Fibras de polipropileno</t>
  </si>
  <si>
    <t>Tablas para cortar o pelar para los discapacitados físicamente</t>
  </si>
  <si>
    <t>Servicios hospitalarios de emergencia o quirúrgicos</t>
  </si>
  <si>
    <t>Lubricante anti – corrosión</t>
  </si>
  <si>
    <t>Núcleo de panal de plástico</t>
  </si>
  <si>
    <t>Unidades de bombeo de cemento</t>
  </si>
  <si>
    <t>Tornillos para lámina metálica</t>
  </si>
  <si>
    <t>Cable aéreo</t>
  </si>
  <si>
    <t>Arandelas de sellado</t>
  </si>
  <si>
    <t>Varillas para revolver para laboratorio</t>
  </si>
  <si>
    <t>Supresor de ondas</t>
  </si>
  <si>
    <t>50131801</t>
  </si>
  <si>
    <t>Instrucciones o insertos impresos</t>
  </si>
  <si>
    <t>Kits o suministros para pruebas de toxicología</t>
  </si>
  <si>
    <t>Construcción de puentes</t>
  </si>
  <si>
    <t>Espectrofotómetros para uso oftálmico</t>
  </si>
  <si>
    <t>Resortes para abrasión o máquinas pulidoras para uso odontológico</t>
  </si>
  <si>
    <t>Recursos de plantaciones de hoja ancha</t>
  </si>
  <si>
    <t>Servicios de asesoramiento sobre fusiones de empresas</t>
  </si>
  <si>
    <t>Excavadoras de agujeros</t>
  </si>
  <si>
    <t>Lacas</t>
  </si>
  <si>
    <t>Componentes de titanio estampados</t>
  </si>
  <si>
    <t>Impresoras de etiquetas para bolsas</t>
  </si>
  <si>
    <t>Servicios de perforación direccional de pozo convencional</t>
  </si>
  <si>
    <t>Servicios de retirar la Nieve</t>
  </si>
  <si>
    <t>Conductos flexibles</t>
  </si>
  <si>
    <t>Servicios de intervención en los conductos</t>
  </si>
  <si>
    <t>Componentes de latón formados por estiramiento por presión</t>
  </si>
  <si>
    <t>Estantes para mapas</t>
  </si>
  <si>
    <t>Partes de revólveres o pistolas</t>
  </si>
  <si>
    <t>Sensores de inclinación</t>
  </si>
  <si>
    <t>Gas de carbón</t>
  </si>
  <si>
    <t>Ensambles estructurales con soldadura sónica de cobre</t>
  </si>
  <si>
    <t>Películas de acetato</t>
  </si>
  <si>
    <t>Cajoneras o estanterías</t>
  </si>
  <si>
    <t>Ropa impermeable protectora o ropa para ambiente húmedo</t>
  </si>
  <si>
    <t>Software de multiplexor</t>
  </si>
  <si>
    <t>Equipo de tratamiento de gas para producción del pozo</t>
  </si>
  <si>
    <t>Fluorita</t>
  </si>
  <si>
    <t>Cloruro acetilcolina</t>
  </si>
  <si>
    <t>Clips para billetes</t>
  </si>
  <si>
    <t>VALDESIA</t>
  </si>
  <si>
    <t>Papel para grabado para impresión xilográfica</t>
  </si>
  <si>
    <t>Terminales de cable o alambre</t>
  </si>
  <si>
    <t>Filtros de aletas radiales</t>
  </si>
  <si>
    <t>51151727</t>
  </si>
  <si>
    <t>Tubos de diálisis</t>
  </si>
  <si>
    <t>Resina de acrilonitrilo de estireno</t>
  </si>
  <si>
    <t>Contactores</t>
  </si>
  <si>
    <t>Conectores coaxiales</t>
  </si>
  <si>
    <t>Hachas</t>
  </si>
  <si>
    <t>Baclofeno</t>
  </si>
  <si>
    <t>Estuches o accesorios para equipos quirúrgicos</t>
  </si>
  <si>
    <t>Etofenamato</t>
  </si>
  <si>
    <t>Tazas de succión</t>
  </si>
  <si>
    <t>Equipo de secado por congelación</t>
  </si>
  <si>
    <t>Clips para carpetas o bulldog</t>
  </si>
  <si>
    <t>Administración y revisión de reclamos médicos</t>
  </si>
  <si>
    <t>Producción de cultivos productores de aceites esenciales</t>
  </si>
  <si>
    <t>Disopiramida</t>
  </si>
  <si>
    <t>Papeles recubiertos tratados con látex</t>
  </si>
  <si>
    <t>Insecticidas</t>
  </si>
  <si>
    <t>Maleato de metisergida</t>
  </si>
  <si>
    <t>Preparación tópica de brea de pino</t>
  </si>
  <si>
    <t>Servicios de registro de porosidad por neutrón</t>
  </si>
  <si>
    <t>Clavos de alambre</t>
  </si>
  <si>
    <t>Servicios de cementar envoltura de superficie</t>
  </si>
  <si>
    <t>Ensambles de tubería soldada con ultra violeta no metálica</t>
  </si>
  <si>
    <t>Semillas o plántulas de zanahoria</t>
  </si>
  <si>
    <t>Etiquetas de afinidad</t>
  </si>
  <si>
    <t>Acondicionamiento del suelo</t>
  </si>
  <si>
    <t>Sujetador de aro y bucle</t>
  </si>
  <si>
    <t>Clubes deportivos de playa o acuáticos</t>
  </si>
  <si>
    <t>Estándares gimnásticos para voleibol</t>
  </si>
  <si>
    <t>Kits de mangas de presión de sangre</t>
  </si>
  <si>
    <t>Equipos y componentes de red básica móvil umts 3g</t>
  </si>
  <si>
    <t>Válvulas de autotransfusión</t>
  </si>
  <si>
    <t>Libros de recursos de sustantivos</t>
  </si>
  <si>
    <t>INSUMOS IMAGENES 2</t>
  </si>
  <si>
    <t>Garaje de autobuses</t>
  </si>
  <si>
    <t>Cloxacilina</t>
  </si>
  <si>
    <t>Vasopresina</t>
  </si>
  <si>
    <t>Kits de limpieza industrial</t>
  </si>
  <si>
    <t>Campanas</t>
  </si>
  <si>
    <t>Servicios de ecodesarrollo</t>
  </si>
  <si>
    <t>Piezas de cinc fundidas a presión</t>
  </si>
  <si>
    <t>Bloques de corona</t>
  </si>
  <si>
    <t>42201506</t>
  </si>
  <si>
    <t>Cuchillas para micrótomos</t>
  </si>
  <si>
    <t>Materiales de enseñanza para entender o tratar con la diversidad cultural</t>
  </si>
  <si>
    <t>Maleato de rosiglitazona</t>
  </si>
  <si>
    <t>Difractómetros</t>
  </si>
  <si>
    <t>Rodamientos neumáticos</t>
  </si>
  <si>
    <t>Latanoprost</t>
  </si>
  <si>
    <t>Servicios de abandono de pozos</t>
  </si>
  <si>
    <t>Resnatrones</t>
  </si>
  <si>
    <t>55121617</t>
  </si>
  <si>
    <t>Marcos para la cabeza para terapia estereotáctica</t>
  </si>
  <si>
    <t>Villa Magante</t>
  </si>
  <si>
    <t>Juntas de fibra comprimida</t>
  </si>
  <si>
    <t>Sistemas de control de movimiento integrados</t>
  </si>
  <si>
    <t>Paquetes de muebles de mostrador modulares</t>
  </si>
  <si>
    <t>Oxigenadores de perfusión o accesorios</t>
  </si>
  <si>
    <t>Servicios de cuidados personal en instituciones especializadas</t>
  </si>
  <si>
    <t>Moledoras de tejidos</t>
  </si>
  <si>
    <t>Cuentas de vidrio</t>
  </si>
  <si>
    <t>Tubos de extensión arteriales o intravenosos</t>
  </si>
  <si>
    <t>11111604</t>
  </si>
  <si>
    <t>Contenedores portátiles de protección para materiales radiológicos radiactivos para uso médico</t>
  </si>
  <si>
    <t>Componentes de acero al carbono perforados</t>
  </si>
  <si>
    <t>56101712</t>
  </si>
  <si>
    <t>Tela de fique o estopa</t>
  </si>
  <si>
    <t>Habilidades para la lectura crítica</t>
  </si>
  <si>
    <t>Kit de herramienta para computadores</t>
  </si>
  <si>
    <t>Baterías térmicas</t>
  </si>
  <si>
    <t>Servicios de músicos</t>
  </si>
  <si>
    <t>Tapones de oídos</t>
  </si>
  <si>
    <t>Acrilonitrilo estireno acrílico asa</t>
  </si>
  <si>
    <t>Anclajes de concreto</t>
  </si>
  <si>
    <t>Esquís acuáticos o accesorios</t>
  </si>
  <si>
    <t>Arandelas de empuje</t>
  </si>
  <si>
    <t>Zapatones para hombre</t>
  </si>
  <si>
    <t>Enfriadora</t>
  </si>
  <si>
    <t>Pantalones largos o cortos o pantalonetas para niño</t>
  </si>
  <si>
    <t>Antígeno brucélico</t>
  </si>
  <si>
    <t>Diccionarios</t>
  </si>
  <si>
    <t>51101572</t>
  </si>
  <si>
    <t>Controles de motor de arranque</t>
  </si>
  <si>
    <t>Instrumentos de medición de densidad</t>
  </si>
  <si>
    <t>Servicios de cirujanos orales</t>
  </si>
  <si>
    <t>Cortina de aire</t>
  </si>
  <si>
    <t>Lubricantes o gelatinas personales o para examen</t>
  </si>
  <si>
    <t>Ácido octanoico</t>
  </si>
  <si>
    <t>Servicios pediátricos</t>
  </si>
  <si>
    <t>Dispensadores de cinta médica o quirúrgica</t>
  </si>
  <si>
    <t>Depósito terminal</t>
  </si>
  <si>
    <t>Servicios de cooperación internacional sobre cursos de agua</t>
  </si>
  <si>
    <t>Moldes</t>
  </si>
  <si>
    <t>Pintura permanente de baja viscosidad para vidrio o cerámica</t>
  </si>
  <si>
    <t>Dihidrocodéina tartrato</t>
  </si>
  <si>
    <t>Cámaras desechables</t>
  </si>
  <si>
    <t>Reactivos o soluciones o tinturas para kits de pruebas de alimentos</t>
  </si>
  <si>
    <t>Componentes de aluminio formados con explosivos</t>
  </si>
  <si>
    <t>10151601</t>
  </si>
  <si>
    <t>Adaptadores o enlazadores</t>
  </si>
  <si>
    <t>Servicios de prevención o control del alcoholismo</t>
  </si>
  <si>
    <t>Servicios del consejo de seguridad</t>
  </si>
  <si>
    <t>Servicios de limpieza de calles</t>
  </si>
  <si>
    <t>Paquetes de muebles para recepción no modulares</t>
  </si>
  <si>
    <t>Micro placas</t>
  </si>
  <si>
    <t>25111914</t>
  </si>
  <si>
    <t>Salidas de gas para uso médico</t>
  </si>
  <si>
    <t>Mezcladores de plaqueta</t>
  </si>
  <si>
    <t>Dispositivos de remoción de catéteres o sets de diagnóstico o intervención vascular</t>
  </si>
  <si>
    <t>Chimeneas de leña</t>
  </si>
  <si>
    <t>Forjaduras en estampa abierta de plomo</t>
  </si>
  <si>
    <t>Seguridad nacional</t>
  </si>
  <si>
    <t>Medidores o registros de demanda</t>
  </si>
  <si>
    <t>Alumbrado de pista</t>
  </si>
  <si>
    <t>Metal precioso en placa labrada</t>
  </si>
  <si>
    <t>Ensambles de barras soldadas con soldadura sónica de acero inoxidable</t>
  </si>
  <si>
    <t>30171513</t>
  </si>
  <si>
    <t>Naranjos</t>
  </si>
  <si>
    <t>Disprosio dy</t>
  </si>
  <si>
    <t>Almacenadores para video cintas de escáner de hélice vertical vhs o accesorios</t>
  </si>
  <si>
    <t>Polieterimida (PEI)</t>
  </si>
  <si>
    <t>Actualizaciones de emulación de impresoras</t>
  </si>
  <si>
    <t>Procesadores de platinas de impresión de offset</t>
  </si>
  <si>
    <t>Accesorios para ventiladores</t>
  </si>
  <si>
    <t>Vincamina</t>
  </si>
  <si>
    <t>Tubería flexible de campo petrolero</t>
  </si>
  <si>
    <t>Pinzas para laboratorio</t>
  </si>
  <si>
    <t>Maquinaria de sondeo o de perforación</t>
  </si>
  <si>
    <t>Máquinas para desengrasar cuero</t>
  </si>
  <si>
    <t>Láminas creativas</t>
  </si>
  <si>
    <t>Aleación no ferrosa en barra labrada</t>
  </si>
  <si>
    <t>Triciclos o carretillas</t>
  </si>
  <si>
    <t>Boquillas de bajantes</t>
  </si>
  <si>
    <t>Sujetadores de libros para los discapacitados físicamente</t>
  </si>
  <si>
    <t>Inserción en internet</t>
  </si>
  <si>
    <t>Paquetes de muebles secretariales modulares</t>
  </si>
  <si>
    <t>Probadores de baterías</t>
  </si>
  <si>
    <t>Servicios de herbicidas</t>
  </si>
  <si>
    <t>Ácido nalidíxico</t>
  </si>
  <si>
    <t>Conjuntos o dispositivos de polo a tierra</t>
  </si>
  <si>
    <t>Fenitoína</t>
  </si>
  <si>
    <t>Trenes de juguete</t>
  </si>
  <si>
    <t>Chorro de carburador</t>
  </si>
  <si>
    <t>Planos inclinados</t>
  </si>
  <si>
    <t>Instrumentos de marcación quirúrgica para uso general</t>
  </si>
  <si>
    <t>Tensores para uso quirúrgico</t>
  </si>
  <si>
    <t>Trientina</t>
  </si>
  <si>
    <t>Materiales de detección de ácido nucleico quimio fluorescente</t>
  </si>
  <si>
    <t>Protector de plástico para dedos</t>
  </si>
  <si>
    <t>Tiras o sujetadores para bolsas de drenaje urinario</t>
  </si>
  <si>
    <t>20141007</t>
  </si>
  <si>
    <t>Almohadas para fractura del fémur</t>
  </si>
  <si>
    <t>Probador de circuitos</t>
  </si>
  <si>
    <t>Fijadores de dibujo</t>
  </si>
  <si>
    <t>44102904</t>
  </si>
  <si>
    <t>Pitillos desechables para uso doméstico</t>
  </si>
  <si>
    <t>Travertino</t>
  </si>
  <si>
    <t>Servicios de custodia de valores</t>
  </si>
  <si>
    <t>Terminadoras</t>
  </si>
  <si>
    <t>Chalecos de seguridad</t>
  </si>
  <si>
    <t>Accesorios o suministros para analizadores de proteína</t>
  </si>
  <si>
    <t>Diacetato de etinodiol</t>
  </si>
  <si>
    <t>Ensambles de cilindro de dirección</t>
  </si>
  <si>
    <t>Servicios de rehabilitación vocacional</t>
  </si>
  <si>
    <t>MEDICAMENTOS CITOSTATICOS 3</t>
  </si>
  <si>
    <t>Programas de posgrado</t>
  </si>
  <si>
    <t>Urbanyl</t>
  </si>
  <si>
    <t>Frutas y vegetales</t>
  </si>
  <si>
    <t>Esterillas de piso antiestáticas</t>
  </si>
  <si>
    <t>Servicios de logopedas</t>
  </si>
  <si>
    <t>Indicadores de costura</t>
  </si>
  <si>
    <t>Termostatos</t>
  </si>
  <si>
    <t>Desecho o desperdicios de madera</t>
  </si>
  <si>
    <t>Equipos de escape de incendios</t>
  </si>
  <si>
    <t>Papas preparadas y congeladas o arroz o pasta o relleno</t>
  </si>
  <si>
    <t>Tapones de extremidad tubo o núcleo</t>
  </si>
  <si>
    <t>Filtros de panel</t>
  </si>
  <si>
    <t>Alabastro</t>
  </si>
  <si>
    <t>Amiama Gómez</t>
  </si>
  <si>
    <t>Plantilla de chequeo</t>
  </si>
  <si>
    <t>Tubos nasofaríngeos</t>
  </si>
  <si>
    <t>Moldura de aluminio</t>
  </si>
  <si>
    <t>Espejos sin revestimiento</t>
  </si>
  <si>
    <t>Centrales hidroeléctricas</t>
  </si>
  <si>
    <t>Ensambles estructurales con soldadura sónica de aluminio</t>
  </si>
  <si>
    <t>Equipo de seguridad de red cortafuegos (firewall)</t>
  </si>
  <si>
    <t>Medallas</t>
  </si>
  <si>
    <t>Microscopios oculares</t>
  </si>
  <si>
    <t>Motores turbohélice</t>
  </si>
  <si>
    <t>Servicios de manejo o control de garrapatas</t>
  </si>
  <si>
    <t>Producción de mapas</t>
  </si>
  <si>
    <t>Escritura de discursos</t>
  </si>
  <si>
    <t>Sensores de densidad de fracturación</t>
  </si>
  <si>
    <t>Banderas auto adhesivas</t>
  </si>
  <si>
    <t>Gabinetes calentadores de cobijas o soluciones</t>
  </si>
  <si>
    <t>40151601</t>
  </si>
  <si>
    <t>Evaporadores de purga de nitrógeno</t>
  </si>
  <si>
    <t>Especímenes del cuerpo humano, partes u órganos</t>
  </si>
  <si>
    <t>Análisis microeconómico</t>
  </si>
  <si>
    <t>Angioscopios o accesorios</t>
  </si>
  <si>
    <t>Bombas de infusión para alimentación enteral</t>
  </si>
  <si>
    <t>Oxamniquina</t>
  </si>
  <si>
    <t>Soldadura</t>
  </si>
  <si>
    <t>51142235</t>
  </si>
  <si>
    <t>Servicios de entrada por teclado</t>
  </si>
  <si>
    <t>Componentes no metálicos formados en torno</t>
  </si>
  <si>
    <t>Lavadoras de ingeniería química</t>
  </si>
  <si>
    <t>Laminadora</t>
  </si>
  <si>
    <t>Paquetes de muebles de recepción para oficinas</t>
  </si>
  <si>
    <t>IN</t>
  </si>
  <si>
    <t>Etiquetas o cintas de identificación de tubos intravenosos o arteriales</t>
  </si>
  <si>
    <t>Extracto de centella asiática</t>
  </si>
  <si>
    <t>Anillos de retención</t>
  </si>
  <si>
    <t>Gabinetes o cajas fuertes para narcóticos</t>
  </si>
  <si>
    <t>Repuestos de tinta</t>
  </si>
  <si>
    <t>Servicios de mensajería en bicicleta o motocicleta</t>
  </si>
  <si>
    <t>Metal precioso en barra labrada</t>
  </si>
  <si>
    <t>Refrigerante de motor</t>
  </si>
  <si>
    <t>Software de manejo de inventarios</t>
  </si>
  <si>
    <t>Forjas de aleación de níquel maquinadas con troquel abierto</t>
  </si>
  <si>
    <t>Componentes de bronce formados por estiramiento</t>
  </si>
  <si>
    <t>Productos de leche o mantequilla congelados</t>
  </si>
  <si>
    <t>Sierras para hacer facetas o pulir caras</t>
  </si>
  <si>
    <t>Accesorios para torres de enfriamiento</t>
  </si>
  <si>
    <t>Stands de islas giratorias</t>
  </si>
  <si>
    <t>REGION</t>
  </si>
  <si>
    <t>Componentes o accesorios de resucitación</t>
  </si>
  <si>
    <t>Sulfato de terbutalina</t>
  </si>
  <si>
    <t>Ramas y tallos secos</t>
  </si>
  <si>
    <t>Sábanas</t>
  </si>
  <si>
    <t>Dispensadores o accesorios de pulverizadores de tabletas</t>
  </si>
  <si>
    <t>Cementos de óxido de zinc eugenol y de no eugenol</t>
  </si>
  <si>
    <t>Teicoplanina</t>
  </si>
  <si>
    <t>Impuesto sobre los bienes</t>
  </si>
  <si>
    <t>Ensambles de láminas soldadas con soldadura solvente de aleación hast x</t>
  </si>
  <si>
    <t>Sets de estimulador muscular</t>
  </si>
  <si>
    <t>San Rafael del Yuma</t>
  </si>
  <si>
    <t>Componentes de sistema tridimensional para tomografía computarizada ct o cat para uso médico</t>
  </si>
  <si>
    <t>Tuercas de aletas</t>
  </si>
  <si>
    <t>Sets de radioactividad</t>
  </si>
  <si>
    <t>Camillas o accesorios para evacuación aérea</t>
  </si>
  <si>
    <t>Ensambles de tubos remachados de aleación hast x</t>
  </si>
  <si>
    <t>Circuladores de aire</t>
  </si>
  <si>
    <t>52161533</t>
  </si>
  <si>
    <t>Lijadoras eléctricas</t>
  </si>
  <si>
    <t>Banda de hierro</t>
  </si>
  <si>
    <t>Unidades de respaldo de marcación telefónica</t>
  </si>
  <si>
    <t>Chapa blindada</t>
  </si>
  <si>
    <t>Máquinas para hacer helados</t>
  </si>
  <si>
    <t>Estantes o soportes o carritos para unidades de hemodiálisis</t>
  </si>
  <si>
    <t>Monitoreo de partículas en el aire</t>
  </si>
  <si>
    <t>Rieles o sujetadores para colgar tableros</t>
  </si>
  <si>
    <t>15121803</t>
  </si>
  <si>
    <t>Kits de reparación de frenos</t>
  </si>
  <si>
    <t>Tablas espinales</t>
  </si>
  <si>
    <t>30161706</t>
  </si>
  <si>
    <t>51161701</t>
  </si>
  <si>
    <t>Cable triaxial</t>
  </si>
  <si>
    <t>Aletas de avión</t>
  </si>
  <si>
    <t>Gráficos de fracciones</t>
  </si>
  <si>
    <t>Servicios de producción de aves de corral</t>
  </si>
  <si>
    <t>Escuadras</t>
  </si>
  <si>
    <t>Lámparas de rayos ultravioleta (uv)</t>
  </si>
  <si>
    <t>Servicios para modelado de aguas subterráneas o superficiales</t>
  </si>
  <si>
    <t>Clorhidrato de prometazina</t>
  </si>
  <si>
    <t>Manijas para cuchillo de bajo grado</t>
  </si>
  <si>
    <t>Guantes de softbol</t>
  </si>
  <si>
    <t>Secadores de película</t>
  </si>
  <si>
    <t>Lingotes de cinc</t>
  </si>
  <si>
    <t>Punzones o alwznas</t>
  </si>
  <si>
    <t>Servicios de corte con llama de gas</t>
  </si>
  <si>
    <t>Escritorio técnico para instructores</t>
  </si>
  <si>
    <t>Rollos adhesivos</t>
  </si>
  <si>
    <t>Chapa de acero</t>
  </si>
  <si>
    <t>Cerramientos pcr</t>
  </si>
  <si>
    <t>Servicios de invernaderos</t>
  </si>
  <si>
    <t>Ensamblajes para cámaras</t>
  </si>
  <si>
    <t>CANULAS Y CATETER 4</t>
  </si>
  <si>
    <t>MEDICAMENTOS ANALGESICOS Y ANTIPIRECTICOS  1</t>
  </si>
  <si>
    <t>Ensambles de tubería soldada con ultra violeta de acero inoxidable</t>
  </si>
  <si>
    <t>Manitol</t>
  </si>
  <si>
    <t>Máquinas para hacer cabuchones</t>
  </si>
  <si>
    <t>Controles de calidad o calibradores o estándares para biología molecular</t>
  </si>
  <si>
    <t>Litotriptores de ultrasonido</t>
  </si>
  <si>
    <t>Hidróxidos orgánicos</t>
  </si>
  <si>
    <t>Lozas mezcladoras para uso odontológico</t>
  </si>
  <si>
    <t>Piperazina</t>
  </si>
  <si>
    <t>24112404</t>
  </si>
  <si>
    <t>Contenedor de basura plástico</t>
  </si>
  <si>
    <t>Ensambles de barras soldadas con solvente de acero al carbono</t>
  </si>
  <si>
    <t>Descortezadoras</t>
  </si>
  <si>
    <t>Mejoramiento del suelo</t>
  </si>
  <si>
    <t>Servicios de fabricación de fibra de poliéster</t>
  </si>
  <si>
    <t>Cooperación de países alineados</t>
  </si>
  <si>
    <t>Controles anti – deslizamiento de avión</t>
  </si>
  <si>
    <t>Jaibón (Pueblo Nuevo)</t>
  </si>
  <si>
    <t>Porta productos de identificación o accesorios</t>
  </si>
  <si>
    <t>Cintas o brazaletes de identificación post mortem</t>
  </si>
  <si>
    <t>Lodoxamida trometamina</t>
  </si>
  <si>
    <t>Concentradores de oxígeno</t>
  </si>
  <si>
    <t>Ensambles de láminas atornilladas de latón</t>
  </si>
  <si>
    <t>Central térmica</t>
  </si>
  <si>
    <t>Servicios de recuperación de tierras</t>
  </si>
  <si>
    <t>Carrete del cabezal de la tubería</t>
  </si>
  <si>
    <t>La Colonia</t>
  </si>
  <si>
    <t>Sellos de esponja</t>
  </si>
  <si>
    <t>Fundas de velas</t>
  </si>
  <si>
    <t>Bujes de transformadores</t>
  </si>
  <si>
    <t>Etiquetas para el equipaje</t>
  </si>
  <si>
    <t>Chapa de magnesio</t>
  </si>
  <si>
    <t>Máquinas de leche malteada</t>
  </si>
  <si>
    <t>Resina polímero cristal líquido</t>
  </si>
  <si>
    <t>42312313</t>
  </si>
  <si>
    <t>Dextrano</t>
  </si>
  <si>
    <t>Parabrisas de avión</t>
  </si>
  <si>
    <t>39111808</t>
  </si>
  <si>
    <t>Husillos de giro de eje</t>
  </si>
  <si>
    <t>Bolsas de laminadores</t>
  </si>
  <si>
    <t>Ensambles de láminas remachadas de inconel</t>
  </si>
  <si>
    <t>Duchas</t>
  </si>
  <si>
    <t>Válvulas solenoides</t>
  </si>
  <si>
    <t>Secadores</t>
  </si>
  <si>
    <t>Asientos o taburetes para acampar</t>
  </si>
  <si>
    <t>Trituradores de basura para uso doméstico</t>
  </si>
  <si>
    <t>Clorhidrato de piperidolato</t>
  </si>
  <si>
    <t>Sets de drenaje ventricular</t>
  </si>
  <si>
    <t>Lavanderia 3</t>
  </si>
  <si>
    <t>Recipientes blindados contra la radiación</t>
  </si>
  <si>
    <t>Servicios de fertilizantes</t>
  </si>
  <si>
    <t>Aparato de electromagnetismo</t>
  </si>
  <si>
    <t>Componentes de latón maquinados por extrusión hidrostática</t>
  </si>
  <si>
    <t>Tecnología para laboratorio veterinario</t>
  </si>
  <si>
    <t>Fumigacion 3</t>
  </si>
  <si>
    <t>Limpiadores de carros de esterilización</t>
  </si>
  <si>
    <t>Azul de metileno</t>
  </si>
  <si>
    <t>Armadura para el cuerpo</t>
  </si>
  <si>
    <t>Cruce de Guayacanes</t>
  </si>
  <si>
    <t>Tirador de fusible</t>
  </si>
  <si>
    <t>Aceite hidráulico</t>
  </si>
  <si>
    <t>Bombas dosificadoras</t>
  </si>
  <si>
    <t>Equipo de marcado de campo para soccer</t>
  </si>
  <si>
    <t>Vibrómetros</t>
  </si>
  <si>
    <t>Introductores o alambres guía o alambres de deslizamiento endoscópicos</t>
  </si>
  <si>
    <t>Sólidos de acero básico</t>
  </si>
  <si>
    <t>Botellas de agua o accesorios para endoscopia</t>
  </si>
  <si>
    <t>Juegos de memoria</t>
  </si>
  <si>
    <t>Teléfonos móviles</t>
  </si>
  <si>
    <t>Cinta de impresora</t>
  </si>
  <si>
    <t>Forjas de berilio maquinadas con troquel abierto</t>
  </si>
  <si>
    <t>Activadores fotoeléctricos</t>
  </si>
  <si>
    <t>Boquillas de zircón</t>
  </si>
  <si>
    <t>Reparación o calibración de pruebas de equipo</t>
  </si>
  <si>
    <t>Servicios de ingeniería para la terminación del pozo</t>
  </si>
  <si>
    <t>44121701</t>
  </si>
  <si>
    <t>Disco versátil digital dvd de sólo lectura</t>
  </si>
  <si>
    <t>Diodos con efecto túnel</t>
  </si>
  <si>
    <t>Sondas de borrado hemostático</t>
  </si>
  <si>
    <t>Papeles u hojas de esterilización</t>
  </si>
  <si>
    <t>Equipo para recubrir el vacío óptico</t>
  </si>
  <si>
    <t>Componentes de acero formados enrollados</t>
  </si>
  <si>
    <t>TRATAMIENTOS DE CANCER</t>
  </si>
  <si>
    <t>Chatarra de súper aleación</t>
  </si>
  <si>
    <t>Clorhidrato de betaína</t>
  </si>
  <si>
    <t>Instrumentos geofísicos electromagnéticos</t>
  </si>
  <si>
    <t>Jeringas de medicación líquida oral</t>
  </si>
  <si>
    <t>Material no metálico en placa labrada</t>
  </si>
  <si>
    <t>Organizadores o bandejas para el escritorio</t>
  </si>
  <si>
    <t>Retenedores de uso odontológico</t>
  </si>
  <si>
    <t>Cuerda de acero para piano</t>
  </si>
  <si>
    <t>Máquinas de soldar</t>
  </si>
  <si>
    <t>Las Charcas</t>
  </si>
  <si>
    <t>Equipo de forros deslizantes automatizado</t>
  </si>
  <si>
    <t>Troles o vagonetas y accesorios</t>
  </si>
  <si>
    <t>Editores de video</t>
  </si>
  <si>
    <t>Ensambles de tubería pegada de acero de aleación baja</t>
  </si>
  <si>
    <t>Sistemas de aplicación de pegante o adhesivo</t>
  </si>
  <si>
    <t>Juegos de sellos</t>
  </si>
  <si>
    <t>Palas</t>
  </si>
  <si>
    <t>Termómetros rectales post mortem</t>
  </si>
  <si>
    <t>Módulos o accesorios de busca personas</t>
  </si>
  <si>
    <t>Servicios de relleno de minas</t>
  </si>
  <si>
    <t>Platillos</t>
  </si>
  <si>
    <t>Limpiadores de amoniaco</t>
  </si>
  <si>
    <t>Hebra de algodón</t>
  </si>
  <si>
    <t>Movimientos para la liberación de animales</t>
  </si>
  <si>
    <t>Transiluminadores para exámenes de uso médico</t>
  </si>
  <si>
    <t>Juegos de mesa para los discapacitados físicamente</t>
  </si>
  <si>
    <t>Filtros de membrana para laboratorio</t>
  </si>
  <si>
    <t>Relojes de mareas</t>
  </si>
  <si>
    <t>Componentes de acero formados con explosivos</t>
  </si>
  <si>
    <t>24101604</t>
  </si>
  <si>
    <t>compra de carnes y pescados 4</t>
  </si>
  <si>
    <t>Interruptor multi servicios</t>
  </si>
  <si>
    <t>Campanas eléctricas o accesorios</t>
  </si>
  <si>
    <t>Acetónido de fluocinolona</t>
  </si>
  <si>
    <t>Espaciadores y separadores</t>
  </si>
  <si>
    <t>Pijamas o camisas de dormir o batas para hombre</t>
  </si>
  <si>
    <t>Equipo de ventilación para invernadero</t>
  </si>
  <si>
    <t>Sets o kits de pruebas de diagnóstico sicológico</t>
  </si>
  <si>
    <t>Vectores de clonación general</t>
  </si>
  <si>
    <t>Topes de puerta</t>
  </si>
  <si>
    <t>Vajilla fina para servicio de comidas</t>
  </si>
  <si>
    <t>Vaquería</t>
  </si>
  <si>
    <t>Herramientas del dipmeter de cable de recuperación</t>
  </si>
  <si>
    <t>Protectores de moldes o estuches de laboratorio dental</t>
  </si>
  <si>
    <t>Pescado fresco</t>
  </si>
  <si>
    <t>60122008</t>
  </si>
  <si>
    <t>83112402</t>
  </si>
  <si>
    <t>Máscaras o correas de presión de vías aéreas positivas continuas cpap</t>
  </si>
  <si>
    <t>Servicios de cocina o preparación de comidas</t>
  </si>
  <si>
    <t>Negociación de la deuda</t>
  </si>
  <si>
    <t>Marfil</t>
  </si>
  <si>
    <t>Tubería de metal precioso</t>
  </si>
  <si>
    <t>Comida seca para perros</t>
  </si>
  <si>
    <t>Recogedores de botavaras</t>
  </si>
  <si>
    <t>Moldes para la fabricación de velas</t>
  </si>
  <si>
    <t>Monitores para tomografía computarizada ct o cat para uso médico</t>
  </si>
  <si>
    <t>Servicios presidenciales</t>
  </si>
  <si>
    <t>Ensambles de láminas soldadas con soldadura sónica de cobre</t>
  </si>
  <si>
    <t>Equipos para pruebas de animales</t>
  </si>
  <si>
    <t>Set telefónico manos libres para vehículos</t>
  </si>
  <si>
    <t>Bandejas o cubiertas para medicinas</t>
  </si>
  <si>
    <t>Suministros de tracción de brazo</t>
  </si>
  <si>
    <t>Cubertería para servicio de comidas</t>
  </si>
  <si>
    <t>Ensambles de láminas soldadas con soldadura ultra violeta de inconel</t>
  </si>
  <si>
    <t>Cámaras de impresión instantánea</t>
  </si>
  <si>
    <t>Formas o libros de conocimientos de embarque</t>
  </si>
  <si>
    <t>Tapones para reacción en cadena de polimerasa pcr</t>
  </si>
  <si>
    <t>42132203</t>
  </si>
  <si>
    <t>Sets de jeringas de irrigación</t>
  </si>
  <si>
    <t>Moroxidina</t>
  </si>
  <si>
    <t>Botes para desembarco de tanques</t>
  </si>
  <si>
    <t>carnes y pescados para consumir en el INCART</t>
  </si>
  <si>
    <t>Bimatoprost</t>
  </si>
  <si>
    <t>Alicates de lagarto</t>
  </si>
  <si>
    <t>Catéter inflable para angioplastia</t>
  </si>
  <si>
    <t>50192303</t>
  </si>
  <si>
    <t>Forjaduras en estampa cerrada de magnesio</t>
  </si>
  <si>
    <t>Folders de colgar o accesorios</t>
  </si>
  <si>
    <t>Conductos rígidos</t>
  </si>
  <si>
    <t>Componentes de acero inoxidable maquinados por extrusión en caliente</t>
  </si>
  <si>
    <t>Aparatos para control de audición</t>
  </si>
  <si>
    <t>Material de yeso para tablillas para uso ortopédico</t>
  </si>
  <si>
    <t>Pavos vivos</t>
  </si>
  <si>
    <t>Servicios de estimulación de la matriz de base no ácida</t>
  </si>
  <si>
    <t>Libros de recursos o actividades de la multiplicación</t>
  </si>
  <si>
    <t>Sistemas de cambiavías</t>
  </si>
  <si>
    <t>Mangueras o boquillas para incendios</t>
  </si>
  <si>
    <t>Acumuladores neumáticos</t>
  </si>
  <si>
    <t>Protectores de ojos</t>
  </si>
  <si>
    <t>Banda de bronce</t>
  </si>
  <si>
    <t>Fosfato sódico de hidrocortisona</t>
  </si>
  <si>
    <t>Unidades de tomografía de emisión de positrones pet para uso médico</t>
  </si>
  <si>
    <t>Trazador de circuitos</t>
  </si>
  <si>
    <t>Unidades de engranajes</t>
  </si>
  <si>
    <t>Componentes de aleación no ferrosa maquinados por extrusión de impacto</t>
  </si>
  <si>
    <t>Maleato de tietilperacina</t>
  </si>
  <si>
    <t>Software de módem</t>
  </si>
  <si>
    <t>Elevadores para baño o accesorios para los discapacitados físicamente</t>
  </si>
  <si>
    <t>Mesas para instrumentos o accesorios para uso oftálmico</t>
  </si>
  <si>
    <t>Objetos de hierro fundidos a la cera perdida</t>
  </si>
  <si>
    <t>Hornos de crisol programables</t>
  </si>
  <si>
    <t>Gas de agua o gas productor</t>
  </si>
  <si>
    <t>Mandriles para joyería</t>
  </si>
  <si>
    <t>Nortriptilina</t>
  </si>
  <si>
    <t>Soluciones limpiadoras para equipos de oficina</t>
  </si>
  <si>
    <t>Correas o bandas o pulseras para relojes</t>
  </si>
  <si>
    <t>Engranajes biselados</t>
  </si>
  <si>
    <t>Sobres especiales</t>
  </si>
  <si>
    <t>Maricultura</t>
  </si>
  <si>
    <t>Granito</t>
  </si>
  <si>
    <t>Sulfato de cobre</t>
  </si>
  <si>
    <t>Estuches para discos compactos</t>
  </si>
  <si>
    <t>Servicios de educación o divulgación de información sobre derechos humanos</t>
  </si>
  <si>
    <t>Herramientas para bordes</t>
  </si>
  <si>
    <t>Recursos de diversidad étnica</t>
  </si>
  <si>
    <t>Varillas soldadoras</t>
  </si>
  <si>
    <t>Articulos de escritorio 4</t>
  </si>
  <si>
    <t>Lámparas de calor o sus accesorios para uso médico</t>
  </si>
  <si>
    <t>Cunas o accesorios</t>
  </si>
  <si>
    <t>Catéteres urológicos o accesorios para uso quirúrgico</t>
  </si>
  <si>
    <t>Metilparabeno</t>
  </si>
  <si>
    <t>Señales de teñido de emergencia</t>
  </si>
  <si>
    <t>Clorhidrato nefopam</t>
  </si>
  <si>
    <t>Equipo de aire para perforaciones</t>
  </si>
  <si>
    <t>Llaves de combinación</t>
  </si>
  <si>
    <t>Gluconato de calcio</t>
  </si>
  <si>
    <t>Terapia del habla o del lenguaje</t>
  </si>
  <si>
    <t>Generadores portátiles</t>
  </si>
  <si>
    <t>12171703</t>
  </si>
  <si>
    <t>Agitadores de techo</t>
  </si>
  <si>
    <t>Rodamientos esféricos</t>
  </si>
  <si>
    <t>El Limón</t>
  </si>
  <si>
    <t>Servicios de diseño del servicio de pesca en el campo petrolífero</t>
  </si>
  <si>
    <t>Bandejas de horno para uso doméstico</t>
  </si>
  <si>
    <t>Limpiadores de aire</t>
  </si>
  <si>
    <t>Bánica</t>
  </si>
  <si>
    <t>Gorras para pacientes</t>
  </si>
  <si>
    <t>Forjas de estaño maquinadas por reducción</t>
  </si>
  <si>
    <t>Correas de montaje</t>
  </si>
  <si>
    <t>Pañitos o toallas para limpiar</t>
  </si>
  <si>
    <t>Máquinas de interruptor de fax</t>
  </si>
  <si>
    <t>Pistones</t>
  </si>
  <si>
    <t>Presa</t>
  </si>
  <si>
    <t>Kits de resina para reparación craneal</t>
  </si>
  <si>
    <t>Forjaduras en estampa de impresión de cinc</t>
  </si>
  <si>
    <t>Máquinas de confitería helada</t>
  </si>
  <si>
    <t>Ferreteria y pintura 3</t>
  </si>
  <si>
    <t>Objetos de zinc fundidos en molde de yeso</t>
  </si>
  <si>
    <t>Pozo petrolero cemento clase g</t>
  </si>
  <si>
    <t>Ceftizoxima</t>
  </si>
  <si>
    <t>Monohidrato de cisaprida</t>
  </si>
  <si>
    <t>Piezas de cobre fundidas a presión</t>
  </si>
  <si>
    <t>Centro de asistencia de día</t>
  </si>
  <si>
    <t>Servicios de transporte de vehículos</t>
  </si>
  <si>
    <t>Kits o materiales de prueba de proteínas</t>
  </si>
  <si>
    <t>Bombas de medición</t>
  </si>
  <si>
    <t>Instrumentos para probar metales</t>
  </si>
  <si>
    <t>Maletines (“attaches”)</t>
  </si>
  <si>
    <t>Placa de plástico</t>
  </si>
  <si>
    <t>Tartrato de zolpidem</t>
  </si>
  <si>
    <t>Prensas</t>
  </si>
  <si>
    <t>Analizadores de emisión exhaustiva de automóviles</t>
  </si>
  <si>
    <t>Estructuras de naves espaciales</t>
  </si>
  <si>
    <t>Abejas</t>
  </si>
  <si>
    <t>Hilado de lino</t>
  </si>
  <si>
    <t>Protectores o almohadillas o copas para las patas de los muebles</t>
  </si>
  <si>
    <t>Kits de reparación de cilindro hidráulico o sus componentes</t>
  </si>
  <si>
    <t>Ruedas de margarita para impresoras</t>
  </si>
  <si>
    <t>Servicios de aplicación de fertilizantes</t>
  </si>
  <si>
    <t>Servicios de impresión industrial  a pantalla</t>
  </si>
  <si>
    <t>Edisilato de proclorperazina</t>
  </si>
  <si>
    <t>Mineral de tántalo</t>
  </si>
  <si>
    <t>Derecho de patentes, marcas o derechos de autor</t>
  </si>
  <si>
    <t>Puntas de pipeta de barrera de aerosol</t>
  </si>
  <si>
    <t>Paneles de conexión de puertos</t>
  </si>
  <si>
    <t>Clomipramina</t>
  </si>
  <si>
    <t>Bloqueadores de ruedas</t>
  </si>
  <si>
    <t>Paneles de montaje</t>
  </si>
  <si>
    <t>Reducción de fuerza mutua o equilibrada.</t>
  </si>
  <si>
    <t>Reactivos sulfhidrilo</t>
  </si>
  <si>
    <t>Posicionadores o sujetadores de endoscopios o instrumentos</t>
  </si>
  <si>
    <t>Persianas enrollables</t>
  </si>
  <si>
    <t>Sistema de transferencia de muestras de irradiación</t>
  </si>
  <si>
    <t>Juegos de lógica</t>
  </si>
  <si>
    <t>Ensambles estructurales atornillados de latón</t>
  </si>
  <si>
    <t>Máquinas aplanadoras o niveladoras</t>
  </si>
  <si>
    <t>Villa Sombrero</t>
  </si>
  <si>
    <t>42211503</t>
  </si>
  <si>
    <t>Dispensadores de pañuelos faciales</t>
  </si>
  <si>
    <t>Válvulas de seguridad en línea</t>
  </si>
  <si>
    <t>Máquinas de crepes para uso comercial</t>
  </si>
  <si>
    <t>Máquinas de afeitar eléctricas para uso doméstico</t>
  </si>
  <si>
    <t>Negociaciones o acuerdos de desarme</t>
  </si>
  <si>
    <t>Semillas, plántulas o esquejes de rosa</t>
  </si>
  <si>
    <t>Casas rodantes</t>
  </si>
  <si>
    <t>Impresoras de inyección de tinta</t>
  </si>
  <si>
    <t>Polibutileno tereftalato (PBT)</t>
  </si>
  <si>
    <t>Kits o accesorios de drenaje ginecológico</t>
  </si>
  <si>
    <t>Sistemas de posicionamiento global de vehículos</t>
  </si>
  <si>
    <t>Asociaciones de empleadores</t>
  </si>
  <si>
    <t>Edetato cálcico disódico</t>
  </si>
  <si>
    <t>Componentes no metálicos maquinados por extrusión de impacto</t>
  </si>
  <si>
    <t>Grabadoras de presión o de vacío</t>
  </si>
  <si>
    <t>Cables para monitor transductor para uso médico</t>
  </si>
  <si>
    <t>Medidores de rocío</t>
  </si>
  <si>
    <t>San Francisco de Jacagua</t>
  </si>
  <si>
    <t>Servicios hospitalarios para animales</t>
  </si>
  <si>
    <t>Tintas para caligrafía</t>
  </si>
  <si>
    <t>Sistemas de gatos para mover el taladro de perforación</t>
  </si>
  <si>
    <t>Scooters</t>
  </si>
  <si>
    <t>30131704</t>
  </si>
  <si>
    <t>Columna de pared mojada</t>
  </si>
  <si>
    <t>Dispersiones de pigmento</t>
  </si>
  <si>
    <t>Villa de Sonador</t>
  </si>
  <si>
    <t>Suplementos de amino ácidos</t>
  </si>
  <si>
    <t>Polietileno de baja densidad hdpe</t>
  </si>
  <si>
    <t>Removedor de adhesivo</t>
  </si>
  <si>
    <t>Hidrocloruro de fenoxibenzamina</t>
  </si>
  <si>
    <t>Cortadores de película</t>
  </si>
  <si>
    <t>Alquiler de perros guardianes</t>
  </si>
  <si>
    <t>Kits de aislamiento térmico</t>
  </si>
  <si>
    <t>Ribeteadoras</t>
  </si>
  <si>
    <t>Extrusiones por impacto de metal precioso</t>
  </si>
  <si>
    <t>Analizadores de inmunología</t>
  </si>
  <si>
    <t>Ensambles de tubos soldados con soldadura ultra violeta de acero inoxidable</t>
  </si>
  <si>
    <t>Cobertizos para almacenaje</t>
  </si>
  <si>
    <t>Desecho o desperdicios de vidrio</t>
  </si>
  <si>
    <t>Raspadores de parafina de cable de recuperación</t>
  </si>
  <si>
    <t>Software de controladores de impresoras</t>
  </si>
  <si>
    <t>51142302</t>
  </si>
  <si>
    <t>Titanio en barra labrada</t>
  </si>
  <si>
    <t>21101512</t>
  </si>
  <si>
    <t>Ensambles de láminas soldadas con soldadura sónica de latón</t>
  </si>
  <si>
    <t>Catéteres urinarios uretrales</t>
  </si>
  <si>
    <t>Convertidores para fundición</t>
  </si>
  <si>
    <t>Servicios de hormigón o estuco para exteriores</t>
  </si>
  <si>
    <t>Cajas o folders para portaobjetos para microscopios</t>
  </si>
  <si>
    <t>Estimuladores de nervios o accesorios de uso quirúrgico</t>
  </si>
  <si>
    <t>Impresión de envolturas, etiquetas, sellos o bolsas</t>
  </si>
  <si>
    <t>Cartones para techar</t>
  </si>
  <si>
    <t>Series de cintas</t>
  </si>
  <si>
    <t>Pabellón deportivo</t>
  </si>
  <si>
    <t>Productos para el sistema sexual genital urinario u hormonales para uso veterinario</t>
  </si>
  <si>
    <t>Cheurones</t>
  </si>
  <si>
    <t>Plantilla de posicionamiento</t>
  </si>
  <si>
    <t>Papaina</t>
  </si>
  <si>
    <t>Productos para el sistema respiratorio para uso veterinario</t>
  </si>
  <si>
    <t>Ensambles de tubos atornillados de acero de aleación baja</t>
  </si>
  <si>
    <t>Código de la Unidad de Compra</t>
  </si>
  <si>
    <t>Suministros de tracción de pelvis o espalda</t>
  </si>
  <si>
    <t>Plantas de terrario</t>
  </si>
  <si>
    <t>Valvulotomos angioscópicos</t>
  </si>
  <si>
    <t>Servicios de sociedades anónimas públicas multinacionales</t>
  </si>
  <si>
    <t>Modelos de gravedad o sets de modelos</t>
  </si>
  <si>
    <t>Implantes maxilofaciales bucales o sets</t>
  </si>
  <si>
    <t>Mordaza de alimentación de cinta</t>
  </si>
  <si>
    <t>Puente de ferrocarril</t>
  </si>
  <si>
    <t>Clips de bolsas</t>
  </si>
  <si>
    <t>La Victoria</t>
  </si>
  <si>
    <t>Pulidor</t>
  </si>
  <si>
    <t>Postes de infusión intravenosa para sillas de ruedas</t>
  </si>
  <si>
    <t>Poleas del motor</t>
  </si>
  <si>
    <t>Objetos maquinados de acero fundidos a la cera perdida</t>
  </si>
  <si>
    <t>Topes o bloqueos para ortodoncia</t>
  </si>
  <si>
    <t>Cuchillos para periodoncia</t>
  </si>
  <si>
    <t>Cámara anaeróbica</t>
  </si>
  <si>
    <t>Sensores de densidad acidificante</t>
  </si>
  <si>
    <t>Antídoto de carbón activado</t>
  </si>
  <si>
    <t>Kits biológicos de esterilización</t>
  </si>
  <si>
    <t>Asociaciones de médicos</t>
  </si>
  <si>
    <t>Jeringas de fuente</t>
  </si>
  <si>
    <t>Tubos corrugados para cableado posterior</t>
  </si>
  <si>
    <t>Embrague semi centrífugo</t>
  </si>
  <si>
    <t>Resinas celulosas</t>
  </si>
  <si>
    <t>Pegantes o cementos para moldes auditivos</t>
  </si>
  <si>
    <t>Isometepteno</t>
  </si>
  <si>
    <t>Resistores fusibles</t>
  </si>
  <si>
    <t>Tanques de dialisato para hemodiálisis</t>
  </si>
  <si>
    <t>Alicates de punta larga</t>
  </si>
  <si>
    <t>Epoxi</t>
  </si>
  <si>
    <t>Probadores de compresión</t>
  </si>
  <si>
    <t>Hornos de seguridad para laboratorios</t>
  </si>
  <si>
    <t>Educación para empleados</t>
  </si>
  <si>
    <t>Cilindros de forjar</t>
  </si>
  <si>
    <t>Lápices de acuarela</t>
  </si>
  <si>
    <t>Refrigeradores o neveras congeladores para almacenar material inflamable</t>
  </si>
  <si>
    <t>Recursos para festivos multiculturales</t>
  </si>
  <si>
    <t>Ensambles de tubos pegados de cobre</t>
  </si>
  <si>
    <t>Estopines</t>
  </si>
  <si>
    <t>Dinero magnético</t>
  </si>
  <si>
    <t>Ensamblajes de regleta</t>
  </si>
  <si>
    <t>Agentes de control de asfaltenos de parafina modificados cristal</t>
  </si>
  <si>
    <t>Objetos maquinados de cinc fundidos en molde cerámico</t>
  </si>
  <si>
    <t>47131821</t>
  </si>
  <si>
    <t>2019</t>
  </si>
  <si>
    <t>Servicios de nefrología</t>
  </si>
  <si>
    <t>Golpecitos de disco</t>
  </si>
  <si>
    <t>50221001</t>
  </si>
  <si>
    <t>Bóvedas torneadas con diamante</t>
  </si>
  <si>
    <t>Accesorios o sets para nefrostomía</t>
  </si>
  <si>
    <t>Nisoldipino</t>
  </si>
  <si>
    <t>Alfombras de algodón</t>
  </si>
  <si>
    <t>Equipos de orientación</t>
  </si>
  <si>
    <t>Bolsas o contenedores de transferencia de infusión arterial o intravenosa</t>
  </si>
  <si>
    <t>Lensómetros para uso oftálmico</t>
  </si>
  <si>
    <t>Verduras estables sin refrigerar</t>
  </si>
  <si>
    <t>Etinilestradiol</t>
  </si>
  <si>
    <t>Ingeniería ferroviaria</t>
  </si>
  <si>
    <t>Hidrocloruro de bupropión</t>
  </si>
  <si>
    <t>Plataformas petroleras o de gas</t>
  </si>
  <si>
    <t>Evaluadores de dobleces de piel</t>
  </si>
  <si>
    <t>Barras de ensalada</t>
  </si>
  <si>
    <t>Brocas de cortadora fija</t>
  </si>
  <si>
    <t>Antenas lan umt gsm</t>
  </si>
  <si>
    <t>Componentes o accesorios de filtro de cubierta de micro filmado</t>
  </si>
  <si>
    <t>Cohetes de una sola etapa</t>
  </si>
  <si>
    <t>Servicios de entrega de periódicos o material publicitario</t>
  </si>
  <si>
    <t>Raquetas de squash</t>
  </si>
  <si>
    <t>51121709</t>
  </si>
  <si>
    <t>Juntas teóricas</t>
  </si>
  <si>
    <t>Tablero de partículas</t>
  </si>
  <si>
    <t>Magnesio en barra labrada</t>
  </si>
  <si>
    <t>41112209</t>
  </si>
  <si>
    <t>Servicios de juntas de turismo</t>
  </si>
  <si>
    <t>Servicios de investigación biomédica</t>
  </si>
  <si>
    <t>Ferreteria y pintura 2</t>
  </si>
  <si>
    <t>Hornos de pizza para uso comercial</t>
  </si>
  <si>
    <t>Software de procesamiento de palabras</t>
  </si>
  <si>
    <t>Materiales de enseñanza de modales o etiqueta o cortesía</t>
  </si>
  <si>
    <t>El Ranchito</t>
  </si>
  <si>
    <t>Dispensadores de medicamentos</t>
  </si>
  <si>
    <t>Raspadores de pisos</t>
  </si>
  <si>
    <t>Servicios de tatuajes</t>
  </si>
  <si>
    <t>Hornos de crisol</t>
  </si>
  <si>
    <t>Extrusiones de perfiles de plomo</t>
  </si>
  <si>
    <t>Servicios de rehabilitación para el abuso de sustancias</t>
  </si>
  <si>
    <t>Arsénico as</t>
  </si>
  <si>
    <t>Supervisión de instalación, ajuste o mantenimiento de calderas</t>
  </si>
  <si>
    <t>Árbol de distribución</t>
  </si>
  <si>
    <t>Pueblo Viejo</t>
  </si>
  <si>
    <t>Pantallas o desplegadores para proyección</t>
  </si>
  <si>
    <t>Ensambles estructurales con soldadura de solvente de inconel</t>
  </si>
  <si>
    <t>Alambres o cables eléctricos</t>
  </si>
  <si>
    <t>Certificados</t>
  </si>
  <si>
    <t>Ensambles de placas soldadas con soldadura sónica de acero al carbono</t>
  </si>
  <si>
    <t>Analizadores de bioluminiscencia o quimioluminiscencia</t>
  </si>
  <si>
    <t>Filtros (coladores) de líquido</t>
  </si>
  <si>
    <t>Interruptores de límite</t>
  </si>
  <si>
    <t>Cilantro</t>
  </si>
  <si>
    <t>Clavo-tornillo</t>
  </si>
  <si>
    <t>Nueces o fruta disecada</t>
  </si>
  <si>
    <t>Registros de desplazamiento</t>
  </si>
  <si>
    <t>Perfiles de hierro</t>
  </si>
  <si>
    <t>23153023</t>
  </si>
  <si>
    <t>Marcos de puertas o quicios</t>
  </si>
  <si>
    <t>Cañas de felpilla grandes</t>
  </si>
  <si>
    <t>Iluminación o electricidad o componentes de información para sistemas de paneles</t>
  </si>
  <si>
    <t>Materiales de enseñanza para el desarrollo de la autoestima y el autoconcepto</t>
  </si>
  <si>
    <t>26121636</t>
  </si>
  <si>
    <t>Cabrera</t>
  </si>
  <si>
    <t>Finasterida</t>
  </si>
  <si>
    <t>Unidades de diálisis arterio venosa continua cavhd o productos relacionados</t>
  </si>
  <si>
    <t>Vacuna contra el virus de la rubeola y las paperas</t>
  </si>
  <si>
    <t>Bases navales</t>
  </si>
  <si>
    <t>Apiladores de buzón de correo</t>
  </si>
  <si>
    <t>Semillas o plántulas de fríjol</t>
  </si>
  <si>
    <t>Beta caroteno</t>
  </si>
  <si>
    <t>Ensambles de tubos soldados con soldadura sónica de acero de aleación baja</t>
  </si>
  <si>
    <t>Agujas de costura</t>
  </si>
  <si>
    <t>Jarras para servicio de comidas</t>
  </si>
  <si>
    <t>Contraterrorismo</t>
  </si>
  <si>
    <t>Ketoprofeno</t>
  </si>
  <si>
    <t>Cajas ciegas de cable de recuperación</t>
  </si>
  <si>
    <t>Planificación sectorial forestal</t>
  </si>
  <si>
    <t>Relojes (temporizadores) de cocina para uso doméstico</t>
  </si>
  <si>
    <t>Mineral de plomo</t>
  </si>
  <si>
    <t>Bloques de concreto</t>
  </si>
  <si>
    <t>Alargadores</t>
  </si>
  <si>
    <t>Libros de literatura infantil</t>
  </si>
  <si>
    <t>Barricadas</t>
  </si>
  <si>
    <t>Cubiertas y carcasas de plástico</t>
  </si>
  <si>
    <t>Semillas o plántulas de ajo</t>
  </si>
  <si>
    <t>Plantilla de inspección</t>
  </si>
  <si>
    <t>Penachos de gramíneas secos</t>
  </si>
  <si>
    <t>26121536</t>
  </si>
  <si>
    <t>Formatos o libros de correspondencia</t>
  </si>
  <si>
    <t>Ensambles de láminas pegadas no metálica</t>
  </si>
  <si>
    <t>Sistemas de reconocimiento de caracteres ópticos</t>
  </si>
  <si>
    <t>Troqueles de roscado</t>
  </si>
  <si>
    <t>Servicios o redes de radioaficionados</t>
  </si>
  <si>
    <t>Achicadores para laboratorio</t>
  </si>
  <si>
    <t>Protectores de tejidos para uso quirúrgico</t>
  </si>
  <si>
    <t>Regla para sastrería</t>
  </si>
  <si>
    <t>Quemadores operados con gas natural</t>
  </si>
  <si>
    <t>Servicios de especialista del sistema nervioso</t>
  </si>
  <si>
    <t>Extrusiones de perfiles de zinc</t>
  </si>
  <si>
    <t>Servicios de camiones de vacío en el emplazamiento del pozo</t>
  </si>
  <si>
    <t>Producción de plantas aromáticas</t>
  </si>
  <si>
    <t>Señales informativas</t>
  </si>
  <si>
    <t>Servicios de optimización hidráulica de las brocas de perforación del campo petrolero</t>
  </si>
  <si>
    <t>Bacinillas de cama para fracturas</t>
  </si>
  <si>
    <t>Estaño</t>
  </si>
  <si>
    <t>Arrendamientos de tierras</t>
  </si>
  <si>
    <t>Dispositivos de bloqueo</t>
  </si>
  <si>
    <t>Ensambles de láminas soldadas con soldadura sónica de acero inoxidable</t>
  </si>
  <si>
    <t>Objetos de hierro fundidos en molde fijo</t>
  </si>
  <si>
    <t>Pidolato de magnesio</t>
  </si>
  <si>
    <t>Martillos perforadores</t>
  </si>
  <si>
    <t>Gas neón ne</t>
  </si>
  <si>
    <t>Sillas para descansar</t>
  </si>
  <si>
    <t>Chasis para automóviles</t>
  </si>
  <si>
    <t>Cajas u organizadores de almacenamiento de archivos</t>
  </si>
  <si>
    <t>Resinas acrílicas</t>
  </si>
  <si>
    <t>Basalto</t>
  </si>
  <si>
    <t>Cenoví</t>
  </si>
  <si>
    <t>Jánico</t>
  </si>
  <si>
    <t>Alarmas de piscina</t>
  </si>
  <si>
    <t>Capa vegetal</t>
  </si>
  <si>
    <t>Bombas eléctricas de fondo de pozo</t>
  </si>
  <si>
    <t>Residuos de semilla de colza</t>
  </si>
  <si>
    <t>Componentes no metálicos formados enrollados</t>
  </si>
  <si>
    <t>Fuerzas de despliegue rápido</t>
  </si>
  <si>
    <t>Forjas de bronce maquinadas con troquel abierto</t>
  </si>
  <si>
    <t>Forjaduras en estampa cerrada de latón</t>
  </si>
  <si>
    <t>Activadores hidráulicos</t>
  </si>
  <si>
    <t>Clorhidrato de sotalol</t>
  </si>
  <si>
    <t>Navas</t>
  </si>
  <si>
    <t>Inserción en televisión</t>
  </si>
  <si>
    <t>INSUMOS CIRUGIA MENOR 2</t>
  </si>
  <si>
    <t>Puertas de automotores</t>
  </si>
  <si>
    <t>Equipo para producción submarina de boca de pozo</t>
  </si>
  <si>
    <t>77111601</t>
  </si>
  <si>
    <t>Ensamblajes de cabezal de lectura y escritura</t>
  </si>
  <si>
    <t>Helicópteros de transporte militar</t>
  </si>
  <si>
    <t>Investigaciones  o clínicas o grupos focales basados en el consumidor</t>
  </si>
  <si>
    <t>Sólidos de súper aleación</t>
  </si>
  <si>
    <t>Sets de iluminación de operación para uso odontológico</t>
  </si>
  <si>
    <t>Intercambiadores de teteras</t>
  </si>
  <si>
    <t>Concentrado de color de polímero</t>
  </si>
  <si>
    <t>Servicios de operaciones de arriendo</t>
  </si>
  <si>
    <t>Indicadores de nivel de líquido nucleónico industrial</t>
  </si>
  <si>
    <t>Dispensadores de limpiador</t>
  </si>
  <si>
    <t>Gorros de baño</t>
  </si>
  <si>
    <t>Inversiones de sílice etilo de uso odontológico</t>
  </si>
  <si>
    <t>Gabinetes de almacenamiento</t>
  </si>
  <si>
    <t>Marcos para certificados</t>
  </si>
  <si>
    <t>Ensambles estructurales remachados no metálica</t>
  </si>
  <si>
    <t>Prensas de impresión de offset</t>
  </si>
  <si>
    <t>Ganchos de alambre para riostras</t>
  </si>
  <si>
    <t>Cable submarino</t>
  </si>
  <si>
    <t>Servicios de producción de tabla de madera dura o de fibra</t>
  </si>
  <si>
    <t>Ayudas de entrenamiento para soccer</t>
  </si>
  <si>
    <t>Bolsas de basura</t>
  </si>
  <si>
    <t>Disulfiram</t>
  </si>
  <si>
    <t>Mineral de titanio</t>
  </si>
  <si>
    <t>Subasta inmobiliaria</t>
  </si>
  <si>
    <t>Instrumentos geofísicos de polarización inducida ip</t>
  </si>
  <si>
    <t>Ensambles de tubería soldada de solvente de cobre</t>
  </si>
  <si>
    <t>Servicios de transmisión de gráficas del campo petrolero</t>
  </si>
  <si>
    <t>Encuestas telefónicas para investigaciones de mercado</t>
  </si>
  <si>
    <t>Unidades de sonda de calor o sondas de calor o accesorios para endoscopia</t>
  </si>
  <si>
    <t>51171820</t>
  </si>
  <si>
    <t>Cal apagada</t>
  </si>
  <si>
    <t>Memoria de sólo lectura (rom)</t>
  </si>
  <si>
    <t>Armaduras</t>
  </si>
  <si>
    <t>Cuadrículas de valor posicional</t>
  </si>
  <si>
    <t>Trámites de apelación o revisión judicial</t>
  </si>
  <si>
    <t>Acondicionadores de agua</t>
  </si>
  <si>
    <t>Servicios de  cirugía</t>
  </si>
  <si>
    <t>Soportes para canecas</t>
  </si>
  <si>
    <t>42142509</t>
  </si>
  <si>
    <t>Soportes para codos</t>
  </si>
  <si>
    <t>Servicios de seguridad para diplomáticos</t>
  </si>
  <si>
    <t>Extrusiones de perfiles de aluminio</t>
  </si>
  <si>
    <t>Ácido acrílico de etileno</t>
  </si>
  <si>
    <t>Sandalias para niña</t>
  </si>
  <si>
    <t>Servicios sísmicos de tiro rápido</t>
  </si>
  <si>
    <t>MIPYME</t>
  </si>
  <si>
    <t>Ayudas telefónicas para los discapacitados físicamente</t>
  </si>
  <si>
    <t>Abrazaderas de resorte</t>
  </si>
  <si>
    <t>73121802</t>
  </si>
  <si>
    <t>46191501</t>
  </si>
  <si>
    <t>Inyectores de bola acidificantes</t>
  </si>
  <si>
    <t>Servicios de maquinado por electrodescarga edm</t>
  </si>
  <si>
    <t>Breakers de circuito</t>
  </si>
  <si>
    <t>Accesorios de vías aéreas artificiales</t>
  </si>
  <si>
    <t>Rines o ruedas para camiones</t>
  </si>
  <si>
    <t>Compra de bienes de escritorio para el incart</t>
  </si>
  <si>
    <t>Cinta para reparar tubería o manguera</t>
  </si>
  <si>
    <t>Metalzolamida</t>
  </si>
  <si>
    <t>Omeprazol</t>
  </si>
  <si>
    <t>Correas planas</t>
  </si>
  <si>
    <t>Esquinas adhesivas</t>
  </si>
  <si>
    <t>Piezas de fusible o accesorios</t>
  </si>
  <si>
    <t>Catalina</t>
  </si>
  <si>
    <t>Semen</t>
  </si>
  <si>
    <t>Intercambiadores divididos</t>
  </si>
  <si>
    <t>Válvulas de seguridad de pistón</t>
  </si>
  <si>
    <t>Semillas o plántulas de algodón</t>
  </si>
  <si>
    <t>Barras de aleación ferrosa</t>
  </si>
  <si>
    <t>Servicios de composición de canciones</t>
  </si>
  <si>
    <t>Camisas para niño</t>
  </si>
  <si>
    <t>Ensambles de placas soldadas de acero al carbono</t>
  </si>
  <si>
    <t>Citrato de sodio</t>
  </si>
  <si>
    <t>Hato del Padre</t>
  </si>
  <si>
    <t>Insertos de acero</t>
  </si>
  <si>
    <t>Servicios de purificación de metales</t>
  </si>
  <si>
    <t>Componentes de zinc formados por estiramiento por presión</t>
  </si>
  <si>
    <t>Medio acoplamiento de tubería</t>
  </si>
  <si>
    <t>Producción de colorantes</t>
  </si>
  <si>
    <t>Tinidazol</t>
  </si>
  <si>
    <t>Medrisona</t>
  </si>
  <si>
    <t>Bancos de monedas</t>
  </si>
  <si>
    <t>Dispositivos de filtración de tierra</t>
  </si>
  <si>
    <t>Aleaciones para amalgamas de uso odontológico</t>
  </si>
  <si>
    <t>Software de desarrollo orientado a objetos o componentes</t>
  </si>
  <si>
    <t>Alimento en hojuelas para peces</t>
  </si>
  <si>
    <t>Servicios de preparación o revisión de presupuestos</t>
  </si>
  <si>
    <t>Ensambles de placas soldadas con soldadura fuerte o débil no metálica</t>
  </si>
  <si>
    <t>Esterilizadores químicos o de gas</t>
  </si>
  <si>
    <t>PALEATIVOS 4</t>
  </si>
  <si>
    <t>Tarjetas de invitación o de anuncio</t>
  </si>
  <si>
    <t>Colimadores de terapia de radiación de intensidad modulada de acelerador lineal imrt para uso médico</t>
  </si>
  <si>
    <t>Pantuflas para mujer</t>
  </si>
  <si>
    <t>Set de calibración óptica</t>
  </si>
  <si>
    <t>Sondas termopares</t>
  </si>
  <si>
    <t>Solución ringer lactato</t>
  </si>
  <si>
    <t>Tejedoras</t>
  </si>
  <si>
    <t>Servicios de  mantenimiento o administración de canalizaciones</t>
  </si>
  <si>
    <t>Estaciones base de fidelidad inalámbricas</t>
  </si>
  <si>
    <t>Servicios de cosecha de granos comerciales</t>
  </si>
  <si>
    <t>Brea de madera</t>
  </si>
  <si>
    <t>Herramientas de deflexión</t>
  </si>
  <si>
    <t>Instrumentos o accesorios láser endoscópicos</t>
  </si>
  <si>
    <t>Servicios de mantenimiento de ascensores</t>
  </si>
  <si>
    <t>Polariscopios</t>
  </si>
  <si>
    <t>30161907</t>
  </si>
  <si>
    <t>Estereoscopios para probar la visión</t>
  </si>
  <si>
    <t>Rubidio rb</t>
  </si>
  <si>
    <t>Loxaglato de meglumina</t>
  </si>
  <si>
    <t>Badanas</t>
  </si>
  <si>
    <t>Componentes de luz o energía o datos para atriles</t>
  </si>
  <si>
    <t>Canastas no metálicas</t>
  </si>
  <si>
    <t>Tubos micro centrífugos</t>
  </si>
  <si>
    <t>Losas o baldosas de piedra</t>
  </si>
  <si>
    <t>Pañitos limpiadores para máquinas de oficina</t>
  </si>
  <si>
    <t>Mechas para oídos</t>
  </si>
  <si>
    <t>Revestimientos para bombas</t>
  </si>
  <si>
    <t>Ganchos de resorte</t>
  </si>
  <si>
    <t>Ayudas filtrantes</t>
  </si>
  <si>
    <t>BANCO DE SANGRE</t>
  </si>
  <si>
    <t xml:space="preserve">bienes de fumigacion para usar en el incart </t>
  </si>
  <si>
    <t>Batey 08</t>
  </si>
  <si>
    <t>Fundas o estuches o accesorios para instrumentos musicales</t>
  </si>
  <si>
    <t>Dispositivos o accesorios de moción pasiva continua cpm</t>
  </si>
  <si>
    <t>Máquina para lavar pisos</t>
  </si>
  <si>
    <t>Componentes de apilamiento de carcasas</t>
  </si>
  <si>
    <t>Prismas para uso oftálmico</t>
  </si>
  <si>
    <t>Bromo br</t>
  </si>
  <si>
    <t>REGIONES</t>
  </si>
  <si>
    <t>Pedales de bicicleta</t>
  </si>
  <si>
    <t>Ensambles de barras soldadas con soldadura fuerte o débil de latón</t>
  </si>
  <si>
    <t>Colorímetros oftálmicos</t>
  </si>
  <si>
    <t>Clorhidrato de metadona</t>
  </si>
  <si>
    <t>Banda de acero</t>
  </si>
  <si>
    <t>Accesorios de boca de pozo o flujo de superficie de boca de pozo</t>
  </si>
  <si>
    <t>Fieltro</t>
  </si>
  <si>
    <t>Servicios de administración del trabajo social</t>
  </si>
  <si>
    <t>Película sellante para laboratorio</t>
  </si>
  <si>
    <t>Servicios de estudios o equipos radiofónicos</t>
  </si>
  <si>
    <t>Caja detonadora</t>
  </si>
  <si>
    <t>Vino fortificado</t>
  </si>
  <si>
    <t>Desecho o desperdicio plástico</t>
  </si>
  <si>
    <t>Taladros o brocas dentales</t>
  </si>
  <si>
    <t>Baterías de ferroníquel</t>
  </si>
  <si>
    <t>Pinturas o medios al óleo solubles en agua</t>
  </si>
  <si>
    <t>Mesilato de nelfinavir</t>
  </si>
  <si>
    <t>Tajadora de queso para uso doméstico</t>
  </si>
  <si>
    <t>Plafones de tejado</t>
  </si>
  <si>
    <t>Alcance refrigerado y caliente para cámaras ambientales y de cultivo</t>
  </si>
  <si>
    <t>Apósitos secos</t>
  </si>
  <si>
    <t>Unidades de presión de sangre aneroides</t>
  </si>
  <si>
    <t>Retractores de piel</t>
  </si>
  <si>
    <t>Econometría</t>
  </si>
  <si>
    <t>Objetos fundidos maquinados con troquel de bronce</t>
  </si>
  <si>
    <t>Estuches paramédicos para servicios médicos de emergencia</t>
  </si>
  <si>
    <t>Pantallas tangentes</t>
  </si>
  <si>
    <t>Antigüedades</t>
  </si>
  <si>
    <t>Regeneradores de glicol de pozo petrolero</t>
  </si>
  <si>
    <t>Productos de humidificación para ventiladores</t>
  </si>
  <si>
    <t>Pemolina</t>
  </si>
  <si>
    <t>26141806</t>
  </si>
  <si>
    <t>Equipo de acceso de satélite</t>
  </si>
  <si>
    <t>Cables de retención</t>
  </si>
  <si>
    <t>alimentos y bebidas del INCART</t>
  </si>
  <si>
    <t>Servicios de recoleccion de basura en el incart</t>
  </si>
  <si>
    <t>Componentes de bronce formados por estiramiento por presión</t>
  </si>
  <si>
    <t>Planeadores de pared o repuestos</t>
  </si>
  <si>
    <t>Microscopios acústicos</t>
  </si>
  <si>
    <t>Libros de lectura para principiantes</t>
  </si>
  <si>
    <t>Sistema de control de filas</t>
  </si>
  <si>
    <t>Ensambles de barras pegadas de titanio</t>
  </si>
  <si>
    <t>Llantas para camiones pesados</t>
  </si>
  <si>
    <t>Sujetadores de bebida para los discapacitados físicamente</t>
  </si>
  <si>
    <t>Portal de mensajes de voz</t>
  </si>
  <si>
    <t>Administración de hatos</t>
  </si>
  <si>
    <t>Botellas de aplicador</t>
  </si>
  <si>
    <t>Embragues de placa</t>
  </si>
  <si>
    <t>Canaletas para cables</t>
  </si>
  <si>
    <t>Edificio para albergue de montaña</t>
  </si>
  <si>
    <t>Ganchos de seguridad</t>
  </si>
  <si>
    <t>Auditorias de cierre del ejercicio</t>
  </si>
  <si>
    <t>Lentes</t>
  </si>
  <si>
    <t>Medidores de diafonía</t>
  </si>
  <si>
    <t>Materiales pirotécnicos para el teatro o la televisión</t>
  </si>
  <si>
    <t>Objetos de berilio fundidos por proceso en v</t>
  </si>
  <si>
    <t>Objetos maquinados de magnesio fundidos en arena</t>
  </si>
  <si>
    <t>Reactivos o soluciones o tinturas para análisis de orina</t>
  </si>
  <si>
    <t>Extrusiones en frío de plomo</t>
  </si>
  <si>
    <t>Indicadores de presión</t>
  </si>
  <si>
    <t>Proyectores de techo</t>
  </si>
  <si>
    <t>Gabinetes institucionales de almacenamiento</t>
  </si>
  <si>
    <t>Caucho látex</t>
  </si>
  <si>
    <t>Tratadores de corona</t>
  </si>
  <si>
    <t>Ganchos o accesorios para endoscopia</t>
  </si>
  <si>
    <t>Ensambles de tubos soldados con soldadura fuerte o débil no metálica</t>
  </si>
  <si>
    <t>Cubiertas guardapolvos de máquina</t>
  </si>
  <si>
    <t>Máquinas de maíz pira para uso doméstico</t>
  </si>
  <si>
    <t>Trastuzumab</t>
  </si>
  <si>
    <t>Equipos de bolos de jardín</t>
  </si>
  <si>
    <t>Dispositivos o accesorios de movilidad multifuncional</t>
  </si>
  <si>
    <t>Lazos</t>
  </si>
  <si>
    <t>Indio</t>
  </si>
  <si>
    <t>Escudetes de avión</t>
  </si>
  <si>
    <t>Bancos para aulas de clase</t>
  </si>
  <si>
    <t>Mouse o bola de seguimiento para computador</t>
  </si>
  <si>
    <t>Balas de lanzamiento</t>
  </si>
  <si>
    <t>Asideras para lápices o esferos</t>
  </si>
  <si>
    <t>Programas de movilización de ahorros</t>
  </si>
  <si>
    <t>Cierres para zunchado</t>
  </si>
  <si>
    <t>Reproductores o grabadoras de video discos digitales</t>
  </si>
  <si>
    <t>Espejos parabólicos</t>
  </si>
  <si>
    <t>Dispositivos o accesorios de control ortopédico</t>
  </si>
  <si>
    <t>Bolsas o contenedores de infusión arterial o intravenosa de único puerto</t>
  </si>
  <si>
    <t>Elaboración o reproducción de película fija</t>
  </si>
  <si>
    <t>Servicios relacionados con el judaísmo</t>
  </si>
  <si>
    <t>Kits de reactivos</t>
  </si>
  <si>
    <t>42181501</t>
  </si>
  <si>
    <t>Productos de leche o mantequilla frescos</t>
  </si>
  <si>
    <t>Polipropileno orientado axialmente</t>
  </si>
  <si>
    <t>Ácido desoxirribonucleico complementario cdna pre-preparado</t>
  </si>
  <si>
    <t>Herramientas de perforación</t>
  </si>
  <si>
    <t>Papel para impresión de computadores</t>
  </si>
  <si>
    <t>Unidad de sistema de calefacción para mantener o evacuar pacientes o accesorios</t>
  </si>
  <si>
    <t>Servicios de vigilancia</t>
  </si>
  <si>
    <t>Servicios de medición acústica durante la perforación</t>
  </si>
  <si>
    <t>Etinil-estradiol y diacetato de etinodiol</t>
  </si>
  <si>
    <t>Anillos para cámaras</t>
  </si>
  <si>
    <t>Modelos de enrejados de cristal</t>
  </si>
  <si>
    <t>Faros de navegación de avión</t>
  </si>
  <si>
    <t>Dosímetros de cámara de ionización</t>
  </si>
  <si>
    <t>Filtros de plato multipocillo</t>
  </si>
  <si>
    <t>41121813</t>
  </si>
  <si>
    <t>Tulio tm</t>
  </si>
  <si>
    <t>Utensilios para dar formas al papel</t>
  </si>
  <si>
    <t>Plantilla de eliminación</t>
  </si>
  <si>
    <t>Bromuro de pipecuronio</t>
  </si>
  <si>
    <t>Medidores de actividad del calibrador de isótopos</t>
  </si>
  <si>
    <t>Resortes de compresión</t>
  </si>
  <si>
    <t>Retractores ortopédicos</t>
  </si>
  <si>
    <t>Marcadores</t>
  </si>
  <si>
    <t>Kits para construcción de palabras</t>
  </si>
  <si>
    <t>Ácido azelaico</t>
  </si>
  <si>
    <t>Estadísticas comerciales de distribución o de servicios</t>
  </si>
  <si>
    <t>Placas de láminas de bronce</t>
  </si>
  <si>
    <t>Calentadores de aletas tubulares</t>
  </si>
  <si>
    <t>Acoples para campo petrolero</t>
  </si>
  <si>
    <t>Tractomulas con cabina encima del motor con cama</t>
  </si>
  <si>
    <t>Husos para cinta adhesiva</t>
  </si>
  <si>
    <t>Materiales de enseñanza de etiqueta empresarial</t>
  </si>
  <si>
    <t>Lámina de plomo</t>
  </si>
  <si>
    <t>Programas empresariales de propiedad minoritaria</t>
  </si>
  <si>
    <t>Trioxanos</t>
  </si>
  <si>
    <t>Acetato de desmopresina</t>
  </si>
  <si>
    <t>Soportes o conjuntos del eje</t>
  </si>
  <si>
    <t>Cafetería</t>
  </si>
  <si>
    <t>Máquinas de encuadernado térmico de libros</t>
  </si>
  <si>
    <t>Editores de película</t>
  </si>
  <si>
    <t>Asociaciones de defensa del derecho de voto</t>
  </si>
  <si>
    <t>Servicios de instituciones públicas</t>
  </si>
  <si>
    <t>Cintas de papel</t>
  </si>
  <si>
    <t>Libros de recursos o actividades de la división</t>
  </si>
  <si>
    <t>Alquiler de disfraces</t>
  </si>
  <si>
    <t>Servicios de petrofísica</t>
  </si>
  <si>
    <t>Objetos de aleación ferrosa fundidos en molde de yeso</t>
  </si>
  <si>
    <t>Kits de expresión bacteriana</t>
  </si>
  <si>
    <t>Preparaciones tópicas de brea de hulla</t>
  </si>
  <si>
    <t>Tamboril</t>
  </si>
  <si>
    <t>Servicios de embalsamiento o almacenamiento de aguas</t>
  </si>
  <si>
    <t>Cartas o muestras de colores</t>
  </si>
  <si>
    <t>Clorhidrato de nicardipina</t>
  </si>
  <si>
    <t>Juntas de rótula de tuberías</t>
  </si>
  <si>
    <t>Azufre o sulfuro</t>
  </si>
  <si>
    <t>Sets de actividades de bloques lógicos</t>
  </si>
  <si>
    <t>Eleva mesas</t>
  </si>
  <si>
    <t>Dinteles para goteo</t>
  </si>
  <si>
    <t>Instrumentos marcadores para biopsia de seno mínimamente invasiva</t>
  </si>
  <si>
    <t>Tuercas limitadoras</t>
  </si>
  <si>
    <t>Comida granulada para roedores</t>
  </si>
  <si>
    <t>Objetos de fundición centrífuga de zinc</t>
  </si>
  <si>
    <t>Aleación ferrosa</t>
  </si>
  <si>
    <t>Calentadores de tiro</t>
  </si>
  <si>
    <t>Llaves de tuercas</t>
  </si>
  <si>
    <t>Conectores de pliegue</t>
  </si>
  <si>
    <t>Remolcadores</t>
  </si>
  <si>
    <t>Subs en tándem</t>
  </si>
  <si>
    <t>Equipo de torque</t>
  </si>
  <si>
    <t>Lindano</t>
  </si>
  <si>
    <t>Candados de tiempo</t>
  </si>
  <si>
    <t>26101766</t>
  </si>
  <si>
    <t>Mefobarbital</t>
  </si>
  <si>
    <t>52141510</t>
  </si>
  <si>
    <t>Hidrocloruro de tamsulosina</t>
  </si>
  <si>
    <t>Accesorios de cerramiento para laboratorio</t>
  </si>
  <si>
    <t>Carne seca o procesada</t>
  </si>
  <si>
    <t>Sets de artrografía para uso médico</t>
  </si>
  <si>
    <t>Imperdibles</t>
  </si>
  <si>
    <t>Geles o enjuagues de fluoruro</t>
  </si>
  <si>
    <t>Papeles cilindro o papel pesado multi – capas</t>
  </si>
  <si>
    <t>Ensambles de láminas atornilladas de aleación wasp</t>
  </si>
  <si>
    <t>Servicios de redacción de proyectos de ley</t>
  </si>
  <si>
    <t>Ensambles de tubería con soldadura sónica no metálica</t>
  </si>
  <si>
    <t>Filtros hepa para laboratorio</t>
  </si>
  <si>
    <t>Semillas de maíz</t>
  </si>
  <si>
    <t>51101801</t>
  </si>
  <si>
    <t>Señales de chapa</t>
  </si>
  <si>
    <t>Codeína</t>
  </si>
  <si>
    <t>garajes</t>
  </si>
  <si>
    <t>Servicios de fabricación de sogas, cuerdas o cordeles</t>
  </si>
  <si>
    <t>Juntas de revisión de estándares profesionales</t>
  </si>
  <si>
    <t>Levantadores de huellas plantares</t>
  </si>
  <si>
    <t>Conexiones flexibles</t>
  </si>
  <si>
    <t>26111722</t>
  </si>
  <si>
    <t>Servicio de afilado</t>
  </si>
  <si>
    <t>Los Jovillos</t>
  </si>
  <si>
    <t>Picas</t>
  </si>
  <si>
    <t>Productos para evaluación o pruebas cognitivas o de destreza o de percepción o sensoriales</t>
  </si>
  <si>
    <t>Collares de tracción para uso quirúrgico</t>
  </si>
  <si>
    <t>Contenedores de recolección de tejido óseo</t>
  </si>
  <si>
    <t>Tubería de zinc</t>
  </si>
  <si>
    <t>Naves de salvamento</t>
  </si>
  <si>
    <t>Limpiador de la vía de máquina</t>
  </si>
  <si>
    <t>Cultivos de tejidos</t>
  </si>
  <si>
    <t>Objetos de acero inoxidable fundidos por proceso en v</t>
  </si>
  <si>
    <t>Limpieza de chimeneas</t>
  </si>
  <si>
    <t>Bobina de acero inoxidable</t>
  </si>
  <si>
    <t>Extrusiones de perfiles de latón</t>
  </si>
  <si>
    <t>Sets de carteleras de temporada</t>
  </si>
  <si>
    <t>Pintura</t>
  </si>
  <si>
    <t>Excepción - Contratación de publicidad a través de medios de comunicación social</t>
  </si>
  <si>
    <t>Inmunoglobulina o gamma igg</t>
  </si>
  <si>
    <t>Servicios de monitoreo de la reducción de la capa de ozono</t>
  </si>
  <si>
    <t>Espátulas dentales</t>
  </si>
  <si>
    <t>Ensambles de barras atornilladas de acero de aleación baja</t>
  </si>
  <si>
    <t>Separador de sistema de antiguo teléfono simple pots de equipo de premisa de cliente cpe de circuito de subscriptor digital dsl</t>
  </si>
  <si>
    <t>80121704</t>
  </si>
  <si>
    <t>Cohetes líquidos</t>
  </si>
  <si>
    <t>Cinta para marcar los pasillos</t>
  </si>
  <si>
    <t>Cadenas transmisoras de potencia</t>
  </si>
  <si>
    <t>Tornillo de enchufe</t>
  </si>
  <si>
    <t>Servicios de elevadores de granos</t>
  </si>
  <si>
    <t>Zolmitriptán</t>
  </si>
  <si>
    <t>Abono</t>
  </si>
  <si>
    <t>Analizadores de rayos láser</t>
  </si>
  <si>
    <t>Moldeables bajos en cemento</t>
  </si>
  <si>
    <t>Salicilamida</t>
  </si>
  <si>
    <t>Memoria flash</t>
  </si>
  <si>
    <t>Maquinaria para encartonar</t>
  </si>
  <si>
    <t>Agua fría</t>
  </si>
  <si>
    <t>Objetos fundidos maquinados con troquel de aluminio</t>
  </si>
  <si>
    <t>Danaparoide sódico</t>
  </si>
  <si>
    <t>Alambre de navaja</t>
  </si>
  <si>
    <t>Libros de recursos o actividades de base diez o valor posicional</t>
  </si>
  <si>
    <t>Barras de metal precioso</t>
  </si>
  <si>
    <t>Ensambles de placas soldadas con soldadura sónica de cobre</t>
  </si>
  <si>
    <t>Caucho crepe</t>
  </si>
  <si>
    <t>Componentes tridimensionales para ultrasonido o doppler o eco para uso médico</t>
  </si>
  <si>
    <t>Idoxuridina</t>
  </si>
  <si>
    <t>Kit de cosedora</t>
  </si>
  <si>
    <t>Objetos maquinados de metal precioso fundidos en molde de yeso</t>
  </si>
  <si>
    <t>Lienzo imprimado</t>
  </si>
  <si>
    <t>Brazaletes</t>
  </si>
  <si>
    <t>Sets de cohetes</t>
  </si>
  <si>
    <t>51111820</t>
  </si>
  <si>
    <t>Ingeniería de carreteras</t>
  </si>
  <si>
    <t>Cartuchos para aparatos de hemodiálisis</t>
  </si>
  <si>
    <t>Bandejas para agujas o porta agujas</t>
  </si>
  <si>
    <t>Servicios de fabricación de instrumentos de pruebas o de mediciones</t>
  </si>
  <si>
    <t>Papel para congelador</t>
  </si>
  <si>
    <t>El Cachón</t>
  </si>
  <si>
    <t>Accesorios de ensamblaje</t>
  </si>
  <si>
    <t>Set de servicio de mesa para uso doméstico</t>
  </si>
  <si>
    <t>Sets o kits ópticos</t>
  </si>
  <si>
    <t>Clofazimina</t>
  </si>
  <si>
    <t>Teteras para uso doméstico</t>
  </si>
  <si>
    <t>Ensambles de tubería remachada de titanio</t>
  </si>
  <si>
    <t>Líneas de marcar con tiza</t>
  </si>
  <si>
    <t>Tela dosel</t>
  </si>
  <si>
    <t>Enyesado o pirca</t>
  </si>
  <si>
    <t>Materiales de termoformado</t>
  </si>
  <si>
    <t>Ensambles de barras remachadas de latón</t>
  </si>
  <si>
    <t>Estantes o percheros para esterillas de descanso para niños</t>
  </si>
  <si>
    <t>Regalos del educador</t>
  </si>
  <si>
    <t>Ensambles de barras remachadas de acero inoxidable</t>
  </si>
  <si>
    <t>Servicios de reproducción de ganado menor</t>
  </si>
  <si>
    <t>Análisis de indicadores ambientales</t>
  </si>
  <si>
    <t>Componentes de aleación no ferrosa maquinados por extrusión hidrostática</t>
  </si>
  <si>
    <t>Clorhidrato de prozapina</t>
  </si>
  <si>
    <t>Herramientas ultrasónicas</t>
  </si>
  <si>
    <t>Circuitos de ventiladores o de respiración</t>
  </si>
  <si>
    <t>Gliclazida</t>
  </si>
  <si>
    <t>Tiaras</t>
  </si>
  <si>
    <t>Papel de empaque</t>
  </si>
  <si>
    <t>Molduras no metálicas</t>
  </si>
  <si>
    <t>Clonazepam</t>
  </si>
  <si>
    <t>Conmutadores</t>
  </si>
  <si>
    <t>Educación en baile</t>
  </si>
  <si>
    <t>Rifamicina</t>
  </si>
  <si>
    <t>Vacuna contra la plaga</t>
  </si>
  <si>
    <t>Forros o revestimientos para básculas de pesaje</t>
  </si>
  <si>
    <t>Peróxidos inorgánicos</t>
  </si>
  <si>
    <t>Bóvedas metálicas</t>
  </si>
  <si>
    <t>Papel vegetal prensado</t>
  </si>
  <si>
    <t>Protectores de uso doméstico o para automotores</t>
  </si>
  <si>
    <t>Maquinaria de envolver</t>
  </si>
  <si>
    <t>Acondicionadores de línea</t>
  </si>
  <si>
    <t>Hexacetonido de triamcinolona</t>
  </si>
  <si>
    <t>Dipropionato de alclometasona</t>
  </si>
  <si>
    <t>Máquinas para fechar o numerar</t>
  </si>
  <si>
    <t>50171551</t>
  </si>
  <si>
    <t>Bastidores (dispositivos de montaje) para computadores</t>
  </si>
  <si>
    <t>Detectores de metales</t>
  </si>
  <si>
    <t>Suministros o medios de cilindro</t>
  </si>
  <si>
    <t>Ensambles de placas soldadas con solvente de acero de aleación baja</t>
  </si>
  <si>
    <t>Arcilla de bola</t>
  </si>
  <si>
    <t>Cable de acero</t>
  </si>
  <si>
    <t>Forjaduras en estampa abierta de bronce</t>
  </si>
  <si>
    <t>Bálsamo del perú</t>
  </si>
  <si>
    <t>Cevicos</t>
  </si>
  <si>
    <t>Ensambles de placas soldadas con solvente de titanio</t>
  </si>
  <si>
    <t>Cacaoteros</t>
  </si>
  <si>
    <t>Ensambles de placas remachadas no metálica</t>
  </si>
  <si>
    <t>Luces de banco de laboratorio</t>
  </si>
  <si>
    <t>Amortiguadores de desviación de escape</t>
  </si>
  <si>
    <t>Agujas o punzones para endoscopia</t>
  </si>
  <si>
    <t>Bandas de instrumentos de esterilización</t>
  </si>
  <si>
    <t>Jeringas de punta de catéter para uso médico</t>
  </si>
  <si>
    <t>Objetos de fundición centrífuga de cobre</t>
  </si>
  <si>
    <t>Ensambles de tubería pegada de cobre</t>
  </si>
  <si>
    <t>Ensambles estructurales con soldadura de solvente no metálica</t>
  </si>
  <si>
    <t>Cajas eléctricas</t>
  </si>
  <si>
    <t>Amortiguadores para automóviles</t>
  </si>
  <si>
    <t>Ensambles estructurales con soldadura de fuerte o débil de aleación hast x</t>
  </si>
  <si>
    <t>Divisores de tamaño</t>
  </si>
  <si>
    <t>Sistema de ejes de acero</t>
  </si>
  <si>
    <t>Servicios de secado de granos</t>
  </si>
  <si>
    <t>Recordadores de píldoras para los discapacitados físicamente</t>
  </si>
  <si>
    <t>32101512</t>
  </si>
  <si>
    <t>Surfactantes detergentes</t>
  </si>
  <si>
    <t>Bandejas para servicio de comidas</t>
  </si>
  <si>
    <t>Cajas de sugerencias</t>
  </si>
  <si>
    <t>Rosarios</t>
  </si>
  <si>
    <t>Carcasa insonorizante de admisión de aire</t>
  </si>
  <si>
    <t>Tubería de hierro dúctil</t>
  </si>
  <si>
    <t>Ensambles estructurales con soldadura de solvente de acero inoxidable</t>
  </si>
  <si>
    <t>Software analítico o científico</t>
  </si>
  <si>
    <t>Alicates de perforación</t>
  </si>
  <si>
    <t>12131706</t>
  </si>
  <si>
    <t>MEDICAMENTOS ANTICOAGULANTE Y ANTICONVULSIVO 1</t>
  </si>
  <si>
    <t>Servicios de fumigación de cultivos</t>
  </si>
  <si>
    <t>Hidrocloruro de terazosina</t>
  </si>
  <si>
    <t>Sistemas de tablillas ortopédicas</t>
  </si>
  <si>
    <t>Trajes secos</t>
  </si>
  <si>
    <t>Mangueras multipropósito de aire, agua y gas</t>
  </si>
  <si>
    <t>Bahoruco</t>
  </si>
  <si>
    <t>Sistemas de computadores de vuelo</t>
  </si>
  <si>
    <t>Pijamas para pacientes</t>
  </si>
  <si>
    <t>Luces o lámparas instaladas para exámenes médicos</t>
  </si>
  <si>
    <t>Taladro de platina</t>
  </si>
  <si>
    <t>Servicios de capacitación en readiestramiento o repaso</t>
  </si>
  <si>
    <t>Monitores o medidores de glucosa</t>
  </si>
  <si>
    <t>Imbert</t>
  </si>
  <si>
    <t>Bandejas de cuidado de heridas o de limpieza</t>
  </si>
  <si>
    <t>Ensambles de tubería con soldadura fuerte o débil de aleación wasp</t>
  </si>
  <si>
    <t>Cuerdas</t>
  </si>
  <si>
    <t>Pases (permisos) para salir al pasillo</t>
  </si>
  <si>
    <t>Servicios de cuidado en hogares adoptivos u orfanatos</t>
  </si>
  <si>
    <t>Kits de kits de exhibición o sustracción diferenciales</t>
  </si>
  <si>
    <t>Clorhidrato de pseudoefedrina</t>
  </si>
  <si>
    <t>Lactato de inamrinona</t>
  </si>
  <si>
    <t>Secadores de pelo para uso doméstico</t>
  </si>
  <si>
    <t>Protectores de ganchos</t>
  </si>
  <si>
    <t>Kits de inicio para máquinas de escribir</t>
  </si>
  <si>
    <t>Ensambles de placas remachadas de cobre</t>
  </si>
  <si>
    <t>Ensambles de barras soldadas con soldadura sónica de latón</t>
  </si>
  <si>
    <t>Servicios de redes manejadas  x75</t>
  </si>
  <si>
    <t>Objetos de aleación no ferrosa fundidos en molde cerámico</t>
  </si>
  <si>
    <t>Materiales para proyectos de costura</t>
  </si>
  <si>
    <t>Básculas de mesa</t>
  </si>
  <si>
    <t>Beractant</t>
  </si>
  <si>
    <t>Forjas de bronce maquinadas por reducción</t>
  </si>
  <si>
    <t>Herramientas para cortar el cable de recuperación</t>
  </si>
  <si>
    <t>Limitador de torsión</t>
  </si>
  <si>
    <t>Vigas de hierro</t>
  </si>
  <si>
    <t>Bolitas de peltre</t>
  </si>
  <si>
    <t>Transformadores de distribución de potencia</t>
  </si>
  <si>
    <t>Termostato</t>
  </si>
  <si>
    <t>Equipos de medición de la fuerza del campo</t>
  </si>
  <si>
    <t>Sonajeros</t>
  </si>
  <si>
    <t>Opio</t>
  </si>
  <si>
    <t>Piezas de latón fundidas a presión</t>
  </si>
  <si>
    <t>Servicios de taladrado</t>
  </si>
  <si>
    <t>Insulina</t>
  </si>
  <si>
    <t>Capacitación sobre bibliotecas o documentación</t>
  </si>
  <si>
    <t>Moldeados plásticos por inyección de aire</t>
  </si>
  <si>
    <t>Arena de fundición</t>
  </si>
  <si>
    <t>Papel crepé sin blanquear</t>
  </si>
  <si>
    <t>Restauración</t>
  </si>
  <si>
    <t>Colectores de muestras</t>
  </si>
  <si>
    <t>Adhesivos de bloques para patrones</t>
  </si>
  <si>
    <t>30222408</t>
  </si>
  <si>
    <t>Servicios de control de arena en el fluido transportador de grava</t>
  </si>
  <si>
    <t>Endoscopios rígidos o accesorios o productos relacionados</t>
  </si>
  <si>
    <t>Componentes de acero formados por estiramiento</t>
  </si>
  <si>
    <t>Productos de debridación quirúrgica para uso médico</t>
  </si>
  <si>
    <t>Partes o accesorios de tablillas estabilizadoras</t>
  </si>
  <si>
    <t>Componentes de aleación ferrosa formados por estiramiento por presión</t>
  </si>
  <si>
    <t>Mesas para revolver</t>
  </si>
  <si>
    <t>Servicios de gestión de riesgo del campo petrolero</t>
  </si>
  <si>
    <t>red de transporte urbano</t>
  </si>
  <si>
    <t>Manguitos eléctricos</t>
  </si>
  <si>
    <t>Libros de recursos de puntuación</t>
  </si>
  <si>
    <t>Cocteles libre de alcohol o mezcla de bebidas</t>
  </si>
  <si>
    <t>Diseño del intercambio electrónico de datos (ied)</t>
  </si>
  <si>
    <t>Aparatos de combustión de alto vacío</t>
  </si>
  <si>
    <t>Laguna Salada</t>
  </si>
  <si>
    <t>Ensambles estructurales pegados de acero inoxidable</t>
  </si>
  <si>
    <t>Servicios de telefonía celular</t>
  </si>
  <si>
    <t>Marcadores para caligrafía</t>
  </si>
  <si>
    <t>44121503</t>
  </si>
  <si>
    <t>La Altagracia</t>
  </si>
  <si>
    <t>Tolazamida</t>
  </si>
  <si>
    <t>Componentes de hierro formados por estiramiento por presión</t>
  </si>
  <si>
    <t>Cepillos de canal de uso quirúrgico</t>
  </si>
  <si>
    <t>Mechas para la fabricación de velas</t>
  </si>
  <si>
    <t>Cajas de uso general</t>
  </si>
  <si>
    <t>Combinación de trandolapril y clorhidrato de verapamilo</t>
  </si>
  <si>
    <t>Ceras de fundición para incrustaciones de uso odontológico</t>
  </si>
  <si>
    <t>Buques anfibios de comando</t>
  </si>
  <si>
    <t>Manguitos de motor</t>
  </si>
  <si>
    <t>Paneles aislantes</t>
  </si>
  <si>
    <t>Misiles superficie a aire</t>
  </si>
  <si>
    <t>Kits de electricidad</t>
  </si>
  <si>
    <t>Asparaginasa</t>
  </si>
  <si>
    <t>Bombillos para oftalmómetros</t>
  </si>
  <si>
    <t>Alambre pelado</t>
  </si>
  <si>
    <t>Nafazolina</t>
  </si>
  <si>
    <t>Ensambles de sello de culminación</t>
  </si>
  <si>
    <t>Servicios de psicoterapeutas</t>
  </si>
  <si>
    <t>Fosfato de calcio dibase</t>
  </si>
  <si>
    <t>Revestimientos de rodamiento</t>
  </si>
  <si>
    <t>Producción de plantas textiles</t>
  </si>
  <si>
    <t>Jumbos hidráulicos de desarrollo horizontal</t>
  </si>
  <si>
    <t>Objetos de aluminio fundidos en molde de yeso</t>
  </si>
  <si>
    <t>Objetos fundidos maquinados por proceso v de bronce</t>
  </si>
  <si>
    <t>Giroscopio del avión</t>
  </si>
  <si>
    <t>42141805</t>
  </si>
  <si>
    <t>Cable de mando</t>
  </si>
  <si>
    <t>Tubos fotoeléctricos</t>
  </si>
  <si>
    <t>Maquinaria de filtrado</t>
  </si>
  <si>
    <t>Amcinonida</t>
  </si>
  <si>
    <t>Disparos de desperdicios de cable de recuperación</t>
  </si>
  <si>
    <t>Llaves de gancho</t>
  </si>
  <si>
    <t>Lingotes de metal precioso</t>
  </si>
  <si>
    <t>Rodillos de ancla</t>
  </si>
  <si>
    <t>Prendedores de joyería fina</t>
  </si>
  <si>
    <t>Ensambles estructurales con soldadura de solvente de cobre</t>
  </si>
  <si>
    <t>Barras de caucho</t>
  </si>
  <si>
    <t>Camillas o accesorios para ambulancias</t>
  </si>
  <si>
    <t>Servicios de medición de presión para registros de producción</t>
  </si>
  <si>
    <t>Horquilla</t>
  </si>
  <si>
    <t>Estilógrafos grabadores para espirómetros</t>
  </si>
  <si>
    <t>Urea uf</t>
  </si>
  <si>
    <t>Micrómetros</t>
  </si>
  <si>
    <t>Servicios de protección contra la contaminación acústica</t>
  </si>
  <si>
    <t>Servicios de estadísticas o predicciones del empleo</t>
  </si>
  <si>
    <t>Carboncillo vine</t>
  </si>
  <si>
    <t>Señales de niebla</t>
  </si>
  <si>
    <t>Cables elevadores</t>
  </si>
  <si>
    <t>Sábanas refractarias</t>
  </si>
  <si>
    <t>Software de fabricación asistida por computador cam</t>
  </si>
  <si>
    <t>Bronceado o dorado o ribeteado o bordeado</t>
  </si>
  <si>
    <t>Iluminación interior para vagones de tren</t>
  </si>
  <si>
    <t>Servicios de inteligencia</t>
  </si>
  <si>
    <t>Impresoras para ultrasonido o doppler o eco para uso médico</t>
  </si>
  <si>
    <t>Cuentas surtidas o de decoración</t>
  </si>
  <si>
    <t>52161511</t>
  </si>
  <si>
    <t>Máquinas blanqueadoras</t>
  </si>
  <si>
    <t>Compases geológicos</t>
  </si>
  <si>
    <t>Objetos de fundición centrífuga de berilio</t>
  </si>
  <si>
    <t>Esterilizadores de bolas de vidrio</t>
  </si>
  <si>
    <t>Papel de seda para manualidades</t>
  </si>
  <si>
    <t>Taurolidina</t>
  </si>
  <si>
    <t>Interruptor de área de almacenamiento de red san</t>
  </si>
  <si>
    <t>Misiles de fracturación</t>
  </si>
  <si>
    <t>PARA HUSO PACIENTES INCART</t>
  </si>
  <si>
    <t>Tarjetas de circuito multi capa</t>
  </si>
  <si>
    <t>Biosferas</t>
  </si>
  <si>
    <t>Escalerillas portacables</t>
  </si>
  <si>
    <t>Especímenes del ciclo vital de plantas</t>
  </si>
  <si>
    <t>Ensambles de tubos soldados con soldadura ultra violeta de acero al carbono</t>
  </si>
  <si>
    <t>Sintetizadores de voz para los discapacitados físicamente</t>
  </si>
  <si>
    <t>Delantales o máscaras o cortinas de protección radiológica para uso médico</t>
  </si>
  <si>
    <t>Moldes de inyección para plástico</t>
  </si>
  <si>
    <t>Tubos para aparatos de gas de anestesia o ensamblajes de tubos o ajustes de tubos o accesorios</t>
  </si>
  <si>
    <t>Servicios de encuadernación en vitela</t>
  </si>
  <si>
    <t>Tablas para ejercicios sin gravedad para rehabilitación o terapia</t>
  </si>
  <si>
    <t>Herramientas para demostración electroquímica</t>
  </si>
  <si>
    <t>Tarjetas didácticas del alfabeto</t>
  </si>
  <si>
    <t>Almohadillas de tinta o estampillas</t>
  </si>
  <si>
    <t>Mesilatos ergoloides</t>
  </si>
  <si>
    <t>Reproductores de discos laser</t>
  </si>
  <si>
    <t>Software de servicios de mensajería para móviles</t>
  </si>
  <si>
    <t>Filtros para tuberías de gas</t>
  </si>
  <si>
    <t>Abetos</t>
  </si>
  <si>
    <t>Programación para c, c++</t>
  </si>
  <si>
    <t>Núcleo de panal de cobre</t>
  </si>
  <si>
    <t>Guías para uso quirúrgico</t>
  </si>
  <si>
    <t>Platos de uso odontológico</t>
  </si>
  <si>
    <t>Secadores de deslizamiento</t>
  </si>
  <si>
    <t>Componentes de plomo maquinados por extrusión hidrostática</t>
  </si>
  <si>
    <t>Licitacion Publica</t>
  </si>
  <si>
    <t>Necesidades de dotación de personal de producción temporal</t>
  </si>
  <si>
    <t>Vectores de construcción de muestrarios</t>
  </si>
  <si>
    <t>Servicios de protección de sustancias tóxicas</t>
  </si>
  <si>
    <t>12352209</t>
  </si>
  <si>
    <t>Consultas de remedios</t>
  </si>
  <si>
    <t>Cajas de despliegue de película de rayos x para uso médico</t>
  </si>
  <si>
    <t>Sello mecánico</t>
  </si>
  <si>
    <t>Equipo de reconocimiento de billetes</t>
  </si>
  <si>
    <t>Cloruro de potasio</t>
  </si>
  <si>
    <t>42131706</t>
  </si>
  <si>
    <t>Software de optimización del sistema operativo de red</t>
  </si>
  <si>
    <t>Enalapril</t>
  </si>
  <si>
    <t>Bloques de mordida</t>
  </si>
  <si>
    <t>Lengüetas</t>
  </si>
  <si>
    <t>Paneles de vidrio para marcos</t>
  </si>
  <si>
    <t>Portaobjetos para microscopios</t>
  </si>
  <si>
    <t>Forjaduras en estampa de impresión de latón</t>
  </si>
  <si>
    <t>Servicios de alcance extendido del pozo</t>
  </si>
  <si>
    <t>Multiplexado de división de onda (wdm)</t>
  </si>
  <si>
    <t>Ayudas de entrenamiento para tenis</t>
  </si>
  <si>
    <t>Chocolate o sustituto de chocolate, confite</t>
  </si>
  <si>
    <t>Forros de dispositivos de ingreso de datos al computador</t>
  </si>
  <si>
    <t>31101506</t>
  </si>
  <si>
    <t>Hebra de asbesto</t>
  </si>
  <si>
    <t>Convertidores estáticos</t>
  </si>
  <si>
    <t>Sensores giratorios de posición</t>
  </si>
  <si>
    <t>Ducha de descontaminación</t>
  </si>
  <si>
    <t>Bandejas de entomología</t>
  </si>
  <si>
    <t>Lasitone</t>
  </si>
  <si>
    <t>Sweaters para hombre</t>
  </si>
  <si>
    <t>Flunitrazepam</t>
  </si>
  <si>
    <t>Cromo cr</t>
  </si>
  <si>
    <t>Pedro Brand</t>
  </si>
  <si>
    <t>Servicios de gobernadores</t>
  </si>
  <si>
    <t>Fósiles</t>
  </si>
  <si>
    <t>Las Lomas</t>
  </si>
  <si>
    <t>Floxuridina</t>
  </si>
  <si>
    <t>Evaluación riesgos o peligros</t>
  </si>
  <si>
    <t>Unidades crio quirúrgicas dentales</t>
  </si>
  <si>
    <t>Ensambles de tubería pegada de latón</t>
  </si>
  <si>
    <t>Bridas de retención</t>
  </si>
  <si>
    <t>Software de manejo de instalaciones</t>
  </si>
  <si>
    <t>Sabana Grande de Boyá</t>
  </si>
  <si>
    <t>Servicios de participación o representación de grupos de presión</t>
  </si>
  <si>
    <t>Esponjas</t>
  </si>
  <si>
    <t>Jeringas de tuberculina</t>
  </si>
  <si>
    <t>Calibradores</t>
  </si>
  <si>
    <t>Puntos o flechas adhesivas</t>
  </si>
  <si>
    <t>Arnés de alambrado especial</t>
  </si>
  <si>
    <t>Accesorios para la fabricación de velas</t>
  </si>
  <si>
    <t>Traviesas</t>
  </si>
  <si>
    <t>INSUMOS DE LABORATORIO ESPECIALES III</t>
  </si>
  <si>
    <t>Sistemas inalámbricos de control de producción</t>
  </si>
  <si>
    <t>Plantadoras</t>
  </si>
  <si>
    <t>Máscaras para pacientes de uso quirúrgico</t>
  </si>
  <si>
    <t>Mangueras de inflar o mangueras neumáticas o adaptadores de presión de sangre</t>
  </si>
  <si>
    <t>Columnas para cromatografía de gas</t>
  </si>
  <si>
    <t>Tuercas giratorias</t>
  </si>
  <si>
    <t>Servicios de alfabetización</t>
  </si>
  <si>
    <t>Soportes o zócalos de circuito integrado</t>
  </si>
  <si>
    <t>Medidores de vatios</t>
  </si>
  <si>
    <t>Cubiertas de platinas</t>
  </si>
  <si>
    <t>Leznas de impresión</t>
  </si>
  <si>
    <t>Ensamblajes de tubos capilares</t>
  </si>
  <si>
    <t>Tubos de varilla de empuje</t>
  </si>
  <si>
    <t>Elementos de calefacción</t>
  </si>
  <si>
    <t>Gonzalo</t>
  </si>
  <si>
    <t>Limpieza e Higiene 2</t>
  </si>
  <si>
    <t>Galato de propilo</t>
  </si>
  <si>
    <t>Excavadoras de campaña</t>
  </si>
  <si>
    <t>Ensambles de placas soldadas de titanio</t>
  </si>
  <si>
    <t>Indio in</t>
  </si>
  <si>
    <t>Vacuna contra el tifo</t>
  </si>
  <si>
    <t>Placas con inscripción no metálicas</t>
  </si>
  <si>
    <t>Conductos de aleación no ferrosa</t>
  </si>
  <si>
    <t>Sistemas de monitoreo de electrocardiografía ekg continua de larga duración o holter</t>
  </si>
  <si>
    <t>Pozos dirigidos geológicamente</t>
  </si>
  <si>
    <t>Bastidores de banda transportadora</t>
  </si>
  <si>
    <t>Plantillas</t>
  </si>
  <si>
    <t>Líneas de freno</t>
  </si>
  <si>
    <t>Accesorios o suministros para analizadores de amino ácidos</t>
  </si>
  <si>
    <t>Tubos de resonancia magnética nuclear nmr</t>
  </si>
  <si>
    <t>51171822</t>
  </si>
  <si>
    <t>Construcción casera uni-familiar</t>
  </si>
  <si>
    <t>Reactivos o soluciones o tinturas para citología</t>
  </si>
  <si>
    <t>Barras para saltar</t>
  </si>
  <si>
    <t>Retractores uterinos</t>
  </si>
  <si>
    <t>Envoltorios o recubrimientos de acero</t>
  </si>
  <si>
    <t>Medidores q</t>
  </si>
  <si>
    <t>La Siembra</t>
  </si>
  <si>
    <t>Servicios de investigación farmacéutica</t>
  </si>
  <si>
    <t>Perfiles de acero inoxidable</t>
  </si>
  <si>
    <t>Kits de pruebas de narcóticos</t>
  </si>
  <si>
    <t>Baños de flotación de tejidos</t>
  </si>
  <si>
    <t>Probadores de velocidad de la cinta</t>
  </si>
  <si>
    <t>Cinta transparente</t>
  </si>
  <si>
    <t>Pizarrete</t>
  </si>
  <si>
    <t>Kits de viaje para máquinas de oficina</t>
  </si>
  <si>
    <t>Sets o accesorios de muestreadores de células endometriales</t>
  </si>
  <si>
    <t>Ensambles de placas soldadas con soldadura ultra violeta de cobre</t>
  </si>
  <si>
    <t>Estuches de maquillaje o manicure</t>
  </si>
  <si>
    <t>Equipo de desarenar producción</t>
  </si>
  <si>
    <t>Estuches o fundas o accesorios para equipos de rayos x para uso médico</t>
  </si>
  <si>
    <t>Mezlocilina</t>
  </si>
  <si>
    <t>Puntas de pipeta de baja retención</t>
  </si>
  <si>
    <t>Equipos y componentes de red de acceso inalámbrica gprs 2.5g</t>
  </si>
  <si>
    <t>Incubadoras refrigeradas</t>
  </si>
  <si>
    <t>Materiales de enseñanza de habilidades para entrevistas</t>
  </si>
  <si>
    <t>Fibras de polímero de aramida</t>
  </si>
  <si>
    <t>Hidrocloruro de triprolidina</t>
  </si>
  <si>
    <t>Servicios de investigación o estadística matrimonial</t>
  </si>
  <si>
    <t>Objetos maquinados de berilio fundidos en molde en concha</t>
  </si>
  <si>
    <t>Maleato de timolol</t>
  </si>
  <si>
    <t>Casantranol</t>
  </si>
  <si>
    <t>Baní</t>
  </si>
  <si>
    <t>Unidades acidificantes</t>
  </si>
  <si>
    <t>Férulas inflables para servicios médicos de emergencia</t>
  </si>
  <si>
    <t>Colorímetros</t>
  </si>
  <si>
    <t>44101707</t>
  </si>
  <si>
    <t>Glucosamina</t>
  </si>
  <si>
    <t>Calentadores de gel para ultrasonido o doppler o eco para uso médico</t>
  </si>
  <si>
    <t>Neomicina</t>
  </si>
  <si>
    <t>Estuches de medicamentos para servicios médicos de emergencia</t>
  </si>
  <si>
    <t>Estantes u organizadores para estampillas</t>
  </si>
  <si>
    <t>Libros de recursos o actividades para trabajar con material didáctico manipulable de matemáticas temprana</t>
  </si>
  <si>
    <t>MONTOS ESTIMADOS SEGÚN TIPO DE PROCEDIMIENTO</t>
  </si>
  <si>
    <t>Bisulfato de clopidogrel</t>
  </si>
  <si>
    <t>Collares cervicales o abrazaderas para el cuello</t>
  </si>
  <si>
    <t>Bloques de terminales</t>
  </si>
  <si>
    <t>Cerramientos carbono filtrados</t>
  </si>
  <si>
    <t>Objetos de metal precioso fundidos en molde fijo</t>
  </si>
  <si>
    <t>Estabilizadores de gel</t>
  </si>
  <si>
    <t>Kits de prueba de frotis automático</t>
  </si>
  <si>
    <t>42221614</t>
  </si>
  <si>
    <t>Analizador de nitrógeno o nitrato o nitrito</t>
  </si>
  <si>
    <t>Desintegradores ultrasónicos</t>
  </si>
  <si>
    <t>La Salvia- Los Quemados</t>
  </si>
  <si>
    <t>Servicios diplomáticos</t>
  </si>
  <si>
    <t>Sets de instrumentos para cirugía oftálmica</t>
  </si>
  <si>
    <t>Soportes de montaje para cilindros hidráulicos</t>
  </si>
  <si>
    <t>Paquetes o bandejas o kits de instrumentos para endoscopia</t>
  </si>
  <si>
    <t>Accesorios de bolos</t>
  </si>
  <si>
    <t>Componentes de aleación de níquel formados por estiramiento por presión</t>
  </si>
  <si>
    <t>Colocadores de abrazaderas</t>
  </si>
  <si>
    <t>72102302</t>
  </si>
  <si>
    <t>Objetos de aluminio fundidos en molde fijo</t>
  </si>
  <si>
    <t>Tarjetas o bandas de identificación o productos similares</t>
  </si>
  <si>
    <t>Aire industrial</t>
  </si>
  <si>
    <t>Rebabas</t>
  </si>
  <si>
    <t>Pescado congelado</t>
  </si>
  <si>
    <t>31241904</t>
  </si>
  <si>
    <t>Objetos maquinados no metálicos fundidos en arena</t>
  </si>
  <si>
    <t>Cintas medidoras</t>
  </si>
  <si>
    <t>Semillas o plántulas de acelga</t>
  </si>
  <si>
    <t>Sacos de aire para cargar</t>
  </si>
  <si>
    <t>Clubes deportivos de carreras</t>
  </si>
  <si>
    <t>Forjas de estaño maquinadas con troquel cerrado</t>
  </si>
  <si>
    <t>44122003</t>
  </si>
  <si>
    <t>Guatapanal</t>
  </si>
  <si>
    <t>Kits de monitoreo respiratorio o sus accesorios</t>
  </si>
  <si>
    <t>Medidores de capacitancia</t>
  </si>
  <si>
    <t>42221503</t>
  </si>
  <si>
    <t>Sillas para restaurantes</t>
  </si>
  <si>
    <t>Soporte angular de cartón</t>
  </si>
  <si>
    <t>Barras fluorescentes o de iluminación</t>
  </si>
  <si>
    <t>51141601</t>
  </si>
  <si>
    <t>Limpiadores anti calcáreos</t>
  </si>
  <si>
    <t>Clorhidrato de isoxsuprina</t>
  </si>
  <si>
    <t>Maquinaria de clasificación</t>
  </si>
  <si>
    <t>Espectroscopios</t>
  </si>
  <si>
    <t>Juegos de pinball</t>
  </si>
  <si>
    <t>Bobina de titanio</t>
  </si>
  <si>
    <t>Asociaciones empresariales internacionales</t>
  </si>
  <si>
    <t>Interferon</t>
  </si>
  <si>
    <t>Módulos de demostración de opciones de alimentos saludables</t>
  </si>
  <si>
    <t>Recolectores de polvo de laboratorio dental</t>
  </si>
  <si>
    <t>Centros de control de motor de baja tensión</t>
  </si>
  <si>
    <t>Algodón</t>
  </si>
  <si>
    <t>Ensambles de placas remachadas de inconel</t>
  </si>
  <si>
    <t>Máscaras de oxígeno o partes para uso médico</t>
  </si>
  <si>
    <t>Asociaciones de la industria agrícola</t>
  </si>
  <si>
    <t>Asientos geriátricos o accesorios</t>
  </si>
  <si>
    <t>Balanzas de comida habladoras para los discapacitados físicamente</t>
  </si>
  <si>
    <t>Objetos de fundición centrífuga de plomo</t>
  </si>
  <si>
    <t>Vigas de acero</t>
  </si>
  <si>
    <t>Acoplamientos de tubería</t>
  </si>
  <si>
    <t>Arandelas achaflanadas</t>
  </si>
  <si>
    <t>Rastrillos de mezcladora</t>
  </si>
  <si>
    <t>Mezcladores químicos o de hematología</t>
  </si>
  <si>
    <t>Pivote de flowhead</t>
  </si>
  <si>
    <t>Fuentes radio – isótopo</t>
  </si>
  <si>
    <t>Libros de actividades o recursos tecnológicos</t>
  </si>
  <si>
    <t>Bastones o accesorios para bastones</t>
  </si>
  <si>
    <t>Maquinaria para cortar en cubos</t>
  </si>
  <si>
    <t>Computadores de cliente ligero</t>
  </si>
  <si>
    <t>Servicios de limpieza de baños</t>
  </si>
  <si>
    <t>Tungsteno w</t>
  </si>
  <si>
    <t>Guías de referencia bíblica</t>
  </si>
  <si>
    <t>Ruedas de ruleta</t>
  </si>
  <si>
    <t>María Trinidad Sánchez</t>
  </si>
  <si>
    <t>Control de sólidos durante perforación de pozos</t>
  </si>
  <si>
    <t>Generadores de neutrones</t>
  </si>
  <si>
    <t>Ensambles estructurales remachados de acero inoxidable</t>
  </si>
  <si>
    <t>Ensambles de barras remachadas de inconel</t>
  </si>
  <si>
    <t>Soportes de la banda transportadora</t>
  </si>
  <si>
    <t>Filtros fijos</t>
  </si>
  <si>
    <t>Servicios de comunicados de prensa</t>
  </si>
  <si>
    <t>Clorhidrato de anagrelida</t>
  </si>
  <si>
    <t>Repelentes para ataques caninos</t>
  </si>
  <si>
    <t>Sistemas de desescarchado y antiniebla para trenes</t>
  </si>
  <si>
    <t>Ultra centrífugas</t>
  </si>
  <si>
    <t>48101903</t>
  </si>
  <si>
    <t>Partes internas de frascos al vacío</t>
  </si>
  <si>
    <t>Bases misceláneas</t>
  </si>
  <si>
    <t>51142219</t>
  </si>
  <si>
    <t>Medio agar embotellado o en bandas para bacterias</t>
  </si>
  <si>
    <t>46181507</t>
  </si>
  <si>
    <t>Brazos articulados de movimiento giratorio</t>
  </si>
  <si>
    <t>Soluciones reguladoras básicas</t>
  </si>
  <si>
    <t>Cerramiento insonorizante de conjunto de generador montado</t>
  </si>
  <si>
    <t>Pelotas de básquetbol</t>
  </si>
  <si>
    <t>Isetionato de pentamidina</t>
  </si>
  <si>
    <t>Bebida de chocolate o malta u otros</t>
  </si>
  <si>
    <t>Conductos o red de conductos de aleación no ferrosa</t>
  </si>
  <si>
    <t>51171802</t>
  </si>
  <si>
    <t>Producción de remolacha azucarera o caña de azúcar</t>
  </si>
  <si>
    <t>Sensores acústicos</t>
  </si>
  <si>
    <t>Cefazolina</t>
  </si>
  <si>
    <t>Antenas de microondas</t>
  </si>
  <si>
    <t>Chatarra de aleación no ferrosa</t>
  </si>
  <si>
    <t>Software de creación de mapas</t>
  </si>
  <si>
    <t>23101512</t>
  </si>
  <si>
    <t>Óxido de polietileno</t>
  </si>
  <si>
    <t>Formaldehído de urea</t>
  </si>
  <si>
    <t>Inhibidores anti – corrosión</t>
  </si>
  <si>
    <t>Mata – roedores</t>
  </si>
  <si>
    <t>Servicio de enlace con organizaciones no gubernamentales</t>
  </si>
  <si>
    <t>Máquinas de forja de extremos</t>
  </si>
  <si>
    <t>Reómetros</t>
  </si>
  <si>
    <t>Monitores de temperatura continua o de tendencia de temperatura del paciente</t>
  </si>
  <si>
    <t>31241501</t>
  </si>
  <si>
    <t>Modelos de terminación  del campo petrolero</t>
  </si>
  <si>
    <t>Componentes de latón estampados</t>
  </si>
  <si>
    <t>Tope de paso</t>
  </si>
  <si>
    <t>Sujetadores de ojos o sus accesorios</t>
  </si>
  <si>
    <t>Grabadoras sicológicas</t>
  </si>
  <si>
    <t>Madera blanda</t>
  </si>
  <si>
    <t>Servicios de excavación</t>
  </si>
  <si>
    <t>Misiles anti barcos</t>
  </si>
  <si>
    <t>Latas de aerosol</t>
  </si>
  <si>
    <t>Maquinaria de soldadura por láser</t>
  </si>
  <si>
    <t>Sistemas de señalización para ferrocarriles</t>
  </si>
  <si>
    <t>Ensambles estructurales pegados de aluminio</t>
  </si>
  <si>
    <t>Cobalto co</t>
  </si>
  <si>
    <t>Cortadoras de impresión</t>
  </si>
  <si>
    <t>Torre de perforación</t>
  </si>
  <si>
    <t>Sets de esferos asegurados</t>
  </si>
  <si>
    <t>Berilio be</t>
  </si>
  <si>
    <t>Servicios de fabricación de equipos de comunicaciones</t>
  </si>
  <si>
    <t>Partes de repuesto para bombas sumergibles</t>
  </si>
  <si>
    <t>Servicios de evaluación de fluidos en el fondo del pozo</t>
  </si>
  <si>
    <t>Máquinas para uso doméstico para hacer pan</t>
  </si>
  <si>
    <t>Archivos para tarjetas de índex</t>
  </si>
  <si>
    <t>Accesorios para hacer cabuchones</t>
  </si>
  <si>
    <t>Progesterona</t>
  </si>
  <si>
    <t>Materiales de enseñanza de habilidades para elaborar la hoja de vida</t>
  </si>
  <si>
    <t>MIL</t>
  </si>
  <si>
    <t>Papeles recubiertos de polietileno</t>
  </si>
  <si>
    <t>Limpiadores o removedores de manchas</t>
  </si>
  <si>
    <t>Kits o suministros para pruebas de coagulación</t>
  </si>
  <si>
    <t>Pistola de aire comprimido</t>
  </si>
  <si>
    <t>Rodamientos colgaderos</t>
  </si>
  <si>
    <t>Mantenimiento o monitoreo de alarmas contra incendios</t>
  </si>
  <si>
    <t>Servicios de geofísica</t>
  </si>
  <si>
    <t>Objetos maquinados de metal precioso fundidos en arena</t>
  </si>
  <si>
    <t>Triazolam</t>
  </si>
  <si>
    <t>Calentadores sanitarios o accesorios</t>
  </si>
  <si>
    <t>Materiales pedagógicos para la educación en el hogar</t>
  </si>
  <si>
    <t>Agentes para adelgazar el lodo</t>
  </si>
  <si>
    <t>Cristales de germanio</t>
  </si>
  <si>
    <t>Sistemas de biopsia estereotáctica</t>
  </si>
  <si>
    <t>Ganchos de retracción para uso quirúrgico</t>
  </si>
  <si>
    <t>Compresores de aire</t>
  </si>
  <si>
    <t>Máquinas para envolver monedas</t>
  </si>
  <si>
    <t>Servicios de eliminación de nieve</t>
  </si>
  <si>
    <t>Sistemas de iluminación de escenario o estudio</t>
  </si>
  <si>
    <t>Sulfato de atropina</t>
  </si>
  <si>
    <t>Almohadas para dormir para acampar</t>
  </si>
  <si>
    <t>Ponqués pasteles o biscochos congelados</t>
  </si>
  <si>
    <t>Alimentadores de documentos para escáneres</t>
  </si>
  <si>
    <t>Refrigeradores para bancos de sangre</t>
  </si>
  <si>
    <t>56101522</t>
  </si>
  <si>
    <t>Bandas de ejercicio o masilla o tubos o accesorios para rehabilitación o terapia</t>
  </si>
  <si>
    <t>Instrumentos quirúrgicos de determinación de tamaño para uso general</t>
  </si>
  <si>
    <t>Papeles de copiado sensibilizados</t>
  </si>
  <si>
    <t>Tratadores de calentadores de aceite para pozo</t>
  </si>
  <si>
    <t>Trombina</t>
  </si>
  <si>
    <t>Ensambles de placas soldadas de inconel</t>
  </si>
  <si>
    <t>Placa de acero</t>
  </si>
  <si>
    <t>Separador de tablero de terminales</t>
  </si>
  <si>
    <t>embutidos para el incart</t>
  </si>
  <si>
    <t>Objetos maquinados de bronce fundidos en molde de yeso</t>
  </si>
  <si>
    <t>Maquinaria para deshidratación</t>
  </si>
  <si>
    <t>Introductores de cables o sets para marcapasos cardíacos</t>
  </si>
  <si>
    <t>Río Grande</t>
  </si>
  <si>
    <t>Glipizida</t>
  </si>
  <si>
    <t>Embrague de rueda libre</t>
  </si>
  <si>
    <t>Las Táranas</t>
  </si>
  <si>
    <t>Ensambles de tubería atornillada no metálica</t>
  </si>
  <si>
    <t>Kits para extracción de ácido nucleico de células o tejidos de plantas</t>
  </si>
  <si>
    <t>Ensambles estructurales con soldadura de solvente de acero al carbono</t>
  </si>
  <si>
    <t>Felbamato</t>
  </si>
  <si>
    <t>Protección de barrera</t>
  </si>
  <si>
    <t>Estuches para instrumentos o accesorios quirúrgicos post mortem</t>
  </si>
  <si>
    <t>Drywall</t>
  </si>
  <si>
    <t>Fuentes ininterrumpibles de potencia</t>
  </si>
  <si>
    <t>Ensambles de láminas soldadas con soldadura fuerte o débil de titanio</t>
  </si>
  <si>
    <t>Maniobras terrestres</t>
  </si>
  <si>
    <t>Colgadores de equipos de línea arterial o intravenosa</t>
  </si>
  <si>
    <t>Instrumentos de dibujo geométrico para la pizarra</t>
  </si>
  <si>
    <t>Timones</t>
  </si>
  <si>
    <t>Materiales de enseñanza de vida independiente</t>
  </si>
  <si>
    <t>Etiquetas de códigos de barra</t>
  </si>
  <si>
    <t>Bolsas inflables para oído</t>
  </si>
  <si>
    <t>Hipódromos</t>
  </si>
  <si>
    <t>Control de la producción</t>
  </si>
  <si>
    <t>Rieles o colgadores montados para sistemas de infusión intravenosa por gravedad</t>
  </si>
  <si>
    <t>Contrataladros</t>
  </si>
  <si>
    <t>Kits o suministros para pruebas de hematología</t>
  </si>
  <si>
    <t>Materiales de pedagógicos para unidades temáticas</t>
  </si>
  <si>
    <t>Espejos retrovisores</t>
  </si>
  <si>
    <t>Cargadores de ruedas</t>
  </si>
  <si>
    <t>Ensambles de placas soldadas con solvente de latón</t>
  </si>
  <si>
    <t>Servicios de medición de la porosidad durante la perforación</t>
  </si>
  <si>
    <t>Tapas de casetes o películas de rayos x para uso médico</t>
  </si>
  <si>
    <t>Butambeno</t>
  </si>
  <si>
    <t>Cuero de becerro</t>
  </si>
  <si>
    <t>Cama bajas para el transporte de material</t>
  </si>
  <si>
    <t>Ventanas de avión</t>
  </si>
  <si>
    <t>Incubadoras de cámara única de tres gases de pared seca</t>
  </si>
  <si>
    <t>Anclajes de pared</t>
  </si>
  <si>
    <t>Aspiradoras de combinación secas o húmedas</t>
  </si>
  <si>
    <t>Canastas de ropa</t>
  </si>
  <si>
    <t>Esparcidores para uso odontológico</t>
  </si>
  <si>
    <t>Componentes de titanio maquinados por extrusión hidrostática</t>
  </si>
  <si>
    <t>Libros de recursos de historia europea</t>
  </si>
  <si>
    <t>Estaño en placa labrada</t>
  </si>
  <si>
    <t>Unidad de cuidados intensivos</t>
  </si>
  <si>
    <t>26111701</t>
  </si>
  <si>
    <t>Boletas o rollos de boletería</t>
  </si>
  <si>
    <t>Semillas o plántulas de cilantro</t>
  </si>
  <si>
    <t>Carbón sub – bituminosos o débil</t>
  </si>
  <si>
    <t>Esponjas de vendaje</t>
  </si>
  <si>
    <t>Servicios de doblado</t>
  </si>
  <si>
    <t>Mijo común o ixtle o piasava</t>
  </si>
  <si>
    <t>Servicios de andamiaje</t>
  </si>
  <si>
    <t>Unidades de calefacción solar</t>
  </si>
  <si>
    <t>Ensambles estructurales con soldadura sónica de acero de aleación baja</t>
  </si>
  <si>
    <t>Etisterona</t>
  </si>
  <si>
    <t>Cefoxitina</t>
  </si>
  <si>
    <t>Órganos musicales</t>
  </si>
  <si>
    <t>Estantes para tarjetas de tiempo</t>
  </si>
  <si>
    <t>Kits de cateterización cardiovascular</t>
  </si>
  <si>
    <t>Carbamazepina</t>
  </si>
  <si>
    <t>Programación para fortran</t>
  </si>
  <si>
    <t>Servicios de tubería de perforación transportadas para pozos</t>
  </si>
  <si>
    <t>Cisplatino</t>
  </si>
  <si>
    <t>Sistemas de radio de corto alcance</t>
  </si>
  <si>
    <t>Papel brístol para dibujo</t>
  </si>
  <si>
    <t>Bases o soportes de partituras para instrumentos musicales</t>
  </si>
  <si>
    <t>Objetos maquinados en molde permanente de estaño fundidos</t>
  </si>
  <si>
    <t>Aislamiento de repuesto para calderas de laboratorio</t>
  </si>
  <si>
    <t>Escobillas kelly</t>
  </si>
  <si>
    <t>Instalación o reparación de techos</t>
  </si>
  <si>
    <t>Pizarra</t>
  </si>
  <si>
    <t>Estantes para carpetas de información</t>
  </si>
  <si>
    <t>Sábanas para hospital</t>
  </si>
  <si>
    <t>Distribuidoras de concreto</t>
  </si>
  <si>
    <t>Vendas o compresas de compresión o presión</t>
  </si>
  <si>
    <t>Pistola de desoldado</t>
  </si>
  <si>
    <t>Generadores de nivel</t>
  </si>
  <si>
    <t>MIPYME MUJER</t>
  </si>
  <si>
    <t>Líquenes</t>
  </si>
  <si>
    <t>Materiales de enseñanza para lidiar con el estrés</t>
  </si>
  <si>
    <t>Agentes de limpieza de lodo</t>
  </si>
  <si>
    <t>Servicios de monarcas</t>
  </si>
  <si>
    <t>Medio amortiguador</t>
  </si>
  <si>
    <t>42192001</t>
  </si>
  <si>
    <t>Fusores</t>
  </si>
  <si>
    <t>Medidores de filtración de microondas</t>
  </si>
  <si>
    <t>Fotogrametría</t>
  </si>
  <si>
    <t>Impresora básica</t>
  </si>
  <si>
    <t>Polvo de hierro</t>
  </si>
  <si>
    <t>Cerámicas de uso odontológico</t>
  </si>
  <si>
    <t>Películas de cloruro de polivinilo flexible</t>
  </si>
  <si>
    <t>Tarjetas de tablero de conectores de circuitos</t>
  </si>
  <si>
    <t>Reactivos o soluciones o tinturas para microbiología o bacteriología</t>
  </si>
  <si>
    <t>Componentes de plomo formados enrollados</t>
  </si>
  <si>
    <t>Tirotropina</t>
  </si>
  <si>
    <t>Servicios de órdenes religiosas</t>
  </si>
  <si>
    <t>Monitores de estrés de calor</t>
  </si>
  <si>
    <t>Ensambles de láminas pegadas de titanio</t>
  </si>
  <si>
    <t>Piezas de estaño forjadas a martinete</t>
  </si>
  <si>
    <t>Natamicina</t>
  </si>
  <si>
    <t>Bobina de plástico</t>
  </si>
  <si>
    <t>Grapa de ángulo</t>
  </si>
  <si>
    <t>Latas de acero</t>
  </si>
  <si>
    <t>Banda de plomo</t>
  </si>
  <si>
    <t>Kits de maquillaje</t>
  </si>
  <si>
    <t>Cosechadoras</t>
  </si>
  <si>
    <t>Diseño de comunicaciones por redes de cobertura amplia</t>
  </si>
  <si>
    <t>Sweaters para niño</t>
  </si>
  <si>
    <t>Jardines</t>
  </si>
  <si>
    <t>Correctores de ortografía</t>
  </si>
  <si>
    <t>Servicios de fabricación de maquinaria o equipos para minería</t>
  </si>
  <si>
    <t>Rallos para uso comercial</t>
  </si>
  <si>
    <t>Componentes de latón formados en torno</t>
  </si>
  <si>
    <t>Meclofenamato sódico</t>
  </si>
  <si>
    <t>Tapón brillante</t>
  </si>
  <si>
    <t>Latas de pintura o barniz</t>
  </si>
  <si>
    <t>Rines o ruedas para automóviles</t>
  </si>
  <si>
    <t>Asociaciones de arquitectos</t>
  </si>
  <si>
    <t>Ensambles de tubería con soldadura fuerte o débil de acero inoxidable</t>
  </si>
  <si>
    <t>Escalpelos o cuchillos o manijas de cuchillos láser para uso quirúrgico</t>
  </si>
  <si>
    <t>72102602</t>
  </si>
  <si>
    <t>Fuentes o contenedores de burbujeo de bebidas</t>
  </si>
  <si>
    <t>Estuches retenedores para ortodoncia</t>
  </si>
  <si>
    <t>51142106</t>
  </si>
  <si>
    <t>Bolsas “stomachers”</t>
  </si>
  <si>
    <t>42312109</t>
  </si>
  <si>
    <t>Retractores de pulmón</t>
  </si>
  <si>
    <t>Vibradores de uso odontológico para laboratorios</t>
  </si>
  <si>
    <t>Mezcladores o emulsificadores de laboratorio</t>
  </si>
  <si>
    <t>Generadores de niebla o neblina</t>
  </si>
  <si>
    <t>Pan de repisa</t>
  </si>
  <si>
    <t>Mapas o secuencias de reportero de vector enzimático</t>
  </si>
  <si>
    <t>Bromuro de vecuronio</t>
  </si>
  <si>
    <t>Ensambles de placas soldadas de latón</t>
  </si>
  <si>
    <t>Volantes de cama</t>
  </si>
  <si>
    <t>Rodillo alimentador</t>
  </si>
  <si>
    <t>Múltiples de aire</t>
  </si>
  <si>
    <t>Raspadores dentales o accesorios</t>
  </si>
  <si>
    <t>Servicios de plataformas petroleras</t>
  </si>
  <si>
    <t>Programación de la producción</t>
  </si>
  <si>
    <t>Ciento</t>
  </si>
  <si>
    <t>Interruptor de contenido</t>
  </si>
  <si>
    <t>Bancos de transferencia para los discapacitados físicamente</t>
  </si>
  <si>
    <t>Trituradores de rollo</t>
  </si>
  <si>
    <t>Azulejos para mosaico</t>
  </si>
  <si>
    <t>Alfombras de lana</t>
  </si>
  <si>
    <t>Filtros de cubierta de micro filmado</t>
  </si>
  <si>
    <t>Detectores de llama de sistemas de combustión de turbina de gas</t>
  </si>
  <si>
    <t>INSUMOS LABORATORIO CLINICO 2</t>
  </si>
  <si>
    <t>Muñecas</t>
  </si>
  <si>
    <t>Nitrato de miconazol</t>
  </si>
  <si>
    <t>Placas o etiquetas de identificación</t>
  </si>
  <si>
    <t>Gasolina</t>
  </si>
  <si>
    <t>Semillas o plántulas de pasto</t>
  </si>
  <si>
    <t>Centrales de energía solar</t>
  </si>
  <si>
    <t>Camino caliente para cámaras ambientales o de cultivo</t>
  </si>
  <si>
    <t>Remos</t>
  </si>
  <si>
    <t>Kits de hiperalimentación</t>
  </si>
  <si>
    <t>Equipo de posicionamiento de perforación</t>
  </si>
  <si>
    <t>Hermanas Mirabal</t>
  </si>
  <si>
    <t>Sensores de presión</t>
  </si>
  <si>
    <t>Cromatógrafos líquidos</t>
  </si>
  <si>
    <t>Mineral de molibdeno</t>
  </si>
  <si>
    <t>Calendarios</t>
  </si>
  <si>
    <t>USO PACIENTES</t>
  </si>
  <si>
    <t>Agujas de monitoreo de temperatura</t>
  </si>
  <si>
    <t>Codos de tubo</t>
  </si>
  <si>
    <t>Programación para pascal</t>
  </si>
  <si>
    <t>Aparatos de difracción de electrones</t>
  </si>
  <si>
    <t>48101607</t>
  </si>
  <si>
    <t>Hierro</t>
  </si>
  <si>
    <t>Agujas de filtro</t>
  </si>
  <si>
    <t>Teatro operativo</t>
  </si>
  <si>
    <t>Múltiples de entrada</t>
  </si>
  <si>
    <t>Ensambles de tubos soldados con soldadura fuerte o débil de acero al carbono</t>
  </si>
  <si>
    <t>Cable de aluminio no eléctrico</t>
  </si>
  <si>
    <t>Líneas domésticas alquiladas</t>
  </si>
  <si>
    <t>Arroyo Cano</t>
  </si>
  <si>
    <t>Máquinas expendedoras de comidas a la carta</t>
  </si>
  <si>
    <t>Intercambiadores de una vía</t>
  </si>
  <si>
    <t>Dispensadores de ambientadores</t>
  </si>
  <si>
    <t>Martillos de impacto</t>
  </si>
  <si>
    <t>Máquinas seleccionadoras de semillas, grano o legumbres secas</t>
  </si>
  <si>
    <t>Culatas de transmisión</t>
  </si>
  <si>
    <t>Equipos de cuarto oscuro de offset</t>
  </si>
  <si>
    <t>Cadmio ca</t>
  </si>
  <si>
    <t>Carrera de Yeguas</t>
  </si>
  <si>
    <t>Techos permanentes convertibles</t>
  </si>
  <si>
    <t>Calentadores de procesamiento de aire</t>
  </si>
  <si>
    <t>Servicios de funcionarios del gabinete</t>
  </si>
  <si>
    <t>Invernaderos</t>
  </si>
  <si>
    <t>Bolígrafos permanentes</t>
  </si>
  <si>
    <t>Cinta impregnada de resina</t>
  </si>
  <si>
    <t>Probadores de relajación</t>
  </si>
  <si>
    <t>31211510</t>
  </si>
  <si>
    <t>Estaño sn</t>
  </si>
  <si>
    <t>Comendador</t>
  </si>
  <si>
    <t>Uñeta</t>
  </si>
  <si>
    <t>51191905</t>
  </si>
  <si>
    <t>Estilógrafos</t>
  </si>
  <si>
    <t>Botas para bebé</t>
  </si>
  <si>
    <t>Puestos de trabajo para laboratorios</t>
  </si>
  <si>
    <t>Catéteres o kits de cateterización intrauterina</t>
  </si>
  <si>
    <t>Servicios de organización de excursiones</t>
  </si>
  <si>
    <t>Objetos fundidos maquinados con troquel de acero</t>
  </si>
  <si>
    <t>Software de desarrollo de plataformas web</t>
  </si>
  <si>
    <t>Fenoprofen cálcico</t>
  </si>
  <si>
    <t>Herramientas de colisión de cable de recuperación</t>
  </si>
  <si>
    <t>Cuero de reptil</t>
  </si>
  <si>
    <t>Impuesto sobre el incremento de capital</t>
  </si>
  <si>
    <t>51121502</t>
  </si>
  <si>
    <t>Sets de bombas contra incendio</t>
  </si>
  <si>
    <t>41113308</t>
  </si>
  <si>
    <t>Grabadora cardíaca</t>
  </si>
  <si>
    <t>Ebullómetro</t>
  </si>
  <si>
    <t>Separación de colores</t>
  </si>
  <si>
    <t>Ensambles de tubos soldados con soldadura fuerte o débil de acero inoxidable</t>
  </si>
  <si>
    <t>Tubería de titanio</t>
  </si>
  <si>
    <t>Ginseng</t>
  </si>
  <si>
    <t>Alambre para fusible</t>
  </si>
  <si>
    <t>Filtros de agua</t>
  </si>
  <si>
    <t>MEDICAMENTOS ANTIHEMORRAGICO ,ANTIHIPERSENTIVO Y ANTIFLAMATORIO</t>
  </si>
  <si>
    <t>Limpiadoras de cinta</t>
  </si>
  <si>
    <t>Componentes de aleaciones no ferrosas estampados</t>
  </si>
  <si>
    <t>Molino para trituración</t>
  </si>
  <si>
    <t>Materiales didácticos de sistemas de refrigeración</t>
  </si>
  <si>
    <t>Amitriptilina</t>
  </si>
  <si>
    <t>Soluciones de neutralización</t>
  </si>
  <si>
    <t>Circuladores de inmersión</t>
  </si>
  <si>
    <t>Abridores de hoyos</t>
  </si>
  <si>
    <t>Unidades tridimensionales de terapia de radiación de intensidad modulada de acelerador lineal imrt para uso médico</t>
  </si>
  <si>
    <t>Servicios de fotografía aérea</t>
  </si>
  <si>
    <t>Recogedor de basura</t>
  </si>
  <si>
    <t>Etiquetas auto adhesivas</t>
  </si>
  <si>
    <t>Banda de latón</t>
  </si>
  <si>
    <t>Pieles</t>
  </si>
  <si>
    <t>Eventos deportivos aficionados patrocinados por empresas</t>
  </si>
  <si>
    <t>Activadores neumáticos</t>
  </si>
  <si>
    <t>Tapas de inodoro</t>
  </si>
  <si>
    <t>Maquinas de prueba de resortes</t>
  </si>
  <si>
    <t>MEDICAMENTOS ESPECIALES 2</t>
  </si>
  <si>
    <t>MEDICAMENTOS ESPECIALES 3</t>
  </si>
  <si>
    <t>Manguitos de acoplamiento</t>
  </si>
  <si>
    <t>Núcleo de panal de espuma</t>
  </si>
  <si>
    <t>Fotómetros de hemoglobina</t>
  </si>
  <si>
    <t>Pilares de concreto</t>
  </si>
  <si>
    <t>Carretes de manguera</t>
  </si>
  <si>
    <t>Sleeping bags (bolsas para dormir)</t>
  </si>
  <si>
    <t>Adhesivos o pegamentos de cierre de piel para uso médico</t>
  </si>
  <si>
    <t>Tableros de tiza o accesorios</t>
  </si>
  <si>
    <t>Grupos de instrumentos</t>
  </si>
  <si>
    <t>Ensambles estructurales con soldadura de solvente de aluminio</t>
  </si>
  <si>
    <t>Acrilonitrilo butadieno estireno abs</t>
  </si>
  <si>
    <t>Aislación acústica</t>
  </si>
  <si>
    <t>Tunos de esterilización</t>
  </si>
  <si>
    <t>Entrecruzadores ultravioleta</t>
  </si>
  <si>
    <t>Recogedores o frascos para polvo</t>
  </si>
  <si>
    <t>Medio sintético para levadura</t>
  </si>
  <si>
    <t>Cubiertas para compresas</t>
  </si>
  <si>
    <t>Ensambles estructurales remachados de latón</t>
  </si>
  <si>
    <t>Sistemas de visualización coronaria</t>
  </si>
  <si>
    <t>bienes de fumigacion para el incart</t>
  </si>
  <si>
    <t>Brochadoras</t>
  </si>
  <si>
    <t>Fusibles tipo botella</t>
  </si>
  <si>
    <t>Bandejas o alimentadores de máquinas de oficina</t>
  </si>
  <si>
    <t>39101601</t>
  </si>
  <si>
    <t>Simuladores de vuelo para aviones</t>
  </si>
  <si>
    <t>Bivalirudina</t>
  </si>
  <si>
    <t>Células solares de la nave espacial</t>
  </si>
  <si>
    <t>Dextrometorfano</t>
  </si>
  <si>
    <t>Servicios de cabildeo</t>
  </si>
  <si>
    <t>Sparfloxacina</t>
  </si>
  <si>
    <t>Tráiler para contenedores</t>
  </si>
  <si>
    <t>PROCEDIMIENTO DE SELECCIÓN</t>
  </si>
  <si>
    <t>Iluminación o electricidad o componentes de información no modulares</t>
  </si>
  <si>
    <t>Papeles abrasivos</t>
  </si>
  <si>
    <t>Balones de futbol</t>
  </si>
  <si>
    <t>Fonocardiográfos estetoscópicos</t>
  </si>
  <si>
    <t>Líneas férreas electrificadas</t>
  </si>
  <si>
    <t>Servicios de reciclaje</t>
  </si>
  <si>
    <t>Zapatones para mujer</t>
  </si>
  <si>
    <t>Forjas de aleación de níquel maquinadas con troquel cerrado</t>
  </si>
  <si>
    <t>Mancornas de joyería fina</t>
  </si>
  <si>
    <t>Kit de reparación de carpas</t>
  </si>
  <si>
    <t>Cosecha forestal de pantanos o manglares</t>
  </si>
  <si>
    <t>Recaudación de impuestos</t>
  </si>
  <si>
    <t>Ensambles de tubos pegados de aleación wasp</t>
  </si>
  <si>
    <t>Violines</t>
  </si>
  <si>
    <t>47131611</t>
  </si>
  <si>
    <t>Servicios de recuperación de recursos hidráulicos</t>
  </si>
  <si>
    <t>Motores diesel</t>
  </si>
  <si>
    <t>Aseos portátiles</t>
  </si>
  <si>
    <t>Sets de instrumentos neuroquirúrgicos o espinales</t>
  </si>
  <si>
    <t>Intercambiadores de calor</t>
  </si>
  <si>
    <t>52151622</t>
  </si>
  <si>
    <t>Remolques carrotanque con temperatura controlada</t>
  </si>
  <si>
    <t>Marcos metálicos preensamblados</t>
  </si>
  <si>
    <t>Equipo de cancha de tenis</t>
  </si>
  <si>
    <t>Historia militar</t>
  </si>
  <si>
    <t>Papas fritas de talego o mezclas</t>
  </si>
  <si>
    <t>Kits para derrames</t>
  </si>
  <si>
    <t>Engarzadores para uso quirúrgico</t>
  </si>
  <si>
    <t>Tornos de decoración para alfarería</t>
  </si>
  <si>
    <t>Olmesartán medoxomilo</t>
  </si>
  <si>
    <t>Máquinas para direcciones</t>
  </si>
  <si>
    <t>Adhesivos decorativos</t>
  </si>
  <si>
    <t>Mesilato de dihidroergocristina</t>
  </si>
  <si>
    <t>Caucho termoplástico</t>
  </si>
  <si>
    <t>Servicios de medición del fluido de perforación para registros de producción</t>
  </si>
  <si>
    <t>Palos indicadores de temperatura</t>
  </si>
  <si>
    <t>Computadores centrales</t>
  </si>
  <si>
    <t>Cordones de retracción para operaciones de uso odontológico</t>
  </si>
  <si>
    <t>Equipo para la cría de mariposas</t>
  </si>
  <si>
    <t>Sets o accesorios de monitoreo de presión intra compartimientos</t>
  </si>
  <si>
    <t>Raquetas de racquetball</t>
  </si>
  <si>
    <t>Servicios de personal para revestimiento de tuberías del pozo</t>
  </si>
  <si>
    <t>Servicios de aislamiento del control de gas o agua</t>
  </si>
  <si>
    <t>Herramientas nucleares</t>
  </si>
  <si>
    <t>Servicios tradicionales de la atención de salud</t>
  </si>
  <si>
    <t>Recursos para escuelas bíblicas de vacaciones</t>
  </si>
  <si>
    <t>Servicios de elaboración de bebidas de frutas no alcohólicas</t>
  </si>
  <si>
    <t>Bombas de cromatografía</t>
  </si>
  <si>
    <t>Contenedores con medio químico para recolección de heces</t>
  </si>
  <si>
    <t>Municiones de defensa u orden público</t>
  </si>
  <si>
    <t>Alambre de aluminio revestido de cobre</t>
  </si>
  <si>
    <t>Cristales de silicio</t>
  </si>
  <si>
    <t>Espigas</t>
  </si>
  <si>
    <t>Servicios de extracción de testigos orientada</t>
  </si>
  <si>
    <t>Tioéteres</t>
  </si>
  <si>
    <t>Melfalán</t>
  </si>
  <si>
    <t>Tenedores para uso doméstico</t>
  </si>
  <si>
    <t>Pulidoras eléctricas</t>
  </si>
  <si>
    <t>Breakers de circuito de aire</t>
  </si>
  <si>
    <t>Materiales de enseñanza de comprensión del etiquetado nutricional</t>
  </si>
  <si>
    <t>Asientos de inodoro</t>
  </si>
  <si>
    <t>Pantalones largos o cortos o pantalonetas para hombre</t>
  </si>
  <si>
    <t>MEDICAMENTOS BRONCODILATADORES, DERMATITIS Y DIURETICOS 1</t>
  </si>
  <si>
    <t>Oleoducto</t>
  </si>
  <si>
    <t>20121417</t>
  </si>
  <si>
    <t>Óxido de polipropileno</t>
  </si>
  <si>
    <t>Aparatos medidores del tamaño de partículas</t>
  </si>
  <si>
    <t>Placas o puentes para relojes</t>
  </si>
  <si>
    <t>Penicilamina</t>
  </si>
  <si>
    <t>Materiales de impresión de pasta de óxido de zinc eugenol de uso odontológico</t>
  </si>
  <si>
    <t>Nesiritida</t>
  </si>
  <si>
    <t>Ganchos en s</t>
  </si>
  <si>
    <t>Kits para extracción de proteína de levadura</t>
  </si>
  <si>
    <t>Cidofovir</t>
  </si>
  <si>
    <t>Válvulas de chequeo de tubos arteriales o intravenosos</t>
  </si>
  <si>
    <t>Instrumentos de marcación oftálmica</t>
  </si>
  <si>
    <t>Ensambles de tubos remachados de aleación wasp</t>
  </si>
  <si>
    <t>Placas con inscripción metálicas</t>
  </si>
  <si>
    <t>Cloruro de polivinilo pvc</t>
  </si>
  <si>
    <t>Cremas o ungüentos hidrofilacios</t>
  </si>
  <si>
    <t>Fósforos</t>
  </si>
  <si>
    <t>Ensambles estructurales con soldadura de fuerte o débil de acero inoxidable</t>
  </si>
  <si>
    <t>MEDICAMENTOS ANTIBACTERIANO</t>
  </si>
  <si>
    <t>Cepillos de alambre</t>
  </si>
  <si>
    <t>Servicios de tratamiento químico</t>
  </si>
  <si>
    <t>Cepillos de aire</t>
  </si>
  <si>
    <t>Gabinetes o cajones o estantes industriales</t>
  </si>
  <si>
    <t>Desinfectantes para uso doméstico</t>
  </si>
  <si>
    <t>Sistemas de ignición de motor</t>
  </si>
  <si>
    <t>Servicios de conversión de moneda</t>
  </si>
  <si>
    <t>53141505</t>
  </si>
  <si>
    <t>Diarios o repuestos</t>
  </si>
  <si>
    <t>Cadenas de bola</t>
  </si>
  <si>
    <t>Bomba intratecal</t>
  </si>
  <si>
    <t>Cuero de búfalo</t>
  </si>
  <si>
    <t>Colestiramina</t>
  </si>
  <si>
    <t>Bombas de combustible</t>
  </si>
  <si>
    <t>Agentes de control de asfaltenos de parafina tipo dispersante</t>
  </si>
  <si>
    <t>Servicios de mercado de metales preciosos</t>
  </si>
  <si>
    <t>Amoniaco</t>
  </si>
  <si>
    <t>Rodamientos de empuje</t>
  </si>
  <si>
    <t>Sábanas elásticas médicas</t>
  </si>
  <si>
    <t>Carpetas</t>
  </si>
  <si>
    <t>Elevador de tijera</t>
  </si>
  <si>
    <t>Seguimiento o evaluación forestal</t>
  </si>
  <si>
    <t>Varillas de latón</t>
  </si>
  <si>
    <t>Baldes de hielo o baldes para enfriar el vino para servicio de comidas</t>
  </si>
  <si>
    <t>Valsartán</t>
  </si>
  <si>
    <t>Forjaduras en estampa abierta de cinc</t>
  </si>
  <si>
    <t>Periciazina</t>
  </si>
  <si>
    <t>72102403</t>
  </si>
  <si>
    <t>Tensionadores</t>
  </si>
  <si>
    <t>Estudios demográficos</t>
  </si>
  <si>
    <t>Piedras o herramientas o equipos de afilar</t>
  </si>
  <si>
    <t>Quita Sueño</t>
  </si>
  <si>
    <t>Sandalias para mujer</t>
  </si>
  <si>
    <t>Preparación contra óxido</t>
  </si>
  <si>
    <t>Especímenes de ciclo vital preservado</t>
  </si>
  <si>
    <t>Escandio sc</t>
  </si>
  <si>
    <t>Tarjetas de interface de red inalámbrica</t>
  </si>
  <si>
    <t>Extrusiones de perfiles de metal precioso</t>
  </si>
  <si>
    <t>Para la compra de Productos de cocina</t>
  </si>
  <si>
    <t>42242101</t>
  </si>
  <si>
    <t>Compuestos para modelado o arcilla de endurecimiento en horno</t>
  </si>
  <si>
    <t>Clorhidrato de benzfetamina</t>
  </si>
  <si>
    <t>Capós de vehículos</t>
  </si>
  <si>
    <t>Equipos para secar o empolvar guantes quirúrgicos</t>
  </si>
  <si>
    <t>Software de creación y edición de video</t>
  </si>
  <si>
    <t>Máquinas para abrir correspondencia</t>
  </si>
  <si>
    <t>Piso del andamiaje</t>
  </si>
  <si>
    <t>Ácidos ribonucleicos rna purificados</t>
  </si>
  <si>
    <t>Oxitocina</t>
  </si>
  <si>
    <t>Reactivos para preparar levadura competente</t>
  </si>
  <si>
    <t>Bóvedas moldeadas del policarbonato</t>
  </si>
  <si>
    <t>Servicios de aislamiento horizontal del campo petrolífero</t>
  </si>
  <si>
    <t>Hornos de uso odontológico para laboratorios</t>
  </si>
  <si>
    <t>Batas de doctor</t>
  </si>
  <si>
    <t>Espátulas de cocina para uso doméstico</t>
  </si>
  <si>
    <t>Servicios de llenado con  polvo</t>
  </si>
  <si>
    <t>Almohadas</t>
  </si>
  <si>
    <t>Analizadores de vibración</t>
  </si>
  <si>
    <t>Platino</t>
  </si>
  <si>
    <t>Adhesivos perfumados</t>
  </si>
  <si>
    <t>Ensamblajes de flujo paralelo</t>
  </si>
  <si>
    <t>Magnificadores</t>
  </si>
  <si>
    <t>USO DE HOSPITALIZACION Y URGENCIAS</t>
  </si>
  <si>
    <t>Pasadores de arrastre</t>
  </si>
  <si>
    <t>31161504</t>
  </si>
  <si>
    <t>Lata de vapor de combustible</t>
  </si>
  <si>
    <t>Bandejas o fuentes para uso doméstico</t>
  </si>
  <si>
    <t>Películas de cloruro de polivinilo rígido</t>
  </si>
  <si>
    <t>Guaymate</t>
  </si>
  <si>
    <t>Sujetadores o carritos para envoltorios o sobres de esterilización</t>
  </si>
  <si>
    <t>42272403</t>
  </si>
  <si>
    <t>Servicios de taxonomía de plantas</t>
  </si>
  <si>
    <t>51101561</t>
  </si>
  <si>
    <t>Sistema control temperatura vehículo</t>
  </si>
  <si>
    <t>Etiquetas multipropósito</t>
  </si>
  <si>
    <t>Bases militares extranjeras</t>
  </si>
  <si>
    <t>Cajas moldeadas</t>
  </si>
  <si>
    <t>Reactivos analizadores radio isotópicos</t>
  </si>
  <si>
    <t>Postes roscados</t>
  </si>
  <si>
    <t>Diodos de radiofrecuencia (rf)</t>
  </si>
  <si>
    <t>Software estándar específico para operadores de móviles</t>
  </si>
  <si>
    <t>Insignias</t>
  </si>
  <si>
    <t>Coladores de aceite</t>
  </si>
  <si>
    <t>Bombas de irrigación</t>
  </si>
  <si>
    <t>Clorzoxazona</t>
  </si>
  <si>
    <t>Bolsas de infusión de presión arterial o intravenosa</t>
  </si>
  <si>
    <t>Propofol</t>
  </si>
  <si>
    <t>MEDICAMENTOS CITOSTATICOS ESPECIALES III</t>
  </si>
  <si>
    <t>Maquinaria de ensamble en fondo de pozo</t>
  </si>
  <si>
    <t>Ensambles estructurales con soldadura sónica de titanio</t>
  </si>
  <si>
    <t>Lápiz (stylus) de presión</t>
  </si>
  <si>
    <t>Bandejas de monedas</t>
  </si>
  <si>
    <t>Equipo de tamizaje para laboratorio</t>
  </si>
  <si>
    <t>Moldeables resistentes a abrasión</t>
  </si>
  <si>
    <t>Enrolladores de instrumentos para instrumentos o accesorios dentales</t>
  </si>
  <si>
    <t>Cámaras grabadoras o video cámaras manuales</t>
  </si>
  <si>
    <t>Transportadores de cadáveres</t>
  </si>
  <si>
    <t>Sistemas de cielo raso</t>
  </si>
  <si>
    <t>30131504</t>
  </si>
  <si>
    <t>Filtros de microfibra</t>
  </si>
  <si>
    <t>Cría de mariscos</t>
  </si>
  <si>
    <t>Máquinas de rayos x de ortovoltaje para teleterapia radioterapia</t>
  </si>
  <si>
    <t>Tajadores de alimentos para uso doméstico</t>
  </si>
  <si>
    <t>Aplicaciones ortopédicas de miembro superior</t>
  </si>
  <si>
    <t>Pistas de servicio de electricidad o gas para uso médico</t>
  </si>
  <si>
    <t>Molduras de bronce</t>
  </si>
  <si>
    <t>Clorhidrato de desipramina</t>
  </si>
  <si>
    <t>Máquinas de coser</t>
  </si>
  <si>
    <t>Explosivos de perforación</t>
  </si>
  <si>
    <t>Servicios de educación de tiempo parcial para adultos</t>
  </si>
  <si>
    <t>Cuerdas o anillos o accesorios para trepar gimnásticos</t>
  </si>
  <si>
    <t>Ángulos de titanio</t>
  </si>
  <si>
    <t>51111614</t>
  </si>
  <si>
    <t>Conmutadores reductores</t>
  </si>
  <si>
    <t>Dibujos dimensionales o de tolerancia</t>
  </si>
  <si>
    <t>Proveedores de servicio de internet (psi)</t>
  </si>
  <si>
    <t>Esterillas magnéticas de uso quirúrgico</t>
  </si>
  <si>
    <t>Servicios de cirugía arbórea</t>
  </si>
  <si>
    <t>Servicios de prevención o control de enfermedades respiratorias</t>
  </si>
  <si>
    <t>Santa Cruz de Mao</t>
  </si>
  <si>
    <t>Ensambles de placas soldadas de acero inoxidable</t>
  </si>
  <si>
    <t>Estantes para termómetros para uso médico</t>
  </si>
  <si>
    <t>Cintas de espuma</t>
  </si>
  <si>
    <t>Cerraduras</t>
  </si>
  <si>
    <t>Pintura de marcador para cuerpo o cara</t>
  </si>
  <si>
    <t>Reactivos o anticuerpos analizadores de citometría de flujo</t>
  </si>
  <si>
    <t>Camisetas (t-shirts) para hombre</t>
  </si>
  <si>
    <t>Minibuses</t>
  </si>
  <si>
    <t>Servicios de fabricación de curtidos o acabados de cuero</t>
  </si>
  <si>
    <t>compra de lacteos para el INCART</t>
  </si>
  <si>
    <t>Cepillos de baño o esponjas o estropajos para los discapacitados físicamente</t>
  </si>
  <si>
    <t>Clormezanone</t>
  </si>
  <si>
    <t>Vestidos enteros de cirugía</t>
  </si>
  <si>
    <t>Analizadores de gas de lodos</t>
  </si>
  <si>
    <t>Sales orgánicas o sus sustitutos</t>
  </si>
  <si>
    <t>Autopista</t>
  </si>
  <si>
    <t>Parapente</t>
  </si>
  <si>
    <t>51191602</t>
  </si>
  <si>
    <t>Propileno</t>
  </si>
  <si>
    <t>Ruedas para trenes</t>
  </si>
  <si>
    <t>Secciones de silenciador</t>
  </si>
  <si>
    <t>Cinturones de soporte de la espalda</t>
  </si>
  <si>
    <t>Excavadoras de fosos</t>
  </si>
  <si>
    <t>Conexiones de tubo</t>
  </si>
  <si>
    <t>Accesorios de etiquetado de traducción</t>
  </si>
  <si>
    <t>Ligaduras de soporte mamario</t>
  </si>
  <si>
    <t>Accesorios o suministros para baños de laboratorio</t>
  </si>
  <si>
    <t>30131601</t>
  </si>
  <si>
    <t>Compresores de motor de avión</t>
  </si>
  <si>
    <t>Piezas de cobre forjadas a martinete</t>
  </si>
  <si>
    <t>51111513</t>
  </si>
  <si>
    <t>Sulpirida</t>
  </si>
  <si>
    <t>Pan fresco</t>
  </si>
  <si>
    <t>Sistemas de manejo de combustible del avión</t>
  </si>
  <si>
    <t>Cefapirina</t>
  </si>
  <si>
    <t>Combustible para conjunto subcrítico</t>
  </si>
  <si>
    <t>Alprazolam</t>
  </si>
  <si>
    <t>Impresión tipográfica o por serigrafía</t>
  </si>
  <si>
    <t>Tanques de aire comprimido o accesorios para uso quirúrgico</t>
  </si>
  <si>
    <t>Sensores de color</t>
  </si>
  <si>
    <t>Pinzas de aplicación para ortodoncia</t>
  </si>
  <si>
    <t>Enoximona</t>
  </si>
  <si>
    <t>Marquesinas</t>
  </si>
  <si>
    <t>Sulfato de pseudoefedrina</t>
  </si>
  <si>
    <t>Película radiográfica dental intraoral</t>
  </si>
  <si>
    <t>Northern blot o southern blot o western blot prefabricadas</t>
  </si>
  <si>
    <t>Pisos de madera</t>
  </si>
  <si>
    <t>Gaspar Hernández</t>
  </si>
  <si>
    <t>Transistores mos de efecto de campo (mosfet)</t>
  </si>
  <si>
    <t>Evasión fiscal</t>
  </si>
  <si>
    <t>Pisos</t>
  </si>
  <si>
    <t>Cordón de extensión</t>
  </si>
  <si>
    <t>Hydrastis</t>
  </si>
  <si>
    <t>Osmómetros</t>
  </si>
  <si>
    <t>Servicio militar voluntario</t>
  </si>
  <si>
    <t>Sistemas de aplicación de pintura</t>
  </si>
  <si>
    <t>Puerto Plata</t>
  </si>
  <si>
    <t>Magnetos de ojos para cirugía oftálmica</t>
  </si>
  <si>
    <t>Estudios batimétricos</t>
  </si>
  <si>
    <t>Textiles o agujas para punto de cruz</t>
  </si>
  <si>
    <t>Frascos o sets para prótesis dentales</t>
  </si>
  <si>
    <t>Sellos de caucho</t>
  </si>
  <si>
    <t>Sulfato de hiosciamina</t>
  </si>
  <si>
    <t>Certificados en blanco</t>
  </si>
  <si>
    <t>Dispensadores de toallas de papel</t>
  </si>
  <si>
    <t>Químicos de remoción bacteriana</t>
  </si>
  <si>
    <t>Ensamblaje de componentes ilimitados</t>
  </si>
  <si>
    <t>31201610</t>
  </si>
  <si>
    <t>Espumas de cloruro de polivinilo</t>
  </si>
  <si>
    <t>Filgrastim</t>
  </si>
  <si>
    <t>Valerato de hidrocortisona</t>
  </si>
  <si>
    <t>Servicios de producción de neumáticos o tubos de caucho</t>
  </si>
  <si>
    <t>Kits o materiales para experimentos de biología</t>
  </si>
  <si>
    <t>INSUMOS HOSPITALIZACION AMBULATORIA 1</t>
  </si>
  <si>
    <t>Agujas para recolección de sangre</t>
  </si>
  <si>
    <t>Filtros centrífugos</t>
  </si>
  <si>
    <t>Servicios legales de sobre la  propiedad</t>
  </si>
  <si>
    <t>Sobres</t>
  </si>
  <si>
    <t>Soluciones hemostáticas de uso odontológico</t>
  </si>
  <si>
    <t>Remolques para transporte de automóviles (niñeras)</t>
  </si>
  <si>
    <t>Paraíso</t>
  </si>
  <si>
    <t>Máquina peladora</t>
  </si>
  <si>
    <t>Dispensadores de ítems de acomodación personal</t>
  </si>
  <si>
    <t>Sartenes para sofreír para uso doméstico</t>
  </si>
  <si>
    <t>Servicios de barrido de carreteras o aparcamientos</t>
  </si>
  <si>
    <t>Silicona si</t>
  </si>
  <si>
    <t>Flotadores para pesca comercial</t>
  </si>
  <si>
    <t>Redecillas para el cabello o la barba</t>
  </si>
  <si>
    <t>Videos de operación o de instrucciones para equipos médicos</t>
  </si>
  <si>
    <t>Diflunisal</t>
  </si>
  <si>
    <t>Objetos maquinados de latón fundidos en molde de yeso</t>
  </si>
  <si>
    <t>Soportes para estanterías</t>
  </si>
  <si>
    <t>Utensilios para servir para uso doméstico</t>
  </si>
  <si>
    <t>Equipo de hidro - ruptura</t>
  </si>
  <si>
    <t>Excepción - Obras científicas, técnicas, artísticas, o restauración  de monumentos históricos</t>
  </si>
  <si>
    <t>Clubes de ocio del personal</t>
  </si>
  <si>
    <t>Esferos de punta redonda</t>
  </si>
  <si>
    <t>Interruptores de mercurio</t>
  </si>
  <si>
    <t>Boquillas de prueba</t>
  </si>
  <si>
    <t>Transbordadores a bolas</t>
  </si>
  <si>
    <t>Transporte o almacenamiento frío</t>
  </si>
  <si>
    <t>Tarjetas didácticas del dinero</t>
  </si>
  <si>
    <t>DÍA</t>
  </si>
  <si>
    <t>Perfiles de montaje</t>
  </si>
  <si>
    <t>Programación para algol</t>
  </si>
  <si>
    <t>Sujetadores o dispensadores de mensajes</t>
  </si>
  <si>
    <t>Objetos fundidos maquinados con troquel de estaño</t>
  </si>
  <si>
    <t>Herramientas acústicas</t>
  </si>
  <si>
    <t>Bielas</t>
  </si>
  <si>
    <t>Tacos de pool</t>
  </si>
  <si>
    <t>Palas o cucharas para alimentos para uso doméstico</t>
  </si>
  <si>
    <t>Equipo de reforestación</t>
  </si>
  <si>
    <t>Ensambles de tubos remachados de titanio</t>
  </si>
  <si>
    <t>Termómetros de lectura remota</t>
  </si>
  <si>
    <t>Video cámaras o grabadoras o adaptadores o accesorios para endoscopia</t>
  </si>
  <si>
    <t>Ensambles de barras soldadas con soldadura ultra violeta de latón</t>
  </si>
  <si>
    <t>Suministros hembra de uso odontológico</t>
  </si>
  <si>
    <t>Grapas de retención</t>
  </si>
  <si>
    <t>Cloruro de amonio</t>
  </si>
  <si>
    <t>Cosecha forestal de zonas montañosas</t>
  </si>
  <si>
    <t>Molduras al vacío de caucho</t>
  </si>
  <si>
    <t>Agujas de transferencia</t>
  </si>
  <si>
    <t>Juegos de dados</t>
  </si>
  <si>
    <t>25102001</t>
  </si>
  <si>
    <t>Ollas para salsas o cocción para uso comercial</t>
  </si>
  <si>
    <t>Canca la Reina</t>
  </si>
  <si>
    <t>Cortinas de barrera para pacientes</t>
  </si>
  <si>
    <t>Aparatos o accesorios para inyección hipodérmica</t>
  </si>
  <si>
    <t>Politécnico</t>
  </si>
  <si>
    <t>Cortadores de manguera</t>
  </si>
  <si>
    <t>Cabezales de corte o desbastado</t>
  </si>
  <si>
    <t>Sistemas de barrera para puertas</t>
  </si>
  <si>
    <t>Componentes de cobre maquinados por extrusión en frío</t>
  </si>
  <si>
    <t>Rampas de embarcaciones</t>
  </si>
  <si>
    <t>Interruptores de tiempos</t>
  </si>
  <si>
    <t>Estampables mezclados</t>
  </si>
  <si>
    <t>Seguros de carga</t>
  </si>
  <si>
    <t>Disyuntores de pérdida a tierra</t>
  </si>
  <si>
    <t>Dolomita</t>
  </si>
  <si>
    <t>Pentobarbital sódico</t>
  </si>
  <si>
    <t>45131701</t>
  </si>
  <si>
    <t>32101626</t>
  </si>
  <si>
    <t>Estiletes de intubación</t>
  </si>
  <si>
    <t>Pernos de expansión</t>
  </si>
  <si>
    <t>Forjas de aleación de níquel maquinadas por reducción</t>
  </si>
  <si>
    <t>Juan de Herrera</t>
  </si>
  <si>
    <t>Llave doble automática</t>
  </si>
  <si>
    <t>Avión de caza</t>
  </si>
  <si>
    <t>Celidonia mayor</t>
  </si>
  <si>
    <t>Tazaroteno</t>
  </si>
  <si>
    <t>Kits de reparación de reguladores de fluido</t>
  </si>
  <si>
    <t>Dexrazoxano</t>
  </si>
  <si>
    <t>Kits de reparación de cilindro neumático o sus componentes</t>
  </si>
  <si>
    <t>42272223</t>
  </si>
  <si>
    <t>Unidades o centelladores de cuchillos gamma radio quirúrgicos</t>
  </si>
  <si>
    <t>Bloques de madera para impresión</t>
  </si>
  <si>
    <t>Dosímetros de radiación para uso médico</t>
  </si>
  <si>
    <t>Tabletas gráficas para arquitectura</t>
  </si>
  <si>
    <t>Utensilios de cocina 3</t>
  </si>
  <si>
    <t>Retractores de nervios</t>
  </si>
  <si>
    <t>Guías de asesoramiento práctico para adolescentes</t>
  </si>
  <si>
    <t>Ángulos de magnesio</t>
  </si>
  <si>
    <t>Cepillos para centrífugas</t>
  </si>
  <si>
    <t>Servicios de promoción cultural</t>
  </si>
  <si>
    <t>Accesorios para sondas o sensores para oxímetros de pulso</t>
  </si>
  <si>
    <t>Kits de empaques virales</t>
  </si>
  <si>
    <t>Lámparas de neón</t>
  </si>
  <si>
    <t>Espéculos para examen vaginal</t>
  </si>
  <si>
    <t>Clubes deportivos de campos al aire libre</t>
  </si>
  <si>
    <t>Clozapina</t>
  </si>
  <si>
    <t>Cintas sintéticas</t>
  </si>
  <si>
    <t>Herramientas para laboratorio</t>
  </si>
  <si>
    <t>27112126</t>
  </si>
  <si>
    <t>Bombas de pozo profundo</t>
  </si>
  <si>
    <t>Protectores o escudos para oídos</t>
  </si>
  <si>
    <t>Cruceros nocturnos</t>
  </si>
  <si>
    <t>Jaulas para animales pequeños para laboratorio</t>
  </si>
  <si>
    <t>Dispositivos de tracción del cráneo para uso quirúrgico o productos relacionados</t>
  </si>
  <si>
    <t>Tartrato de ergotamina</t>
  </si>
  <si>
    <t>Discos de cristal</t>
  </si>
  <si>
    <t>Cargas electrónicas</t>
  </si>
  <si>
    <t>Medidores de aislamiento</t>
  </si>
  <si>
    <t>Banda de cobre</t>
  </si>
  <si>
    <t>Peravia</t>
  </si>
  <si>
    <t>Filtros de banda estrecha</t>
  </si>
  <si>
    <t>Ciclopirox</t>
  </si>
  <si>
    <t>Formones</t>
  </si>
  <si>
    <t>Almohadas de baño para los discapacitados físicamente</t>
  </si>
  <si>
    <t>Ensambles de barras soldadas con soldadura ultra violeta de cobre</t>
  </si>
  <si>
    <t>Camisas protectoras</t>
  </si>
  <si>
    <t>Cuchillas limpiadoras</t>
  </si>
  <si>
    <t>Bloqueos de remos</t>
  </si>
  <si>
    <t>Columnas cargadas</t>
  </si>
  <si>
    <t>92121504</t>
  </si>
  <si>
    <t>Guaifenesina</t>
  </si>
  <si>
    <t>Sistemas de reprocesamiento de dializador para hemodiálisis</t>
  </si>
  <si>
    <t>Carretera secundaria</t>
  </si>
  <si>
    <t>Reactivos analizadores de secuencia de ácido desoxirribonucleico dna</t>
  </si>
  <si>
    <t>Servicios de brotes o ramitas</t>
  </si>
  <si>
    <t>Puertos de muestreo para hemofiltración</t>
  </si>
  <si>
    <t>Bujes de eje</t>
  </si>
  <si>
    <t>50192701</t>
  </si>
  <si>
    <t>55121807</t>
  </si>
  <si>
    <t>Esofagoscopios o sus accesorios</t>
  </si>
  <si>
    <t>Movimientos extremistas</t>
  </si>
  <si>
    <t>Servicios de promoción de los derechos humanos</t>
  </si>
  <si>
    <t>Pesas de 280 libras</t>
  </si>
  <si>
    <t>Kits o suministros para análisis de orina</t>
  </si>
  <si>
    <t>Productos para el sistema musculo esquelético o nervioso para uso veterinario</t>
  </si>
  <si>
    <t>Cables o electrodos o accesorios para marcapasos cardíacos</t>
  </si>
  <si>
    <t>Eliminación de fangos cloacales</t>
  </si>
  <si>
    <t>Objetos maquinados en molde permanente de magnesio fundidos</t>
  </si>
  <si>
    <t>Molduras de plomo</t>
  </si>
  <si>
    <t>Simeticona</t>
  </si>
  <si>
    <t>Cable de comunicaciones exterior de planta</t>
  </si>
  <si>
    <t>Simuladores de bebés y accesorios</t>
  </si>
  <si>
    <t>Brocas pdc</t>
  </si>
  <si>
    <t>Ruedas de rodillos</t>
  </si>
  <si>
    <t>Sobres de ventana</t>
  </si>
  <si>
    <t>Almotriptán malato</t>
  </si>
  <si>
    <t>51151703</t>
  </si>
  <si>
    <t>Balanzas de carga superior electrónicos</t>
  </si>
  <si>
    <t>Aceite de transmisión</t>
  </si>
  <si>
    <t>Esterilizadores de filtro</t>
  </si>
  <si>
    <t>51171915</t>
  </si>
  <si>
    <t>Velomotores</t>
  </si>
  <si>
    <t>Ensambles de tubos soldados con soldadura fuerte o débil de titanio</t>
  </si>
  <si>
    <t>Abrazaderas de tornillo</t>
  </si>
  <si>
    <t>Clofoctol</t>
  </si>
  <si>
    <t>Placas o cubiertas de cerramiento</t>
  </si>
  <si>
    <t>Sistemas de aireación de peces</t>
  </si>
  <si>
    <t>Elevadores de árbol de levas</t>
  </si>
  <si>
    <t>Zinc aire</t>
  </si>
  <si>
    <t>Pianos</t>
  </si>
  <si>
    <t>Componentes de hierro formados en torno</t>
  </si>
  <si>
    <t>30181504</t>
  </si>
  <si>
    <t>Servicios de pintura de exteriores</t>
  </si>
  <si>
    <t>Triamcinolona</t>
  </si>
  <si>
    <t>Carboncillo</t>
  </si>
  <si>
    <t>Servicios de niñera o cuidado de niños</t>
  </si>
  <si>
    <t>Espigas o tapas o protectores de tubos intravenosos</t>
  </si>
  <si>
    <t>44121716</t>
  </si>
  <si>
    <t>Punzones aórticos</t>
  </si>
  <si>
    <t>Servicios de producción de calzado de caucho o plástico</t>
  </si>
  <si>
    <t>Recursos para aprender a hablar francés</t>
  </si>
  <si>
    <t>Componentes de magnesio maquinados por extrusión hidrostática</t>
  </si>
  <si>
    <t>Lavaderos o accesorios para embalsamar</t>
  </si>
  <si>
    <t>Bujes de brida</t>
  </si>
  <si>
    <t>Forjaduras en estampa cerrada de acero inoxidable</t>
  </si>
  <si>
    <t>Analizadores de cloruro</t>
  </si>
  <si>
    <t>Servicios de siembra de ramitas</t>
  </si>
  <si>
    <t>Extrusiones en frío de caucho</t>
  </si>
  <si>
    <t>Sets escolares de equipos de balonmano</t>
  </si>
  <si>
    <t>Bombas de pistón rotatorias</t>
  </si>
  <si>
    <t>Kits de recolección de evidencia biológica</t>
  </si>
  <si>
    <t>51171806</t>
  </si>
  <si>
    <t>Servicio de pruebas desbalanceadas durante la perforación</t>
  </si>
  <si>
    <t>Equipos interactivos de reconocimiento de voz</t>
  </si>
  <si>
    <t>Suplir las necesidades operativas para el mantenimiento de infraestructura, de equipos médicos, planta física y seguridad del INCART</t>
  </si>
  <si>
    <t>Óxidos metálicos inorgánicos</t>
  </si>
  <si>
    <t>Sistemas de procesamiento de semiconductores</t>
  </si>
  <si>
    <t>Pilas de combustible</t>
  </si>
  <si>
    <t>Servicios de empleo en otros organismos</t>
  </si>
  <si>
    <t>Barracones</t>
  </si>
  <si>
    <t>Ensambles estructurales pegados de acero al carbono</t>
  </si>
  <si>
    <t>Extrusiones en frío de plástico</t>
  </si>
  <si>
    <t>Filtros al vacío</t>
  </si>
  <si>
    <t>Cigarrillos o cigarros</t>
  </si>
  <si>
    <t>Busulfán</t>
  </si>
  <si>
    <t>Pastel de tiza</t>
  </si>
  <si>
    <t>Sets de perfusión coronaria</t>
  </si>
  <si>
    <t>Extractos orgánicos de origen animal para curtiembre</t>
  </si>
  <si>
    <t>Polimixinas</t>
  </si>
  <si>
    <t>Sistemas de alerta ciudadana</t>
  </si>
  <si>
    <t>Mezcladores o agitadores</t>
  </si>
  <si>
    <t>Tambores</t>
  </si>
  <si>
    <t>Tulas</t>
  </si>
  <si>
    <t>Forjaduras en estampa cerrada de aleación ferrosa</t>
  </si>
  <si>
    <t>Monturas magnéticas para marcos</t>
  </si>
  <si>
    <t>Pegamento para tejidos o sistemas o aplicadores o accesorios</t>
  </si>
  <si>
    <t>Objetos fundidos maquinados con troquel de aleación de níquel</t>
  </si>
  <si>
    <t>Estudio de emplazamientos de fábricas de gas</t>
  </si>
  <si>
    <t>51211606</t>
  </si>
  <si>
    <t>Baterías de níquel-cadmio</t>
  </si>
  <si>
    <t>Zinc zn</t>
  </si>
  <si>
    <t>Organizadores de soporte para computadores</t>
  </si>
  <si>
    <t>Cámaras de micro filmado</t>
  </si>
  <si>
    <t>Servicios de oftalmólogos</t>
  </si>
  <si>
    <t>Grasa de silicona</t>
  </si>
  <si>
    <t>Jumbos neumáticos para perforación de pozos</t>
  </si>
  <si>
    <t>Semillas de aceite de ricino</t>
  </si>
  <si>
    <t>Utensilios de grabado para huecograbado</t>
  </si>
  <si>
    <t>Papeles para manualidades de origami</t>
  </si>
  <si>
    <t>Archivadores móviles</t>
  </si>
  <si>
    <t>Doble carril</t>
  </si>
  <si>
    <t>Sistemas nucleónicos industriales de medida de la densidad</t>
  </si>
  <si>
    <t>Modelos económicos del campo petrolero</t>
  </si>
  <si>
    <t>Hidrómetros</t>
  </si>
  <si>
    <t>42281914</t>
  </si>
  <si>
    <t>Catéteres endoscópicos o quirúrgicos o kits de cateterización o bolsas de drenaje</t>
  </si>
  <si>
    <t>Equipo de apisonamiento</t>
  </si>
  <si>
    <t>Servicios de sistemas de información o control de empresas públicas</t>
  </si>
  <si>
    <t>Retractores de fibra óptica iluminados para uso quirúrgico</t>
  </si>
  <si>
    <t>Cierres de mariposa para piel</t>
  </si>
  <si>
    <t>Guantes de horno o coge ollas para uso doméstico</t>
  </si>
  <si>
    <t>Diodos de señal pequeña</t>
  </si>
  <si>
    <t>Partes de cascos o accesorios</t>
  </si>
  <si>
    <t>Ensambles de tubos atornillados de aleación hast x</t>
  </si>
  <si>
    <t>Tableros de planeación o accesorios</t>
  </si>
  <si>
    <t>Grabadoras de video o audio de vigilancia</t>
  </si>
  <si>
    <t>Equipo de prueba de registro de fondo de pozo</t>
  </si>
  <si>
    <t>Filtros de láser</t>
  </si>
  <si>
    <t>Ensambles de tubería con soldadura sónica de latón</t>
  </si>
  <si>
    <t>Postes de fibra de vidrio</t>
  </si>
  <si>
    <t>42201813</t>
  </si>
  <si>
    <t>Dispositivos de computación de vestir</t>
  </si>
  <si>
    <t>Forjas de hierro maquinadas por anillo enrollado</t>
  </si>
  <si>
    <t>Clips para cierre de piel</t>
  </si>
  <si>
    <t>Hato Damas</t>
  </si>
  <si>
    <t>Fusibles de cuerpo de vidrio</t>
  </si>
  <si>
    <t>Quemadores operados con gas propano</t>
  </si>
  <si>
    <t>Buques de guerra</t>
  </si>
  <si>
    <t>Polarímetros</t>
  </si>
  <si>
    <t>41103406</t>
  </si>
  <si>
    <t>Clorhidrato de oximorfona</t>
  </si>
  <si>
    <t>Hipocruposis</t>
  </si>
  <si>
    <t>Fenilbutirato de sodio</t>
  </si>
  <si>
    <t>Los Cacaos</t>
  </si>
  <si>
    <t>Cal hidráulica</t>
  </si>
  <si>
    <t>Rosas cortadas</t>
  </si>
  <si>
    <t>Ensambles de tubería soldada con ultra violeta de acero de aleación baja</t>
  </si>
  <si>
    <t>Limpiador de pantallas</t>
  </si>
  <si>
    <t>Intercambios educativos entre universidades</t>
  </si>
  <si>
    <t>Poractant alfa</t>
  </si>
  <si>
    <t>Sulfato de estreptomicina</t>
  </si>
  <si>
    <t>Sistemas de recogido de velas</t>
  </si>
  <si>
    <t>Semillas de trigo</t>
  </si>
  <si>
    <t>Amplificadores operacionales</t>
  </si>
  <si>
    <t>Partes de repuesto o accesorios para tapa oídos</t>
  </si>
  <si>
    <t>Audiómetros o accesorios</t>
  </si>
  <si>
    <t>Asientos o accesorios para sacar sangre o flebotomía</t>
  </si>
  <si>
    <t>Formatos contables o libros de contabilidad</t>
  </si>
  <si>
    <t>Postes de carpetas</t>
  </si>
  <si>
    <t>Ensambles de tubería con soldadura fuerte o débil de aleación hast x</t>
  </si>
  <si>
    <t>frutas y vegetales 4</t>
  </si>
  <si>
    <t>Forjas de magnesio maquinadas con troquel cerrado</t>
  </si>
  <si>
    <t>Etclorvinol</t>
  </si>
  <si>
    <t>Servicios de oficina</t>
  </si>
  <si>
    <t>Kits de reparación del engrasador o el regulador</t>
  </si>
  <si>
    <t>Salcedo</t>
  </si>
  <si>
    <t>Fomepizol</t>
  </si>
  <si>
    <t>Mesilato de isoetarina</t>
  </si>
  <si>
    <t>Servicios de ingeniería eléctrica</t>
  </si>
  <si>
    <t>Nitroglicerina</t>
  </si>
  <si>
    <t>Ensambles de láminas remachadas de aleación hast x</t>
  </si>
  <si>
    <t>Banda de caucho</t>
  </si>
  <si>
    <t>Cortadores de metal</t>
  </si>
  <si>
    <t>Ribonucleotidos</t>
  </si>
  <si>
    <t>Reforma tributaria</t>
  </si>
  <si>
    <t>Servicios de verificación de depósitos</t>
  </si>
  <si>
    <t>Monocromadores</t>
  </si>
  <si>
    <t>Servicios de limpieza de baldosas o cielorraso acústicos</t>
  </si>
  <si>
    <t>51111516</t>
  </si>
  <si>
    <t>Impresoras de discos compactos cd o de etiquetado</t>
  </si>
  <si>
    <t>Kits o bandejas desechables pre ensambladas de uso odontológico</t>
  </si>
  <si>
    <t>Sets de sialografía de uso odontológico</t>
  </si>
  <si>
    <t>41103803</t>
  </si>
  <si>
    <t>Receptor de botellas para laboratorio</t>
  </si>
  <si>
    <t>Dispositivos de audición asistida</t>
  </si>
  <si>
    <t>Ángulos de cobre</t>
  </si>
  <si>
    <t>Inositol</t>
  </si>
  <si>
    <t>12163501</t>
  </si>
  <si>
    <t>Gimnasio</t>
  </si>
  <si>
    <t>Sistemas de manejo de mesas de juego</t>
  </si>
  <si>
    <t>Máquinas de medición de coordenadas cmm</t>
  </si>
  <si>
    <t>Catálogos electrónicos</t>
  </si>
  <si>
    <t>Pisos de baldosa o piedra</t>
  </si>
  <si>
    <t>Armas de juguete</t>
  </si>
  <si>
    <t>Parques acuáticos</t>
  </si>
  <si>
    <t>Removedores de pelusa</t>
  </si>
  <si>
    <t>PROVINCIA</t>
  </si>
  <si>
    <t>Sabana Cruz</t>
  </si>
  <si>
    <t>Cabañas</t>
  </si>
  <si>
    <t>Calcitonina</t>
  </si>
  <si>
    <t>Simuladores de planeación de radioterapia rf de fluoroscopia y rayos x</t>
  </si>
  <si>
    <t>Tiras pulidoras o de terminado para uso odontológico</t>
  </si>
  <si>
    <t>Papel kraft</t>
  </si>
  <si>
    <t>Dispositivos o accesorios de succión intra cardíaca</t>
  </si>
  <si>
    <t>42272404</t>
  </si>
  <si>
    <t>Válvulas de seguridad de bola</t>
  </si>
  <si>
    <t>Bobina de hierro</t>
  </si>
  <si>
    <t>Paquetes de muebles para técnicos no modulares</t>
  </si>
  <si>
    <t>Servicios de producción de sosa, cloro o soda cáustica</t>
  </si>
  <si>
    <t>Sorteadoras</t>
  </si>
  <si>
    <t>Laca dental</t>
  </si>
  <si>
    <t>Kits de compresores</t>
  </si>
  <si>
    <t>Propileno etileno epe</t>
  </si>
  <si>
    <t>Ensambles de láminas pegadas de aleación wasp</t>
  </si>
  <si>
    <t>Elevadores forklift</t>
  </si>
  <si>
    <t>56101533</t>
  </si>
  <si>
    <t>51171505</t>
  </si>
  <si>
    <t>Reguladores para buceo</t>
  </si>
  <si>
    <t>Residencias religiosas temporales</t>
  </si>
  <si>
    <t>Sulfato de selenio</t>
  </si>
  <si>
    <t>Disolventes alifáticos</t>
  </si>
  <si>
    <t>Productos de identificación de pacientes</t>
  </si>
  <si>
    <t>Sets de utensilios o gabinetes o accesorios para uso quirúrgico</t>
  </si>
  <si>
    <t>Fenobarbital sódico</t>
  </si>
  <si>
    <t>Lingotes de estiramiento por presión de aleación no ferrosa</t>
  </si>
  <si>
    <t>Ensambles de láminas soldadas con soldadura fuerte o débil no metálica</t>
  </si>
  <si>
    <t>Máquinas para descarnar cuero</t>
  </si>
  <si>
    <t>Naftidrofurilo oxalato</t>
  </si>
  <si>
    <t>Servicios de fabricación de prendas exteriores tejidas</t>
  </si>
  <si>
    <t>Balneario</t>
  </si>
  <si>
    <t>Servicios de preparación del mercado para productos hortenses</t>
  </si>
  <si>
    <t>Componentes o accesorios de cámara de micro filmado</t>
  </si>
  <si>
    <t>Servicios de diseño por computador</t>
  </si>
  <si>
    <t>Ensambles de tubos soldados con soldadura fuerte o débil de acero de aleación baja</t>
  </si>
  <si>
    <t>30161710</t>
  </si>
  <si>
    <t>Parrillas para perros calientes para uso comercial</t>
  </si>
  <si>
    <t>Materiales de enseñanza sobre la inocuidad de los alimentos</t>
  </si>
  <si>
    <t>Libros de recursos o actividades de la hora</t>
  </si>
  <si>
    <t>Accesorios de traqueotomía</t>
  </si>
  <si>
    <t>Máquinas lavadoras tipo lavandería</t>
  </si>
  <si>
    <t>Software de agrupamiento de recursos</t>
  </si>
  <si>
    <t>Casas de juego</t>
  </si>
  <si>
    <t>Fuentes de cobalto</t>
  </si>
  <si>
    <t>Equipos de rastreo de calor</t>
  </si>
  <si>
    <t>Carteleras para examen de ojos o tarjetas de visión</t>
  </si>
  <si>
    <t>Clorhidrato de etidocaína</t>
  </si>
  <si>
    <t>Aluminio</t>
  </si>
  <si>
    <t>Forjas de latón maquinadas con impresión por troquel</t>
  </si>
  <si>
    <t>Dajabón</t>
  </si>
  <si>
    <t>Boquilla de inyección de combustible</t>
  </si>
  <si>
    <t>Hiedras</t>
  </si>
  <si>
    <t>Componentes de aleaciones ferrosas estampados</t>
  </si>
  <si>
    <t>Tubos de empaque de bombas de perfusión</t>
  </si>
  <si>
    <t>Para la compra de bienes de ferreteria</t>
  </si>
  <si>
    <t>Vagones cisterna</t>
  </si>
  <si>
    <t>Estructura de terminal de distribución de teléfono</t>
  </si>
  <si>
    <t>Materiales de enseñanza para alquiler de apartamento</t>
  </si>
  <si>
    <t>Ensambles estructurales remachados de acero de aleación baja</t>
  </si>
  <si>
    <t>Instrumentos de buceo o accesorios</t>
  </si>
  <si>
    <t>Ureidos o purinas o sus derivados</t>
  </si>
  <si>
    <t>Servidores de acceso</t>
  </si>
  <si>
    <t>Normas alimentarias</t>
  </si>
  <si>
    <t>Paracaídas</t>
  </si>
  <si>
    <t>Servicios de preservación cultural de las minorías étnicas</t>
  </si>
  <si>
    <t>Latas medidoras de líquido</t>
  </si>
  <si>
    <t>Bombas de cicatriz ortopédica</t>
  </si>
  <si>
    <t>Banda transportadora de cadena</t>
  </si>
  <si>
    <t>Llaves</t>
  </si>
  <si>
    <t>Tapones de producción</t>
  </si>
  <si>
    <t>Mangueras especiales</t>
  </si>
  <si>
    <t>Paquetes de circuitos integrados</t>
  </si>
  <si>
    <t>42231602</t>
  </si>
  <si>
    <t>Evaluación de la contaminación por fosfatos</t>
  </si>
  <si>
    <t>Tanque del inodoro</t>
  </si>
  <si>
    <t>Tecnología lechera</t>
  </si>
  <si>
    <t>Agentes bloqueadores</t>
  </si>
  <si>
    <t>Creosota</t>
  </si>
  <si>
    <t>Cortadores de carbón</t>
  </si>
  <si>
    <t>Servicios telefónicos de larga distancia</t>
  </si>
  <si>
    <t>Pintura témpera líquida contemporánea</t>
  </si>
  <si>
    <t>Niobio nb</t>
  </si>
  <si>
    <t>Oxígeno o</t>
  </si>
  <si>
    <t>Uniformes de colegio</t>
  </si>
  <si>
    <t>Alquiler de vehículos</t>
  </si>
  <si>
    <t>Locomotoras eléctricas de pasajeros</t>
  </si>
  <si>
    <t>Cooperativas de crédito</t>
  </si>
  <si>
    <t>Renovación de edificios, mojones y monumentos</t>
  </si>
  <si>
    <t>Molsidomina</t>
  </si>
  <si>
    <t>Componentes de aleación no ferrosa formados con explosivos</t>
  </si>
  <si>
    <t>51171904</t>
  </si>
  <si>
    <t>Objetos de latón fundidos en molde fijo</t>
  </si>
  <si>
    <t>Diferenciador</t>
  </si>
  <si>
    <t>Cepillos de aruñar</t>
  </si>
  <si>
    <t>10191509</t>
  </si>
  <si>
    <t>Kits de reacción en cadena polimerasa específica para genes</t>
  </si>
  <si>
    <t>Mesilato de dolasetrón</t>
  </si>
  <si>
    <t>Correas de impresoras, fax o fotocopiadoras</t>
  </si>
  <si>
    <t>Brocas cónicas de rodillo de botón de inserción</t>
  </si>
  <si>
    <t>Vestidos para cirugía para personal médico</t>
  </si>
  <si>
    <t>Repuestos y accesorios para maquinaria de cargue de explosivos</t>
  </si>
  <si>
    <t>Anoscopios o proctoscopios</t>
  </si>
  <si>
    <t>Servicios de comunicaciones o de navegación marítima</t>
  </si>
  <si>
    <t>Fenilefrina</t>
  </si>
  <si>
    <t>Ganchos para tablero perforado para matemáticas temprana</t>
  </si>
  <si>
    <t>Escupideras de uso odontológico</t>
  </si>
  <si>
    <t>Colgadores de pared o accesorios para endoscopia</t>
  </si>
  <si>
    <t>51111506</t>
  </si>
  <si>
    <t>Limpieza e Higiene</t>
  </si>
  <si>
    <t>10141608</t>
  </si>
  <si>
    <t>Tubos o accesorios para uso odontológico</t>
  </si>
  <si>
    <t>Forjaduras anulares laminadas de estaño</t>
  </si>
  <si>
    <t>Hipsómetro para silvicultura</t>
  </si>
  <si>
    <t>Placa</t>
  </si>
  <si>
    <t>Arreglo de flores cortadas</t>
  </si>
  <si>
    <t>Billetes de juego para la clase</t>
  </si>
  <si>
    <t>Incubadoras de demanda de oxígeno biológico bod enfriadas</t>
  </si>
  <si>
    <t>Clorhidrato de metilfenidato</t>
  </si>
  <si>
    <t>Refrescos</t>
  </si>
  <si>
    <t>Tarjetas didácticas de fracciones</t>
  </si>
  <si>
    <t>Puertas de metal</t>
  </si>
  <si>
    <t>Casamata militar</t>
  </si>
  <si>
    <t>Dispensadores de materiales de uso odontológico</t>
  </si>
  <si>
    <t>Instalación de controles electrónicos</t>
  </si>
  <si>
    <t>Etiquetas para portaobjetos o especímenes</t>
  </si>
  <si>
    <t>Hidrocloruro de yohimbina</t>
  </si>
  <si>
    <t>Columnas de perforación</t>
  </si>
  <si>
    <t>Conversores de frecuencia</t>
  </si>
  <si>
    <t>Bloques o tablas o plataformas de cortado para uso quirúrgico</t>
  </si>
  <si>
    <t>Instrumentos de prueba de cartón</t>
  </si>
  <si>
    <t>MEDICAMENTO ALBUMINA HUMANA 2</t>
  </si>
  <si>
    <t>MEDICAMENTO ALBUMINA HUMANA 3</t>
  </si>
  <si>
    <t>Componentes de aleación ferrosa formados en torno</t>
  </si>
  <si>
    <t>Bombas de corte</t>
  </si>
  <si>
    <t>Unidades de reacondicionamiento hidráulico</t>
  </si>
  <si>
    <t>Alfileres rectos</t>
  </si>
  <si>
    <t>Mesalamina</t>
  </si>
  <si>
    <t>Evaluación de tierras</t>
  </si>
  <si>
    <t>Necesidades de personal médico permanente</t>
  </si>
  <si>
    <t>Alfombras orientales</t>
  </si>
  <si>
    <t>41102916</t>
  </si>
  <si>
    <t>Ensambles de tubos soldados con soldadura ultra violeta de cobre</t>
  </si>
  <si>
    <t>44111515</t>
  </si>
  <si>
    <t>Interruptores de red</t>
  </si>
  <si>
    <t>Componentes de titanio maquinados por extrusión de impacto</t>
  </si>
  <si>
    <t>Muestreadores de polución de aire</t>
  </si>
  <si>
    <t>Servicios de administración del centro de relaciones con el consumidor (crc)</t>
  </si>
  <si>
    <t>Gabinetes de esterilización</t>
  </si>
  <si>
    <t>Pistones de cilindro neumático</t>
  </si>
  <si>
    <t>Medidores de campo electromagnético</t>
  </si>
  <si>
    <t>Ángulos de zinc</t>
  </si>
  <si>
    <t>Impulsores</t>
  </si>
  <si>
    <t>Humidificadores</t>
  </si>
  <si>
    <t>Tubería de hormigón</t>
  </si>
  <si>
    <t>Gestión de distribución del agua</t>
  </si>
  <si>
    <t>Accesorios o suministros para analizadores químico</t>
  </si>
  <si>
    <t>Herramientas de recorte o moldeo</t>
  </si>
  <si>
    <t>Clorhidrato de fenazopiridina</t>
  </si>
  <si>
    <t>Pernos de horquilla</t>
  </si>
  <si>
    <t>Pistolas para engomar</t>
  </si>
  <si>
    <t>Objetos fundidos maquinados por proceso v de estaño</t>
  </si>
  <si>
    <t>Película de laminación</t>
  </si>
  <si>
    <t>Mariscos congelados</t>
  </si>
  <si>
    <t>Tablas para bañarse para los discapacitados físicamente</t>
  </si>
  <si>
    <t>Suministros de chequeo de ventiladores</t>
  </si>
  <si>
    <t>Servicio de pruebas de la varilla de barrena para ambientes de temperatura alta presión ultra alta</t>
  </si>
  <si>
    <t>Tomas o centros de medidores</t>
  </si>
  <si>
    <t>Yugos</t>
  </si>
  <si>
    <t>Vinagres</t>
  </si>
  <si>
    <t>Servicios de administración del ecosistema terrestre</t>
  </si>
  <si>
    <t>Polivinilo formal</t>
  </si>
  <si>
    <t>Servicios de redacción de gráficas y planes y trazados</t>
  </si>
  <si>
    <t>Unidades de almacenamiento general</t>
  </si>
  <si>
    <t>Ensambles de barras pegadas de acero de aleación baja</t>
  </si>
  <si>
    <t>Clínica</t>
  </si>
  <si>
    <t xml:space="preserve">INSUMOS IMAGENES </t>
  </si>
  <si>
    <t>Freno de motor</t>
  </si>
  <si>
    <t>53141503</t>
  </si>
  <si>
    <t>Acústica</t>
  </si>
  <si>
    <t>Hemina o hematina</t>
  </si>
  <si>
    <t>Alumbrado de zonas residenciales</t>
  </si>
  <si>
    <t>Compuestos de recubrimiento para prótesis dentales</t>
  </si>
  <si>
    <t>Espironolactona</t>
  </si>
  <si>
    <t>Ensambles de placas soldadas con solvente no metálica</t>
  </si>
  <si>
    <t>Sistema de respirador accionado purificador de aire papr o accesorios</t>
  </si>
  <si>
    <t>Planificación de la estrategia de conservación forestal</t>
  </si>
  <si>
    <t>Armarios para materiales peligrosos</t>
  </si>
  <si>
    <t>Servicios de fabricación de productos de arcilla estructural</t>
  </si>
  <si>
    <t>Tubos naso entéricos no clasificados en otra parte</t>
  </si>
  <si>
    <t>Lentes protectores</t>
  </si>
  <si>
    <t>MEDICAMENTOS ANTICOAGULANTE Y ANTICONVULSIVOS</t>
  </si>
  <si>
    <t>Probadores de fuerza de corte</t>
  </si>
  <si>
    <t>Ensambles de tubos soldados con soldadura ultra violeta de acero de aleación baja</t>
  </si>
  <si>
    <t>Suministro de gas natural</t>
  </si>
  <si>
    <t>Cámaras de video conferencia</t>
  </si>
  <si>
    <t>Ventanas de guillotina</t>
  </si>
  <si>
    <t>Contenedores o accesorios de materiales de desecho de uso odontológico</t>
  </si>
  <si>
    <t>Crayones de base de soya</t>
  </si>
  <si>
    <t>Klistrones</t>
  </si>
  <si>
    <t>Tacrolimus</t>
  </si>
  <si>
    <t>Ensamblajes de control de reacción de inyección</t>
  </si>
  <si>
    <t>Paneles de interruptores aeroespaciales de la cabina</t>
  </si>
  <si>
    <t>22101619</t>
  </si>
  <si>
    <t>Locomotoras diesel de carga</t>
  </si>
  <si>
    <t>Máquinas cosedoras de libros</t>
  </si>
  <si>
    <t>Sets de hemacitómetros</t>
  </si>
  <si>
    <t>Fibra prensada</t>
  </si>
  <si>
    <t>Sujetadores para almohadillas o láminas mezcladoras</t>
  </si>
  <si>
    <t>23181606</t>
  </si>
  <si>
    <t>Sets de tubos de bombeo de infusión para alimentación enteral</t>
  </si>
  <si>
    <t>Contratuercas</t>
  </si>
  <si>
    <t>Juegos de deportes</t>
  </si>
  <si>
    <t>Ensamblaje especializado</t>
  </si>
  <si>
    <t>Equipo que usa unidades de soporte para control de arena a granel</t>
  </si>
  <si>
    <t>Lana sin procesar</t>
  </si>
  <si>
    <t>Sondas o sensores para oxímetros de pulso</t>
  </si>
  <si>
    <t>Evaporadores de vacío o rotatorios</t>
  </si>
  <si>
    <t>Componentes de magnesio maquinados por extrusión de impacto</t>
  </si>
  <si>
    <t>Ensambles de placas soldadas con solvente de acero al carbono</t>
  </si>
  <si>
    <t>Nutrientes</t>
  </si>
  <si>
    <t>Cable de fibra óptica</t>
  </si>
  <si>
    <t>41111621</t>
  </si>
  <si>
    <t>Kits de matemáticas para restar</t>
  </si>
  <si>
    <t>Aduja de grafito</t>
  </si>
  <si>
    <t>Hilado de lana</t>
  </si>
  <si>
    <t>Bombas de partición axial</t>
  </si>
  <si>
    <t>Extrusiones de perfiles de estaño</t>
  </si>
  <si>
    <t>Máquina coquizadora</t>
  </si>
  <si>
    <t>Placas de párpado para cirugía oftálmica</t>
  </si>
  <si>
    <t>Depósito de trenes</t>
  </si>
  <si>
    <t>Multiplexores</t>
  </si>
  <si>
    <t>Adaptador de cartucho filtro</t>
  </si>
  <si>
    <t>Juegos educativos</t>
  </si>
  <si>
    <t>Tambores para lijar</t>
  </si>
  <si>
    <t>Dexpantenol</t>
  </si>
  <si>
    <t>Ayudas de pesca o cacería para los discapacitados físicamente</t>
  </si>
  <si>
    <t>Estereoscopios de película de rayos x para uso médico</t>
  </si>
  <si>
    <t>Centro de localización</t>
  </si>
  <si>
    <t>Circuitos integrados ordenados hacia arriba</t>
  </si>
  <si>
    <t>Tanques de almacenamiento de agua</t>
  </si>
  <si>
    <t>Sandwicheras eléctricas para uso doméstico</t>
  </si>
  <si>
    <t>Tapón de tubería</t>
  </si>
  <si>
    <t>Candesartán cilexetilo</t>
  </si>
  <si>
    <t>Conos de rodamiento</t>
  </si>
  <si>
    <t>PRECIO UNITARIO ESTIMADO</t>
  </si>
  <si>
    <t>51101567</t>
  </si>
  <si>
    <t>Lechada de cal con cola para blanquear paredes</t>
  </si>
  <si>
    <t>Extrusiones por impacto de aluminio</t>
  </si>
  <si>
    <t>Paquetes de medicación de oídos</t>
  </si>
  <si>
    <t>Limpiadores o detergentes para instrumentos</t>
  </si>
  <si>
    <t>Paragüeros o soportes para paraguas</t>
  </si>
  <si>
    <t>72102301</t>
  </si>
  <si>
    <t>Composición de cuero</t>
  </si>
  <si>
    <t>Transductores o accesorios para ultrasonido o doppler o eco para uso médico</t>
  </si>
  <si>
    <t>Análisis de inversiones</t>
  </si>
  <si>
    <t>Aplicadores o absorbentes medicados</t>
  </si>
  <si>
    <t>Cajas de Bornes para fusibles</t>
  </si>
  <si>
    <t>Tintas para dibujar de base solvente</t>
  </si>
  <si>
    <t>Tractomulas de nariz alargada con cama</t>
  </si>
  <si>
    <t>Fundentes de soldadura</t>
  </si>
  <si>
    <t>Generadores de rayos x</t>
  </si>
  <si>
    <t>Soportes para accesorios eléctricos</t>
  </si>
  <si>
    <t>Dispositivos para asegurar tubos naso entéricos</t>
  </si>
  <si>
    <t>Óxido de molibdeno</t>
  </si>
  <si>
    <t>Sets de instrumentos para cirugía otolaringológica</t>
  </si>
  <si>
    <t>27111807</t>
  </si>
  <si>
    <t>Equipo de refracción o reflexión</t>
  </si>
  <si>
    <t>Sistemas de control o vigilancia de potencia</t>
  </si>
  <si>
    <t>Pasadores de montaje</t>
  </si>
  <si>
    <t>Máquinas de pesas para rehabilitación o terapia</t>
  </si>
  <si>
    <t>Sondas de bala para autopsias</t>
  </si>
  <si>
    <t>Diseño de transmisión de potencia</t>
  </si>
  <si>
    <t>Objetos maquinados de compuestos fundidos en molde cerámico</t>
  </si>
  <si>
    <t>Acoples metálicos</t>
  </si>
  <si>
    <t>Trepanadores para biopsia de hueso para uso quirúrgico</t>
  </si>
  <si>
    <t>Agujas para procedimientos diagnósticos</t>
  </si>
  <si>
    <t>Herramientas para adobar para uso doméstico</t>
  </si>
  <si>
    <t>Pantallas de pie o portátiles de protección radiológica para uso médico</t>
  </si>
  <si>
    <t>Gladiolos cortados</t>
  </si>
  <si>
    <t>Contenedores intermedios a granel</t>
  </si>
  <si>
    <t>Acoplamientos de reducción de tubería</t>
  </si>
  <si>
    <t>Metoprolol</t>
  </si>
  <si>
    <t>Solución de cardioplejia</t>
  </si>
  <si>
    <t>Juntas de silicona</t>
  </si>
  <si>
    <t>Brazo de retroexcavadora o secciones del brazo</t>
  </si>
  <si>
    <t>Halidos ácidos o sus sustitutos</t>
  </si>
  <si>
    <t>Espátulas para laboratorio</t>
  </si>
  <si>
    <t>Agujas para cirugía oftálmica</t>
  </si>
  <si>
    <t>PARA HUSO DE PACIENTE INCART</t>
  </si>
  <si>
    <t>Celdas de presión francesas</t>
  </si>
  <si>
    <t>Dispositivos de señalización para teléfonos</t>
  </si>
  <si>
    <t>Medidores de ph</t>
  </si>
  <si>
    <t>Papeles recubiertos de poliéster</t>
  </si>
  <si>
    <t>Servicios médicos de emergencia de médicos de atención primaria</t>
  </si>
  <si>
    <t>Conserva</t>
  </si>
  <si>
    <t>Conductos o red de conductos de bronce</t>
  </si>
  <si>
    <t>Rectificadora de piedra de moler</t>
  </si>
  <si>
    <t>Cepillos eléctricos</t>
  </si>
  <si>
    <t>Tapones del árbol de levas</t>
  </si>
  <si>
    <t>Calcio</t>
  </si>
  <si>
    <t>Correas o arneses para unidades de diálisis peritoneal</t>
  </si>
  <si>
    <t>Accesorios o partes de repuesto para instrumentos dentales</t>
  </si>
  <si>
    <t>Jugos congelados</t>
  </si>
  <si>
    <t>Pistolas de grasa</t>
  </si>
  <si>
    <t>Placa de aleación no ferrosa</t>
  </si>
  <si>
    <t>Injerto doble de tubería</t>
  </si>
  <si>
    <t>Ganchos para uso interno</t>
  </si>
  <si>
    <t>Magaldrato</t>
  </si>
  <si>
    <t>MONTOS ESTIMADOS SEGÚN CLASIFICACIÓN MIPYME</t>
  </si>
  <si>
    <t>Derecho de fusiones o adquisiciones</t>
  </si>
  <si>
    <t>TRIMESTRE</t>
  </si>
  <si>
    <t>Servicios de manejo o control de bacterias</t>
  </si>
  <si>
    <t>Cabras</t>
  </si>
  <si>
    <t>Rodillos de avance o de arrastre</t>
  </si>
  <si>
    <t>Válvulas de bola</t>
  </si>
  <si>
    <t>Nutrición animal</t>
  </si>
  <si>
    <t>Máquinas multifuncionales</t>
  </si>
  <si>
    <t>Tanques o cilindros de aire o gas</t>
  </si>
  <si>
    <t>Interruptores de resorte</t>
  </si>
  <si>
    <t>Máquinas de rayos x superficiales para teleterapia radioterapia</t>
  </si>
  <si>
    <t>Túnel submarino</t>
  </si>
  <si>
    <t>Clorhidrato de dextrometorfano</t>
  </si>
  <si>
    <t>Rellenos congelados para emparedados</t>
  </si>
  <si>
    <t>Estándares ambientales</t>
  </si>
  <si>
    <t>Lectores y codificadores de banda magnética</t>
  </si>
  <si>
    <t>Flujómetros</t>
  </si>
  <si>
    <t>11162112</t>
  </si>
  <si>
    <t>Trampas de vapor</t>
  </si>
  <si>
    <t>Anhídrido maléico de estireno</t>
  </si>
  <si>
    <t>Ensambles de tubería atornillada de aleación wasp</t>
  </si>
  <si>
    <t>Embarcación mecanizada o de uso general</t>
  </si>
  <si>
    <t>Herramientas de juguete o kits de herramientas de juguete</t>
  </si>
  <si>
    <t>Tubería de hierro fundido</t>
  </si>
  <si>
    <t>Tubos para yeyunostomía</t>
  </si>
  <si>
    <t>Ensambles de tubería soldada con ultra violeta de inconel</t>
  </si>
  <si>
    <t>Cables de control no eléctrico</t>
  </si>
  <si>
    <t>Calibradores micrómetros</t>
  </si>
  <si>
    <t>Diodos de capacitancia variable</t>
  </si>
  <si>
    <t>Máquinas para hacer andenes</t>
  </si>
  <si>
    <t>Cefpodoxima proxetil</t>
  </si>
  <si>
    <t>Kits de purificación de ácido ribonucleico viral</t>
  </si>
  <si>
    <t>Tijeras de podar</t>
  </si>
  <si>
    <t>Gestión de eventos</t>
  </si>
  <si>
    <t>Acetato de clormadinona</t>
  </si>
  <si>
    <t>Componentes de magnesio estampados</t>
  </si>
  <si>
    <t>Curetas para periodoncia</t>
  </si>
  <si>
    <t>Bitartrato de potasio</t>
  </si>
  <si>
    <t>Ensambles de placas soldadas con soldadura sónica de aluminio</t>
  </si>
  <si>
    <t>Rompecabezas</t>
  </si>
  <si>
    <t>Criba jardinera</t>
  </si>
  <si>
    <t>Equipos de red de red óptica sincrónica sonet</t>
  </si>
  <si>
    <t>Papeles para notación musical o manuscritos</t>
  </si>
  <si>
    <t>Publicidad en televisión</t>
  </si>
  <si>
    <t>Herramientas de evaluación para educación física</t>
  </si>
  <si>
    <t>Puestos móviles de irrigación</t>
  </si>
  <si>
    <t>Pantoprazol sódico sesquihidratado</t>
  </si>
  <si>
    <t>Isopropil unoprostone</t>
  </si>
  <si>
    <t>Unidades o accesorios para monitoreo de salida cardiaca co</t>
  </si>
  <si>
    <t>Minociclina</t>
  </si>
  <si>
    <t>41104612</t>
  </si>
  <si>
    <t>Compresores para terapia respiratoria</t>
  </si>
  <si>
    <t>Colocadores de tapas, insertadores de algodón o aplicadores de sellos de seguridad</t>
  </si>
  <si>
    <t>Tolbutamida</t>
  </si>
  <si>
    <t>Organizadores dentales</t>
  </si>
  <si>
    <t>Brazaletes de joyería fina</t>
  </si>
  <si>
    <t>Ciclizina</t>
  </si>
  <si>
    <t>Especímenes del cuerpo animal, partes u órganos</t>
  </si>
  <si>
    <t>Carritos de golf</t>
  </si>
  <si>
    <t>Tapas de radiador</t>
  </si>
  <si>
    <t>Túnel para peatones</t>
  </si>
  <si>
    <t>CM</t>
  </si>
  <si>
    <t>Mezcladoras de forraje</t>
  </si>
  <si>
    <t>Rompevirutas</t>
  </si>
  <si>
    <t>Servicios de formación profesional  en ejecución de la ley</t>
  </si>
  <si>
    <t>Desarenadores de lodo</t>
  </si>
  <si>
    <t>Instrumentos de empaque de cordones de retracción para uso odontológico</t>
  </si>
  <si>
    <t>Dispositivo de sincronización de paquete de datos de red</t>
  </si>
  <si>
    <t>Germanio ge</t>
  </si>
  <si>
    <t>Herramientas de formación de cierre</t>
  </si>
  <si>
    <t>Analizadores de grano</t>
  </si>
  <si>
    <t>Platos multi pocillo</t>
  </si>
  <si>
    <t>Betahistina</t>
  </si>
  <si>
    <t>Tiosulfato de sodio</t>
  </si>
  <si>
    <t>Carbohidratos o sus derivados</t>
  </si>
  <si>
    <t>Clorhidrato de dietilpropión</t>
  </si>
  <si>
    <t>Filtros de perfusión o productos relacionados</t>
  </si>
  <si>
    <t>Fotómetros para uso oftálmico</t>
  </si>
  <si>
    <t>Premios de fotografía</t>
  </si>
  <si>
    <t>Hidro coladores o sus accesorios para uso médico</t>
  </si>
  <si>
    <t>Pentominós</t>
  </si>
  <si>
    <t>Impresoras de recibos para puntos de venta pos</t>
  </si>
  <si>
    <t>Diafragmas</t>
  </si>
  <si>
    <t>Kits de electrónica</t>
  </si>
  <si>
    <t>Removedores de anillos de los dedos</t>
  </si>
  <si>
    <t>31162310</t>
  </si>
  <si>
    <t>Clorhidrato de pioglitazona</t>
  </si>
  <si>
    <t>Máquinas para cambiar llantas</t>
  </si>
  <si>
    <t>Servicios transfronterizos de gestión o control de la contaminación de las agua</t>
  </si>
  <si>
    <t>Funcionalidad de interconexión</t>
  </si>
  <si>
    <t>Servicios de cooperación económica internacional</t>
  </si>
  <si>
    <t>Eslingas</t>
  </si>
  <si>
    <t>Sulfato de condroitina a</t>
  </si>
  <si>
    <t>Receptores de multimedia</t>
  </si>
  <si>
    <t>Cómodas o accesorios para los discapacitados físicamente</t>
  </si>
  <si>
    <t>Servicios de expedidores de fletes</t>
  </si>
  <si>
    <t>Decoraciones para puertas</t>
  </si>
  <si>
    <t>Poli éter bloque amida peba</t>
  </si>
  <si>
    <t>Sujetadores de cubiertos o de utensilios para los discapacitados físicamente</t>
  </si>
  <si>
    <t>Probadores de circuitos gfi</t>
  </si>
  <si>
    <t>Ensambles de láminas remachadas de latón</t>
  </si>
  <si>
    <t>Kits del alfabeto</t>
  </si>
  <si>
    <t>Picos de bolsas o contenedores de transferencia de infusión arterial o intravenosa</t>
  </si>
  <si>
    <t>DM</t>
  </si>
  <si>
    <t>Clorhidrato de tacrina</t>
  </si>
  <si>
    <t>Sulfato de sodio</t>
  </si>
  <si>
    <t>Seda dental</t>
  </si>
  <si>
    <t>Budesonida</t>
  </si>
  <si>
    <t>Cable de alimentación</t>
  </si>
  <si>
    <t>Aviones no tripulados objetivo o de reconocimiento</t>
  </si>
  <si>
    <t>Ensambles de tubos soldados con disolvente de titanio</t>
  </si>
  <si>
    <t>Servicios de administración de datos de los activos del campo petrolero</t>
  </si>
  <si>
    <t>Quemadores de tubo de agua</t>
  </si>
  <si>
    <t>Partes de repuesto para bombas de alcantarillado</t>
  </si>
  <si>
    <t>Ensambles de barras soldadas con soldadura ultra violeta de aleación hast x</t>
  </si>
  <si>
    <t>Santo Domingo Este</t>
  </si>
  <si>
    <t>Preparaciones para extracción de fase sólida</t>
  </si>
  <si>
    <t>Procesadores de tejidos</t>
  </si>
  <si>
    <t>Fosfinas</t>
  </si>
  <si>
    <t>40142604</t>
  </si>
  <si>
    <t>Equipo para piscicultura marina</t>
  </si>
  <si>
    <t>Alambre suave galvanizado</t>
  </si>
  <si>
    <t>Servicios de redacción literaria</t>
  </si>
  <si>
    <t>Conejos</t>
  </si>
  <si>
    <t>Sistemas de vacío para uso médico</t>
  </si>
  <si>
    <t>Heno</t>
  </si>
  <si>
    <t>Bolsas para recolectar o transportar especímenes</t>
  </si>
  <si>
    <t>Amoxicilina</t>
  </si>
  <si>
    <t>Asistencia o mantenimiento de servicio de telecomunicaciones</t>
  </si>
  <si>
    <t>Calentadores de fluido de infusión arterial o intravenosa</t>
  </si>
  <si>
    <t>Borradores de casetes de audio o video</t>
  </si>
  <si>
    <t>Ejercitadoras de bota para rehabilitación o terapia</t>
  </si>
  <si>
    <t>Forjas de bronce maquinadas con troquel cerrado</t>
  </si>
  <si>
    <t>Objetos fundidos maquinados con troquel de aleaciones no ferrosas</t>
  </si>
  <si>
    <t>Ratones</t>
  </si>
  <si>
    <t>53102701</t>
  </si>
  <si>
    <t>Biberones o accesorios</t>
  </si>
  <si>
    <t>Congeladores para morgues</t>
  </si>
  <si>
    <t>Biseles</t>
  </si>
  <si>
    <t>Microscopios de campo ancho</t>
  </si>
  <si>
    <t>Citrato de magnesio</t>
  </si>
  <si>
    <t>Pasadores de conexión o acoplamiento</t>
  </si>
  <si>
    <t>46181525</t>
  </si>
  <si>
    <t>Calzado atlético para mujer</t>
  </si>
  <si>
    <t>Servicios de suministro de alimentos</t>
  </si>
  <si>
    <t>Servicios de planificación de respuesta de emergencia del campo petrolero</t>
  </si>
  <si>
    <t>Ensambles estructurales con soldadura de fuerte o débil de aleación wasp</t>
  </si>
  <si>
    <t>Dutasteride</t>
  </si>
  <si>
    <t>Kits de etiquetado no radiactivos de ácido nucleico</t>
  </si>
  <si>
    <t>Tratamientos medicados para mascotas</t>
  </si>
  <si>
    <t>Dardos de jardín</t>
  </si>
  <si>
    <t>Componentes de magnesio perforados</t>
  </si>
  <si>
    <t>Prensas de forja</t>
  </si>
  <si>
    <t>Ensambles de placas soldadas con soldadura fuerte o débil de aleación wasp</t>
  </si>
  <si>
    <t>Espéculos o puntas de dilatación o dispensadores de puntas para exámenes médicos</t>
  </si>
  <si>
    <t>Fertilizante de sulfuro</t>
  </si>
  <si>
    <t>Conmutadores de tensión media</t>
  </si>
  <si>
    <t>42292202</t>
  </si>
  <si>
    <t>Ensambles estructurales con soldadura de solvente de latón</t>
  </si>
  <si>
    <t>Filtros ambientales para laboratorio</t>
  </si>
  <si>
    <t>Ensambles de tubos soldados con soldadura fuerte o débil de inconel</t>
  </si>
  <si>
    <t>Forjas de aleación ferrosa maquinadas con troquel abierto</t>
  </si>
  <si>
    <t>Cuartos refrigeradores para la morgue</t>
  </si>
  <si>
    <t>Alicates de punta redonda</t>
  </si>
  <si>
    <t>Anillos metálicos</t>
  </si>
  <si>
    <t>Construcción de muros de contención</t>
  </si>
  <si>
    <t>Clorhidrato de bamifilina</t>
  </si>
  <si>
    <t>Salvaguardias nucleares</t>
  </si>
  <si>
    <t>Ostricultura</t>
  </si>
  <si>
    <t>51141517</t>
  </si>
  <si>
    <t>Estuches para tablillas o accesorios</t>
  </si>
  <si>
    <t>Sujetadores para relojes</t>
  </si>
  <si>
    <t>Elevadores dentales</t>
  </si>
  <si>
    <t>Servicios de medición durante la perforación</t>
  </si>
  <si>
    <t>23121614</t>
  </si>
  <si>
    <t>Almohadillas o compresas o bolsas de calentamiento o enfriamiento terapéutico</t>
  </si>
  <si>
    <t>Tubos de resistencia</t>
  </si>
  <si>
    <t>Jardín de invierno</t>
  </si>
  <si>
    <t>Secadoras de inducción</t>
  </si>
  <si>
    <t>85121605</t>
  </si>
  <si>
    <t>Sellos notariales</t>
  </si>
  <si>
    <t>Analizadores de velocidad del sonido</t>
  </si>
  <si>
    <t>Husos</t>
  </si>
  <si>
    <t>Servicios de reacondicionamiento de herramientas del pozo</t>
  </si>
  <si>
    <t>30161902</t>
  </si>
  <si>
    <t>Morrales</t>
  </si>
  <si>
    <t>Cajas de iluminación</t>
  </si>
  <si>
    <t>Conexiones mecánicas</t>
  </si>
  <si>
    <t>Río Verde Arriba</t>
  </si>
  <si>
    <t>Tubería de aluminio</t>
  </si>
  <si>
    <t>Conectores para mangueras</t>
  </si>
  <si>
    <t>Ensambles de láminas pegadas de aluminio</t>
  </si>
  <si>
    <t>Codos de troquel</t>
  </si>
  <si>
    <t>Anclajes de tornillo</t>
  </si>
  <si>
    <t>Agarres (“grips”) para raquetas</t>
  </si>
  <si>
    <t>Paso subterráneo</t>
  </si>
  <si>
    <t>Microprocesadores</t>
  </si>
  <si>
    <t>Empujadores para uso quirúrgico</t>
  </si>
  <si>
    <t>MEDICAMENTOS ANTIHEMORAGICO, ANTIHIPERTENSIVO Y ANTIFLAMATORIO 3</t>
  </si>
  <si>
    <t>Servicios de registro nuclear de litología y densidad</t>
  </si>
  <si>
    <t>Barras para cánulas de esterilización</t>
  </si>
  <si>
    <t>Puertas de blindaje para recintos radiactivos</t>
  </si>
  <si>
    <t>Papel o plástico para escribir braille para los discapacitados físicamente</t>
  </si>
  <si>
    <t>Barras de sujeción o barandas para la tina para los discapacitados físicamente</t>
  </si>
  <si>
    <t>Conjunto de mordaza</t>
  </si>
  <si>
    <t>compra de alimentos y bebidad del INCART</t>
  </si>
  <si>
    <t>Guerra limitada</t>
  </si>
  <si>
    <t>Secadoras infrarrojas</t>
  </si>
  <si>
    <t>Yarda cuadrada</t>
  </si>
  <si>
    <t>Conectores de resucitación</t>
  </si>
  <si>
    <t>Mesas móviles para taburetes</t>
  </si>
  <si>
    <t>Asientos para baños de hidroterapia</t>
  </si>
  <si>
    <t>Servicios de acróbatas</t>
  </si>
  <si>
    <t>Kits de intubación o vía aérea oro faríngea para servicios médicos de emergencia</t>
  </si>
  <si>
    <t>Servicios de inyección del pozo</t>
  </si>
  <si>
    <t>Servicios de hospitales siquiátricos</t>
  </si>
  <si>
    <t>Transplantadoras</t>
  </si>
  <si>
    <t>Organizadores o accesorios de colgar</t>
  </si>
  <si>
    <t>Seguros marítimos</t>
  </si>
  <si>
    <t>Servicios de cosecha de frutales o nueces</t>
  </si>
  <si>
    <t>Analizadores de coagulación</t>
  </si>
  <si>
    <t>Ceftibuten</t>
  </si>
  <si>
    <t>Transporte marítimo a ferroviario</t>
  </si>
  <si>
    <t>Software médico</t>
  </si>
  <si>
    <t>Servicios de limpieza general de la balanza de la matriz</t>
  </si>
  <si>
    <t>39121525</t>
  </si>
  <si>
    <t>Medidores de circuito de línea a tierra</t>
  </si>
  <si>
    <t>Adaptador de video casetes compactos</t>
  </si>
  <si>
    <t>Abrazaderas para caminar</t>
  </si>
  <si>
    <t>Unidad de análisis de sedimentación</t>
  </si>
  <si>
    <t>Modelos de fósiles</t>
  </si>
  <si>
    <t>Bismuto bi</t>
  </si>
  <si>
    <t>Componentes de aleación ferrosa maquinados por extrusión en frío</t>
  </si>
  <si>
    <t>Pantallas de plasma</t>
  </si>
  <si>
    <t>Ayudas de flotación o natación para los discapacitados físicamente</t>
  </si>
  <si>
    <t>Pulidoras para hacer facetas o pulir caras</t>
  </si>
  <si>
    <t>Sistema de pintura llave en mano</t>
  </si>
  <si>
    <t>Espectrómetros de resonancia magnética nuclear nmr</t>
  </si>
  <si>
    <t>Servicios de revestimiento de pozos de exploración</t>
  </si>
  <si>
    <t>Cable aislado o forrado</t>
  </si>
  <si>
    <t>Bombas de pipetas</t>
  </si>
  <si>
    <t>Componentes de berilio hidroformados</t>
  </si>
  <si>
    <t>Servicios de terminación del revestidor del pozo</t>
  </si>
  <si>
    <t>Cerramientos para bañeras o duchas</t>
  </si>
  <si>
    <t>INSUMOS CIRUGIA AMBULATORIA 2</t>
  </si>
  <si>
    <t>Procesador central controlador de consola</t>
  </si>
  <si>
    <t>Mostradores para mantener caliente la comida</t>
  </si>
  <si>
    <t>Techos blandos desmontables</t>
  </si>
  <si>
    <t>Servicios de producción de aceites o grasas</t>
  </si>
  <si>
    <t>Servicios de terminación tubería pozo</t>
  </si>
  <si>
    <t>Servicios de obturación de pozos</t>
  </si>
  <si>
    <t>Pantuflas para pacientes</t>
  </si>
  <si>
    <t>Chimenea de concreto</t>
  </si>
  <si>
    <t>Limas para periodoncia</t>
  </si>
  <si>
    <t>Clorhidrato de cevimelina</t>
  </si>
  <si>
    <t>Máquina para destilación de crudo</t>
  </si>
  <si>
    <t>Ácido acetilsalicílico</t>
  </si>
  <si>
    <t>Objetos maquinados de acero inoxidable fundidos a la cera perdida</t>
  </si>
  <si>
    <t>Marcadores de foco isoeléctrico ief</t>
  </si>
  <si>
    <t>Anemómetros</t>
  </si>
  <si>
    <t>Capillas</t>
  </si>
  <si>
    <t>Servicios de elaboración de bebidas de infusión</t>
  </si>
  <si>
    <t>Asistencia financiera</t>
  </si>
  <si>
    <t>Bobinas o cajas de inductancias calibradas</t>
  </si>
  <si>
    <t>Ensambles de tubería con soldadura sónica de titanio</t>
  </si>
  <si>
    <t>Medidores de la cabina aeroespacial</t>
  </si>
  <si>
    <t>Mesas de naipes</t>
  </si>
  <si>
    <t>Película de cámara de películas animadas</t>
  </si>
  <si>
    <t>Certificados específicos de asignatura</t>
  </si>
  <si>
    <t>Triclormetiazida</t>
  </si>
  <si>
    <t>Carretes para pesca comercial</t>
  </si>
  <si>
    <t>Kits de transformación de bacterias</t>
  </si>
  <si>
    <t>Succimer</t>
  </si>
  <si>
    <t>Rodilleras de protección</t>
  </si>
  <si>
    <t>Mesas para cambiar al bebé o accesorios</t>
  </si>
  <si>
    <t>Servicios de gestión de recursos forestales</t>
  </si>
  <si>
    <t>Corchos para laboratorio</t>
  </si>
  <si>
    <t>Incubadoras de cámara dual de tres gases recubierta de agua con control de humedad</t>
  </si>
  <si>
    <t>Retenedores de anteojos</t>
  </si>
  <si>
    <t>Ácido ascórbico</t>
  </si>
  <si>
    <t>Kit de impresión latente de huellas dactilares</t>
  </si>
  <si>
    <t>Ensambles estructurales remachados de cobre</t>
  </si>
  <si>
    <t>Instrumentos de medición de ganchos para uso quirúrgico</t>
  </si>
  <si>
    <t>Llaves de especialidad</t>
  </si>
  <si>
    <t>42142523</t>
  </si>
  <si>
    <t>Arandelas reductoras</t>
  </si>
  <si>
    <t>Hoja de fibra y goma</t>
  </si>
  <si>
    <t>Unidades control de bombeo de arena</t>
  </si>
  <si>
    <t>Software de controladores de ethernet</t>
  </si>
  <si>
    <t>Semillas o plántulas de jengibre</t>
  </si>
  <si>
    <t>Aguja pasa cintas</t>
  </si>
  <si>
    <t>Máquinas de franqueo o estampillado</t>
  </si>
  <si>
    <t>Martillo neumático</t>
  </si>
  <si>
    <t>Golas</t>
  </si>
  <si>
    <t>Mangas de irrigación para ostomía</t>
  </si>
  <si>
    <t>Software familiar</t>
  </si>
  <si>
    <t>Imitación de queso</t>
  </si>
  <si>
    <t>Programas de investigación</t>
  </si>
  <si>
    <t>Estuches intravenosos iv para servicios médicos de emergencia</t>
  </si>
  <si>
    <t>Tierra de fuller</t>
  </si>
  <si>
    <t>Descansos de soporte para la espalda</t>
  </si>
  <si>
    <t>Filtros coalescentes</t>
  </si>
  <si>
    <t>Objetos de titanio fundidos por proceso en v</t>
  </si>
  <si>
    <t>Bobinadoras eléctricas</t>
  </si>
  <si>
    <t>Pinzas de uso odontológico</t>
  </si>
  <si>
    <t>51241117</t>
  </si>
  <si>
    <t>Tolvas metálicas</t>
  </si>
  <si>
    <t>Estuches para revólveres</t>
  </si>
  <si>
    <t>Indicadores de resistencia al estrés</t>
  </si>
  <si>
    <t>51111507</t>
  </si>
  <si>
    <t>Cizalla de guillotina</t>
  </si>
  <si>
    <t>Básculas de piso o de plataforma</t>
  </si>
  <si>
    <t>Estadísticas comerciales</t>
  </si>
  <si>
    <t>Ejes no de manejo</t>
  </si>
  <si>
    <t>Lingotes no metálicos</t>
  </si>
  <si>
    <t>Trantorque</t>
  </si>
  <si>
    <t>Elastómeros para ortodoncia</t>
  </si>
  <si>
    <t>Microscopios de polarización</t>
  </si>
  <si>
    <t>Tableros de anotaciones para deportes</t>
  </si>
  <si>
    <t>Carritos o soportes para proyectores</t>
  </si>
  <si>
    <t>Fresas dentales</t>
  </si>
  <si>
    <t>Ensambles de barras atornilladas de acero inoxidable</t>
  </si>
  <si>
    <t>Sistemas de entrada de teléfono</t>
  </si>
  <si>
    <t>Almohadas antimicrobianas para hospital</t>
  </si>
  <si>
    <t>Mesas de dibujo para estudiantes</t>
  </si>
  <si>
    <t>Postigos interiores</t>
  </si>
  <si>
    <t>Máquinas encapsuladoras</t>
  </si>
  <si>
    <t>Software de sistema de operación de red</t>
  </si>
  <si>
    <t>51131506</t>
  </si>
  <si>
    <t>Ensambles de tubería soldada con ultra violeta de titanio</t>
  </si>
  <si>
    <t>Jicomé</t>
  </si>
  <si>
    <t>Guayacol</t>
  </si>
  <si>
    <t>Servicios de rehabilitación por el derrame de petróleo</t>
  </si>
  <si>
    <t>Estuches o bolsas de trauma para servicios médicos de emergencia</t>
  </si>
  <si>
    <t>Ensambles estructurales con soldadura ultra violeta de aleación hast x</t>
  </si>
  <si>
    <t>Servicios sísmicos de pozo desviado</t>
  </si>
  <si>
    <t>Objetos de berilio fundidos en molde cerámico</t>
  </si>
  <si>
    <t>Volquetas</t>
  </si>
  <si>
    <t>Piezas individuales de maletas</t>
  </si>
  <si>
    <t>Resinas de petróleo</t>
  </si>
  <si>
    <t>Jaladores de cremalleras para los discapacitados físicamente</t>
  </si>
  <si>
    <t>Pindolol</t>
  </si>
  <si>
    <t>Kits de craneotomía</t>
  </si>
  <si>
    <t>Pantallas</t>
  </si>
  <si>
    <t>Controles de iluminación</t>
  </si>
  <si>
    <t>Terminales de buscapersonas</t>
  </si>
  <si>
    <t>Cuarzo</t>
  </si>
  <si>
    <t>Sistemas de instrumentos para fijación de trauma ortopédico</t>
  </si>
  <si>
    <t>Recoleccion de residuos solidos 4</t>
  </si>
  <si>
    <t>Unidades de bi destilación</t>
  </si>
  <si>
    <t>Ensambles de láminas remachadas de titanio</t>
  </si>
  <si>
    <t>Extrusiones por impacto de acero</t>
  </si>
  <si>
    <t>Unidades de mezclado</t>
  </si>
  <si>
    <t>Platos para laboratorio</t>
  </si>
  <si>
    <t>Hedera hélix</t>
  </si>
  <si>
    <t>Perfumes o colonias o fragancias</t>
  </si>
  <si>
    <t>Barreras de seguridad intrínseca</t>
  </si>
  <si>
    <t>Xilófonos</t>
  </si>
  <si>
    <t>Política o programas nacionales de intervención alimentaria</t>
  </si>
  <si>
    <t>Pasadores de alineación</t>
  </si>
  <si>
    <t>Servicios de fabricación de productos de asbesto</t>
  </si>
  <si>
    <t>Telescopios</t>
  </si>
  <si>
    <t>Pimozida</t>
  </si>
  <si>
    <t>Paños comprimibles para uso odontológico</t>
  </si>
  <si>
    <t>Tarjetas didácticas de divisiones</t>
  </si>
  <si>
    <t>Alcancía de monedas</t>
  </si>
  <si>
    <t>Remaches de trinquetes</t>
  </si>
  <si>
    <t>Auriculares de protección radiológica para uso médico</t>
  </si>
  <si>
    <t>Salvado de trigo puro</t>
  </si>
  <si>
    <t>Pieles o placas frontales para notebook o palm</t>
  </si>
  <si>
    <t>Sistemas de control medioambiental espacial</t>
  </si>
  <si>
    <t>Servicios electromecánicos</t>
  </si>
  <si>
    <t>INSUMOS HOSPITALIZACION GENERAL 3</t>
  </si>
  <si>
    <t>Servicios de asistencia de personal médico</t>
  </si>
  <si>
    <t>Hardware de conexión a tierra</t>
  </si>
  <si>
    <t>Acoples por engranaje</t>
  </si>
  <si>
    <t>14111705</t>
  </si>
  <si>
    <t>Protectores o sus accesorios para ventiladores</t>
  </si>
  <si>
    <t>Instrumentos de castración para uso veterinario</t>
  </si>
  <si>
    <t>Accesorios de hornos para la cocción de cerámica</t>
  </si>
  <si>
    <t>Bridas de la polea de distribución</t>
  </si>
  <si>
    <t>Forjaduras anulares laminadas de bronce</t>
  </si>
  <si>
    <t>Bancos para jardín</t>
  </si>
  <si>
    <t>Tornillo de banda transportadora</t>
  </si>
  <si>
    <t>Casinos</t>
  </si>
  <si>
    <t>51151723</t>
  </si>
  <si>
    <t>Servicios de planificación  nacional</t>
  </si>
  <si>
    <t>Componentes de zinc hidroformados</t>
  </si>
  <si>
    <t>Citicolina</t>
  </si>
  <si>
    <t>Ensambles de placas atornilladas de cobre</t>
  </si>
  <si>
    <t>Abrazaderas de montaje</t>
  </si>
  <si>
    <t>Analizadores de ozono</t>
  </si>
  <si>
    <t>Maniquíes de madera</t>
  </si>
  <si>
    <t>Uranio empobrecido</t>
  </si>
  <si>
    <t>Puntas de pipeta ultra micro</t>
  </si>
  <si>
    <t>41112210</t>
  </si>
  <si>
    <t>Aceite etérico</t>
  </si>
  <si>
    <t>Sistemas de frenos hidráulicos</t>
  </si>
  <si>
    <t>Copas para uso doméstico</t>
  </si>
  <si>
    <t>Sildenafil citrato</t>
  </si>
  <si>
    <t>Mefenitoina</t>
  </si>
  <si>
    <t>Sets o accesorios de anestesia para uso odontológico</t>
  </si>
  <si>
    <t>Kits de captura de semillas para braquiterapia</t>
  </si>
  <si>
    <t>Objetos fundidos maquinados por proceso v de hierro</t>
  </si>
  <si>
    <t>Cajas de transporte cortadas con troquel de una sola pieza</t>
  </si>
  <si>
    <t>Ensambles estructurales atornillados de aleación wasp</t>
  </si>
  <si>
    <t>Servicios de fabricación de motocicletas o bicicletas</t>
  </si>
  <si>
    <t>Kits de fijación endoscópica</t>
  </si>
  <si>
    <t>Catéteres intravenosos periféricos para uso general</t>
  </si>
  <si>
    <t>Clorhidrato de metronidazol</t>
  </si>
  <si>
    <t>Calentadores de espacio</t>
  </si>
  <si>
    <t>Tableros o gráficas del uno al cien</t>
  </si>
  <si>
    <t>Frascos</t>
  </si>
  <si>
    <t>Accesorios de boca de pozo o flujo debajo de la superficie de boca de pozo</t>
  </si>
  <si>
    <t>Toboganes de bloqueo para futbol</t>
  </si>
  <si>
    <t>Botes de succión quirúrgicos o accesorios</t>
  </si>
  <si>
    <t>Bombas de infusión de heparina unidades de hemodiálisis</t>
  </si>
  <si>
    <t>MIPYME Mujeres</t>
  </si>
  <si>
    <t>Controles de calidad o calibradores o estándares para hematología</t>
  </si>
  <si>
    <t>Paneles de control eléctrico para generadores</t>
  </si>
  <si>
    <t>Propulsores</t>
  </si>
  <si>
    <t>30171705</t>
  </si>
  <si>
    <t>Diodos emisores de luz (led)</t>
  </si>
  <si>
    <t>Medidores de varilla de aceite</t>
  </si>
  <si>
    <t>Pinturas de esmalte</t>
  </si>
  <si>
    <t>Servicios de soldadura con tungsteno a gas inerte (tig)</t>
  </si>
  <si>
    <t>Retractores dentales</t>
  </si>
  <si>
    <t>Molinos de hueso para uso quirúrgico</t>
  </si>
  <si>
    <t>27111701</t>
  </si>
  <si>
    <t>Bandejas de impresión de yeso</t>
  </si>
  <si>
    <t>Azúcar o sustituto de azúcar, confite</t>
  </si>
  <si>
    <t>Materiales de enseñanza de habilidades para la educación o planificación o toma de decisiones para el trabajo</t>
  </si>
  <si>
    <t>Satélites geo – sincronizados</t>
  </si>
  <si>
    <t>Válvulas de pinzamiento</t>
  </si>
  <si>
    <t>Ensambles de láminas soldadas con soldadura ultra violeta de titanio</t>
  </si>
  <si>
    <t>Cajas de luces de presentaciones</t>
  </si>
  <si>
    <t>Servicios de preparación del mercado para nueces</t>
  </si>
  <si>
    <t>Ensambles de barras soldadas con soldadura sónica de titanio</t>
  </si>
  <si>
    <t>52151605</t>
  </si>
  <si>
    <t>Influenza hemofílica</t>
  </si>
  <si>
    <t>Sistemas de control o extinción de incendios en aeronaves</t>
  </si>
  <si>
    <t>Servicios de autores de libros</t>
  </si>
  <si>
    <t>Barco – taladro de perforación</t>
  </si>
  <si>
    <t>Dientes de polímeros sintéticos</t>
  </si>
  <si>
    <t>Sistemas de calentamiento o transfusión de sangre</t>
  </si>
  <si>
    <t>NUTRICION PARA PACIENTES</t>
  </si>
  <si>
    <t>Tapones para laboratorio</t>
  </si>
  <si>
    <t>Aplicadores o elevadores de endoscopios</t>
  </si>
  <si>
    <t>Secadores de bandeja</t>
  </si>
  <si>
    <t>Naipes</t>
  </si>
  <si>
    <t>Naproxeno sódico</t>
  </si>
  <si>
    <t>Servicios de viviendas de emergencia</t>
  </si>
  <si>
    <t>Tijeras para vendajes o sus suministros</t>
  </si>
  <si>
    <t>Componentes o accesorios diversos de micro filmado</t>
  </si>
  <si>
    <t>Unidades de acceso multi estaciones</t>
  </si>
  <si>
    <t>Ibutilida fumarato</t>
  </si>
  <si>
    <t>Timones o volantes</t>
  </si>
  <si>
    <t>Servicios de telemetría acústica durante la perforación</t>
  </si>
  <si>
    <t>Subsidios</t>
  </si>
  <si>
    <t>Equipos y componentes de acceso inalámbrico wlan</t>
  </si>
  <si>
    <t>Kits de modificación de teléfonos</t>
  </si>
  <si>
    <t>Suspensiones a presión retornables</t>
  </si>
  <si>
    <t>Servicios de medición de temperatura para registros de producción</t>
  </si>
  <si>
    <t>Quenodiol</t>
  </si>
  <si>
    <t>Aisladores acoplados ópticos</t>
  </si>
  <si>
    <t>31161507</t>
  </si>
  <si>
    <t>Estación de energía nuclear</t>
  </si>
  <si>
    <t>Elementos de impresión para máquinas de escribir</t>
  </si>
  <si>
    <t>Kits de tipificación de ácido desoxirribonucleico dna</t>
  </si>
  <si>
    <t>Espectrómetros de protón</t>
  </si>
  <si>
    <t>Sulfonamidas</t>
  </si>
  <si>
    <t>Componentes de plomo hidroformados</t>
  </si>
  <si>
    <t>Tapetes de entrada</t>
  </si>
  <si>
    <t>Materiales de enseñanza de compra de alimentos</t>
  </si>
  <si>
    <t>Rotores de frenos de disco</t>
  </si>
  <si>
    <t>12142105</t>
  </si>
  <si>
    <t>Piezas de segadora o accesorios</t>
  </si>
  <si>
    <t>Placa de plomo</t>
  </si>
  <si>
    <t>Ácido risedrónico</t>
  </si>
  <si>
    <t>Bordeadoras</t>
  </si>
  <si>
    <t>Nimesulida</t>
  </si>
  <si>
    <t>Estradiol y acetato de noretisterona</t>
  </si>
  <si>
    <t>Tubos o estiradores endoscopicos</t>
  </si>
  <si>
    <t>Estudios de arte dramático</t>
  </si>
  <si>
    <t>Busca personas</t>
  </si>
  <si>
    <t>Tractores remolcadores para aviones</t>
  </si>
  <si>
    <t>Sodio fluoresceína</t>
  </si>
  <si>
    <t>Objetos maquinados de aluminio fundidos en arena</t>
  </si>
  <si>
    <t>Esponjas o esponjillas</t>
  </si>
  <si>
    <t>Ensambles de láminas soldadas con soldadura ultra violeta de cobre</t>
  </si>
  <si>
    <t>Servicios de protección de sitios históricos o monumentos</t>
  </si>
  <si>
    <t>Torre de luz</t>
  </si>
  <si>
    <t>Manchas de impresión</t>
  </si>
  <si>
    <t>Acuerdos comerciales</t>
  </si>
  <si>
    <t>Almohadillas o rollos absorbentes</t>
  </si>
  <si>
    <t>Compuestos para modelado de plástico</t>
  </si>
  <si>
    <t>Capacidades de eje troncal terrestre</t>
  </si>
  <si>
    <t>Kits de cierre de tejidos o bandejas o paquetes o sets</t>
  </si>
  <si>
    <t>Sondas para mapeo linfático</t>
  </si>
  <si>
    <t>Pamoato de triptorelina</t>
  </si>
  <si>
    <t>Hierro fe</t>
  </si>
  <si>
    <t>Guías de referencia de preálgebra o álgebra</t>
  </si>
  <si>
    <t>Asociaciones reguladoras</t>
  </si>
  <si>
    <t>Clorhidrato de nefazodona</t>
  </si>
  <si>
    <t>Tábara Abajo</t>
  </si>
  <si>
    <t>Servicios de aprovisionamiento o logística del emplazamiento del pozo</t>
  </si>
  <si>
    <t>Sellos metálicos</t>
  </si>
  <si>
    <t>Taburete escalonado</t>
  </si>
  <si>
    <t>Dispositivos de medición de grosor</t>
  </si>
  <si>
    <t>Lidocaína</t>
  </si>
  <si>
    <t>Cambiadores de casetes o película radiográfica</t>
  </si>
  <si>
    <t>Arroyo Toro Masipedro</t>
  </si>
  <si>
    <t>Sujetadores de copias</t>
  </si>
  <si>
    <t>Gabinetes para medios múltiples</t>
  </si>
  <si>
    <t>Gelatina</t>
  </si>
  <si>
    <t>Repelentes de aves</t>
  </si>
  <si>
    <t>Afiches o cuadros de la tabla periódica</t>
  </si>
  <si>
    <t>Estampados recubiertos</t>
  </si>
  <si>
    <t>Almohadillas o filtros limpiadores de fusores</t>
  </si>
  <si>
    <t>52152001</t>
  </si>
  <si>
    <t>51182415</t>
  </si>
  <si>
    <t>Kits de determinación de asalto sexual</t>
  </si>
  <si>
    <t>Servicios de cuidado de patios o piscinas</t>
  </si>
  <si>
    <t>Servicios de revestimiento con metal antifricción</t>
  </si>
  <si>
    <t>Pelotas para ejercicios</t>
  </si>
  <si>
    <t>Ensambles de barras atornilladas de aleación hast x</t>
  </si>
  <si>
    <t>Anti venenos</t>
  </si>
  <si>
    <t>Componentes de metal precioso formados por estiramiento por presión</t>
  </si>
  <si>
    <t>Analizadores de lactato</t>
  </si>
  <si>
    <t>Trisilicato de magnesio</t>
  </si>
  <si>
    <t>Mangueras para manipular material</t>
  </si>
  <si>
    <t>30181509</t>
  </si>
  <si>
    <t>Sets de transferencia para terapia respiratoria</t>
  </si>
  <si>
    <t>Kits de aviones</t>
  </si>
  <si>
    <t>Hierro sacarosa</t>
  </si>
  <si>
    <t>Objetos maquinados de aleación no ferrosa fundidos en molde en concha</t>
  </si>
  <si>
    <t>Papeles recubiertos de arcilla</t>
  </si>
  <si>
    <t>Objetos de latón fundidos por moldeo en cáscara</t>
  </si>
  <si>
    <t>Materiales de enseñanza del manejo del dinero o de las finanzas personales</t>
  </si>
  <si>
    <t>Máquinas de pasta para uso comercial</t>
  </si>
  <si>
    <t>Clorhidrato de quinisocaina</t>
  </si>
  <si>
    <t>Dimenhidrinato</t>
  </si>
  <si>
    <t>Herramientas o equipos para sellar bolsas</t>
  </si>
  <si>
    <t>Polímeros de propileno de etileno</t>
  </si>
  <si>
    <t>Asientos para pacientes</t>
  </si>
  <si>
    <t>Botellones de vino para servicio de comidas</t>
  </si>
  <si>
    <t>Bolsas de transporte del cadáver</t>
  </si>
  <si>
    <t>Borlas</t>
  </si>
  <si>
    <t>Pectina  purificada con acidophilus</t>
  </si>
  <si>
    <t>Filtros hidráulicos</t>
  </si>
  <si>
    <t>Máquina de descarga de electrodo de cátodo de alambre</t>
  </si>
  <si>
    <t>Electrodos de anestesia o repuestos para uso odontológico</t>
  </si>
  <si>
    <t>Bombas recíprocas</t>
  </si>
  <si>
    <t>Dipropionato de beclometasona</t>
  </si>
  <si>
    <t>Puntas de rodillo</t>
  </si>
  <si>
    <t>Pistolas de electrones</t>
  </si>
  <si>
    <t>Componentes de aleación de níquel hidroformados</t>
  </si>
  <si>
    <t>Banda transportadora vibratoria</t>
  </si>
  <si>
    <t>Machos de roscar o matrices de trefilar</t>
  </si>
  <si>
    <t>Unidades de hemodiálisis o hemofiltración venosa continua o productos relacionados</t>
  </si>
  <si>
    <t>Vidrio con alambre incrustado</t>
  </si>
  <si>
    <t>Software inalámbrico</t>
  </si>
  <si>
    <t>Coladores de pintura</t>
  </si>
  <si>
    <t>Pipetas volumétricas</t>
  </si>
  <si>
    <t>Naproxeno</t>
  </si>
  <si>
    <t>Elementos deflectores</t>
  </si>
  <si>
    <t>Medidores de tamaño para anillos</t>
  </si>
  <si>
    <t>Componentes de caucho maquinados por extrusión de impacto</t>
  </si>
  <si>
    <t>11131506</t>
  </si>
  <si>
    <t>Iluminación exterior de avión</t>
  </si>
  <si>
    <t>Chatarra de acero básico</t>
  </si>
  <si>
    <t>Calzado atlético para niña</t>
  </si>
  <si>
    <t>NUTRICION PACIENTES</t>
  </si>
  <si>
    <t>Refrigerador y congelador combinado</t>
  </si>
  <si>
    <t>Puentes de Acero</t>
  </si>
  <si>
    <t>Ensambles de placas soldadas con soldadura fuerte o débil de inconel</t>
  </si>
  <si>
    <t>Servicios de cementación mediante tubería flexible contínua</t>
  </si>
  <si>
    <t>Servicios de corte de metales</t>
  </si>
  <si>
    <t>Cloruro de etilo</t>
  </si>
  <si>
    <t>Gancho de deslizamiento</t>
  </si>
  <si>
    <t>Unidades temáticas de los estados</t>
  </si>
  <si>
    <t>Afeitadoras</t>
  </si>
  <si>
    <t>Roxatidina</t>
  </si>
  <si>
    <t>Cilindros graduados para laboratorio</t>
  </si>
  <si>
    <t>Piezas de acero forjadas a martinete</t>
  </si>
  <si>
    <t>Alicates para ortodoncia</t>
  </si>
  <si>
    <t>Sistemas de ametralladora gatling</t>
  </si>
  <si>
    <t>Ensamblajes de cristales centellantes</t>
  </si>
  <si>
    <t>Servicios de monitoreo o control de la contaminación de las aguas subterráneas</t>
  </si>
  <si>
    <t>Zapatos para niña</t>
  </si>
  <si>
    <t>Filtros (coladores) de vapor</t>
  </si>
  <si>
    <t>Tapa de tubería</t>
  </si>
  <si>
    <t>Barras de manera de caminar para rehabilitación o terapia</t>
  </si>
  <si>
    <t>Zapatos para niño</t>
  </si>
  <si>
    <t>Molinos o zapatas de quemado</t>
  </si>
  <si>
    <t>Pasarela telescópica para aviones</t>
  </si>
  <si>
    <t>Vendajes de</t>
  </si>
  <si>
    <t>Servicios de monitoreo de las bombas en el emplazamiento del pozo</t>
  </si>
  <si>
    <t>Servicios de protección contra robos</t>
  </si>
  <si>
    <t>Herramientas de levantamiento de manga</t>
  </si>
  <si>
    <t>Alicates boquianchos ajustables</t>
  </si>
  <si>
    <t>Salicilato de magnesio</t>
  </si>
  <si>
    <t>Baldes centrífugos</t>
  </si>
  <si>
    <t>Parrillas eléctricas interiores para uso doméstico</t>
  </si>
  <si>
    <t>Fonómetros</t>
  </si>
  <si>
    <t>Sabana Grande de Hostos</t>
  </si>
  <si>
    <t>Solución  anticoagulante citrato fosfato dextrosa</t>
  </si>
  <si>
    <t>Hoja fina de metal de  aluminio</t>
  </si>
  <si>
    <t>Objetos de berilio fundidos en molde fijo</t>
  </si>
  <si>
    <t>Abrazaderas de fijación</t>
  </si>
  <si>
    <t>Soportes eléctricos</t>
  </si>
  <si>
    <t>Termo cúpulas</t>
  </si>
  <si>
    <t>Tanato de carbetapentano</t>
  </si>
  <si>
    <t>51111609</t>
  </si>
  <si>
    <t>Software de carga de almacenamiento de medios</t>
  </si>
  <si>
    <t>Baños biológicos</t>
  </si>
  <si>
    <t>Unidades de combinación de electroterapia</t>
  </si>
  <si>
    <t>Ajo</t>
  </si>
  <si>
    <t>Plancha de vapor para ropa</t>
  </si>
  <si>
    <t>Estropipato</t>
  </si>
  <si>
    <t>Unidades de cable de recuperación</t>
  </si>
  <si>
    <t>Extensiones de interruptores de luz para los discapacitados físicamente</t>
  </si>
  <si>
    <t>Carbonato de aluminio</t>
  </si>
  <si>
    <t>Materiales elastómeros para ortodoncia</t>
  </si>
  <si>
    <t>Kits de la hora</t>
  </si>
  <si>
    <t>Clavadoras de puntillas o accesorios para marcos</t>
  </si>
  <si>
    <t>Servicios de perforación</t>
  </si>
  <si>
    <t>Fenacemida</t>
  </si>
  <si>
    <t>42201803</t>
  </si>
  <si>
    <t>Gimnasios o centros de salud</t>
  </si>
  <si>
    <t>Limpiadores de presión o de vapor</t>
  </si>
  <si>
    <t>ENRIQUILLO</t>
  </si>
  <si>
    <t>Estantes o soportes para tubos para sedimentación</t>
  </si>
  <si>
    <t>Herramientas de Forjar</t>
  </si>
  <si>
    <t>Libros de recursos o actividades de economía</t>
  </si>
  <si>
    <t>Pasadores para uso quirúrgico</t>
  </si>
  <si>
    <t>Capas de examen para pacientes</t>
  </si>
  <si>
    <t>30171505</t>
  </si>
  <si>
    <t>Cinturones de seguridad del avión</t>
  </si>
  <si>
    <t>Acelerómetros</t>
  </si>
  <si>
    <t>Enoxaparina sódica</t>
  </si>
  <si>
    <t>Barras de plomo</t>
  </si>
  <si>
    <t>Aplicadores de ligantes de bandas o bandas o productos relacionados para uso quirúrgico</t>
  </si>
  <si>
    <t>Alfombras de nudos</t>
  </si>
  <si>
    <t>Unidades de bombeo de fracturación</t>
  </si>
  <si>
    <t>Ensambles de tubería con soldadura sónica de acero inoxidable</t>
  </si>
  <si>
    <t>Partes de afeitadoras o removedores de vello</t>
  </si>
  <si>
    <t>Sondas de drenaje de succión para uso quirúrgico</t>
  </si>
  <si>
    <t>Película radiológica para uso odontológico</t>
  </si>
  <si>
    <t>Servicios de cooperación política</t>
  </si>
  <si>
    <t>51111710</t>
  </si>
  <si>
    <t>Sistemas de identificación para administración o transfusión de sangre</t>
  </si>
  <si>
    <t>Peros</t>
  </si>
  <si>
    <t>Servicios de conservación o protección del suelo</t>
  </si>
  <si>
    <t>Forjaduras en estampa de impresión de metal precioso</t>
  </si>
  <si>
    <t>Kits o sets de atributos</t>
  </si>
  <si>
    <t>Estetoscopio de cabeza</t>
  </si>
  <si>
    <t>Porta tubos o llaves para uso quirúrgico</t>
  </si>
  <si>
    <t>51131501</t>
  </si>
  <si>
    <t>Zapatos para mujer</t>
  </si>
  <si>
    <t>Ensambles de placas soldadas con soldadura ultra violeta de latón</t>
  </si>
  <si>
    <t>Semillas de mijo</t>
  </si>
  <si>
    <t>Barra de remolque de avión</t>
  </si>
  <si>
    <t>Memoria rom programable borrable eléctricamente (eeprom)</t>
  </si>
  <si>
    <t>Parachoques para muelles</t>
  </si>
  <si>
    <t>Robots de pintura</t>
  </si>
  <si>
    <t>Ruedas para muebles</t>
  </si>
  <si>
    <t>Contadores</t>
  </si>
  <si>
    <t>Engranajes rectos</t>
  </si>
  <si>
    <t>Equipo para el esquilar o peluquear de animales</t>
  </si>
  <si>
    <t>Polimetilacrilato</t>
  </si>
  <si>
    <t>51102717</t>
  </si>
  <si>
    <t>Micro analizadores de rayos x</t>
  </si>
  <si>
    <t>EXCEPCIÓN - OBRAS CIENTÍFICAS, TÉCNICAS, ARTÍSTICAS, O RESTAURACIÓN  DE MONUMENTOS HISTÓRICOS</t>
  </si>
  <si>
    <t>Sistemas nucleónicos industriales de medida de polvo en el aire</t>
  </si>
  <si>
    <t>Botellas para terapia de calor o frío</t>
  </si>
  <si>
    <t>Diafragmas para endoscopia</t>
  </si>
  <si>
    <t>Tarjetas de patrones o actividades del tangram</t>
  </si>
  <si>
    <t>Espumas de poli éter</t>
  </si>
  <si>
    <t>Simuladores o dispositivos de aseguramiento de calidad o calibración de imágenes de resonancia magnética mri para uso médico</t>
  </si>
  <si>
    <t>Paletas de alfarería</t>
  </si>
  <si>
    <t>Reactivos o soluciones o tinturas para parasitología o micología</t>
  </si>
  <si>
    <t>Espejos para uso logopédico</t>
  </si>
  <si>
    <t>Juegos de plantillas de herramienta</t>
  </si>
  <si>
    <t>Tijeras para setos</t>
  </si>
  <si>
    <t>Servicios de control de la calidad ambiental</t>
  </si>
  <si>
    <t>31121904</t>
  </si>
  <si>
    <t>Servicios de evaluación de superficie de la fracturación del pozo</t>
  </si>
  <si>
    <t>Cámaras de seguridad</t>
  </si>
  <si>
    <t>Sombreros</t>
  </si>
  <si>
    <t>Sistemas de control de la estabilidad del vehículo</t>
  </si>
  <si>
    <t>Vigas de latón</t>
  </si>
  <si>
    <t>Servicios de verificación de presencia de aves</t>
  </si>
  <si>
    <t>Sopas o sudados preparados de repisa</t>
  </si>
  <si>
    <t>Mezclas de nitrógeno – fósforo – potasio – npk</t>
  </si>
  <si>
    <t>Postes de plástico</t>
  </si>
  <si>
    <t>Tiras extensoras</t>
  </si>
  <si>
    <t>Objetos maquinados de acero inoxidable fundidos en molde en concha</t>
  </si>
  <si>
    <t>Tela marquisette</t>
  </si>
  <si>
    <t>Casetes para instrumentos dentales</t>
  </si>
  <si>
    <t>Retractores para cirugía plástica</t>
  </si>
  <si>
    <t>La Ortega</t>
  </si>
  <si>
    <t>Dispositivos prostéticos para las extremidades inferiores</t>
  </si>
  <si>
    <t>Neumático para llantas de automóviles</t>
  </si>
  <si>
    <t>73152101</t>
  </si>
  <si>
    <t>Acónito</t>
  </si>
  <si>
    <t>Bridas reductoras</t>
  </si>
  <si>
    <t>Organizadores de cajones de escritorio</t>
  </si>
  <si>
    <t>52151905</t>
  </si>
  <si>
    <t>Ensambles de placas atornilladas de latón</t>
  </si>
  <si>
    <t>Cubos con el alfabeto</t>
  </si>
  <si>
    <t>Molduras por inyección de caucho</t>
  </si>
  <si>
    <t>Equipos de seguridad de evaluación de vulnerabilidad</t>
  </si>
  <si>
    <t>Materiales de enseñanza de la medición de sólidos o líquidos en la cocina</t>
  </si>
  <si>
    <t>Martillos o martillos quirúrgicos para reflejos</t>
  </si>
  <si>
    <t>Helicópteros de pasajeros</t>
  </si>
  <si>
    <t>Fenobarbital</t>
  </si>
  <si>
    <t>Kits de reparación de tubos endotraqueales o de traqueotomía</t>
  </si>
  <si>
    <t>Mordazas de presión de vías aéreas</t>
  </si>
  <si>
    <t>Servicios de reperforación o retrabajo</t>
  </si>
  <si>
    <t>Reubicación de personal</t>
  </si>
  <si>
    <t>Portadores de calor para uso odontológico</t>
  </si>
  <si>
    <t>Equipo central de radio</t>
  </si>
  <si>
    <t>Pistolas de etiquetado</t>
  </si>
  <si>
    <t>Remaches de corona</t>
  </si>
  <si>
    <t>Hato Viejo</t>
  </si>
  <si>
    <t>42222301</t>
  </si>
  <si>
    <t>Servicios de alquiler de cabañas</t>
  </si>
  <si>
    <t>Componentes de caucho maquinados por extrusión en frío</t>
  </si>
  <si>
    <t>Equipos de facoemulsificación o extrusión o accesorios para cirugía oftálmica</t>
  </si>
  <si>
    <t>51142304</t>
  </si>
  <si>
    <t>Poleas para bombas</t>
  </si>
  <si>
    <t>Kits o juegos del dinero</t>
  </si>
  <si>
    <t>Servicios de tratamiento de aguas negras</t>
  </si>
  <si>
    <t>Productos dermatológicos o anti protozoarios para uso veterinario</t>
  </si>
  <si>
    <t>Concentradores o hubs de servicio de red</t>
  </si>
  <si>
    <t>Articulos de escritorio 2</t>
  </si>
  <si>
    <t>Edetato disódico</t>
  </si>
  <si>
    <t>Escaleras mecánicas o cintas rodantes</t>
  </si>
  <si>
    <t>Textiles de algodón de tejido de pana</t>
  </si>
  <si>
    <t>Botones</t>
  </si>
  <si>
    <t>Media o revestimientos para yeso o tablillas</t>
  </si>
  <si>
    <t>Películas o brazaletes de radiación para uso médico</t>
  </si>
  <si>
    <t>Forros para tablas de brazo arterial o intravenoso</t>
  </si>
  <si>
    <t>Barras de tinta</t>
  </si>
  <si>
    <t>Carros de halar o empujar o accesorios para rehabilitación o terapia</t>
  </si>
  <si>
    <t>48101804</t>
  </si>
  <si>
    <t>Sujetadores de etiquetas</t>
  </si>
  <si>
    <t>Servicios de formación profesional en transporte por carretera o ferrocarril</t>
  </si>
  <si>
    <t>Servicios de fluidos de terminación del pozo</t>
  </si>
  <si>
    <t>Partes de repuesto para bombas de agua</t>
  </si>
  <si>
    <t>Ensambles de tubería con soldadura fuerte o débil no metálica</t>
  </si>
  <si>
    <t>Servicios asistenciales diurnos para  ancianos</t>
  </si>
  <si>
    <t>Servicios de control de agua del pozo</t>
  </si>
  <si>
    <t>Vehículos de lanzamiento líquido</t>
  </si>
  <si>
    <t>Monitores de integridad de bombeo</t>
  </si>
  <si>
    <t>Kits de correctores de fase o inyección de tinta</t>
  </si>
  <si>
    <t>Paquetes de prueba y accesorios de esterilización</t>
  </si>
  <si>
    <t>Glimepirida</t>
  </si>
  <si>
    <t>Plantillas para zapatos</t>
  </si>
  <si>
    <t>Detectores de llama</t>
  </si>
  <si>
    <t>Patrocinio de eventos o de celebridades</t>
  </si>
  <si>
    <t>Equipo de control de corrosión</t>
  </si>
  <si>
    <t>Unidades de vacío o suministros de laboratorio dental</t>
  </si>
  <si>
    <t>Partes de máquinas lavaplatos</t>
  </si>
  <si>
    <t>Parrillas de carbón para uso comercial</t>
  </si>
  <si>
    <t>Ensambles de barras soldadas con soldadura fuerte o débil de acero de aleación baja</t>
  </si>
  <si>
    <t>Objetos de fundición centrífuga de acero</t>
  </si>
  <si>
    <t>Santa Bárbara El 06</t>
  </si>
  <si>
    <t>Ensambles de tubos pegados de aleación hast x</t>
  </si>
  <si>
    <t>47101514</t>
  </si>
  <si>
    <t>Bandejas de procedimientos de imágenes para uso médico</t>
  </si>
  <si>
    <t>Componentes de zinc maquinados por extrusión hidrostática</t>
  </si>
  <si>
    <t>Epoetina alfa</t>
  </si>
  <si>
    <t>Maleato de dexclorfeniramina</t>
  </si>
  <si>
    <t>Filtros de monitoreo de función pulmonar</t>
  </si>
  <si>
    <t>Plataforma de juegos móvil o de mensajes</t>
  </si>
  <si>
    <t>Hornos al vacío</t>
  </si>
  <si>
    <t>Fuegos artificiales</t>
  </si>
  <si>
    <t>40101901</t>
  </si>
  <si>
    <t>Barrenas</t>
  </si>
  <si>
    <t>Servicios de recuperación aumentada del petróleo</t>
  </si>
  <si>
    <t>Limpiadores de propósito general</t>
  </si>
  <si>
    <t>Grapas para cables</t>
  </si>
  <si>
    <t>Bloques de atributos</t>
  </si>
  <si>
    <t>Administración de ingresos tributarios</t>
  </si>
  <si>
    <t>Partes o accesorios para sillas</t>
  </si>
  <si>
    <t>Tanques refrigerados</t>
  </si>
  <si>
    <t>12352104</t>
  </si>
  <si>
    <t>Sistemas de grabar sísmicos</t>
  </si>
  <si>
    <t>Servicios de fracturación del pozo con fluido a base de espuma</t>
  </si>
  <si>
    <t>Lámina de bronce</t>
  </si>
  <si>
    <t>Aleaciones de fundición de metal de base de uso odontológico</t>
  </si>
  <si>
    <t>Kits de juegos</t>
  </si>
  <si>
    <t>Cobre</t>
  </si>
  <si>
    <t>Forjas compuestas maquinadas por anillo enrollado</t>
  </si>
  <si>
    <t>Villa Bisonó (Navarrete)</t>
  </si>
  <si>
    <t>Cable-vías</t>
  </si>
  <si>
    <t>Servicios de control del ruido</t>
  </si>
  <si>
    <t>Semillas o plántulas de coliflor</t>
  </si>
  <si>
    <t>Enrutadores (routers) de red</t>
  </si>
  <si>
    <t>Ensambles de tubos atornillados de aluminio</t>
  </si>
  <si>
    <t>Pañuelos de papel libres de ácido</t>
  </si>
  <si>
    <t>Tinas o bañeras</t>
  </si>
  <si>
    <t>Calfactant</t>
  </si>
  <si>
    <t>Aditivos de control de hierro</t>
  </si>
  <si>
    <t>Dobladores de cartas</t>
  </si>
  <si>
    <t>Alcohol polivinilo</t>
  </si>
  <si>
    <t>Bares</t>
  </si>
  <si>
    <t>Interruptores de comunicación adaptativa para los discapacitados físicamente</t>
  </si>
  <si>
    <t>Forros para mesas de dibujo</t>
  </si>
  <si>
    <t>Puertos o tapas o protectores de entrada de espiga de tubos intravenosos</t>
  </si>
  <si>
    <t>Molinillos de diagnóstico para uso médico</t>
  </si>
  <si>
    <t>Ciclopiroxolamina</t>
  </si>
  <si>
    <t>Dispensador de bebidas no carbonatadas</t>
  </si>
  <si>
    <t>Semillas o plántulas de clavo de olor</t>
  </si>
  <si>
    <t>Centrales termoeléctricas</t>
  </si>
  <si>
    <t>Chupos de teteros</t>
  </si>
  <si>
    <t>Secadores de gel</t>
  </si>
  <si>
    <t>Pinzas</t>
  </si>
  <si>
    <t>Transmisiones hidrocinéticas</t>
  </si>
  <si>
    <t>Acetohexamida</t>
  </si>
  <si>
    <t>Túneles para patios de recreo</t>
  </si>
  <si>
    <t>Bromuro de propantelina</t>
  </si>
  <si>
    <t>Servicios de fabricación de equipo de elevación, elevación o transporte</t>
  </si>
  <si>
    <t>Kits o polimerasas de ácido desoxirribonucleico dna termoestable</t>
  </si>
  <si>
    <t>Software de arquitectura de sistemas y análisis de requerimientos</t>
  </si>
  <si>
    <t>Bombas de mortero</t>
  </si>
  <si>
    <t>Granadas</t>
  </si>
  <si>
    <t>Señales de advertencia de radiación</t>
  </si>
  <si>
    <t>Taladros de reacondicionamiento</t>
  </si>
  <si>
    <t>Bromhidrato de escopolamina</t>
  </si>
  <si>
    <t>Portaherramientas</t>
  </si>
  <si>
    <t>Objetos fundidos maquinados por proceso v de zinc</t>
  </si>
  <si>
    <t>Tiroides</t>
  </si>
  <si>
    <t>Perfiles de aleación ferrosa</t>
  </si>
  <si>
    <t>Estanterías para diccionarios</t>
  </si>
  <si>
    <t>Sensores de registrar datos de superficie</t>
  </si>
  <si>
    <t>Viajes en aviones fletados</t>
  </si>
  <si>
    <t>Materiales para tableros magnéticos</t>
  </si>
  <si>
    <t>Espectrómetros de masa</t>
  </si>
  <si>
    <t>Servicios de inhibición de la balanza de la matriz</t>
  </si>
  <si>
    <t>Kits de búsqueda y rescate para servicios médicos de emergencia</t>
  </si>
  <si>
    <t>Dentoscopios</t>
  </si>
  <si>
    <t>Vestidos de baño para bebé</t>
  </si>
  <si>
    <t>Vigas de plomo</t>
  </si>
  <si>
    <t>Moledoras de ciclón o vórtex</t>
  </si>
  <si>
    <t>Bolsas o contenedores para administración o transfusión de sangre</t>
  </si>
  <si>
    <t>Servicios de manejo integrado de plagas</t>
  </si>
  <si>
    <t>24121807</t>
  </si>
  <si>
    <t>Aceite de eucalipto o eucaliptol</t>
  </si>
  <si>
    <t>Objetos maquinados no metálicos fundidos en molde cerámico</t>
  </si>
  <si>
    <t>Metro</t>
  </si>
  <si>
    <t>Blocs o cuadernos de papel</t>
  </si>
  <si>
    <t>Suministro de fuel-oil</t>
  </si>
  <si>
    <t>Cloruro de magnesio</t>
  </si>
  <si>
    <t>Electrodos de ph</t>
  </si>
  <si>
    <t>Máquinas estampadoras de tiempo</t>
  </si>
  <si>
    <t>Vacíos de yeso</t>
  </si>
  <si>
    <t>Relleno de alginato de calcio para heridas</t>
  </si>
  <si>
    <t>Barras de pegante libres de ácido</t>
  </si>
  <si>
    <t>Servicios de estándares laborales internacionales</t>
  </si>
  <si>
    <t>Litotriptores o accesorios para uso quirúrgico</t>
  </si>
  <si>
    <t>Registro durante servicios de perforación</t>
  </si>
  <si>
    <t>Hilado de fibra de coco</t>
  </si>
  <si>
    <t>Extensores cardiovasculares</t>
  </si>
  <si>
    <t>Contenedores o tazones o barcos o papeles para pesar</t>
  </si>
  <si>
    <t>Forjas de zinc maquinadas por anillo enrollado</t>
  </si>
  <si>
    <t>Chapa de aleación no ferrosa</t>
  </si>
  <si>
    <t>40141702</t>
  </si>
  <si>
    <t>Ensambles de tubos remachados de cobre</t>
  </si>
  <si>
    <t>Fenilpropionato de nandrolona</t>
  </si>
  <si>
    <t>47131810</t>
  </si>
  <si>
    <t>Resina podofilina</t>
  </si>
  <si>
    <t>Tanques de asentamiento</t>
  </si>
  <si>
    <t>Gabinetes o muebles para instrumentos quirúrgicos</t>
  </si>
  <si>
    <t>Jorgillo</t>
  </si>
  <si>
    <t>Zoo</t>
  </si>
  <si>
    <t>Limpieza de carros o barcos</t>
  </si>
  <si>
    <t>Médula de madera</t>
  </si>
  <si>
    <t>Kits de transformación de levadura</t>
  </si>
  <si>
    <t>Servicios de primeros ministros</t>
  </si>
  <si>
    <t>Grúas de taller</t>
  </si>
  <si>
    <t>Bloques para patrones</t>
  </si>
  <si>
    <t>Actualizaciones de procesadores de señales</t>
  </si>
  <si>
    <t>Bloques de remolque sísmicos</t>
  </si>
  <si>
    <t>Hidróxidos inorgánicos</t>
  </si>
  <si>
    <t>Lámina de estaño</t>
  </si>
  <si>
    <t>Tiras indicadoras de esterilización</t>
  </si>
  <si>
    <t>Inyectores de agentes de contraste de tomografía informatizada (TAC o CT) médica</t>
  </si>
  <si>
    <t>Catalizadores de combustión</t>
  </si>
  <si>
    <t>Unidades de bombeo acidificante</t>
  </si>
  <si>
    <t>Composta de madera</t>
  </si>
  <si>
    <t>Analizadores de secuencia desoxirribonucleica</t>
  </si>
  <si>
    <t>Sillas de montar</t>
  </si>
  <si>
    <t>Software de servicios basados en ubicación para móviles</t>
  </si>
  <si>
    <t>Mesilato de trovafloxacina</t>
  </si>
  <si>
    <t>Clorhidrato de palonosetrón</t>
  </si>
  <si>
    <t>Servicios de operadores de eventos en estadios</t>
  </si>
  <si>
    <t>Componentes de titanio formados en torno</t>
  </si>
  <si>
    <t>Servicios de promoción de eventos deportivos</t>
  </si>
  <si>
    <t>Planchas de ropa para uso doméstico</t>
  </si>
  <si>
    <t>41111903</t>
  </si>
  <si>
    <t>Tela de sujeción</t>
  </si>
  <si>
    <t>Adaptadores de tubo</t>
  </si>
  <si>
    <t>Químicos de alimentación de calderas</t>
  </si>
  <si>
    <t>Gentamicina</t>
  </si>
  <si>
    <t>Abetos rojos (píceas)</t>
  </si>
  <si>
    <t>Servicios de herramienta para puntos de atascamiento</t>
  </si>
  <si>
    <t>Hidrometeorología</t>
  </si>
  <si>
    <t>Centrífugas de piso</t>
  </si>
  <si>
    <t>Componentes de plomo maquinados por extrusión en frío</t>
  </si>
  <si>
    <t>Actinio ac</t>
  </si>
  <si>
    <t>Aparatos de teñido histológico</t>
  </si>
  <si>
    <t>Demecario bromuro</t>
  </si>
  <si>
    <t>Maíz para forraje</t>
  </si>
  <si>
    <t>Revestimiento de aislamiento no térmico</t>
  </si>
  <si>
    <t>Servicios legales de quiebra</t>
  </si>
  <si>
    <t>Folitropina</t>
  </si>
  <si>
    <t>Boquillas de estabilización</t>
  </si>
  <si>
    <t>Evaluación económica o financiera de proyectos</t>
  </si>
  <si>
    <t>Ácido mefenámico</t>
  </si>
  <si>
    <t>Subs de perforación</t>
  </si>
  <si>
    <t>Sondas o directores para uso quirúrgico</t>
  </si>
  <si>
    <t>Azua</t>
  </si>
  <si>
    <t>Película de dibujo</t>
  </si>
  <si>
    <t>Placas de matrícula de tráiler</t>
  </si>
  <si>
    <t>Sucralfato</t>
  </si>
  <si>
    <t>Servicios de entrega postal nacional</t>
  </si>
  <si>
    <t>Herramientas de escariado</t>
  </si>
  <si>
    <t>Servicios de producción de biomasa</t>
  </si>
  <si>
    <t>Té instantáneo</t>
  </si>
  <si>
    <t>Ensambles de tubería soldada de solvente de aluminio</t>
  </si>
  <si>
    <t>Línea de preparación de muestras</t>
  </si>
  <si>
    <t>Varillas de bronce</t>
  </si>
  <si>
    <t>Tablero para presentaciones</t>
  </si>
  <si>
    <t>Iniciadores explosivos</t>
  </si>
  <si>
    <t>Brocas de buriladora</t>
  </si>
  <si>
    <t>Gatifloxacina</t>
  </si>
  <si>
    <t>Máquinas de curado</t>
  </si>
  <si>
    <t>Diodos solares</t>
  </si>
  <si>
    <t>Deporte y recreación</t>
  </si>
  <si>
    <t>Aparatos de intercambio de iones</t>
  </si>
  <si>
    <t>Compuestos de recubrimiento para modelos dentales</t>
  </si>
  <si>
    <t>Servicios de evaluación de impacto ambiental (eia)</t>
  </si>
  <si>
    <t>Textiles de techado</t>
  </si>
  <si>
    <t>Analizadores de óxido de nitrógeno</t>
  </si>
  <si>
    <t>Básculas de bebés</t>
  </si>
  <si>
    <t>Pilares de acero</t>
  </si>
  <si>
    <t>Esculturas de mylar</t>
  </si>
  <si>
    <t>Viveres 4</t>
  </si>
  <si>
    <t>Equipo o piezas y pantallas de separación centrífuga</t>
  </si>
  <si>
    <t>Alambre subterráneo</t>
  </si>
  <si>
    <t>Piezas manuales o accesorios para uso odontológico</t>
  </si>
  <si>
    <t>Accesorios de cuentas</t>
  </si>
  <si>
    <t>Limpiador automático de piscinas</t>
  </si>
  <si>
    <t>Sellos de diafragma</t>
  </si>
  <si>
    <t>Agentes anti – espuma</t>
  </si>
  <si>
    <t>Básculas de piso para pacientes</t>
  </si>
  <si>
    <t>Pancreatina</t>
  </si>
  <si>
    <t>Oclusores de ojos</t>
  </si>
  <si>
    <t>Componentes de zinc maquinados por extrusión en caliente</t>
  </si>
  <si>
    <t>Adaptadores de lentes para cámaras</t>
  </si>
  <si>
    <t>Bendroflumetiazida</t>
  </si>
  <si>
    <t>Dispensadores de goma o repuestos</t>
  </si>
  <si>
    <t>Compuestos halogenados orgánicos</t>
  </si>
  <si>
    <t>Sistemas de descontaminación para recintos radiactivos</t>
  </si>
  <si>
    <t>Trituradores o partidores de píldoras para los discapacitados físicamente</t>
  </si>
  <si>
    <t>Ensambles de tubería pegada de aluminio</t>
  </si>
  <si>
    <t>Sabana Buey</t>
  </si>
  <si>
    <t>Ensambles de barras remachadas de cobre</t>
  </si>
  <si>
    <t>Certificados basados en la biblia</t>
  </si>
  <si>
    <t>Objetos maquinados en molde permanente de plomo fundidos</t>
  </si>
  <si>
    <t>Conectores de tubos metálicos eléctricos (emt)</t>
  </si>
  <si>
    <t>Servicios de curanderos</t>
  </si>
  <si>
    <t>Alfombras de penachos</t>
  </si>
  <si>
    <t>Prensas de caucho o plástico</t>
  </si>
  <si>
    <t>Monitores de saturación de oxígeno o hematocritos de perfusión o accesorios</t>
  </si>
  <si>
    <t>51141513</t>
  </si>
  <si>
    <t>Clorhidrato de difenoxina</t>
  </si>
  <si>
    <t>Servicios de fresado</t>
  </si>
  <si>
    <t>Equipo de huellas dactilares</t>
  </si>
  <si>
    <t>Desarrolladores de software de tecnologías de la información permanentes</t>
  </si>
  <si>
    <t>Sierra cero</t>
  </si>
  <si>
    <t>Sistemas paquete de gravilla</t>
  </si>
  <si>
    <t>Arroyo Dulce</t>
  </si>
  <si>
    <t>Bolsas plásticas</t>
  </si>
  <si>
    <t>Servicios de análisis de testigos ("Core analysis service ")</t>
  </si>
  <si>
    <t>Máquinas de prensa de identificación id</t>
  </si>
  <si>
    <t>equipos de seguridad 3</t>
  </si>
  <si>
    <t>Marcos de secciones de metal</t>
  </si>
  <si>
    <t>Impuesto sobre las ventas</t>
  </si>
  <si>
    <t>Placas de montaje</t>
  </si>
  <si>
    <t>Ensambles de tubos pegados de acero de aleación baja</t>
  </si>
  <si>
    <t>Sistemas de mensajes de micro pagos</t>
  </si>
  <si>
    <t>Etiquetas para latas o botellas</t>
  </si>
  <si>
    <t>Aparatos de cultivo continuo</t>
  </si>
  <si>
    <t>Rollos o tiras de frases</t>
  </si>
  <si>
    <t>Componentes de caucho maquinados por extrusión en caliente</t>
  </si>
  <si>
    <t>Escobas absorbentes</t>
  </si>
  <si>
    <t>Abridores de puertas</t>
  </si>
  <si>
    <t>Clorhidrato de fexofenadina</t>
  </si>
  <si>
    <t>Bombas de tuerca</t>
  </si>
  <si>
    <t>Diseño de aviónica</t>
  </si>
  <si>
    <t>Clorhidrato de trazodona</t>
  </si>
  <si>
    <t>Elevadores multi etapa</t>
  </si>
  <si>
    <t>INSUMOS IMAGENES 3</t>
  </si>
  <si>
    <t>Mesas de examen obstétrico o ginecológico</t>
  </si>
  <si>
    <t>Cajas instaladas rígidas</t>
  </si>
  <si>
    <t>Objetos fundidos maquinados con troquel de titanio</t>
  </si>
  <si>
    <t>Cajas registradoras</t>
  </si>
  <si>
    <t>Bálsamos</t>
  </si>
  <si>
    <t>Servicios de control de arena en el fluido de terminación</t>
  </si>
  <si>
    <t>Servicios de perforación de pozos</t>
  </si>
  <si>
    <t>Tela de cinta</t>
  </si>
  <si>
    <t>Administración de la flota pesquera</t>
  </si>
  <si>
    <t>Santa Bárbara de Samaná</t>
  </si>
  <si>
    <t>Edredones</t>
  </si>
  <si>
    <t>Etiquetas para paquetes</t>
  </si>
  <si>
    <t xml:space="preserve">Capítulo </t>
  </si>
  <si>
    <t>Alambre de poliamida</t>
  </si>
  <si>
    <t>Tornillos de banco</t>
  </si>
  <si>
    <t>Uniformes de paramédicos</t>
  </si>
  <si>
    <t>Terconazol</t>
  </si>
  <si>
    <t>Pantallas de monitor para electrocardiografía ekg</t>
  </si>
  <si>
    <t>Bacitracina zinc</t>
  </si>
  <si>
    <t>Ensambles estructurales con soldadura sónica de acero inoxidable</t>
  </si>
  <si>
    <t>Motores hidráulicos</t>
  </si>
  <si>
    <t>Embudos para laboratorio</t>
  </si>
  <si>
    <t>Barra de desplazamiento</t>
  </si>
  <si>
    <t>Servicios geriátricos</t>
  </si>
  <si>
    <t>Plataformas flotantes de brazo de tensión de producción costa afuera</t>
  </si>
  <si>
    <t>Rieles de acero</t>
  </si>
  <si>
    <t>Puertos de infusión implantables o accesorios</t>
  </si>
  <si>
    <t>Cabinas para restaurantes</t>
  </si>
  <si>
    <t>Banda de plástico</t>
  </si>
  <si>
    <t>Hojas de transferencia</t>
  </si>
  <si>
    <t>Cabos de amarre de seguridad</t>
  </si>
  <si>
    <t>Hebra de poliéster</t>
  </si>
  <si>
    <t>MEDICAMENTOS HIPOCALCEMIA, HIPOFOSFASTEMIA, HIPOGLICEMIANTE Y SUPLEMENTO PROTEICA</t>
  </si>
  <si>
    <t>Hilado de pelo animal</t>
  </si>
  <si>
    <t>Para la contratación de servios o eventos</t>
  </si>
  <si>
    <t>Modelos humanos anatómicos para educación o entrenamiento médico</t>
  </si>
  <si>
    <t>Cortadores de cañerías o tubos</t>
  </si>
  <si>
    <t>Programas de erradicación del hambre</t>
  </si>
  <si>
    <t>Conductores de aserrín</t>
  </si>
  <si>
    <t>Revestimientos o cintas calentadoras</t>
  </si>
  <si>
    <t>Estribos</t>
  </si>
  <si>
    <t>Moledoras de café para uso doméstico</t>
  </si>
  <si>
    <t>Lutecio lu</t>
  </si>
  <si>
    <t>Bandejas o accesorios de flebotomía</t>
  </si>
  <si>
    <t>Servicio de vapor del campo petrolero</t>
  </si>
  <si>
    <t>Reductores de tubería</t>
  </si>
  <si>
    <t>Llave manual en t para grifos</t>
  </si>
  <si>
    <t>42281704</t>
  </si>
  <si>
    <t>Sellos del alfabeto</t>
  </si>
  <si>
    <t>Servicios de géneros telas no tejidas</t>
  </si>
  <si>
    <t>Ensambles de barras atornilladas no metálica</t>
  </si>
  <si>
    <t>Mapas históricos</t>
  </si>
  <si>
    <t>Vigas de concreto</t>
  </si>
  <si>
    <t>Generadores diesel</t>
  </si>
  <si>
    <t>Torio th</t>
  </si>
  <si>
    <t>Tubería de aleación de níquel alto</t>
  </si>
  <si>
    <t>Cristales de vidrio</t>
  </si>
  <si>
    <t>Compra de Acabados y Textiles Para uso del INCArt</t>
  </si>
  <si>
    <t>Congeladores criogénicos o de nitrógeno líquido</t>
  </si>
  <si>
    <t>Lámpara detectora de haluro</t>
  </si>
  <si>
    <t xml:space="preserve">MEJORAR LA PLANTA FÍSICA PARA LA CREACIÓN DE PROYECTOS DE INFRAESTRUCTURA CON EL FIN DE MEJORAR Y OFRECER NUEVOS SERVICIOS A NUESTROS USUARIOS. </t>
  </si>
  <si>
    <t>Metiltestosterona</t>
  </si>
  <si>
    <t>Forjas de latón maquinadas con troquel abierto</t>
  </si>
  <si>
    <t>42311902</t>
  </si>
  <si>
    <t>Servicios legales sobre derecho laboral</t>
  </si>
  <si>
    <t>Sets de instrumentos quirúrgicos torácicos o cardiovasculares</t>
  </si>
  <si>
    <t>Bombas de diafragma</t>
  </si>
  <si>
    <t>Equipo para escalar muros</t>
  </si>
  <si>
    <t>Uranio enriquecido</t>
  </si>
  <si>
    <t>YUMA</t>
  </si>
  <si>
    <t>Equipo para manejo de tubería</t>
  </si>
  <si>
    <t>Servicios de gestión  de datos de registro del campo petrolero</t>
  </si>
  <si>
    <t>Accesorios de copiado o escaneado</t>
  </si>
  <si>
    <t>Equipo de apuntalamiento</t>
  </si>
  <si>
    <t>Componentes o accesorios de procesadores de micro filmado</t>
  </si>
  <si>
    <t>Componentes de aluminio maquinados por extrusión en caliente</t>
  </si>
  <si>
    <t>Financiación de vivienda</t>
  </si>
  <si>
    <t>Docena</t>
  </si>
  <si>
    <t>Pistola de disparo de alta densidad</t>
  </si>
  <si>
    <t>Sulfato  de cefpiroma</t>
  </si>
  <si>
    <t>Hilos o cables de conexión</t>
  </si>
  <si>
    <t>Lactato de haloperidol</t>
  </si>
  <si>
    <t>Máquinas lavadoras para laboratorio</t>
  </si>
  <si>
    <t>Objetos fundidos maquinados por proceso v de magnesio</t>
  </si>
  <si>
    <t>Enchufe de línea de cable de recuperación</t>
  </si>
  <si>
    <t>Polibutadieno br</t>
  </si>
  <si>
    <t>Kit o soluciones de prueba de agua</t>
  </si>
  <si>
    <t>Recipientes de monedas para teléfonos de pago</t>
  </si>
  <si>
    <t>Pelotas de racquet</t>
  </si>
  <si>
    <t>Núcleo de panal de zinc</t>
  </si>
  <si>
    <t>Agujas de irrigación</t>
  </si>
  <si>
    <t>Jumbos neumáticos de desarrollo horizontal</t>
  </si>
  <si>
    <t>Mordaza estacionaria</t>
  </si>
  <si>
    <t>Servicios de forja de  hierro o acero</t>
  </si>
  <si>
    <t>Peinillas o tiras de encuadernación</t>
  </si>
  <si>
    <t>PARA USO DE PACIENTES DEL INCART</t>
  </si>
  <si>
    <t>Unidades de estimulación nerviosa eléctrica transcutánea</t>
  </si>
  <si>
    <t>Espejos de otolaringología o accesorios para uso quirúrgico</t>
  </si>
  <si>
    <t>Forros para colchones</t>
  </si>
  <si>
    <t>52151807</t>
  </si>
  <si>
    <t>Hebra de resina impregnada</t>
  </si>
  <si>
    <t>48101505</t>
  </si>
  <si>
    <t>Forjaduras en estampa de impresión de aluminio</t>
  </si>
  <si>
    <t>Software de seguridad de transacciones y de protección contra virus</t>
  </si>
  <si>
    <t>Moledoras de alimentos para uso comercial</t>
  </si>
  <si>
    <t>Catres para niños</t>
  </si>
  <si>
    <t>Escariadores</t>
  </si>
  <si>
    <t>Medidores de radio de lentes de contacto</t>
  </si>
  <si>
    <t>Servicios de visas o de documentos complementarios</t>
  </si>
  <si>
    <t>Huelgos</t>
  </si>
  <si>
    <t>Cinta doble faz</t>
  </si>
  <si>
    <t>Aminoácidos o sus derivados</t>
  </si>
  <si>
    <t>Hilado de cáñamo</t>
  </si>
  <si>
    <t>Objetos maquinados de hierro fundidos en molde de grafito</t>
  </si>
  <si>
    <t>Alfombras</t>
  </si>
  <si>
    <t>Mezcladores de laboratorio</t>
  </si>
  <si>
    <t>Impresora de transferencia térmica para aplicaciones de impresión comercial</t>
  </si>
  <si>
    <t>Tazones o equipo para alimentación de mascotas</t>
  </si>
  <si>
    <t>Escudos anti motines</t>
  </si>
  <si>
    <t>Tubos de ondas progresivas</t>
  </si>
  <si>
    <t>Lámina de plástico</t>
  </si>
  <si>
    <t>Servicios de firma o adhesión o rectificación de tratados</t>
  </si>
  <si>
    <t>Papel en formas continuas</t>
  </si>
  <si>
    <t>Raquetas de bádminton</t>
  </si>
  <si>
    <t>Corta uñas de bajo grado</t>
  </si>
  <si>
    <t>Raspadores abiertos</t>
  </si>
  <si>
    <t>Casas móviles</t>
  </si>
  <si>
    <t>30111602</t>
  </si>
  <si>
    <t>Alambre de latón</t>
  </si>
  <si>
    <t>Bobina de cobre</t>
  </si>
  <si>
    <t>Caucho vulcanizado</t>
  </si>
  <si>
    <t>Moldes de termoformar</t>
  </si>
  <si>
    <t>27111508</t>
  </si>
  <si>
    <t>Retractores de oído</t>
  </si>
  <si>
    <t>Máquinas para sellar correspondencia</t>
  </si>
  <si>
    <t>Accesorios de presión para vías aéreas positivas de doble nivel bi pap</t>
  </si>
  <si>
    <t>Carpas</t>
  </si>
  <si>
    <t>Vidrio con plomo</t>
  </si>
  <si>
    <t>Calamina</t>
  </si>
  <si>
    <t>Soportes miradores para pruebas de agudeza visual</t>
  </si>
  <si>
    <t>Clorhidrato de procainamida</t>
  </si>
  <si>
    <t>Jarros o accesorios anaeróbicos</t>
  </si>
  <si>
    <t>Herramientas de vaya con el diablo de cable de recuperación</t>
  </si>
  <si>
    <t>Trimetazidina</t>
  </si>
  <si>
    <t>Ensambles estructurales con soldadura sónica no metálica</t>
  </si>
  <si>
    <t>Desarrollo de estándares de producción</t>
  </si>
  <si>
    <t>Kits aspiradores o resucitadores para emergencias</t>
  </si>
  <si>
    <t>Dispositivos de asistencia ventricular</t>
  </si>
  <si>
    <t>Herramientas direccionales de cable de recuperación</t>
  </si>
  <si>
    <t>Nitrito de amilo</t>
  </si>
  <si>
    <t>Instalaciones para el tratamiento de residuos radiactivos</t>
  </si>
  <si>
    <t>Evaluación de la contaminación por fertilizantes orgánicos</t>
  </si>
  <si>
    <t>Tablas de protección de base</t>
  </si>
  <si>
    <t>Sillas para visitantes</t>
  </si>
  <si>
    <t>Discos con fracciones</t>
  </si>
  <si>
    <t>Componentes de aleaciones no ferrosas perforados</t>
  </si>
  <si>
    <t>Bloques móviles</t>
  </si>
  <si>
    <t>Componentes de cobre maquinados por extrusión en caliente</t>
  </si>
  <si>
    <t>Sosúa</t>
  </si>
  <si>
    <t>Limpiaparabrisas para locomotoras</t>
  </si>
  <si>
    <t>Biombos (mamparas) para sistemas de paneles</t>
  </si>
  <si>
    <t>Componentes de aleación no ferrosa hidroformados</t>
  </si>
  <si>
    <t>Antisépticos fenólicos</t>
  </si>
  <si>
    <t>Estuches para diapasones para uso médico</t>
  </si>
  <si>
    <t>46171514</t>
  </si>
  <si>
    <t>Colgadores o sus accesorios para películas de rayos x</t>
  </si>
  <si>
    <t>Cistoscopios</t>
  </si>
  <si>
    <t>Viveres 3</t>
  </si>
  <si>
    <t>Fibras vegetales</t>
  </si>
  <si>
    <t>Protección de mangas para personal médico</t>
  </si>
  <si>
    <t>Maquinaria de tamizado</t>
  </si>
  <si>
    <t>Figuras o cuerdas decorativas</t>
  </si>
  <si>
    <t>Ponqués pasteles o biscochos frescos</t>
  </si>
  <si>
    <t>Equipo radiográfico</t>
  </si>
  <si>
    <t>Villa Hermosa</t>
  </si>
  <si>
    <t>Station wagons</t>
  </si>
  <si>
    <t>Escritura de textos publicitarios</t>
  </si>
  <si>
    <t>Fórmulas de suplementos específicos para enfermedades de adultos</t>
  </si>
  <si>
    <t>Carbón de leña o vegetal</t>
  </si>
  <si>
    <t>Ensambles de tubería soldada de solvente de acero de aleación baja</t>
  </si>
  <si>
    <t>Las Terrenas</t>
  </si>
  <si>
    <t>Flurbiprofeno</t>
  </si>
  <si>
    <t>Misiles antimisiles</t>
  </si>
  <si>
    <t>Gabinetes para portaobjetos para microscopios</t>
  </si>
  <si>
    <t>Magnesita</t>
  </si>
  <si>
    <t>Servicios de medición o instrumentos de pozo</t>
  </si>
  <si>
    <t>KM</t>
  </si>
  <si>
    <t>MM</t>
  </si>
  <si>
    <t>Reactivos analizadores de amino ácidos</t>
  </si>
  <si>
    <t>Pipetas pasteur o de transferencia</t>
  </si>
  <si>
    <t>Bombas para pozos</t>
  </si>
  <si>
    <t>Kits de accesorios o suministros para máquinas de escribir</t>
  </si>
  <si>
    <t>Cinta pegante libre de ácido</t>
  </si>
  <si>
    <t>Servicios de diseño de la tareas de estimulación de la matriz</t>
  </si>
  <si>
    <t>Compuestos en placa labrada</t>
  </si>
  <si>
    <t>Vías férreas</t>
  </si>
  <si>
    <t>Pastas o kits de prevención dental</t>
  </si>
  <si>
    <t>Hilado de papel</t>
  </si>
  <si>
    <t>Matrices o sets para uso odontológico</t>
  </si>
  <si>
    <t>Incubadoras o polleras para aves de corral</t>
  </si>
  <si>
    <t>Servicios de normalización</t>
  </si>
  <si>
    <t>Servicios de gestión de levantamiento de planos  del pozo</t>
  </si>
  <si>
    <t>USO GENERAL INCART</t>
  </si>
  <si>
    <t>Francio fm</t>
  </si>
  <si>
    <t>El Yaque</t>
  </si>
  <si>
    <t>Excavadoras para uso quirúrgico</t>
  </si>
  <si>
    <t>Lámparas halógenas</t>
  </si>
  <si>
    <t>Accesorio para instrumentos de percusión</t>
  </si>
  <si>
    <t>Oprelvekina</t>
  </si>
  <si>
    <t>Fluido de soldadura</t>
  </si>
  <si>
    <t>Motores de cohetes de propulsante líquido</t>
  </si>
  <si>
    <t>Cinta para empaquetar</t>
  </si>
  <si>
    <t>Almohadillas de rodamiento</t>
  </si>
  <si>
    <t>Ensambles de tubería atornillada de titanio</t>
  </si>
  <si>
    <t>Simuladores galvánicos o farádicos</t>
  </si>
  <si>
    <t>Ensambles de tubos remachados de inconel</t>
  </si>
  <si>
    <t>Servicios de reparación, mantenimiento o reparación de aire acondicionado</t>
  </si>
  <si>
    <t>Iluminadores para microscopios</t>
  </si>
  <si>
    <t>Clorhidrato levamisol</t>
  </si>
  <si>
    <t>Incubadoras de cámara dual de dióxido de carbono de pared seca</t>
  </si>
  <si>
    <t>Agentes niveladores</t>
  </si>
  <si>
    <t>Seguros de daños personales por accidente</t>
  </si>
  <si>
    <t>Artillería motorizada</t>
  </si>
  <si>
    <t>15121502</t>
  </si>
  <si>
    <t>Logística</t>
  </si>
  <si>
    <t>Materiales de enseñanza de prevención de la violencia o de educación para la evasión de la violencia</t>
  </si>
  <si>
    <t>Implantes ortopédicos o alambres quirúrgicos</t>
  </si>
  <si>
    <t>Tapones o tapas</t>
  </si>
  <si>
    <t>Asistencia de oficina o administrativa temporal</t>
  </si>
  <si>
    <t>Separadores de cheques</t>
  </si>
  <si>
    <t>Ensambles de láminas atornilladas no metálica</t>
  </si>
  <si>
    <t>Sulfato de mefentermina</t>
  </si>
  <si>
    <t>Bitartrato de hidrocodona</t>
  </si>
  <si>
    <t>La Isabela</t>
  </si>
  <si>
    <t>Servicios de escritores de artículos</t>
  </si>
  <si>
    <t>Kits intravenosos iv para servicios médicos de emergencia</t>
  </si>
  <si>
    <t>Papel para artes o artesanías</t>
  </si>
  <si>
    <t>Carnalita</t>
  </si>
  <si>
    <t>Probadores de cintas</t>
  </si>
  <si>
    <t>Esponjas para endoscopia</t>
  </si>
  <si>
    <t>Ensambles de tubería soldada con ultra violeta de aleación hast x</t>
  </si>
  <si>
    <t>Sendero de bicicletas</t>
  </si>
  <si>
    <t>46181704</t>
  </si>
  <si>
    <t>Éter de polivinilo</t>
  </si>
  <si>
    <t>Corta costuras</t>
  </si>
  <si>
    <t>Máquinas de moldeo por inyección</t>
  </si>
  <si>
    <t>Cajas musicales o mecanismos</t>
  </si>
  <si>
    <t>Herramientas para poner anclajes</t>
  </si>
  <si>
    <t>Reacondicionadores de punta de soldadura o accesorios</t>
  </si>
  <si>
    <t>Resectoscopios</t>
  </si>
  <si>
    <t>Resina acrílica estireno acrilonitrilo</t>
  </si>
  <si>
    <t>Máquinas de remos</t>
  </si>
  <si>
    <t>Escenarios pequeños (por ejemplo para un coro)</t>
  </si>
  <si>
    <t>Servidores de computador de gama alta</t>
  </si>
  <si>
    <t>Componentes de zinc maquinados por extrusión de impacto</t>
  </si>
  <si>
    <t>Corteza</t>
  </si>
  <si>
    <t>Lámina de acero</t>
  </si>
  <si>
    <t>Ácido desoxirribonucleico dna fágico o viral</t>
  </si>
  <si>
    <t>Maza para pastelería congelada</t>
  </si>
  <si>
    <t>Frutas y vegetales 3</t>
  </si>
  <si>
    <t>Servicios de equipo de la cabeza del pozo</t>
  </si>
  <si>
    <t>Flautas musicales</t>
  </si>
  <si>
    <t>Señales de madera</t>
  </si>
  <si>
    <t>Bandas para sujetar el espejo a la frente o accesorios para exámenes médicos</t>
  </si>
  <si>
    <t>Bandas de resistencia</t>
  </si>
  <si>
    <t>Postes de madera</t>
  </si>
  <si>
    <t>Estabilizadores para uso quirúrgico</t>
  </si>
  <si>
    <t>Coulómetros</t>
  </si>
  <si>
    <t>Embrague centrífugo</t>
  </si>
  <si>
    <t>Minoxidil</t>
  </si>
  <si>
    <t>Impuesto municipal sobre la renta</t>
  </si>
  <si>
    <t>Plata</t>
  </si>
  <si>
    <t>Mesas rotatorias</t>
  </si>
  <si>
    <t>Forjaduras en estampa abierta de titanio</t>
  </si>
  <si>
    <t>Cabezales de inyector de tubería flexible</t>
  </si>
  <si>
    <t>Atomizadores</t>
  </si>
  <si>
    <t>Válvulas de diafragma</t>
  </si>
  <si>
    <t>Máquinas para abrevar animales</t>
  </si>
  <si>
    <t>Plomadas</t>
  </si>
  <si>
    <t>Viscosímetros</t>
  </si>
  <si>
    <t>Materiales de enseñanza de habilidades para la vida en familia o para el establecimiento de relaciones</t>
  </si>
  <si>
    <t>Movimientos de oposición</t>
  </si>
  <si>
    <t>Fenolftaleína</t>
  </si>
  <si>
    <t>56101519</t>
  </si>
  <si>
    <t>Distribuidor automático de llamadas acd</t>
  </si>
  <si>
    <t>Martillos de poder</t>
  </si>
  <si>
    <t>Kits para el entrenamiento de mascotas domésticas</t>
  </si>
  <si>
    <t>Equipos de armas y tácticas especiales swat o equipos antidisturbios</t>
  </si>
  <si>
    <t>Isoflurano</t>
  </si>
  <si>
    <t>Las Guáranas</t>
  </si>
  <si>
    <t>49101705</t>
  </si>
  <si>
    <t>Calentadores de línea eléctrica</t>
  </si>
  <si>
    <t>Aparatos para observar la temperatura o humedad en la superficie</t>
  </si>
  <si>
    <t>Servicio de pruebas del superficie de la varilla de barrena</t>
  </si>
  <si>
    <t xml:space="preserve">PLAN ANUAL DE COMPRAS Y CONTRATACIONES 
</t>
  </si>
  <si>
    <t>Moldes para hornear para uso doméstico</t>
  </si>
  <si>
    <t>Ventanas o pantallas iluminadoras de película de rayos x para uso médico</t>
  </si>
  <si>
    <t>Centros de actividades para catres para niños</t>
  </si>
  <si>
    <t>Tapa de tambor</t>
  </si>
  <si>
    <t>Cajoneras o estanterías no modulares</t>
  </si>
  <si>
    <t>Kits de extracción de gel o limpiadores de ácido desoxirribonucleico dna</t>
  </si>
  <si>
    <t>Combinación de especímenes y organismos</t>
  </si>
  <si>
    <t>53131624</t>
  </si>
  <si>
    <t>Pasadores del eyector</t>
  </si>
  <si>
    <t>Conectores de tubo</t>
  </si>
  <si>
    <t>Componentes de cobre estampados</t>
  </si>
  <si>
    <t>Servicios de perforación mediante tubería flexible contínua</t>
  </si>
  <si>
    <t>Suministros de película de micro filmado</t>
  </si>
  <si>
    <t>San Fco. de Macorís</t>
  </si>
  <si>
    <t>Inductores o reguladores</t>
  </si>
  <si>
    <t>Moldes de incrustación</t>
  </si>
  <si>
    <t>Vagones de carga</t>
  </si>
  <si>
    <t>Semillas o plántulas de pepino cohombro</t>
  </si>
  <si>
    <t>27112105</t>
  </si>
  <si>
    <t>Inmovilizadores de cabeza para servicios médicos de emergencia</t>
  </si>
  <si>
    <t>Guantes de golf</t>
  </si>
  <si>
    <t>500UD</t>
  </si>
  <si>
    <t>Analizadores de gas en la sangre</t>
  </si>
  <si>
    <t>Materiales de enseñanza de habilidades para la costura</t>
  </si>
  <si>
    <t>Servicios de adquisición sísmica de tierra cuatro dimensional</t>
  </si>
  <si>
    <t>Muebles de avión</t>
  </si>
  <si>
    <t>Pimecrolimus</t>
  </si>
  <si>
    <t>Bandejas de impresión a doble cara</t>
  </si>
  <si>
    <t>Placas o láminas de plata</t>
  </si>
  <si>
    <t>Sabaneta</t>
  </si>
  <si>
    <t>Carretas</t>
  </si>
  <si>
    <t>Servicios de investigación agrícola</t>
  </si>
  <si>
    <t>Instalaciones para banquetes</t>
  </si>
  <si>
    <t>Partes o accesorios industriales</t>
  </si>
  <si>
    <t>Cubiertos de asientos de sanitario</t>
  </si>
  <si>
    <t>Abridores de canecas</t>
  </si>
  <si>
    <t>Hemofiltro</t>
  </si>
  <si>
    <t>Atropina</t>
  </si>
  <si>
    <t>Aparatos para probar arena</t>
  </si>
  <si>
    <t>Tolvas no metálicas</t>
  </si>
  <si>
    <t>Brea</t>
  </si>
  <si>
    <t>Núcleo de panal de plomo</t>
  </si>
  <si>
    <t>Dobladoras de tubos</t>
  </si>
  <si>
    <t>Software de sistemas de manejo de base datos</t>
  </si>
  <si>
    <t>Cloruro de succinilcolina</t>
  </si>
  <si>
    <t>Marcadores de cuantificación de ácido desoxirribonucleico dna</t>
  </si>
  <si>
    <t>Ganado vacuno</t>
  </si>
  <si>
    <t>Accesorios de soporte de televisiones</t>
  </si>
  <si>
    <t>Funda de catéter cardiovascular</t>
  </si>
  <si>
    <t>Juntas obturadoras textiles</t>
  </si>
  <si>
    <t>Losas o baldosas de cerámica</t>
  </si>
  <si>
    <t>Servicios de descontaminación radiactiva</t>
  </si>
  <si>
    <t>Servicios de salvavidas para piscina o playa</t>
  </si>
  <si>
    <t>Clorhidrato de sibutramina monohidratada</t>
  </si>
  <si>
    <t>Libros religiosos</t>
  </si>
  <si>
    <t>Calibradores de tapones o accesorios</t>
  </si>
  <si>
    <t>Ensambles de tubos soldados con soldadura sónica de aleación wasp</t>
  </si>
  <si>
    <t>Pilones y morteros</t>
  </si>
  <si>
    <t>Centro de servicio de mensajes cortos</t>
  </si>
  <si>
    <t>Acero inoxidable en placa labrada</t>
  </si>
  <si>
    <t>Ventiladores de transporte</t>
  </si>
  <si>
    <t>Componentes de aluminio maquinados por extrusión de impacto</t>
  </si>
  <si>
    <t>Tablas quirúrgicas para uso veterinario</t>
  </si>
  <si>
    <t>Salsas o condimentos o cremas de untar o marinados</t>
  </si>
  <si>
    <t>Piezas de hierro fundidas por moldeo en cáscara</t>
  </si>
  <si>
    <t>Programas de sanidad</t>
  </si>
  <si>
    <t>Caolín y pectina</t>
  </si>
  <si>
    <t>Maquinaria de triturado</t>
  </si>
  <si>
    <t>Alatrofloxacina</t>
  </si>
  <si>
    <t>Objetos maquinados centrifugados de estaño fundidos</t>
  </si>
  <si>
    <t>Joba Arriba</t>
  </si>
  <si>
    <t>Valles de techo</t>
  </si>
  <si>
    <t>Ensambles de láminas atornilladas de acero inoxidable</t>
  </si>
  <si>
    <t>Forjas de bronce maquinadas por anillo enrollado</t>
  </si>
  <si>
    <t>Forjaduras en estampa cerrada de metal precioso</t>
  </si>
  <si>
    <t>Raíz de regaliz</t>
  </si>
  <si>
    <t>Aditivos in situ</t>
  </si>
  <si>
    <t>Estudios de medios de comunicación</t>
  </si>
  <si>
    <t>Piezas de escaleras</t>
  </si>
  <si>
    <t>Extrusiones en frío de latón</t>
  </si>
  <si>
    <t>Equipos o accesorios de microcirugía</t>
  </si>
  <si>
    <t>Cubiertas para revistas o libros</t>
  </si>
  <si>
    <t>Motores a gas</t>
  </si>
  <si>
    <t>Densitómetros de hueso por ultrasonido para uso médico</t>
  </si>
  <si>
    <t>Ropa resistente al calor</t>
  </si>
  <si>
    <t>Colector de gas para uso medico</t>
  </si>
  <si>
    <t>Patos vivos</t>
  </si>
  <si>
    <t>Sobres estándar</t>
  </si>
  <si>
    <t>Kits de cuantificación de ácidos nucleicos</t>
  </si>
  <si>
    <t>Plantas acuáticas congeladas</t>
  </si>
  <si>
    <t>Lámina de aleación no ferrosa</t>
  </si>
  <si>
    <t>Tarjetas de patrones o actividades de bloques para patrones</t>
  </si>
  <si>
    <t>Controles de volante de avión</t>
  </si>
  <si>
    <t>Extracto de páncreas</t>
  </si>
  <si>
    <t>11101704</t>
  </si>
  <si>
    <t>Plantilla de aguja</t>
  </si>
  <si>
    <t>Proveedores de servicios de tarjetas de crédito</t>
  </si>
  <si>
    <t>Vigas de plástico</t>
  </si>
  <si>
    <t>Espejos para láser</t>
  </si>
  <si>
    <t>Medidores de altura</t>
  </si>
  <si>
    <t>Cacerolas para parrilla para uso doméstico</t>
  </si>
  <si>
    <t>Moldeados de caucho por inyección de aire</t>
  </si>
  <si>
    <t>Etamsilato</t>
  </si>
  <si>
    <t>Refuerzos de velas</t>
  </si>
  <si>
    <t>Ensambles de barras soldadas con soldadura ultra violeta de inconel</t>
  </si>
  <si>
    <t>Dispositivos para marcar dientes</t>
  </si>
  <si>
    <t>Cintas de medición para uso médico</t>
  </si>
  <si>
    <t>Ratas</t>
  </si>
  <si>
    <t>Dispositivos de costura de bolsa para uso quirúrgico</t>
  </si>
  <si>
    <t>Moldeables de auto flujo</t>
  </si>
  <si>
    <t>Unidades o accesorios para cuidado intensivo fetal o monitoreo materno</t>
  </si>
  <si>
    <t>Acarbosa</t>
  </si>
  <si>
    <t>Servicios de aparejos del campo petrolero en aguas profundas</t>
  </si>
  <si>
    <t>Depósitos de acumulador</t>
  </si>
  <si>
    <t>Intercambiadores o filtros de calor o humedad para ventiladores</t>
  </si>
  <si>
    <t>Ensambles de tubería soldada de solvente de aleación wasp</t>
  </si>
  <si>
    <t>Mentol</t>
  </si>
  <si>
    <t>Sistemas de etiquetado automático</t>
  </si>
  <si>
    <t>Alicates dentales</t>
  </si>
  <si>
    <t>Fósforo p</t>
  </si>
  <si>
    <t>Formadores para uso odontológico</t>
  </si>
  <si>
    <t>Pilas electrónicas</t>
  </si>
  <si>
    <t>Bombas de osmosis inversa</t>
  </si>
  <si>
    <t>Carritos de viaje</t>
  </si>
  <si>
    <t>Bancos de capacitores</t>
  </si>
  <si>
    <t>Materiales de enseñanza de formación de la tolerancia</t>
  </si>
  <si>
    <t>Duplicadores de línea</t>
  </si>
  <si>
    <t>Cables aéreos</t>
  </si>
  <si>
    <t>Compresores de gas</t>
  </si>
  <si>
    <t>51131805</t>
  </si>
  <si>
    <t>Temporizadores de reloj</t>
  </si>
  <si>
    <t>24141705</t>
  </si>
  <si>
    <t>Bordeadoras de modelos de laboratorio dental</t>
  </si>
  <si>
    <t>Cabezote</t>
  </si>
  <si>
    <t>Equipo para identificación de ganado</t>
  </si>
  <si>
    <t>Tarifas del parqueadero</t>
  </si>
  <si>
    <t>Ropa atlética para niña</t>
  </si>
  <si>
    <t>Sistemas de control de la tracción del vehículo</t>
  </si>
  <si>
    <t>Centralizadores de cable de acero de almeja de cable de recuperación</t>
  </si>
  <si>
    <t>Jaula de rodamiento</t>
  </si>
  <si>
    <t>Llave de tuercas de boca abierta</t>
  </si>
  <si>
    <t>Ensambles estructurales con soldadura de solvente de aleación hast x</t>
  </si>
  <si>
    <t>Kits de primera respuesta para servicios médicos de emergencia</t>
  </si>
  <si>
    <t>Puertos seriales infrarrojos</t>
  </si>
  <si>
    <t>Sistemas de suspensión para automóviles</t>
  </si>
  <si>
    <t>Vallas publicitarias</t>
  </si>
  <si>
    <t>Prueba de llenado</t>
  </si>
  <si>
    <t>47111502</t>
  </si>
  <si>
    <t>Ignifugación de edificios</t>
  </si>
  <si>
    <t>Servicios de lectura de la superficie en el emplazamiento del pozo</t>
  </si>
  <si>
    <t>Servicios de cuerpos de bomberos voluntarios</t>
  </si>
  <si>
    <t>Aplicadores o cepillos de huellas dactilares</t>
  </si>
  <si>
    <t>Vestidos de baño para niña</t>
  </si>
  <si>
    <t>Talegas de golf</t>
  </si>
  <si>
    <t>Chimenea de acero</t>
  </si>
  <si>
    <t>Servicios de poda de arbustos o plantas ornamentales</t>
  </si>
  <si>
    <t>Moldeables sic</t>
  </si>
  <si>
    <t>30111601</t>
  </si>
  <si>
    <t>Estanterías para almacenaje</t>
  </si>
  <si>
    <t>Dispensador de zunchos</t>
  </si>
  <si>
    <t>Teofilina</t>
  </si>
  <si>
    <t>LB</t>
  </si>
  <si>
    <t>Quita Coraza</t>
  </si>
  <si>
    <t>Detectores de movimiento</t>
  </si>
  <si>
    <t>Gas licuado de petróleo</t>
  </si>
  <si>
    <t>Compra de bienes de lavanderia y limpieza del Incart</t>
  </si>
  <si>
    <t>Excepción - Bienes o servicios con exclusividad</t>
  </si>
  <si>
    <t>Boquillas de voladura</t>
  </si>
  <si>
    <t>Software de interconectividad de plataformas</t>
  </si>
  <si>
    <t>Software de sistema de archivo de película de rayos x para usos médicos</t>
  </si>
  <si>
    <t>Servicios de estandarización de datos o contenidos</t>
  </si>
  <si>
    <t>Monitores para ultrasonido o doppler o eco para uso médico</t>
  </si>
  <si>
    <t>Contadores de tabletas</t>
  </si>
  <si>
    <t>Prensas impresoras</t>
  </si>
  <si>
    <t>Prensas de taller</t>
  </si>
  <si>
    <t>Amines o imines o sus sustitutos</t>
  </si>
  <si>
    <t>Globos o pelotas de juguete</t>
  </si>
  <si>
    <t>Banda de cinc</t>
  </si>
  <si>
    <t>Materiales didácticos de biotecnología</t>
  </si>
  <si>
    <t>Asociaciones ecologistas radicales</t>
  </si>
  <si>
    <t>Placas frontales de teléfonos móviles</t>
  </si>
  <si>
    <t>Objetos de titanio fundidos en molde fijo</t>
  </si>
  <si>
    <t>Extractores de grifo</t>
  </si>
  <si>
    <t>Representación política</t>
  </si>
  <si>
    <t>Servicios de protección de la propiedad intelectual o cultural</t>
  </si>
  <si>
    <t>Ruedas de trapo para techos</t>
  </si>
  <si>
    <t>Kits de encapsulamiento de aneurismas</t>
  </si>
  <si>
    <t>Componentes de metal precioso maquinados por extrusión hidrostática</t>
  </si>
  <si>
    <t>Textiles de algodón tejido</t>
  </si>
  <si>
    <t>Separadores de lodo (lutita)</t>
  </si>
  <si>
    <t>Forjaduras anulares laminadas de titanio</t>
  </si>
  <si>
    <t>Moldes para muffins para uso doméstico</t>
  </si>
  <si>
    <t>Etidronato disódico</t>
  </si>
  <si>
    <t>Software de recursos humanos</t>
  </si>
  <si>
    <t>Montelukast sódico</t>
  </si>
  <si>
    <t>Rompecabezas del dinero</t>
  </si>
  <si>
    <t>Cohetes multi etapas</t>
  </si>
  <si>
    <t>Ayudas de posicionamiento para tomografía computarizada ct o cat para uso médico</t>
  </si>
  <si>
    <t>Centros o servicios móviles de atención de salud</t>
  </si>
  <si>
    <t>Alumbrado submarino</t>
  </si>
  <si>
    <t>Forjaduras en estampa cerrada de hierro</t>
  </si>
  <si>
    <t>Transporte aéreo a marítimo</t>
  </si>
  <si>
    <t>Sistemas de frenar del avión</t>
  </si>
  <si>
    <t>Puentes de laboratorio</t>
  </si>
  <si>
    <t>Analizadores térmicos de gravimetría</t>
  </si>
  <si>
    <t>Sujeta casetes de película radiográfica</t>
  </si>
  <si>
    <t>Cloranfenicol</t>
  </si>
  <si>
    <t>Anguilas vivas</t>
  </si>
  <si>
    <t>Alambres para limpiar agujas</t>
  </si>
  <si>
    <t>Jaladores del pasador de seguridad</t>
  </si>
  <si>
    <t>Estaciones de trabajo para embalsamar o accesorios</t>
  </si>
  <si>
    <t>Analizadores de histología</t>
  </si>
  <si>
    <t>Topógrafos corneales</t>
  </si>
  <si>
    <t>51141507</t>
  </si>
  <si>
    <t>Servicios de consultorios médicos</t>
  </si>
  <si>
    <t>Regletas de montaje</t>
  </si>
  <si>
    <t>Sodio de rosa de bengala i 131</t>
  </si>
  <si>
    <t>Palas de fundición</t>
  </si>
  <si>
    <t>Cultivadoras</t>
  </si>
  <si>
    <t>Mandriles de bloqueo de cable de recuperación</t>
  </si>
  <si>
    <t>Tapones multilaterales</t>
  </si>
  <si>
    <t>Ensambles estructurales con soldadura de fuerte o débil de inconel</t>
  </si>
  <si>
    <t>Ventanas para blindaje contra la radiación</t>
  </si>
  <si>
    <t>Unidades o accesorios de enfriamiento para almacenamiento frío para uso médico</t>
  </si>
  <si>
    <t>Nitrofurantoina</t>
  </si>
  <si>
    <t>Sodio na</t>
  </si>
  <si>
    <t>Maleato de trimipramina</t>
  </si>
  <si>
    <t>Teclados</t>
  </si>
  <si>
    <t>Cobertores</t>
  </si>
  <si>
    <t>Componentes de cobre formados con explosivos</t>
  </si>
  <si>
    <t>El Llano</t>
  </si>
  <si>
    <t>Despolarizadores</t>
  </si>
  <si>
    <t>Fundición en arena de acero</t>
  </si>
  <si>
    <t>Lámparas fluorescentes</t>
  </si>
  <si>
    <t>Overoles o monos para bebé</t>
  </si>
  <si>
    <t>Pantalones largos o cortos o pantalonetas para bebés</t>
  </si>
  <si>
    <t>Maleato de proclorperazina</t>
  </si>
  <si>
    <t>Bobinas de imágenes de resonancia magnética mri para uso médico</t>
  </si>
  <si>
    <t>Conjuntos de circuitos de aplicaciones específicas</t>
  </si>
  <si>
    <t>Quemadores de tubo radiante</t>
  </si>
  <si>
    <t>Servicios de adquisición sísmica de tierra tridimensional</t>
  </si>
  <si>
    <t>Fuselajes de avión</t>
  </si>
  <si>
    <t>Servicios de aprendizaje no diplomado a distancia</t>
  </si>
  <si>
    <t>Servicios de planificación de desarrollo regional</t>
  </si>
  <si>
    <t>51101542</t>
  </si>
  <si>
    <t>Lanzaderas para telares</t>
  </si>
  <si>
    <t>Tablas de esquí en nieve</t>
  </si>
  <si>
    <t>Arneses o cinturones de seguridad</t>
  </si>
  <si>
    <t>Hojas de acrílico</t>
  </si>
  <si>
    <t>Dispensadores de pastillas o medicamentos o accesorios</t>
  </si>
  <si>
    <t>Guía para tajar pan para uso doméstico</t>
  </si>
  <si>
    <t>Cuñas para ruedas</t>
  </si>
  <si>
    <t>Servicios de grúas o equipo pesado del lugar del pozo</t>
  </si>
  <si>
    <t>Servicios de fabricación de fibra de algodón</t>
  </si>
  <si>
    <t>44122104</t>
  </si>
  <si>
    <t>Aproximadores para uso quirúrgico</t>
  </si>
  <si>
    <t>Telas de dibujo</t>
  </si>
  <si>
    <t>Pañuelos faciales</t>
  </si>
  <si>
    <t>Equipo de central telefónica privada pbx</t>
  </si>
  <si>
    <t>DESECHABLES MEDICOS 3</t>
  </si>
  <si>
    <t>Equipo de examen de radiografía ir 192</t>
  </si>
  <si>
    <t>Removedores de pintura o barniz</t>
  </si>
  <si>
    <t>Herramientas para desforrar</t>
  </si>
  <si>
    <t>Forjado por golpe de troquel de semi acabados</t>
  </si>
  <si>
    <t>DESECHABLES MEDICOS 4</t>
  </si>
  <si>
    <t>Motores de turbina con hélice</t>
  </si>
  <si>
    <t>Visón</t>
  </si>
  <si>
    <t>Cinc en barra labrada</t>
  </si>
  <si>
    <t>Servicios de manejo del esfuerzo de fracturación del pozo</t>
  </si>
  <si>
    <t>Libretas de direcciones o repuestos</t>
  </si>
  <si>
    <t>Forjas de acero inoxidable maquinadas con impresión por troquel</t>
  </si>
  <si>
    <t>Sistemas de desescarchado y antiniebla para automóviles</t>
  </si>
  <si>
    <t>Refrigeradores de nitrógeno líquido</t>
  </si>
  <si>
    <t>Agentes de entrecruzamiento</t>
  </si>
  <si>
    <t>Servicios arqueológicos</t>
  </si>
  <si>
    <t>Ensambles de láminas atornilladas de acero al carbono</t>
  </si>
  <si>
    <t>Kits de recubrimiento de inyección de tinta</t>
  </si>
  <si>
    <t>Soportes o sujetadores o puestos de comunicación personal</t>
  </si>
  <si>
    <t>Molduras de cobre</t>
  </si>
  <si>
    <t>Implantes urológicos o sets</t>
  </si>
  <si>
    <t>Mineral de estaño</t>
  </si>
  <si>
    <t>Servicios de electro revestimiento</t>
  </si>
  <si>
    <t>Delantales protectores</t>
  </si>
  <si>
    <t>Uniones de tubería</t>
  </si>
  <si>
    <t>Cimentación, enlosado</t>
  </si>
  <si>
    <t>Software de cumplimiento (compliance)</t>
  </si>
  <si>
    <t>Servicios de trabajar sobre el pozo (workover)</t>
  </si>
  <si>
    <t>Analizadores de bauxita</t>
  </si>
  <si>
    <t>Servicio de escaneo de documentos</t>
  </si>
  <si>
    <t>Recursos de la pesca en aguas interiores</t>
  </si>
  <si>
    <t>Llaves tubulares de desplazamiento</t>
  </si>
  <si>
    <t>Grabadora de música o mensaje en espera</t>
  </si>
  <si>
    <t>Láminas dentales</t>
  </si>
  <si>
    <t>31211508</t>
  </si>
  <si>
    <t>Objetos de fundición centrífuga de titanio</t>
  </si>
  <si>
    <t>Soluciones de limpieza de heridas</t>
  </si>
  <si>
    <t>30103603</t>
  </si>
  <si>
    <t>Nifuroxazida</t>
  </si>
  <si>
    <t>Accesorios para mosaicos</t>
  </si>
  <si>
    <t>Zapatos para hombre</t>
  </si>
  <si>
    <t>Deflectores de polvo</t>
  </si>
  <si>
    <t>Componentes de latón maquinados por extrusión en caliente</t>
  </si>
  <si>
    <t>Hidrocloruro de efedrina</t>
  </si>
  <si>
    <t>Servicios de investigación legal</t>
  </si>
  <si>
    <t>Celulosa oxidada</t>
  </si>
  <si>
    <t>Papeles filtrantes</t>
  </si>
  <si>
    <t>51211501</t>
  </si>
  <si>
    <t>Servicios sísmicos verticales</t>
  </si>
  <si>
    <t>51161820</t>
  </si>
  <si>
    <t>Aparatos para observar el viento en la superficie</t>
  </si>
  <si>
    <t>Borradores magnéticos de almacenamiento de medios</t>
  </si>
  <si>
    <t>Sets de instrumentos para cirugía gastroscópica</t>
  </si>
  <si>
    <t>Aparato de electrones</t>
  </si>
  <si>
    <t>Ingredientes o aditivos de medio para bacterias</t>
  </si>
  <si>
    <t>Objetos de aleación ferrosa fundidos en molde fijo</t>
  </si>
  <si>
    <t>Obturadores para uso quirúrgico</t>
  </si>
  <si>
    <t>Marcadores de electroforesis de proteína</t>
  </si>
  <si>
    <t>Espéculos o dilatadores para exámenes nasales</t>
  </si>
  <si>
    <t>Ensambles de tubería remachada de acero al carbono</t>
  </si>
  <si>
    <t>Objetos de zinc fundidos en molde cerámico</t>
  </si>
  <si>
    <t>Alprostadil</t>
  </si>
  <si>
    <t>Válvulas de descarga de catéteres arteriales de línea continua</t>
  </si>
  <si>
    <t>Sistemas de frenado para automóviles</t>
  </si>
  <si>
    <t>Servicios de formación profesional pesquera</t>
  </si>
  <si>
    <t>Cloruro de metacolina</t>
  </si>
  <si>
    <t>Equipo de disposición de lodo</t>
  </si>
  <si>
    <t>Barras de madera</t>
  </si>
  <si>
    <t>Objetos maquinados de magnesio fundidos en molde de grafito</t>
  </si>
  <si>
    <t>Cepillos de baño</t>
  </si>
  <si>
    <t>Fieltros de recubrimiento ortopédico para la espalda o lumbares o para el sacro</t>
  </si>
  <si>
    <t>Hierros para waffles para uso comercial</t>
  </si>
  <si>
    <t>Servicios de cooperación sobre delitos políticos</t>
  </si>
  <si>
    <t>Control remoto</t>
  </si>
  <si>
    <t>Sujetadores o posicionadores de tubos para uso quirúrgico</t>
  </si>
  <si>
    <t>Antígeno de ántrax</t>
  </si>
  <si>
    <t>Puntos de remolque sísmicos</t>
  </si>
  <si>
    <t>Osciladores de reloj</t>
  </si>
  <si>
    <t>Tioguanina</t>
  </si>
  <si>
    <t>Unidades de lectura y escritura de arquitectura de interconexión de componentes periféricos</t>
  </si>
  <si>
    <t>Servicios de drenaje de la contaminación de las aguas subterráneas</t>
  </si>
  <si>
    <t>Reactivos o soluciones o tinturas para biología molecular</t>
  </si>
  <si>
    <t>Equipo de circuito de conmutador</t>
  </si>
  <si>
    <t>Polietileno de alta densidad ldpe</t>
  </si>
  <si>
    <t>Retractores rectales</t>
  </si>
  <si>
    <t>Equipo de dispersión de luz</t>
  </si>
  <si>
    <t>Destrozos automovilísticos para chatarra o desecho</t>
  </si>
  <si>
    <t>Uniformes corporativos</t>
  </si>
  <si>
    <t>Sistemas hidráulicos para automotores</t>
  </si>
  <si>
    <t>Tubos o tuberías de succión</t>
  </si>
  <si>
    <t>Películas de recubiertas de silicona</t>
  </si>
  <si>
    <t>Enrolladores de cables aéreos</t>
  </si>
  <si>
    <t>Ensambles de placas soldadas con soldadura ultra violeta de aleación hast x</t>
  </si>
  <si>
    <t>Reactivos o kits o sustratos de detección quimio luminiscente de proteínas</t>
  </si>
  <si>
    <t>Objetos maquinados de plomo fundidos en arena</t>
  </si>
  <si>
    <t>Tintas para monoimpresión a base de aceite</t>
  </si>
  <si>
    <t>Servicios de verificación de desastres o contingencias</t>
  </si>
  <si>
    <t>Overoles o monos para mujer</t>
  </si>
  <si>
    <t>Suministro de electricidad bifásica</t>
  </si>
  <si>
    <t>Triciclos</t>
  </si>
  <si>
    <t>Carretera bifurcada</t>
  </si>
  <si>
    <t>Papel vitela</t>
  </si>
  <si>
    <t>Aleación no ferrosa</t>
  </si>
  <si>
    <t>Medina</t>
  </si>
  <si>
    <t>Complementos de postres</t>
  </si>
  <si>
    <t>47131609</t>
  </si>
  <si>
    <t>Solución sustituta de la saliva</t>
  </si>
  <si>
    <t>Adaptadores de soporte de motor</t>
  </si>
  <si>
    <t>Puerta de barra sencilla</t>
  </si>
  <si>
    <t>Microscopios compuestos de luz binocular</t>
  </si>
  <si>
    <t>Rodillos de pintar</t>
  </si>
  <si>
    <t>Ensambles estructurales remachados de aleación hast x</t>
  </si>
  <si>
    <t>Filtro de boquilla de pipeta</t>
  </si>
  <si>
    <t>Solución de cloruro sódico para irrigación</t>
  </si>
  <si>
    <t>Clavos para tejados</t>
  </si>
  <si>
    <t>Cortadores o sierras para yeso</t>
  </si>
  <si>
    <t>Sobrerol</t>
  </si>
  <si>
    <t>Incubadoras de cámara dual de dióxido de carbono recubierta de agua con control de humedad</t>
  </si>
  <si>
    <t>Sistemas de instrumentos para revisión ortopédica o completa de articulaciones</t>
  </si>
  <si>
    <t>42192209</t>
  </si>
  <si>
    <t>Paso de peatones</t>
  </si>
  <si>
    <t>Adaptadores del carburador</t>
  </si>
  <si>
    <t>Linternas de pruebas de percepción del color</t>
  </si>
  <si>
    <t>Hipurato de metenamina</t>
  </si>
  <si>
    <t>MEDICAMENTOS ANESTESICO</t>
  </si>
  <si>
    <t>Saxofones</t>
  </si>
  <si>
    <t>51181713</t>
  </si>
  <si>
    <t>Bolsas o contenedores para especímenes para autopsias</t>
  </si>
  <si>
    <t>Ensambles de placas soldadas con soldadura fuerte o débil de acero de aleación baja</t>
  </si>
  <si>
    <t>Plataforma de mensajes instantáneos</t>
  </si>
  <si>
    <t>Espectrofluorímetros o fluorímetros</t>
  </si>
  <si>
    <t>Tanques de almacenaje de combustible</t>
  </si>
  <si>
    <t>Servicios de corte con plasma</t>
  </si>
  <si>
    <t>Equipo y suministros para polinización</t>
  </si>
  <si>
    <t>Cartón no blanqueado</t>
  </si>
  <si>
    <t>Forros o cajitas pequeñas de succión</t>
  </si>
  <si>
    <t>Semillas o plántulas de ginseng</t>
  </si>
  <si>
    <t xml:space="preserve">MEDICAMENTOS ANTIMICOTICOS </t>
  </si>
  <si>
    <t>Calorímetros</t>
  </si>
  <si>
    <t>Instituto Nacional de Cancer 'Rosa E. Tavares'</t>
  </si>
  <si>
    <t>Dubnio db</t>
  </si>
  <si>
    <t>Gas xenón xe</t>
  </si>
  <si>
    <t>Modelos de las operaciones básicas</t>
  </si>
  <si>
    <t>Membranas de filtrado</t>
  </si>
  <si>
    <t>Varillas de aleación ferrosa</t>
  </si>
  <si>
    <t>Ensambles de tubería atornillada de aleación hast x</t>
  </si>
  <si>
    <t>Ensambles de láminas remachadas de acero de aleación baja</t>
  </si>
  <si>
    <t>Unidades de llenado al vacío de aceite</t>
  </si>
  <si>
    <t>Llaves para uso quirúrgico</t>
  </si>
  <si>
    <t>Unidades de bases para lavamanos</t>
  </si>
  <si>
    <t>Clavos de acabado</t>
  </si>
  <si>
    <t>Servicios de estampación</t>
  </si>
  <si>
    <t>Soportes de cojinetes</t>
  </si>
  <si>
    <t>Lingotes de plomo</t>
  </si>
  <si>
    <t>Hidrotratador de lubricantes</t>
  </si>
  <si>
    <t>Pintura gel permanente de alta viscosidad para vidrio o cerámica</t>
  </si>
  <si>
    <t>51191604</t>
  </si>
  <si>
    <t>Ionómetros</t>
  </si>
  <si>
    <t>Forjas de titanio maquinadas por reducción</t>
  </si>
  <si>
    <t>Servicios de minería de datos del campo petrolero</t>
  </si>
  <si>
    <t>Ensambles de placas atornilladas de acero inoxidable</t>
  </si>
  <si>
    <t>Uniones de charnela</t>
  </si>
  <si>
    <t>Otras herramientas de cable de recuperación</t>
  </si>
  <si>
    <t>Forros para calzado</t>
  </si>
  <si>
    <t>Fibras de algodón</t>
  </si>
  <si>
    <t>Kits para clase de química</t>
  </si>
  <si>
    <t>Carritos para mover mesas o asientos</t>
  </si>
  <si>
    <t>Procesadores de palabras</t>
  </si>
  <si>
    <t>Componentes de estaño maquinados por extrusión en frío</t>
  </si>
  <si>
    <t>Camillas o accesorios redondas</t>
  </si>
  <si>
    <t>Equipo para teñir muestras de microbiología</t>
  </si>
  <si>
    <t>51141501</t>
  </si>
  <si>
    <t>Queso natural</t>
  </si>
  <si>
    <t>KG</t>
  </si>
  <si>
    <t>MG</t>
  </si>
  <si>
    <t>Recursos de civilizaciones de la antigüedad</t>
  </si>
  <si>
    <t>Conductos de bronce</t>
  </si>
  <si>
    <t>Cuchillas eléctricas</t>
  </si>
  <si>
    <t>Kits para cuantificación de ácido ribonucleico mensajero mrna mediante reacción en cadena de polimerasa pcr</t>
  </si>
  <si>
    <t>Trípodes para instrumentos</t>
  </si>
  <si>
    <t>Cuñas o sets para uso odontológico</t>
  </si>
  <si>
    <t>Hoja fina de metal de cobre</t>
  </si>
  <si>
    <t>Objetos de fundición centrífuga de magnesio</t>
  </si>
  <si>
    <t>Artículos excavados</t>
  </si>
  <si>
    <t>Libros de adhesivos</t>
  </si>
  <si>
    <t>Agujas para anestesia</t>
  </si>
  <si>
    <t>Mezcladoras de rodillo</t>
  </si>
  <si>
    <t>Recursos para aprender a hablar inglés</t>
  </si>
  <si>
    <t>Endulzantes artificiales</t>
  </si>
  <si>
    <t>Movimientos pacifistas</t>
  </si>
  <si>
    <t>Objetos maquinados de acero fundidos en molde de yeso</t>
  </si>
  <si>
    <t>Belloso</t>
  </si>
  <si>
    <t>Forjas del motor</t>
  </si>
  <si>
    <t>Repuestos de papel para cuaderno</t>
  </si>
  <si>
    <t>Herramientas hidráulicas de curado</t>
  </si>
  <si>
    <t>Cortadores de virutas</t>
  </si>
  <si>
    <t>Kits solares</t>
  </si>
  <si>
    <t>Almacenamiento de pieles</t>
  </si>
  <si>
    <t>Tela de paracaídas</t>
  </si>
  <si>
    <t>Clavijas de electrodo</t>
  </si>
  <si>
    <t>Bandas transportadoras aéreas</t>
  </si>
  <si>
    <t>Ruedas abrasivas de carburo de tungsteno</t>
  </si>
  <si>
    <t>Mucílago hidrófilo del psilio</t>
  </si>
  <si>
    <t>Fijador de hidrocarburo</t>
  </si>
  <si>
    <t>Bozales</t>
  </si>
  <si>
    <t>Materiales de enseñanza para utilizar color o pintura para la decoración del hogar</t>
  </si>
  <si>
    <t>Eliminador de fugas</t>
  </si>
  <si>
    <t>Sindicatos de servicios de asistencia personal</t>
  </si>
  <si>
    <t>Exprimidores de jugo para uso comercial</t>
  </si>
  <si>
    <t>Bases de poliuretano</t>
  </si>
  <si>
    <t>Clubes o servicios para aficionados a la música</t>
  </si>
  <si>
    <t>Mezcla  de postres</t>
  </si>
  <si>
    <t>Interruptores automáticos por caída de presión</t>
  </si>
  <si>
    <t>Escuelas especializadas para personas discapacitadas</t>
  </si>
  <si>
    <t>Desoximetasona</t>
  </si>
  <si>
    <t>Propelente de alta energía</t>
  </si>
  <si>
    <t>Estudios de campo del campo petrolero</t>
  </si>
  <si>
    <t>Laringoscopios o accesorios</t>
  </si>
  <si>
    <t>Isoconazol</t>
  </si>
  <si>
    <t>Filtros de película de plástico</t>
  </si>
  <si>
    <t>Ceftazidima</t>
  </si>
  <si>
    <t>Herramientas especiales para recintos radiactivos</t>
  </si>
  <si>
    <t>Rodamientos de cabeza de biela</t>
  </si>
  <si>
    <t>Perros</t>
  </si>
  <si>
    <t>Adenotomos</t>
  </si>
  <si>
    <t>Forjas de metal precioso maquinadas por anillo enrollado</t>
  </si>
  <si>
    <t>Partes de piezas de teléfono</t>
  </si>
  <si>
    <t>NO MIPYME</t>
  </si>
  <si>
    <t>Escritorios o componentes de circulación para bibliotecarios</t>
  </si>
  <si>
    <t>Dinoprostona</t>
  </si>
  <si>
    <t>Bloques de impresión de cable de recuperación</t>
  </si>
  <si>
    <t>Tela o textil de vidrio</t>
  </si>
  <si>
    <t>Licey al Medio</t>
  </si>
  <si>
    <t>Pesas para pesca</t>
  </si>
  <si>
    <t>Unidades de mezclado de lechada control de arena</t>
  </si>
  <si>
    <t>Impresoras de sublimación de teñido</t>
  </si>
  <si>
    <t>Servicios de facturación</t>
  </si>
  <si>
    <t>Cristales de gelatina o mermelada</t>
  </si>
  <si>
    <t>Cubos (modulares) para guardar juguetes</t>
  </si>
  <si>
    <t>Sistemas de alarma contra incendios</t>
  </si>
  <si>
    <t>Construcción de aceras o bordillos</t>
  </si>
  <si>
    <t>Elevadores líquidos</t>
  </si>
  <si>
    <t>Torpedos</t>
  </si>
  <si>
    <t>Control del metano</t>
  </si>
  <si>
    <t>51111801</t>
  </si>
  <si>
    <t>Bloques de unidades</t>
  </si>
  <si>
    <t>Servicios de bañado</t>
  </si>
  <si>
    <t>Enseñanza de idiomas extranjeros por inmersión</t>
  </si>
  <si>
    <t>Controles de calidad o calibradores o estándares de citología</t>
  </si>
  <si>
    <t>42281503</t>
  </si>
  <si>
    <t>Equipos de rayos x para mamografías</t>
  </si>
  <si>
    <t>Bolsas de esterilización</t>
  </si>
  <si>
    <t>Software de equipos de seguridad de red y de redes privadas virtuales vpn</t>
  </si>
  <si>
    <t>CANULAS Y CATETER</t>
  </si>
  <si>
    <t>Chapa de plomo</t>
  </si>
  <si>
    <t>52152004</t>
  </si>
  <si>
    <t>Sulfato de d-anfetamina</t>
  </si>
  <si>
    <t>Subsulfato férrico</t>
  </si>
  <si>
    <t>31251503</t>
  </si>
  <si>
    <t>Servicios de casas de paso</t>
  </si>
  <si>
    <t>Controles del preventor de reventones</t>
  </si>
  <si>
    <t>Poliamida</t>
  </si>
  <si>
    <t>Camiones de manipulación de sedimento y aguas residuales</t>
  </si>
  <si>
    <t>Tablas de cuerpo para autopsias</t>
  </si>
  <si>
    <t>Sistemas de ensayo o mantenimiento de apoyo terrestre</t>
  </si>
  <si>
    <t>Servicios de vivero</t>
  </si>
  <si>
    <t>Edificio del área de servicios</t>
  </si>
  <si>
    <t>31201512</t>
  </si>
  <si>
    <t>Fluorocarbono fcm</t>
  </si>
  <si>
    <t>Computadores de escritorio</t>
  </si>
  <si>
    <t>Chalecos anti balas</t>
  </si>
  <si>
    <t>Placas o barras o cintas de desgaste</t>
  </si>
  <si>
    <t>Kilogramo</t>
  </si>
  <si>
    <t>Carbonato de magnesio</t>
  </si>
  <si>
    <t>Raíz de angélica</t>
  </si>
  <si>
    <t>Dispositivos de acoplamiento por inducción</t>
  </si>
  <si>
    <t>Movimientos antirracistas</t>
  </si>
  <si>
    <t>Películas de cine en celuloide</t>
  </si>
  <si>
    <t>Carnes y pescados 4</t>
  </si>
  <si>
    <t>31351111</t>
  </si>
  <si>
    <t>Pasadores estriados</t>
  </si>
  <si>
    <t>56112105</t>
  </si>
  <si>
    <t>Elementos de filtración de cartucho para laboratorios</t>
  </si>
  <si>
    <t>Material promocional o reportes anuales</t>
  </si>
  <si>
    <t>Las Matas de Santa Cruz</t>
  </si>
  <si>
    <t>Servicios de boletines informativos de interés especial</t>
  </si>
  <si>
    <t>Objetos de zinc fundidos por proceso en v</t>
  </si>
  <si>
    <t>Plantilla de embrague</t>
  </si>
  <si>
    <t>Verón Punta Cana</t>
  </si>
  <si>
    <t>viveres para alimentarse en el INCART</t>
  </si>
  <si>
    <t>Gas argón ar</t>
  </si>
  <si>
    <t>Filtro de prensas de fluido</t>
  </si>
  <si>
    <t>Manta quirúrgica o armarios para calentar soluciones o accesorios</t>
  </si>
  <si>
    <t>Productos de leche o mantequilla de estante</t>
  </si>
  <si>
    <t>Desirudina</t>
  </si>
  <si>
    <t>46191601</t>
  </si>
  <si>
    <t>Ultrasonido cardiaco o doppler o unidades de eco o cardioscopios</t>
  </si>
  <si>
    <t>Dilatadores o dispositivos inflables endoscópicos o productos relacionados</t>
  </si>
  <si>
    <t>Estatuas</t>
  </si>
  <si>
    <t>Extremos cortos de tubería para soldar</t>
  </si>
  <si>
    <t>31162104</t>
  </si>
  <si>
    <t>Incubadoras para el transporte de pacientes o accesorios</t>
  </si>
  <si>
    <t>Mermeladas o preservativos de fruta</t>
  </si>
  <si>
    <t>Raspadores para uso quirúrgico</t>
  </si>
  <si>
    <t>Heparina sódica</t>
  </si>
  <si>
    <t>Sistema para lavar o limpiar la farola delantera</t>
  </si>
  <si>
    <t>42241811</t>
  </si>
  <si>
    <t>Alimento vivo para aves</t>
  </si>
  <si>
    <t>Bronce en barra labrada</t>
  </si>
  <si>
    <t>27131605</t>
  </si>
  <si>
    <t>Metirapona</t>
  </si>
  <si>
    <t>Ejes compensadores</t>
  </si>
  <si>
    <t>Sistemas de señalización marinos</t>
  </si>
  <si>
    <t>Utensilios de Cocina</t>
  </si>
  <si>
    <t>Servicio de pruebas operadas en la varilla de barrena</t>
  </si>
  <si>
    <t>51111805</t>
  </si>
  <si>
    <t>Empresas multinacionales de comercialización</t>
  </si>
  <si>
    <t>Aspiradoras mortuorias</t>
  </si>
  <si>
    <t>Sistemas de imanes</t>
  </si>
  <si>
    <t>Gautier</t>
  </si>
  <si>
    <t>41104102</t>
  </si>
  <si>
    <t>Trinquetes</t>
  </si>
  <si>
    <t>Programas de ayuda a la comunidad</t>
  </si>
  <si>
    <t>Barcos pesqueros</t>
  </si>
  <si>
    <t>Trenza de acero inoxidable</t>
  </si>
  <si>
    <t>Fantino</t>
  </si>
  <si>
    <t>Baldes de remojo desinfectantes</t>
  </si>
  <si>
    <t>Libros de genética</t>
  </si>
  <si>
    <t>Removedores de grapas (saca ganchos)</t>
  </si>
  <si>
    <t>Componentes de aleación no ferrosa formados por estiramiento por presión</t>
  </si>
  <si>
    <t>Baños de agua</t>
  </si>
  <si>
    <t>Raspadores de revestimiento</t>
  </si>
  <si>
    <t>Espátulas para aplicación de pintura</t>
  </si>
  <si>
    <t>Sobre tubos para endoscopia</t>
  </si>
  <si>
    <t>Servicios de producción de químicos orgánicos</t>
  </si>
  <si>
    <t>Loratadina</t>
  </si>
  <si>
    <t>Servicios de cadena de montaje</t>
  </si>
  <si>
    <t>Calentadores de resistencia para agujas</t>
  </si>
  <si>
    <t>Lubricantes para equipo de procesamiento de alimentos</t>
  </si>
  <si>
    <t>Componentes de plomo formados por estiramiento</t>
  </si>
  <si>
    <t>Equipo de red de modo de transferencia asincrónica atm</t>
  </si>
  <si>
    <t>26101513</t>
  </si>
  <si>
    <t>43211604</t>
  </si>
  <si>
    <t>Ensambles de conectores</t>
  </si>
  <si>
    <t>47131605</t>
  </si>
  <si>
    <t>Servicios de tratamiento de materiales de protección contra incendios</t>
  </si>
  <si>
    <t>Citrato de fentanilo</t>
  </si>
  <si>
    <t>Controladores de presión</t>
  </si>
  <si>
    <t>Divisiones de baños</t>
  </si>
  <si>
    <t>Citrato de piperazina</t>
  </si>
  <si>
    <t>Unidades o accesorios de insuflación o distensión para endoscopia</t>
  </si>
  <si>
    <t>Grilletes</t>
  </si>
  <si>
    <t>Componentes de aleación de níquel maquinados por extrusión en frío</t>
  </si>
  <si>
    <t>Succinato de loxapina</t>
  </si>
  <si>
    <t>Estación de bombeo</t>
  </si>
  <si>
    <t>Cobijas para primeros auxilios</t>
  </si>
  <si>
    <t>Estazolam</t>
  </si>
  <si>
    <t>60104904</t>
  </si>
  <si>
    <t>Puertas automáticas</t>
  </si>
  <si>
    <t>Removedores o convertidores de incrustaciones</t>
  </si>
  <si>
    <t>81141804</t>
  </si>
  <si>
    <t>Succinato de frovatriptan</t>
  </si>
  <si>
    <t>Controles o conmutadores de palanca de control</t>
  </si>
  <si>
    <t>Para la compra de Productos de limpieza</t>
  </si>
  <si>
    <t>Hidrocloruro de metformina</t>
  </si>
  <si>
    <t>Columnas electrónicas</t>
  </si>
  <si>
    <t>Servicios de extensión</t>
  </si>
  <si>
    <t>Servicios de limpieza de frutas o verduras</t>
  </si>
  <si>
    <t>Soportes colgantes de montaje</t>
  </si>
  <si>
    <t>Fórceps o homeostatos de bajo grado</t>
  </si>
  <si>
    <t>43201803</t>
  </si>
  <si>
    <t>Empaques blíster</t>
  </si>
  <si>
    <t>Postigos</t>
  </si>
  <si>
    <t>Calibrador go nogo</t>
  </si>
  <si>
    <t>Forjas de magnesio maquinadas por reducción</t>
  </si>
  <si>
    <t>Alicates de hoja metálica</t>
  </si>
  <si>
    <t>46181535</t>
  </si>
  <si>
    <t>42312108</t>
  </si>
  <si>
    <t>Probadores de superficie</t>
  </si>
  <si>
    <t>Estantes de billar</t>
  </si>
  <si>
    <t>Ensambles estructurales con soldadura ultra violeta de aleación wasp</t>
  </si>
  <si>
    <t>Perfiles de titanio</t>
  </si>
  <si>
    <t>Atriles autónomos</t>
  </si>
  <si>
    <t>Glucoheptonato de calcio  o gluceptato de calcio</t>
  </si>
  <si>
    <t>Mineral de aluminio</t>
  </si>
  <si>
    <t>Cable de poliamida</t>
  </si>
  <si>
    <t>23153130</t>
  </si>
  <si>
    <t>Servicios de comidas a domicilio</t>
  </si>
  <si>
    <t>Sellos de caucho de la hora</t>
  </si>
  <si>
    <t>Quisqueya</t>
  </si>
  <si>
    <t>Ventiladores de colchones</t>
  </si>
  <si>
    <t>Ventanas basculantes o de montante</t>
  </si>
  <si>
    <t>Calzado protector contra materiales peligrosos</t>
  </si>
  <si>
    <t>Sistemas de computador</t>
  </si>
  <si>
    <t>Kits de prueba de frotis manual</t>
  </si>
  <si>
    <t>Radios reloj</t>
  </si>
  <si>
    <t>Valproato de sodio</t>
  </si>
  <si>
    <t>Poder ejecutivo político o servicios</t>
  </si>
  <si>
    <t>Servicios sindicales de información</t>
  </si>
  <si>
    <t>Servicios sísmicos de tiro de control</t>
  </si>
  <si>
    <t>51191805</t>
  </si>
  <si>
    <t>Ensamblajes de iluminación de las placas</t>
  </si>
  <si>
    <t>Isetionato de propamidina</t>
  </si>
  <si>
    <t>Servicios de entrenadores de animales</t>
  </si>
  <si>
    <t>50221002</t>
  </si>
  <si>
    <t>Colina</t>
  </si>
  <si>
    <t>Proyectores de video</t>
  </si>
  <si>
    <t>Pinceles de caballete</t>
  </si>
  <si>
    <t>Flurandrenolida</t>
  </si>
  <si>
    <t>Paladio</t>
  </si>
  <si>
    <t>Barras de hierro</t>
  </si>
  <si>
    <t>Discos flexibles</t>
  </si>
  <si>
    <t>Cuerda de algodón</t>
  </si>
  <si>
    <t>Amplificadores de tubos de onda</t>
  </si>
  <si>
    <t>Ensambles de barras soldadas con soldadura sónica de acero de aleación baja</t>
  </si>
  <si>
    <t>Unidades de evaluación de función auditiva</t>
  </si>
  <si>
    <t>Inspecciones de control de plagas</t>
  </si>
  <si>
    <t>Sujetadores o interruptores de cuchilla de uso quirúrgico</t>
  </si>
  <si>
    <t>Compases</t>
  </si>
  <si>
    <t>Tintas de sublimación para grabado</t>
  </si>
  <si>
    <t>Sets de carteleras de ciencias</t>
  </si>
  <si>
    <t>51171605</t>
  </si>
  <si>
    <t>Servicio militar obligatorio</t>
  </si>
  <si>
    <t>Estantes para secado</t>
  </si>
  <si>
    <t>Servicios de monitoreo de sustancias tóxicas</t>
  </si>
  <si>
    <t>Software de gráficas</t>
  </si>
  <si>
    <t>Clorhidrato de flurazepam</t>
  </si>
  <si>
    <t>Benzbromarona</t>
  </si>
  <si>
    <t>Ensambles de tubos soldados con soldadura sónica no metálica</t>
  </si>
  <si>
    <t>Peróxido de hidrógeno antiséptico</t>
  </si>
  <si>
    <t>Servicios de lavandería</t>
  </si>
  <si>
    <t>Muelles anfibios de transporte</t>
  </si>
  <si>
    <t>Cefadroxilo</t>
  </si>
  <si>
    <t>Fichas de fonética</t>
  </si>
  <si>
    <t>Garitas</t>
  </si>
  <si>
    <t>Clorhidrato de mitoxantrona</t>
  </si>
  <si>
    <t>Vigas de zinc</t>
  </si>
  <si>
    <t>Sistemas de telemetría de aeronaves</t>
  </si>
  <si>
    <t>Servicios legales sobre competencia o regulaciones gubernamentales</t>
  </si>
  <si>
    <t>Analizadores de unidad de electrocardiografía ekg</t>
  </si>
  <si>
    <t>48101803</t>
  </si>
  <si>
    <t>Brochas</t>
  </si>
  <si>
    <t>Kits de accesorios para jeringas de uso odontológico</t>
  </si>
  <si>
    <t>Trituradores de lodo</t>
  </si>
  <si>
    <t>El Limonal</t>
  </si>
  <si>
    <t>Vigas de balance o de soporte o mecedoras para rehabilitación o terapia</t>
  </si>
  <si>
    <t>Cremalleras</t>
  </si>
  <si>
    <t>Liotironina sódica</t>
  </si>
  <si>
    <t>Plantilla de anillo</t>
  </si>
  <si>
    <t>Platos especiales para bacterias</t>
  </si>
  <si>
    <t>Componentes de hierro formados por estiramiento</t>
  </si>
  <si>
    <t>Lubricantes o leche para instrumentos</t>
  </si>
  <si>
    <t>Adhesivos para aplicación en ostomía</t>
  </si>
  <si>
    <t>Conos o almohadillas de vacío</t>
  </si>
  <si>
    <t>Río Limpio</t>
  </si>
  <si>
    <t>Cargas explosivas</t>
  </si>
  <si>
    <t>Trituradores de impacto</t>
  </si>
  <si>
    <t>Escudos faciales</t>
  </si>
  <si>
    <t>Carnes y pescados 2</t>
  </si>
  <si>
    <t>Puntales de zanja</t>
  </si>
  <si>
    <t>Alambre para imanes</t>
  </si>
  <si>
    <t>Equipo aislante para invernadero</t>
  </si>
  <si>
    <t>Cuchillos marcadores de vidrio histológicos</t>
  </si>
  <si>
    <t>Cables para oxímetros de pulso</t>
  </si>
  <si>
    <t>Kits de electrostática</t>
  </si>
  <si>
    <t>Pantallas de control de contaminación</t>
  </si>
  <si>
    <t>Clorhidrato de triflupromazina</t>
  </si>
  <si>
    <t>Plantilla de alimentador</t>
  </si>
  <si>
    <t>Ensambles de barras atornilladas de inconel</t>
  </si>
  <si>
    <t>Combinación de acetaminofen y clorfeniramina</t>
  </si>
  <si>
    <t>Visores de sol</t>
  </si>
  <si>
    <t>Servicios bancarios gubernamentales o centrales</t>
  </si>
  <si>
    <t>Forjas de aleación ferrosa maquinadas por reducción</t>
  </si>
  <si>
    <t>Ensambles de láminas soldadas con soldadura solvente no metálica</t>
  </si>
  <si>
    <t>Batutas</t>
  </si>
  <si>
    <t>51101578</t>
  </si>
  <si>
    <t>42142402</t>
  </si>
  <si>
    <t>Cepillos para paladares o prótesis dentales</t>
  </si>
  <si>
    <t>Cuchillos de diversas aplicaciones</t>
  </si>
  <si>
    <t>Iluminación exterior para buques o barcos</t>
  </si>
  <si>
    <t>Harina vegetal</t>
  </si>
  <si>
    <t>Filtro de cama de sílice</t>
  </si>
  <si>
    <t>Kits de barreras de piel o cuidado protector para ostomía</t>
  </si>
  <si>
    <t>Transmisiones hidrostáticas</t>
  </si>
  <si>
    <t>Sistemas de remoción de yeso</t>
  </si>
  <si>
    <t>Accesorios o suministros de elevador forklift o transportador vertical</t>
  </si>
  <si>
    <t>Activadores del adhesivo</t>
  </si>
  <si>
    <t>Equipos de transparencias o suministros</t>
  </si>
  <si>
    <t>Paregorico</t>
  </si>
  <si>
    <t>Aplanadoras calentadoras de la superficie de la carretera</t>
  </si>
  <si>
    <t>Didanosina</t>
  </si>
  <si>
    <t>Ensambles de tubería con soldadura sónica de cobre</t>
  </si>
  <si>
    <t>Tetraciclina</t>
  </si>
  <si>
    <t>Pieles para manualidades</t>
  </si>
  <si>
    <t>49131505</t>
  </si>
  <si>
    <t>Semillas o plántulas de azafrán</t>
  </si>
  <si>
    <t>Servicios de prevención o control de enfermedades diarreicas</t>
  </si>
  <si>
    <t>Tabaco para mascar</t>
  </si>
  <si>
    <t>Personal profesional permanente</t>
  </si>
  <si>
    <t>Accesorios de herramientas para halar el cable de recuperación</t>
  </si>
  <si>
    <t>Ensambles de barras remachadas de aleación hast x</t>
  </si>
  <si>
    <t>Memoria de acceso aleatorio (ram)</t>
  </si>
  <si>
    <t>Servicios de registro mediante tubería flexible contínua</t>
  </si>
  <si>
    <t>Lingotes de latón</t>
  </si>
  <si>
    <t>Sujetadores de cabeza redonda</t>
  </si>
  <si>
    <t>Software discos compactos cd o dvd o tarjetas de sonido</t>
  </si>
  <si>
    <t>Bandeja de flujo de elemento calcino</t>
  </si>
  <si>
    <t>Monitores simples de gas</t>
  </si>
  <si>
    <t>Bronquitis infecciosa aviar</t>
  </si>
  <si>
    <t>Retardadores ópticos</t>
  </si>
  <si>
    <t>Aceites sintéticos</t>
  </si>
  <si>
    <t>Componentes plásticos maquinados por extrusión en frío</t>
  </si>
  <si>
    <t>Software de servidor de aplicaciones</t>
  </si>
  <si>
    <t>Almohadillas para restregar</t>
  </si>
  <si>
    <t>Foscarnet sódico</t>
  </si>
  <si>
    <t>Mesilato de pergolida</t>
  </si>
  <si>
    <t>Clorhidrato de tiagabina</t>
  </si>
  <si>
    <t>Kits de purificación de ácido ribonucleico rna total</t>
  </si>
  <si>
    <t>Servicios relacionados con el internet</t>
  </si>
  <si>
    <t>Estudio de emplazamientos de fundición</t>
  </si>
  <si>
    <t>Teteras o cafeteras para servicio de comidas</t>
  </si>
  <si>
    <t>Equipo de inspección o recolección de huevos</t>
  </si>
  <si>
    <t>Ayudas para medir para los discapacitados físicamente</t>
  </si>
  <si>
    <t>Placa de níquel</t>
  </si>
  <si>
    <t>Secadores de uñas</t>
  </si>
  <si>
    <t>Recipientes multipropósito para usos médicos</t>
  </si>
  <si>
    <t>Paquetes de muebles de salas de juntas no modulares</t>
  </si>
  <si>
    <t>Instrumentos para doblar para uso quirúrgico</t>
  </si>
  <si>
    <t>Temporizadores de oxígeno</t>
  </si>
  <si>
    <t>Afiches o cuadros de historia</t>
  </si>
  <si>
    <t>Imiquimod</t>
  </si>
  <si>
    <t>Tropicamida</t>
  </si>
  <si>
    <t>Objetos de bronce fundidos por moldeo en cáscara</t>
  </si>
  <si>
    <t>Ensambles de láminas soldadas con soldadura solvente de aleación wasp</t>
  </si>
  <si>
    <t>Accesorios para máquinas de correo</t>
  </si>
  <si>
    <t>Posicionadores de implantes para uso quirúrgico</t>
  </si>
  <si>
    <t>Tapones de puente</t>
  </si>
  <si>
    <t>Membranas dializadoras para aparatos de hemodiálisis</t>
  </si>
  <si>
    <t>Aparatos de detección para objetos no metálicos</t>
  </si>
  <si>
    <t>72101601</t>
  </si>
  <si>
    <t>Platina de cobre</t>
  </si>
  <si>
    <t>Ensambles de tubos remachados de latón</t>
  </si>
  <si>
    <t>Elementos de trabajo o canales de trabajo para endoscopia</t>
  </si>
  <si>
    <t>Elastómeros de prótesis maxilofacial extra oral</t>
  </si>
  <si>
    <t>Misiles de crucero</t>
  </si>
  <si>
    <t>Papel cebolla</t>
  </si>
  <si>
    <t>Deshumidificadores</t>
  </si>
  <si>
    <t>Calentadores de agua comerciales</t>
  </si>
  <si>
    <t>Pintura en pasta para cuerpo o cara</t>
  </si>
  <si>
    <t>Higrómetros</t>
  </si>
  <si>
    <t>Carretillas</t>
  </si>
  <si>
    <t>Bolsas de herramientas</t>
  </si>
  <si>
    <t>Bridas de remate</t>
  </si>
  <si>
    <t>Hidrocloruro de prazosín</t>
  </si>
  <si>
    <t>Colorantes ftaleínicos</t>
  </si>
  <si>
    <t>Servicios de registro de micro resistencia</t>
  </si>
  <si>
    <t>Mosquiteros</t>
  </si>
  <si>
    <t>Ensambles estructurales con soldadura de fuerte o débil de acero al carbono</t>
  </si>
  <si>
    <t>Inyectores de cavidad para embalsamar</t>
  </si>
  <si>
    <t>Libros de recursos o de actividades de álgebra</t>
  </si>
  <si>
    <t>Martillos para uso odontológico</t>
  </si>
  <si>
    <t>42312003</t>
  </si>
  <si>
    <t>Glutaratos</t>
  </si>
  <si>
    <t>Cubiertas para lentes</t>
  </si>
  <si>
    <t>Ensambles de láminas atornilladas de titanio</t>
  </si>
  <si>
    <t>Objetos fundidos maquinados por proceso v de cobre</t>
  </si>
  <si>
    <t>Máquinas expendedoras de pólizas de seguros</t>
  </si>
  <si>
    <t>Insuflador de oxígeno o sus accesorios</t>
  </si>
  <si>
    <t>Software de centro de contactos</t>
  </si>
  <si>
    <t>EXCEPCIÓN - RESOLUCIÓN 15-08 SOBRE COMPRA Y CONTRATACIÓN DE PASAJE AÉREO, COMBUSTIBLE Y REPARACIÓN DE VEHÍCULOS DE MOTOR</t>
  </si>
  <si>
    <t>Servicios de fabricación de productos de concreto o agregados o piedra</t>
  </si>
  <si>
    <t>Poliolefínico</t>
  </si>
  <si>
    <t>40151522</t>
  </si>
  <si>
    <t>Forros para las cabezas de los tacos de golf</t>
  </si>
  <si>
    <t>Aceleradores de tarro del cable de recuperación</t>
  </si>
  <si>
    <t>Puntos obturadores de uso odontológico</t>
  </si>
  <si>
    <t>Palas excavadoras</t>
  </si>
  <si>
    <t>Clubes deportivos de caza o tiro</t>
  </si>
  <si>
    <t>Ensambles de placas soldadas con solvente de aleación hast x</t>
  </si>
  <si>
    <t>Sets de instrumentos para cirugía ortopédica</t>
  </si>
  <si>
    <t>Proyecciones de las exportaciones</t>
  </si>
  <si>
    <t>Perfiles de magnesio</t>
  </si>
  <si>
    <t>Guías de referencia de geometría</t>
  </si>
  <si>
    <t>Teléfonos de pago</t>
  </si>
  <si>
    <t>Benzoato de bencilo</t>
  </si>
  <si>
    <t>Absorbentes de radiaciones nucleares</t>
  </si>
  <si>
    <t>Ensamblajes de unidades de tubos de aparatos de rayos x para uso médico</t>
  </si>
  <si>
    <t>Marcos o elevadores de cobijas</t>
  </si>
  <si>
    <t>Tiaprida</t>
  </si>
  <si>
    <t>Agarres para uso quirúrgico</t>
  </si>
  <si>
    <t>Herramientas de colocación de compuestos</t>
  </si>
  <si>
    <t>Disolvente deuterado</t>
  </si>
  <si>
    <t>42221512</t>
  </si>
  <si>
    <t>Plantilla maestro</t>
  </si>
  <si>
    <t>BIENES</t>
  </si>
  <si>
    <t>Válvulas de orificio</t>
  </si>
  <si>
    <t>Ensambles de tubos pegados de aluminio</t>
  </si>
  <si>
    <t>Gestrinona</t>
  </si>
  <si>
    <t>Detectores cromatográficos</t>
  </si>
  <si>
    <t>Procesadores de película de offset</t>
  </si>
  <si>
    <t>Tapa oídos</t>
  </si>
  <si>
    <t>Compresas de película transparente</t>
  </si>
  <si>
    <t>Estavidina</t>
  </si>
  <si>
    <t>Latón en placa labrada</t>
  </si>
  <si>
    <t>Maquinaria de formar, rellenar o sellar</t>
  </si>
  <si>
    <t>Enderezadores de eje de producción de campo petrolero</t>
  </si>
  <si>
    <t>Convertidores de torque</t>
  </si>
  <si>
    <t>Aisladores para disipadores de calor</t>
  </si>
  <si>
    <t>Transportadores de redes de pesca</t>
  </si>
  <si>
    <t>Objetos maquinados en molde permanente de compuestos fundidos</t>
  </si>
  <si>
    <t>Unidades de tubería flexible</t>
  </si>
  <si>
    <t>Trampas o contenedores de recolección de especímenes para uso quirúrgico</t>
  </si>
  <si>
    <t>Tazas o botellas para administrar medicamentos o accesorios</t>
  </si>
  <si>
    <t>Netilmicina</t>
  </si>
  <si>
    <t>Objetos maquinados de estaño fundidos en molde de yeso</t>
  </si>
  <si>
    <t>Semillas o plántulas de melón</t>
  </si>
  <si>
    <t>Ensambles de placas soldadas con soldadura ultra violeta de titanio</t>
  </si>
  <si>
    <t>Equipos de registro de producción</t>
  </si>
  <si>
    <t>Motores de cohete con propulsión sólida</t>
  </si>
  <si>
    <t>Cubiertas para estetoscopios de cabeza</t>
  </si>
  <si>
    <t>Indicadores de gas</t>
  </si>
  <si>
    <t>Cepillos o recogedores para polvo</t>
  </si>
  <si>
    <t>Uniformes de policías</t>
  </si>
  <si>
    <t>Tarjetas didácticas de restas</t>
  </si>
  <si>
    <t>41112220</t>
  </si>
  <si>
    <t>Dispositivos para compartir líneas telefónicas</t>
  </si>
  <si>
    <t>Materiales didácticos de medicina</t>
  </si>
  <si>
    <t>Sillas para examen dental o partes relacionadas o accesorios</t>
  </si>
  <si>
    <t>Colchas</t>
  </si>
  <si>
    <t>Servicios de reestructuración de  barrios marginales</t>
  </si>
  <si>
    <t>Diferenciales</t>
  </si>
  <si>
    <t>13102029</t>
  </si>
  <si>
    <t>Metimazol</t>
  </si>
  <si>
    <t>Cadenas corrientes</t>
  </si>
  <si>
    <t>Pañales para adulto</t>
  </si>
  <si>
    <t>Neutralizador (depurador) de aire</t>
  </si>
  <si>
    <t>Baños termostáticos</t>
  </si>
  <si>
    <t>Mesas móviles</t>
  </si>
  <si>
    <t>31171527</t>
  </si>
  <si>
    <t>Servicios hospitalarios ginecológicos u obstétricos</t>
  </si>
  <si>
    <t>Proteínas de control o lisados celulares o lisados de tejidos</t>
  </si>
  <si>
    <t>Conos para tallado o máquinas pulidoras para uso odontológico</t>
  </si>
  <si>
    <t>Servicios de fracturación  del pozo con fluidos a base de aceite</t>
  </si>
  <si>
    <t>Extrusiones por impacto de aleación no ferrosa</t>
  </si>
  <si>
    <t>Nasofaringoscopios o accesorios</t>
  </si>
  <si>
    <t>72101803</t>
  </si>
  <si>
    <t>Sistemas de refracción sísmicos</t>
  </si>
  <si>
    <t>Servicios de escuelas de aviación</t>
  </si>
  <si>
    <t>Plataformas auto – elevadoras para el reacondicionamiento</t>
  </si>
  <si>
    <t>Introductores de catéteres o sets de diagnóstico o intervención vascular</t>
  </si>
  <si>
    <t>Tazas dosificadoras</t>
  </si>
  <si>
    <t>Papel magnético</t>
  </si>
  <si>
    <t>Convertidores catalíticos</t>
  </si>
  <si>
    <t>Casas de operadores</t>
  </si>
  <si>
    <t>Servicios de registro de lodo</t>
  </si>
  <si>
    <t>Servicios de grabación de la superficie en el emplazamiento del pozo</t>
  </si>
  <si>
    <t>Lactulosa</t>
  </si>
  <si>
    <t>Nizao Las Auyamas</t>
  </si>
  <si>
    <t>Teclas de telégrafo</t>
  </si>
  <si>
    <t>Botellas de cristal</t>
  </si>
  <si>
    <t>Dimercaprol</t>
  </si>
  <si>
    <t>Equipo de elevación de tubería flexible</t>
  </si>
  <si>
    <t>Caballetes de presentación</t>
  </si>
  <si>
    <t>Anclaje de tubería</t>
  </si>
  <si>
    <t>Asientos de inodoro para los discapacitados físicamente</t>
  </si>
  <si>
    <t>Bálsamo labial</t>
  </si>
  <si>
    <t>Plantilla de captación</t>
  </si>
  <si>
    <t>Benzonatato</t>
  </si>
  <si>
    <t>Análisis monetario</t>
  </si>
  <si>
    <t>Servicios de extracción de testigos mediante cable conductor recuperable</t>
  </si>
  <si>
    <t>Anteojos</t>
  </si>
  <si>
    <t>Componentes de aluminio maquinados por extrusión hidrostática</t>
  </si>
  <si>
    <t>Contadores de semillas</t>
  </si>
  <si>
    <t>KM2</t>
  </si>
  <si>
    <t>Investigación tributaria</t>
  </si>
  <si>
    <t>Forjaduras en estampa de impresión de estaño</t>
  </si>
  <si>
    <t>Objetos maquinados de acero inoxidable fundidos en arena</t>
  </si>
  <si>
    <t>Puntas de pipeta de volumen variable</t>
  </si>
  <si>
    <t>Mantenimiento o soporte de redes de área local (lan)</t>
  </si>
  <si>
    <t>CM2</t>
  </si>
  <si>
    <t>Turba</t>
  </si>
  <si>
    <t>Aceites vegetales o  de planta comestibles</t>
  </si>
  <si>
    <t>Materiales de enseñanza de desarrollo de aptitudes sociales</t>
  </si>
  <si>
    <t>Tratamientos faciales o corporales</t>
  </si>
  <si>
    <t>Cañones para quitar nieve</t>
  </si>
  <si>
    <t>Semillas o plántulas cebolla</t>
  </si>
  <si>
    <t>Ensambles de barras atornilladas de cobre</t>
  </si>
  <si>
    <t>Balanzas mecánicas</t>
  </si>
  <si>
    <t>Andalucita</t>
  </si>
  <si>
    <t>Escopetas para deportes</t>
  </si>
  <si>
    <t>Ensambles de placas soldadas con soldadura fuerte o débil de aluminio</t>
  </si>
  <si>
    <t>Limpiadores de superficie de contacto</t>
  </si>
  <si>
    <t>Limpiadores de lentes</t>
  </si>
  <si>
    <t>Yoduro de sodio</t>
  </si>
  <si>
    <t>Calentadores de pernos</t>
  </si>
  <si>
    <t>Bóvedas reproducidas</t>
  </si>
  <si>
    <t>Plomo para blindaje contra la radiación</t>
  </si>
  <si>
    <t>Ensambles de tubos soldados con soldadura ultra violeta de latón</t>
  </si>
  <si>
    <t>Pala cargadora</t>
  </si>
  <si>
    <t>Naipes de figuras grandes o braille para los discapacitados físicamente</t>
  </si>
  <si>
    <t>Iridio</t>
  </si>
  <si>
    <t>Mezcladora cambiadora</t>
  </si>
  <si>
    <t>Vacuna contra el virus de la rubeola</t>
  </si>
  <si>
    <t>42311502</t>
  </si>
  <si>
    <t>Dosímetros fantasma</t>
  </si>
  <si>
    <t>Solución de rehidratación oral</t>
  </si>
  <si>
    <t>Congeladores verticales</t>
  </si>
  <si>
    <t>Objetos fundidos maquinados por proceso v de aleaciones ferrosas</t>
  </si>
  <si>
    <t>Rampas para muelles</t>
  </si>
  <si>
    <t>Kits de tablillas estabilizadoras</t>
  </si>
  <si>
    <t>Chimeneas industriales</t>
  </si>
  <si>
    <t>Servicios de pasaportes</t>
  </si>
  <si>
    <t>51172107</t>
  </si>
  <si>
    <t>Trampas de burbujas de perfusión</t>
  </si>
  <si>
    <t>Máquinas o accesorios de corazón y pulmones</t>
  </si>
  <si>
    <t>Sujetadores de fresas para uso odontológico</t>
  </si>
  <si>
    <t>Levotiroxina</t>
  </si>
  <si>
    <t>Forjaduras en estampa cerrada de estaño</t>
  </si>
  <si>
    <t>Forjas no metálicos maquinadas por anillo enrollado</t>
  </si>
  <si>
    <t>Xinafoato de salmeterol</t>
  </si>
  <si>
    <t>44121627</t>
  </si>
  <si>
    <t>Cadenas de los engranajes conductores</t>
  </si>
  <si>
    <t>Brocas</t>
  </si>
  <si>
    <t>Fuelles eléctricos</t>
  </si>
  <si>
    <t>Software de versiones de archivo</t>
  </si>
  <si>
    <t>Solidificadores de fluidos para uso médico</t>
  </si>
  <si>
    <t>Rollos para cubrir la mesa para servicio de comidas</t>
  </si>
  <si>
    <t>Pinzas de revelado</t>
  </si>
  <si>
    <t>Ensambles de tubos pegados de inconel</t>
  </si>
  <si>
    <t>Kits de demostración de materia</t>
  </si>
  <si>
    <t>Cables de extensión para teléfonos</t>
  </si>
  <si>
    <t>Papel hecho a mano</t>
  </si>
  <si>
    <t>Tiacetazona</t>
  </si>
  <si>
    <t>Servicios de cáterin en la obra o lugar de trabajo</t>
  </si>
  <si>
    <t>Ventanas de vidrio de plomo para recintos radiactivos</t>
  </si>
  <si>
    <t>Conductos o red de conductos de cemento</t>
  </si>
  <si>
    <t>Sellantes</t>
  </si>
  <si>
    <t>Accesorios para productos de sistemas de entrega de oxígeno para terapia o sus suministros</t>
  </si>
  <si>
    <t>Tarjetas inteligentes</t>
  </si>
  <si>
    <t>Cotuí</t>
  </si>
  <si>
    <t>Kits de plantillas de mapas</t>
  </si>
  <si>
    <t>Inyectores de combustible</t>
  </si>
  <si>
    <t>Equipo de medición de resistencia calibrada</t>
  </si>
  <si>
    <t>Toallas de manos</t>
  </si>
  <si>
    <t>Instalaciones de campin para vehículos recreativos</t>
  </si>
  <si>
    <t>Lomefloxacina cloridrato</t>
  </si>
  <si>
    <t>Herramientas de tallar</t>
  </si>
  <si>
    <t>Máquinas limpiadoras de semillas, grano o legumbres secas</t>
  </si>
  <si>
    <t>Unidades de presión de sangre electrónicas</t>
  </si>
  <si>
    <t>Mesas de ruedas</t>
  </si>
  <si>
    <t>Ensambles de tubería remachada de aleación wasp</t>
  </si>
  <si>
    <t>Forjas de zinc maquinadas con impresión por troquel</t>
  </si>
  <si>
    <t>Barandas</t>
  </si>
  <si>
    <t>Mezclas de suplemento hollenberg para levaduras</t>
  </si>
  <si>
    <t>Cosecha de plantaciones</t>
  </si>
  <si>
    <t>Ventanas de lentes infrarrojos o de láser</t>
  </si>
  <si>
    <t>Silicatos</t>
  </si>
  <si>
    <t>Materiales de enseñanza  de formación para el manejo de la ira</t>
  </si>
  <si>
    <t>Bujía de encendido</t>
  </si>
  <si>
    <t>Bloques con letras o números</t>
  </si>
  <si>
    <t>Agencias de viajes</t>
  </si>
  <si>
    <t>Secadores para tratamiento de agua</t>
  </si>
  <si>
    <t>Catálogos</t>
  </si>
  <si>
    <t>Camión grúas</t>
  </si>
  <si>
    <t>Piñatas</t>
  </si>
  <si>
    <t>Líneas completas de tren motor</t>
  </si>
  <si>
    <t>Soportes para diarios o calendarios</t>
  </si>
  <si>
    <t>Servicios de cobro de la deuda</t>
  </si>
  <si>
    <t>Cuerpos de cilindro hidráulico</t>
  </si>
  <si>
    <t>Salsas para cocinar</t>
  </si>
  <si>
    <t>Ojos móviles autoadhesivos</t>
  </si>
  <si>
    <t>Ensambles de barras soldadas con solvente no metálica</t>
  </si>
  <si>
    <t>Servicios sobre derecho de divorcio</t>
  </si>
  <si>
    <t>Batería de carbono zinc</t>
  </si>
  <si>
    <t>Estabilizadores horizontales de avión</t>
  </si>
  <si>
    <t>Removedor de óxido</t>
  </si>
  <si>
    <t>Aislamiento de espuma</t>
  </si>
  <si>
    <t>Compuestos para suavizar el agua</t>
  </si>
  <si>
    <t>Servicios de escolarización primaria para personas discapacitadas</t>
  </si>
  <si>
    <t>42132205</t>
  </si>
  <si>
    <t>Servicios de planificación de la terminación del pozo</t>
  </si>
  <si>
    <t>Sujetadores o estuches de anteojos</t>
  </si>
  <si>
    <t>GAL</t>
  </si>
  <si>
    <t>Cascos protectores de cabeza o cara o dispositivos o accesorios para los discapacitados físicamente</t>
  </si>
  <si>
    <t>Pipeta de un solo canal electrónicas</t>
  </si>
  <si>
    <t>Tiza de billar</t>
  </si>
  <si>
    <t>Disipador de sobretensiones de estaciones de maniobra</t>
  </si>
  <si>
    <t>Multas u honorarios de procesos penales</t>
  </si>
  <si>
    <t>Ensalada preparada congelada</t>
  </si>
  <si>
    <t>Pantallas de soporte para filtros</t>
  </si>
  <si>
    <t>46191608</t>
  </si>
  <si>
    <t>Servicios de control o  administración de excedentes o escasez de alimentos</t>
  </si>
  <si>
    <t>Servicios de redacción de cartas</t>
  </si>
  <si>
    <t>Servicios de diseño de sitios web www</t>
  </si>
  <si>
    <t>Kits o vectores de expresión de virus mediado</t>
  </si>
  <si>
    <t>Hidrotratador de nafta</t>
  </si>
  <si>
    <t>Columnas para cromatografía líquida de alta presión hplc</t>
  </si>
  <si>
    <t>Paraldehído</t>
  </si>
  <si>
    <t>Ensambles de láminas pegadas de acero al carbono</t>
  </si>
  <si>
    <t>Chapa de aleación de berilio</t>
  </si>
  <si>
    <t>Tubos de drenaje de venas para embalsamar</t>
  </si>
  <si>
    <t>Bolas de billar</t>
  </si>
  <si>
    <t>Cajones o estantes para tableros</t>
  </si>
  <si>
    <t>50111510</t>
  </si>
  <si>
    <t>Papel para dibujo de calcar o pergamino</t>
  </si>
  <si>
    <t>Hachas de mano</t>
  </si>
  <si>
    <t>Componentes de aleación de níquel formados por estiramiento</t>
  </si>
  <si>
    <t>Fieltros de recubrimiento ortopédico para el antebrazo o la muñeca o el pulgar</t>
  </si>
  <si>
    <t>Pernos ciegos</t>
  </si>
  <si>
    <t>Dornasa alfa</t>
  </si>
  <si>
    <t>Mezcladora con doble brazo amasador</t>
  </si>
  <si>
    <t>Gabinetes de impresora</t>
  </si>
  <si>
    <t>Instalación de claraboyas</t>
  </si>
  <si>
    <t>Ensambles estructurales con soldadura ultra violeta de acero de aleación baja</t>
  </si>
  <si>
    <t>Unidades de despliegue para entomología</t>
  </si>
  <si>
    <t>Dispensadores de agua caliente</t>
  </si>
  <si>
    <t>Servicio de tapador de pruebas de la varilla de barrena</t>
  </si>
  <si>
    <t>Dispensadores de agua embotellada o accesorios</t>
  </si>
  <si>
    <t>Duplicadores de rayos x para uso odontológico</t>
  </si>
  <si>
    <t>Flotadores</t>
  </si>
  <si>
    <t>Pastas abrasivas de uso odontológico</t>
  </si>
  <si>
    <t>Clorhidrato de viquidil</t>
  </si>
  <si>
    <t>Plantilla de boquilla</t>
  </si>
  <si>
    <t>Vacuna contra el virus de hepatitis b</t>
  </si>
  <si>
    <t>Componentes no metálicos maquinados por extrusión hidrostática</t>
  </si>
  <si>
    <t>Servicios de protección contra la contaminación del aire</t>
  </si>
  <si>
    <t>Limpiador de fusores</t>
  </si>
  <si>
    <t>Silbatos</t>
  </si>
  <si>
    <t>51111605</t>
  </si>
  <si>
    <t>Asientos rebotadores para bebés</t>
  </si>
  <si>
    <t>Holmio ho</t>
  </si>
  <si>
    <t>Cubiertas de circuitos integrados</t>
  </si>
  <si>
    <t>Objetos de estaño fundidos por moldeo en cáscara</t>
  </si>
  <si>
    <t>Dispositivo para balancear la carga del servidor</t>
  </si>
  <si>
    <t>CIBAO SUR</t>
  </si>
  <si>
    <t>Servicios de fumigación  de plantas o árboles ornamentales</t>
  </si>
  <si>
    <t>Kits de matemáticas para sumar</t>
  </si>
  <si>
    <t>Timpanómetros o sus accesorios</t>
  </si>
  <si>
    <t>Cuatrimoto</t>
  </si>
  <si>
    <t>Cañas de timones</t>
  </si>
  <si>
    <t>Pesas o sets o accesorios para rehabilitación o terapia</t>
  </si>
  <si>
    <t>Objetos maquinados de hierro fundidos a la cera perdida</t>
  </si>
  <si>
    <t>Maquinas para encintar</t>
  </si>
  <si>
    <t>Piezas hechas en torno de roscar no metales</t>
  </si>
  <si>
    <t>Ensambles de placas soldadas con soldadura sónica no metálica</t>
  </si>
  <si>
    <t>Publicidad en afiches</t>
  </si>
  <si>
    <t>Componentes no metálicos formados con explosivos</t>
  </si>
  <si>
    <t>Aretes de joyería fina</t>
  </si>
  <si>
    <t>Ensamblajes rectificadores de aparatos de rayos x radiográficos para uso médico</t>
  </si>
  <si>
    <t>Bolsitas de fríjoles (beanbags)</t>
  </si>
  <si>
    <t>Bombillos de pipetas</t>
  </si>
  <si>
    <t>Excepción - Construcción, instalación o adquisición de oficinas para el servicio exterior</t>
  </si>
  <si>
    <t>Inmunoglobulina rho d</t>
  </si>
  <si>
    <t>Máquinas dosificadoras de barrena para llenado o cerrado hermético</t>
  </si>
  <si>
    <t>Servicios de llenado con líquido</t>
  </si>
  <si>
    <t>Película anti-estática para empacar</t>
  </si>
  <si>
    <t>Acetato de megestrol</t>
  </si>
  <si>
    <t>Equipo viajero</t>
  </si>
  <si>
    <t>Cápsulas de amalgama para uso odontológico</t>
  </si>
  <si>
    <t>20101804</t>
  </si>
  <si>
    <t>Espesantes de combustible</t>
  </si>
  <si>
    <t>Acetileno</t>
  </si>
  <si>
    <t>Espumas de caucho</t>
  </si>
  <si>
    <t>Prilocaina</t>
  </si>
  <si>
    <t>Removedores de tinta de huellas dactilares</t>
  </si>
  <si>
    <t>Árnica</t>
  </si>
  <si>
    <t>Servicios de producción de pesticidas</t>
  </si>
  <si>
    <t>Iodeto de ecotiofato</t>
  </si>
  <si>
    <t>Equipos de conexión cruzada óptica</t>
  </si>
  <si>
    <t>Series de disco duro</t>
  </si>
  <si>
    <t>Accesorios para brilladoras de pisos</t>
  </si>
  <si>
    <t>Detectores de burbujas de aire o espuma o coágulos, o trampas o alarmas para unidades de hemodiálisis</t>
  </si>
  <si>
    <t>Nitrato de amilo</t>
  </si>
  <si>
    <t>Acoples de flujo</t>
  </si>
  <si>
    <t>Carpintería o chapistería de acabados</t>
  </si>
  <si>
    <t>Judías en conserva o en lata</t>
  </si>
  <si>
    <t>Clortalidona</t>
  </si>
  <si>
    <t>Estucado</t>
  </si>
  <si>
    <t>Componentes de latón formados por estiramiento</t>
  </si>
  <si>
    <t>Encuestas impresas para investigaciones de mercado</t>
  </si>
  <si>
    <t>Equipo de granel líquido para control de arena</t>
  </si>
  <si>
    <t>Espátulas</t>
  </si>
  <si>
    <t>Estampables presensibilizados</t>
  </si>
  <si>
    <t>Paneles de proyección de despliegue de cristal líquido</t>
  </si>
  <si>
    <t>Servicios de elaboración de quesos</t>
  </si>
  <si>
    <t>HILOS QUIRURGICOS</t>
  </si>
  <si>
    <t>Juegos de estrategia</t>
  </si>
  <si>
    <t>Trampas pegajosas para entomología</t>
  </si>
  <si>
    <t>12181503</t>
  </si>
  <si>
    <t>Maquinaria para soldadura de plasma</t>
  </si>
  <si>
    <t>Servicios de diseño o evaluación de topografía sísmica</t>
  </si>
  <si>
    <t>Software de interruptor o enrutador</t>
  </si>
  <si>
    <t>Dispositivos de entrada de teletipos</t>
  </si>
  <si>
    <t>Barro Arriba</t>
  </si>
  <si>
    <t>Clobazam</t>
  </si>
  <si>
    <t>Argatroban</t>
  </si>
  <si>
    <t>Detectores de radar</t>
  </si>
  <si>
    <t>Extrusiones por impacto de acero inoxidable</t>
  </si>
  <si>
    <t>Hospedajes de cama y desayuno</t>
  </si>
  <si>
    <t>Centrales eléctricas geotérmicas</t>
  </si>
  <si>
    <t>Caños</t>
  </si>
  <si>
    <t>Máquinas de soldadura por fusión o de estirado de vidrio</t>
  </si>
  <si>
    <t>Tubos o accesorios para drenaje urinario</t>
  </si>
  <si>
    <t>Inhibidor de la esterasa</t>
  </si>
  <si>
    <t>Recubrimientos para colchones</t>
  </si>
  <si>
    <t>Servicios de diseño de las tareas con tubería flexible continua</t>
  </si>
  <si>
    <t>Separadores de dientes para uso odontológico</t>
  </si>
  <si>
    <t>Eventos deportivos profesionales patrocinados por empresas</t>
  </si>
  <si>
    <t>Servicios de transmisión telegráfica</t>
  </si>
  <si>
    <t>Forjas compuestas maquinadas con troquel abierto</t>
  </si>
  <si>
    <t>Analizadores de función visual para uso oftálmico</t>
  </si>
  <si>
    <t>Servicios de registro de las brocas de perforación del campo petrolero</t>
  </si>
  <si>
    <t>Inversiones unidas de fosfato</t>
  </si>
  <si>
    <t>Ensambles estructurales atornillados de cobre</t>
  </si>
  <si>
    <t>Soluciones o cremas para electrodos</t>
  </si>
  <si>
    <t>Bridas de casquillo para soldar</t>
  </si>
  <si>
    <t>Distribuidoras de agregados</t>
  </si>
  <si>
    <t>Componentes de magnesio maquinados por extrusión en frío</t>
  </si>
  <si>
    <t>Herramientas para mosaicos</t>
  </si>
  <si>
    <t>Interruptores variables</t>
  </si>
  <si>
    <t>Gusanos de seda</t>
  </si>
  <si>
    <t>Movimientos o servicios de activistas ecológicos</t>
  </si>
  <si>
    <t>Accesorios o aditamentos para mezcladores o sacudidores</t>
  </si>
  <si>
    <t>Villa Tapia</t>
  </si>
  <si>
    <t>Ingeniería estructural</t>
  </si>
  <si>
    <t>Subsalicilato de bismuto</t>
  </si>
  <si>
    <t>Sistemas decorativos de almacenaje</t>
  </si>
  <si>
    <t>Colgadores de línea</t>
  </si>
  <si>
    <t>Almacenamiento de equipos de educación física</t>
  </si>
  <si>
    <t>Cobijas para emergencias o rescates</t>
  </si>
  <si>
    <t>Pintura para vidrio o cerámica de sistema de marcador</t>
  </si>
  <si>
    <t>Griseofulvina</t>
  </si>
  <si>
    <t>51191603</t>
  </si>
  <si>
    <t>Tijeras para uso quirúrgico</t>
  </si>
  <si>
    <t>Ensambles de tubos soldados con soldadura fuerte o débil de cobre</t>
  </si>
  <si>
    <t>Software de respaldo o archivo</t>
  </si>
  <si>
    <t>Servicios de investigación genética</t>
  </si>
  <si>
    <t>Cohetes de lluvia</t>
  </si>
  <si>
    <t>Bandejas o agujas espinales</t>
  </si>
  <si>
    <t>Servicios transfronterizos de gestión o control de la contaminación del aire</t>
  </si>
  <si>
    <t>Ayudas de posicionamiento para imágenes de resonancia magnética mri para uso médico</t>
  </si>
  <si>
    <t>Aceite etiodizado</t>
  </si>
  <si>
    <t>COMPRAS DE INSUMOS  PARA INCART</t>
  </si>
  <si>
    <t>Casetes de detección o accesorios relacionados</t>
  </si>
  <si>
    <t>Camillas con ruedas o accesorios para el transporte de pacientes</t>
  </si>
  <si>
    <t>Productos para limpiar o brillar zapatos</t>
  </si>
  <si>
    <t>Ponchos de protección</t>
  </si>
  <si>
    <t>Ensambles de láminas soldadas con soldadura ultra violeta de latón</t>
  </si>
  <si>
    <t>Diseño de circuitos electrónicos</t>
  </si>
  <si>
    <t>Barras de montaje</t>
  </si>
  <si>
    <t>Termómetros de refrigerador o congelador de laboratorio</t>
  </si>
  <si>
    <t>Vestimentas</t>
  </si>
  <si>
    <t>Servicios de cuenta de depósito en garantía</t>
  </si>
  <si>
    <t xml:space="preserve">Compra dr bienes de fumigacion del incart </t>
  </si>
  <si>
    <t>Objetos de aleación ferrosa fundidos en molde cerámico</t>
  </si>
  <si>
    <t>Barcazas</t>
  </si>
  <si>
    <t>Servicios de cardiología</t>
  </si>
  <si>
    <t>Estuches para relojes</t>
  </si>
  <si>
    <t>Componentes de aluminio formados por estiramiento por presión</t>
  </si>
  <si>
    <t>Eritromicina</t>
  </si>
  <si>
    <t>Baños refrigerados</t>
  </si>
  <si>
    <t>Rejillas de agua</t>
  </si>
  <si>
    <t>Cucharas para examen de portadores de tifoidea</t>
  </si>
  <si>
    <t>Testosterona</t>
  </si>
  <si>
    <t>Servicios de subastas</t>
  </si>
  <si>
    <t>Servicios de cría de animales domésticos</t>
  </si>
  <si>
    <t>Furosemida</t>
  </si>
  <si>
    <t>Seguro de viaje</t>
  </si>
  <si>
    <t>Sistemas de selección de alto rendimiento hts en purificación de ácido nucleico</t>
  </si>
  <si>
    <t>Secadores de manos institucionales</t>
  </si>
  <si>
    <t>Calentadores de circulación</t>
  </si>
  <si>
    <t>Hidrato de cloral</t>
  </si>
  <si>
    <t>Marcadores lavables</t>
  </si>
  <si>
    <t>Ensambles de tubos atornillados de cobre</t>
  </si>
  <si>
    <t>Kits pulidores o de terminado para uso odontológico</t>
  </si>
  <si>
    <t>Mofetilo micofenolato</t>
  </si>
  <si>
    <t>Consulta de maquillaje</t>
  </si>
  <si>
    <t>Avión bombardero</t>
  </si>
  <si>
    <t>Máquinas de perforación de papel</t>
  </si>
  <si>
    <t>Servicios de fabricación de maquinaria o equipos agrícolas</t>
  </si>
  <si>
    <t>Botones decorativos</t>
  </si>
  <si>
    <t>Tableros o almohadillas para cortar patrones</t>
  </si>
  <si>
    <t>Maquinaria de lavado</t>
  </si>
  <si>
    <t>72102504</t>
  </si>
  <si>
    <t>Gorros o capuchas para cirujano</t>
  </si>
  <si>
    <t>Bobina de plomo</t>
  </si>
  <si>
    <t>Monitores múltiples de gas</t>
  </si>
  <si>
    <t>Moldeados de inyección de reacción de caucho</t>
  </si>
  <si>
    <t>Tinta de huellas dactilares</t>
  </si>
  <si>
    <t>Tornillos o fijadores o suministros relacionados de uso odontológico</t>
  </si>
  <si>
    <t>Toxoide tetánico</t>
  </si>
  <si>
    <t>Ácido valproico</t>
  </si>
  <si>
    <t>Combustible diesel</t>
  </si>
  <si>
    <t>Yoduro de metocurina</t>
  </si>
  <si>
    <t>Atorvastatina</t>
  </si>
  <si>
    <t>Fibras de acrílico</t>
  </si>
  <si>
    <t>Miligramo</t>
  </si>
  <si>
    <t>Experimentación espacial</t>
  </si>
  <si>
    <t>Señales de accidente</t>
  </si>
  <si>
    <t>Tapas de tubos para correo</t>
  </si>
  <si>
    <t>Hornos de caja programables</t>
  </si>
  <si>
    <t>MEDICAMENTOS ESPECIALES 4</t>
  </si>
  <si>
    <t>Láminas elásticas de embalaje</t>
  </si>
  <si>
    <t>47131603</t>
  </si>
  <si>
    <t>Servicios de geoparada</t>
  </si>
  <si>
    <t>Estuches o bolsas para técnicos médicos de emergencia emt</t>
  </si>
  <si>
    <t>Clorocresol</t>
  </si>
  <si>
    <t>Marcos para ventanas de apertura horizontal</t>
  </si>
  <si>
    <t>Soluciones reguladoras neutrales</t>
  </si>
  <si>
    <t>Servicios de política social</t>
  </si>
  <si>
    <t>Estabilizadores de arcilla inorgánica</t>
  </si>
  <si>
    <t>Sellos para correo</t>
  </si>
  <si>
    <t>Botas para niño</t>
  </si>
  <si>
    <t>Linóleo para impresión xilográfica</t>
  </si>
  <si>
    <t>Software de manejo de red óptica</t>
  </si>
  <si>
    <t>Isocarboxazida</t>
  </si>
  <si>
    <t>Elaboración propia de fincas  lecheras</t>
  </si>
  <si>
    <t>Seguro completo de proyectos</t>
  </si>
  <si>
    <t>Gluconato de quinidina</t>
  </si>
  <si>
    <t>Champús</t>
  </si>
  <si>
    <t>Controles de calidad o calibradores o estándares químicos</t>
  </si>
  <si>
    <t>Grapadoras</t>
  </si>
  <si>
    <t>Consumibles de impresión de offset</t>
  </si>
  <si>
    <t>Jarras para uso doméstico</t>
  </si>
  <si>
    <t>20122306</t>
  </si>
  <si>
    <t>Lavadoras de celdas de bancos de sangre</t>
  </si>
  <si>
    <t>Estufas para acampar o para exteriores</t>
  </si>
  <si>
    <t>Cámara fotocopiadora</t>
  </si>
  <si>
    <t>Pasadores de cono</t>
  </si>
  <si>
    <t>Tonómetros o accesorios para uso oftálmico</t>
  </si>
  <si>
    <t>Kits de viaje</t>
  </si>
  <si>
    <t>Servicios de medición de la densidad para registros de producción</t>
  </si>
  <si>
    <t>Gabinetes para casetes de tejidos o histología</t>
  </si>
  <si>
    <t>Convertidor de canales</t>
  </si>
  <si>
    <t>Gansos vivos</t>
  </si>
  <si>
    <t>Enchufes eléctricos</t>
  </si>
  <si>
    <t>Kits de accesorios de monitoreo para electrocardiografía ekg</t>
  </si>
  <si>
    <t>31161514</t>
  </si>
  <si>
    <t>Café instantáneo</t>
  </si>
  <si>
    <t>Servicios de departamentos gubernamentales</t>
  </si>
  <si>
    <t>Empaques para bombas</t>
  </si>
  <si>
    <t>Servicios de investigaciones patológicas</t>
  </si>
  <si>
    <t>Tela para lijar</t>
  </si>
  <si>
    <t>51161508</t>
  </si>
  <si>
    <t>Pan seco o cascaras de pan o pan tostado (crotones)</t>
  </si>
  <si>
    <t>Objetos maquinados de aleación ferrosa fundidos en molde de yeso</t>
  </si>
  <si>
    <t>Probadores de tensión</t>
  </si>
  <si>
    <t>Metilprednisolona</t>
  </si>
  <si>
    <t>Kits o materiales de enzimología</t>
  </si>
  <si>
    <t>Circuitos integrados monolíticos de memoria (mmic)</t>
  </si>
  <si>
    <t>Movimientos de protesta</t>
  </si>
  <si>
    <t>Juntas obturadoras de metal</t>
  </si>
  <si>
    <t>Servicios de red de valor agregado (van)</t>
  </si>
  <si>
    <t>Guías de referencia de la hora</t>
  </si>
  <si>
    <t>Sets de calibración de unidades de evaluación de función auditiva</t>
  </si>
  <si>
    <t>Cilindros hidráulicos</t>
  </si>
  <si>
    <t>Impresoras láser en seco para imágenes o reproductores de imágenes para uso médico</t>
  </si>
  <si>
    <t>Tensionadores o selladoras para zunchado</t>
  </si>
  <si>
    <t>Níquel</t>
  </si>
  <si>
    <t>Sindicatos de personal médico</t>
  </si>
  <si>
    <t>Tornillos de expansión para ortodoncia</t>
  </si>
  <si>
    <t>Cantidad Procesos Registrados</t>
  </si>
  <si>
    <t>Abridor de cartas mecánico</t>
  </si>
  <si>
    <t>Rifapentina</t>
  </si>
  <si>
    <t>Para la compra de Utensilios de cocina</t>
  </si>
  <si>
    <t>Columnas de burbuja</t>
  </si>
  <si>
    <t>Baterías de litio</t>
  </si>
  <si>
    <t>Pelotas de squash</t>
  </si>
  <si>
    <t>Materiales didácticos de manufactura</t>
  </si>
  <si>
    <t>Ventanas para visualizar el flujo</t>
  </si>
  <si>
    <t>Servicios de protección forestal</t>
  </si>
  <si>
    <t>Conductos o red de conductos de manganeso</t>
  </si>
  <si>
    <t>Atriles de mesa</t>
  </si>
  <si>
    <t>Uranio u</t>
  </si>
  <si>
    <t>Media o ayudas para apilar para los discapacitados físicamente</t>
  </si>
  <si>
    <t>Hilo de pesca</t>
  </si>
  <si>
    <t>Equipo de examen de penetración líquida</t>
  </si>
  <si>
    <t>Arandelas abiertas</t>
  </si>
  <si>
    <t>Puntos absorbentes de uso odontológico</t>
  </si>
  <si>
    <t>Pantuflas para hombre</t>
  </si>
  <si>
    <t>Flechas</t>
  </si>
  <si>
    <t>Sulfato de vincristina</t>
  </si>
  <si>
    <t>Procesadores de red</t>
  </si>
  <si>
    <t>Escalas</t>
  </si>
  <si>
    <t>Teclas o teclados</t>
  </si>
  <si>
    <t>Componentes no metálicos maquinados por extrusión en caliente</t>
  </si>
  <si>
    <t>Bancas cubículo (pupitres con bloqueo visual para evitar distracciones)</t>
  </si>
  <si>
    <t>Servicios de comediantes</t>
  </si>
  <si>
    <t>Tubos de rayos catódicos</t>
  </si>
  <si>
    <t>Válvulas neumáticas</t>
  </si>
  <si>
    <t>Buques refrigerados</t>
  </si>
  <si>
    <t>Kits de administración de transfusión de sangre</t>
  </si>
  <si>
    <t>Componentes de berilio estampados</t>
  </si>
  <si>
    <t>Gluconato de potasio</t>
  </si>
  <si>
    <t>Válvulas kelly</t>
  </si>
  <si>
    <t>Tuercas de cañón</t>
  </si>
  <si>
    <t>Poliuretano termoplástico rígido rptu</t>
  </si>
  <si>
    <t>Botellas de plástico</t>
  </si>
  <si>
    <t>Explosivos de polvo de nitroglicerina</t>
  </si>
  <si>
    <t>Cohosh negro</t>
  </si>
  <si>
    <t>30201803</t>
  </si>
  <si>
    <t>Levodopa</t>
  </si>
  <si>
    <t>Llave de la gasolina</t>
  </si>
  <si>
    <t>Sujetadores auto adhesivos</t>
  </si>
  <si>
    <t>Ciprofloxacina</t>
  </si>
  <si>
    <t>Oftalmómetros</t>
  </si>
  <si>
    <t>Estebanía</t>
  </si>
  <si>
    <t>Equipo de minería continua</t>
  </si>
  <si>
    <t>Molduras de metales ferrosos</t>
  </si>
  <si>
    <t>Eliminadores de sulfuro de hidrógeno</t>
  </si>
  <si>
    <t>Certificados de buena actitud</t>
  </si>
  <si>
    <t>Sistemas de levantamiento</t>
  </si>
  <si>
    <t>Árboles de tubos o accesorios para rehabilitación o terapia</t>
  </si>
  <si>
    <t>Bomba de desoldado</t>
  </si>
  <si>
    <t>Posadas o centros turísticos</t>
  </si>
  <si>
    <t>Revestimientos de joyería fina para reducir el tamaño de un anillo</t>
  </si>
  <si>
    <t>53102710</t>
  </si>
  <si>
    <t>Encerados</t>
  </si>
  <si>
    <t>Equipo de radio acceso</t>
  </si>
  <si>
    <t>Servicios de perforación de pozo</t>
  </si>
  <si>
    <t>Ensambles de barras soldadas con soldadura ultra violeta de aluminio</t>
  </si>
  <si>
    <t>Pantallas emisoras de luz orgánica</t>
  </si>
  <si>
    <t>Mapas o secuencias de reporteros de vectores por señal de transducción</t>
  </si>
  <si>
    <t>Cepillo para vegetales para uso doméstico</t>
  </si>
  <si>
    <t>Mezcladores de vértice</t>
  </si>
  <si>
    <t>Cámaras de offset</t>
  </si>
  <si>
    <t>Compras por debajo del Umbral</t>
  </si>
  <si>
    <t>Resortes para estampas</t>
  </si>
  <si>
    <t>Equipos y componentes de red básica móvil oss</t>
  </si>
  <si>
    <t>Forjaduras anulares laminadas de aleación no ferrosa</t>
  </si>
  <si>
    <t>CALIDAD (CERTIFICACION ISO-9001-2015)</t>
  </si>
  <si>
    <t>Cuchillas de sierra o accesorios para autopsias</t>
  </si>
  <si>
    <t>Parches o almohadillas para los ojos para uso médico</t>
  </si>
  <si>
    <t>Limpieza con chorro de arena</t>
  </si>
  <si>
    <t>Banda de aluminio</t>
  </si>
  <si>
    <t>Cámaras de avión</t>
  </si>
  <si>
    <t>Protamina sulfato</t>
  </si>
  <si>
    <t>Camisas o chalecos para pacientes bebés</t>
  </si>
  <si>
    <t>Suministros para cirugía plástica oftálmica o sus productos relacionados</t>
  </si>
  <si>
    <t>Despaletizadoras</t>
  </si>
  <si>
    <t>Unidades o sistemas de calentamiento o enfriamiento terapéutico</t>
  </si>
  <si>
    <t>Ensambles de placas soldadas con soldadura sónica de titanio</t>
  </si>
  <si>
    <t>Arnés del alimentador</t>
  </si>
  <si>
    <t>Objetos maquinados de plomo fundidos en molde de yeso</t>
  </si>
  <si>
    <t>Tubos fluorescentes</t>
  </si>
  <si>
    <t>Atadura de mango</t>
  </si>
  <si>
    <t>Afiladores de cuchillos para uso doméstico</t>
  </si>
  <si>
    <t>Compresores de tuerca</t>
  </si>
  <si>
    <t>Conectores de muebles modulares</t>
  </si>
  <si>
    <t>Cortadores de vidrio</t>
  </si>
  <si>
    <t>Servicios de cambio de fluidos de aceite o de la transmisión</t>
  </si>
  <si>
    <t>41104019</t>
  </si>
  <si>
    <t>Muros de bloque de vidrio</t>
  </si>
  <si>
    <t>Poliéster uretano eu</t>
  </si>
  <si>
    <t>Alicates planos</t>
  </si>
  <si>
    <t>Materiales de aprendizaje electrónico basados en el plan de estudios</t>
  </si>
  <si>
    <t>Servicios de activistas sindicales</t>
  </si>
  <si>
    <t>Compra de abarrotes y otros alimentos para el incart</t>
  </si>
  <si>
    <t>Equipos de vacío neumático</t>
  </si>
  <si>
    <t>Componentes de zinc perforados</t>
  </si>
  <si>
    <t>Cobre en placa labrada</t>
  </si>
  <si>
    <t>Casitas de juego</t>
  </si>
  <si>
    <t>Sets de croquet</t>
  </si>
  <si>
    <t>Cubiertas y carcasas de acero</t>
  </si>
  <si>
    <t>Palustres o llanas de madera</t>
  </si>
  <si>
    <t>Sillas de ruedas</t>
  </si>
  <si>
    <t>Productos de malla o de barreras de tejido para uso quirúrgico</t>
  </si>
  <si>
    <t>La Cuesta</t>
  </si>
  <si>
    <t>Sistema múltiple de distribución de producción submarina</t>
  </si>
  <si>
    <t>11111501</t>
  </si>
  <si>
    <t>Depresores para uso quirúrgico</t>
  </si>
  <si>
    <t>Medidas de reducción de utilización de la energía</t>
  </si>
  <si>
    <t>Servicios de control de pozos descontrolados</t>
  </si>
  <si>
    <t>Espaciador de sierra</t>
  </si>
  <si>
    <t>Agentes enmascaradores de uso odontológico</t>
  </si>
  <si>
    <t>Lápices de grafito</t>
  </si>
  <si>
    <t>Ensambles de láminas atornilladas de cobre</t>
  </si>
  <si>
    <t>Bandas de temperatura del paciente</t>
  </si>
  <si>
    <t>Guantes de baño para los discapacitados físicamente</t>
  </si>
  <si>
    <t>Materiales educativos para la enseñanza de la paciencia</t>
  </si>
  <si>
    <t>Abarrotes y otros 3</t>
  </si>
  <si>
    <t>Fenproporex</t>
  </si>
  <si>
    <t>Juegos de lotería</t>
  </si>
  <si>
    <t>Mantenimiento o soporte de redes de cobertura amplia (wan)</t>
  </si>
  <si>
    <t>Barras redondas</t>
  </si>
  <si>
    <t>Mezcladora de tornillo doble</t>
  </si>
  <si>
    <t>Fumarato ferroso</t>
  </si>
  <si>
    <t>INSUMOS CONSULTA EXTERNA Y FISOTERAPIA 2</t>
  </si>
  <si>
    <t>Servicios de bienestar social</t>
  </si>
  <si>
    <t>Montecristi</t>
  </si>
  <si>
    <t>Estuches para lentes de contacto</t>
  </si>
  <si>
    <t>Sistemas de solidificación de residuos radiactivos</t>
  </si>
  <si>
    <t>Esferos de registro de tablas</t>
  </si>
  <si>
    <t>Bombas de infusión intravenosa de uso general</t>
  </si>
  <si>
    <t>Tapas o dispositivos protectores o accesorios para agujas</t>
  </si>
  <si>
    <t>Comida para visones</t>
  </si>
  <si>
    <t>Lactato de milrinona</t>
  </si>
  <si>
    <t>Descansos para los pies</t>
  </si>
  <si>
    <t>Rollos de cartucho abrasivo</t>
  </si>
  <si>
    <t>Extrusiones en frío de bronce</t>
  </si>
  <si>
    <t>Vanadio v</t>
  </si>
  <si>
    <t>Letreros</t>
  </si>
  <si>
    <t>Cerramientos de barras colectoras</t>
  </si>
  <si>
    <t>Arcos</t>
  </si>
  <si>
    <t>Forjaduras en estampa abierta de acero inoxidable</t>
  </si>
  <si>
    <t>Cartones acanalados de transporte cortados con troquel con tapas separadas</t>
  </si>
  <si>
    <t>Kits de trauma de respuesta de larga distancia ldr para servicios médicos de emergencia</t>
  </si>
  <si>
    <t>Plantas de te</t>
  </si>
  <si>
    <t>Convenciones aduaneras</t>
  </si>
  <si>
    <t>Suministros de tracción de mano o dedos</t>
  </si>
  <si>
    <t>Iluminación o electricidad o componentes de información industriales</t>
  </si>
  <si>
    <t>Contenedores de alimentos desechables para uso doméstico</t>
  </si>
  <si>
    <t>Clorhidrato de papaverina</t>
  </si>
  <si>
    <t>Motores escalonados</t>
  </si>
  <si>
    <t>Conductos de latón</t>
  </si>
  <si>
    <t>Clorhidrato de pramoxina</t>
  </si>
  <si>
    <t>Forjaduras en estampa abierta de aleación no ferrosa</t>
  </si>
  <si>
    <t>Grabadoras de lectura digital</t>
  </si>
  <si>
    <t>Sierras eléctricas</t>
  </si>
  <si>
    <t>Vasos para beber para uso doméstico</t>
  </si>
  <si>
    <t>14111526</t>
  </si>
  <si>
    <t>Reactivos de transfección eucariótica</t>
  </si>
  <si>
    <t>Huesos</t>
  </si>
  <si>
    <t>Tubería de acero de alto rendimiento</t>
  </si>
  <si>
    <t>Ventanas con hoja de desplazamiento horizontal</t>
  </si>
  <si>
    <t>CIBAO NORDESTE</t>
  </si>
  <si>
    <t>Faldas de mesa</t>
  </si>
  <si>
    <t>Papel para álbumes de recuerdos</t>
  </si>
  <si>
    <t>Esmeraldas</t>
  </si>
  <si>
    <t>Paneles de control de compresores</t>
  </si>
  <si>
    <t>56111907</t>
  </si>
  <si>
    <t>Polisopreno sintético ir</t>
  </si>
  <si>
    <t>Clorhidrato de proparacaína</t>
  </si>
  <si>
    <t>Baños de agua para material de impresión o accesorios para uso odontológico</t>
  </si>
  <si>
    <t>Relojes verticales</t>
  </si>
  <si>
    <t>Tractores delanteros de cabina baja</t>
  </si>
  <si>
    <t>Dimetilsulfóxido</t>
  </si>
  <si>
    <t>Fenitoína sódica</t>
  </si>
  <si>
    <t>Ensambles de placas soldadas con solvente de acero inoxidable</t>
  </si>
  <si>
    <t>Guantes para pintar</t>
  </si>
  <si>
    <t>Tubos de inyección para embalsamar</t>
  </si>
  <si>
    <t>Mangueras de aceite</t>
  </si>
  <si>
    <t>Servicios de  envejecimiento o estabilización</t>
  </si>
  <si>
    <t>Servicios de diseño de empaques</t>
  </si>
  <si>
    <t>Remolque de botes</t>
  </si>
  <si>
    <t>Componentes de metal precioso formados enrollados</t>
  </si>
  <si>
    <t>Objetos maquinados en molde permanente de aleación de níquel fundidos</t>
  </si>
  <si>
    <t>Acetato de histrelina</t>
  </si>
  <si>
    <t>Rehabilitación en emplazamientos industriales</t>
  </si>
  <si>
    <t>Cámaras de sílice</t>
  </si>
  <si>
    <t>Telares de mesa</t>
  </si>
  <si>
    <t>Santana</t>
  </si>
  <si>
    <t>Luces proyectantes</t>
  </si>
  <si>
    <t>Luperón</t>
  </si>
  <si>
    <t>27111502</t>
  </si>
  <si>
    <t>Textil sintético de tejido sintético</t>
  </si>
  <si>
    <t>Generadores solares</t>
  </si>
  <si>
    <t>Medio para insectos</t>
  </si>
  <si>
    <t>Cacerolas para pizza para uso doméstico</t>
  </si>
  <si>
    <t>Etonogestrel y etinil estradiol</t>
  </si>
  <si>
    <t>Plantas o alimentadoras de dosificación</t>
  </si>
  <si>
    <t>Reguladores eléctricos o de potencia</t>
  </si>
  <si>
    <t>Instrumentos o accesorios otológicos</t>
  </si>
  <si>
    <t>Instrumentos de manipulación para uso quirúrgico</t>
  </si>
  <si>
    <t>Conductos o red de conductos de metales preciosos</t>
  </si>
  <si>
    <t>Pernos de ojo</t>
  </si>
  <si>
    <t>Circuitos de telecomunicaciones digitales punto a punto</t>
  </si>
  <si>
    <t>Kit de prueba de aceite lubricante</t>
  </si>
  <si>
    <t>Lomustina</t>
  </si>
  <si>
    <t>Colectores de aire</t>
  </si>
  <si>
    <t>Ensambles de placas remachadas de latón</t>
  </si>
  <si>
    <t>Cubiertas protectoras para gafas de seguridad</t>
  </si>
  <si>
    <t>Reguladores de presión</t>
  </si>
  <si>
    <t>41116501</t>
  </si>
  <si>
    <t>Quazepam</t>
  </si>
  <si>
    <t>Reactivos analizadores de toxicología</t>
  </si>
  <si>
    <t>Conectores para plomería</t>
  </si>
  <si>
    <t>Aplicador de terminado para pisos</t>
  </si>
  <si>
    <t>51151735</t>
  </si>
  <si>
    <t>Baterías del manganeso</t>
  </si>
  <si>
    <t>Acoplamiento direccional</t>
  </si>
  <si>
    <t>Sets de administración o cateterización de diálisis peritoneal</t>
  </si>
  <si>
    <t>Materiales de enseñanza de los sistemas del cuerpo</t>
  </si>
  <si>
    <t>Nitrato de sulconazol</t>
  </si>
  <si>
    <t>Evaluación de los recursos de las pesquerías</t>
  </si>
  <si>
    <t>Software de manejo de configuraciones</t>
  </si>
  <si>
    <t>Cajas de instrumentos o accesorios para uso veterinario</t>
  </si>
  <si>
    <t>Sistemas de inyección</t>
  </si>
  <si>
    <t>Juego de liga</t>
  </si>
  <si>
    <t>Servicios de formación profesional en electrónica</t>
  </si>
  <si>
    <t>Cinta para codificación de color</t>
  </si>
  <si>
    <t>Accesorios o suministros para analizadores de histología</t>
  </si>
  <si>
    <t>Contenedores para transporte de cuerpos</t>
  </si>
  <si>
    <t>Máquinas para emparejar papel</t>
  </si>
  <si>
    <t>Gabinetes clínicos para junto a la cama o accesorios</t>
  </si>
  <si>
    <t>Cable para automoción o aviación</t>
  </si>
  <si>
    <t>Servicios de miembros del parlamento</t>
  </si>
  <si>
    <t>Cobija solar</t>
  </si>
  <si>
    <t>Rollos de transferencia</t>
  </si>
  <si>
    <t>Servicios de planificación de las brocas de perforación del campo petrolero</t>
  </si>
  <si>
    <t>Declaración de renta</t>
  </si>
  <si>
    <t>Galletas de soda</t>
  </si>
  <si>
    <t>Servicios de medición del espesor del revestimiento</t>
  </si>
  <si>
    <t>Sets de drenaje biliar para endoscopia</t>
  </si>
  <si>
    <t>Ensambles de tubería pegada de inconel</t>
  </si>
  <si>
    <t>Escarificadores de tejado</t>
  </si>
  <si>
    <t>Dispositivos para atrapar animales</t>
  </si>
  <si>
    <t>Papel para manualidades autoadhesivo</t>
  </si>
  <si>
    <t>Materiales didácticos de sistemas de armas</t>
  </si>
  <si>
    <t>Libros para entretenimiento</t>
  </si>
  <si>
    <t>Juancho</t>
  </si>
  <si>
    <t>Parques nacionales</t>
  </si>
  <si>
    <t>Dispensadores de cinta para sellar cajas</t>
  </si>
  <si>
    <t>Lodos con base sintética</t>
  </si>
  <si>
    <t>Cloroformo</t>
  </si>
  <si>
    <t>Vacuna contra la hemofilia b</t>
  </si>
  <si>
    <t>Machetes</t>
  </si>
  <si>
    <t>Sistemas de frenos mecánicos</t>
  </si>
  <si>
    <t>Superficies de mesa</t>
  </si>
  <si>
    <t>La soldadura o el kit</t>
  </si>
  <si>
    <t>Licor destilado</t>
  </si>
  <si>
    <t>Seguros de edificios o del contenido de edificios</t>
  </si>
  <si>
    <t>Servicios de asesoría en la rotación o diversificación de cultivos</t>
  </si>
  <si>
    <t>Módulos de alarma sísmica</t>
  </si>
  <si>
    <t>Limpiadores de muebles</t>
  </si>
  <si>
    <t>tratamiento de desechos radioactivos</t>
  </si>
  <si>
    <t>Servicio de mantenimiento del césped en las carreteras</t>
  </si>
  <si>
    <t>Caminadoras o bicicletas o ejercitadoras de manera de caminar</t>
  </si>
  <si>
    <t>Unidades de cintas</t>
  </si>
  <si>
    <t>Objetos maquinados en molde permanente de aleación ferrosa fundidos</t>
  </si>
  <si>
    <t>Sistemas de suministro de carga para naves espaciales</t>
  </si>
  <si>
    <t>Esferómetros</t>
  </si>
  <si>
    <t>Subs de atrapado de bola</t>
  </si>
  <si>
    <t>Férulas para la muñeca</t>
  </si>
  <si>
    <t>Componentes plásticos maquinados por extrusión de impacto</t>
  </si>
  <si>
    <t>Desincrustadores de esterilización</t>
  </si>
  <si>
    <t>Aparatos muestreadores del núcleo del suelo</t>
  </si>
  <si>
    <t>Herramientas de resonancia magnética nuclear</t>
  </si>
  <si>
    <t>Analizadores de amino ácidos</t>
  </si>
  <si>
    <t>Componentes de zinc formados enrollados</t>
  </si>
  <si>
    <t>Vacuna contra el virus de las paperas</t>
  </si>
  <si>
    <t>48101605</t>
  </si>
  <si>
    <t>Garrochas</t>
  </si>
  <si>
    <t>Licuadoras para uso comercial</t>
  </si>
  <si>
    <t>51121721</t>
  </si>
  <si>
    <t>Equipos para enfriar vasos</t>
  </si>
  <si>
    <t>Noretindrona y  etinil estradiol</t>
  </si>
  <si>
    <t>Objetos maquinados en molde permanente de aleación no ferrosa fundidos</t>
  </si>
  <si>
    <t>Encodificadores</t>
  </si>
  <si>
    <t>Servilletas</t>
  </si>
  <si>
    <t>Cajas conductivas</t>
  </si>
  <si>
    <t>Tanques de lavado</t>
  </si>
  <si>
    <t>Leflunomida</t>
  </si>
  <si>
    <t>Palitos de ritmo</t>
  </si>
  <si>
    <t>Uniformes de personal de seguridad</t>
  </si>
  <si>
    <t>Batidora de huevos para uso doméstico</t>
  </si>
  <si>
    <t>Coronas de celebración</t>
  </si>
  <si>
    <t>27111906</t>
  </si>
  <si>
    <t>Rociadores de rocío o de gatillo para uso doméstico</t>
  </si>
  <si>
    <t>Operaciones de puentes levadizos</t>
  </si>
  <si>
    <t>Servicios de porosidad por neutrón</t>
  </si>
  <si>
    <t>Anteojos de sol</t>
  </si>
  <si>
    <t>Artefactos de Retención</t>
  </si>
  <si>
    <t>Servicios de vehículos operados a control remoto (rov) para pozos submarinos</t>
  </si>
  <si>
    <t>Mesilato de saquinavir</t>
  </si>
  <si>
    <t>Compuestos limpiadores de instrumentos de uso odontológico</t>
  </si>
  <si>
    <t>Servicios de alumbrado urbano</t>
  </si>
  <si>
    <t>Suministros para identificación de animales</t>
  </si>
  <si>
    <t>Adhesivo reusable</t>
  </si>
  <si>
    <t>Tableros geométricos de doble cara</t>
  </si>
  <si>
    <t>Encapsulación  o eliminación de asbesto</t>
  </si>
  <si>
    <t>Servicios de planificación de los recursos hidráulicos</t>
  </si>
  <si>
    <t>Mesas de examen o procedimientos médicos para uso general</t>
  </si>
  <si>
    <t>Bombas de paleta deslizante</t>
  </si>
  <si>
    <t>Ensambles de tubería pegada de acero inoxidable</t>
  </si>
  <si>
    <t>Servicio de asistencia para la optimización de la perforación en el emplazamiento del pozo</t>
  </si>
  <si>
    <t>Niclosamida</t>
  </si>
  <si>
    <t>Secadoras de ropa</t>
  </si>
  <si>
    <t>Servicios de adquisición sísmica marina tridimensional</t>
  </si>
  <si>
    <t>Servicios legales sobre beneficios de los empleados</t>
  </si>
  <si>
    <t>Pantallas protectoras de viento para oídos</t>
  </si>
  <si>
    <t>Procesadores de alimentos para uso comercial</t>
  </si>
  <si>
    <t>Conos para hornos de cocción</t>
  </si>
  <si>
    <t>Monohidrato hidrocloruro  tirofibán</t>
  </si>
  <si>
    <t>32101618</t>
  </si>
  <si>
    <t>Tarjetas didácticas de escritura o escritura a mano</t>
  </si>
  <si>
    <t>Cloruro de ambenonio</t>
  </si>
  <si>
    <t>Bisacodyl</t>
  </si>
  <si>
    <t>Troleys de viga</t>
  </si>
  <si>
    <t>Servicios de elaboración de hilado</t>
  </si>
  <si>
    <t>Destinado a MIPYME?</t>
  </si>
  <si>
    <t>Tubos o contenedores para rescate en agua</t>
  </si>
  <si>
    <t>Ingeniería de represas</t>
  </si>
  <si>
    <t>Trapos</t>
  </si>
  <si>
    <t>Desplegadores de instrumentos endoscópicos</t>
  </si>
  <si>
    <t>Radiadores de motor</t>
  </si>
  <si>
    <t>Organizadores para sistemas de paneles</t>
  </si>
  <si>
    <t>Paquetes de muebles para personal no modulares</t>
  </si>
  <si>
    <t>EXCEPCIÓN - PROVEEDOR ÚNICO</t>
  </si>
  <si>
    <t>Liotrix</t>
  </si>
  <si>
    <t>Ingeniería de tráfico</t>
  </si>
  <si>
    <t>Rodillo de papel de colgadura</t>
  </si>
  <si>
    <t>Sorbitol</t>
  </si>
  <si>
    <t>Servicios de pesaje</t>
  </si>
  <si>
    <t>Formulación de políticas nacionales de productos básicos</t>
  </si>
  <si>
    <t>Consola central o terminales básicos (no inteligentes)</t>
  </si>
  <si>
    <t>Módulos de intercambio de comunicación de datos</t>
  </si>
  <si>
    <t>Ganchos en j</t>
  </si>
  <si>
    <t>Servicios de inspección laboral</t>
  </si>
  <si>
    <t>Servicios de generación de imágenes del pozo</t>
  </si>
  <si>
    <t>FECHA PREVISTA ADJUDICACIÓN</t>
  </si>
  <si>
    <t>Pantallas de función pulmonar para junto a la cama</t>
  </si>
  <si>
    <t>Cortadoras de papel en círculos u óvalos</t>
  </si>
  <si>
    <t>Enfriadores infrarrojos ir</t>
  </si>
  <si>
    <t>Transporte nacional aéreo de carga</t>
  </si>
  <si>
    <t>Cicloserina</t>
  </si>
  <si>
    <t>Discos de hockey</t>
  </si>
  <si>
    <t>Ruedas dentadas para cadena de rodillos</t>
  </si>
  <si>
    <t>Perlas cultivadas</t>
  </si>
  <si>
    <t>Prazosina</t>
  </si>
  <si>
    <t>Analizadores de uranio</t>
  </si>
  <si>
    <t>Grabadoras multifunción</t>
  </si>
  <si>
    <t>Extrusiones por impacto de plástico</t>
  </si>
  <si>
    <t>Servicios de fisioterapia</t>
  </si>
  <si>
    <t>Nedocromil sódico</t>
  </si>
  <si>
    <t>Litro</t>
  </si>
  <si>
    <t>Kits o suministros para pruebas de biología molecular</t>
  </si>
  <si>
    <t>Sulfato de fenelzina</t>
  </si>
  <si>
    <t>Kits o suministros para pruebas de virología</t>
  </si>
  <si>
    <t>Ensambles de barras soldadas con solvente de cobre</t>
  </si>
  <si>
    <t>Ensambles estructurales con soldadura de fuerte o débil de aluminio</t>
  </si>
  <si>
    <t>servicios de almacenamiento de datos</t>
  </si>
  <si>
    <t>Portabrocas</t>
  </si>
  <si>
    <t>Cefamandol</t>
  </si>
  <si>
    <t>Cable coaxial</t>
  </si>
  <si>
    <t>Bóvedas frangibles</t>
  </si>
  <si>
    <t>Camisas o blusas para bebé</t>
  </si>
  <si>
    <t>Cajas registradoras de juguete</t>
  </si>
  <si>
    <t>Reactivos o soluciones de coagulación</t>
  </si>
  <si>
    <t>Estero Hondo</t>
  </si>
  <si>
    <t>Kits o suministros para pruebas de histología</t>
  </si>
  <si>
    <t>Materiales de enseñanza de capacitación para evitar el suicidio de adolescentes</t>
  </si>
  <si>
    <t>Rebobinadoras</t>
  </si>
  <si>
    <t>OPERACIONES / SEGURIDAD 4</t>
  </si>
  <si>
    <t>Clorhidrato de cocaína</t>
  </si>
  <si>
    <t>Mezcla para adobar</t>
  </si>
  <si>
    <t>Pipobroman</t>
  </si>
  <si>
    <t>Pivotes de perforación</t>
  </si>
  <si>
    <t>Lanzadores de cohetes</t>
  </si>
  <si>
    <t>Bombas de lodo</t>
  </si>
  <si>
    <t>Objetos de aluminio fundidos en molde de grafito</t>
  </si>
  <si>
    <t>Estados corporativos</t>
  </si>
  <si>
    <t>DATOS DE CABECERA PACC</t>
  </si>
  <si>
    <t>Las Lagunas</t>
  </si>
  <si>
    <t>Servicios de prevención o control de enfermedades bacterianas</t>
  </si>
  <si>
    <t>E coli</t>
  </si>
  <si>
    <t>Valverde</t>
  </si>
  <si>
    <t>PARA HUSO DE PACIENTES</t>
  </si>
  <si>
    <t>Densitómetro nuclear</t>
  </si>
  <si>
    <t>Pipeta de desplazamiento de aire multicanal manuales</t>
  </si>
  <si>
    <t>Bloques de cemento</t>
  </si>
  <si>
    <t>Cubos de la transmisión</t>
  </si>
  <si>
    <t>Cilindros esclavos</t>
  </si>
  <si>
    <t>Fulminantes explosivos</t>
  </si>
  <si>
    <t>Desecho o desperdicios de tabaco</t>
  </si>
  <si>
    <t>Dispositivos para abrir puertas para los discapacitados físicamente</t>
  </si>
  <si>
    <t>Pisa papeles</t>
  </si>
  <si>
    <t>Fogones para uso doméstico</t>
  </si>
  <si>
    <t>Sopas o sudados preparados congelados</t>
  </si>
  <si>
    <t>Dispositivos de ayuda para cocinar para los discapacitados físicamente</t>
  </si>
  <si>
    <t>Componentes o accesorios de intubación</t>
  </si>
  <si>
    <t>Compresores recíprocos</t>
  </si>
  <si>
    <t>Inhibidores de corrosión en la producción de petróleo</t>
  </si>
  <si>
    <t>Sulfato de capreomicina</t>
  </si>
  <si>
    <t>Servicios de monitoreo de la producción del campo  petrolero</t>
  </si>
  <si>
    <t>Kits de entrega de materiales de impresión para uso odontológico</t>
  </si>
  <si>
    <t>Mantequilla de nueces o mixto</t>
  </si>
  <si>
    <t>Esferos de corrección</t>
  </si>
  <si>
    <t>Lecho base</t>
  </si>
  <si>
    <t>Casas</t>
  </si>
  <si>
    <t>Básculas de camión o riel</t>
  </si>
  <si>
    <t>Agentes de desvío</t>
  </si>
  <si>
    <t>Maletines para computador</t>
  </si>
  <si>
    <t>Revestimiento para campo petrolero</t>
  </si>
  <si>
    <t>Dibucaina</t>
  </si>
  <si>
    <t>Clorhidrato de tetrahidrozolina</t>
  </si>
  <si>
    <t>Películas de acrílico</t>
  </si>
  <si>
    <t>Remaches completos</t>
  </si>
  <si>
    <t>Diplomas</t>
  </si>
  <si>
    <t>Taburetes</t>
  </si>
  <si>
    <t>Sondas planas enfriadoras refrigeradas</t>
  </si>
  <si>
    <t>41112501</t>
  </si>
  <si>
    <t>Obstáculos</t>
  </si>
  <si>
    <t>Recolección de residuos sólidos</t>
  </si>
  <si>
    <t>Calcio policarbofilo</t>
  </si>
  <si>
    <t>Forjas de latón maquinadas con troquel cerrado</t>
  </si>
  <si>
    <t>42141903</t>
  </si>
  <si>
    <t>Placas de fricción de plástico</t>
  </si>
  <si>
    <t>Glucuronato de trimetrexato</t>
  </si>
  <si>
    <t>Ensambles de tubos soldados con soldadura fuerte o débil de aleación hast x</t>
  </si>
  <si>
    <t>Asociaciones para la protección de las especies en peligro de extinción</t>
  </si>
  <si>
    <t>Mezclas de gas inerte</t>
  </si>
  <si>
    <t>51142001</t>
  </si>
  <si>
    <t>Instalaciones de crianza para entomología</t>
  </si>
  <si>
    <t>Sistemas de varilla de mando para reactores nucleares</t>
  </si>
  <si>
    <t>Servicios de forja de metales</t>
  </si>
  <si>
    <t>Servicios de cultivos agrícolas</t>
  </si>
  <si>
    <t>Alicates de punta curvada</t>
  </si>
  <si>
    <t>Ácido muriático</t>
  </si>
  <si>
    <t>Formatos o libros de impuestos</t>
  </si>
  <si>
    <t>Muestreadores de bolsas de sangre para hemodiálisis</t>
  </si>
  <si>
    <t>Componentes de aleación ferrosa perforados</t>
  </si>
  <si>
    <t>Fieltros de recubrimiento ortopédico para la clavícula</t>
  </si>
  <si>
    <t>Milímetro</t>
  </si>
  <si>
    <t>Sánchez Ramírez</t>
  </si>
  <si>
    <t>Piezas de mano de irrigación o succión o cánulas o puntas o productos relacionados para uso quirúrgico</t>
  </si>
  <si>
    <t>Papeles de afiche</t>
  </si>
  <si>
    <t>Centros de actividades o mesas de arena o agua</t>
  </si>
  <si>
    <t>Armarios de almacenamiento para uso veterinario</t>
  </si>
  <si>
    <t>Probadores de desgaste</t>
  </si>
  <si>
    <t>Sets de instrumentos para cirugía de craneotomía</t>
  </si>
  <si>
    <t>Gestores fiscales</t>
  </si>
  <si>
    <t>Sistema de bandas transportadoras</t>
  </si>
  <si>
    <t>Docusato potásico</t>
  </si>
  <si>
    <t>Servicios de manejo o control de la mosca tsé- tsé</t>
  </si>
  <si>
    <t>Cantina</t>
  </si>
  <si>
    <t>Componentes de titanio formados con explosivos</t>
  </si>
  <si>
    <t>Cortadora de pasto</t>
  </si>
  <si>
    <t>Filtros de aire</t>
  </si>
  <si>
    <t>Servicios de publicidad aérea</t>
  </si>
  <si>
    <t>Pelotas o accesorios terapéuticos</t>
  </si>
  <si>
    <t>Microbicidas registrados</t>
  </si>
  <si>
    <t>Adaptadores de película de rayos x para uso odontológico</t>
  </si>
  <si>
    <t>Ensambles de láminas remachadas de acero al carbono</t>
  </si>
  <si>
    <t>Cápsulas de incrustación</t>
  </si>
  <si>
    <t>Colector del choke</t>
  </si>
  <si>
    <t>Monturas de película radiológica para uso odontológico</t>
  </si>
  <si>
    <t>Bromhexina</t>
  </si>
  <si>
    <t>Sistemas inflables de tubería flexible</t>
  </si>
  <si>
    <t>Servicios de asesoría en horticultura</t>
  </si>
  <si>
    <t>Cafeína</t>
  </si>
  <si>
    <t>12352310</t>
  </si>
  <si>
    <t>Materiales de enseñanza de educación sexual o enfermedades de transmisión sexual</t>
  </si>
  <si>
    <t>Servicios de estudio de títulos</t>
  </si>
  <si>
    <t>Objetos de acero fundidos por moldeo en cáscara</t>
  </si>
  <si>
    <t>Papel de libro</t>
  </si>
  <si>
    <t>Objetos maquinados de cobre fundidos en molde cerámico</t>
  </si>
  <si>
    <t>Centros de conferencias</t>
  </si>
  <si>
    <t>Kits para vestirse para los discapacitados físicamente</t>
  </si>
  <si>
    <t>Tuercas estriadas</t>
  </si>
  <si>
    <t>Crayones de cera</t>
  </si>
  <si>
    <t>Cámaras de reciclaje de temperatura o recicladores térmicos</t>
  </si>
  <si>
    <t>Servicios de prueba de presión del campo petrolero</t>
  </si>
  <si>
    <t>Tapones o pinzas para catéteres urinarios</t>
  </si>
  <si>
    <t>Gotu kola</t>
  </si>
  <si>
    <t>Lingotes de titanio</t>
  </si>
  <si>
    <t>Vendas de presión</t>
  </si>
  <si>
    <t>Perfiles de plomo</t>
  </si>
  <si>
    <t>Libros de recursos o actividades de vocabulario.</t>
  </si>
  <si>
    <t>Sistemas de manipulación de municiones de tanque</t>
  </si>
  <si>
    <t>Estantes para unidades de criopreservación</t>
  </si>
  <si>
    <t>Guadañas</t>
  </si>
  <si>
    <t>Estantes para tubos de ensayo</t>
  </si>
  <si>
    <t>42292904</t>
  </si>
  <si>
    <t>Servicios de prevención o control de enfermedades óseas</t>
  </si>
  <si>
    <t>Servicios de pirsin corporal</t>
  </si>
  <si>
    <t>Trampolines para uso gimnástico</t>
  </si>
  <si>
    <t>Carretes de embobinar tubería flexible</t>
  </si>
  <si>
    <t>Servicios de cementar cadena de producción</t>
  </si>
  <si>
    <t>10151609</t>
  </si>
  <si>
    <t>Servicios de terminación del control de arena del pozo</t>
  </si>
  <si>
    <t>Placas vibradoras</t>
  </si>
  <si>
    <t>Coronas o formas de coronas</t>
  </si>
  <si>
    <t>Solterones</t>
  </si>
  <si>
    <t>Fuelles de fundición</t>
  </si>
  <si>
    <t>Identificadores de fibra óptica</t>
  </si>
  <si>
    <t>Casilleros (“lockers”)</t>
  </si>
  <si>
    <t>Herramientas de kickover de cable de recuperación</t>
  </si>
  <si>
    <t>Microbicidas</t>
  </si>
  <si>
    <t>Buformina</t>
  </si>
  <si>
    <t>Soportes de carretes portátiles</t>
  </si>
  <si>
    <t>Hexaminas</t>
  </si>
  <si>
    <t>Guías de desplazamiento lineal</t>
  </si>
  <si>
    <t>Mandriles de ubicación de cable de recuperación</t>
  </si>
  <si>
    <t>Servicios de  mantenimiento o administración de malecones o diques</t>
  </si>
  <si>
    <t>Cajas para efectivo o tiquetes</t>
  </si>
  <si>
    <t>Sandalias para niño</t>
  </si>
  <si>
    <t>MEDICAMENTOS BRONCODILATADORES, DERMATITIS Y DIURETICOS 3</t>
  </si>
  <si>
    <t>Fosfenitoína sódica</t>
  </si>
  <si>
    <t>Recursos para tareas en casa</t>
  </si>
  <si>
    <t>Herramientas de corte con láser</t>
  </si>
  <si>
    <t>Servicios relacionados con el islamismo</t>
  </si>
  <si>
    <t>Ejes</t>
  </si>
  <si>
    <t>Aceite de transformador o aislador</t>
  </si>
  <si>
    <t>Papel para forrar repisas</t>
  </si>
  <si>
    <t>Buril</t>
  </si>
  <si>
    <t>Helechos</t>
  </si>
  <si>
    <t>70111501</t>
  </si>
  <si>
    <t>Reactivos o soluciones químicas</t>
  </si>
  <si>
    <t>51101832</t>
  </si>
  <si>
    <t>Estanterías de pared</t>
  </si>
  <si>
    <t>Prometazina</t>
  </si>
  <si>
    <t>Marcadores de témpera o tiza para ventanas</t>
  </si>
  <si>
    <t>39111521</t>
  </si>
  <si>
    <t>Canal de riego</t>
  </si>
  <si>
    <t>Radios</t>
  </si>
  <si>
    <t>Análisis de mercados</t>
  </si>
  <si>
    <t>Forjas de estaño maquinadas por anillo enrollado</t>
  </si>
  <si>
    <t>Materiales de enseñanza para el desarrollo de habilidades de negación</t>
  </si>
  <si>
    <t>Servicios de transporte internacional por barcazas</t>
  </si>
  <si>
    <t>Libros de recursos o actividades de representación gráfica</t>
  </si>
  <si>
    <t>Angelina</t>
  </si>
  <si>
    <t>Carbonilo de hierro</t>
  </si>
  <si>
    <t>Eutiscopios oftálmicos</t>
  </si>
  <si>
    <t>Mineral de vermiculita</t>
  </si>
  <si>
    <t>Nevirapina</t>
  </si>
  <si>
    <t>Servicios de sistemas de cascos  del campo petrolero</t>
  </si>
  <si>
    <t>Generadores de vapor</t>
  </si>
  <si>
    <t>Cuerda de caucho</t>
  </si>
  <si>
    <t>Instrumentos o accesorios para detectar o probar alergias</t>
  </si>
  <si>
    <t>Vino</t>
  </si>
  <si>
    <t>Derecho migratorio o de naturalización</t>
  </si>
  <si>
    <t>Oxaceprol</t>
  </si>
  <si>
    <t>Servicios de medición de la temperatura del fluido del pozo</t>
  </si>
  <si>
    <t>Jeringas de entrega medida para uso médico</t>
  </si>
  <si>
    <t>Detectores de grietas o corrosión</t>
  </si>
  <si>
    <t>Ensambles de tubería con soldadura fuerte o débil de cobre</t>
  </si>
  <si>
    <t>SEM</t>
  </si>
  <si>
    <t>Pufs de tamaño de niños</t>
  </si>
  <si>
    <t>Software de calendario y programación de citas</t>
  </si>
  <si>
    <t>Altavoces activos “subwoofer””</t>
  </si>
  <si>
    <t>Componentes de aleación no ferrosa formados enrollados</t>
  </si>
  <si>
    <t>Materiales de enseñanza de los principios básicos de la comercialización de la moda o la venta al por  menor</t>
  </si>
  <si>
    <t>Parches de revestimiento</t>
  </si>
  <si>
    <t>Planificación de tierras</t>
  </si>
  <si>
    <t>23231001</t>
  </si>
  <si>
    <t>Tanques para cromatografía de capa delgada</t>
  </si>
  <si>
    <t>Granates industriales</t>
  </si>
  <si>
    <t>Remaches de cabeza plana</t>
  </si>
  <si>
    <t>Libros de ejercicios</t>
  </si>
  <si>
    <t>Programas de reembolso de matrículas</t>
  </si>
  <si>
    <t>Martillos de demolición</t>
  </si>
  <si>
    <t>COMODATOS 4</t>
  </si>
  <si>
    <t>Semillas o plántulas de apio</t>
  </si>
  <si>
    <t>Espíritu aromático de amoníaco</t>
  </si>
  <si>
    <t>Kits para proyectos de cestería</t>
  </si>
  <si>
    <t>Paneles de pantalla de plasma pdp</t>
  </si>
  <si>
    <t>23101509</t>
  </si>
  <si>
    <t>Cinta de enmascarar</t>
  </si>
  <si>
    <t>Divalproex sódico</t>
  </si>
  <si>
    <t>Recipiente absorbente a presión ambiental</t>
  </si>
  <si>
    <t>Destructores</t>
  </si>
  <si>
    <t>Cuentas de cerámica</t>
  </si>
  <si>
    <t>Molduras por inyección de vidrio</t>
  </si>
  <si>
    <t>Halotano</t>
  </si>
  <si>
    <t>Tubería de cobre</t>
  </si>
  <si>
    <t>Kits o sets o accesorios de administración de hemodiálisis</t>
  </si>
  <si>
    <t>Tartrato de fendimetrazina</t>
  </si>
  <si>
    <t>Bumper subs</t>
  </si>
  <si>
    <t>Sujetadores para los discapacitados físicamente</t>
  </si>
  <si>
    <t>Cabina telefónica</t>
  </si>
  <si>
    <t>Sistemas de gravedad sísmicos</t>
  </si>
  <si>
    <t>Servicios de almacenamiento subterráneo de gas</t>
  </si>
  <si>
    <t>11101719</t>
  </si>
  <si>
    <t>Clorhidrato de ropinirol</t>
  </si>
  <si>
    <t>Materiales de enseñanza de habilidades para el manejo del tiempo</t>
  </si>
  <si>
    <t>Protectores de la quilla</t>
  </si>
  <si>
    <t>42191711</t>
  </si>
  <si>
    <t>Juegos de video</t>
  </si>
  <si>
    <t>Derecho sobre liquidación (de sociedades)</t>
  </si>
  <si>
    <t>Las Placetas</t>
  </si>
  <si>
    <t>Bases para filtros</t>
  </si>
  <si>
    <t>Agitadores de lodos</t>
  </si>
  <si>
    <t>Servicios de prevención o control de enfermedades oculares</t>
  </si>
  <si>
    <t>Cepillos de carpintero</t>
  </si>
  <si>
    <t>Servicios de red en modo de transferencia asíncrona (atm)</t>
  </si>
  <si>
    <t>Sistemas de almacenaje de combustible híbrido</t>
  </si>
  <si>
    <t>Objetos maquinados de bronce fundidos en molde de grafito</t>
  </si>
  <si>
    <t>Letrozol</t>
  </si>
  <si>
    <t>Luz asómbrica o scialytica de operación</t>
  </si>
  <si>
    <t>Servicios de planificación de alimentos</t>
  </si>
  <si>
    <t>Dispensadores de película elástica</t>
  </si>
  <si>
    <t>Hidróxido de aluminio</t>
  </si>
  <si>
    <t>Equipo para la cría de escarabajos</t>
  </si>
  <si>
    <t>Kits de trauma para servicios médicos de emergencia</t>
  </si>
  <si>
    <t>Cucharas para uso quirúrgico</t>
  </si>
  <si>
    <t>Impuesto sobre nóminas</t>
  </si>
  <si>
    <t>Derecho societario</t>
  </si>
  <si>
    <t>Muestreadores de dióxido de sulfuro o de humo</t>
  </si>
  <si>
    <t>Asociaciones de personal femenino</t>
  </si>
  <si>
    <t>Servicios de lechada de cemento</t>
  </si>
  <si>
    <t>Software de planeación de recursos del negocio erp</t>
  </si>
  <si>
    <t>Repisas para rompecabezas</t>
  </si>
  <si>
    <t>Monturas o soportes de motor</t>
  </si>
  <si>
    <t>Filtros de radiofrecuencia (rf)</t>
  </si>
  <si>
    <t>Mantillas para huecograbado o litografía</t>
  </si>
  <si>
    <t>Cinarizina</t>
  </si>
  <si>
    <t>Preservativos de alimentos</t>
  </si>
  <si>
    <t>Hidrocloruro de dapiprazol</t>
  </si>
  <si>
    <t>Amortiguadores de vibración</t>
  </si>
  <si>
    <t>Vacuna contra los virus del sarampión, paperas y rubeola</t>
  </si>
  <si>
    <t>Quintal</t>
  </si>
  <si>
    <t>Estampadores de luz del día para películas de rayos x o impresoras de identificación para uso médico</t>
  </si>
  <si>
    <t>Arandelas planas</t>
  </si>
  <si>
    <t>Plugback mecánico de cable de recuperación</t>
  </si>
  <si>
    <t>Picnómetros</t>
  </si>
  <si>
    <t>Supervisión de perforación de pozos</t>
  </si>
  <si>
    <t>Asientos para aulas de clase</t>
  </si>
  <si>
    <t>Éter de polipropileno</t>
  </si>
  <si>
    <t>Alimento granulado para peces</t>
  </si>
  <si>
    <t>Glutetimida</t>
  </si>
  <si>
    <t>Servicios de planificación social</t>
  </si>
  <si>
    <t>Diseños para punto de cruz</t>
  </si>
  <si>
    <t>Exhibiciones de ecosistemas</t>
  </si>
  <si>
    <t>Cubos de centímetro</t>
  </si>
  <si>
    <t>Servicios de impresión industrial digital</t>
  </si>
  <si>
    <t>Máquinas de composición de intertipos</t>
  </si>
  <si>
    <t>Unidades de mezclado de lechada fracturación</t>
  </si>
  <si>
    <t>Almacenaje de materiales peligrosos</t>
  </si>
  <si>
    <t>Fundición en arena de bronce</t>
  </si>
  <si>
    <t>Trampas para control animal</t>
  </si>
  <si>
    <t>Arenoso</t>
  </si>
  <si>
    <t>Ángulos de hierro</t>
  </si>
  <si>
    <t>Grapas</t>
  </si>
  <si>
    <t>Señales direccionales</t>
  </si>
  <si>
    <t>Equipo de irrigación o aspiración oftálmica o accesorios</t>
  </si>
  <si>
    <t>Prendas anti choque</t>
  </si>
  <si>
    <t>Resinas de base para prótesis dentales</t>
  </si>
  <si>
    <t>Protectores de brillo para pantallas de computador</t>
  </si>
  <si>
    <t>Bombonas</t>
  </si>
  <si>
    <t>Carritos para transportar orinales</t>
  </si>
  <si>
    <t>Salsalato o ácido salicil salicílico</t>
  </si>
  <si>
    <t>Auranofin</t>
  </si>
  <si>
    <t>Cucharones para uso comercial</t>
  </si>
  <si>
    <t>Excavadoras de ruedas</t>
  </si>
  <si>
    <t>Protectores de rosca de tubería de perforación</t>
  </si>
  <si>
    <t>Fábrica de máquina de acabar</t>
  </si>
  <si>
    <t>Sorteadores de monedas</t>
  </si>
  <si>
    <t>Servicios de formación de recursos humanos para el sector  público</t>
  </si>
  <si>
    <t>Antiparasitario tópico malatión</t>
  </si>
  <si>
    <t>Máquinas de composición de linotipos</t>
  </si>
  <si>
    <t>Preparaciones tópicas de urea</t>
  </si>
  <si>
    <t>Trompas alto</t>
  </si>
  <si>
    <t>Sistemas de telemetría</t>
  </si>
  <si>
    <t>Modelos de laboratorio dentales</t>
  </si>
  <si>
    <t>Bombas oscilantes</t>
  </si>
  <si>
    <t>Máquinas para lanzar (pitching)</t>
  </si>
  <si>
    <t>42171602</t>
  </si>
  <si>
    <t>Vendajes de pasta</t>
  </si>
  <si>
    <t>Conmutadores de tambor</t>
  </si>
  <si>
    <t>Alas de avión</t>
  </si>
  <si>
    <t>23153020</t>
  </si>
  <si>
    <t>42272301</t>
  </si>
  <si>
    <t>Generadores de van de graff</t>
  </si>
  <si>
    <t>56112108</t>
  </si>
  <si>
    <t>MEDICAMENTOS CONTROLADOS 4</t>
  </si>
  <si>
    <t>Tableros magnéticos o accesorios</t>
  </si>
  <si>
    <t>Correas de cuero</t>
  </si>
  <si>
    <t>Freno de disco</t>
  </si>
  <si>
    <t>Mesilato de doxazosina</t>
  </si>
  <si>
    <t>Ensambles de placas soldadas con soldadura sónica de aleación hast x</t>
  </si>
  <si>
    <t>Timones de avión</t>
  </si>
  <si>
    <t>Bandas para los brazos</t>
  </si>
  <si>
    <t>Borrador de crayón</t>
  </si>
  <si>
    <t>Deflectores de tubería</t>
  </si>
  <si>
    <t>Kits o accesorios para limpieza de tableros</t>
  </si>
  <si>
    <t>Servicios de procesamiento de datos sísmicos de 2d/ 3d/ 4d</t>
  </si>
  <si>
    <t>Salidas de ramal de tubería</t>
  </si>
  <si>
    <t>Objetos de bronce fundidos en molde de grafito</t>
  </si>
  <si>
    <t>Software de manejo de base de datos orientada al objeto</t>
  </si>
  <si>
    <t>Ensambles de placas soldadas con solvente de cobre</t>
  </si>
  <si>
    <t>Papel folio</t>
  </si>
  <si>
    <t>72101506</t>
  </si>
  <si>
    <t>Estuches para insufladores nasales</t>
  </si>
  <si>
    <t>Campos de lámpara de teléfono ocupado</t>
  </si>
  <si>
    <t>Kits de decoración para el salón de clase</t>
  </si>
  <si>
    <t>Muñones de rodamientos</t>
  </si>
  <si>
    <t>Cuerda de cáñamo</t>
  </si>
  <si>
    <t>Ensambles de tubería soldada de solvente de titanio</t>
  </si>
  <si>
    <t>Componentes compuestos hidroformados</t>
  </si>
  <si>
    <t>Papas preparadas de repisa o arroz o pasta o relleno</t>
  </si>
  <si>
    <t>Clorhidrato de clonidina</t>
  </si>
  <si>
    <t>Clorhidrato de quinapril</t>
  </si>
  <si>
    <t>Columnas suspendidas para uso médico</t>
  </si>
  <si>
    <t>Duplicadores de micro filmado</t>
  </si>
  <si>
    <t>Herramientas ultrasónicas cable de recuperación</t>
  </si>
  <si>
    <t>Kits de estudio o actividades de biología</t>
  </si>
  <si>
    <t>Probador de tubos de rayos catódicos</t>
  </si>
  <si>
    <t>Bolsillos de carpetas o accesorios</t>
  </si>
  <si>
    <t>Servicios de cooperación multilateral</t>
  </si>
  <si>
    <t>41104112</t>
  </si>
  <si>
    <t>Servicios del sistema de llamarada del campo petrolífero</t>
  </si>
  <si>
    <t>Monedas de juego para la clase</t>
  </si>
  <si>
    <t>Fruta congelada</t>
  </si>
  <si>
    <t>Encuadernación con pegante</t>
  </si>
  <si>
    <t>51111617</t>
  </si>
  <si>
    <t>Trimipramina</t>
  </si>
  <si>
    <t>Kits de electroquímica</t>
  </si>
  <si>
    <t>Ratán</t>
  </si>
  <si>
    <t>Ensambles de barras atornilladas de titanio</t>
  </si>
  <si>
    <t>Objetos de fundición centrífuga de aluminio</t>
  </si>
  <si>
    <t>Sets de mobiliarios combinados para procedimientos dentales</t>
  </si>
  <si>
    <t>Software de manejo de seguridad de red o de redes privadas virtuales vpn</t>
  </si>
  <si>
    <t>Espirómetros o sus accesorios o suministros</t>
  </si>
  <si>
    <t>Cronómetros o relojes para laboratorio</t>
  </si>
  <si>
    <t>Vehículos grúa</t>
  </si>
  <si>
    <t>San José de Ocoa</t>
  </si>
  <si>
    <t>Bridas de junta de solapa</t>
  </si>
  <si>
    <t>Pentoxifilina</t>
  </si>
  <si>
    <t>Servicios de control de perforación de pozos</t>
  </si>
  <si>
    <t>Recursos de tradiciones, rituales o costumbres</t>
  </si>
  <si>
    <t>Papeles articulados para operación o productos relacionados de uso odontológico</t>
  </si>
  <si>
    <t>Difusores de motor de avión</t>
  </si>
  <si>
    <t>Corticorelina ovina triflutato</t>
  </si>
  <si>
    <t>Transiluminadores para uso oftálmico</t>
  </si>
  <si>
    <t>Piscicultura</t>
  </si>
  <si>
    <t>Enlucido de yeso</t>
  </si>
  <si>
    <t>Equipo central de buscapersonas</t>
  </si>
  <si>
    <t>Bandejas u organizadores para filminas</t>
  </si>
  <si>
    <t>Agentes gelificantes naturales</t>
  </si>
  <si>
    <t>Pantallas de perforación</t>
  </si>
  <si>
    <t>Transductores electro neumáticos</t>
  </si>
  <si>
    <t>El Factor</t>
  </si>
  <si>
    <t>Extrusiones por impacto de latón</t>
  </si>
  <si>
    <t>Bombas hidráulicas</t>
  </si>
  <si>
    <t>Cinturones para hacer cabuchones</t>
  </si>
  <si>
    <t>Sistemas o kits de transcripción o traducción</t>
  </si>
  <si>
    <t>Mineral de oro</t>
  </si>
  <si>
    <t>Servicios de escultores</t>
  </si>
  <si>
    <t>Administración de reservas alimentarias</t>
  </si>
  <si>
    <t>Juntas bulonadas</t>
  </si>
  <si>
    <t>Impresión de hoja de instrucciones o manual técnico</t>
  </si>
  <si>
    <t>Producción pesquera</t>
  </si>
  <si>
    <t>Naratriptán hidrocloruro</t>
  </si>
  <si>
    <t>Anistreplasa</t>
  </si>
  <si>
    <t>Impresoras heliográficas</t>
  </si>
  <si>
    <t>Pulidores de lentes oftálmicos</t>
  </si>
  <si>
    <t>Cortavientos</t>
  </si>
  <si>
    <t>Cuchillo de bajo grado</t>
  </si>
  <si>
    <t>Tela de arpillera o cáñamo o yute</t>
  </si>
  <si>
    <t>Camino refrigerado y caliente para cámaras ambientales o de cultivo</t>
  </si>
  <si>
    <t>Tableros perforados o tableros de actividades de uso terapéutico</t>
  </si>
  <si>
    <t>Lana aislante</t>
  </si>
  <si>
    <t>Cuartos para pruebas acústicas</t>
  </si>
  <si>
    <t>Componentes o accesorios de micro fichas o micro cintas</t>
  </si>
  <si>
    <t>Materiales de enseñanza sobre el desarrollo de niño</t>
  </si>
  <si>
    <t>Sujetadores de tiza para sastres o textiles</t>
  </si>
  <si>
    <t>Conector de anclaje</t>
  </si>
  <si>
    <t>Calentador de cuarzo</t>
  </si>
  <si>
    <t>Servicios farmacéuticos comerciales</t>
  </si>
  <si>
    <t>Componentes de acero formados en torno</t>
  </si>
  <si>
    <t>Vertederas de movimiento de tierra</t>
  </si>
  <si>
    <t>Aparato de movimiento de proyectiles</t>
  </si>
  <si>
    <t>Servicios de monitoreo del dióxido de carbono</t>
  </si>
  <si>
    <t>Cemento</t>
  </si>
  <si>
    <t>Hormas de zapatos para los discapacitados físicamente</t>
  </si>
  <si>
    <t>Clorhidrato de metoxamina</t>
  </si>
  <si>
    <t>Eslabones de cadena</t>
  </si>
  <si>
    <t>Pistolas de clavos eléctricas</t>
  </si>
  <si>
    <t>Sujetadores o dispensadores de servilletas de uso odontológico</t>
  </si>
  <si>
    <t>Servicios de redes manejadas x25</t>
  </si>
  <si>
    <t>Electrodos para soldar</t>
  </si>
  <si>
    <t>Bombas de metraje o inyección o proporcionales</t>
  </si>
  <si>
    <t>Servicios de posicionamiento del  nombre de los productos</t>
  </si>
  <si>
    <t>Sets de construcción de formas geométricas</t>
  </si>
  <si>
    <t>42281801</t>
  </si>
  <si>
    <t>Cámaras o habitaciones o cajas fuertes de protección radiológica para uso médico</t>
  </si>
  <si>
    <t>Succinato de metoprolol</t>
  </si>
  <si>
    <t>Bombas de vacío para laboratorio</t>
  </si>
  <si>
    <t>Satélites militares</t>
  </si>
  <si>
    <t>Cultivos de hongos</t>
  </si>
  <si>
    <t>Colchones o sets para dormir</t>
  </si>
  <si>
    <t>Libros para pintar o colorear o ilustrar para niños</t>
  </si>
  <si>
    <t>Zalcitabina</t>
  </si>
  <si>
    <t>Accesorios o suministros para analizadores radio isotópicos</t>
  </si>
  <si>
    <t>Tapas para válvulas de dialisato unidades de hemodiálisis</t>
  </si>
  <si>
    <t>Fundas de bolsa para ostomía</t>
  </si>
  <si>
    <t>MEDICAMENTOS ANTIHEMORRAGICO,ANTIHIPERTENSIVO Y ANTIINFLAMATORIO 2</t>
  </si>
  <si>
    <t>Lanzas de pesca en campo petrolero</t>
  </si>
  <si>
    <t>Servicios de forestación</t>
  </si>
  <si>
    <t>Fisostigmina</t>
  </si>
  <si>
    <t>Servicios de soporte técnico o de mesa de ayuda</t>
  </si>
  <si>
    <t>Aturdidor</t>
  </si>
  <si>
    <t>Cortinas de cubículo o pantallas o hardware de rieles de cortinas para pacientes</t>
  </si>
  <si>
    <t>Pistolas de inyección</t>
  </si>
  <si>
    <t>Azulejos de cerámica cocidos</t>
  </si>
  <si>
    <t xml:space="preserve">UNIDAD DE COMPRA </t>
  </si>
  <si>
    <t>Componentes de bronce maquinados por extrusión en caliente</t>
  </si>
  <si>
    <t>Voriconazol</t>
  </si>
  <si>
    <t>Servicios de adquisición de datos sísmicos mientras taladra</t>
  </si>
  <si>
    <t>Servicios del fondo común para los  productos básicos</t>
  </si>
  <si>
    <t>Diurético osmótico urea</t>
  </si>
  <si>
    <t>Juegos de enchufes</t>
  </si>
  <si>
    <t>Botones de premio</t>
  </si>
  <si>
    <t>Retractores de párpado</t>
  </si>
  <si>
    <t>Válvulas hidráulicas</t>
  </si>
  <si>
    <t>Tanato de dextrometorfano</t>
  </si>
  <si>
    <t>Almacenaje de bordes o ribetes</t>
  </si>
  <si>
    <t>Encuadernación en rústica</t>
  </si>
  <si>
    <t>Tintas para textiles a base de agua</t>
  </si>
  <si>
    <t>Rieles para cortinas solares</t>
  </si>
  <si>
    <t>Bromuro de ipratropio</t>
  </si>
  <si>
    <t>Carcasa insonorizante de bomba</t>
  </si>
  <si>
    <t>Compuestos para modelado o arcilla secados al aire</t>
  </si>
  <si>
    <t>Hidrociclones</t>
  </si>
  <si>
    <t>Collares de flotación</t>
  </si>
  <si>
    <t>42142516</t>
  </si>
  <si>
    <t>Vacuna bcg</t>
  </si>
  <si>
    <t>Sierras mecánicas</t>
  </si>
  <si>
    <t>Componentes de aleación ferrosa maquinados por extrusión de impacto</t>
  </si>
  <si>
    <t>Secadoras de calzado</t>
  </si>
  <si>
    <t>Huevos preparados</t>
  </si>
  <si>
    <t>Acido nucleico inmovilizado en membranas de vidrio o nylon</t>
  </si>
  <si>
    <t>Calentadores tubulares</t>
  </si>
  <si>
    <t>Cloruro de mivacurio</t>
  </si>
  <si>
    <t>Cactos</t>
  </si>
  <si>
    <t>Retardantes de cemento</t>
  </si>
  <si>
    <t>PARA HUSO DE PACIENTES INCART</t>
  </si>
  <si>
    <t>Cable forrado pero no aislado</t>
  </si>
  <si>
    <t>Comida seca para gatos</t>
  </si>
  <si>
    <t>Sulfanilamida</t>
  </si>
  <si>
    <t>Vendajes germicidas</t>
  </si>
  <si>
    <t>Semillas o plántulas de alverja</t>
  </si>
  <si>
    <t>Cachiporras</t>
  </si>
  <si>
    <t>Pinzas o cables de pinzas para uso quirúrgico</t>
  </si>
  <si>
    <t>INSUMOS HOSPITALIZACION GENERAL 2</t>
  </si>
  <si>
    <t>Servicios de recopilación de información  o reporte para créditos empresariales</t>
  </si>
  <si>
    <t>Equipos de prueba para unidades de hemodiálisis</t>
  </si>
  <si>
    <t>Serrapeptasa</t>
  </si>
  <si>
    <t>Bares permanentes</t>
  </si>
  <si>
    <t>Servicios de producción de aleaciones ferrosas</t>
  </si>
  <si>
    <t>Manijas de escopios o cargadores de escopios para exámenes médicos</t>
  </si>
  <si>
    <t>Objetos de magnesio fundidos por moldeo en cáscara</t>
  </si>
  <si>
    <t>Servicios de manejo o control de mosquitos</t>
  </si>
  <si>
    <t>Servicios de reparación de brocas de perforación del campo petrolero</t>
  </si>
  <si>
    <t>Entubación</t>
  </si>
  <si>
    <t>Sets de maletas</t>
  </si>
  <si>
    <t>Servicios de fabricación de maletas o bolsos de cuero</t>
  </si>
  <si>
    <t>42142531</t>
  </si>
  <si>
    <t>22101708</t>
  </si>
  <si>
    <t>Máquinas de hacer ojales</t>
  </si>
  <si>
    <t>Aplicaciones para ostomía</t>
  </si>
  <si>
    <t>Accesorios o suministros para analizadores de bancos de sangre</t>
  </si>
  <si>
    <t>Servicios de desmotado</t>
  </si>
  <si>
    <t>Fuentes de impulso sísmicos</t>
  </si>
  <si>
    <t>47121809</t>
  </si>
  <si>
    <t>Ensambles de placas soldadas con solvente de aleación wasp</t>
  </si>
  <si>
    <t>Probadores de circuitos de transistores</t>
  </si>
  <si>
    <t>Sistemas de conmutadores</t>
  </si>
  <si>
    <t>Servicios de cuarentena</t>
  </si>
  <si>
    <t>Servicios de fabricación de bombas o compresores</t>
  </si>
  <si>
    <t>Monte Bonito</t>
  </si>
  <si>
    <t>Controladores de temperatura humidificadores</t>
  </si>
  <si>
    <t>Adhesivos para pegar en las tablas de incentivo</t>
  </si>
  <si>
    <t>Engranajes helicoidales</t>
  </si>
  <si>
    <t>Robots de sellado adhesivo</t>
  </si>
  <si>
    <t>Auditorías de productividad de los recursos humanos</t>
  </si>
  <si>
    <t>Electroimanes</t>
  </si>
  <si>
    <t>Dihidrotaquisterol</t>
  </si>
  <si>
    <t>Simvastatina</t>
  </si>
  <si>
    <t>Carritos de portero</t>
  </si>
  <si>
    <t>Banda de acero no ferroso</t>
  </si>
  <si>
    <t>Maleato de  azatadina</t>
  </si>
  <si>
    <t>Estudio de emplazamientos de plantas de tratamiento  de la madera</t>
  </si>
  <si>
    <t>Servicios de fabricación de maquinaria o plantas industriales especiales</t>
  </si>
  <si>
    <t>Cobertores de barba para personal médico</t>
  </si>
  <si>
    <t>Polarrotores (elementos centrales de la antena)</t>
  </si>
  <si>
    <t>Fórceps o tenazas de alambre para uso quirúrgico</t>
  </si>
  <si>
    <t>Lavadoras de pipetas</t>
  </si>
  <si>
    <t>Fosfato de sodio</t>
  </si>
  <si>
    <t>40161803</t>
  </si>
  <si>
    <t>Semillas o plántulas de maíz</t>
  </si>
  <si>
    <t>Eliminación de cobertura de rocas</t>
  </si>
  <si>
    <t>Aparatos para medir el sonido o medidores de decibeles</t>
  </si>
  <si>
    <t>Forjas de metales preciosos maquinadas con troquel abierto</t>
  </si>
  <si>
    <t>Lanchas o balsas salvavidas</t>
  </si>
  <si>
    <t>Recubrimientos de uso odontológico</t>
  </si>
  <si>
    <t>Secadores de aire caliente</t>
  </si>
  <si>
    <t>Ensambles de barras soldadas con soldadura sónica de inconel</t>
  </si>
  <si>
    <t>51191902</t>
  </si>
  <si>
    <t>43212105</t>
  </si>
  <si>
    <t>Troglitazona</t>
  </si>
  <si>
    <t>Cañas de felpilla de algodón</t>
  </si>
  <si>
    <t>Forjas de aleación no ferrosa maquinadas por reducción</t>
  </si>
  <si>
    <t>Bandejas para procedimientos arteriales o intravenosos</t>
  </si>
  <si>
    <t>Tóner para impresoras o fax</t>
  </si>
  <si>
    <t>Servicios de corte con láser</t>
  </si>
  <si>
    <t>Instalación de unidad estacionaria completa de imágenes de resonancia magnética mri para uso médico</t>
  </si>
  <si>
    <t>Alarma de pulso de mojada en la cama para los discapacitados físicamente</t>
  </si>
  <si>
    <t>Terminales de prensado del cable de recuperación</t>
  </si>
  <si>
    <t>Cepilladoras</t>
  </si>
  <si>
    <t>Refuerzo o cerrado líquido para hilo</t>
  </si>
  <si>
    <t>Servicios de organización de visitas de estado</t>
  </si>
  <si>
    <t>Servicios de elevación por presión de gas de tubería adujada</t>
  </si>
  <si>
    <t>Componentes de metal soldado</t>
  </si>
  <si>
    <t>Cortadores de tabletas o accesorios</t>
  </si>
  <si>
    <t>Paquetes de muebles para ejecutivos modulares</t>
  </si>
  <si>
    <t>Guayabo</t>
  </si>
  <si>
    <t>Isetionato de hexamidina</t>
  </si>
  <si>
    <t>Conjuntos generales de herramientas</t>
  </si>
  <si>
    <t>Análisis multivariate</t>
  </si>
  <si>
    <t>Forjaduras en estampa cerrada de berilio</t>
  </si>
  <si>
    <t>Lamotrigina</t>
  </si>
  <si>
    <t>Diales o kits de diales de medición</t>
  </si>
  <si>
    <t>Generadores de ondas</t>
  </si>
  <si>
    <t>Tiocolchicósido</t>
  </si>
  <si>
    <t>Molduras de metales no ferrosos</t>
  </si>
  <si>
    <t>Cementos disolventes</t>
  </si>
  <si>
    <t>42271708</t>
  </si>
  <si>
    <t>51111602</t>
  </si>
  <si>
    <t>Somatropina</t>
  </si>
  <si>
    <t>Bombas de mano</t>
  </si>
  <si>
    <t>Conformadores o protectores para cirugía oftálmica</t>
  </si>
  <si>
    <t>Colchas o cubrecamas para hospital</t>
  </si>
  <si>
    <t>Automovilismo</t>
  </si>
  <si>
    <t>51111604</t>
  </si>
  <si>
    <t>Indometacina trihidrato sódica</t>
  </si>
  <si>
    <t>Troqueles de fundición</t>
  </si>
  <si>
    <t>Servicios relacionados con la radio</t>
  </si>
  <si>
    <t>Electrodos o sets para electromiógrafos</t>
  </si>
  <si>
    <t>Abrazadera</t>
  </si>
  <si>
    <t>H/H</t>
  </si>
  <si>
    <t>Antenas de aeronaves</t>
  </si>
  <si>
    <t>Cruz de producción y componente submarino</t>
  </si>
  <si>
    <t>Encimeras</t>
  </si>
  <si>
    <t>Kits de reparación de aparatos de rayos x para uso médico</t>
  </si>
  <si>
    <t>Silos</t>
  </si>
  <si>
    <t>Herramientas para geología de campo</t>
  </si>
  <si>
    <t>Sujetadores o posicionadores de instrumentos quirúrgicos</t>
  </si>
  <si>
    <t>Cartuchos de tinta</t>
  </si>
  <si>
    <t>Rectas numéricas</t>
  </si>
  <si>
    <t>Controladores de fuente sísmicos</t>
  </si>
  <si>
    <t>Cable de calentamiento</t>
  </si>
  <si>
    <t>Edificio de los guardacostas</t>
  </si>
  <si>
    <t>Esferos de marcado de huellas dactilares</t>
  </si>
  <si>
    <t>Administración de cultivos</t>
  </si>
  <si>
    <t>Compañero de putting para golf</t>
  </si>
  <si>
    <t>Adaptadores de electricidad para cámaras</t>
  </si>
  <si>
    <t>Bulbos de succión para uso quirúrgico</t>
  </si>
  <si>
    <t>Contadores o temporizadores o divisores de frecuencia</t>
  </si>
  <si>
    <t>Barras de plástico</t>
  </si>
  <si>
    <t>Productos para el lavaplatos</t>
  </si>
  <si>
    <t>Manuales operativos o de instrucciones</t>
  </si>
  <si>
    <t>Invertebrados vivos</t>
  </si>
  <si>
    <t>Producción de plantas de caucho</t>
  </si>
  <si>
    <t>Tornillos de rosca para laminados</t>
  </si>
  <si>
    <t>Clorhidrato de epinefrina</t>
  </si>
  <si>
    <t>Mesilato de fenoldopam</t>
  </si>
  <si>
    <t>Transmisores de temperatura</t>
  </si>
  <si>
    <t>Objetos fundidos maquinados con troquel de hierro</t>
  </si>
  <si>
    <t>Rodio rh</t>
  </si>
  <si>
    <t>Procesador de señal digital (dsp)</t>
  </si>
  <si>
    <t>Batas de hospital</t>
  </si>
  <si>
    <t>Servicios de rociado de frutas o verduras</t>
  </si>
  <si>
    <t>Engranajes de anillo</t>
  </si>
  <si>
    <t>Delitos militares</t>
  </si>
  <si>
    <t>Catéteres urinarios supra púbicos</t>
  </si>
  <si>
    <t>USO GENERAL DEL INCART</t>
  </si>
  <si>
    <t>Transmisiones manuales</t>
  </si>
  <si>
    <t>51122110</t>
  </si>
  <si>
    <t>Detectores infrarrojos ir</t>
  </si>
  <si>
    <t>Cristales de prismas</t>
  </si>
  <si>
    <t>Avión antisubmarino</t>
  </si>
  <si>
    <t>51142012</t>
  </si>
  <si>
    <t>Lámparas de arco de serigrafía</t>
  </si>
  <si>
    <t>Sets de carteleras del calendario</t>
  </si>
  <si>
    <t>Aparato de electrostática</t>
  </si>
  <si>
    <t>Aceite de corte</t>
  </si>
  <si>
    <t>Servicios de prevención o control de enfermedades endocrinas</t>
  </si>
  <si>
    <t>Cemento a granel de pozo petrolero</t>
  </si>
  <si>
    <t>Conector de remolque</t>
  </si>
  <si>
    <t>Miches</t>
  </si>
  <si>
    <t>Vibráfonos</t>
  </si>
  <si>
    <t>Geofísica aeromagnética</t>
  </si>
  <si>
    <t>Escariadores para uso quirúrgico</t>
  </si>
  <si>
    <t>Probadores de vibración</t>
  </si>
  <si>
    <t>Aberturas o ranuras ópticas</t>
  </si>
  <si>
    <t>Materiales de enseñanza de ciencias forenses</t>
  </si>
  <si>
    <t>Huevos congelados</t>
  </si>
  <si>
    <t>Estudios sobre alimentos o hábitos alimentarios</t>
  </si>
  <si>
    <t>Componentes de latón formados con explosivos</t>
  </si>
  <si>
    <t>27112014</t>
  </si>
  <si>
    <t>Servicios de espectroscopia nuclear</t>
  </si>
  <si>
    <t>Embragues hidráulicos</t>
  </si>
  <si>
    <t>Movimientos campesinos</t>
  </si>
  <si>
    <t>Servicios de clasificación de datos o contenidos</t>
  </si>
  <si>
    <t>Objetos maquinados no metálicos fundidos en molde en concha</t>
  </si>
  <si>
    <t>Sombras dentales</t>
  </si>
  <si>
    <t>Citrato de toremifeno</t>
  </si>
  <si>
    <t>Mesilato de dihidroergotoxina</t>
  </si>
  <si>
    <t>Unidades o accesorios de inyección o succión para uso veterinario</t>
  </si>
  <si>
    <t>Pulverizadores</t>
  </si>
  <si>
    <t>Dispositivos prostéticos para las extremidades superiores</t>
  </si>
  <si>
    <t>Material didáctico manipulable de vinculación o sets de actividades de vinculación para matemáticas temprana</t>
  </si>
  <si>
    <t>Flúor f</t>
  </si>
  <si>
    <t>Taladros giratorios</t>
  </si>
  <si>
    <t>Componentes de acero inoxidable formados en torno</t>
  </si>
  <si>
    <t>Plataformas rodantes</t>
  </si>
  <si>
    <t>Servicios de transacción de divisas al contado</t>
  </si>
  <si>
    <t>Películas de poliéster</t>
  </si>
  <si>
    <t>Herramientas de correr tapones</t>
  </si>
  <si>
    <t>Forjaduras en estampa cerrada de cinc</t>
  </si>
  <si>
    <t>Clinómetros</t>
  </si>
  <si>
    <t>Cobayas o conejillos de indias</t>
  </si>
  <si>
    <t>Kits de enseñanza de células</t>
  </si>
  <si>
    <t>Aplicación de recepción (pu) de inserción de vidrio</t>
  </si>
  <si>
    <t>Independencia</t>
  </si>
  <si>
    <t>Objetos de acero fundidos en molde de grafito</t>
  </si>
  <si>
    <t>Surtidos de adhesivos</t>
  </si>
  <si>
    <t>Bastidores de motos</t>
  </si>
  <si>
    <t>Carrete</t>
  </si>
  <si>
    <t>Servicios de organizaciones internacionales de salud</t>
  </si>
  <si>
    <t>Seguro de indemnización profesional</t>
  </si>
  <si>
    <t>Barras cuadradas</t>
  </si>
  <si>
    <t>Helado de sabor o helado o postre de helado o yogurt congelado</t>
  </si>
  <si>
    <t>Bolsas de laringoscopia para servicios médicos de emergencia</t>
  </si>
  <si>
    <t>Borradores de vinilo</t>
  </si>
  <si>
    <t>Empaques cardados</t>
  </si>
  <si>
    <t>Incubadoras para cultivo de tejidos</t>
  </si>
  <si>
    <t>Extrusiones por impacto de bronce</t>
  </si>
  <si>
    <t>Servicios de notificación de nacimientos o control de natalidad</t>
  </si>
  <si>
    <t>Prensas para uso quirúrgico</t>
  </si>
  <si>
    <t>Cordones de audiometría</t>
  </si>
  <si>
    <t>Tablas para necropsia o accesorios</t>
  </si>
  <si>
    <t>Bombas de alcantarillado</t>
  </si>
  <si>
    <t>Grabadoras de voz digitales</t>
  </si>
  <si>
    <t>Elevadores de camillas o de tijeras</t>
  </si>
  <si>
    <t>Kits para técnicos médicos de emergencia emt</t>
  </si>
  <si>
    <t>Butilado hidroxitolueno</t>
  </si>
  <si>
    <t>Servicios de comprobación de referencias o antecedentes</t>
  </si>
  <si>
    <t>Hidrocloruro de racepinephrine</t>
  </si>
  <si>
    <t>Impuesto de seguridad social</t>
  </si>
  <si>
    <t>Removedores de ganchos o clips para uso médico</t>
  </si>
  <si>
    <t>Software de reportes de bases de datos</t>
  </si>
  <si>
    <t>Enfriadores de bebidas</t>
  </si>
  <si>
    <t>Insertos</t>
  </si>
  <si>
    <t>Servicios generales de registro de pozos</t>
  </si>
  <si>
    <t>Máquinas bobinadoras o desenrolladoras</t>
  </si>
  <si>
    <t>Cortisona</t>
  </si>
  <si>
    <t>Botavaras</t>
  </si>
  <si>
    <t>Trencilla desoldante</t>
  </si>
  <si>
    <t>Abrazadera de cable metálico</t>
  </si>
  <si>
    <t>Astato at</t>
  </si>
  <si>
    <t>30181512</t>
  </si>
  <si>
    <t>Cambiadores de muestras</t>
  </si>
  <si>
    <t>Virutas de acero</t>
  </si>
  <si>
    <t>Ensambles de barras pegadas de latón</t>
  </si>
  <si>
    <t xml:space="preserve">INSUMOS LABORATORIO CLINICO-PATOLOGIA Y UCI </t>
  </si>
  <si>
    <t>Servicios de radiobúsqueda</t>
  </si>
  <si>
    <t>Fórceps para laboratorio</t>
  </si>
  <si>
    <t>Influenza b hemofílica con difteria y tétano y pertussis celular conjugadas</t>
  </si>
  <si>
    <t>Nitrilo altamente saturado nhbr</t>
  </si>
  <si>
    <t>Piezas de reflector</t>
  </si>
  <si>
    <t>Deflectores de viento</t>
  </si>
  <si>
    <t>Floroglucinol</t>
  </si>
  <si>
    <t>Equipos de balanceo de llantas</t>
  </si>
  <si>
    <t>Cortadores</t>
  </si>
  <si>
    <t>Contratistas de tecnología informática temporero</t>
  </si>
  <si>
    <t>Papel de transferencia en caliente para copiadoras</t>
  </si>
  <si>
    <t>Servicios creativos temporales</t>
  </si>
  <si>
    <t>Ensambles estructurales con soldadura de solvente de aleación wasp</t>
  </si>
  <si>
    <t>Equipo de análisis volumétrico karl fischer</t>
  </si>
  <si>
    <t>Levonordefrina</t>
  </si>
  <si>
    <t>Modelos moleculares</t>
  </si>
  <si>
    <t>Servicios de transporte en vehículos de tren ligero lrv</t>
  </si>
  <si>
    <t>Servicios de prevención de desastres</t>
  </si>
  <si>
    <t>Yamasá</t>
  </si>
  <si>
    <t>Bastones anti motines</t>
  </si>
  <si>
    <t>Extrusiones en frío de magnesio</t>
  </si>
  <si>
    <t>Retenedores de cemento</t>
  </si>
  <si>
    <t>Medidores de flujo nasal o rinoanemómetros</t>
  </si>
  <si>
    <t>Arenas de fracturación cubiertas de resina</t>
  </si>
  <si>
    <t>Láminas de paspartú</t>
  </si>
  <si>
    <t>Sulfato de quinidina</t>
  </si>
  <si>
    <t>Objetos de aleación ferrosa fundidos en molde de grafito</t>
  </si>
  <si>
    <t>Transmisores de presión</t>
  </si>
  <si>
    <t>Fosfato de cloroquina</t>
  </si>
  <si>
    <t>Textiles de algodón de tejido simple</t>
  </si>
  <si>
    <t>Vías aéreas faríngeas o kits de vías aéreas</t>
  </si>
  <si>
    <t>Servicios de evaluación de la corrosión de tubos del pozo</t>
  </si>
  <si>
    <t>Servicios de maquinado electroquímico ecm</t>
  </si>
  <si>
    <t>Quinapril</t>
  </si>
  <si>
    <t>Materiales de enseñanza de comprensión de las enfermedades de la infancia</t>
  </si>
  <si>
    <t>Tarjetas de identificación</t>
  </si>
  <si>
    <t>Calibrador o simulador de frecuencia</t>
  </si>
  <si>
    <t>Tablas de incentivo basados en la biblia</t>
  </si>
  <si>
    <t>Nylons poliamida pa</t>
  </si>
  <si>
    <t>Envoltorios para monedas o cintas para billetes</t>
  </si>
  <si>
    <t>Reactivos o kits o sustratos de detección quimio fluorescente de proteínas</t>
  </si>
  <si>
    <t>Textos educacionales o vocacionales</t>
  </si>
  <si>
    <t>Chatarra de níquel</t>
  </si>
  <si>
    <t>Sets o paquetes de cuencas de uso quirúrgico</t>
  </si>
  <si>
    <t>Presillos o agujas para inoculación microbiológica</t>
  </si>
  <si>
    <t>Redacción de artículos académicos o científicos</t>
  </si>
  <si>
    <t>Máquinas para doblar</t>
  </si>
  <si>
    <t>Controles electrónicos de motor</t>
  </si>
  <si>
    <t>Protectores de colchón o silla para hospital</t>
  </si>
  <si>
    <t>Sistemas de presión alterna</t>
  </si>
  <si>
    <t>Mirtazapina</t>
  </si>
  <si>
    <t>Portaherramientas de corredera transversal de aplanadora</t>
  </si>
  <si>
    <t>INSUMOS CIRUGIA MENOR 1</t>
  </si>
  <si>
    <t>Productos depilatorios o para remover vello</t>
  </si>
  <si>
    <t>Libros de recursos o actividades de cálculo</t>
  </si>
  <si>
    <t>Papel cuadernillos o formularios de exámenes</t>
  </si>
  <si>
    <t>Cadenas de banda</t>
  </si>
  <si>
    <t>Pepillo Salcedo</t>
  </si>
  <si>
    <t>Abarrotes y otros 4</t>
  </si>
  <si>
    <t>Servicios de valet</t>
  </si>
  <si>
    <t>Medidores de absorción de luz</t>
  </si>
  <si>
    <t>Almohadillas de flautín</t>
  </si>
  <si>
    <t>Protectores de codos</t>
  </si>
  <si>
    <t>Analizadores de tinnitus (acúfenos)</t>
  </si>
  <si>
    <t>Cuencos de drenaje</t>
  </si>
  <si>
    <t>Dispositivo pesario</t>
  </si>
  <si>
    <t>Objetos de estaño fundidos en molde de yeso</t>
  </si>
  <si>
    <t>Publicidad en internet</t>
  </si>
  <si>
    <t>Película de color</t>
  </si>
  <si>
    <t>Vectores enfocados a expresión bacteriana</t>
  </si>
  <si>
    <t>Fecha Aprobación</t>
  </si>
  <si>
    <t>Corte o tala de troncos</t>
  </si>
  <si>
    <t>Cobijas</t>
  </si>
  <si>
    <t>Accesorios para afilar instrumentos dentales</t>
  </si>
  <si>
    <t>Bombas hidráulicas de culminación</t>
  </si>
  <si>
    <t>Detectores de burbujas de aire para administración arterial o intravenosa</t>
  </si>
  <si>
    <t>Bitartrato de levarterenol</t>
  </si>
  <si>
    <t>Juegos de fracciones</t>
  </si>
  <si>
    <t>Hilado de poliéster</t>
  </si>
  <si>
    <t>Máquinas de estampillas</t>
  </si>
  <si>
    <t>Servicios de siquiatras</t>
  </si>
  <si>
    <t>Ensambles de láminas pegadas de acero de aleación baja</t>
  </si>
  <si>
    <t>Agujas o sets para punción del esternón</t>
  </si>
  <si>
    <t>Objetos de plomo fundidos a la cera perdida</t>
  </si>
  <si>
    <t>Limpiadores de pisos</t>
  </si>
  <si>
    <t>Servicios de planificación sectorial</t>
  </si>
  <si>
    <t>Cuchillos para uso doméstico</t>
  </si>
  <si>
    <t>Daunorubicinas</t>
  </si>
  <si>
    <t>Monederos</t>
  </si>
  <si>
    <t>Servicios o programas de relaciones públicas</t>
  </si>
  <si>
    <t>Soportes para agujas de recolección de sangre</t>
  </si>
  <si>
    <t>Collares</t>
  </si>
  <si>
    <t>Servicios de asesorías sobre la contaminación del suelo</t>
  </si>
  <si>
    <t>Conectores de soporte posterior</t>
  </si>
  <si>
    <t>Servicios de fabricación de aparatos electrodomésticos</t>
  </si>
  <si>
    <t>Sistemas de electroretinograma</t>
  </si>
  <si>
    <t>Paradas de paquetes</t>
  </si>
  <si>
    <t>Fertilizante de fósforo</t>
  </si>
  <si>
    <t>Agujas mariposa</t>
  </si>
  <si>
    <t>Materiales de enseñanza de seguridad del hogar o de protección para evitar usos indebidos por los niños</t>
  </si>
  <si>
    <t>Cefoperazona</t>
  </si>
  <si>
    <t>Equipos de control de aire microbiológico</t>
  </si>
  <si>
    <t>Mangueras recubiertas de fluoropolímero</t>
  </si>
  <si>
    <t>Forjas de titanio maquinadas por anillo enrollado</t>
  </si>
  <si>
    <t>Hornos o incubadoras de hibridación</t>
  </si>
  <si>
    <t>Fundas de edredón</t>
  </si>
  <si>
    <t>Secadora de ropa para exteriores</t>
  </si>
  <si>
    <t>Reactivos para preparar gel poliacrilamida</t>
  </si>
  <si>
    <t>Servicios de gestión o control de la conservación de los alimentos</t>
  </si>
  <si>
    <t>Servicios de formación  profesional en biología</t>
  </si>
  <si>
    <t>51241303</t>
  </si>
  <si>
    <t>Materiales de enseñanza para el cuidador de niños</t>
  </si>
  <si>
    <t>Junta de bola</t>
  </si>
  <si>
    <t>Televisores</t>
  </si>
  <si>
    <t>Accesorios del panel de control o distribución</t>
  </si>
  <si>
    <t>Kits de multimedia</t>
  </si>
  <si>
    <t>Microscopios de transmisión de electrones</t>
  </si>
  <si>
    <t>Bordes o ribetes rectos</t>
  </si>
  <si>
    <t>Tulipanes cortados</t>
  </si>
  <si>
    <t>Equipos para rotulado</t>
  </si>
  <si>
    <t>Guías de aguja para biopsia de seno mínimamente invasiva</t>
  </si>
  <si>
    <t>Equipos de filtración de canal angosto</t>
  </si>
  <si>
    <t>Bombas de barra mecánica</t>
  </si>
  <si>
    <t>Señales de tráfico</t>
  </si>
  <si>
    <t>Americio am</t>
  </si>
  <si>
    <t>Ayudas de flotación</t>
  </si>
  <si>
    <t>Sala de conferencias</t>
  </si>
  <si>
    <t>Monte Plata</t>
  </si>
  <si>
    <t>Servicios de vigilancia de la carga</t>
  </si>
  <si>
    <t>Servicios de diseño de brocas de perforación del campo petrolero</t>
  </si>
  <si>
    <t>Para la compra de bienes de Ferreteria</t>
  </si>
  <si>
    <t>Servicios de recaudación de impuestos</t>
  </si>
  <si>
    <t>Suprofeno</t>
  </si>
  <si>
    <t>51212401</t>
  </si>
  <si>
    <t>60121124</t>
  </si>
  <si>
    <t>Calentadoras de café para uso comercial</t>
  </si>
  <si>
    <t>Personal maquinista temporal</t>
  </si>
  <si>
    <t>Bobina de bronce</t>
  </si>
  <si>
    <t>Lugares históricos o culturales</t>
  </si>
  <si>
    <t>51111703</t>
  </si>
  <si>
    <t>Molinos de caucho o plástico</t>
  </si>
  <si>
    <t>Vengan a ver</t>
  </si>
  <si>
    <t>Componentes o accesorios de duplicador de micro filmado</t>
  </si>
  <si>
    <t>Molinos para biopsia de hueso para uso quirúrgico o productos relacionados</t>
  </si>
  <si>
    <t>Colgadores de película radiológica para uso odontológico</t>
  </si>
  <si>
    <t>Máquinas para hacer pulpa de madera</t>
  </si>
  <si>
    <t>Levotiroxina sódica</t>
  </si>
  <si>
    <t>27111710</t>
  </si>
  <si>
    <t>Moisés o cunas o camas pediátricas o accesorios</t>
  </si>
  <si>
    <t>Clorotrianiseno</t>
  </si>
  <si>
    <t>Asociaciones de enfermeras</t>
  </si>
  <si>
    <t>Objetos maquinados en molde permanente de cobre fundidos</t>
  </si>
  <si>
    <t>Tractomulas con cabina encima del motor sin cama</t>
  </si>
  <si>
    <t>Hebra de grafito</t>
  </si>
  <si>
    <t>Servicios de procesos de preacabado de hierro o acero</t>
  </si>
  <si>
    <t>Tabletas de gráficos</t>
  </si>
  <si>
    <t>Ensambles de placas soldadas con soldadura ultra violeta de inconel</t>
  </si>
  <si>
    <t>Solenoides</t>
  </si>
  <si>
    <t>Objetos de aleación no ferrosa fundidos por proceso en v</t>
  </si>
  <si>
    <t>Torneados (virutas) de níquel</t>
  </si>
  <si>
    <t>Kits de accesorios para endoscopia</t>
  </si>
  <si>
    <t>Esperanza</t>
  </si>
  <si>
    <t>Correas de retención o espinales para servicios médicos de emergencia</t>
  </si>
  <si>
    <t>Lechada de cemento</t>
  </si>
  <si>
    <t>42311526</t>
  </si>
  <si>
    <t>27112202</t>
  </si>
  <si>
    <t>Lavandería de autoservicio operadas con monedas</t>
  </si>
  <si>
    <t>Seguro de invalidez</t>
  </si>
  <si>
    <t>Equipo de prueba de petróleo</t>
  </si>
  <si>
    <t>Pasteles de sal congelados</t>
  </si>
  <si>
    <t>Esponjas de debridación</t>
  </si>
  <si>
    <t>Ventiladores</t>
  </si>
  <si>
    <t>Vigas de bronce</t>
  </si>
  <si>
    <t>Gas dióxido de carbono</t>
  </si>
  <si>
    <t>Cajas de levantar o accesorios para rehabilitación o terapia</t>
  </si>
  <si>
    <t>Unidades de mezcla de gel</t>
  </si>
  <si>
    <t>Instrumentos de acceso a pozos de agua</t>
  </si>
  <si>
    <t>Contadores gama</t>
  </si>
  <si>
    <t>Paneles o espejos de acrílico transparente</t>
  </si>
  <si>
    <t>Filtros o ultrafiltros farmacéuticos</t>
  </si>
  <si>
    <t>Servicios de prevención o control de enfermedades cardiovasculares</t>
  </si>
  <si>
    <t>Clorhidrato de rimantadina</t>
  </si>
  <si>
    <t>Planificación o administración de proyectos</t>
  </si>
  <si>
    <t>Servicios de agentes aduaneros</t>
  </si>
  <si>
    <t>Materiales de prueba de bacterias</t>
  </si>
  <si>
    <t>Comida húmeda para perros</t>
  </si>
  <si>
    <t>Sujeta corbatas</t>
  </si>
  <si>
    <t>Servicios de protección contra la contaminación de alimentos o pienso</t>
  </si>
  <si>
    <t>Escotillas de cubierta</t>
  </si>
  <si>
    <t>Mostaza de uracilo</t>
  </si>
  <si>
    <t>Sen o senósidos</t>
  </si>
  <si>
    <t>Llaves de torsión</t>
  </si>
  <si>
    <t>Peróxidos orgánicos</t>
  </si>
  <si>
    <t>Servicios de fabricación de electrodomésticos o máquinas de uso doméstico excepto eléctricas</t>
  </si>
  <si>
    <t>Máquinas de curvar tangentes</t>
  </si>
  <si>
    <t>Megáfonos</t>
  </si>
  <si>
    <t xml:space="preserve">Excepción - Bienes o servicios con exclusividad </t>
  </si>
  <si>
    <t>Pruebas de protección nucleasa</t>
  </si>
  <si>
    <t>Abridor manual de cartas</t>
  </si>
  <si>
    <t>Materiales de enseñanza para la comprensión de los créditos o préstamos de consumo</t>
  </si>
  <si>
    <t>Cortadores de pernos</t>
  </si>
  <si>
    <t>Cáñamo</t>
  </si>
  <si>
    <t>Secadores de aire para cables de telefonía</t>
  </si>
  <si>
    <t>Semillas o plántulas de berenjena</t>
  </si>
  <si>
    <t>Tornillos de rosca para madera</t>
  </si>
  <si>
    <t>Plataforma de taladro de perforación</t>
  </si>
  <si>
    <t>Ensambladoras de impresión</t>
  </si>
  <si>
    <t>Catalizadores ácidos</t>
  </si>
  <si>
    <t>Medidores de profundidad dentales</t>
  </si>
  <si>
    <t>Acuerdos de cese del fuego o supervisión de treguas</t>
  </si>
  <si>
    <t>Equipo de lavado desinfectante para equipos e instrumentos de uso médico</t>
  </si>
  <si>
    <t>Agua estéril para irrigación</t>
  </si>
  <si>
    <t>Patenas</t>
  </si>
  <si>
    <t>Tuercas de unión</t>
  </si>
  <si>
    <t>Tonelada</t>
  </si>
  <si>
    <t>Tees de golf</t>
  </si>
  <si>
    <t>76111501</t>
  </si>
  <si>
    <t>Mebendazol</t>
  </si>
  <si>
    <t>Pamidronato disódico</t>
  </si>
  <si>
    <t>viveres 2</t>
  </si>
  <si>
    <t>Materiales didácticos de soldadura</t>
  </si>
  <si>
    <t>Tazas medidoras de uso odontológico</t>
  </si>
  <si>
    <t>Joyas de purpurina</t>
  </si>
  <si>
    <t>Dispositivos de pared</t>
  </si>
  <si>
    <t>Fieltros de recubrimiento ortopédico para los hombros</t>
  </si>
  <si>
    <t>Servicios de control de arena mediante tubería flexible contínua</t>
  </si>
  <si>
    <t>Maleato de clorfenamina</t>
  </si>
  <si>
    <t>Plantaciones de coníferas</t>
  </si>
  <si>
    <t>Ejes de tracción</t>
  </si>
  <si>
    <t>La Descubierta</t>
  </si>
  <si>
    <t>Jeringas de cartucho para uso médico</t>
  </si>
  <si>
    <t>USO BLOQUE DE CIRUGIAS</t>
  </si>
  <si>
    <t>Hidrocloruro de guanidina</t>
  </si>
  <si>
    <t>Aparato de ondas</t>
  </si>
  <si>
    <t>Servicios meteorológicos</t>
  </si>
  <si>
    <t>Elevadores de tapas de registro</t>
  </si>
  <si>
    <t>Servicios de laboratorio de lácteos</t>
  </si>
  <si>
    <t>Saquinavir</t>
  </si>
  <si>
    <t>Servicios de terapia ocupacional</t>
  </si>
  <si>
    <t>Detectores de radiación</t>
  </si>
  <si>
    <t>Agujas romas</t>
  </si>
  <si>
    <t>Zirconio zr</t>
  </si>
  <si>
    <t>Transportador de rodillos</t>
  </si>
  <si>
    <t>Violeta geneciana</t>
  </si>
  <si>
    <t>Software de hoja de cálculo</t>
  </si>
  <si>
    <t>Vibradores para laboratorio</t>
  </si>
  <si>
    <t>Chapa de aluminio</t>
  </si>
  <si>
    <t>Claveles cortados</t>
  </si>
  <si>
    <t>Servicios ambientales no gubernamentales</t>
  </si>
  <si>
    <t>Ambulancias</t>
  </si>
  <si>
    <t>Pantalones para pacientes</t>
  </si>
  <si>
    <t>Herramientas para tallar</t>
  </si>
  <si>
    <t>MEDICAMENTOS VASOPROTECTOR 1</t>
  </si>
  <si>
    <t>Herramientas de par de torsión</t>
  </si>
  <si>
    <t>Servicios de fabricación de maquinaria o equipos metalúrgicos</t>
  </si>
  <si>
    <t>Equipo de medición de lentes</t>
  </si>
  <si>
    <t>Buques dragaminas</t>
  </si>
  <si>
    <t>Actualizaciones de multi funciones</t>
  </si>
  <si>
    <t>Auriotomalato de sodio</t>
  </si>
  <si>
    <t>Síntesis de materiales</t>
  </si>
  <si>
    <t>Ivermectina</t>
  </si>
  <si>
    <t>Recubrimientos de perforación</t>
  </si>
  <si>
    <t xml:space="preserve">MEDICAMENTOS CITOSTATICO ESPECIALES </t>
  </si>
  <si>
    <t>Asociaciones para la defensa de la tortura física o mental</t>
  </si>
  <si>
    <t>Telas no tejidas hidroentrelazadas</t>
  </si>
  <si>
    <t>Cajas de gota acidificante</t>
  </si>
  <si>
    <t>50171830</t>
  </si>
  <si>
    <t>Vías de navegación interior</t>
  </si>
  <si>
    <t>Tartrato de vinorelbina</t>
  </si>
  <si>
    <t>Lavanderia 2</t>
  </si>
  <si>
    <t>Cloruro de oxibutinina</t>
  </si>
  <si>
    <t>Ensambles de barras atornilladas de latón</t>
  </si>
  <si>
    <t>Agujas para biopsia</t>
  </si>
  <si>
    <t>Absorbentes para limpieza de heridas</t>
  </si>
  <si>
    <t>Taladros de perforación de pozos</t>
  </si>
  <si>
    <t>Objetos de plomo fundidos por moldeo en cáscara</t>
  </si>
  <si>
    <t>Terminal de carga rodante</t>
  </si>
  <si>
    <t>Hato Nuevo Cortés</t>
  </si>
  <si>
    <t>Máquina para pegar puntadas</t>
  </si>
  <si>
    <t>Servicios de empaque de frutas o verduras</t>
  </si>
  <si>
    <t>Anillos para instrumentos de uso odontológico</t>
  </si>
  <si>
    <t>Guías de rollo para impresoras, faxes o fotocopiadoras</t>
  </si>
  <si>
    <t>Servicios de fabricación de productos de corcho</t>
  </si>
  <si>
    <t>Filminas de billetes</t>
  </si>
  <si>
    <t>51101594</t>
  </si>
  <si>
    <t>Encurtidos</t>
  </si>
  <si>
    <t>Pijamas o camisas de dormir o batas para mujer</t>
  </si>
  <si>
    <t>Objetos de titanio fundidos en molde de yeso</t>
  </si>
  <si>
    <t>Huevos batidos</t>
  </si>
  <si>
    <t>24111810</t>
  </si>
  <si>
    <t>Veteranos de guerra</t>
  </si>
  <si>
    <t>Moldes auditivos o sus accesorios</t>
  </si>
  <si>
    <t>Guías de referencia del alfabeto</t>
  </si>
  <si>
    <t>COMODATOS</t>
  </si>
  <si>
    <t>Hipromelosa</t>
  </si>
  <si>
    <t>Tolvas para teléfonos de pago</t>
  </si>
  <si>
    <t>Sistemas de terapia estereotáctica sin marco</t>
  </si>
  <si>
    <t>Señaladores de cabeza o palitos para la boca para los discapacitados físicamente</t>
  </si>
  <si>
    <t>Servicios de desarrollo de campos petroleros</t>
  </si>
  <si>
    <t>Ensambles de tubos soldados con soldadura ultra violeta de aleación hast x</t>
  </si>
  <si>
    <t>Ladrillos de sílice</t>
  </si>
  <si>
    <t>Guías de referencia del dinero</t>
  </si>
  <si>
    <t>Ladrillos de plomo para protección contra la radiación</t>
  </si>
  <si>
    <t>Perreras</t>
  </si>
  <si>
    <t>Protección de la fauna</t>
  </si>
  <si>
    <t>Férulas</t>
  </si>
  <si>
    <t>Objetos de aluminio fundidos por proceso en v</t>
  </si>
  <si>
    <t>Pozo petrolero cemento tipo i clase a</t>
  </si>
  <si>
    <t>Aparato de magnetismo</t>
  </si>
  <si>
    <t>Epirubicina</t>
  </si>
  <si>
    <t>Cabezas de escoba</t>
  </si>
  <si>
    <t>Aspersores de agua</t>
  </si>
  <si>
    <t>Chimeneas de ventilación o antorchas</t>
  </si>
  <si>
    <t>Antralina o ditranol</t>
  </si>
  <si>
    <t>Multihusillo fijo de corredera roscada</t>
  </si>
  <si>
    <t>Medidores de conductividad de dialisato para hemodiálisis</t>
  </si>
  <si>
    <t>Fluorosilicona fvmq</t>
  </si>
  <si>
    <t>Máquinas para abrir zanjas</t>
  </si>
  <si>
    <t>Aire acondicionado portátil para uso doméstico</t>
  </si>
  <si>
    <t>Motores de lodo</t>
  </si>
  <si>
    <t>Dioctil sulfosuccinato de sodio</t>
  </si>
  <si>
    <t>50201714</t>
  </si>
  <si>
    <t>Manguitos de la transmisión</t>
  </si>
  <si>
    <t>Tábara Arriba</t>
  </si>
  <si>
    <t>Dispositivos de identificación de radio frecuencia</t>
  </si>
  <si>
    <t>Cámaras de baja luz</t>
  </si>
  <si>
    <t>Provincia</t>
  </si>
  <si>
    <t>Servicios de genética ganadera</t>
  </si>
  <si>
    <t>Rampas de arrastre de avión</t>
  </si>
  <si>
    <t>Máquinas moldeadoras de cemento o cerámica o vidrio o similar</t>
  </si>
  <si>
    <t>Trineos motorizados o motos de nieve</t>
  </si>
  <si>
    <t>51211612</t>
  </si>
  <si>
    <t>Fundición en arena de aluminio</t>
  </si>
  <si>
    <t>Servicios de inspección de los cables conductores</t>
  </si>
  <si>
    <t>Ligantes endoscópicos</t>
  </si>
  <si>
    <t>Servicios de producción de productos farmacéuticos</t>
  </si>
  <si>
    <t>Recuperación de tierras</t>
  </si>
  <si>
    <t>Antenas de onda corta</t>
  </si>
  <si>
    <t>Pantuflas para bebé</t>
  </si>
  <si>
    <t>51121603</t>
  </si>
  <si>
    <t>Estabilizadores de fondo de pozo</t>
  </si>
  <si>
    <t>Duarte</t>
  </si>
  <si>
    <t>Servicios de transmisión de datos del pozo en el campo petrolero</t>
  </si>
  <si>
    <t>Filtros de despliegue de video</t>
  </si>
  <si>
    <t>Aztreonam</t>
  </si>
  <si>
    <t>51171911</t>
  </si>
  <si>
    <t>Contratos de defensa</t>
  </si>
  <si>
    <t>Máquinas de endoso de cheques</t>
  </si>
  <si>
    <t>Preparación de estudios de mercado de mercancías</t>
  </si>
  <si>
    <t>Aros interiores</t>
  </si>
  <si>
    <t>Servicios legales de malpraxis o negligencia profesional</t>
  </si>
  <si>
    <t>Sensores de posición linear</t>
  </si>
  <si>
    <t>Servicios de demolición</t>
  </si>
  <si>
    <t>Sujetadores de implantes para uso quirúrgico</t>
  </si>
  <si>
    <t>Alopurinol</t>
  </si>
  <si>
    <t>Núcleo de panal de aluminio</t>
  </si>
  <si>
    <t>Guías de referencia sobre tecnología</t>
  </si>
  <si>
    <t>Hidroponía</t>
  </si>
  <si>
    <t>Accesorios para instrumentos de meteorología</t>
  </si>
  <si>
    <t>Corta uñas</t>
  </si>
  <si>
    <t>Forjas de metales preciosos maquinadas con troquel cerrado</t>
  </si>
  <si>
    <t>Ganchos para sujetarse los pantalones para los discapacitados físicamente</t>
  </si>
  <si>
    <t>Endulzantes</t>
  </si>
  <si>
    <t>Lignocaina</t>
  </si>
  <si>
    <t>Mineral de tungsteno o wolframio</t>
  </si>
  <si>
    <t>Tubos o accesorios de conexión de instrumentos quirúrgicos</t>
  </si>
  <si>
    <t>Establos para ganado</t>
  </si>
  <si>
    <t>Unidades de perforación de orificios</t>
  </si>
  <si>
    <t>Mesna</t>
  </si>
  <si>
    <t>Servicios de capacitación sobre la lucha contra incendios</t>
  </si>
  <si>
    <t>Ensambles estructurales con soldadura ultra violeta no metálica</t>
  </si>
  <si>
    <t>Bicicletas estáticas</t>
  </si>
  <si>
    <t>Taxis acuáticos</t>
  </si>
  <si>
    <t>MEDICAMENTOS CITOSTATICOS ESPECIAL II</t>
  </si>
  <si>
    <t>Batas de cirugía</t>
  </si>
  <si>
    <t>Convertidores de oxígeno líquido</t>
  </si>
  <si>
    <t>Objetos de aluminio fundidos por moldeo en cáscara</t>
  </si>
  <si>
    <t>Pygeum africano</t>
  </si>
  <si>
    <t>Adaptadores de auriculares</t>
  </si>
  <si>
    <t>Servicios de compra de vestuario</t>
  </si>
  <si>
    <t>Sistemas de rociado para incendio</t>
  </si>
  <si>
    <t>Organizaciones o servicios de peregrinaje al vaticano</t>
  </si>
  <si>
    <t>Edificio del aeropuerto</t>
  </si>
  <si>
    <t>51182401</t>
  </si>
  <si>
    <t>Nandrolona</t>
  </si>
  <si>
    <t>Limas o curetas dentales</t>
  </si>
  <si>
    <t>Medidores de electrodos selectivos de iones ise</t>
  </si>
  <si>
    <t>Desinfectantes de superficies para uso médico</t>
  </si>
  <si>
    <t>Deportes juveniles</t>
  </si>
  <si>
    <t>Tapones de tubo</t>
  </si>
  <si>
    <t>Termómetros de incubadora de laboratorio</t>
  </si>
  <si>
    <t>Set de bloques de patrón longitudinal</t>
  </si>
  <si>
    <t>Componentes de aleación de níquel estampados</t>
  </si>
  <si>
    <t>Santa Cruz del Seibo</t>
  </si>
  <si>
    <t>Software de análisis financiero</t>
  </si>
  <si>
    <t>Papel de dibujo para carboncillo o pastel</t>
  </si>
  <si>
    <t>Post – impulsores</t>
  </si>
  <si>
    <t>Unidades de acceso remoto de telecomunicaciones</t>
  </si>
  <si>
    <t>Filtros visuales</t>
  </si>
  <si>
    <t>Textil sintético tejido</t>
  </si>
  <si>
    <t>Geles de poliacrilamida pre fabricados</t>
  </si>
  <si>
    <t>Servicios de todero</t>
  </si>
  <si>
    <t>Recursos de madera combustible</t>
  </si>
  <si>
    <t>Servicios de helicópteros de salvamento</t>
  </si>
  <si>
    <t>Impuesto nacional sobre la renta</t>
  </si>
  <si>
    <t>Ensamblajes de apilamiento de cabezales</t>
  </si>
  <si>
    <t>Servicios de hilo o tejido trenzado</t>
  </si>
  <si>
    <t>INSUMOS LABORATORIO CLINICO-PATOLOGIA-UCI 1</t>
  </si>
  <si>
    <t>Trilladoras</t>
  </si>
  <si>
    <t>Aprovechamiento de los ríos</t>
  </si>
  <si>
    <t>Cloroquina</t>
  </si>
  <si>
    <t>Estudios de grupos sociales o servicios relacionados</t>
  </si>
  <si>
    <t>Reactivos o soluciones o tinturas para histología</t>
  </si>
  <si>
    <t>Mostradores de instrumentos afilados o esponjas para uso quirúrgico</t>
  </si>
  <si>
    <t>Piedra pómez</t>
  </si>
  <si>
    <t>Etiquetas para ropa</t>
  </si>
  <si>
    <t>Clorhidrato de biperideno</t>
  </si>
  <si>
    <t>Mandriles para doblar tuberías</t>
  </si>
  <si>
    <t>Moderador para conjunto subcrítico</t>
  </si>
  <si>
    <t>Servicios de prevención o control de trastornos neurológicos</t>
  </si>
  <si>
    <t>Pantuflas para niño</t>
  </si>
  <si>
    <t>Acetato de triamcinolona</t>
  </si>
  <si>
    <t>Paso elevado para peatones</t>
  </si>
  <si>
    <t>Kits de arranque intravenoso o arterial sin catéter</t>
  </si>
  <si>
    <t>Eje de bloqueo</t>
  </si>
  <si>
    <t>Lubricantes dentales</t>
  </si>
  <si>
    <t>Catéteres uro dinámicos o accesorios</t>
  </si>
  <si>
    <t>52152104</t>
  </si>
  <si>
    <t>51101549</t>
  </si>
  <si>
    <t>Tablas de brazo arterial o intravenoso</t>
  </si>
  <si>
    <t>Servicios de sacrificio de ganado</t>
  </si>
  <si>
    <t>Impresión digital</t>
  </si>
  <si>
    <t>Praziquantel</t>
  </si>
  <si>
    <t>Placa impulsada</t>
  </si>
  <si>
    <t>Pulpa de madera</t>
  </si>
  <si>
    <t>Instalación o reparación de paredes</t>
  </si>
  <si>
    <t>Magnificadores para uso forense</t>
  </si>
  <si>
    <t>Servicios de distribución o de publicidad o de boletines de sobre compras</t>
  </si>
  <si>
    <t>Servicios de buceo en pozos submarinos</t>
  </si>
  <si>
    <t>Paneles de control de turbinas de vapor</t>
  </si>
  <si>
    <t>Abarrotes y otros 2</t>
  </si>
  <si>
    <t>Analizadores de electrolitos</t>
  </si>
  <si>
    <t>Probucol</t>
  </si>
  <si>
    <t>Servicios de lubricación en caliente del campo petrolero</t>
  </si>
  <si>
    <t>Barco de tripulación de gas o petróleo</t>
  </si>
  <si>
    <t>Extrusiones en frío de aluminio</t>
  </si>
  <si>
    <t>FT2</t>
  </si>
  <si>
    <t>Gestión de construcción de edificios</t>
  </si>
  <si>
    <t>Servicios relacionados con el cristianismo</t>
  </si>
  <si>
    <t>Cajas de guantes de aislamiento</t>
  </si>
  <si>
    <t>Papel kraft súper calandrado</t>
  </si>
  <si>
    <t>Mesas de fuerzas</t>
  </si>
  <si>
    <t>Cadenas de corte</t>
  </si>
  <si>
    <t>Software de reconocimiento de voz</t>
  </si>
  <si>
    <t>Nueces y semillas enteras</t>
  </si>
  <si>
    <t>MEDICAMENTOS ANESTESICOS 2</t>
  </si>
  <si>
    <t>Bases de nitrógeno para levadura ynb o variantes de bases de nitrógeno para levaduras ynb</t>
  </si>
  <si>
    <t>Válvulas de control de disco</t>
  </si>
  <si>
    <t>Servicios de organizaciones internacional de ayuda humanitaria</t>
  </si>
  <si>
    <t>Aparatos para estimar permeabilidad o porosidad</t>
  </si>
  <si>
    <t>Trolleys de estante</t>
  </si>
  <si>
    <t>Materiales de ensamblaje para entomología</t>
  </si>
  <si>
    <t>42192603</t>
  </si>
  <si>
    <t>41104211</t>
  </si>
  <si>
    <t>Clasificación del suelo</t>
  </si>
  <si>
    <t>Servicios de desarrollo de aplicaciones para clientes de internet / intranet</t>
  </si>
  <si>
    <t>Molduras de acero</t>
  </si>
  <si>
    <t>Penciclovir</t>
  </si>
  <si>
    <t>Objetos de magnesio fundidos en molde cerámico</t>
  </si>
  <si>
    <t>Servicios de fabricación de paneles de base de madera</t>
  </si>
  <si>
    <t>Forros para pañales</t>
  </si>
  <si>
    <t>Agentes de intercalación</t>
  </si>
  <si>
    <t>53102503</t>
  </si>
  <si>
    <t>equipos de seguridad</t>
  </si>
  <si>
    <t>Tireo Arriba</t>
  </si>
  <si>
    <t>72102701</t>
  </si>
  <si>
    <t>Fresadoras</t>
  </si>
  <si>
    <t>Ensambles de tubería con soldadura sónica de aluminio</t>
  </si>
  <si>
    <t>Grafito natural</t>
  </si>
  <si>
    <t>Nobelio no</t>
  </si>
  <si>
    <t>Guía refrigerada por agua</t>
  </si>
  <si>
    <t>BANCO DE SANGRE 3</t>
  </si>
  <si>
    <t>BANCO DE SANGRE 2</t>
  </si>
  <si>
    <t>Servicios de psicología</t>
  </si>
  <si>
    <t>Noretindrona</t>
  </si>
  <si>
    <t>Preventor de reventones</t>
  </si>
  <si>
    <t>Tubos de sobres</t>
  </si>
  <si>
    <t>Borradores de plástico</t>
  </si>
  <si>
    <t>Objetos de fundición centrífuga de latón</t>
  </si>
  <si>
    <t>Objetos maquinados de latón fundidos en arena</t>
  </si>
  <si>
    <t>Equipo de remoción de amoniaco</t>
  </si>
  <si>
    <t>Escáneres o tubos para tomografía computarizada ct o cat para uso médico</t>
  </si>
  <si>
    <t>Sujetadores de lentes o accesorios para uso oftálmico</t>
  </si>
  <si>
    <t>Servicios de bancos de sangre, esperma u órganos de trasplante</t>
  </si>
  <si>
    <t>Bandejas de procedimiento o accesorios para hemodiálisis</t>
  </si>
  <si>
    <t>51111706</t>
  </si>
  <si>
    <t>Estadio</t>
  </si>
  <si>
    <t>Pipeta de desplazamiento positivo de un solo canal manuales</t>
  </si>
  <si>
    <t>Pesas</t>
  </si>
  <si>
    <t>Kits o suministros para pruebas de microbiología o bacteriología</t>
  </si>
  <si>
    <t>Clorhidrato pralidoxima</t>
  </si>
  <si>
    <t>Estantes de tornillos ortopédicos o accesorios</t>
  </si>
  <si>
    <t>Soportes de brazos para el inodoro para los discapacitados físicamente</t>
  </si>
  <si>
    <t>Libros de actividades de lectura</t>
  </si>
  <si>
    <t>Kits o accesorios de pruebas de monitoreo tangente</t>
  </si>
  <si>
    <t>Tiza para escribir o accesorios</t>
  </si>
  <si>
    <t>Ayudas para fumar para los discapacitados físicamente</t>
  </si>
  <si>
    <t>Centrales de energía  marina</t>
  </si>
  <si>
    <t>Estación de tranvías</t>
  </si>
  <si>
    <t>Moldeados de inyección de reacción de plástico</t>
  </si>
  <si>
    <t>Jeringas de cromatografía</t>
  </si>
  <si>
    <t>Jaquimeyes</t>
  </si>
  <si>
    <t>Implementos para la pedicura</t>
  </si>
  <si>
    <t>Servicios de fabricación de relojes o relojes de pulsera</t>
  </si>
  <si>
    <t>Ensamblajes de réplica</t>
  </si>
  <si>
    <t>Binoculares</t>
  </si>
  <si>
    <t>Bolsas de recolección de hemofiltración</t>
  </si>
  <si>
    <t>Comida para infante</t>
  </si>
  <si>
    <t>Desinfectantes o limpiadores para unidades de hemodiálisis</t>
  </si>
  <si>
    <t>Prensa para forja con matriz abierta</t>
  </si>
  <si>
    <t>Materiales de relleno endodóntico</t>
  </si>
  <si>
    <t>Alicates de articulación movible o de ranura</t>
  </si>
  <si>
    <t>Forjaduras en estampa abierta de metal precioso</t>
  </si>
  <si>
    <t>Clorhidrato de mecamilamina</t>
  </si>
  <si>
    <t>Congeladores de golpe de frío</t>
  </si>
  <si>
    <t>Equipo teledirigido para recintos radiactivos</t>
  </si>
  <si>
    <t>Ensambles de tubos soldados con soldadura ultra violeta de aleación wasp</t>
  </si>
  <si>
    <t>Abridores de puertas para los discapacitados físicamente</t>
  </si>
  <si>
    <t>Servicios de recuperación</t>
  </si>
  <si>
    <t>Bloques lógicos</t>
  </si>
  <si>
    <t>Cinta de grafito</t>
  </si>
  <si>
    <t>Proyectores de películas</t>
  </si>
  <si>
    <t>Kit de extracción de partes de dientes</t>
  </si>
  <si>
    <t>INSUMOS HOSPITALIZACION AMBULATORIA 3</t>
  </si>
  <si>
    <t>INSUMOS HOSPITALIZACION AMBULATORIA 2</t>
  </si>
  <si>
    <t>Hídridos inorgánicos</t>
  </si>
  <si>
    <t>Materiales de enseñanza de formación de ética laboral o actitudes</t>
  </si>
  <si>
    <t>30102004</t>
  </si>
  <si>
    <t>Rociadores de laboratorio</t>
  </si>
  <si>
    <t>Procedimientos o servicios administrativos</t>
  </si>
  <si>
    <t>Producción de cacao</t>
  </si>
  <si>
    <t>Gabinetes de secado de evidencia</t>
  </si>
  <si>
    <t>Servicios de investigación anatómica</t>
  </si>
  <si>
    <t>Reclinadoras o accesorios para uso hospitalario</t>
  </si>
  <si>
    <t>Distribución de energía eléctrica rural</t>
  </si>
  <si>
    <t>Software de puerta de acceso</t>
  </si>
  <si>
    <t>Materiales de enseñanza sobre el control de peso o el ejercicio</t>
  </si>
  <si>
    <t>41103706</t>
  </si>
  <si>
    <t>Cigarrillos herbales</t>
  </si>
  <si>
    <t>Dispensadores o juegos de hojas de cuchilla</t>
  </si>
  <si>
    <t>Baños calentadores de dialisato para hemodiálisis</t>
  </si>
  <si>
    <t>Bomba de lava parabrisas</t>
  </si>
  <si>
    <t>Medias largas</t>
  </si>
  <si>
    <t>Protectores de etiquetas</t>
  </si>
  <si>
    <t>Repuestos y accesorios de taladros de roca</t>
  </si>
  <si>
    <t>Servicios de envoltura</t>
  </si>
  <si>
    <t>compra de bienes para uso en la lavanderia y limpieza del INCART</t>
  </si>
  <si>
    <t>EXCEPCIÓN - CONTRATACIÓN DE PUBLICIDAD A TRAVÉS DE MEDIOS DE COMUNICACIÓN SOCIAL</t>
  </si>
  <si>
    <t>Sensores neurológicos</t>
  </si>
  <si>
    <t>Sets de sala de tamaño de niños</t>
  </si>
  <si>
    <t>Unidades de hemofiltración arterio venosa continua cavh o productos relacionados</t>
  </si>
  <si>
    <t>Sala de diagnóstico radiológico</t>
  </si>
  <si>
    <t>Accesorios para limpiadores de vapor o presión</t>
  </si>
  <si>
    <t>Parrillas metálicas para uso comercial</t>
  </si>
  <si>
    <t>El Pino</t>
  </si>
  <si>
    <t>Protecciones externas</t>
  </si>
  <si>
    <t>Agentes de control de filtración</t>
  </si>
  <si>
    <t>Papeles recubiertos de silicona</t>
  </si>
  <si>
    <t>Papel kraft terminado o satinado en máquina</t>
  </si>
  <si>
    <t>Clorhidrato de etambutol</t>
  </si>
  <si>
    <t>Guías de referencia de biología</t>
  </si>
  <si>
    <t>Materiales de enseñanza para la decoración o amueblamiento del hogar</t>
  </si>
  <si>
    <t>Unidades de redomas o retortas</t>
  </si>
  <si>
    <t>Clorhidrato de doxapram</t>
  </si>
  <si>
    <t>Trampas de líquido</t>
  </si>
  <si>
    <t>Semillas o plántulas de melón cantalupo</t>
  </si>
  <si>
    <t>Desecho o desperdicios de cuero</t>
  </si>
  <si>
    <t>Latas de aluminio</t>
  </si>
  <si>
    <t>Disco compacto cd de sólo lectura</t>
  </si>
  <si>
    <t>Cantaxantina</t>
  </si>
  <si>
    <t>Tartrato de metoprolol</t>
  </si>
  <si>
    <t>Extractor de tornillos</t>
  </si>
  <si>
    <t>Lámina de cobre</t>
  </si>
  <si>
    <t>Analizadores de orina</t>
  </si>
  <si>
    <t>Materiales de enseñanza sobre los utensilios de cocina</t>
  </si>
  <si>
    <t>Servicios de seguridad o salud ocupacional</t>
  </si>
  <si>
    <t>Digoxina</t>
  </si>
  <si>
    <t>Servicios de organizaciones políticas internacionales</t>
  </si>
  <si>
    <t>Piscinas de pelotas y accesorios</t>
  </si>
  <si>
    <t>Películas de rayos x para cardiología</t>
  </si>
  <si>
    <t>Instrumentos de prueba de aceite mineral</t>
  </si>
  <si>
    <t>Poligelina</t>
  </si>
  <si>
    <t>Revestimiento, instalación o mantenimiento de suelos</t>
  </si>
  <si>
    <t>Válvulas de compuerta</t>
  </si>
  <si>
    <t>Instalación de conductos</t>
  </si>
  <si>
    <t>42161702</t>
  </si>
  <si>
    <t>Sellos de estampación de caucho</t>
  </si>
  <si>
    <t>Servicios de protección de la capa de ozono</t>
  </si>
  <si>
    <t>Alfileres dispensadores</t>
  </si>
  <si>
    <t>Extensores de lienzo</t>
  </si>
  <si>
    <t>Formatos o libros de personal</t>
  </si>
  <si>
    <t>Objetos maquinados de aleación no ferrosa fundidos en molde de grafito</t>
  </si>
  <si>
    <t>Tubos esofágicos</t>
  </si>
  <si>
    <t>Válvulas de seguridad sub – superficie</t>
  </si>
  <si>
    <t>Tubería de plástico</t>
  </si>
  <si>
    <t>Cefaclor</t>
  </si>
  <si>
    <t>Ojos móviles no autoadhesivos</t>
  </si>
  <si>
    <t>Documentación de software o manuales de usuario electrónicos</t>
  </si>
  <si>
    <t>Contenedorización de mercancías</t>
  </si>
  <si>
    <t>Aislantes eléctricos</t>
  </si>
  <si>
    <t>MEDICAMENTOS VASOPROTECTOR 2</t>
  </si>
  <si>
    <t>Ensambles estructurales pegados no metálica</t>
  </si>
  <si>
    <t>Fieltros de recubrimiento de tracción ortopédica para uso general</t>
  </si>
  <si>
    <t>Impuesto sobre beneficios extraordinarios</t>
  </si>
  <si>
    <t>Rotores o estatores</t>
  </si>
  <si>
    <t>Buretas para laboratorio</t>
  </si>
  <si>
    <t>Suministros de tracción de cabeza o cuello</t>
  </si>
  <si>
    <t>Clorhidrato de doxorrubicina liposomal</t>
  </si>
  <si>
    <t>Servicios de transmisión de mensajes y datos del campo petrolero</t>
  </si>
  <si>
    <t>Acetazolamida</t>
  </si>
  <si>
    <t>Servicios de contener la arena con elevación por presión de gas</t>
  </si>
  <si>
    <t>Equipo y suministros para elaboración de café</t>
  </si>
  <si>
    <t>Difteria y toxoide tetánico adsorbido</t>
  </si>
  <si>
    <t>Elevadores de avión</t>
  </si>
  <si>
    <t>Sulfato de paromomicina</t>
  </si>
  <si>
    <t>Sistemas de guía aeronáutica</t>
  </si>
  <si>
    <t>Mica</t>
  </si>
  <si>
    <t>Tubos de uso general para laboratorio</t>
  </si>
  <si>
    <t>Amarres</t>
  </si>
  <si>
    <t>Parques zoológicos</t>
  </si>
  <si>
    <t>Cefditoren</t>
  </si>
  <si>
    <t>Servicios de fletamento</t>
  </si>
  <si>
    <t>Tornillo cautivo</t>
  </si>
  <si>
    <t>Cabezas de despliegue</t>
  </si>
  <si>
    <t>Abridores de contenedores para los discapacitados físicamente</t>
  </si>
  <si>
    <t>22101720</t>
  </si>
  <si>
    <t>Servicios de pruebas de la superficie inferior del pozo</t>
  </si>
  <si>
    <t>Cuernos de animales</t>
  </si>
  <si>
    <t>Servicios de planificación del capital del campo petrolero</t>
  </si>
  <si>
    <t>Tuercas de expansión</t>
  </si>
  <si>
    <t>Varillas de dirección</t>
  </si>
  <si>
    <t>Ignitrones</t>
  </si>
  <si>
    <t>Catéteres pediátricos o intravenosos para venas del cuero cabelludo o arteriales</t>
  </si>
  <si>
    <t>Incubadoras de cámara única de dióxido de carbono de pared seca</t>
  </si>
  <si>
    <t>Extrusiones de perfiles de acero</t>
  </si>
  <si>
    <t>Aminohipurato sódico</t>
  </si>
  <si>
    <t>Deshidratadores para uso odontológico</t>
  </si>
  <si>
    <t>Cetrimida</t>
  </si>
  <si>
    <t>Impuesto al valor agregado (iva)</t>
  </si>
  <si>
    <t>Barras portasierra</t>
  </si>
  <si>
    <t>Intercambios educativos entre escuelas</t>
  </si>
  <si>
    <t>Servicios de rehabilitación nutricional</t>
  </si>
  <si>
    <t>Espectrógrafos</t>
  </si>
  <si>
    <t>Software de mesa de ayuda o centro de llamadas (call center)</t>
  </si>
  <si>
    <t>Tubos detectores de gas</t>
  </si>
  <si>
    <t>Protector de caucho para dedos.</t>
  </si>
  <si>
    <t>Carnes procesadas y preparadas estable sin refrigerar</t>
  </si>
  <si>
    <t>Pintura témpera en polvo</t>
  </si>
  <si>
    <t>Tajalápices manuales</t>
  </si>
  <si>
    <t>Repetidores de telecomunicaciones</t>
  </si>
  <si>
    <t>Cuadernos de papel imitación lienzo</t>
  </si>
  <si>
    <t>Servicios de formación  profesional médica</t>
  </si>
  <si>
    <t>Componentes flexibles</t>
  </si>
  <si>
    <t>Secobarbital sódico</t>
  </si>
  <si>
    <t>Lanzaderas de vasos o cintas de retracción de uso quirúrgico</t>
  </si>
  <si>
    <t>Riluzol</t>
  </si>
  <si>
    <t>Escáneres de radio frecuencia</t>
  </si>
  <si>
    <t>Equipo de difracción de rayos x</t>
  </si>
  <si>
    <t>Densitómetros</t>
  </si>
  <si>
    <t>Joyas para el cuerpo</t>
  </si>
  <si>
    <t>Caminadores o andadores</t>
  </si>
  <si>
    <t>Coccus cacti</t>
  </si>
  <si>
    <t>Ganchos para cierre de piel</t>
  </si>
  <si>
    <t>Calendarios o recortables</t>
  </si>
  <si>
    <t>Carros de física</t>
  </si>
  <si>
    <t>Espaciadores de fluido</t>
  </si>
  <si>
    <t>Conjunto de cable</t>
  </si>
  <si>
    <t>Transistores bipolares de radiofrecuencia (rf) o darlington</t>
  </si>
  <si>
    <t>Dispositivos de fijación internos o externos, férulas de fijación intermaxilar o accesorios</t>
  </si>
  <si>
    <t>Tableros de ilustración</t>
  </si>
  <si>
    <t>San Víctor</t>
  </si>
  <si>
    <t>Lantano la</t>
  </si>
  <si>
    <t>Bandas elásticas para tableros geométricos</t>
  </si>
  <si>
    <t>Hoteles</t>
  </si>
  <si>
    <t>Felodipino</t>
  </si>
  <si>
    <t>Materiales de enseñanza de dietas balanceadas o pautas alimentarias</t>
  </si>
  <si>
    <t>Gestión de la calidad del aire</t>
  </si>
  <si>
    <t>Selladores en caliente de esterilización</t>
  </si>
  <si>
    <t>Ketoconazol</t>
  </si>
  <si>
    <t>Reservorios o sus accesorios de autotransfusión</t>
  </si>
  <si>
    <t>CIBAO NOROESTE</t>
  </si>
  <si>
    <t>Servicios de generación de imágenes acústicas del pozo</t>
  </si>
  <si>
    <t>Los Fríos</t>
  </si>
  <si>
    <t>Máquina para dar fuerza de agarre</t>
  </si>
  <si>
    <t>51142108</t>
  </si>
  <si>
    <t>Cristales para reloj</t>
  </si>
  <si>
    <t>Equipo central de onda corta</t>
  </si>
  <si>
    <t>Cucharas hondas para uso quirúrgico</t>
  </si>
  <si>
    <t>Huevas de pescado</t>
  </si>
  <si>
    <t>Agujas de croché</t>
  </si>
  <si>
    <t>Equipos de intercambio de hierro</t>
  </si>
  <si>
    <t>Etodolac</t>
  </si>
  <si>
    <t>Servicios de investigación fisiológica</t>
  </si>
  <si>
    <t>Convertidores de transceptores y medios</t>
  </si>
  <si>
    <t>Policarbonato pc</t>
  </si>
  <si>
    <t>Fotografías</t>
  </si>
  <si>
    <t>Servicios de extrusión de metales</t>
  </si>
  <si>
    <t>Kits de estudio de astronomía</t>
  </si>
  <si>
    <t xml:space="preserve">Servicios de recoleccion de basura en el incart </t>
  </si>
  <si>
    <t>Planos para uso quirúrgico</t>
  </si>
  <si>
    <t>Bolígrafos para caligrafía</t>
  </si>
  <si>
    <t>Palas mecánicas para el de movimiento de tierra o sus piezas o accesorios</t>
  </si>
  <si>
    <t>Generadores de señales</t>
  </si>
  <si>
    <t>Cosechadoras “trilladoras” o mixtas</t>
  </si>
  <si>
    <t>Insertos ópticos</t>
  </si>
  <si>
    <t>Tolnaftato</t>
  </si>
  <si>
    <t>Simple carril</t>
  </si>
  <si>
    <t>Asociaciones para la protección de animales amenazados</t>
  </si>
  <si>
    <t>Cortadoras de pasto</t>
  </si>
  <si>
    <t>Tanques de revelado</t>
  </si>
  <si>
    <t>Anillos de calibre</t>
  </si>
  <si>
    <t>Enganches de boca de pozo</t>
  </si>
  <si>
    <t>Clorhidrato de mebeverina</t>
  </si>
  <si>
    <t>Trocadores quirúrgicos para uso general o accesorios</t>
  </si>
  <si>
    <t>Maquinaria para afelpado</t>
  </si>
  <si>
    <t>Ensambles de láminas soldadas con soldadura fuerte o débil de aleación hast x</t>
  </si>
  <si>
    <t>Inhibidores de corrosión en la producción de gas</t>
  </si>
  <si>
    <t>Materiales didácticos de construcción</t>
  </si>
  <si>
    <t>Dispositivos o accesorios uterinos</t>
  </si>
  <si>
    <t>Software de servidor de autenticación</t>
  </si>
  <si>
    <t>72101701</t>
  </si>
  <si>
    <t>San Gregorio de Nigua</t>
  </si>
  <si>
    <t>Clorhidrato de carpipramine</t>
  </si>
  <si>
    <t>50171707</t>
  </si>
  <si>
    <t>Materiales de enseñanza de comprensión de la confección o hechura de ropa</t>
  </si>
  <si>
    <t>Máquinas de anillado de libros</t>
  </si>
  <si>
    <t>Tuberculosis</t>
  </si>
  <si>
    <t>Rejilla de ventilación</t>
  </si>
  <si>
    <t>Cafetos</t>
  </si>
  <si>
    <t>Sistemas de imágenes o accesorios para endoscopia</t>
  </si>
  <si>
    <t>Plantilla de cámara</t>
  </si>
  <si>
    <t>Equipo de medición de profundidad de cable de recuperación</t>
  </si>
  <si>
    <t>Septocaina</t>
  </si>
  <si>
    <t>Textos electrónicos educacionales o vocacionales</t>
  </si>
  <si>
    <t>Clorfenesina carbamato</t>
  </si>
  <si>
    <t>Componentes de aluminio estampados</t>
  </si>
  <si>
    <t>Cuadros</t>
  </si>
  <si>
    <t>Servicios de investigación o medición</t>
  </si>
  <si>
    <t>Bebida mixta de polvo</t>
  </si>
  <si>
    <t>49121509</t>
  </si>
  <si>
    <t>Taladros</t>
  </si>
  <si>
    <t>Taladradoras</t>
  </si>
  <si>
    <t>Servicios coreográficos</t>
  </si>
  <si>
    <t>Comparacion de Precios</t>
  </si>
  <si>
    <t>Accesorios o suministros para analizadores de hematología</t>
  </si>
  <si>
    <t>Asistencia militar</t>
  </si>
  <si>
    <t>Arcilla seca cocida en horno</t>
  </si>
  <si>
    <t>Aterrajadoras</t>
  </si>
  <si>
    <t>Explotación comercial de los recursos pesqueros</t>
  </si>
  <si>
    <t>Explosivos aluminizados</t>
  </si>
  <si>
    <t>Películas de celofán</t>
  </si>
  <si>
    <t>Servicios de cáterin</t>
  </si>
  <si>
    <t>Fuentes de calibración</t>
  </si>
  <si>
    <t>Talco</t>
  </si>
  <si>
    <t>El Estrecho de Luperón Omar Bross</t>
  </si>
  <si>
    <t>Libros de recursos o actividades de lógica</t>
  </si>
  <si>
    <t>Fieltros de recubrimiento ortopédico para las costillas o el abdomen</t>
  </si>
  <si>
    <t>Amprenavir</t>
  </si>
  <si>
    <t>Accesorios para impresión xilográfica</t>
  </si>
  <si>
    <t>Objetos de metal precioso fundidos en molde de yeso</t>
  </si>
  <si>
    <t>Cubierta de trolley</t>
  </si>
  <si>
    <t>Servicios de bombeo del campo petrolero con bocatoma de fondo</t>
  </si>
  <si>
    <t>Calibradores o reglas para uso quirúrgico</t>
  </si>
  <si>
    <t>Embutidos 4</t>
  </si>
  <si>
    <t>Conmutadores basculantes</t>
  </si>
  <si>
    <t>Clavos de mampostería</t>
  </si>
  <si>
    <t>Equipos para cultivos in vitro</t>
  </si>
  <si>
    <t>Organizaciones o servicios de peregrinaje a la meca</t>
  </si>
  <si>
    <t>Servicios de aparcacoches</t>
  </si>
  <si>
    <t>Señales de neón</t>
  </si>
  <si>
    <t>Peinillas o platos o espaciadores o bandejas</t>
  </si>
  <si>
    <t>Persianas verticales</t>
  </si>
  <si>
    <t>Dispensadores de productos sanitarios</t>
  </si>
  <si>
    <t>Uniones de cizalla</t>
  </si>
  <si>
    <t>Pirarubicina</t>
  </si>
  <si>
    <t>Estudios de teatro</t>
  </si>
  <si>
    <t>Sistemas de despliegue o sus accesorios</t>
  </si>
  <si>
    <t>Elevadores de canecas</t>
  </si>
  <si>
    <t>Spas</t>
  </si>
  <si>
    <t>Fichas para construcción de palabras</t>
  </si>
  <si>
    <t>Agua para servicios</t>
  </si>
  <si>
    <t>Caldera para piscinas o spa</t>
  </si>
  <si>
    <t>Conductos o red de conductos de plomo</t>
  </si>
  <si>
    <t>Juguetes cognitivos</t>
  </si>
  <si>
    <t>Hornos convencionales para uso doméstico</t>
  </si>
  <si>
    <t>Servicios del programa mundial de alimentos</t>
  </si>
  <si>
    <t>51111806</t>
  </si>
  <si>
    <t>Pesca de arrastre</t>
  </si>
  <si>
    <t>Clorhidrato de ametocaína</t>
  </si>
  <si>
    <t>Equipos de sistema de red de imágenes digitales de defensa din</t>
  </si>
  <si>
    <t>Válvulas de flotación</t>
  </si>
  <si>
    <t>Hidroquinona</t>
  </si>
  <si>
    <t>Llantas de bicicleta</t>
  </si>
  <si>
    <t>Carritos de autopsia</t>
  </si>
  <si>
    <t>Esteres o sus sustitutos</t>
  </si>
  <si>
    <t>Plantilla de centrado</t>
  </si>
  <si>
    <t>Cristóbal</t>
  </si>
  <si>
    <t>MEDICAMENTOS GENERALES</t>
  </si>
  <si>
    <t>Vendajes o compresas para uso general</t>
  </si>
  <si>
    <t>Servicios de plantación</t>
  </si>
  <si>
    <t>Unidades de disco duro</t>
  </si>
  <si>
    <t>Cetirizina</t>
  </si>
  <si>
    <t>Residuos de alquitrán o petróleo</t>
  </si>
  <si>
    <t>Grabadoras o reproductores de mini discos</t>
  </si>
  <si>
    <t>Pentermina</t>
  </si>
  <si>
    <t>Valoración del estado de salud individual</t>
  </si>
  <si>
    <t>Suministros para la enseñanza de electrónica</t>
  </si>
  <si>
    <t>Bandas molares para ortodoncia</t>
  </si>
  <si>
    <t>Centradores (arañas) para plomería</t>
  </si>
  <si>
    <t>Contenedores o carritos o accesorios para desecho de agujas o cuchillas u otros objetos afilados</t>
  </si>
  <si>
    <t>Clorhidrato de dexfenfluramina</t>
  </si>
  <si>
    <t>Accesorios para macramé</t>
  </si>
  <si>
    <t>Sensores bi metálicos</t>
  </si>
  <si>
    <t>Enderezadores manuales de cables</t>
  </si>
  <si>
    <t>Salmuera fresca o congelada</t>
  </si>
  <si>
    <t>Manecillas para reloj</t>
  </si>
  <si>
    <t>Tuercas cuadradas</t>
  </si>
  <si>
    <t>Plantilla de medición</t>
  </si>
  <si>
    <t>Servicios tecnológicos de pesca</t>
  </si>
  <si>
    <t>Ayudas de escritura para los discapacitados físicamente</t>
  </si>
  <si>
    <t>Cofres, cajas o armarios para herramientas</t>
  </si>
  <si>
    <t>Cobre cu</t>
  </si>
  <si>
    <t>Equipos de alto vacío</t>
  </si>
  <si>
    <t>Clorhidrato de tiotixeno</t>
  </si>
  <si>
    <t>Batas protectoras</t>
  </si>
  <si>
    <t>Objetos maquinados de aleación de níquel fundidos en molde en concha</t>
  </si>
  <si>
    <t>Inspección de materiales o productos</t>
  </si>
  <si>
    <t>Azucenas cortadas</t>
  </si>
  <si>
    <t>Mezcladora de cuchilla helicoidal</t>
  </si>
  <si>
    <t>Sets de carteleras de ciencias sociales</t>
  </si>
  <si>
    <t>Servicios de seguridad alimentaria</t>
  </si>
  <si>
    <t>Cementos de base de agua de uso odontológico</t>
  </si>
  <si>
    <t>Calentadores de cartucho</t>
  </si>
  <si>
    <t>Servicios de inspección o auditoría de campos petroleros</t>
  </si>
  <si>
    <t>Esteras de caucho para pisos</t>
  </si>
  <si>
    <t>Redes para pesca comercial</t>
  </si>
  <si>
    <t>Fotocomposición</t>
  </si>
  <si>
    <t>Flujómetros de pico</t>
  </si>
  <si>
    <t>Membranas para periodoncia</t>
  </si>
  <si>
    <t>Contenedores de recolección de orina</t>
  </si>
  <si>
    <t>Buje de tubería</t>
  </si>
  <si>
    <t>Inspección de aguas subterráneas o superficiales</t>
  </si>
  <si>
    <t>Pizelles o máquinas para hacer galletas para uso doméstico</t>
  </si>
  <si>
    <t>Kits de construcción de tejidos de cadáveres</t>
  </si>
  <si>
    <t>Herramientas de poner tapones</t>
  </si>
  <si>
    <t>Filtros o accesorios o pantallas para transfusión de sangre</t>
  </si>
  <si>
    <t>Servicios de soldadura  por puntos</t>
  </si>
  <si>
    <t>Servicios de formación profesional en informática</t>
  </si>
  <si>
    <t>Servicios de interpretación del empaque con grava</t>
  </si>
  <si>
    <t>Accesorios para cromatografía de gas</t>
  </si>
  <si>
    <t>Laminadoras</t>
  </si>
  <si>
    <t>Licitacion Publica Internacional</t>
  </si>
  <si>
    <t>Cajas de unión de acidificación</t>
  </si>
  <si>
    <t>Rapidógrafos</t>
  </si>
  <si>
    <t>Papel periódico estándar</t>
  </si>
  <si>
    <t>Equipo de péndulo</t>
  </si>
  <si>
    <t>Escuelas</t>
  </si>
  <si>
    <t>Clorhidrato de dopamina</t>
  </si>
  <si>
    <t>Cerveza</t>
  </si>
  <si>
    <t>Objetos maquinados en molde permanente de acero fundidos</t>
  </si>
  <si>
    <t>Mesas para cámaras</t>
  </si>
  <si>
    <t>Semillas o plántulas de nabo</t>
  </si>
  <si>
    <t>Matamalezas</t>
  </si>
  <si>
    <t>Semillas de canola</t>
  </si>
  <si>
    <t>Bolas o fibra de algodón</t>
  </si>
  <si>
    <t>Secadoras de ropa para uso doméstico</t>
  </si>
  <si>
    <t>Esferos para registro de electrocardiografía ekg</t>
  </si>
  <si>
    <t>Analizadores ácidos o de base</t>
  </si>
  <si>
    <t>Servicios de práctica parlamentaria</t>
  </si>
  <si>
    <t>85121609</t>
  </si>
  <si>
    <t>Servicios de ampliación dirigible de paredes por debajo de la tubería de revestimiento durante la perforación del pozo</t>
  </si>
  <si>
    <t>Servicios de llenado con pasta</t>
  </si>
  <si>
    <t>Formas para hechura de máscaras</t>
  </si>
  <si>
    <t>Recuerdos (souvenirs)</t>
  </si>
  <si>
    <t>Zapatos para bebé</t>
  </si>
  <si>
    <t>Programas de venta o de mercadeo</t>
  </si>
  <si>
    <t>Enchufe de bloqueo</t>
  </si>
  <si>
    <t>Máquinas para dictado</t>
  </si>
  <si>
    <t>Copas para servicio de comidas</t>
  </si>
  <si>
    <t>Servicios de rodamiento</t>
  </si>
  <si>
    <t>Enflurano</t>
  </si>
  <si>
    <t>Papel para dibujo de sulfito</t>
  </si>
  <si>
    <t>Marcos de plástico</t>
  </si>
  <si>
    <t>Mercancías de almacén</t>
  </si>
  <si>
    <t>Compuestos para modelado plastificados no endurecibles</t>
  </si>
  <si>
    <t>50121539</t>
  </si>
  <si>
    <t>Ensambles de tubería remachada de latón</t>
  </si>
  <si>
    <t>Panel de conexiones</t>
  </si>
  <si>
    <t>Ingeniería arquitectónica</t>
  </si>
  <si>
    <t>Cortadores de galletas</t>
  </si>
  <si>
    <t>Libros de recursos de historia africana</t>
  </si>
  <si>
    <t>Herraduras para caballo</t>
  </si>
  <si>
    <t>Aminoquinolinas</t>
  </si>
  <si>
    <t>Amonio molibdato</t>
  </si>
  <si>
    <t>Desodorantes de esterilización</t>
  </si>
  <si>
    <t>Software de idiomas extranjeros (traductores)</t>
  </si>
  <si>
    <t>Forjas de cobre maquinadas por anillo enrollado</t>
  </si>
  <si>
    <t>Moldes para ponqués o pies para uso doméstico</t>
  </si>
  <si>
    <t>Máquinas para el formado de cartón</t>
  </si>
  <si>
    <t>Hidrocloruro de naloxona</t>
  </si>
  <si>
    <t>Yute</t>
  </si>
  <si>
    <t>Otros servicios para registros de producción</t>
  </si>
  <si>
    <t>Forjas de hierro maquinadas por reducción</t>
  </si>
  <si>
    <t>Almohadillas o joy sticks de juegos</t>
  </si>
  <si>
    <t>Separadores de isótopos</t>
  </si>
  <si>
    <t>Cápsulas para ensayos de irradiación</t>
  </si>
  <si>
    <t>Líneas de acceso internacional</t>
  </si>
  <si>
    <t>Bolsas higiénicas</t>
  </si>
  <si>
    <t>Dispositivos o accesorios contraceptivos intrauterinos</t>
  </si>
  <si>
    <t>Diritromicina</t>
  </si>
  <si>
    <t>Clordiazepóxido clorhidrato o combinación de bromuro clinidio</t>
  </si>
  <si>
    <t>Cisatracurio</t>
  </si>
  <si>
    <t>Locomotoras eléctricas de carga</t>
  </si>
  <si>
    <t>Incubadoras de cámara dual de tres gases de pared seca con control de humedad</t>
  </si>
  <si>
    <t>Materiales didácticos de instrumentos de navegación</t>
  </si>
  <si>
    <t>Necesidades de dotación personal  financiero permanente</t>
  </si>
  <si>
    <t>Instrumentos para medir la tensión de la superficie</t>
  </si>
  <si>
    <t>MEDICAMENTOS ANTIMICOTICOS 3</t>
  </si>
  <si>
    <t>Cargadores sobre patines con dirección</t>
  </si>
  <si>
    <t>51142103</t>
  </si>
  <si>
    <t>Resina polimida</t>
  </si>
  <si>
    <t>Polarógrafos</t>
  </si>
  <si>
    <t>Kilómetro</t>
  </si>
  <si>
    <t>Implementos para la manicure</t>
  </si>
  <si>
    <t>Inmovilizadores de torso para servicios médicos de emergencia</t>
  </si>
  <si>
    <t>Congeladores a bajas temperaturas</t>
  </si>
  <si>
    <t>51141518</t>
  </si>
  <si>
    <t>Servicios de ambulancia</t>
  </si>
  <si>
    <t>Dispensadores de condimentos para servicio de comidas</t>
  </si>
  <si>
    <t>Tapones o anclajes de tubos</t>
  </si>
  <si>
    <t>Tuercas de manguera</t>
  </si>
  <si>
    <t>Caballetes metálicos</t>
  </si>
  <si>
    <t>Chimeneas de admisión</t>
  </si>
  <si>
    <t>Ensambles de barras soldadas con solvente de acero de aleación baja</t>
  </si>
  <si>
    <t>Jeringas para aspiración o irrigación médica</t>
  </si>
  <si>
    <t>Directores de vena para autopsias</t>
  </si>
  <si>
    <t>Tarjetas didácticas de sumas</t>
  </si>
  <si>
    <t>Darbepoetina alfa</t>
  </si>
  <si>
    <t>Analizadores de hematología</t>
  </si>
  <si>
    <t>Servicios de láser</t>
  </si>
  <si>
    <t>Válvulas de fijación de alimentación enteral</t>
  </si>
  <si>
    <t>Mandriles de bolsillos laterales</t>
  </si>
  <si>
    <t>Forjas de acero maquinadas con troquel cerrado</t>
  </si>
  <si>
    <t>Suspensiones</t>
  </si>
  <si>
    <t>81111805</t>
  </si>
  <si>
    <t>Estampables de algodón</t>
  </si>
  <si>
    <t>compra de bienes de escritorio del INCART</t>
  </si>
  <si>
    <t>Tablero de cables impreso</t>
  </si>
  <si>
    <t>Clorhidrato de metildopato</t>
  </si>
  <si>
    <t>Azua de Compostela</t>
  </si>
  <si>
    <t>Aplicadores o absorbentes para uso odontológico</t>
  </si>
  <si>
    <t>Máquinas de pilates</t>
  </si>
  <si>
    <t>Fichas con letras del alfabeto</t>
  </si>
  <si>
    <t>Restauración de edificios, mojones o monumentos</t>
  </si>
  <si>
    <t>Sulfato de morfina</t>
  </si>
  <si>
    <t>Impactadores o empacadores para uso quirúrgico</t>
  </si>
  <si>
    <t>Componentes de hueso de contenido mineral para tomografía computarizada ct o cat para uso médico</t>
  </si>
  <si>
    <t>Citrato de litio</t>
  </si>
  <si>
    <t>Probenecid</t>
  </si>
  <si>
    <t>Rampas de entrenamiento para rehabilitación o terapia</t>
  </si>
  <si>
    <t>Sistemas de comunicaciones de embarcaciones marítimas</t>
  </si>
  <si>
    <t>Don Juan</t>
  </si>
  <si>
    <t>Máquina giratoria con cazoleta de rastrillos abiertas</t>
  </si>
  <si>
    <t>Etacrinato de sodio</t>
  </si>
  <si>
    <t>MEDICAMENTOS ANTIMICOTICOS 1</t>
  </si>
  <si>
    <t>Bolsas para cuerpos para desastres para servicios médicos de emergencia</t>
  </si>
  <si>
    <t>Software de conferencias de red</t>
  </si>
  <si>
    <t>Aceites para lubricación de bombas</t>
  </si>
  <si>
    <t>CÓDIGO CATÁLOGO</t>
  </si>
  <si>
    <t>Enciclopedias</t>
  </si>
  <si>
    <t>Accesorios o tableros para dibujo o bosquejo</t>
  </si>
  <si>
    <t>Extractores</t>
  </si>
  <si>
    <t>Objetos maquinados de acero fundidos en molde en concha</t>
  </si>
  <si>
    <t>Servicio de respuesta de voz interactiva</t>
  </si>
  <si>
    <t>Servicios de fabricación de envases de madera</t>
  </si>
  <si>
    <t>Planchas calientes para huecograbado o litografía</t>
  </si>
  <si>
    <t>Isoproterenol</t>
  </si>
  <si>
    <t>Servicios de pruebas de gas o agua</t>
  </si>
  <si>
    <t>Equipos y componentes de red básica móvil gsm 2g</t>
  </si>
  <si>
    <t>Máquinas cortadoras o festoneadoras</t>
  </si>
  <si>
    <t>Vigas de caucho</t>
  </si>
  <si>
    <t>Libros de ideas o recursos del plan de estudios de bachillerato</t>
  </si>
  <si>
    <t>Telares de piso</t>
  </si>
  <si>
    <t>Olanzapina</t>
  </si>
  <si>
    <t>Servicios de minería de pozos</t>
  </si>
  <si>
    <t>Ensambles de placas remachadas de acero inoxidable</t>
  </si>
  <si>
    <t>Probador de pintura</t>
  </si>
  <si>
    <t>Linternas para exámenes médicos</t>
  </si>
  <si>
    <t>Polarímetros o refractómetros de mesa</t>
  </si>
  <si>
    <t>Bombas sanitarias</t>
  </si>
  <si>
    <t>Tubos de ventilación</t>
  </si>
  <si>
    <t>Tarjetas didácticas de la hora</t>
  </si>
  <si>
    <t>Zoplicona</t>
  </si>
  <si>
    <t>Tiras de relleno para cuidado de heridas</t>
  </si>
  <si>
    <t>Estación de ambulancias</t>
  </si>
  <si>
    <t>Guillotinas de impresión</t>
  </si>
  <si>
    <t>Accesorios para carritos de pacientes</t>
  </si>
  <si>
    <t>Objetos maquinados de cobre fundidos en molde en concha</t>
  </si>
  <si>
    <t>Placa de aluminio</t>
  </si>
  <si>
    <t>Servicios de transmisión óptica (ocx)</t>
  </si>
  <si>
    <t>Servicios de preparación farmacéutica</t>
  </si>
  <si>
    <t>Butabarbital</t>
  </si>
  <si>
    <t>Máquina picadora</t>
  </si>
  <si>
    <t>Sellantes de tubos para laboratorio</t>
  </si>
  <si>
    <t>Vertebrados vivos</t>
  </si>
  <si>
    <t>Unidades de almacenamiento de libros</t>
  </si>
  <si>
    <t>Servicio de reparación de equipo industrial</t>
  </si>
  <si>
    <t>Servicios de limpieza mediante tubería flexible contínua</t>
  </si>
  <si>
    <t>Baterías de óxido de plata</t>
  </si>
  <si>
    <t>Servicios de reaseguros</t>
  </si>
  <si>
    <t>Servicios de legislación alimentaria</t>
  </si>
  <si>
    <t>Piezas de cinc forjadas a martinete</t>
  </si>
  <si>
    <t>Almacenes</t>
  </si>
  <si>
    <t>Soldadores o pistolas para sueldas</t>
  </si>
  <si>
    <t>42141503</t>
  </si>
  <si>
    <t>Cinturones de pesas o kits para rehabilitación o terapia</t>
  </si>
  <si>
    <t>Juma Bejucal</t>
  </si>
  <si>
    <t>Controladores de hidrato de gas</t>
  </si>
  <si>
    <t>Servicios de evaluación de la calidad del agua</t>
  </si>
  <si>
    <t>Herramienta para engastar y doblar alambre</t>
  </si>
  <si>
    <t xml:space="preserve">compra de alimentos y bebidas del incart </t>
  </si>
  <si>
    <t>Prednisona</t>
  </si>
  <si>
    <t>Servicios de transmisión por fax</t>
  </si>
  <si>
    <t>Paya</t>
  </si>
  <si>
    <t>Fuel oils pesados residuales # 4 ó # 6</t>
  </si>
  <si>
    <t>Componentes de aluminio formados por estiramiento</t>
  </si>
  <si>
    <t>Servicios de formación profesional de la marina mercante</t>
  </si>
  <si>
    <t>Objetos de zinc fundidos a la cera perdida</t>
  </si>
  <si>
    <t>Jaya</t>
  </si>
  <si>
    <t>Tubos plegables</t>
  </si>
  <si>
    <t>Cadena "jack"</t>
  </si>
  <si>
    <t>Tubería de estaño</t>
  </si>
  <si>
    <t>Vasos o tazas o tazones (mugs) o tapas de contenedores para servicio de comidas</t>
  </si>
  <si>
    <t>Ensambles de tubos atornillados de titanio</t>
  </si>
  <si>
    <t>Bandejas mayo para el canto o puestos mayo para uso quirúrgico o sus accesorios</t>
  </si>
  <si>
    <t>Mordazas para endoscopia</t>
  </si>
  <si>
    <t>Aparejos para pesca comercial</t>
  </si>
  <si>
    <t>Bebida de café</t>
  </si>
  <si>
    <t>Planeadores de reuniones</t>
  </si>
  <si>
    <t>Rollos de tinta</t>
  </si>
  <si>
    <t>Depresores de lengua o cuchillos o baja lenguas</t>
  </si>
  <si>
    <t>Limpiadores de unidades de discos compactos</t>
  </si>
  <si>
    <t>Amarres de carga</t>
  </si>
  <si>
    <t>Pinceles orientales</t>
  </si>
  <si>
    <t>Servicios de orientación para la cooperación universitaria</t>
  </si>
  <si>
    <t>30101601</t>
  </si>
  <si>
    <t>Electrodos selectivos de iones</t>
  </si>
  <si>
    <t>Válvulas tipo compuerta</t>
  </si>
  <si>
    <t>Probadores de dureza</t>
  </si>
  <si>
    <t>Chasis para camiones</t>
  </si>
  <si>
    <t>Decanoato de haloperidol</t>
  </si>
  <si>
    <t>Tubos de pruebas de anti coagulación</t>
  </si>
  <si>
    <t>Restauración o reparación de encuadernaciones</t>
  </si>
  <si>
    <t>Plantaciones de bosques tropicales húmedos</t>
  </si>
  <si>
    <t>Conductos o red de conductos de hierro</t>
  </si>
  <si>
    <t>Instalaciones de producción de isótopos</t>
  </si>
  <si>
    <t>Hornos de seguridad para laboratorio</t>
  </si>
  <si>
    <t>Rampas para sillas de ruedas</t>
  </si>
  <si>
    <t>Objetos maquinados de cinc fundidos en arena</t>
  </si>
  <si>
    <t>Etomidato</t>
  </si>
  <si>
    <t>Estudios de emplazamientos de depósitos o terminales de petroleros</t>
  </si>
  <si>
    <t>Aceites de templado</t>
  </si>
  <si>
    <t>51101586</t>
  </si>
  <si>
    <t>Cartas de navegación o atlas o mapas</t>
  </si>
  <si>
    <t>Judías secas</t>
  </si>
  <si>
    <t>Camiones de reparto</t>
  </si>
  <si>
    <t>Grabado de planchas metálicas</t>
  </si>
  <si>
    <t>Meniscotomos</t>
  </si>
  <si>
    <t>Organizadores de píldoras para los discapacitados físicamente</t>
  </si>
  <si>
    <t>Anclajes de resina</t>
  </si>
  <si>
    <t>Adaptadores o ensamblajes de adaptadores de esterilización</t>
  </si>
  <si>
    <t>Ensambles de placas soldadas con soldadura ultra violeta de acero inoxidable</t>
  </si>
  <si>
    <t>Cortadoras</t>
  </si>
  <si>
    <t>Cuerpo de cilindro neumático</t>
  </si>
  <si>
    <t>Marcadores de libros</t>
  </si>
  <si>
    <t>Materas</t>
  </si>
  <si>
    <t>Bobina de estaño</t>
  </si>
  <si>
    <t>Forjaduras en estampa cerrada de cobre</t>
  </si>
  <si>
    <t>Muestreadores o colectores de aire</t>
  </si>
  <si>
    <t>Servicios de perforación desbalanceada de pozos</t>
  </si>
  <si>
    <t>Temporizadores digitales jumbo para los discapacitados físicamente</t>
  </si>
  <si>
    <t>Clubes de artesanías</t>
  </si>
  <si>
    <t>Bandas de colocación para ortodoncia</t>
  </si>
  <si>
    <t>Máquinas de lijado neumáticas</t>
  </si>
  <si>
    <t>Servicios de orientación para el aprendizaje a distancia</t>
  </si>
  <si>
    <t>Demoduladores</t>
  </si>
  <si>
    <t>Servicio de aceite o agua caliente para el campo petrolero</t>
  </si>
  <si>
    <t>Polímero cristal líquido lcp</t>
  </si>
  <si>
    <t>Servicios de medicación preventiva de salud animal</t>
  </si>
  <si>
    <t>Tarros de pesca</t>
  </si>
  <si>
    <t>compra de carnes y pescados para consumir en el incart</t>
  </si>
  <si>
    <t>Software de control industrial</t>
  </si>
  <si>
    <t>Quemadores de alcohol</t>
  </si>
  <si>
    <t>Archivos de cheques</t>
  </si>
  <si>
    <t>Servicios de drenaje de la contaminación de las aguas de superficie</t>
  </si>
  <si>
    <t>Revistas electrónicas</t>
  </si>
  <si>
    <t>Servicios de fresado químico</t>
  </si>
  <si>
    <t>Materiales de enseñanza para interpretar el lenguaje corporal</t>
  </si>
  <si>
    <t>Cánulas o puntas de succión o irrigación láser o productos relacionados para uso quirúrgico</t>
  </si>
  <si>
    <t>Insertos graduables para herramientas de corte</t>
  </si>
  <si>
    <t>Seguro a todo riesgo para contratistas</t>
  </si>
  <si>
    <t>Vendaje de lainilla</t>
  </si>
  <si>
    <t>Succinato de sumatriptán</t>
  </si>
  <si>
    <t>Servicios de construcción o fabricación de pozos</t>
  </si>
  <si>
    <t>Muestrarios genómicos</t>
  </si>
  <si>
    <t>Gabapentina</t>
  </si>
  <si>
    <t>Clorhidrato de ciclizina</t>
  </si>
  <si>
    <t>Tapas o forros o forros deslizantes para laboratorio</t>
  </si>
  <si>
    <t>Baberos de uso odontológico</t>
  </si>
  <si>
    <t>Servicios de empacado de productos farmacéuticos</t>
  </si>
  <si>
    <t>Servicios de envío de ropa usada</t>
  </si>
  <si>
    <t>51101603</t>
  </si>
  <si>
    <t>Puertos o lugares de inyección o tapas o protectores para administración arterial o intravenosa</t>
  </si>
  <si>
    <t>Micas o bacinillas</t>
  </si>
  <si>
    <t>Aplicación de pintura industrial o especializada (aviones, barcos, puentes)</t>
  </si>
  <si>
    <t>Servicios de almacenaje bajo control aduanero</t>
  </si>
  <si>
    <t>Servicios de fabricación de cemento o cal o yeso</t>
  </si>
  <si>
    <t>Componentes no metálicos maquinados por extrusión en frío</t>
  </si>
  <si>
    <t>Servicios de inspección de líneas de energía eléctrica</t>
  </si>
  <si>
    <t>Libretas de citas o repuestos</t>
  </si>
  <si>
    <t>Incubadoras o calentadores de bebés para uso clínico</t>
  </si>
  <si>
    <t>Ardeparina de sodio</t>
  </si>
  <si>
    <t>Rodillos o tambores motorizados</t>
  </si>
  <si>
    <t>Impresoras de matriz de puntos</t>
  </si>
  <si>
    <t>Trimetadiona</t>
  </si>
  <si>
    <t>Muelles de disco</t>
  </si>
  <si>
    <t>Ensamblajes de plomo</t>
  </si>
  <si>
    <t>Herramientas de trituración de pavimento o accesorios</t>
  </si>
  <si>
    <t>Extractores de grasa</t>
  </si>
  <si>
    <t>Bolsas para compras</t>
  </si>
  <si>
    <t>Vainas secas</t>
  </si>
  <si>
    <t>Escariadores de hoyos</t>
  </si>
  <si>
    <t>Vibradores sísmicos</t>
  </si>
  <si>
    <t>Servicios de elaboración de la cerveza</t>
  </si>
  <si>
    <t>Servicios de fabricación de motores o  turbinas</t>
  </si>
  <si>
    <t>Gestión de sistemas de explotación agrícola de cultivo</t>
  </si>
  <si>
    <t>Contenedor de recolección de especímenes</t>
  </si>
  <si>
    <t>Defensas</t>
  </si>
  <si>
    <t>Herramientas de inserción</t>
  </si>
  <si>
    <t xml:space="preserve">Año Fiscal </t>
  </si>
  <si>
    <t>Borato de epinephryl</t>
  </si>
  <si>
    <t>Placa de caucho</t>
  </si>
  <si>
    <t>Polietileno clorosulfonatado csm</t>
  </si>
  <si>
    <t>Sondas o sensores de avión</t>
  </si>
  <si>
    <t>Cánulas nasales para uso médico</t>
  </si>
  <si>
    <t>Kit para impresora</t>
  </si>
  <si>
    <t>Arcilla refractaria</t>
  </si>
  <si>
    <t>Frenillos "brackets" para ortodoncia</t>
  </si>
  <si>
    <t>Formación de recursos humanos para el sector de la salud</t>
  </si>
  <si>
    <t>Los Toros</t>
  </si>
  <si>
    <t>Analizadores de cintigrafía</t>
  </si>
  <si>
    <t>Abrigos o chaquetas para bebé</t>
  </si>
  <si>
    <t>Sistema blockholer o taladro y cargue</t>
  </si>
  <si>
    <t>Pastillas de semiconductor</t>
  </si>
  <si>
    <t>Iluminación solar interior</t>
  </si>
  <si>
    <t>Modelos atómicos</t>
  </si>
  <si>
    <t>Contramedidas de avión</t>
  </si>
  <si>
    <t>Espectrofotómetros</t>
  </si>
  <si>
    <t>Sondas para termómetros</t>
  </si>
  <si>
    <t>Semillas o plántulas de calabacín</t>
  </si>
  <si>
    <t>Máscaras o aletas o esnórqueles</t>
  </si>
  <si>
    <t>Banda de magnesio</t>
  </si>
  <si>
    <t>Objetos de acero fundidos en molde cerámico</t>
  </si>
  <si>
    <t>Servicios de publicidad en pancartas</t>
  </si>
  <si>
    <t>Compuestos abrasivos</t>
  </si>
  <si>
    <t>Triacetina</t>
  </si>
  <si>
    <t>Servicios de empacado de subproductos agrícolas</t>
  </si>
  <si>
    <t>Impresión de rollo grabado</t>
  </si>
  <si>
    <t>Escobas</t>
  </si>
  <si>
    <t>Rodamientos embridados</t>
  </si>
  <si>
    <t>Servicios de perforación direccional multilateral de pozos</t>
  </si>
  <si>
    <t>Vehículo usado, de alquiler o de exposición</t>
  </si>
  <si>
    <t>Stand de iluminación</t>
  </si>
  <si>
    <t>Anillos de laparoscopia para uso quirúrgico</t>
  </si>
  <si>
    <t>Tostadoras para uso doméstico</t>
  </si>
  <si>
    <t>Cuentas de madera</t>
  </si>
  <si>
    <t>Control de enfermedades animales</t>
  </si>
  <si>
    <t>Manabao</t>
  </si>
  <si>
    <t>Servicios de estructura jerárquica (tree) de las decisiones del campo petrolero</t>
  </si>
  <si>
    <t>Criolita</t>
  </si>
  <si>
    <t>Pista de rodadura</t>
  </si>
  <si>
    <t>Organizaciones, asociaciones o cooperativas forestales</t>
  </si>
  <si>
    <t>Oxfendazol</t>
  </si>
  <si>
    <t>Objetos fundidos maquinados por proceso v de berilio</t>
  </si>
  <si>
    <t>Tarjetas de módem</t>
  </si>
  <si>
    <t>Cerio ce</t>
  </si>
  <si>
    <t>El Palmar</t>
  </si>
  <si>
    <t>Alteplasa</t>
  </si>
  <si>
    <t>Impresoras lectoras de micro fichas</t>
  </si>
  <si>
    <t>Parada de grava</t>
  </si>
  <si>
    <t>Transporte marino a carretera (por camión)</t>
  </si>
  <si>
    <t>Muelles</t>
  </si>
  <si>
    <t>Protactinio pa</t>
  </si>
  <si>
    <t>No proliferación nuclear</t>
  </si>
  <si>
    <t>51151616</t>
  </si>
  <si>
    <t>Puente de carretera</t>
  </si>
  <si>
    <t>52151702</t>
  </si>
  <si>
    <t>El Pinar</t>
  </si>
  <si>
    <t>Localizadores de collar de cable de recuperación</t>
  </si>
  <si>
    <t>Aerosoles decorativos</t>
  </si>
  <si>
    <t>Componentes de aleación no ferrosa formados en torno</t>
  </si>
  <si>
    <t>50171550</t>
  </si>
  <si>
    <t>Evaluación de la contaminación por nitratos</t>
  </si>
  <si>
    <t>Servicios de monitoreo del flujo del pozo</t>
  </si>
  <si>
    <t>Espéculos para uso oftálmico</t>
  </si>
  <si>
    <t>Pesas de párpados para cirugía oftálmica</t>
  </si>
  <si>
    <t>Ensambles de barras soldadas con soldadura ultra violeta de titanio</t>
  </si>
  <si>
    <t>Procaina</t>
  </si>
  <si>
    <t>Ribavirina</t>
  </si>
  <si>
    <t>Catéteres o kits de cateterización de toracentesis o accesorios</t>
  </si>
  <si>
    <t>Propionato de testosterona</t>
  </si>
  <si>
    <t>Apicultura</t>
  </si>
  <si>
    <t>Temazepam</t>
  </si>
  <si>
    <t>Servicios de preparación del presupuesto del campo petrolero</t>
  </si>
  <si>
    <t>Un</t>
  </si>
  <si>
    <t>Servicios de curas con fuentes termales</t>
  </si>
  <si>
    <t>Servicios de perforación de pozos  para entrada de agua</t>
  </si>
  <si>
    <t>Servicios de control biológico</t>
  </si>
  <si>
    <t>Cilindros de gas o dispositivos relacionados para uso médico</t>
  </si>
  <si>
    <t>Tenecteplasa</t>
  </si>
  <si>
    <t>Correas o traíllas</t>
  </si>
  <si>
    <t>Forjaduras en estampa abierta de acero</t>
  </si>
  <si>
    <t>Servicios de recepción o inventariado</t>
  </si>
  <si>
    <t>Muselina</t>
  </si>
  <si>
    <t>Instrumentos geofísicos de resistividad</t>
  </si>
  <si>
    <t>Cámaras grabadoras o video cámaras digitales</t>
  </si>
  <si>
    <t>Desarme de armas convencionales</t>
  </si>
  <si>
    <t>Clubes juveniles</t>
  </si>
  <si>
    <t>Unidades de laboratorio</t>
  </si>
  <si>
    <t>Servicios de archivo de datos</t>
  </si>
  <si>
    <t>Raspadores del cable de recuperación</t>
  </si>
  <si>
    <t>Cabezas de bombas de perfusión</t>
  </si>
  <si>
    <t>Componentes de latón hidroformados</t>
  </si>
  <si>
    <t>DESECHABLES MEDICOS</t>
  </si>
  <si>
    <t>Máquina para drenaje de zanjas</t>
  </si>
  <si>
    <t>Aretes</t>
  </si>
  <si>
    <t>Servicios de preparación del presupuesto de gastos militares</t>
  </si>
  <si>
    <t>Caseta para reparación de pintura</t>
  </si>
  <si>
    <t>Servicios de registro por rayos gamma</t>
  </si>
  <si>
    <t>Acero de alta velocidad z90wdcv6542 o m2</t>
  </si>
  <si>
    <t>Encendedor para calderas o calentadores</t>
  </si>
  <si>
    <t>12131705</t>
  </si>
  <si>
    <t>Hornos de convección para uso comercial</t>
  </si>
  <si>
    <t>Servicios de registro de desviaciones</t>
  </si>
  <si>
    <t>Puntos de pozo</t>
  </si>
  <si>
    <t>Martillos</t>
  </si>
  <si>
    <t>51121703</t>
  </si>
  <si>
    <t>Sets o accesorios de irrigación para uso quirúrgico</t>
  </si>
  <si>
    <t>Llaves allen</t>
  </si>
  <si>
    <t>Zona de acople con pasillos móviles</t>
  </si>
  <si>
    <t>Grabadoras de precipitación o evaporación</t>
  </si>
  <si>
    <t>Unidades de observación de servicio de equipos de telefonía</t>
  </si>
  <si>
    <t>Servicios de control del derrame de petróleo</t>
  </si>
  <si>
    <t>SOLUCIONES</t>
  </si>
  <si>
    <t>Partes de metal no ferroso pulverizado</t>
  </si>
  <si>
    <t>Tintas para serigrafía</t>
  </si>
  <si>
    <t>Asociaciones fraternales</t>
  </si>
  <si>
    <t>Perindopril erbumina</t>
  </si>
  <si>
    <t>Licuadoras para uso doméstico</t>
  </si>
  <si>
    <t>Terreno de aparcamiento</t>
  </si>
  <si>
    <t>Cucharones para entomología</t>
  </si>
  <si>
    <t>Tarjetas postales, de saludo o de notas</t>
  </si>
  <si>
    <t>Servicios de protección contra la contaminación del suelo</t>
  </si>
  <si>
    <t>Servicio de monitoreo o control de la contaminación de las aguas de superficie</t>
  </si>
  <si>
    <t>Inyección de alcohol deshidratado</t>
  </si>
  <si>
    <t>Transferencias de armamento</t>
  </si>
  <si>
    <t>Colchones neumáticos</t>
  </si>
  <si>
    <t>PROVINCIAS</t>
  </si>
  <si>
    <t>Sacos de boxeo</t>
  </si>
  <si>
    <t>Servicios de eliminación de lodo  del  campo petrolero</t>
  </si>
  <si>
    <t>Placas base para oftalmómetros</t>
  </si>
  <si>
    <t>Fusibles de tapón</t>
  </si>
  <si>
    <t>Paneles o monitores de pantalla de cristal líquido lcd</t>
  </si>
  <si>
    <t>Clorhidrato de pipradol</t>
  </si>
  <si>
    <t>Equipo acondicionador de lodo</t>
  </si>
  <si>
    <t>Asociaciones para la defensa de la libertad de expresión</t>
  </si>
  <si>
    <t>Servicios de traslado de árboles, arbustos o plantas ornamentales</t>
  </si>
  <si>
    <t>Cría de ganado</t>
  </si>
  <si>
    <t>Barnices</t>
  </si>
  <si>
    <t>Software de sistema operativo</t>
  </si>
  <si>
    <t>Trompetas</t>
  </si>
  <si>
    <t>Kits o suministros para pruebas de inmunología o serología</t>
  </si>
  <si>
    <t>Servicios de asesoría en conservación del agua</t>
  </si>
  <si>
    <t>Jaulas o sus accesorios</t>
  </si>
  <si>
    <t>Revestimientos o recubrimientos plásticos de materias estructurales</t>
  </si>
  <si>
    <t>Lectores de micro placas</t>
  </si>
  <si>
    <t>Sillas para hemodiálisis</t>
  </si>
  <si>
    <t>Analizadores de azúcar</t>
  </si>
  <si>
    <t>Maquinaria suministradora de pegamento</t>
  </si>
  <si>
    <t>Válvulas piloto</t>
  </si>
  <si>
    <t>Jugos de repisa</t>
  </si>
  <si>
    <t>Servicios de atención domiciliaria por médicos de atención primaria</t>
  </si>
  <si>
    <t>Servicios de buses con horarios programados</t>
  </si>
  <si>
    <t>Servicios de perforación direccional de pozos de radio ultracorto</t>
  </si>
  <si>
    <t>Placa elevadora</t>
  </si>
  <si>
    <t>Redes de pesca</t>
  </si>
  <si>
    <t>Equipos electrónicos de duplicación de medios o información</t>
  </si>
  <si>
    <t>Semillas o plántulas de espinaca</t>
  </si>
  <si>
    <t>Kits para extracción de proteína de células o tejidos de mamíferos</t>
  </si>
  <si>
    <t>Planes de comercialización</t>
  </si>
  <si>
    <t>Limpiadores de cabezas de audio o video</t>
  </si>
  <si>
    <t>10151605</t>
  </si>
  <si>
    <t>Batas para pacientes</t>
  </si>
  <si>
    <t>Servicios de producción bovina</t>
  </si>
  <si>
    <t>Boneset</t>
  </si>
  <si>
    <t>Servicios de aislamiento temporal del control de arena</t>
  </si>
  <si>
    <t>Paletas de madera para hornear para uso doméstico</t>
  </si>
  <si>
    <t>Servicios de pintores</t>
  </si>
  <si>
    <t>Acetato de potasio</t>
  </si>
  <si>
    <t>Patines de ejercicio de extremidades para rehabilitación o terapia</t>
  </si>
  <si>
    <t>Disco compacto cd de lectura y escritura</t>
  </si>
  <si>
    <t>Doblador de espigas para uso odontológico</t>
  </si>
  <si>
    <t>Plantillas de medición</t>
  </si>
  <si>
    <t>Apernador de boom</t>
  </si>
  <si>
    <t>Servicios de protección contra riesgos o peligros naturales</t>
  </si>
  <si>
    <t>76121501</t>
  </si>
  <si>
    <t>Lavadores de ojos o estaciones para lavado de ojos</t>
  </si>
  <si>
    <t>Limas limpiadoras de punta de soldadura o soldadura fuerte</t>
  </si>
  <si>
    <t>Máquinas de succión o extractores al vacío o aspiradores quirúrgicos ultrasónicos o reguladores o accesorios para uso quirúrgico</t>
  </si>
  <si>
    <t>Casas de muñecas</t>
  </si>
  <si>
    <t>Balanzas de resorte tensor</t>
  </si>
  <si>
    <t>Decena</t>
  </si>
  <si>
    <t>Módems de cable</t>
  </si>
  <si>
    <t>Tuercas de acople</t>
  </si>
  <si>
    <t>Carcasas de cajas de cambios</t>
  </si>
  <si>
    <t>Programas de privatización</t>
  </si>
  <si>
    <t>Servicios de producción de disolventes, glicoles o detergentes</t>
  </si>
  <si>
    <t>Adaptadores de transparencia para escáneres</t>
  </si>
  <si>
    <t>42131705</t>
  </si>
  <si>
    <t>Bolsas para cámaras</t>
  </si>
  <si>
    <t>Grupo alilo</t>
  </si>
  <si>
    <t>Roldanas o bloques de piso de la cable de recuperación</t>
  </si>
  <si>
    <t>Mesas de demostración de máquinas de coser</t>
  </si>
  <si>
    <t>Cableado preformado troncal</t>
  </si>
  <si>
    <t>Organizadores no modular</t>
  </si>
  <si>
    <t>Fórmulas de suplementos para adultos de uso general</t>
  </si>
  <si>
    <t>Ensambles estructurales pegados de aleación wasp</t>
  </si>
  <si>
    <t>Ladrillos de alta alúmina</t>
  </si>
  <si>
    <t>Metocarbamol</t>
  </si>
  <si>
    <t>Flores secas</t>
  </si>
  <si>
    <t>Acetato de sodio</t>
  </si>
  <si>
    <t>Columnas de placa</t>
  </si>
  <si>
    <t>Propelente en polvo</t>
  </si>
  <si>
    <t>Servicios de extensiones o reemplazo de cabello</t>
  </si>
  <si>
    <t>Guananico</t>
  </si>
  <si>
    <t>Vestidores o armarios</t>
  </si>
  <si>
    <t>Barcos de reacondicionamiento</t>
  </si>
  <si>
    <t>Servicios de prevención o control de enfermedades de transmisión sexual</t>
  </si>
  <si>
    <t>Tubo de diodo</t>
  </si>
  <si>
    <t>Herramientas de grabado en relieve</t>
  </si>
  <si>
    <t>Conductos o red de conductos de vidrio</t>
  </si>
  <si>
    <t>Objetos de acero inoxidable fundidos en molde fijo</t>
  </si>
  <si>
    <t>Rodillo de sujeción</t>
  </si>
  <si>
    <t>Respuesta a ataques terroristas</t>
  </si>
  <si>
    <t>27111704</t>
  </si>
  <si>
    <t>Fondos de pensiones administrados por el empleador</t>
  </si>
  <si>
    <t>Política de lactancia materna  o alimentación con biberón</t>
  </si>
  <si>
    <t>Servicios de protección contra inundaciones o de control de inundaciones</t>
  </si>
  <si>
    <t>Drenaje de agua pluviales</t>
  </si>
  <si>
    <t>Medidores de mapas</t>
  </si>
  <si>
    <t>Estaciones de muestreo y disección histológica</t>
  </si>
  <si>
    <t>Extrusiones en frío de aleación ferrosa</t>
  </si>
  <si>
    <t>Servicios de control o evaluación de la desertificación</t>
  </si>
  <si>
    <t>Medios de cromatografía</t>
  </si>
  <si>
    <t>Puntas o capas de boquillas</t>
  </si>
  <si>
    <t>Bromazepam</t>
  </si>
  <si>
    <t>Transformadores de suministro de potencia</t>
  </si>
  <si>
    <t>Furoato de mometasona</t>
  </si>
  <si>
    <t>Objetos maquinados de titanio fundidos en molde de yeso</t>
  </si>
  <si>
    <t>Bicicletas tándem</t>
  </si>
  <si>
    <t>Retiradas de tropas</t>
  </si>
  <si>
    <t>Yodo i</t>
  </si>
  <si>
    <t>Servicios de asesoramiento sobre ecología</t>
  </si>
  <si>
    <t>Registros indicadores de esterilización</t>
  </si>
  <si>
    <t>Homatropina bromhidrato</t>
  </si>
  <si>
    <t>Válvulas de monitoreo</t>
  </si>
  <si>
    <t>Servicios de producción de etileno o metanol o derivados</t>
  </si>
  <si>
    <t>Embragues de leva</t>
  </si>
  <si>
    <t>Cianatos o isocianatos o tiocianatos o isotiocianatos</t>
  </si>
  <si>
    <t>Modelos o accesorios de álgebra</t>
  </si>
  <si>
    <t>Unidades o accesorios para el cuidado de la casa</t>
  </si>
  <si>
    <t>Clorhidrato de xilometazolina</t>
  </si>
  <si>
    <t>Mandolinas</t>
  </si>
  <si>
    <t>Servicios de asistencia telefónica</t>
  </si>
  <si>
    <t>Asesor de vestuario</t>
  </si>
  <si>
    <t>Instalaciones para videoconferencias</t>
  </si>
  <si>
    <t>Componentes de cobre maquinados por extrusión de impacto</t>
  </si>
  <si>
    <t>Servicios de reclutamiento</t>
  </si>
  <si>
    <t>Objetos maquinados centrifugados de compuestos fundidos</t>
  </si>
  <si>
    <t>Servicios de acupuntura</t>
  </si>
  <si>
    <t>42181804</t>
  </si>
  <si>
    <t>Materiales refractarios de tinte</t>
  </si>
  <si>
    <t>Análisis del decaimiento del campo petrolero</t>
  </si>
  <si>
    <t>Picas para uso quirúrgico</t>
  </si>
  <si>
    <t>Alambre calentador</t>
  </si>
  <si>
    <t>TON</t>
  </si>
  <si>
    <t>Refrigeradores de cromatografía</t>
  </si>
  <si>
    <t>Congeladores horizontales</t>
  </si>
  <si>
    <t>Esterillas para instrumentos dentales</t>
  </si>
  <si>
    <t>Sondas aurales</t>
  </si>
  <si>
    <t>Nadolol</t>
  </si>
  <si>
    <t>Libros de recursos o actividades de atributos</t>
  </si>
  <si>
    <t>Delantales para pintar</t>
  </si>
  <si>
    <t>Limpiadores de vidrio o ventanas</t>
  </si>
  <si>
    <t>Filtros en línea</t>
  </si>
  <si>
    <t>Servicios de organizaciones o movimientos juveniles</t>
  </si>
  <si>
    <t>Clubes sociales para veteranos de guerra</t>
  </si>
  <si>
    <t>Boca Chica</t>
  </si>
  <si>
    <t>Forjas de magnesio maquinadas con troquel abierto</t>
  </si>
  <si>
    <t>Secadores de congelación o liofolizantes</t>
  </si>
  <si>
    <t>52101502</t>
  </si>
  <si>
    <t>Servicios de representación de partidos políticos</t>
  </si>
  <si>
    <t>Pintura de acuarela en tubo</t>
  </si>
  <si>
    <t>Prasterona</t>
  </si>
  <si>
    <t>Bandejas de procedimientos o instrumentos especiales o a la medida para uso quirúrgico</t>
  </si>
  <si>
    <t>Brochas para techos</t>
  </si>
  <si>
    <t>Kits de manualidades con cuerda</t>
  </si>
  <si>
    <t>Servicios de hechiceros o vudús</t>
  </si>
  <si>
    <t>Cinta de transferencia adhesiva</t>
  </si>
  <si>
    <t>Estuches de oxígeno portátil o resucitación para servicios médicos de emergencia</t>
  </si>
  <si>
    <t>41113601</t>
  </si>
  <si>
    <t>Fórceps de disección de uso general para autopsias</t>
  </si>
  <si>
    <t>Servicios de control de patas y boca</t>
  </si>
  <si>
    <t>Medias o medias largas protectoras</t>
  </si>
  <si>
    <t>Calefacción</t>
  </si>
  <si>
    <t>Servicios de fabricación de aparatos de radio o televisión</t>
  </si>
  <si>
    <t>Efectores finales robóticos</t>
  </si>
  <si>
    <t>Intercambiadores de doble división</t>
  </si>
  <si>
    <t>Radiofármaco de diagnóstico</t>
  </si>
  <si>
    <t>Aparatos respiratorios para incendios</t>
  </si>
  <si>
    <t>Espéculos para examen de laringe o bucofaríngeo</t>
  </si>
  <si>
    <t>Bandas transportadoras</t>
  </si>
  <si>
    <t>Obturadores de aire acondicionado</t>
  </si>
  <si>
    <t>Estreptograminas</t>
  </si>
  <si>
    <t>Tubos de toynbee para diagnóstico</t>
  </si>
  <si>
    <t>Rueda voladora</t>
  </si>
  <si>
    <t>Brocas para uso quirúrgico</t>
  </si>
  <si>
    <t>Tela de cernido</t>
  </si>
  <si>
    <t>Acoplamiento de fluido</t>
  </si>
  <si>
    <t>Compuestos aromáticos o heterocíclicos</t>
  </si>
  <si>
    <t>Transductores de audio</t>
  </si>
  <si>
    <t>Iluminación interior de avión</t>
  </si>
  <si>
    <t>Escobillas de serigrafía</t>
  </si>
  <si>
    <t>Material no metálico en barra labrada</t>
  </si>
  <si>
    <t>Conductos o red de conductos de latón</t>
  </si>
  <si>
    <t>Hidracinas o hidracidas o sus sustitutos</t>
  </si>
  <si>
    <t>Mesas de imágenes de resonancia magnética mri para uso médico</t>
  </si>
  <si>
    <t>Tiras de mesa</t>
  </si>
  <si>
    <t>Herramientas de fundición</t>
  </si>
  <si>
    <t>Medidores de ictericia transcutáneos</t>
  </si>
  <si>
    <t>Compuestos en barra labrada</t>
  </si>
  <si>
    <t>Remolques contenedor con temperatura controlada</t>
  </si>
  <si>
    <t>Cuadrados de decimales</t>
  </si>
  <si>
    <t>Conejo de desplazamiento</t>
  </si>
  <si>
    <t>Ganchos de grúa</t>
  </si>
  <si>
    <t>Nicotina polacrilina</t>
  </si>
  <si>
    <t>Jumbos hidráulicos para perforación de pozos</t>
  </si>
  <si>
    <t>Transistores bipolares de unión (bjt)</t>
  </si>
  <si>
    <t>Clasificadoras de semillas, grano o legumbres secas</t>
  </si>
  <si>
    <t>Hilo de cobre</t>
  </si>
  <si>
    <t>Desgasificadores de lodo</t>
  </si>
  <si>
    <t>26121614</t>
  </si>
  <si>
    <t>MONTOS ESTIMADOS SEGÚN OBJETO DE CONTRATACIÓN</t>
  </si>
  <si>
    <t>Halcinonida</t>
  </si>
  <si>
    <t>Tornillos de cabeza perdida</t>
  </si>
  <si>
    <t>Laterales de tubería</t>
  </si>
  <si>
    <t>Andamios</t>
  </si>
  <si>
    <t>Doña Emma Balaguer viuda Vallejo</t>
  </si>
  <si>
    <t>Newcastle</t>
  </si>
  <si>
    <t>Elementos de restricción de cabeza no para ems</t>
  </si>
  <si>
    <t>Cable de afinamiento de dirección hidráulica</t>
  </si>
  <si>
    <t>Dentífrico</t>
  </si>
  <si>
    <t>Enlaces de cables</t>
  </si>
  <si>
    <t>Helicópteros antisubmarinos</t>
  </si>
  <si>
    <t>Servicios de registro acústico de la relación de adherencia del cemento</t>
  </si>
  <si>
    <t>Localización de saltos</t>
  </si>
  <si>
    <t>Oficinas en la fábrica</t>
  </si>
  <si>
    <t>Escalpelos para laboratorio</t>
  </si>
  <si>
    <t>Servicios de promoción</t>
  </si>
  <si>
    <t>Lámparas solares</t>
  </si>
  <si>
    <t>Nefelita</t>
  </si>
  <si>
    <t>Elevadores para uso quirúrgico</t>
  </si>
  <si>
    <t>Servicios de rayos gamma</t>
  </si>
  <si>
    <t>42272504</t>
  </si>
  <si>
    <t>Distrito Municipal</t>
  </si>
  <si>
    <t>Quemadores de fundición</t>
  </si>
  <si>
    <t>Servicios de transporte en furgones</t>
  </si>
  <si>
    <t>Cooperación de países no alineados</t>
  </si>
  <si>
    <t>Afilador de tijeras</t>
  </si>
  <si>
    <t>Motocicletas</t>
  </si>
  <si>
    <t>Timbres de zumbido</t>
  </si>
  <si>
    <t>Papel metálico</t>
  </si>
  <si>
    <t>Servicios sísmicos de desplazamiento horizontal</t>
  </si>
  <si>
    <t>Morteros</t>
  </si>
  <si>
    <t>Puertas de rejilla</t>
  </si>
  <si>
    <t>COMPRAS POR DEBAJO DEL UMBRAL</t>
  </si>
  <si>
    <t>46181810</t>
  </si>
  <si>
    <t>51171808</t>
  </si>
  <si>
    <t>Microscopios de escáner de luz, disco giratorio o escáner de láser</t>
  </si>
  <si>
    <t>Forjas de acero inoxidable maquinadas por reducción</t>
  </si>
  <si>
    <t>Sets endotraqueales o de traqueotomía</t>
  </si>
  <si>
    <t>Ensambles de tubos soldados con soldadura sónica de acero al carbono</t>
  </si>
  <si>
    <t>INSUMOS DE LABORATORIOS ESPECIALES I</t>
  </si>
  <si>
    <t>Aceitunos</t>
  </si>
  <si>
    <t>Cajas antiestática</t>
  </si>
  <si>
    <t>Componentes de aluminio maquinados por extrusión en frío</t>
  </si>
  <si>
    <t>El Puerto</t>
  </si>
  <si>
    <t>Reparación de Transmisión</t>
  </si>
  <si>
    <t>Planchas para waffles para uso doméstico</t>
  </si>
  <si>
    <t>Etiquetas de papel</t>
  </si>
  <si>
    <t>Papel crepé semi blanqueado</t>
  </si>
  <si>
    <t>Servicios de la secretaría</t>
  </si>
  <si>
    <t>Agentes de expansión de cemento</t>
  </si>
  <si>
    <t>Carritos de equipos o procedimientos o accesorios para endoscopia</t>
  </si>
  <si>
    <t>30181508</t>
  </si>
  <si>
    <t>Cemento liviano de pozo petrolero</t>
  </si>
  <si>
    <t>Quemadores de bengalas</t>
  </si>
  <si>
    <t>Aparatos de trepar para patios de recreo</t>
  </si>
  <si>
    <t>Objetos maquinados de cobre fundidos en molde de grafito</t>
  </si>
  <si>
    <t>Servicios de información de salud animal</t>
  </si>
  <si>
    <t>Zapatones para niña</t>
  </si>
  <si>
    <t>Dextropropoxifeno</t>
  </si>
  <si>
    <t>Ezetimiba</t>
  </si>
  <si>
    <t>44121628</t>
  </si>
  <si>
    <t>Sopas o sudados preparados fresco</t>
  </si>
  <si>
    <t>Aparatos para probar permeabilidad</t>
  </si>
  <si>
    <t>Servicio de inspección de equipos</t>
  </si>
  <si>
    <t>Refuerzos de frenado</t>
  </si>
  <si>
    <t>Calcio fosfato de glicerol</t>
  </si>
  <si>
    <t>Nucleótidos</t>
  </si>
  <si>
    <t>51121803</t>
  </si>
  <si>
    <t>Protectores de brazos para tiro con arco</t>
  </si>
  <si>
    <t>Cepillos de dientes</t>
  </si>
  <si>
    <t>Productos anti polvo</t>
  </si>
  <si>
    <t>Servicios de fabricación vidrio o productos de vidrio</t>
  </si>
  <si>
    <t>Discos</t>
  </si>
  <si>
    <t>Máquinas dobladoras de libros</t>
  </si>
  <si>
    <t>Objetos de aleación no ferrosa fundidos a la cera perdida</t>
  </si>
  <si>
    <t>50112001</t>
  </si>
  <si>
    <t>Servicios de asesoramiento sobre derecho ambiental</t>
  </si>
  <si>
    <t>Elevadores sólidos</t>
  </si>
  <si>
    <t>Servicios de avalúo de inmuebles</t>
  </si>
  <si>
    <t>Servicio de perforación de los orificio de conexión o ratonera</t>
  </si>
  <si>
    <t>Tajador de huevos para uso doméstico</t>
  </si>
  <si>
    <t>Fenotiazinas</t>
  </si>
  <si>
    <t>Piezas de bronce fundidas a presión</t>
  </si>
  <si>
    <t>Forjaduras en estampa de impresión de hierro</t>
  </si>
  <si>
    <t>Apolato de sodio</t>
  </si>
  <si>
    <t>Escurridor de trapero</t>
  </si>
  <si>
    <t>Servicios de transporte de inflables  mediante tubería flexible contínua</t>
  </si>
  <si>
    <t>Película elástica para envoltura</t>
  </si>
  <si>
    <t>Cámaras para documentos</t>
  </si>
  <si>
    <t>Articulaciones o eslabones de banda transportadora</t>
  </si>
  <si>
    <t>Dibujos</t>
  </si>
  <si>
    <t>Formaldehidos</t>
  </si>
  <si>
    <t>Horquillas de eje o de disco</t>
  </si>
  <si>
    <t>Arroyo Salado</t>
  </si>
  <si>
    <t>Combustible de aviación</t>
  </si>
  <si>
    <t>44122107</t>
  </si>
  <si>
    <t>Transporte por vagones de ferrocarril</t>
  </si>
  <si>
    <t>Cintas no adhesivas para uso médico</t>
  </si>
  <si>
    <t>Tornos de alfarero para cerámicas hechas a mano</t>
  </si>
  <si>
    <t>42201804</t>
  </si>
  <si>
    <t>Vestidos de baño para hombre</t>
  </si>
  <si>
    <t>Guantes de beisbol</t>
  </si>
  <si>
    <t>Puerta de vaivén</t>
  </si>
  <si>
    <t>47131702</t>
  </si>
  <si>
    <t>Servicios de reforma agraria o colonización</t>
  </si>
  <si>
    <t>Forjas de acero inoxidable maquinadas con troquel abierto</t>
  </si>
  <si>
    <t>Lanzadores de misiles</t>
  </si>
  <si>
    <t>Carritos para yeso o tablillas</t>
  </si>
  <si>
    <t>Servicio de procesamiento de datos en línea</t>
  </si>
  <si>
    <t>Equipos o accesorios para el control del sudor</t>
  </si>
  <si>
    <t>Pinzas para uso quirúrgico</t>
  </si>
  <si>
    <t>Actualizaciones de energía de buzón de correo multi recipientes</t>
  </si>
  <si>
    <t>Besilato de amlodipina</t>
  </si>
  <si>
    <t>Chinches</t>
  </si>
  <si>
    <t>Motores de corriente continua (CC)</t>
  </si>
  <si>
    <t>Agarrador mecánico</t>
  </si>
  <si>
    <t>Equipos de deionización o desmineralización</t>
  </si>
  <si>
    <t>Tubería de no ferroso</t>
  </si>
  <si>
    <t>Tapetes anti fatiga</t>
  </si>
  <si>
    <t>Servicios de comisario de policía</t>
  </si>
  <si>
    <t>Bombas de cavidad progresiva</t>
  </si>
  <si>
    <t>Cubetas de electroporación</t>
  </si>
  <si>
    <t>Carrusel de bodegaje</t>
  </si>
  <si>
    <t>Torre de control del aeropuerto</t>
  </si>
  <si>
    <t>Bolsas o contenedores de drenaje de diálisis peritoneal</t>
  </si>
  <si>
    <t>Conector de fibra óptica</t>
  </si>
  <si>
    <t>Guarda polvos</t>
  </si>
  <si>
    <t>Componentes de berilio maquinados por extrusión en caliente</t>
  </si>
  <si>
    <t>Cepillos para manos para cirujanos o soluciones o accesorios</t>
  </si>
  <si>
    <t>Servicios de laboratorios bacteriológicos</t>
  </si>
  <si>
    <t>Adaptadores de enchufes hembra de audífonos</t>
  </si>
  <si>
    <t>Operaciones de pesca comercial</t>
  </si>
  <si>
    <t>Adalimumab</t>
  </si>
  <si>
    <t>Batidoras de alambre de cocina para uso doméstico</t>
  </si>
  <si>
    <t>Esteras para juegos</t>
  </si>
  <si>
    <t>Drenajes de tejados</t>
  </si>
  <si>
    <t>Servicios socioculturales</t>
  </si>
  <si>
    <t>Cigarrilleras</t>
  </si>
  <si>
    <t>San Luis</t>
  </si>
  <si>
    <t>Formación profesional para la industria cárnica</t>
  </si>
  <si>
    <t>Sets de carteleras de idiomas</t>
  </si>
  <si>
    <t>Sellos de seguridad a prueba de manipulación</t>
  </si>
  <si>
    <t>Siliconas</t>
  </si>
  <si>
    <t>Servicios de movilización de recursos</t>
  </si>
  <si>
    <t>Accesorios para equipos para teñir muestras de laboratorio</t>
  </si>
  <si>
    <t>Servicios de litógrafos</t>
  </si>
  <si>
    <t>Relés universales</t>
  </si>
  <si>
    <t>Suministros para piscicultura</t>
  </si>
  <si>
    <t>Capacitores fijos</t>
  </si>
  <si>
    <t>Curetas o lanzaderas para uso quirúrgico</t>
  </si>
  <si>
    <t>Lanzaderas para tejidos de algodón</t>
  </si>
  <si>
    <t>Sistemas de compresión de aire gas para uso médico</t>
  </si>
  <si>
    <t>Maquinaria para cargar emulsión</t>
  </si>
  <si>
    <t>Carne de ave o carne fresca</t>
  </si>
  <si>
    <t>Hemocitómetros</t>
  </si>
  <si>
    <t>Unidades de fotoconductores o imágenes</t>
  </si>
  <si>
    <t>Lavadoras de micro placas</t>
  </si>
  <si>
    <t>Perfeccionamiento de la función de gestión</t>
  </si>
  <si>
    <t>Varillas de plástico</t>
  </si>
  <si>
    <t>46171619</t>
  </si>
  <si>
    <t>Almohadillas de máquinas de piso</t>
  </si>
  <si>
    <t>Planchas de corcho</t>
  </si>
  <si>
    <t>Controles de calidad o calibradores o estándares de bancos de sangre</t>
  </si>
  <si>
    <t>Servicios antirrobo para  tiendas o empresas</t>
  </si>
  <si>
    <t>Sensores de fallas de lámparas</t>
  </si>
  <si>
    <t>Columnas de prensa hidráulica</t>
  </si>
  <si>
    <t>Teteras eléctricas para uso doméstico</t>
  </si>
  <si>
    <t>Barniz de laca</t>
  </si>
  <si>
    <t>Máquinas de helados suaves</t>
  </si>
  <si>
    <t>Componentes no metálicos formados por estiramiento</t>
  </si>
  <si>
    <t>Componentes de metal precioso estampados</t>
  </si>
  <si>
    <t>Restaurantes</t>
  </si>
  <si>
    <t>Accesorios para tejer</t>
  </si>
  <si>
    <t>Acetato de hidrocortisona</t>
  </si>
  <si>
    <t>Trituradores de mandíbula</t>
  </si>
  <si>
    <t>Fundación</t>
  </si>
  <si>
    <t>Rubíes</t>
  </si>
  <si>
    <t>Experimentación con humanos</t>
  </si>
  <si>
    <t>Aparatos probadores de forja</t>
  </si>
  <si>
    <t>Compuestos endurecedores mortuorios</t>
  </si>
  <si>
    <t>Tarjetas de ejercicios fonéticos de repetición</t>
  </si>
  <si>
    <t>Clubes deportivos de montañismo</t>
  </si>
  <si>
    <t>Ensambles de barras pegadas de aleación hast x</t>
  </si>
  <si>
    <t>Derecho inmobiliario</t>
  </si>
  <si>
    <t>Cipionato de testosterona</t>
  </si>
  <si>
    <t>Caleta</t>
  </si>
  <si>
    <t>Sindicatos de transportadores</t>
  </si>
  <si>
    <t>Análisis de reproducción humana</t>
  </si>
  <si>
    <t>Viruela</t>
  </si>
  <si>
    <t>DOC</t>
  </si>
  <si>
    <t>Fundición en arena de acero inoxidable</t>
  </si>
  <si>
    <t>Materiales de estabilización o limpieza de ácido ribonucleico</t>
  </si>
  <si>
    <t>Sellantes de huecos o fisuras de uso odontológico</t>
  </si>
  <si>
    <t>Contadores alfa beta</t>
  </si>
  <si>
    <t>Ensambles de láminas soldadas con soldadura sónica de aleación wasp</t>
  </si>
  <si>
    <t>Rollos de instrumentos para instrumentos quirúrgicos o accesorios</t>
  </si>
  <si>
    <t>45111809</t>
  </si>
  <si>
    <t>Rastrilladora arrastrada</t>
  </si>
  <si>
    <t>Distribuidores de aguas residuales</t>
  </si>
  <si>
    <t>Avellanadores</t>
  </si>
  <si>
    <t>Servicios de socavación del campo petrolero</t>
  </si>
  <si>
    <t>Instrumentos de cortar para uso endoscópico</t>
  </si>
  <si>
    <t>La Cuaba</t>
  </si>
  <si>
    <t>Sets de actividades de pentominós</t>
  </si>
  <si>
    <t>Clorhidrato de ketamina</t>
  </si>
  <si>
    <t>Fresas o manijas o removedores de anillos de óxido para uso oftálmico</t>
  </si>
  <si>
    <t>Cortadores de galletas para uso doméstico</t>
  </si>
  <si>
    <t>Insertos Indexables</t>
  </si>
  <si>
    <t>Otros servicios de fracturación de pozos</t>
  </si>
  <si>
    <t>Picos de punta de raíz para uso dental</t>
  </si>
  <si>
    <t>Soportes de piñón</t>
  </si>
  <si>
    <t>Termómetros de mercurio para uso médico</t>
  </si>
  <si>
    <t>Equipo del oxígeno del avión</t>
  </si>
  <si>
    <t>Sensores de admisión eléctricos</t>
  </si>
  <si>
    <t>Tubos de calzas para uso odontológico</t>
  </si>
  <si>
    <t>Herramientas para cementación de campos petroleros</t>
  </si>
  <si>
    <t>Kits de tubos de alimentación para gastrostomía</t>
  </si>
  <si>
    <t>Moldes para mosaicos</t>
  </si>
  <si>
    <t>Semillas, bulbos, plántulas o esquejes de narciso</t>
  </si>
  <si>
    <t>Servicios de soldadura con gas metal inerte mig</t>
  </si>
  <si>
    <t>Servicios de lanzamiento de satélites</t>
  </si>
  <si>
    <t>Aparatos de estimación de fuerza de una solución</t>
  </si>
  <si>
    <t>Procesador central de interface canal a canal</t>
  </si>
  <si>
    <t>Metro cúbico</t>
  </si>
  <si>
    <t>Medidores o contadores de roscas</t>
  </si>
  <si>
    <t>Materiales de enseñanza de la ciencia de los tejidos o las fibras</t>
  </si>
  <si>
    <t>51102722</t>
  </si>
  <si>
    <t>Warfarina sódica</t>
  </si>
  <si>
    <t>42251611</t>
  </si>
  <si>
    <t>Bloque de cilindros</t>
  </si>
  <si>
    <t>31162007</t>
  </si>
  <si>
    <t>CIBAO NORTE</t>
  </si>
  <si>
    <t>Ensambles de placas soldadas de cobre</t>
  </si>
  <si>
    <t>Modelos de ácido desoxirribonucleico (adn)</t>
  </si>
  <si>
    <t>Borradores de lápices color rosados</t>
  </si>
  <si>
    <t>Fluoximesterona</t>
  </si>
  <si>
    <t>Equipos de telecomunicaciones jerárquicas digitales sincrónicas sdh</t>
  </si>
  <si>
    <t>Armarios para abrigos</t>
  </si>
  <si>
    <t>Nagua</t>
  </si>
  <si>
    <t>Adoquines</t>
  </si>
  <si>
    <t>Microscopios o lupas o magnificadores o accesorios para uso quirúrgico</t>
  </si>
  <si>
    <t>Sistemas de dosimetría de patrón secundario</t>
  </si>
  <si>
    <t>Probadores de humedad de temperatura</t>
  </si>
  <si>
    <t>Sistemas de frenado para trenes</t>
  </si>
  <si>
    <t>Inserción en radio</t>
  </si>
  <si>
    <t>Clubes o servicios para aficionados al teatro</t>
  </si>
  <si>
    <t>Servicios de pruebas de laboratorio para el control de arena</t>
  </si>
  <si>
    <t>Luces o accesorios de fibra óptica para uso odontológico</t>
  </si>
  <si>
    <t>Servicios de fabricación de géneros de tejido angosto</t>
  </si>
  <si>
    <t>Reactivos para preparar geles de agarosa</t>
  </si>
  <si>
    <t>Piedras abrasivas</t>
  </si>
  <si>
    <t>Estantes para placas petri</t>
  </si>
  <si>
    <t>Niples de tubería</t>
  </si>
  <si>
    <t>Ácido zoledrónico</t>
  </si>
  <si>
    <t>Proclorperazina</t>
  </si>
  <si>
    <t>Benorilato</t>
  </si>
  <si>
    <t>Fuentes beta</t>
  </si>
  <si>
    <t>Recipientes para almacenamiento de arcilla</t>
  </si>
  <si>
    <t>Termómetros electrónicos para uso médico</t>
  </si>
  <si>
    <t>Programación para perl</t>
  </si>
  <si>
    <t>Servicios de publicidad en transporte público</t>
  </si>
  <si>
    <t>Pistolas de grapas</t>
  </si>
  <si>
    <t>Seguro de responsabilidad civil</t>
  </si>
  <si>
    <t>Limpiadores de alfombras o tapizados</t>
  </si>
  <si>
    <t>Dilatadores o sets de lagrimales</t>
  </si>
  <si>
    <t>Materiales de impresión alginadas de uso odontológico</t>
  </si>
  <si>
    <t>Clavos de sombrerete</t>
  </si>
  <si>
    <t>Objetos de berilio fundidos en molde de yeso</t>
  </si>
  <si>
    <t>Máquinas de sanblasteado</t>
  </si>
  <si>
    <t>Porta etiquetas</t>
  </si>
  <si>
    <t>Famciclovir</t>
  </si>
  <si>
    <t>Insertos de diamantes</t>
  </si>
  <si>
    <t>Almohadillas para talones</t>
  </si>
  <si>
    <t>Hoja de goma de espuma</t>
  </si>
  <si>
    <t>Mercaptopurina</t>
  </si>
  <si>
    <t>Motores de corriente alterna (CA) o corriente continua (CC)</t>
  </si>
  <si>
    <t>Transporte en metro</t>
  </si>
  <si>
    <t>Extrusiones de perfiles de titanio</t>
  </si>
  <si>
    <t>Líneas de retardo</t>
  </si>
  <si>
    <t>Extrusiones de perfiles de aleación no ferrosa</t>
  </si>
  <si>
    <t>Argollas de amarre</t>
  </si>
  <si>
    <t>Kits de administración de tubos intravenosos con catéter</t>
  </si>
  <si>
    <t>Productos para la higiene femenina</t>
  </si>
  <si>
    <t>Ununnilium uum</t>
  </si>
  <si>
    <t>Ensambles de tubos remachados no metálica</t>
  </si>
  <si>
    <t>Servicios de ingeniería del depósito</t>
  </si>
  <si>
    <t>Carretel</t>
  </si>
  <si>
    <t>Componentes de berilio formados con explosivos</t>
  </si>
  <si>
    <t>Pintura témpera líquida tradicional</t>
  </si>
  <si>
    <t>Lawrencio lr</t>
  </si>
  <si>
    <t>Ciclofosfamida</t>
  </si>
  <si>
    <t>Básculas de plataforma para sillas de ruedas</t>
  </si>
  <si>
    <t>Aplicadores de uso quirúrgico</t>
  </si>
  <si>
    <t>Producción de aceites esenciales</t>
  </si>
  <si>
    <t>Clorhidrato de oxibutinina</t>
  </si>
  <si>
    <t>Ensambles de tubos remachados de acero inoxidable</t>
  </si>
  <si>
    <t>Propionato de halobetasol</t>
  </si>
  <si>
    <t>Luces o lámparas de pie para exámenes médicos</t>
  </si>
  <si>
    <t>Semillas o esquejes de árboles de frutos secos</t>
  </si>
  <si>
    <t>Estaciones de trabajo para autopsia macroscópica o accesorios</t>
  </si>
  <si>
    <t>Clorhidrato de tropatepina</t>
  </si>
  <si>
    <t>Ruedas dentadas</t>
  </si>
  <si>
    <t>Invertebrados acuáticos congelados</t>
  </si>
  <si>
    <t>Cajas de gel</t>
  </si>
  <si>
    <t>Componentes de metal precioso formados por estiramiento</t>
  </si>
  <si>
    <t>Maleato de ergonovina</t>
  </si>
  <si>
    <t>Analizadores o detectores de hidrocarburos</t>
  </si>
  <si>
    <t>Colchones o accesorios para el cuidado del paciente</t>
  </si>
  <si>
    <t>Concreto aireado</t>
  </si>
  <si>
    <t>Servicios de instrumentación o eléctricos del lugar del pozo</t>
  </si>
  <si>
    <t>Mirlitones</t>
  </si>
  <si>
    <t>Ayudas auditivas para los discapacitados físicamente</t>
  </si>
  <si>
    <t>Clorhidrato de ciclobenzaprina</t>
  </si>
  <si>
    <t>Clorpropamida</t>
  </si>
  <si>
    <t>Vicente Noble</t>
  </si>
  <si>
    <t>Tanques sépticos</t>
  </si>
  <si>
    <t>Abrelatas eléctricos para uso doméstico</t>
  </si>
  <si>
    <t>Malla abrasiva</t>
  </si>
  <si>
    <t>Intercambiadores de dos vías</t>
  </si>
  <si>
    <t>Abrazadera para la apertura de mandíbula</t>
  </si>
  <si>
    <t>Congeladores de placa</t>
  </si>
  <si>
    <t>Tarjetas de examen neurosiquiátrico</t>
  </si>
  <si>
    <t>Ensambles de tubos atornillados no metálica</t>
  </si>
  <si>
    <t>Accesorios eléctricos</t>
  </si>
  <si>
    <t>Tornillos de presión</t>
  </si>
  <si>
    <t>Servicios de diseño de la tarea de perforar el pozo</t>
  </si>
  <si>
    <t>Operaciones de pesca de altura</t>
  </si>
  <si>
    <t>Conductos o red de conductos de caucho</t>
  </si>
  <si>
    <t>Quemadores para aeronaves</t>
  </si>
  <si>
    <t>Ensambles de láminas soldadas con soldadura fuerte o débil de aleación wasp</t>
  </si>
  <si>
    <t>Elevadores</t>
  </si>
  <si>
    <t>Cajas de conmutadores</t>
  </si>
  <si>
    <t>Orquídeas</t>
  </si>
  <si>
    <t>Cubiertas de tornillos</t>
  </si>
  <si>
    <t>Cajas para empacar</t>
  </si>
  <si>
    <t>Plásticos para coronas o puentes</t>
  </si>
  <si>
    <t>Cunas o corrales o accesorios</t>
  </si>
  <si>
    <t>Ángulos de aleación no ferrosa</t>
  </si>
  <si>
    <t>Confinación de vertidos tóxicos</t>
  </si>
  <si>
    <t>Objetos maquinados de metal precioso fundidos en molde en concha</t>
  </si>
  <si>
    <t>Materiales para artesanías en madera</t>
  </si>
  <si>
    <t>Kits de irrigación de los senos nasales</t>
  </si>
  <si>
    <t>Máquinas farmacéuticas de tamizado</t>
  </si>
  <si>
    <t>Servicios de distribución mayorista</t>
  </si>
  <si>
    <t>Guayacolsulfonato de potasio</t>
  </si>
  <si>
    <t>Pergaminos</t>
  </si>
  <si>
    <t>Limpiadores de bandejas de impresión para uso odontológico</t>
  </si>
  <si>
    <t>Kits de muestreo y pruebas del agua</t>
  </si>
  <si>
    <t>Instrumentos para probar cerámicas</t>
  </si>
  <si>
    <t>Dispositivo de montaje de superficies</t>
  </si>
  <si>
    <t>Bromfenac sódico</t>
  </si>
  <si>
    <t>Servicios de  formación por extracción</t>
  </si>
  <si>
    <t>Aerosol de aire comprimido</t>
  </si>
  <si>
    <t>Dinamita</t>
  </si>
  <si>
    <t>Diagramas del espectro</t>
  </si>
  <si>
    <t>Mineral de cromo</t>
  </si>
  <si>
    <t>Butafosfan</t>
  </si>
  <si>
    <t>Vidrio biselado</t>
  </si>
  <si>
    <t>Máquinas de estampación de forjado</t>
  </si>
  <si>
    <t>Ganchos (soportes) para plomería</t>
  </si>
  <si>
    <t>Sistemas de inyección de combustible</t>
  </si>
  <si>
    <t>Servicios de recaudación de fondos de partidos políticos</t>
  </si>
  <si>
    <t>Trajes para mujer</t>
  </si>
  <si>
    <t>Administración de hatos lecheros</t>
  </si>
  <si>
    <t>51101508</t>
  </si>
  <si>
    <t>San Francisco Vicentillo</t>
  </si>
  <si>
    <t>Diazepam</t>
  </si>
  <si>
    <t>Atovacuona</t>
  </si>
  <si>
    <t>Financiación de hipotecas comerciales</t>
  </si>
  <si>
    <t>Sistemas de control digital del altitud del avión</t>
  </si>
  <si>
    <t>Tartrato de ifenprodil</t>
  </si>
  <si>
    <t>Ensambles de láminas soldadas con soldadura sónica de inconel</t>
  </si>
  <si>
    <t>Espejo geométrico</t>
  </si>
  <si>
    <t>Pulverizadores de tabletas o accesorios</t>
  </si>
  <si>
    <t>Tubos de recolección o contenedores de sangre al vacío</t>
  </si>
  <si>
    <t>30222052</t>
  </si>
  <si>
    <t>Mantenimiento de terrenos exteriores</t>
  </si>
  <si>
    <t>Papel japonés para grabado</t>
  </si>
  <si>
    <t>Carpa viva</t>
  </si>
  <si>
    <t>Aparatos probadores de fundición</t>
  </si>
  <si>
    <t>Ejercitadoras de muñecas para rehabilitación o terapia</t>
  </si>
  <si>
    <t>Puestos para equipos de lavandería</t>
  </si>
  <si>
    <t>Plumas de estilógrafos</t>
  </si>
  <si>
    <t>Objetos maquinados de hierro fundidos en molde cerámico</t>
  </si>
  <si>
    <t>Salones de baile</t>
  </si>
  <si>
    <t>Tableros blancos interactivos o accesorios</t>
  </si>
  <si>
    <t>Escritorios no modulares</t>
  </si>
  <si>
    <t>Ensambles de láminas soldadas con soldadura ultra violeta de aleación hast x</t>
  </si>
  <si>
    <t>Seguro de aportación de dinero durante el viaje</t>
  </si>
  <si>
    <t>Fijadores</t>
  </si>
  <si>
    <t>Discos compactos cd</t>
  </si>
  <si>
    <t>Aplicaciones relacionadas con nitrógeno mediante tubería flexible continua</t>
  </si>
  <si>
    <t>Instalación de unidad estacionaria completa para tomografía computarizada ct o cat para uso médico</t>
  </si>
  <si>
    <t>Papel con impresión de patrones para manualidades</t>
  </si>
  <si>
    <t>Iterbio yb</t>
  </si>
  <si>
    <t>Terfenadina</t>
  </si>
  <si>
    <t>Servicios de reparación de bomba de vástago del campo petrolero</t>
  </si>
  <si>
    <t>Objetos maquinados de magnesio fundidos en molde en concha</t>
  </si>
  <si>
    <t>Análisis o servicios de inmigración</t>
  </si>
  <si>
    <t>Barras de titanio</t>
  </si>
  <si>
    <t>42131611</t>
  </si>
  <si>
    <t>Sondas para uso quirúrgico</t>
  </si>
  <si>
    <t>Servicios de generación de originales de cd-rom</t>
  </si>
  <si>
    <t>Placas frontales para computadores</t>
  </si>
  <si>
    <t>Antisépticos para uso en alimentos</t>
  </si>
  <si>
    <t>Cauchos</t>
  </si>
  <si>
    <t>Unidades de xerorradiografía para uso médico</t>
  </si>
  <si>
    <t>Kanamicina</t>
  </si>
  <si>
    <t>Probadores de fuga</t>
  </si>
  <si>
    <t>Forjas de acero maquinadas por anillo enrollado</t>
  </si>
  <si>
    <t>53131608</t>
  </si>
  <si>
    <t>Celdas de conductividad</t>
  </si>
  <si>
    <t>Bebidas de té</t>
  </si>
  <si>
    <t>Software de controladores de tarjetas de gráficos</t>
  </si>
  <si>
    <t>Cinta de repuesto para máquinas de tarjetas de tiempo</t>
  </si>
  <si>
    <t>Detectores de billetes falsos o suministros</t>
  </si>
  <si>
    <t>Materiales anti resbalón para los discapacitados físicamente</t>
  </si>
  <si>
    <t>Servicios de registro durante la pesca</t>
  </si>
  <si>
    <t>Equipo de fractura a granel usando unidades de soporte</t>
  </si>
  <si>
    <t>Patrones de costura</t>
  </si>
  <si>
    <t>Servicios para el desarrollo insular</t>
  </si>
  <si>
    <t>Borradores de goma moldeable</t>
  </si>
  <si>
    <t>42142615</t>
  </si>
  <si>
    <t>Villa Fundación</t>
  </si>
  <si>
    <t>Amidinas o imidinas</t>
  </si>
  <si>
    <t>Forjas de aleación ferrosa maquinadas con troquel cerrado</t>
  </si>
  <si>
    <t>Bolsas de agua</t>
  </si>
  <si>
    <t>Puntas de aguja de irrigación o aspiración para uso oftálmico</t>
  </si>
  <si>
    <t>Desecho o desperdicios peligrosos</t>
  </si>
  <si>
    <t>Cristalería para secadores de congelación</t>
  </si>
  <si>
    <t>Revestimiento del cabezal de la carcasa</t>
  </si>
  <si>
    <t>51111610</t>
  </si>
  <si>
    <t>Kits o materiales para juegos de simulación</t>
  </si>
  <si>
    <t>Objetos maquinados de berilio fundidos en molde de grafito</t>
  </si>
  <si>
    <t>Armazones de madera</t>
  </si>
  <si>
    <t>Fosfato de fludarabina</t>
  </si>
  <si>
    <t>Tubos bucales para ortodoncia</t>
  </si>
  <si>
    <t>Calefacción del distrito</t>
  </si>
  <si>
    <t>Electrodos o accesorios para electroterapia</t>
  </si>
  <si>
    <t>Viajes en aviones comerciales</t>
  </si>
  <si>
    <t>Materiales de enseñanza de comprensión de los riesgos de defectos de nacimiento</t>
  </si>
  <si>
    <t>Microfusibles</t>
  </si>
  <si>
    <t>Masa para modelado</t>
  </si>
  <si>
    <t>Lámparas de filamento</t>
  </si>
  <si>
    <t>Extensores para uso quirúrgico</t>
  </si>
  <si>
    <t>Sets de ajuste de anteojos</t>
  </si>
  <si>
    <t>Dispersores o distribuidores de fertilizante</t>
  </si>
  <si>
    <t>Lingotes de acero</t>
  </si>
  <si>
    <t>Servicios de  mantenimiento o administración de embalses</t>
  </si>
  <si>
    <t>Clorhidrato de prociclidina</t>
  </si>
  <si>
    <t>Cosecha de bosques altos tropicales</t>
  </si>
  <si>
    <t>Servicios relacionados con el hinduismo</t>
  </si>
  <si>
    <t>Bombas de resalte rotatorias</t>
  </si>
  <si>
    <t>Tintura para geles poliacrilamidas</t>
  </si>
  <si>
    <t>Radios de dos vías</t>
  </si>
  <si>
    <t>Programas de control de deficiencias de la nutrición</t>
  </si>
  <si>
    <t>Almacenaje de archivos de carpetas</t>
  </si>
  <si>
    <t>Cañongo</t>
  </si>
  <si>
    <t>Producción de hierba o forraje</t>
  </si>
  <si>
    <t>Componentes compuestos formados por estiramiento por presión</t>
  </si>
  <si>
    <t>Vancomicina</t>
  </si>
  <si>
    <t>Hidróxido de magnesio</t>
  </si>
  <si>
    <t>Desinfectante o esterilizador de instrumentos</t>
  </si>
  <si>
    <t>SOLUCIONES 2</t>
  </si>
  <si>
    <t>Sulfato de anfetamina</t>
  </si>
  <si>
    <t>Servicios de prevención o control de enfermedades parasitarias</t>
  </si>
  <si>
    <t>Poleas de banda transportadora</t>
  </si>
  <si>
    <t>Servicios hospitalarios para el abuso de sustancias</t>
  </si>
  <si>
    <t>Alisadores de hueso para uso ortopédico</t>
  </si>
  <si>
    <t>Servicios de acidización mediante tubería flexible contínua</t>
  </si>
  <si>
    <t>Combustibles de alcohol gelatinoso</t>
  </si>
  <si>
    <t>Placa de garganta</t>
  </si>
  <si>
    <t>Motores sincrónicos</t>
  </si>
  <si>
    <t>Adhesivos de lámina</t>
  </si>
  <si>
    <t>Medias veladas gruesas (“tights”)</t>
  </si>
  <si>
    <t>Tacos de golf</t>
  </si>
  <si>
    <t>Cabinas audiométricas o cámaras acústicas para pruebas de audición</t>
  </si>
  <si>
    <t>50151513</t>
  </si>
  <si>
    <t>Servicios de matriz de entrenamiento del campo petrolero</t>
  </si>
  <si>
    <t>Software de emulación de terminal de conectividad de red</t>
  </si>
  <si>
    <t>Tarjetas o puertos de interruptor</t>
  </si>
  <si>
    <t>Probadores digitales</t>
  </si>
  <si>
    <t>Ayudas de posicionamiento para uso radiológico general para uso médico</t>
  </si>
  <si>
    <t>Kits de purificación de ácido desoxirribonucleico dna viral</t>
  </si>
  <si>
    <t>Purpurina de plástico</t>
  </si>
  <si>
    <t>Sets de esferos o lápices</t>
  </si>
  <si>
    <t>Servicios de conservación de parques o reservas forestales</t>
  </si>
  <si>
    <t>Dióxido de titanio</t>
  </si>
  <si>
    <t>Ensambles de tubería remachada no metálica</t>
  </si>
  <si>
    <t>Libros de recursos o  actividades de geometría</t>
  </si>
  <si>
    <t>Piezas hechas en torno de roscar de metal</t>
  </si>
  <si>
    <t>Azatioprina sódica</t>
  </si>
  <si>
    <t>Objetos de plomo fundidos en molde de yeso</t>
  </si>
  <si>
    <t>Clorhidrato de amilorida</t>
  </si>
  <si>
    <t>Bohrio bh</t>
  </si>
  <si>
    <t>Ametralladoras</t>
  </si>
  <si>
    <t>Memoria rom programable (prom)</t>
  </si>
  <si>
    <t>Desloratadina</t>
  </si>
  <si>
    <t>Convertidores de voz para teléfonos</t>
  </si>
  <si>
    <t>Clases de aeróbicos o ejercicios</t>
  </si>
  <si>
    <t>Recubrimiento de polvo</t>
  </si>
  <si>
    <t>Esquís</t>
  </si>
  <si>
    <t>Compuestos desengrasantes</t>
  </si>
  <si>
    <t>Indicadores de la cabina aeroespacial</t>
  </si>
  <si>
    <t>Tensiómetros</t>
  </si>
  <si>
    <t>Embutidos para comprar en el INCART</t>
  </si>
  <si>
    <t>Carros de combate acorazados</t>
  </si>
  <si>
    <t>Ruedas abrasivas cúbicas de nitrato borozon</t>
  </si>
  <si>
    <t>Kits de enseñanza para bachillerato básico</t>
  </si>
  <si>
    <t>Tapas del bloque de terminales</t>
  </si>
  <si>
    <t>Sílice de diatomeas</t>
  </si>
  <si>
    <t>Piezas de hierro fundidas a presión</t>
  </si>
  <si>
    <t>Avión de ataque</t>
  </si>
  <si>
    <t>Extracto de ipecacuana</t>
  </si>
  <si>
    <t>Supositorios de glicerina</t>
  </si>
  <si>
    <t>Componentes de caucho maquinados por extrusión hidrostática</t>
  </si>
  <si>
    <t>Aceite mineral</t>
  </si>
  <si>
    <t>Bases militares nacionales</t>
  </si>
  <si>
    <t>Para la compra de Artículos de Limpieza</t>
  </si>
  <si>
    <t>Ácido meclofenámico</t>
  </si>
  <si>
    <t>Componentes de aleación ferrosa formados enrollados</t>
  </si>
  <si>
    <t>Equipos para escalar lazos</t>
  </si>
  <si>
    <t>Dispensador de bebidas carbonatadas</t>
  </si>
  <si>
    <t>Carburo de silicio</t>
  </si>
  <si>
    <t>Bases de beisbol</t>
  </si>
  <si>
    <t>Sistemas frac pack</t>
  </si>
  <si>
    <t>Servicios de tasación del agua</t>
  </si>
  <si>
    <t>Hidrocloruro de chlordiazepoxide</t>
  </si>
  <si>
    <t>Calibradores o reglas de electrocardiografía ekg</t>
  </si>
  <si>
    <t>Camiones de pallets</t>
  </si>
  <si>
    <t>Alimentadores de rollos</t>
  </si>
  <si>
    <t>Alquitrán de carbón hulla</t>
  </si>
  <si>
    <t>Tiristores</t>
  </si>
  <si>
    <t>Vacuna contra el virus del sarampión y la rubeola</t>
  </si>
  <si>
    <t>Alambre de bronce</t>
  </si>
  <si>
    <t>Cepillos o peinillas para el cabello</t>
  </si>
  <si>
    <t>Dispensadores institucionales de jabón o loción</t>
  </si>
  <si>
    <t>Compresas de gel</t>
  </si>
  <si>
    <t>Servicios de remolcadores</t>
  </si>
  <si>
    <t>Levetiracetam</t>
  </si>
  <si>
    <t>Servicio de administración o mantenimiento de huertos</t>
  </si>
  <si>
    <t>Sets de almohadillas para cascos de radio cirugía</t>
  </si>
  <si>
    <t>Impresoras de matriz de líneas</t>
  </si>
  <si>
    <t>Tablas de incentivo</t>
  </si>
  <si>
    <t>Servicios de registro acústico de acceso angosto</t>
  </si>
  <si>
    <t>Servicios de prevención o control de enfermedades tropicales</t>
  </si>
  <si>
    <t>Objetos maquinados de compuestos fundidos en arena</t>
  </si>
  <si>
    <t>Yásica Arriba</t>
  </si>
  <si>
    <t>51142904</t>
  </si>
  <si>
    <t>Servicios de corte a troquel</t>
  </si>
  <si>
    <t>Cayetano Germosén</t>
  </si>
  <si>
    <t>Sulfato de magnesio</t>
  </si>
  <si>
    <t>Platos desechables para uso doméstico</t>
  </si>
  <si>
    <t>Cohetes sólidos</t>
  </si>
  <si>
    <t>Eliminadores de niebla</t>
  </si>
  <si>
    <t>Servicios de empacado mecanizado</t>
  </si>
  <si>
    <t>Uniones multilaterales</t>
  </si>
  <si>
    <t>Cable de telecomunicaciones</t>
  </si>
  <si>
    <t>51171619</t>
  </si>
  <si>
    <t>Convertidores para endoscopia</t>
  </si>
  <si>
    <t>Accesorios o suministros para analizadores de coagulación</t>
  </si>
  <si>
    <t>Servicios de comparación de tarifas de la industria del transporte o de auditoria de fletes</t>
  </si>
  <si>
    <t>Estuches de equipos de tratamiento de víctimas de gas para servicios médicos de emergencia</t>
  </si>
  <si>
    <t>Servicios de producción maderera</t>
  </si>
  <si>
    <t>Ingeniería de plásticos</t>
  </si>
  <si>
    <t>Placas de embrague</t>
  </si>
  <si>
    <t>Dispositivos para almacenamiento de kits de servicio</t>
  </si>
  <si>
    <t>Encendedores o mecha</t>
  </si>
  <si>
    <t>Imanes de samario cobalto</t>
  </si>
  <si>
    <t>48101711</t>
  </si>
  <si>
    <t>Equipos para reparar roscas</t>
  </si>
  <si>
    <t>Servicios de consejos económicos administrativos</t>
  </si>
  <si>
    <t>Patines para taladro</t>
  </si>
  <si>
    <t>Servicios de producción de ácidos inorgánicos</t>
  </si>
  <si>
    <t>Servicios de cooperación este-oeste</t>
  </si>
  <si>
    <t>Monitores de estudio de sueño o accesorios</t>
  </si>
  <si>
    <t>Montacargas</t>
  </si>
  <si>
    <t>Asientos para visitantes de instalaciones médicas</t>
  </si>
  <si>
    <t>Sistemas magnéticos sísmicos</t>
  </si>
  <si>
    <t>Cable dedal</t>
  </si>
  <si>
    <t>Tubos de ensayo general o multipropósito</t>
  </si>
  <si>
    <t>Cables de ancla</t>
  </si>
  <si>
    <t>Servicios legales para disputas laborales</t>
  </si>
  <si>
    <t>Planificación del desarrollo ambiental urbano</t>
  </si>
  <si>
    <t>Gafetes o porta gafetes</t>
  </si>
  <si>
    <t>Iluminación interior para automóviles</t>
  </si>
  <si>
    <t>Gonadotropina coriónica</t>
  </si>
  <si>
    <t>Estantes para bicicletas</t>
  </si>
  <si>
    <t>Herramientas magnéticas</t>
  </si>
  <si>
    <t>Componentes de bronce formados con explosivos</t>
  </si>
  <si>
    <t>Hilado de ramie</t>
  </si>
  <si>
    <t>Canoa</t>
  </si>
  <si>
    <t>Detectores ultrasónicos de flujo de sangre</t>
  </si>
  <si>
    <t>Armadillos</t>
  </si>
  <si>
    <t>Equipos de ultra filtración</t>
  </si>
  <si>
    <t>Toallas de esterilización</t>
  </si>
  <si>
    <t>Control estructural de plagas</t>
  </si>
  <si>
    <t>Diseño de integración de sistemas</t>
  </si>
  <si>
    <t>PALEATIVOS 3</t>
  </si>
  <si>
    <t>Ruedas</t>
  </si>
  <si>
    <t>Sistemas de recolección de desechos para administración o transfusión de sangre</t>
  </si>
  <si>
    <t>Libros en cintas o en discos compactos</t>
  </si>
  <si>
    <t>Candados de botón para oprimir</t>
  </si>
  <si>
    <t>50131606</t>
  </si>
  <si>
    <t>Componentes no metálicos estampados</t>
  </si>
  <si>
    <t>Uniones de desplazamiento</t>
  </si>
  <si>
    <t>Equipo de cine fluoroscopio para uso médico</t>
  </si>
  <si>
    <t>Unidades de forópter</t>
  </si>
  <si>
    <t>Servicios de matar el pozo (well kil)l mediante tubería flexible contínua</t>
  </si>
  <si>
    <t>Talento o entretenimiento</t>
  </si>
  <si>
    <t>Espitas para uso quirúrgico</t>
  </si>
  <si>
    <t>Embragues de diafragma</t>
  </si>
  <si>
    <t>Menta de gato</t>
  </si>
  <si>
    <t>Tela de resina impregnada</t>
  </si>
  <si>
    <t>Castañuelas</t>
  </si>
  <si>
    <t>Certificado de logro</t>
  </si>
  <si>
    <t>Cascos para motociclistas</t>
  </si>
  <si>
    <t>Paneles de despliegue aeroespacial de la cabina</t>
  </si>
  <si>
    <t>Láseres de red óptica</t>
  </si>
  <si>
    <t>Compuertas inferiores o puertas elevadoras</t>
  </si>
  <si>
    <t>Alumbre de amonio</t>
  </si>
  <si>
    <t>Cepillos de limpieza de esterilización</t>
  </si>
  <si>
    <t>CANULAS Y CATETER 2</t>
  </si>
  <si>
    <t>Servicios de análisis o recopilación de estadísticas de producción</t>
  </si>
  <si>
    <t>Rifles militares</t>
  </si>
  <si>
    <t>Clarinetes</t>
  </si>
  <si>
    <t>Pulidores abrasivos</t>
  </si>
  <si>
    <t>Servicios de huellas dactilares</t>
  </si>
  <si>
    <t>Unidades o accesorios de procesamiento de resinas de laboratorio dental</t>
  </si>
  <si>
    <t>Servicio de telefonía local</t>
  </si>
  <si>
    <t>Bombeo o drenaje</t>
  </si>
  <si>
    <t>Servicios de ginecología y obstetricia</t>
  </si>
  <si>
    <t>Sunroofs o techos corredizos</t>
  </si>
  <si>
    <t>Estreptoquinasa</t>
  </si>
  <si>
    <t>Tarjeta flash de almacenamiento de memoria</t>
  </si>
  <si>
    <t>Forjaduras en estampa cerrada de acero</t>
  </si>
  <si>
    <t>Servicios de fabricación de hornos</t>
  </si>
  <si>
    <t>Servicios de respuesta contra desastres</t>
  </si>
  <si>
    <t>Programas de conservación de energía</t>
  </si>
  <si>
    <t>Cintas adherentes médicas o quirúrgicas para uso general</t>
  </si>
  <si>
    <t>Sistemas de atención automatizada</t>
  </si>
  <si>
    <t>Ensambles de tubería atornillada de aluminio</t>
  </si>
  <si>
    <t>Factores antihemofílicos o globulinas</t>
  </si>
  <si>
    <t>Servicios de corte con chorro de agua</t>
  </si>
  <si>
    <t>Pozo petrolero cemento clase h</t>
  </si>
  <si>
    <t>Electrodos de parche para electrocardiografía ekg</t>
  </si>
  <si>
    <t>Separadores de tuberías</t>
  </si>
  <si>
    <t>Ácido bórico</t>
  </si>
  <si>
    <t>Tintas para afiches a base de agua</t>
  </si>
  <si>
    <t>56101520</t>
  </si>
  <si>
    <t>Sistemas de filtración de aire para laboratorios</t>
  </si>
  <si>
    <t>Medidor de salinidad</t>
  </si>
  <si>
    <t>Guardas para puertas</t>
  </si>
  <si>
    <t>Acetato de guanabenz</t>
  </si>
  <si>
    <t>Acabados y Textiles</t>
  </si>
  <si>
    <t>Catéteres o sets de diagnóstico o intervención vascular</t>
  </si>
  <si>
    <t>Papel de enmascarar</t>
  </si>
  <si>
    <t>Cinceles para periodoncia</t>
  </si>
  <si>
    <t>Buldóceres de ruedas</t>
  </si>
  <si>
    <t>Arandelas cónicas</t>
  </si>
  <si>
    <t>Toldos</t>
  </si>
  <si>
    <t>Servicios clínicos especializados privados</t>
  </si>
  <si>
    <t>Servicios de resonancia magnética nuclear</t>
  </si>
  <si>
    <t>Servicios de legisladores</t>
  </si>
  <si>
    <t>Overoles para personal médico</t>
  </si>
  <si>
    <t>José Contreras</t>
  </si>
  <si>
    <t>Accesorios de drenaje para uso médico</t>
  </si>
  <si>
    <t>Eje de sierra</t>
  </si>
  <si>
    <t>Tubería para campo petrolero</t>
  </si>
  <si>
    <t>Tambor de freno</t>
  </si>
  <si>
    <t>Glicerina</t>
  </si>
  <si>
    <t>Chapa de caucho</t>
  </si>
  <si>
    <t>Hora</t>
  </si>
  <si>
    <t>Balones de voleibol</t>
  </si>
  <si>
    <t>Torneados (virutas) de bronce</t>
  </si>
  <si>
    <t>Plataformas fijas de producción costa afuera</t>
  </si>
  <si>
    <t>Señales de punto de venta</t>
  </si>
  <si>
    <t>Aceites agrícolas</t>
  </si>
  <si>
    <t>Las Matas de Farfán</t>
  </si>
  <si>
    <t>Cánulas o adaptadores o decantadores para el retiro de vial o bolsa sin aguja</t>
  </si>
  <si>
    <t>Taladros de barreno profundo en el hoyo ith o abajo del hoyo dth</t>
  </si>
  <si>
    <t>Fieltros para uso quirúrgico</t>
  </si>
  <si>
    <t>Cojinería de asientos</t>
  </si>
  <si>
    <t>Rancho Arriba</t>
  </si>
  <si>
    <t>Servicios de empacado a mano</t>
  </si>
  <si>
    <t>Tapas de esterilización</t>
  </si>
  <si>
    <t>Componentes de metal precioso formados con explosivos</t>
  </si>
  <si>
    <t>Obturadores de control de arena</t>
  </si>
  <si>
    <t>Jayaco</t>
  </si>
  <si>
    <t>Esterilizadores de agujas</t>
  </si>
  <si>
    <t>Servicios de minería o transformación de potasa</t>
  </si>
  <si>
    <t>Componentes de acero inoxidable formados con explosivos</t>
  </si>
  <si>
    <t>Estantes o soportes para pipetas</t>
  </si>
  <si>
    <t>Cintas decorativas</t>
  </si>
  <si>
    <t>Polvos de huellas dactilares</t>
  </si>
  <si>
    <t>Sulfato de guanetidina</t>
  </si>
  <si>
    <t>Robots para levantar o poner</t>
  </si>
  <si>
    <t>Retroexcavadoras</t>
  </si>
  <si>
    <t>Unidades de rayos x de uso diagnóstico general para uso médico</t>
  </si>
  <si>
    <t>Conductos o red de conductos de acero</t>
  </si>
  <si>
    <t>Forjaduras en estampa abierta de latón</t>
  </si>
  <si>
    <t>Calandrias para hacer papel o cartón</t>
  </si>
  <si>
    <t>Neptunio np</t>
  </si>
  <si>
    <t>Software de almacenamiento de red</t>
  </si>
  <si>
    <t>Servicios de equipo de pruebas o accesorios de pozos submarinos</t>
  </si>
  <si>
    <t>Brocas de rodillo de diente de acero</t>
  </si>
  <si>
    <t>Tubos de voz para los auriculares de teléfonos</t>
  </si>
  <si>
    <t>Servicios de televisión por circuito cerrado</t>
  </si>
  <si>
    <t>Cortadores de pizza para uso doméstico</t>
  </si>
  <si>
    <t>Ladrillos de silicato de calcio</t>
  </si>
  <si>
    <t>Monturas de motor</t>
  </si>
  <si>
    <t>Espejos o mangos de espejo para uso odontológico</t>
  </si>
  <si>
    <t>Peróxido de carbamida</t>
  </si>
  <si>
    <t xml:space="preserve">EXCEPCIÓN - BIENES O SERVICIOS CON EXCLUSIVIDAD </t>
  </si>
  <si>
    <t>Servicios de organización o gestión de instituciones agrícolas</t>
  </si>
  <si>
    <t>Servicios de asesoramiento sobre  inteligencia empresarial</t>
  </si>
  <si>
    <t>Rollos de tubería flexible</t>
  </si>
  <si>
    <t>Botas y dispositivos de captura para sutura</t>
  </si>
  <si>
    <t>Sensores de densidad del cemento</t>
  </si>
  <si>
    <t>Compuestos órgano – metálicos</t>
  </si>
  <si>
    <t>Dobesilato de calcio</t>
  </si>
  <si>
    <t>Sousafones</t>
  </si>
  <si>
    <t>Almohadillas de lactancia</t>
  </si>
  <si>
    <t>Propelente en gel</t>
  </si>
  <si>
    <t>Ensambles de tubería soldada con ultra violeta de cobre</t>
  </si>
  <si>
    <t>Sismómetros</t>
  </si>
  <si>
    <t>Materiales didácticos de comunicaciones</t>
  </si>
  <si>
    <t>Software para oficinas</t>
  </si>
  <si>
    <t>11121802</t>
  </si>
  <si>
    <t>Bases para mesas</t>
  </si>
  <si>
    <t>Kits de cementación de uso odontológico</t>
  </si>
  <si>
    <t>Equipos de teleconferencia</t>
  </si>
  <si>
    <t>Desviador o retransmisor de llamadas telefónicas</t>
  </si>
  <si>
    <t>Cacerolas para hacer tortillas para uso doméstico</t>
  </si>
  <si>
    <t>Conciertos</t>
  </si>
  <si>
    <t>Tomos (pinzas de resección) para uso quirúrgico</t>
  </si>
  <si>
    <t>Servicios de promoción o reconocimiento del derecho internacional</t>
  </si>
  <si>
    <t>Estudio oceanográfico</t>
  </si>
  <si>
    <t>Sillas para músicos</t>
  </si>
  <si>
    <t>Compuestos conservantes</t>
  </si>
  <si>
    <t>USO BLOQUE QUIRUGICO</t>
  </si>
  <si>
    <t>Servicios de cementar el revestidor</t>
  </si>
  <si>
    <t>Productos para el aseo y cuidado de mascotas</t>
  </si>
  <si>
    <t>Pisos para accesos</t>
  </si>
  <si>
    <t>Dedales</t>
  </si>
  <si>
    <t>Contacto de líquido disperso</t>
  </si>
  <si>
    <t>Servicios de listado de inmuebles</t>
  </si>
  <si>
    <t>Servilletas de papel</t>
  </si>
  <si>
    <t>Dirigibles</t>
  </si>
  <si>
    <t>Recolectores de polvo</t>
  </si>
  <si>
    <t>Sartenes de salsa o para sofreír para uso comercial</t>
  </si>
  <si>
    <t>Servicios de recreo al lado del agua</t>
  </si>
  <si>
    <t>Caucho ciclizado</t>
  </si>
  <si>
    <t>Objetos maquinados de hierro fundidos en molde en concha</t>
  </si>
  <si>
    <t>Abrigos o chaquetas para niño</t>
  </si>
  <si>
    <t>Clorhidrato de flavoxato</t>
  </si>
  <si>
    <t>Servidores de impresoras</t>
  </si>
  <si>
    <t>Cimetidina</t>
  </si>
  <si>
    <t>Somatrem</t>
  </si>
  <si>
    <t>Especímenes de roca</t>
  </si>
  <si>
    <t>Aplicadores de vendajes</t>
  </si>
  <si>
    <t>Antenas de satélite</t>
  </si>
  <si>
    <t>Hidroxizina pamoato</t>
  </si>
  <si>
    <t>Vino espumoso</t>
  </si>
  <si>
    <t>Polisopreno natural nr</t>
  </si>
  <si>
    <t>Servicios de contratación de personal</t>
  </si>
  <si>
    <t>Abrigos o chaquetas para niña</t>
  </si>
  <si>
    <t>Cánulas intravenosas o arteriales y accesorios</t>
  </si>
  <si>
    <t>Lacteos 2</t>
  </si>
  <si>
    <t>Servicios de anclaje de tubería del campo petrolero</t>
  </si>
  <si>
    <t>Sets o kits de infusión de analgésicos</t>
  </si>
  <si>
    <t>Cajas de arena para patios de recreo</t>
  </si>
  <si>
    <t>Enjuagues</t>
  </si>
  <si>
    <t>Semillas o plántulas de veza (gachas / guija)</t>
  </si>
  <si>
    <t>Servicios de medición de flujo para registros de producción</t>
  </si>
  <si>
    <t>Chapa de metal chapado</t>
  </si>
  <si>
    <t>Fuentes de irradiación gamma</t>
  </si>
  <si>
    <t>Separadores para periodoncia</t>
  </si>
  <si>
    <t>IN2</t>
  </si>
  <si>
    <t>Señuelos para deportes</t>
  </si>
  <si>
    <t>Pelo animal</t>
  </si>
  <si>
    <t>Anillos para libros</t>
  </si>
  <si>
    <t>Simuladores de embarazo</t>
  </si>
  <si>
    <t>Materiales de enseñanza de resolución de conflictos personales</t>
  </si>
  <si>
    <t>Lenograstim</t>
  </si>
  <si>
    <t>Puestos (mesas) laterales de escritorios</t>
  </si>
  <si>
    <t>Materiales pedagógicos para el pensamiento crítico</t>
  </si>
  <si>
    <t>Barras de aluminio</t>
  </si>
  <si>
    <t>Clips de pared o tablero</t>
  </si>
  <si>
    <t>Receptores de radio</t>
  </si>
  <si>
    <t>Panderetas</t>
  </si>
  <si>
    <t>Cintas o cadenas de barrera</t>
  </si>
  <si>
    <t>Postrer Río</t>
  </si>
  <si>
    <t>Componentes de bronce perforados</t>
  </si>
  <si>
    <t>Valerato de betametasona</t>
  </si>
  <si>
    <t>Resucitadores neumáticos</t>
  </si>
  <si>
    <t>Baberos o recogedores de comida para los discapacitados físicamente</t>
  </si>
  <si>
    <t>Filtros de papel</t>
  </si>
  <si>
    <t>Bombas criogénicas</t>
  </si>
  <si>
    <t>Relés de mercurio</t>
  </si>
  <si>
    <t>Agentes de suspensión</t>
  </si>
  <si>
    <t>Jabones</t>
  </si>
  <si>
    <t>Forjas de acero maquinadas con troquel abierto</t>
  </si>
  <si>
    <t>Hoja de fibra comprimida</t>
  </si>
  <si>
    <t>Juntas obturadoras plásticas</t>
  </si>
  <si>
    <t>Medio seco premezclado especializado</t>
  </si>
  <si>
    <t>Bastones</t>
  </si>
  <si>
    <t>Servicios de control de la presión del pozo</t>
  </si>
  <si>
    <t>Ensambles estructurales atornillados de aluminio</t>
  </si>
  <si>
    <t>Máquinas para rellenar cojines</t>
  </si>
  <si>
    <t>Palillos de dientes (mondadientes)</t>
  </si>
  <si>
    <t>Espectrómetros de plasma acoplado inductivamente icp</t>
  </si>
  <si>
    <t>Bolígrafos de gel</t>
  </si>
  <si>
    <t>Perfiles de aluminio</t>
  </si>
  <si>
    <t>Vacuna contra el virus de la encefalitis</t>
  </si>
  <si>
    <t>Servicios de elaboración de la leche</t>
  </si>
  <si>
    <t>Objetos maquinados centrifugados de cinc fundidos</t>
  </si>
  <si>
    <t>INSUMOS LABORATORIO CLINICO-PATOLOGIA-UCI 2</t>
  </si>
  <si>
    <t>Ordenación de las cuencas hidrográficas forestales</t>
  </si>
  <si>
    <t>Tecnología audiovisual</t>
  </si>
  <si>
    <t>42181515</t>
  </si>
  <si>
    <t>Sistemas de medida del flujo industrial nucleónico</t>
  </si>
  <si>
    <t>Materiales de enseñanza de comprensión del trastorno por déficit de atención con hiperactividad</t>
  </si>
  <si>
    <t>Citarabina</t>
  </si>
  <si>
    <t>Polielectrolitos</t>
  </si>
  <si>
    <t>Soportes o retenes del rodamiento</t>
  </si>
  <si>
    <t>Avión de carga de hélice</t>
  </si>
  <si>
    <t>Fieltros prensados</t>
  </si>
  <si>
    <t>Lacteos 3</t>
  </si>
  <si>
    <t>Piezas de aleación no ferrosa forjadas a martinete</t>
  </si>
  <si>
    <t>Depósitos de lodos</t>
  </si>
  <si>
    <t>Servicios de consulta de médicos de atención primaria</t>
  </si>
  <si>
    <t>Agentes gelificantes sintéticos</t>
  </si>
  <si>
    <t>Hierro de marcar</t>
  </si>
  <si>
    <t>Programas posventas</t>
  </si>
  <si>
    <t>M2</t>
  </si>
  <si>
    <t>Desconectores rápidos</t>
  </si>
  <si>
    <t>Sets o accesorios de prueba de visión binocular</t>
  </si>
  <si>
    <t>Rotadores de tubos</t>
  </si>
  <si>
    <t>Servicios de llamar sin pago (hacia el interior)</t>
  </si>
  <si>
    <t>Hielo</t>
  </si>
  <si>
    <t>Estuches para discos flexibles</t>
  </si>
  <si>
    <t>Gravilla</t>
  </si>
  <si>
    <t>Servicios de transporte ferroviario de carga a granel</t>
  </si>
  <si>
    <t>Sistemas integrados de información de mantenimiento</t>
  </si>
  <si>
    <t>Pantoprazol sódico</t>
  </si>
  <si>
    <t>Cargadores frontales</t>
  </si>
  <si>
    <t>Proyector de techo o carritos de video</t>
  </si>
  <si>
    <t>Servicios de  pulverización</t>
  </si>
  <si>
    <t>Tubería de acero al carbono</t>
  </si>
  <si>
    <t>Papel para plotter</t>
  </si>
  <si>
    <t>Hornos de envejecimiento</t>
  </si>
  <si>
    <t>Collares de joyería fina</t>
  </si>
  <si>
    <t>Servicios de soldadura</t>
  </si>
  <si>
    <t>Plomo</t>
  </si>
  <si>
    <t>Analizadores de absorción de infrarrojos o ultravioleta</t>
  </si>
  <si>
    <t>Impresora de estampado en caliente</t>
  </si>
  <si>
    <t>Materiales de enseñanza sobre resucitación cardiopulmonar o apoyo básico de vida</t>
  </si>
  <si>
    <t>Pendones</t>
  </si>
  <si>
    <t>Máquina giratoria con rastrillos elevadores</t>
  </si>
  <si>
    <t/>
  </si>
  <si>
    <t>Estuches de transferencia de película de rayos x para uso médico</t>
  </si>
  <si>
    <t>Clorhidrato de metoclopramida</t>
  </si>
  <si>
    <t>Platina de acero</t>
  </si>
  <si>
    <t>Aprietatuercas neumático de percusión</t>
  </si>
  <si>
    <t>Clorhidrato de lincomicina</t>
  </si>
  <si>
    <t>Kits de reparación del embrague</t>
  </si>
  <si>
    <t>Cable de construcción</t>
  </si>
  <si>
    <t>Productos químicos de prueba del agua</t>
  </si>
  <si>
    <t>Tarjetas para intercambiar</t>
  </si>
  <si>
    <t>51151801</t>
  </si>
  <si>
    <t>Banderas o accesorios</t>
  </si>
  <si>
    <t>Sistemas de agua ultra pura</t>
  </si>
  <si>
    <t>Materiales de enseñanza de feng shui</t>
  </si>
  <si>
    <t>Ensambles estructurales con soldadura sónica de inconel</t>
  </si>
  <si>
    <t>Grabadoras de valor eléctrico</t>
  </si>
  <si>
    <t>Pulmón de hierro</t>
  </si>
  <si>
    <t>Vidrio de seguridad</t>
  </si>
  <si>
    <t>Forjas compuestas maquinadas por reducción</t>
  </si>
  <si>
    <t>Servicios de fabricación de equipo de generación, transmisión o distribución de energía</t>
  </si>
  <si>
    <t>Equipo para desbarbar</t>
  </si>
  <si>
    <t>Servicios de dermatología</t>
  </si>
  <si>
    <t>Acumuladoras de rocas</t>
  </si>
  <si>
    <t>Lámparas de esterilización</t>
  </si>
  <si>
    <t>Máquinas para hacer hielo</t>
  </si>
  <si>
    <t>Tapas de desagüe</t>
  </si>
  <si>
    <t>Estetoscopios de doble audífono</t>
  </si>
  <si>
    <t>Péndulos para relojes</t>
  </si>
  <si>
    <t>Unidades médicas</t>
  </si>
  <si>
    <t>Escuelas profesionales técnicas</t>
  </si>
  <si>
    <t>Manijas de escobas o traperos</t>
  </si>
  <si>
    <t>Pintura al gouache</t>
  </si>
  <si>
    <t>Desinfectante de manos</t>
  </si>
  <si>
    <t>Servicios de medición  de la densidad del fluido del pozo</t>
  </si>
  <si>
    <t>Casas para mascotas domesticadas</t>
  </si>
  <si>
    <t>Servicios de pruebas del control de gas o agua</t>
  </si>
  <si>
    <t>Botellas o tazas para pintura</t>
  </si>
  <si>
    <t>Ensambles de tubos pegados de acero inoxidable</t>
  </si>
  <si>
    <t>SERVICIOS: CONSULTORÍA BASADA EN LA CALIDAD DE LOS SERVICIOS</t>
  </si>
  <si>
    <t>Adaptadores para instrumentos de urología</t>
  </si>
  <si>
    <t>Almohadillas (pads) para mouse</t>
  </si>
  <si>
    <t>Lámparas de pie</t>
  </si>
  <si>
    <t>Clorhidrato de tizanidina</t>
  </si>
  <si>
    <t>47131705</t>
  </si>
  <si>
    <t>Monitores de parámetros de sangre de perfusión o accesorios o productos relacionados</t>
  </si>
  <si>
    <t>Armónicas</t>
  </si>
  <si>
    <t>Gestión de recursos hidráulicos</t>
  </si>
  <si>
    <t>Azulejos o baldosas de cemento</t>
  </si>
  <si>
    <t>Objetos maquinados de plomo fundidos a la cera perdida</t>
  </si>
  <si>
    <t>Ejes de manejo</t>
  </si>
  <si>
    <t>DEC</t>
  </si>
  <si>
    <t>Encofrados</t>
  </si>
  <si>
    <t>Sujetadores o soportes para espéculos para exámenes médicos</t>
  </si>
  <si>
    <t>Piezas de metal precioso fundidas a presión</t>
  </si>
  <si>
    <t>Tarjetas didácticas en blanco</t>
  </si>
  <si>
    <t>Teléfonos digitales</t>
  </si>
  <si>
    <t>Asesoramiento en estructuras organizacionales</t>
  </si>
  <si>
    <t>Filtros de celuloide de dializador para hemodiálisis</t>
  </si>
  <si>
    <t>Bombas de turbina</t>
  </si>
  <si>
    <t>Servicio de contabilidad de inventario</t>
  </si>
  <si>
    <t>47131706</t>
  </si>
  <si>
    <t>Aeronave de reconocimiento o vigilancia</t>
  </si>
  <si>
    <t>Ensambles estructurales con soldadura ultra violeta de acero inoxidable</t>
  </si>
  <si>
    <t>Adaptadores o cables o conductores para electrocardiografía ekg</t>
  </si>
  <si>
    <t>Aceite de turbina</t>
  </si>
  <si>
    <t>Sweaters para bebé</t>
  </si>
  <si>
    <t>Bromfeniramina</t>
  </si>
  <si>
    <t>Zinc</t>
  </si>
  <si>
    <t>Estaciones de trabajo químico para uso forense</t>
  </si>
  <si>
    <t>Fundas para muebles</t>
  </si>
  <si>
    <t>Baldes de juguete</t>
  </si>
  <si>
    <t>Evaporadores para laboratorio</t>
  </si>
  <si>
    <t>Vestidos de baño para niño</t>
  </si>
  <si>
    <t>Extractores para endoscopia</t>
  </si>
  <si>
    <t>Ensalada fresca preparada</t>
  </si>
  <si>
    <t>Materiales de enseñanza sobre el embarazo, desde la concepción hasta el parto</t>
  </si>
  <si>
    <t>Uso de armas químicas</t>
  </si>
  <si>
    <t>Programas para la disuasión de delitos</t>
  </si>
  <si>
    <t>Rectificadores</t>
  </si>
  <si>
    <t>Buques buscaminas</t>
  </si>
  <si>
    <t>Conversores de señales</t>
  </si>
  <si>
    <t>Equipos de ultra filtrado</t>
  </si>
  <si>
    <t>Lacteos 1</t>
  </si>
  <si>
    <t>Alfombras antiguas</t>
  </si>
  <si>
    <t>Globos aerostáticos</t>
  </si>
  <si>
    <t>Secadores de aire</t>
  </si>
  <si>
    <t>Cinceles o perforadoras para uso quirúrgico</t>
  </si>
  <si>
    <t>Clorhidrato de gonadorelina</t>
  </si>
  <si>
    <t>Componentes de cobre formados por estiramiento por presión</t>
  </si>
  <si>
    <t>Servicios de fabricación de fibra de lana</t>
  </si>
  <si>
    <t>Indapamida</t>
  </si>
  <si>
    <t>Desmalezadoras</t>
  </si>
  <si>
    <t>Perfiles de zinc</t>
  </si>
  <si>
    <t>Varillas de aleación no ferrosa</t>
  </si>
  <si>
    <t>Diodos fotosensibles</t>
  </si>
  <si>
    <t>Alambre guía para imágenes vasculares</t>
  </si>
  <si>
    <t>Conductos de hierro</t>
  </si>
  <si>
    <t>Objetos de aleación no ferrosa fundidos en molde de yeso</t>
  </si>
  <si>
    <t>Servicios de operación o arrastre de la instalación de bombeo del campo petrolífero</t>
  </si>
  <si>
    <t>Sujetadores de tarjetas de crédito</t>
  </si>
  <si>
    <t>Conmutadores de tensión pequeña</t>
  </si>
  <si>
    <t>INSUMOS CIRUGIA GENERAL</t>
  </si>
  <si>
    <t>Servicios de evaluación del servicio de fracturación del pozo</t>
  </si>
  <si>
    <t>Servicios de producción de acetileno o derivados</t>
  </si>
  <si>
    <t>Servicios de mantenimiento vástago de succión del campo petrolero</t>
  </si>
  <si>
    <t>Satélites de órbita cercana a la tierra</t>
  </si>
  <si>
    <t>Escurridor de platos</t>
  </si>
  <si>
    <t>Máquinas para grabar</t>
  </si>
  <si>
    <t>MEDICAMENTOS ANTIHEMORRAGICO,ANTIHIPERSENTIVO Y ANTIFLAMATORIO 1</t>
  </si>
  <si>
    <t>Sistemas de identificación de video</t>
  </si>
  <si>
    <t>SUB CAPÍTULO</t>
  </si>
  <si>
    <t>85111508</t>
  </si>
  <si>
    <t>Sistema de tubo neumático clínico</t>
  </si>
  <si>
    <t>Arneses de cuello para animales</t>
  </si>
  <si>
    <t>Sacabocados para melón o mantequilla para uso doméstico</t>
  </si>
  <si>
    <t>Elásticos para ortodoncia</t>
  </si>
  <si>
    <t>Tiendas de campaña para emergencias</t>
  </si>
  <si>
    <t>Ensambles estructurales con soldadura ultra violeta de aluminio</t>
  </si>
  <si>
    <t>Grabado de monedas</t>
  </si>
  <si>
    <t>Feldespato</t>
  </si>
  <si>
    <t>Dipivefrina</t>
  </si>
  <si>
    <t>Estuches para equipos</t>
  </si>
  <si>
    <t>Pipetas para mezclar pinturas o tintes</t>
  </si>
  <si>
    <t>Hidrocloruro de buprenorfina</t>
  </si>
  <si>
    <t>Grabadoras de nivel del agua en corrientes abiertas</t>
  </si>
  <si>
    <t>Servicios de recopilación de listas de direcciones</t>
  </si>
  <si>
    <t>11101705</t>
  </si>
  <si>
    <t>Activadores lineales</t>
  </si>
  <si>
    <t>Tazones para mezclar para uso comercial</t>
  </si>
  <si>
    <t>Extractores para uso quirúrgico</t>
  </si>
  <si>
    <t>Computadores de tableta</t>
  </si>
  <si>
    <t>Actuaciones de danza</t>
  </si>
  <si>
    <t>Vacuna contra el estafilococo</t>
  </si>
  <si>
    <t>Cuentas o sets de actividades con cuentas para matemáticas temprana</t>
  </si>
  <si>
    <t>Cuero de cerdo</t>
  </si>
  <si>
    <t>Alimento avícola</t>
  </si>
  <si>
    <t>Encaje</t>
  </si>
  <si>
    <t>Piezas de papel</t>
  </si>
  <si>
    <t>Analizadores de electro gravimetría</t>
  </si>
  <si>
    <t>Conectores de mandíbula de resorte</t>
  </si>
  <si>
    <t>Trituradores de casetes o cintas</t>
  </si>
  <si>
    <t>51131603</t>
  </si>
  <si>
    <t>Electrodos o cables endoscópicos</t>
  </si>
  <si>
    <t>Estrangulador</t>
  </si>
  <si>
    <t>Protectores de agujas</t>
  </si>
  <si>
    <t>Muestrarios de ácido desoxirribonucleico dna complementario</t>
  </si>
  <si>
    <t>Libros de recursos o actividades sobre el dinero</t>
  </si>
  <si>
    <t>Sistemas de recuperación de la información de la base de datos en línea</t>
  </si>
  <si>
    <t>Libros de recursos profesionales para el profesor</t>
  </si>
  <si>
    <t>Prensa para galletas para uso doméstico</t>
  </si>
  <si>
    <t>Equipo de limpieza de drenajes o tubos</t>
  </si>
  <si>
    <t>Extractor del volante</t>
  </si>
  <si>
    <t>Soportes de componentes discretos</t>
  </si>
  <si>
    <t>Lijadoras</t>
  </si>
  <si>
    <t>30151703</t>
  </si>
  <si>
    <t>Filtros de filamento hueco de dializador para hemodiálisis</t>
  </si>
  <si>
    <t>Fluido de corrección</t>
  </si>
  <si>
    <t>Objetos maquinados de bronce fundidos en arena</t>
  </si>
  <si>
    <t>Cámaras de pesaje de nutrición enteral</t>
  </si>
  <si>
    <t>Retractores para endoscopia</t>
  </si>
  <si>
    <t>Ensambles estructurales remachados de inconel</t>
  </si>
  <si>
    <t>Instrucción programada asistida por computador</t>
  </si>
  <si>
    <t>Medidores de modulación</t>
  </si>
  <si>
    <t>Servicios temporales de construcción</t>
  </si>
  <si>
    <t>Oximetolona</t>
  </si>
  <si>
    <t>Modelos de producción del campo petrolero</t>
  </si>
  <si>
    <t>Servicios de prevención o control de la drogadicción</t>
  </si>
  <si>
    <t>Los Patos</t>
  </si>
  <si>
    <t>Escopetas para la policía p seguridad</t>
  </si>
  <si>
    <t>Manuales de propietario o usuario</t>
  </si>
  <si>
    <t>Accesorios o suministros para analizadores de orina</t>
  </si>
  <si>
    <t>Correas de fibra</t>
  </si>
  <si>
    <t>Ácido salicílico</t>
  </si>
  <si>
    <t>Urdidoras</t>
  </si>
  <si>
    <t>Ligas deportivas juveniles de competencias</t>
  </si>
  <si>
    <t>Celecoxib</t>
  </si>
  <si>
    <t>Películas de cine en video cinta</t>
  </si>
  <si>
    <t>Repuestos o accesorios de vehículo de servicio minero subterráneo</t>
  </si>
  <si>
    <t>Concesiones de guardarropía</t>
  </si>
  <si>
    <t>52141526</t>
  </si>
  <si>
    <t>Manómetros</t>
  </si>
  <si>
    <t>Mesas de instrumentos para uso quirúrgico u obstétrico o accesorios o productos relacionados</t>
  </si>
  <si>
    <t>Sabana del Puerto</t>
  </si>
  <si>
    <t>Estimuladores o kits neuromusculares</t>
  </si>
  <si>
    <t>Conservación de recursos genéticos forestales</t>
  </si>
  <si>
    <t>53102306</t>
  </si>
  <si>
    <t>Embarcación de desembarque de uso general</t>
  </si>
  <si>
    <t>Correas redondas</t>
  </si>
  <si>
    <t>Camisas para hombre</t>
  </si>
  <si>
    <t>Sensores o alarmas o accesorios de movimiento de pacientes</t>
  </si>
  <si>
    <t>Productos gastrointestinales para uso veterinario</t>
  </si>
  <si>
    <t>Instrumentos de medición de ganancia</t>
  </si>
  <si>
    <t>Frascos para laboratorio</t>
  </si>
  <si>
    <t>Retractores de labios</t>
  </si>
  <si>
    <t>Fluocinonida</t>
  </si>
  <si>
    <t>Publicación de libros de texto o de investigación</t>
  </si>
  <si>
    <t>Servicios de entrega a nivel mundial de cartas o paquetes pequeños</t>
  </si>
  <si>
    <t>Contadores o sets de actividades con contadores para matemáticas temprana</t>
  </si>
  <si>
    <t>Hidrotratador de aceite residual</t>
  </si>
  <si>
    <t>Sacos de dirección</t>
  </si>
  <si>
    <t>Servicios de  mantenimiento o administración de estaciones de bombeo</t>
  </si>
  <si>
    <t>Paquetes de manguera de tubería flexible</t>
  </si>
  <si>
    <t>Líneas celulares mamíferas estables</t>
  </si>
  <si>
    <t>Componentes compuestos maquinados por extrusión en caliente</t>
  </si>
  <si>
    <t>Frascos de fundición</t>
  </si>
  <si>
    <t>Hidroclorato de loperamida</t>
  </si>
  <si>
    <t>Señalización incandescente de emplazamientos peligrosos</t>
  </si>
  <si>
    <t>Club de aficionados al coleccionismo</t>
  </si>
  <si>
    <t>Relaciones militares</t>
  </si>
  <si>
    <t>Aparato de cangilones</t>
  </si>
  <si>
    <t>Gabinetes de archivo o accesorios</t>
  </si>
  <si>
    <t>Unidades de alarma de equipos de telefonía</t>
  </si>
  <si>
    <t>Antenas de radar</t>
  </si>
  <si>
    <t>Servicios de prevención o control de enfermedades del sistema digestivo</t>
  </si>
  <si>
    <t>Rauwolfia serpentina</t>
  </si>
  <si>
    <t>Papel de pancartas</t>
  </si>
  <si>
    <t>Máquinas cortadoras de libros</t>
  </si>
  <si>
    <t>Software de desarrollo de interface de usuario gráfica</t>
  </si>
  <si>
    <t>Sistemas de etiquetado semiautomáticos</t>
  </si>
  <si>
    <t>Sets de instrumentos para cirugía de oído nariz y garganta ent</t>
  </si>
  <si>
    <t>Triángulos</t>
  </si>
  <si>
    <t>24101709</t>
  </si>
  <si>
    <t>Linternas de queroseno, propano o butano</t>
  </si>
  <si>
    <t>Mesas para encima de la cama o accesorios</t>
  </si>
  <si>
    <t>Obturadores o fundas de tubo</t>
  </si>
  <si>
    <t>Películas de alcohol polivinilo</t>
  </si>
  <si>
    <t>Probadores de circuitos integrados</t>
  </si>
  <si>
    <t>Sabana Larga</t>
  </si>
  <si>
    <t>Portavelas</t>
  </si>
  <si>
    <t>Libros de recursos o actividades de resolución de problemas</t>
  </si>
  <si>
    <t>Varillas para cortinas</t>
  </si>
  <si>
    <t>Brocas de boquilla</t>
  </si>
  <si>
    <t>Cordones o sets de cordones para matemáticas temprana</t>
  </si>
  <si>
    <t>27111803</t>
  </si>
  <si>
    <t>Servicios de fabricación de tejidos de punto</t>
  </si>
  <si>
    <t>Objetos de cobre fundidos en molde de grafito</t>
  </si>
  <si>
    <t>Detectores de arena</t>
  </si>
  <si>
    <t>Equipo de riego para invernadero</t>
  </si>
  <si>
    <t>Levonorgestrel</t>
  </si>
  <si>
    <t>Servicios de rehabilitación de las aguas de superficie</t>
  </si>
  <si>
    <t>Dispensadores de portaobjetos para microscopio</t>
  </si>
  <si>
    <t>Ensambles de placas soldadas con soldadura fuerte o débil de acero inoxidable</t>
  </si>
  <si>
    <t>Ferias de automóviles u otras exposiciones</t>
  </si>
  <si>
    <t>Materiales de enseñanza para padres sobre educación de habilidades para la disciplina</t>
  </si>
  <si>
    <t>Ensambles estructurales con soldadura ultra violeta de titanio</t>
  </si>
  <si>
    <t>Placa de titanio</t>
  </si>
  <si>
    <t>Seguros de propietarios de casa o rentistas</t>
  </si>
  <si>
    <t>39111704</t>
  </si>
  <si>
    <t>Servicios de entrega local de cartas o paquetes pequeños</t>
  </si>
  <si>
    <t>Servicios de estadísticas de natalidad</t>
  </si>
  <si>
    <t>Uniones de nudillos de cable de recuperación</t>
  </si>
  <si>
    <t>Cortadores o cortadores en cubos o en dados para uso comercial</t>
  </si>
  <si>
    <t>Hologramas</t>
  </si>
  <si>
    <t>Objetos de fundición centrífuga de bronce</t>
  </si>
  <si>
    <t>Hierro polisacárido</t>
  </si>
  <si>
    <t>Camellos</t>
  </si>
  <si>
    <t>Pasador de espiga</t>
  </si>
  <si>
    <t>Sistemas de malacate de cañón sísmico</t>
  </si>
  <si>
    <t>Diacetato de diflorasona</t>
  </si>
  <si>
    <t>Mesilato de fentolamina</t>
  </si>
  <si>
    <t>Retractores gastrointestinales</t>
  </si>
  <si>
    <t>Establecimientos de comida rápida</t>
  </si>
  <si>
    <t>Discriminadores neurológicos</t>
  </si>
  <si>
    <t>Silenciadores neumáticos</t>
  </si>
  <si>
    <t>Rodillo de terminación</t>
  </si>
  <si>
    <t>Forjas de titanio maquinadas con troquel cerrado</t>
  </si>
  <si>
    <t>Digitoxina</t>
  </si>
  <si>
    <t>Amortiguadores de cierre de la chimenea</t>
  </si>
  <si>
    <t>Tuercas de ojo</t>
  </si>
  <si>
    <t>Cámaras de alta velocidad</t>
  </si>
  <si>
    <t>Libros de recursos o actividades de biología</t>
  </si>
  <si>
    <t>Cenador</t>
  </si>
  <si>
    <t>Cloroxina</t>
  </si>
  <si>
    <t>Apoya cabezas para autopsias</t>
  </si>
  <si>
    <t>Botellas de lavado de laboratorios</t>
  </si>
  <si>
    <t>Fibras de viscosas</t>
  </si>
  <si>
    <t>Hidroclorotiazida</t>
  </si>
  <si>
    <t>Servicios de rendimiento del pozo</t>
  </si>
  <si>
    <t>Electrodos para cuero cabelludo fetal</t>
  </si>
  <si>
    <t>Dispositivos de velocidad regulables</t>
  </si>
  <si>
    <t>Cucharas dosificadoras</t>
  </si>
  <si>
    <t>Rompedores de emulsión agua en aceite</t>
  </si>
  <si>
    <t>Embarcadero</t>
  </si>
  <si>
    <t>Palos de lacrosse</t>
  </si>
  <si>
    <t>Componentes de berilio perforados</t>
  </si>
  <si>
    <t>Antimonio sb</t>
  </si>
  <si>
    <t>Finales</t>
  </si>
  <si>
    <t>Especialistas en redes de tecnologías de la información permanentes</t>
  </si>
  <si>
    <t>Agujas para amniocentesis</t>
  </si>
  <si>
    <t>Equipo de prueba de goteo</t>
  </si>
  <si>
    <t>Sets carteleras de matemáticas</t>
  </si>
  <si>
    <t>Bandejas de impresión para uso odontológico</t>
  </si>
  <si>
    <t>Cajas a prueba de intemperie</t>
  </si>
  <si>
    <t>51142210</t>
  </si>
  <si>
    <t>Sistemas de audio de alta fidelidad para el hogar</t>
  </si>
  <si>
    <t>Billetes nacionales</t>
  </si>
  <si>
    <t>Activadores giratorios</t>
  </si>
  <si>
    <t>Carnes y pescados 3</t>
  </si>
  <si>
    <t>INSUMOS CIRUGIA GENERAL 1</t>
  </si>
  <si>
    <t>Accesorios para el sistema de electroforesis</t>
  </si>
  <si>
    <t>Velocímetros</t>
  </si>
  <si>
    <t>Ángulos de estaño</t>
  </si>
  <si>
    <t>Pedestales de vehículo o motor</t>
  </si>
  <si>
    <t>Villa González</t>
  </si>
  <si>
    <t>Equipo para recargar combustible de aviones</t>
  </si>
  <si>
    <t>Letras o números brillantes</t>
  </si>
  <si>
    <t>Hornos para a cocción de cerámica</t>
  </si>
  <si>
    <t>Borradores de goma</t>
  </si>
  <si>
    <t>Juguetes para montar</t>
  </si>
  <si>
    <t>Caucho hoja ahumada</t>
  </si>
  <si>
    <t>Goma arábiga</t>
  </si>
  <si>
    <t>30181505</t>
  </si>
  <si>
    <t>Llave torx</t>
  </si>
  <si>
    <t>MEDICAMENTOS PALEATIVOS PARA PACIENTES</t>
  </si>
  <si>
    <t>Ollas de presión o freidoras de presión</t>
  </si>
  <si>
    <t>Investigación de tierras de pastoreo</t>
  </si>
  <si>
    <t>Tubería de aleación no ferrosa</t>
  </si>
  <si>
    <t>Contadores centellantes líquidos</t>
  </si>
  <si>
    <t>Software de presentación</t>
  </si>
  <si>
    <t>Mezclas de policarbonato</t>
  </si>
  <si>
    <t>Servicios de asistencia de ayuda internacional</t>
  </si>
  <si>
    <t>Marcos de pozo con tapas del registro</t>
  </si>
  <si>
    <t>56111514</t>
  </si>
  <si>
    <t>Equipos de pistas para lanzar herraduras</t>
  </si>
  <si>
    <t>Protectores</t>
  </si>
  <si>
    <t>Tazos</t>
  </si>
  <si>
    <t>Servicios de jefes de estado</t>
  </si>
  <si>
    <t>Bugies eléctricos</t>
  </si>
  <si>
    <t>48102101</t>
  </si>
  <si>
    <t>Ensambles de tubos soldados con disolvente de acero inoxidable</t>
  </si>
  <si>
    <t>Formaldehído antiséptico</t>
  </si>
  <si>
    <t>Componentes de bronce maquinados por extrusión en frío</t>
  </si>
  <si>
    <t>Cepos</t>
  </si>
  <si>
    <t>Servicios legales para tutorías o de custodia</t>
  </si>
  <si>
    <t>Instrumentos para contorno de calzas dentales</t>
  </si>
  <si>
    <t>Tubos de microscopios</t>
  </si>
  <si>
    <t>Etiquetas de precio</t>
  </si>
  <si>
    <t>Células fotovoltaicas</t>
  </si>
  <si>
    <t>Servicios de administración de tierras urbanas</t>
  </si>
  <si>
    <t>Peralvillo</t>
  </si>
  <si>
    <t>Codo de tubería</t>
  </si>
  <si>
    <t>Kits para reparar relojes</t>
  </si>
  <si>
    <t>Pasantes de tubo</t>
  </si>
  <si>
    <t>Maniobras navales o submarinas</t>
  </si>
  <si>
    <t>Servicio de contabilidad fiscal</t>
  </si>
  <si>
    <t>Alambre de trole</t>
  </si>
  <si>
    <t>Sets o bolsas para hielo para uso comercial</t>
  </si>
  <si>
    <t>Alimentación parenteral total o soluciones apt nutricionales</t>
  </si>
  <si>
    <t>Termógrafos</t>
  </si>
  <si>
    <t>Políticas o programas de ayuda alimentaría</t>
  </si>
  <si>
    <t>Sujeta agujas de bajo grado</t>
  </si>
  <si>
    <t>Pegaspargasa</t>
  </si>
  <si>
    <t>Películas de poliuretano</t>
  </si>
  <si>
    <t>Conductos de metales preciosos</t>
  </si>
  <si>
    <t>Sistemas diversos de pintura</t>
  </si>
  <si>
    <t>Largueros de avión</t>
  </si>
  <si>
    <t>Productos de lavandería</t>
  </si>
  <si>
    <t>Malla filtrante</t>
  </si>
  <si>
    <t>Control de las torrentes forestales</t>
  </si>
  <si>
    <t>Servicios gubernamentales de preparación del presupuesto</t>
  </si>
  <si>
    <t>Palillos</t>
  </si>
  <si>
    <t>Excursiones de recorrido turístico en barco</t>
  </si>
  <si>
    <t>Cuero de grano completo</t>
  </si>
  <si>
    <t>Cuerdas o plectros para instrumentos</t>
  </si>
  <si>
    <t>Accesorios para calderas de laboratorio</t>
  </si>
  <si>
    <t>Paclitaxel</t>
  </si>
  <si>
    <t>Cable de redes</t>
  </si>
  <si>
    <t>Instrumentos para medir la concentración de gas o vapor</t>
  </si>
  <si>
    <t>Sondas para ácido desoxirribonucleico dna o ácido ribonucleico rna</t>
  </si>
  <si>
    <t>Etosuximida</t>
  </si>
  <si>
    <t>Servicios de circulación perdida del pozo petrolero</t>
  </si>
  <si>
    <t>Libros de cocina o recetarios</t>
  </si>
  <si>
    <t>Filtros de colodión de dializador para hemodiálisis</t>
  </si>
  <si>
    <t>Unidades de servicio de canales o información de red</t>
  </si>
  <si>
    <t>51161705</t>
  </si>
  <si>
    <t>Compresores para uso quirúrgico</t>
  </si>
  <si>
    <t>Elevadores del taladro de perforación</t>
  </si>
  <si>
    <t>Objetos maquinados de berilio fundidos en molde cerámico</t>
  </si>
  <si>
    <t>Barreras</t>
  </si>
  <si>
    <t>Vagones tolva o góndolas</t>
  </si>
  <si>
    <t>Tapones obturadores</t>
  </si>
  <si>
    <t>Combinación de ácido acetilsalicílico paracetamol</t>
  </si>
  <si>
    <t>Productos de protección solar</t>
  </si>
  <si>
    <t>Ensambles de placas soldadas con soldadura fuerte o débil de aleación hast x</t>
  </si>
  <si>
    <t>Balanzas para patios de recreo</t>
  </si>
  <si>
    <t>60121001</t>
  </si>
  <si>
    <t>Bienes</t>
  </si>
  <si>
    <t>27111602</t>
  </si>
  <si>
    <t>Bloquecillo</t>
  </si>
  <si>
    <t>Muromonab cd3</t>
  </si>
  <si>
    <t>Rofecoxib</t>
  </si>
  <si>
    <t>Cajas de toma de corriente</t>
  </si>
  <si>
    <t>Paneles de lienzo</t>
  </si>
  <si>
    <t>El Rubio</t>
  </si>
  <si>
    <t>PARA USO  PACIENTES DEL INCART</t>
  </si>
  <si>
    <t>Cristales indicadores de muestra</t>
  </si>
  <si>
    <t>Cubiertas y carcasas de metal</t>
  </si>
  <si>
    <t>Máquinas dispensadoras de porciones únicas con tazas</t>
  </si>
  <si>
    <t>Lignito</t>
  </si>
  <si>
    <t>23181801</t>
  </si>
  <si>
    <t>Ladrillos con formas</t>
  </si>
  <si>
    <t>Yerba Buena</t>
  </si>
  <si>
    <t>Servicios de prevención o control de enfermedades</t>
  </si>
  <si>
    <t>Servicios de tratamiento de aguas</t>
  </si>
  <si>
    <t>NOMBRE O REFERENCIA DE CONTRATACIÓN</t>
  </si>
  <si>
    <t>Máquinas para forrar botones</t>
  </si>
  <si>
    <t>Servicios de tornería</t>
  </si>
  <si>
    <t>41115715</t>
  </si>
  <si>
    <t>Loprazolam mesilato</t>
  </si>
  <si>
    <t>Arpas</t>
  </si>
  <si>
    <t>Entidades de préstamos para la pequeña empresa</t>
  </si>
  <si>
    <t>Porta cuchillas</t>
  </si>
  <si>
    <t>Subcarbonato de bismuto</t>
  </si>
  <si>
    <t>Clorhidrato de tioridazina</t>
  </si>
  <si>
    <t>Pantalones protectores</t>
  </si>
  <si>
    <t>Computadores o totalizadores de flujo</t>
  </si>
  <si>
    <t>Servicios de protección de los ecosistemas</t>
  </si>
  <si>
    <t>Dispositivos protectores para dientes</t>
  </si>
  <si>
    <t>Mesas individuales (sin apoyo)</t>
  </si>
  <si>
    <t>Esmeriladoras p pulidoras</t>
  </si>
  <si>
    <t>Celestas</t>
  </si>
  <si>
    <t>Bombas de barro</t>
  </si>
  <si>
    <t>Servicios de registro del campo petrolero</t>
  </si>
  <si>
    <t>Sobres de almacenamiento de registros de esterilización</t>
  </si>
  <si>
    <t>Programas o servicios de planificación familiar</t>
  </si>
  <si>
    <t>Cuchillos para laboratorio</t>
  </si>
  <si>
    <t>Unidades o accesorios de mantenimiento para endoscopia</t>
  </si>
  <si>
    <t>Aceites animal comestibles</t>
  </si>
  <si>
    <t>Fosfato  sódico de celulosa</t>
  </si>
  <si>
    <t>Kits de demostración de energía</t>
  </si>
  <si>
    <t>Administración de emisoras de radio</t>
  </si>
  <si>
    <t>Petos para pacientes</t>
  </si>
  <si>
    <t>Sisal</t>
  </si>
  <si>
    <t>Nuevo Brasil</t>
  </si>
  <si>
    <t>Promestrieno</t>
  </si>
  <si>
    <t>Ensambles de tubos soldados con disolvente de aleación hast x</t>
  </si>
  <si>
    <t>Guantes de cirugía</t>
  </si>
  <si>
    <t>Tazas medidoras para uso doméstico</t>
  </si>
  <si>
    <t>Tableros electrónicos de copia o accesorios</t>
  </si>
  <si>
    <t>Accesorios para otoscopios u oftalmoscopios</t>
  </si>
  <si>
    <t>Unidad Ejecutora</t>
  </si>
  <si>
    <t>Servicios de mantenimiento del césped</t>
  </si>
  <si>
    <t>Servicios de asesoramiento de política hidráulica</t>
  </si>
  <si>
    <t>31161502</t>
  </si>
  <si>
    <t>Láseres de uso odontológico</t>
  </si>
  <si>
    <t>Necesidades de personal de mercadeo permanente</t>
  </si>
  <si>
    <t>Modelos de perforación del campo petrolero</t>
  </si>
  <si>
    <t>Povidona yodada</t>
  </si>
  <si>
    <t>Hornillas eléctricas agitadoras</t>
  </si>
  <si>
    <t>Filtros transductores para unidades de hemodiálisis</t>
  </si>
  <si>
    <t>Teléfonos de diadema</t>
  </si>
  <si>
    <t>Compuestos brilladores para uso odontológico</t>
  </si>
  <si>
    <t>Tapones de bolsa para ostomía</t>
  </si>
  <si>
    <t>Tarjetas con números</t>
  </si>
  <si>
    <t>Implantes de tejido humano</t>
  </si>
  <si>
    <t>Enchufes de lámparas</t>
  </si>
  <si>
    <t>Alambre de grapa</t>
  </si>
  <si>
    <t>Servicio de contador para el flujo de la varilla de barrena</t>
  </si>
  <si>
    <t>51151802</t>
  </si>
  <si>
    <t>Kits o suministros para pruebas de alimentos</t>
  </si>
  <si>
    <t>Sillones de tamaño de niños</t>
  </si>
  <si>
    <t>Introductor de espigas para uso odontológico</t>
  </si>
  <si>
    <t>Benceno</t>
  </si>
  <si>
    <t>Aparatos sísmicos portátiles</t>
  </si>
  <si>
    <t>Pañuelos</t>
  </si>
  <si>
    <t>Animales o títeres de peluche</t>
  </si>
  <si>
    <t>Climatología</t>
  </si>
  <si>
    <t>Libros de recursos para construcción de palabras</t>
  </si>
  <si>
    <t>Sulfona de polipropileno</t>
  </si>
  <si>
    <t>MEDICAMENTOS ANESTESICOS 3</t>
  </si>
  <si>
    <t>Materiales de enseñanza para desarrollar habilidades de trabajo en equipo</t>
  </si>
  <si>
    <t>Resucitadores manuales</t>
  </si>
  <si>
    <t>Termómetros de ventiladores</t>
  </si>
  <si>
    <t>Yoduro de potasio</t>
  </si>
  <si>
    <t>Sets de instrumentos para cirugía por laparoscopia</t>
  </si>
  <si>
    <t>Equipaje para el transporte de animales</t>
  </si>
  <si>
    <t>Componentes no metálicos formados por estiramiento por presión</t>
  </si>
  <si>
    <t>Resinas para vaciado</t>
  </si>
  <si>
    <t>Emblemas</t>
  </si>
  <si>
    <t>Accesorios para juegos</t>
  </si>
  <si>
    <t>Dispositivos de recolección solar</t>
  </si>
  <si>
    <t>Fundas de almohada</t>
  </si>
  <si>
    <t>Asientos de tubería</t>
  </si>
  <si>
    <t>Equipo de remoción de lodo o aguas residuales</t>
  </si>
  <si>
    <t>Baños de asiento para los discapacitados físicamente</t>
  </si>
  <si>
    <t>Ensambles de tubos soldados con disolvente de cobre</t>
  </si>
  <si>
    <t>Unidades de vacío o accesorios para biopsia de seno mínimamente invasiva</t>
  </si>
  <si>
    <t>Clorhidrato de mexiletina</t>
  </si>
  <si>
    <t>Apiladores de salida</t>
  </si>
  <si>
    <t>Ensambles de láminas soldadas con soldadura fuerte o débil de aluminio</t>
  </si>
  <si>
    <t>Conexión de expansión de tubería</t>
  </si>
  <si>
    <t>Mesas para actividades</t>
  </si>
  <si>
    <t>Gabinetes para uso odontológico</t>
  </si>
  <si>
    <t>Aspiradoras o tubos de vacío para recolección de fluidos para autopsias</t>
  </si>
  <si>
    <t>Folcodina</t>
  </si>
  <si>
    <t>Servicio de escritura de direcciones</t>
  </si>
  <si>
    <t>Fórceps de intubación</t>
  </si>
  <si>
    <t>Cefuroxima</t>
  </si>
  <si>
    <t>Camas para mascotas</t>
  </si>
  <si>
    <t>Emparedados congelados</t>
  </si>
  <si>
    <t>Bicicletas elípticas</t>
  </si>
  <si>
    <t>Materiales de enseñanza de comprensión de los efectos de las grasas alimenticias</t>
  </si>
  <si>
    <t>Servicios de buses contratados</t>
  </si>
  <si>
    <t>Objetos de acero inoxidable fundidos en molde de grafito</t>
  </si>
  <si>
    <t>Utensilios de cocina 2</t>
  </si>
  <si>
    <t>Ligas</t>
  </si>
  <si>
    <t>Kits de succión</t>
  </si>
  <si>
    <t>Sulfato framicetina</t>
  </si>
  <si>
    <t>Adaptadores de pistola</t>
  </si>
  <si>
    <t>Congeladores planos para laboratorio</t>
  </si>
  <si>
    <t>Sujetadores de vías aéreas artificiales</t>
  </si>
  <si>
    <t>Dihidrocloruro de pramipexol</t>
  </si>
  <si>
    <t>Software de servidor de discos compactos cd</t>
  </si>
  <si>
    <t>Metros de distancia</t>
  </si>
  <si>
    <t>Cepillos de dientes eléctricos para uso doméstico</t>
  </si>
  <si>
    <t>Estaciones de acoplamiento</t>
  </si>
  <si>
    <t>Limpieza a vapor</t>
  </si>
  <si>
    <t>Servicios de bombeo del campo petrolero utilizando tubería flexible continua</t>
  </si>
  <si>
    <t>Película de rayos x</t>
  </si>
  <si>
    <t>Tarjetas didácticas de fonética</t>
  </si>
  <si>
    <t>Modelos del cuerpo de animales, partes u órganos</t>
  </si>
  <si>
    <t>Mineral de platino</t>
  </si>
  <si>
    <t>Troleandomicina</t>
  </si>
  <si>
    <t>Mitotano</t>
  </si>
  <si>
    <t>Aleaciones de molibdeno cromo cobalto fundido para implantes dentales</t>
  </si>
  <si>
    <t>Pupitres de computador para estudiantes</t>
  </si>
  <si>
    <t>Sistemas de frenado eléctrico</t>
  </si>
  <si>
    <t>Lámina de hierro</t>
  </si>
  <si>
    <t>51151701</t>
  </si>
  <si>
    <t>Mezcladoras de argamasa, pañete o mortero</t>
  </si>
  <si>
    <t>Compuestos para remover arrugas de los textiles</t>
  </si>
  <si>
    <t>Software de controladores o sistemas de dispositivos</t>
  </si>
  <si>
    <t>Alambre de silicio-amianto (sa)</t>
  </si>
  <si>
    <t>Software de comunicaciones de escritorio</t>
  </si>
  <si>
    <t>Ácido acetohidroxámico</t>
  </si>
  <si>
    <t>Estaño en barra labrada</t>
  </si>
  <si>
    <t>Aldesleukina</t>
  </si>
  <si>
    <t>Servicios de grabación en el fondo del pozo</t>
  </si>
  <si>
    <t>Servicios de asistencia legal</t>
  </si>
  <si>
    <t>Kits de enseñanza de los sistemas del cuerpo</t>
  </si>
  <si>
    <t>Maleato de metilergonovina</t>
  </si>
  <si>
    <t>Monitores transcutáneos o productos relacionados</t>
  </si>
  <si>
    <t>Componentes de latón formados enrollados</t>
  </si>
  <si>
    <t>Compresas de petrolato</t>
  </si>
  <si>
    <t>Programación para basic</t>
  </si>
  <si>
    <t>Extrusiones en frío de zinc</t>
  </si>
  <si>
    <t>Acuerdos de inversiones</t>
  </si>
  <si>
    <t>Emblemas o símbolos sagrados</t>
  </si>
  <si>
    <t>Bahías o canastas para equipos electrónicos</t>
  </si>
  <si>
    <t>Cargas simuladas</t>
  </si>
  <si>
    <t>Cocinas domésticas</t>
  </si>
  <si>
    <t>Kits indicadores de presión para uso odontológico</t>
  </si>
  <si>
    <t>Servicios de caricaturistas</t>
  </si>
  <si>
    <t>Fibras de poliéster</t>
  </si>
  <si>
    <t>Componentes de cobre formados por estiramiento</t>
  </si>
  <si>
    <t>Filtros de vidrio para laboratorio</t>
  </si>
  <si>
    <t>31211604</t>
  </si>
  <si>
    <t>Tartrato de sodio y potasio</t>
  </si>
  <si>
    <t>Forros para ultrasonido o doppler o eco sonda para uso médico</t>
  </si>
  <si>
    <t>Uniones de herramientas de tubería de perforación</t>
  </si>
  <si>
    <t>Ácido nucleico</t>
  </si>
  <si>
    <t>Unidad de drenaje de la cavidad pleural o accesorios</t>
  </si>
  <si>
    <t>Infraestructura del transporte</t>
  </si>
  <si>
    <t>San Pedro de Macorís</t>
  </si>
  <si>
    <t>26101743</t>
  </si>
  <si>
    <t>42294701</t>
  </si>
  <si>
    <t>Desintegradores de laboratorio</t>
  </si>
  <si>
    <t>Agujas para alimentar animales</t>
  </si>
  <si>
    <t>Servicios de retirada de materiales de zonas en obras</t>
  </si>
  <si>
    <t>Forros protectores de dedos</t>
  </si>
  <si>
    <t>Sopladores o secadores</t>
  </si>
  <si>
    <t>Operaciones de mantenimiento de la paz</t>
  </si>
  <si>
    <t>Placas micropocillo para hibridación de ácido desoxirribonucleico dna o ácido ribonucleico rna</t>
  </si>
  <si>
    <t>Acoples en miniatura</t>
  </si>
  <si>
    <t>Servicios de bombeo de control de arena ácida</t>
  </si>
  <si>
    <t>Clorhidrato meperidina</t>
  </si>
  <si>
    <t>Bolsas de depósito</t>
  </si>
  <si>
    <t>Mapas murales portátiles</t>
  </si>
  <si>
    <t>Forros de protección para superficies de trabajo</t>
  </si>
  <si>
    <t>Uniformes institucionales para preparación de alimentos o servicio</t>
  </si>
  <si>
    <t>Plataforma de mensajes unificados</t>
  </si>
  <si>
    <t>Servicios de floricultura</t>
  </si>
  <si>
    <t>Ensambles de tubería con soldadura sónica de aleación hast x</t>
  </si>
  <si>
    <t>Tanato de pseudoefedrina</t>
  </si>
  <si>
    <t>Paños limpiadores desechables</t>
  </si>
  <si>
    <t>Dinamotores</t>
  </si>
  <si>
    <t>Instruments giroscópicos</t>
  </si>
  <si>
    <t>Materiales de enseñanza de los síntomas de depresión en adolescentes</t>
  </si>
  <si>
    <t>Servicios de preparación del mercado para cultivos comerciales de granos</t>
  </si>
  <si>
    <t>Timbres externos o sus partes</t>
  </si>
  <si>
    <t>Válvulas alternadoras</t>
  </si>
  <si>
    <t>Servicios de reasentamientos o repatriación de refugiados</t>
  </si>
  <si>
    <t>Santa Lucía</t>
  </si>
  <si>
    <t>Objetos de zinc fundidos en molde fijo</t>
  </si>
  <si>
    <t>Materiales de enseñanza de capacitación de los servicios de alimentación</t>
  </si>
  <si>
    <t>Carpas de aerosol para uso médico</t>
  </si>
  <si>
    <t>Administración de salud pública</t>
  </si>
  <si>
    <t>Arandelas de fijación</t>
  </si>
  <si>
    <t>Clorhidrato de fenformina</t>
  </si>
  <si>
    <t>Transistor de efecto de campo (fet)</t>
  </si>
  <si>
    <t>Software de contabilidad</t>
  </si>
  <si>
    <t>Válvulas del cable de recuperación</t>
  </si>
  <si>
    <t>Sondas para endoscopia</t>
  </si>
  <si>
    <t>Cristales de filtro</t>
  </si>
  <si>
    <t>Comida granulada para reptiles</t>
  </si>
  <si>
    <t>Area de servicios de carretera</t>
  </si>
  <si>
    <t>Boquillas de acometida</t>
  </si>
  <si>
    <t>Ventiladores de alta frecuencia</t>
  </si>
  <si>
    <t>Sulfuro de polifenileno pps</t>
  </si>
  <si>
    <t>Diluyentes para pinturas y barnices</t>
  </si>
  <si>
    <t>Aparatos para alumbrado de tareas</t>
  </si>
  <si>
    <t>Servicios de masajes</t>
  </si>
  <si>
    <t>Adaptadores para “picture card”</t>
  </si>
  <si>
    <t>Sulindaco</t>
  </si>
  <si>
    <t>Servicios de fabricación de equipo óptico o fotográfico</t>
  </si>
  <si>
    <t>Escuelas profesionales no técnicas</t>
  </si>
  <si>
    <t>Catéteres de succión o sus accesorios</t>
  </si>
  <si>
    <t>Peginterferón</t>
  </si>
  <si>
    <t>Software de conversión de información</t>
  </si>
  <si>
    <t>Medidores de luz</t>
  </si>
  <si>
    <t>Óxidos orgánicos</t>
  </si>
  <si>
    <t>Centralizadores de cadena de herramientas de almeja de cable de recuperación</t>
  </si>
  <si>
    <t>Servicios de taxi</t>
  </si>
  <si>
    <t>Dispositivos de control complejo</t>
  </si>
  <si>
    <t>Miel</t>
  </si>
  <si>
    <t>Ingeniería aeroportuaria</t>
  </si>
  <si>
    <t>Cucharones bivalvos</t>
  </si>
  <si>
    <t>Análisis de series temporales</t>
  </si>
  <si>
    <t>INSUMOS CIRUGIA MENOR</t>
  </si>
  <si>
    <t>Condensado</t>
  </si>
  <si>
    <t>Kits de matemáticas para dividir</t>
  </si>
  <si>
    <t>Retractores abdominales</t>
  </si>
  <si>
    <t>UNIDAD DE MEDIDA</t>
  </si>
  <si>
    <t>Kits para limpiar anteojos</t>
  </si>
  <si>
    <t>Servicios de fabricación de hierro o acero</t>
  </si>
  <si>
    <t>Taladros de roca manuales</t>
  </si>
  <si>
    <t>Servicios de apartado postal</t>
  </si>
  <si>
    <t>Libros de recursos o actividades de precálculo</t>
  </si>
  <si>
    <t>Pernos de ala</t>
  </si>
  <si>
    <t xml:space="preserve">compra de bienes de seguridad </t>
  </si>
  <si>
    <t xml:space="preserve">compra de bienes de escritorio </t>
  </si>
  <si>
    <t>Roscando molinos</t>
  </si>
  <si>
    <t>Probadores de presión sanguínea para uso veterinario</t>
  </si>
  <si>
    <t>Capacitores ajustables pre - ajustados</t>
  </si>
  <si>
    <t>Lámparas infrarrojas</t>
  </si>
  <si>
    <t>Eptifibatida</t>
  </si>
  <si>
    <t>Ensambles de barras soldadas con soldadura fuerte o débil de acero al carbono</t>
  </si>
  <si>
    <t>Puertas de cristal</t>
  </si>
  <si>
    <t>Clubes de ocio para estudiantes</t>
  </si>
  <si>
    <t>Glutatión</t>
  </si>
  <si>
    <t>Amoladora eléctricas</t>
  </si>
  <si>
    <t>Máquinas de estenotipio</t>
  </si>
  <si>
    <t>Carro de iluminación</t>
  </si>
  <si>
    <t>Botas para hombre</t>
  </si>
  <si>
    <t>Sets de ajuste de insertos ópticos</t>
  </si>
  <si>
    <t>Sistemas de manipulación de municiones de aeronaves</t>
  </si>
  <si>
    <t>Gatos de tornillo de los ejes motores del avión</t>
  </si>
  <si>
    <t>Quinidina poligalacturonato</t>
  </si>
  <si>
    <t>Iridio ir</t>
  </si>
  <si>
    <t>Sets de especímenes de roca</t>
  </si>
  <si>
    <t>Mesilato de bitolterol</t>
  </si>
  <si>
    <t>Ketorolaco trometamol</t>
  </si>
  <si>
    <t>Cinta de encuadernación</t>
  </si>
  <si>
    <t>Servicios de eliminación de suelos contaminados</t>
  </si>
  <si>
    <t>Tapones de prueba</t>
  </si>
  <si>
    <t>Carisoprodol</t>
  </si>
  <si>
    <t>Impresoras o accesorios para endoscopia</t>
  </si>
  <si>
    <t>Productos de pintura multicultural</t>
  </si>
  <si>
    <t>Acumuladores hidráulicos del avión</t>
  </si>
  <si>
    <t>Remaches de botón</t>
  </si>
  <si>
    <t>Legislación o regulaciones sobre salud</t>
  </si>
  <si>
    <t>Aceite de inmersión para microscopios</t>
  </si>
  <si>
    <t>Servicios de fabricación de máquinas herramienta, labrado de metales o madera</t>
  </si>
  <si>
    <t>Objetos maquinados en molde permanente de titanio fundidos</t>
  </si>
  <si>
    <t>Servicios de fresado para el revestimiento de tuberías del pozo</t>
  </si>
  <si>
    <t>Descorazonadores de manzanas para uso doméstico</t>
  </si>
  <si>
    <t>Sistemas de descongelación o sistemas de desempañar a bordo de avión</t>
  </si>
  <si>
    <t>Adhesivos de formas</t>
  </si>
  <si>
    <t>Grúas hidráulicas sobre camión</t>
  </si>
  <si>
    <t>Asientos</t>
  </si>
  <si>
    <t>Agua</t>
  </si>
  <si>
    <t>Kits de ciencias forenses</t>
  </si>
  <si>
    <t>Ensambles de placas soldadas con soldadura ultra violeta de aluminio</t>
  </si>
  <si>
    <t>Partes de escudos faciales o accesorios</t>
  </si>
  <si>
    <t>Aves de cable de serpentina sísmica</t>
  </si>
  <si>
    <t>Estabilizadores de arcilla orgánica</t>
  </si>
  <si>
    <t>Tamoxifeno</t>
  </si>
  <si>
    <t>47131803</t>
  </si>
  <si>
    <t>Servicios de planificación del pozos</t>
  </si>
  <si>
    <t>Tazones mezcladores para uso doméstico</t>
  </si>
  <si>
    <t>Sondas para ultrasonido o doppler o eco para uso médico</t>
  </si>
  <si>
    <t>Caucho clorado</t>
  </si>
  <si>
    <t>Equipo de transporte de arena usando unidades de soporte</t>
  </si>
  <si>
    <t>Residencias de comunidades religiosas</t>
  </si>
  <si>
    <t>Ayudas de higiene o estimulación de tocador para los discapacitados físicamente</t>
  </si>
  <si>
    <t>Indigotindisulfonato sódico</t>
  </si>
  <si>
    <t>Fosfato sódico de dexametasona</t>
  </si>
  <si>
    <t>Caliza</t>
  </si>
  <si>
    <t>Servicios de pulsación de panel</t>
  </si>
  <si>
    <t>Compuestos de yeso</t>
  </si>
  <si>
    <t>Fosfato calcio tribásico</t>
  </si>
  <si>
    <t>Clubes de aficionados a la jardinería</t>
  </si>
  <si>
    <t>Meticlotiazida</t>
  </si>
  <si>
    <t>Fórceps o dispositivos de recuperación de especímenes para endoscopia</t>
  </si>
  <si>
    <t>Servicios abrasivos de limpieza tubular</t>
  </si>
  <si>
    <t>Metipranolol</t>
  </si>
  <si>
    <t>Módulos de trabajo para uso clínico</t>
  </si>
  <si>
    <t>Compresores centrífugos</t>
  </si>
  <si>
    <t>Aletas para filtros</t>
  </si>
  <si>
    <t>24131503</t>
  </si>
  <si>
    <t>Guerra nuclear</t>
  </si>
  <si>
    <t>10191703</t>
  </si>
  <si>
    <t>Deflectores de aceite</t>
  </si>
  <si>
    <t>Juegos de aventuras</t>
  </si>
  <si>
    <t>Clorhidrato de hidroquinidina</t>
  </si>
  <si>
    <t>Prednisolona</t>
  </si>
  <si>
    <t>Iluminación exterior para automóviles</t>
  </si>
  <si>
    <t>Tornillos de perno</t>
  </si>
  <si>
    <t>Dióxido de azufre</t>
  </si>
  <si>
    <t>Tiras de prueba de iones selectivos</t>
  </si>
  <si>
    <t>Comedor de oficiales</t>
  </si>
  <si>
    <t>Materiales didácticos de informática</t>
  </si>
  <si>
    <t>Bloques contra salpicaduras</t>
  </si>
  <si>
    <t>Moldeable resistente a la erosión</t>
  </si>
  <si>
    <t>Fluorometolona</t>
  </si>
  <si>
    <t>Control de temperatura para aparatos de anestesia</t>
  </si>
  <si>
    <t>Equipos de implantación de iones</t>
  </si>
  <si>
    <t>Aljibes</t>
  </si>
  <si>
    <t>Dipropionato de betametasona</t>
  </si>
  <si>
    <t>Transmisores de ph</t>
  </si>
  <si>
    <t>Fresadora para escariador</t>
  </si>
  <si>
    <t>Servicios de marcado de pavimentos</t>
  </si>
  <si>
    <t>Semilla de psyllium</t>
  </si>
  <si>
    <t>Adaptadores o inversores de potencia</t>
  </si>
  <si>
    <t>Selenio se</t>
  </si>
  <si>
    <t>Hidrofonos sísmicos</t>
  </si>
  <si>
    <t>Diseño de aplicaciones de software de la unidad central</t>
  </si>
  <si>
    <t>Almohadilla para alfombras</t>
  </si>
  <si>
    <t>Filtros de esterilización</t>
  </si>
  <si>
    <t>Molinos de laboratorio</t>
  </si>
  <si>
    <t>40151510</t>
  </si>
  <si>
    <t>Objetos maquinados de magnesio fundidos en molde de yeso</t>
  </si>
  <si>
    <t>Montajes del tren de aterrizaje</t>
  </si>
  <si>
    <t>Tubos de cultivo</t>
  </si>
  <si>
    <t>Dobladores de tubos</t>
  </si>
  <si>
    <t>Materiales didácticos de agricultura</t>
  </si>
  <si>
    <t>Estreptozocina</t>
  </si>
  <si>
    <t>Radio ra</t>
  </si>
  <si>
    <t>Bóvedas de especialidad</t>
  </si>
  <si>
    <t>Ropivacaína</t>
  </si>
  <si>
    <t>Pernos prisioneros</t>
  </si>
  <si>
    <t>Forjas de metales preciosos maquinadas con impresión por troquel</t>
  </si>
  <si>
    <t>Tarifas de soporte o mantenimiento</t>
  </si>
  <si>
    <t>Ritonavir</t>
  </si>
  <si>
    <t>Clorhidrato de levalbuterol</t>
  </si>
  <si>
    <t>Cuchillos o cuchillas para autopsias</t>
  </si>
  <si>
    <t>Loteprednol etabonato</t>
  </si>
  <si>
    <t>Lámparas de alcohol</t>
  </si>
  <si>
    <t>Antorchas</t>
  </si>
  <si>
    <t>51111503</t>
  </si>
  <si>
    <t>Barreras de control de infección para operaciones de uso odontológico</t>
  </si>
  <si>
    <t>Instalación o servicio de sistemas de energía eléctrica</t>
  </si>
  <si>
    <t>Las Yayas de Viajama</t>
  </si>
  <si>
    <t>Aleación pigmalión ú 846</t>
  </si>
  <si>
    <t>Woks eléctricos para uso doméstico</t>
  </si>
  <si>
    <t>Accesorios para suavizar el agua</t>
  </si>
  <si>
    <t>Máquinas selladoras</t>
  </si>
  <si>
    <t>Componentes de sistema tridimensional de imágenes de resonancia magnética mri para uso médico</t>
  </si>
  <si>
    <t>Sensores de corriente</t>
  </si>
  <si>
    <t>Cortinas de luz de seguridad</t>
  </si>
  <si>
    <t>Materiales didácticos de robótica</t>
  </si>
  <si>
    <t>Software de lector de caracteres ópticos ocr o de escáner</t>
  </si>
  <si>
    <t>Componentes de señalización</t>
  </si>
  <si>
    <t>Tapas de tubo</t>
  </si>
  <si>
    <t>Generadores hidráulicos</t>
  </si>
  <si>
    <t>60104807</t>
  </si>
  <si>
    <t>Descansa teléfonos</t>
  </si>
  <si>
    <t>Escuelas privadas de educación primaria o secundaria</t>
  </si>
  <si>
    <t>Ensambles de tubería con soldadura fuerte o débil de inconel</t>
  </si>
  <si>
    <t>Uniones de seguridad de culminación</t>
  </si>
  <si>
    <t>Clindamicina</t>
  </si>
  <si>
    <t>Diodos de microondas</t>
  </si>
  <si>
    <t>Papel brillante</t>
  </si>
  <si>
    <t>Soperas o ensaladeras para uso doméstico</t>
  </si>
  <si>
    <t>Blusas o blusones para personal médico</t>
  </si>
  <si>
    <t>Flumazenil</t>
  </si>
  <si>
    <t>Dispositivos reductores de empañe para endoscopia o espejos</t>
  </si>
  <si>
    <t>Objetos maquinados de titanio fundidos en molde de grafito</t>
  </si>
  <si>
    <t>Cinoxacina</t>
  </si>
  <si>
    <t xml:space="preserve"> INSUMOS CIRUGIA GENERAL  2</t>
  </si>
  <si>
    <t>Adaptadores o conectores o extensiones para alimentación enteral</t>
  </si>
  <si>
    <t>Servicios de fabricación de fibra de rayón o acetato</t>
  </si>
  <si>
    <t>Ensambles de tubería pegada no metálica</t>
  </si>
  <si>
    <t>El Cedro (Jobero)</t>
  </si>
  <si>
    <t>Producción de plantas insecticidas</t>
  </si>
  <si>
    <t>Fosfolípidos</t>
  </si>
  <si>
    <t>Servicios fotográficos, de montaje o enmarcado</t>
  </si>
  <si>
    <t>Compresores de diafragma</t>
  </si>
  <si>
    <t>Materiales de enseñanza de comparación o cobertura de seguros</t>
  </si>
  <si>
    <t>Botellas de cultivo de sangre</t>
  </si>
  <si>
    <t>Objetos de berilio fundidos en molde de grafito</t>
  </si>
  <si>
    <t>Clorhidrato de diciclomina</t>
  </si>
  <si>
    <t>Colector de escape</t>
  </si>
  <si>
    <t>Plumones</t>
  </si>
  <si>
    <t>Acuerdos de reducción de pena</t>
  </si>
  <si>
    <t>Asadores de uso comercial</t>
  </si>
  <si>
    <t>Abastecimiento de agua</t>
  </si>
  <si>
    <t>Software de manejo de metadata</t>
  </si>
  <si>
    <t>Pasa presillas</t>
  </si>
  <si>
    <t>Compactadores de empaque</t>
  </si>
  <si>
    <t>Estaciones de incrustación de tejidos</t>
  </si>
  <si>
    <t>Propulsores de avión</t>
  </si>
  <si>
    <t>NUTRICION</t>
  </si>
  <si>
    <t>Clorhidrato de ciclopentolato</t>
  </si>
  <si>
    <t>Seguridad de los computadores, redes o internet</t>
  </si>
  <si>
    <t>Plataformas de popa</t>
  </si>
  <si>
    <t>Cubetas</t>
  </si>
  <si>
    <t>Cajas selladas con guantes para protección contra la radiación</t>
  </si>
  <si>
    <t>Ensambles de tubos soldados con soldadura sónica de aleación hast x</t>
  </si>
  <si>
    <t>Taladros de perforación semi – sumergibles</t>
  </si>
  <si>
    <t>Aspartato de anfetamina</t>
  </si>
  <si>
    <t>Servomotores</t>
  </si>
  <si>
    <t>Microscopios de fases</t>
  </si>
  <si>
    <t>51171513</t>
  </si>
  <si>
    <t>Presentadores visuales</t>
  </si>
  <si>
    <t>Equipo para teñir muestras de hematología</t>
  </si>
  <si>
    <t>Servicio de terminación de la elevación de gas del pozo</t>
  </si>
  <si>
    <t>Bandejas para empacar</t>
  </si>
  <si>
    <t>Soportes para las pantorrillas</t>
  </si>
  <si>
    <t>Trampas para el control de insectos voladores</t>
  </si>
  <si>
    <t>Kits de empalme de cables</t>
  </si>
  <si>
    <t>Limadores de engranajes</t>
  </si>
  <si>
    <t>Revestimiento multilateral</t>
  </si>
  <si>
    <t>Pegante de purpurina</t>
  </si>
  <si>
    <t>MEDICAMENTOS CITOSTATICOS ESPECIALES I</t>
  </si>
  <si>
    <t>Maza congelada para pan</t>
  </si>
  <si>
    <t>Presentación visual de cabeza levantada (hud)</t>
  </si>
  <si>
    <t>Electrocardiógrafo ecg para uso veterinario</t>
  </si>
  <si>
    <t>Forjaduras anulares laminadas de acero</t>
  </si>
  <si>
    <t>COMPARACIÓN DE PRECIOS</t>
  </si>
  <si>
    <t>Probadores de corrosión</t>
  </si>
  <si>
    <t>INSUMOS LABORATORIO CLINICO</t>
  </si>
  <si>
    <t>Superficies de trabajo para sistemas de paneles</t>
  </si>
  <si>
    <t>Tarjetas de los estados (departamentos)</t>
  </si>
  <si>
    <t>Cobijas para mascotas</t>
  </si>
  <si>
    <t>Brinzolamida</t>
  </si>
  <si>
    <t>Carga de las instalaciones de gas</t>
  </si>
  <si>
    <t>Discos voladores</t>
  </si>
  <si>
    <t>USO TRATAMIENTOS DE CANCER</t>
  </si>
  <si>
    <t>Servicios de poda de árboles</t>
  </si>
  <si>
    <t>Trituradoras o pulverizadoras de laboratorio</t>
  </si>
  <si>
    <t>Pipeta repetidoras de un solo canal manuales</t>
  </si>
  <si>
    <t>San Ignacio de Sabaneta</t>
  </si>
  <si>
    <t>Lingotes de magnesio</t>
  </si>
  <si>
    <t>Anti adhesivos</t>
  </si>
  <si>
    <t>Maza para galletas de soda congelada</t>
  </si>
  <si>
    <t>Anillos de bolsa para ostomía</t>
  </si>
  <si>
    <t>Equipos o accesorios calentadores o enfriadores o duales calentadores o enfriadores de perfusión</t>
  </si>
  <si>
    <t>Remaches de tonelero</t>
  </si>
  <si>
    <t>Servicios de limpieza de ventanas o persianas</t>
  </si>
  <si>
    <t>Tubos o núcleos de papel</t>
  </si>
  <si>
    <t>Distrito Nacional</t>
  </si>
  <si>
    <t>Tarjetas de patrones de pentominós</t>
  </si>
  <si>
    <t>Empalmes o placas de unión</t>
  </si>
  <si>
    <t>Fluticasona</t>
  </si>
  <si>
    <t>Pinos</t>
  </si>
  <si>
    <t>Servicios de contratación bursátil</t>
  </si>
  <si>
    <t>Peladores para uso comercial</t>
  </si>
  <si>
    <t>Meprobamato</t>
  </si>
  <si>
    <t>Cal clorada</t>
  </si>
  <si>
    <t>Modelos de anfibios</t>
  </si>
  <si>
    <t>Vasos para servicio de comidas</t>
  </si>
  <si>
    <t>Servicios de llenado con aerosol</t>
  </si>
  <si>
    <t>Placas de mandíbula</t>
  </si>
  <si>
    <t>15111503</t>
  </si>
  <si>
    <t>Asistencia administrativa o de oficina permanente</t>
  </si>
  <si>
    <t>Incubadoras de uso general de aire forzado o convección mecánica</t>
  </si>
  <si>
    <t>Componentes de berilio formados en torno</t>
  </si>
  <si>
    <t>Forjaduras en estampa de impresión de aleación ferrosa</t>
  </si>
  <si>
    <t>Cooperación sobre tratados de paz</t>
  </si>
  <si>
    <t>Azucares naturales o productos endulzantes</t>
  </si>
  <si>
    <t>Equipo de fractura líquida a granel</t>
  </si>
  <si>
    <t>Estropajos para laboratorio</t>
  </si>
  <si>
    <t>Aparato de demanda de oxígeno en la sangre para hemodiálisis</t>
  </si>
  <si>
    <t>Troqueles o punzones de estampar</t>
  </si>
  <si>
    <t>Bombas sumergibles</t>
  </si>
  <si>
    <t>Placa de latón</t>
  </si>
  <si>
    <t>Certificados de idioma extranjero</t>
  </si>
  <si>
    <t>Conductos de plomo</t>
  </si>
  <si>
    <t>Isradipina</t>
  </si>
  <si>
    <t>Servicios de visualización o cartografía del campo petrolero</t>
  </si>
  <si>
    <t>Tazas o vasos o tapas desechables para uso doméstico</t>
  </si>
  <si>
    <t>Aprotinina</t>
  </si>
  <si>
    <t>Arneses o sus accesorios</t>
  </si>
  <si>
    <t>Clorhidrato de alosetrón</t>
  </si>
  <si>
    <t>Artefactos a motor de uso personal</t>
  </si>
  <si>
    <t>Administradores permanentes de bases de datos o de sistemas de tecnologías de la información</t>
  </si>
  <si>
    <t>Pistola de aceite</t>
  </si>
  <si>
    <t>Soportes para certificados</t>
  </si>
  <si>
    <t>Inhaladores o sets</t>
  </si>
  <si>
    <t>Cuentas pequeñas</t>
  </si>
  <si>
    <t>Analizadores de radiometría</t>
  </si>
  <si>
    <t>Equipos de filtración molecular</t>
  </si>
  <si>
    <t>Buques o botes de rescate</t>
  </si>
  <si>
    <t>Amidas o imidas</t>
  </si>
  <si>
    <t>Pintura de enmascarar para acuarela líquida</t>
  </si>
  <si>
    <t>Terminales de pago para puntos de venta</t>
  </si>
  <si>
    <t>Componentes de hierro formados enrollados</t>
  </si>
  <si>
    <t>Secuenciadores de llamadas telefónicas</t>
  </si>
  <si>
    <t>Sombreretes o revestimientos de prensas de tornillo</t>
  </si>
  <si>
    <t>Herramientas para correr el cable de recuperación</t>
  </si>
  <si>
    <t>Marcos de drive removibles</t>
  </si>
  <si>
    <t>Tanques interiores de combustible del avión</t>
  </si>
  <si>
    <t>Platos o placas petri</t>
  </si>
  <si>
    <t>Cuero acharolado</t>
  </si>
  <si>
    <t>Oviedo</t>
  </si>
  <si>
    <t>Objetos maquinados compuestos fundidos a la cera perdida</t>
  </si>
  <si>
    <t>Canoas o kayaks</t>
  </si>
  <si>
    <t>Kits de equipo de demolición</t>
  </si>
  <si>
    <t>Cepillos de succión para los discapacitados físicamente</t>
  </si>
  <si>
    <t>Recolección o eliminación de residuos ácidos</t>
  </si>
  <si>
    <t>Redomas para laboratorio</t>
  </si>
  <si>
    <t>Conductores o módulos de disparo o accesorios para biopsia de seno mínimamente invasiva</t>
  </si>
  <si>
    <t>Protección de la flora</t>
  </si>
  <si>
    <t>Clorhidrato de buspirona</t>
  </si>
  <si>
    <t>Pivalato de clocortolona</t>
  </si>
  <si>
    <t>Retardantes brominados</t>
  </si>
  <si>
    <t>Lancetas</t>
  </si>
  <si>
    <t>Arroyo al Medio</t>
  </si>
  <si>
    <t>Flanelógrafos</t>
  </si>
  <si>
    <t>Ensambles de barras remachadas de acero de aleación baja</t>
  </si>
  <si>
    <t>Etiquetas médicas para uso general</t>
  </si>
  <si>
    <t>Cajas de decoración de uso terapéutico</t>
  </si>
  <si>
    <t>Componentes de berilio maquinados por extrusión en frío</t>
  </si>
  <si>
    <t>Servicios de  mantenimiento o administración de pozos de agua</t>
  </si>
  <si>
    <t>Servicios de eliminación o control de residuos petroleros</t>
  </si>
  <si>
    <t>Arados</t>
  </si>
  <si>
    <t>Sólidos de níquel</t>
  </si>
  <si>
    <t>Servicios de loterías</t>
  </si>
  <si>
    <t>Sistemas tributarios</t>
  </si>
  <si>
    <t>Glóbulos magnéticos para aislar ácido nucleico</t>
  </si>
  <si>
    <t>Revisiones trimestrales</t>
  </si>
  <si>
    <t>Medidores de acidificación</t>
  </si>
  <si>
    <t>Divot fijador</t>
  </si>
  <si>
    <t>Facilitación del transporte</t>
  </si>
  <si>
    <t>Estudios de emplazamientos de planta de reciclado</t>
  </si>
  <si>
    <t>Transporte aéreo blindado</t>
  </si>
  <si>
    <t>51101611</t>
  </si>
  <si>
    <t>Servicios gubernamentales de contabilidad</t>
  </si>
  <si>
    <t>Programación para pl/1</t>
  </si>
  <si>
    <t>Atadoras de carne</t>
  </si>
  <si>
    <t>Electrólisis</t>
  </si>
  <si>
    <t>Mineral de hierro</t>
  </si>
  <si>
    <t>Prensa para masa para uso doméstico</t>
  </si>
  <si>
    <t>Pestillo</t>
  </si>
  <si>
    <t>Medios ricos para levadura</t>
  </si>
  <si>
    <t>Espiros</t>
  </si>
  <si>
    <t>Sembradoras de semillas</t>
  </si>
  <si>
    <t>Limosinas</t>
  </si>
  <si>
    <t>Relés de potencia</t>
  </si>
  <si>
    <t>Espumas de silicona</t>
  </si>
  <si>
    <t>Bandejas de pintura</t>
  </si>
  <si>
    <t>Glutarales</t>
  </si>
  <si>
    <t>Gabinetes para almacenamiento de herramientas de taller general o gabinetes con herramientas</t>
  </si>
  <si>
    <t>Rapé</t>
  </si>
  <si>
    <t>Riendas</t>
  </si>
  <si>
    <t>Servicios de administración forestal</t>
  </si>
  <si>
    <t>Dihidrocodéina</t>
  </si>
  <si>
    <t>Objetos maquinados de acero fundidos en molde cerámico</t>
  </si>
  <si>
    <t>Compras Menores</t>
  </si>
  <si>
    <t>Sistemas híbridos de almacenaje de combustible de avión</t>
  </si>
  <si>
    <t>Voltiamperímetro empotrable</t>
  </si>
  <si>
    <t>Marcos para ventanas basculantes o de montante</t>
  </si>
  <si>
    <t>Bombas de muestreo</t>
  </si>
  <si>
    <t>Volúmetros</t>
  </si>
  <si>
    <t>Servicios de envío, recogida o entrega de correo</t>
  </si>
  <si>
    <t>Política de no primer uso</t>
  </si>
  <si>
    <t>Lámina de latón</t>
  </si>
  <si>
    <t>Tablillas o sets de uso odontológico</t>
  </si>
  <si>
    <t>Sulfato de albuterol</t>
  </si>
  <si>
    <t>Servicios de control de la erosión</t>
  </si>
  <si>
    <t>Papel de escritura</t>
  </si>
  <si>
    <t>Servicios de inspección de plomería o alcantarillado</t>
  </si>
  <si>
    <t>Sistemas de karaoke</t>
  </si>
  <si>
    <t>Partituras</t>
  </si>
  <si>
    <t>Barómetros</t>
  </si>
  <si>
    <t>Servicios de control de médicos de atención primaria</t>
  </si>
  <si>
    <t>Apoyacabezas</t>
  </si>
  <si>
    <t>Terbutalina</t>
  </si>
  <si>
    <t>Amobarbital sódico</t>
  </si>
  <si>
    <t>Blondas de papel</t>
  </si>
  <si>
    <t>Objetos maquinados de aluminio fundidos a la cera perdida</t>
  </si>
  <si>
    <t>Desecantes</t>
  </si>
  <si>
    <t>Máquinas de curvar laterales</t>
  </si>
  <si>
    <t>Objetos maquinados de aleación ferrosa fundidos en arena</t>
  </si>
  <si>
    <t>Rejilla de aluminio</t>
  </si>
  <si>
    <t>Salida de emergencia de vehículos</t>
  </si>
  <si>
    <t>Capotillo</t>
  </si>
  <si>
    <t>Impresión de valores o instrumentos financieros</t>
  </si>
  <si>
    <t>Arietes sísmicos</t>
  </si>
  <si>
    <t>Servicios de descontaminación ambiental</t>
  </si>
  <si>
    <t>Linóleo</t>
  </si>
  <si>
    <t>Máscaras de gas</t>
  </si>
  <si>
    <t>Servicios de control de termitas</t>
  </si>
  <si>
    <t>Tuercas cautivas</t>
  </si>
  <si>
    <t>Carros</t>
  </si>
  <si>
    <t>Servicios de pruebas técnicas</t>
  </si>
  <si>
    <t>Mandolina para uso doméstico</t>
  </si>
  <si>
    <t>Yarda</t>
  </si>
  <si>
    <t>Platos de comida de  juguete o accesorios</t>
  </si>
  <si>
    <t>Tijeras para laboratorio</t>
  </si>
  <si>
    <t>Tapones recuperables de cementación</t>
  </si>
  <si>
    <t>Vasos de precipitados para laboratorio</t>
  </si>
  <si>
    <t>Deslizadores forestales</t>
  </si>
  <si>
    <t>Dardos</t>
  </si>
  <si>
    <t>Base para reacción en cadena de polimerasa pcr o reacción en cadena de polimerasa transcripta inversa rt pcr</t>
  </si>
  <si>
    <t>Ofloxacina</t>
  </si>
  <si>
    <t>Semillas o plántulas de soya</t>
  </si>
  <si>
    <t>Material de relleno</t>
  </si>
  <si>
    <t>Tapas para cajas</t>
  </si>
  <si>
    <t>Dados</t>
  </si>
  <si>
    <t>Vibradores eléctricos para rehabilitación o terapia</t>
  </si>
  <si>
    <t>Objetos maquinados centrifugados de hierro fundidos</t>
  </si>
  <si>
    <t>Servicios de tapado del pozo</t>
  </si>
  <si>
    <t>Luz de mano o de extensión</t>
  </si>
  <si>
    <t>Válvulas de relevo</t>
  </si>
  <si>
    <t>Reactivos analizadores de análisis de orina</t>
  </si>
  <si>
    <t>Rompedores de roca</t>
  </si>
  <si>
    <t>Objetos de magnesio fundidos a la cera perdida</t>
  </si>
  <si>
    <t>Componentes de berilio maquinados por extrusión hidrostática</t>
  </si>
  <si>
    <t>Servicios de cambio de divisas</t>
  </si>
  <si>
    <t>Válvulas de seguridad de la superficie de boca de pozo</t>
  </si>
  <si>
    <t>Pirimetamina</t>
  </si>
  <si>
    <t>Ópera</t>
  </si>
  <si>
    <t>51142226</t>
  </si>
  <si>
    <t>Ensambles de barras soldadas con soldadura sónica de cobre</t>
  </si>
  <si>
    <t>Mineral de manganeso</t>
  </si>
  <si>
    <t>Servicios de inmunización</t>
  </si>
  <si>
    <t>Calentadores de laboratorio</t>
  </si>
  <si>
    <t>Unidades dentales</t>
  </si>
  <si>
    <t>Gabinetes de monitoreo para uso médico</t>
  </si>
  <si>
    <t>Sextantes</t>
  </si>
  <si>
    <t>Muñones</t>
  </si>
  <si>
    <t>Copas o sets pulidores para uso odontológico</t>
  </si>
  <si>
    <t>Servicios de asesorías educativas</t>
  </si>
  <si>
    <t>Máquinas para cambiar moneda extranjera</t>
  </si>
  <si>
    <t>Mezclas de anfólito</t>
  </si>
  <si>
    <t>Unidades de condensación</t>
  </si>
  <si>
    <t>Tanques de almacenamiento</t>
  </si>
  <si>
    <t>Hardware de sistema de archivo de película de rayos x para usos médicos</t>
  </si>
  <si>
    <t>Equipo de acuarios</t>
  </si>
  <si>
    <t>Objetos fundidos maquinados con troquel de latón</t>
  </si>
  <si>
    <t>Grúas para terrenos difíciles</t>
  </si>
  <si>
    <t>Componentes de aleación ferrosa formados con explosivos</t>
  </si>
  <si>
    <t>Kits de números</t>
  </si>
  <si>
    <t>Retractores de glándulas</t>
  </si>
  <si>
    <t>Servicios de personal de apoyo odontológico</t>
  </si>
  <si>
    <t>Lorazepam</t>
  </si>
  <si>
    <t>Viruta de madera</t>
  </si>
  <si>
    <t>Rodillos para uso doméstico</t>
  </si>
  <si>
    <t>compra de lacteos para el incart</t>
  </si>
  <si>
    <t>Servicios de formación profesional en comunicaciones</t>
  </si>
  <si>
    <t>Acero de perdigones</t>
  </si>
  <si>
    <t>Instalación de sistemas de seguridad</t>
  </si>
  <si>
    <t>Bromhidrato de eletriptan</t>
  </si>
  <si>
    <t>Kits de fracciones</t>
  </si>
  <si>
    <t>Barras de trapecio para uso clínico</t>
  </si>
  <si>
    <t>Curas médicas con algas o algas marinas</t>
  </si>
  <si>
    <t>Semillas o plántulas de mostaza</t>
  </si>
  <si>
    <t>Lubricantes de propósito general</t>
  </si>
  <si>
    <t>Servicios de reparar o pintar la carrocería de vehículos</t>
  </si>
  <si>
    <t>Torres de arreglo de drives de discos duros</t>
  </si>
  <si>
    <t>Brocas o herramientas de moldeado</t>
  </si>
  <si>
    <t>Magnesio en placa labrada</t>
  </si>
  <si>
    <t>Unidades de enfriamiento o circuladores de agua fría</t>
  </si>
  <si>
    <t>Alambre de plata</t>
  </si>
  <si>
    <t>Reguladores de producción de boca de pozo</t>
  </si>
  <si>
    <t>Componentes de cobre hidroformados</t>
  </si>
  <si>
    <t>Químicos de control de corrosión</t>
  </si>
  <si>
    <t>Ventanas francesas o puerta – ventanas</t>
  </si>
  <si>
    <t>Servicios de siembra de árboles, arbustos o plantas ornamentales</t>
  </si>
  <si>
    <t>Materiales de enseñanza para el cuidado de niños</t>
  </si>
  <si>
    <t>Antilinfocitos</t>
  </si>
  <si>
    <t>55121606</t>
  </si>
  <si>
    <t>Servicios de trasplante de órganos</t>
  </si>
  <si>
    <t>Cuadernos de papel para acuarela</t>
  </si>
  <si>
    <t>Objetos de metal precioso fundidos en molde cerámico</t>
  </si>
  <si>
    <t>Probador pirogénico para uso veterinario</t>
  </si>
  <si>
    <t>Servicios de acolchado orgánico</t>
  </si>
  <si>
    <t>MEDICAMENTOS ANTIMICOTICOS 2</t>
  </si>
  <si>
    <t>Objetos de acero inoxidable fundidos a la cera perdida</t>
  </si>
  <si>
    <t>Carrera armamentista</t>
  </si>
  <si>
    <t>Clorhidrato de irinotecan</t>
  </si>
  <si>
    <t>Terbio tb</t>
  </si>
  <si>
    <t>Cuerdas para raquetas</t>
  </si>
  <si>
    <t>Análisis competitivo o de inteligencia del mercado</t>
  </si>
  <si>
    <t>Bibliotecas privadas</t>
  </si>
  <si>
    <t>Servicios de impresión industrial a roto grabado</t>
  </si>
  <si>
    <t>Plicamicina</t>
  </si>
  <si>
    <t>Forjas de cobre maquinadas con troquel cerrado</t>
  </si>
  <si>
    <t>Dextrosa</t>
  </si>
  <si>
    <t>Mezcladores de pintura</t>
  </si>
  <si>
    <t>Sistemas de juego completo para basquetbol</t>
  </si>
  <si>
    <t>Piezas en T de tubo</t>
  </si>
  <si>
    <t>Forjas de aleación ferrosa maquinadas por anillo enrollado</t>
  </si>
  <si>
    <t>42182101</t>
  </si>
  <si>
    <t>Servicios de hiladoras, telares o tejedoras</t>
  </si>
  <si>
    <t>Servicios de arbolistas</t>
  </si>
  <si>
    <t>Clorhidrato de halofantrina</t>
  </si>
  <si>
    <t>Tarjetas de fotos de historia</t>
  </si>
  <si>
    <t>Sets de grupos de acompañamiento</t>
  </si>
  <si>
    <t>51131516</t>
  </si>
  <si>
    <t>Punteros</t>
  </si>
  <si>
    <t>Nave para apagar incendios</t>
  </si>
  <si>
    <t>Servo grabadoras</t>
  </si>
  <si>
    <t>Epicloridrina</t>
  </si>
  <si>
    <t>Citrato de orfenadrina</t>
  </si>
  <si>
    <t>Estudios o implementación de productividad y eficacia</t>
  </si>
  <si>
    <t>Puerto deportivo</t>
  </si>
  <si>
    <t>Objetos de titanio fundidos en molde cerámico</t>
  </si>
  <si>
    <t>Villa Altagracia</t>
  </si>
  <si>
    <t>Ensambles estructurales remachados de titanio</t>
  </si>
  <si>
    <t>Pilas secas</t>
  </si>
  <si>
    <t xml:space="preserve">compra de especias para alimentos en el INCART </t>
  </si>
  <si>
    <t>Tanques de productos químicos</t>
  </si>
  <si>
    <t>Servicios de cooperativas o consorcios</t>
  </si>
  <si>
    <t>Jet privado o de negocios</t>
  </si>
  <si>
    <t>Tallador de calabazas para uso doméstico</t>
  </si>
  <si>
    <t>Software de edición de música o sonido</t>
  </si>
  <si>
    <t>Ensambles de láminas soldadas con soldadura sónica de acero de aleación baja</t>
  </si>
  <si>
    <t>Unidades para ojear libros</t>
  </si>
  <si>
    <t>Herramientas para halar el cable de recuperación</t>
  </si>
  <si>
    <t>Publicidad en volantes o cupones</t>
  </si>
  <si>
    <t>Plantas de acuario</t>
  </si>
  <si>
    <t>Servicios de gestión de datos cartográficos del campo petrolero</t>
  </si>
  <si>
    <t>Matamoscas</t>
  </si>
  <si>
    <t>Estaciones de trabajo para autopsias de drenaje o accesorios</t>
  </si>
  <si>
    <t>Inodoros o excusados</t>
  </si>
  <si>
    <t>30171609</t>
  </si>
  <si>
    <t>Seguro a todo riesgo de levantamientos</t>
  </si>
  <si>
    <t>Caproato de hidroxiprogesterona</t>
  </si>
  <si>
    <t>Telas abrasivas</t>
  </si>
  <si>
    <t>Sensores de velocidad</t>
  </si>
  <si>
    <t>Buldóceres de orugas</t>
  </si>
  <si>
    <t>Microscopios de escáner de sonda</t>
  </si>
  <si>
    <t>Cámaras de web</t>
  </si>
  <si>
    <t>Maquinaria para hacer túneles</t>
  </si>
  <si>
    <t>Seguro de interrupción de los procesos de negocios</t>
  </si>
  <si>
    <t>Fincas piscícolas</t>
  </si>
  <si>
    <t>Berilio en barra labrada</t>
  </si>
  <si>
    <t>Servicios de siembra</t>
  </si>
  <si>
    <t>Forjaduras en estampa cerrada de bronce</t>
  </si>
  <si>
    <t>Clorhidrato de ondansetrón</t>
  </si>
  <si>
    <t>Servicios de mantenimiento de equipo del pozo submarino</t>
  </si>
  <si>
    <t>Difilina</t>
  </si>
  <si>
    <t>Platos para uso doméstico</t>
  </si>
  <si>
    <t>Clorhidrato de lidocaína</t>
  </si>
  <si>
    <t>Kits o accesorios para amniocentesis</t>
  </si>
  <si>
    <t>Ubicquinona o coenzima q10</t>
  </si>
  <si>
    <t>Objetos de cobre fundidos en molde de yeso</t>
  </si>
  <si>
    <t>Reductores de fricción aniónico</t>
  </si>
  <si>
    <t>Metrónomos</t>
  </si>
  <si>
    <t>Forjas de hierro maquinadas con troquel abierto</t>
  </si>
  <si>
    <t>Bonos del estado</t>
  </si>
  <si>
    <t>Tractores agrícolas</t>
  </si>
  <si>
    <t>Centrífugas de petróleo del agua del campo petrolífero</t>
  </si>
  <si>
    <t>52151604</t>
  </si>
  <si>
    <t>Cepillos de tubo</t>
  </si>
  <si>
    <t>Mandelato de metenamina</t>
  </si>
  <si>
    <t>Reactivos o soluciones de bancos de sangre</t>
  </si>
  <si>
    <t>Servicios de inmunidad estatal</t>
  </si>
  <si>
    <t>Componentes de magnesio formados por estiramiento</t>
  </si>
  <si>
    <t>Juguetes para el baño</t>
  </si>
  <si>
    <t>Unidades de registro de presión de sangre</t>
  </si>
  <si>
    <t>Indicadores de profundidad</t>
  </si>
  <si>
    <t>Mena</t>
  </si>
  <si>
    <t>Agitadores desechables para uso doméstico</t>
  </si>
  <si>
    <t>Recipientes de irradiación de especímenes para reactores nucleares</t>
  </si>
  <si>
    <t>Acetato de gonadorelina</t>
  </si>
  <si>
    <t>Fuentes de iones</t>
  </si>
  <si>
    <t>Acetato de pirbuterol</t>
  </si>
  <si>
    <t>Hornillas eléctricas de laboratorio</t>
  </si>
  <si>
    <t>Cinturón para herramientas</t>
  </si>
  <si>
    <t>Interruptores de combinadores</t>
  </si>
  <si>
    <t>EMULSIONES NUTRICION PACIENTES</t>
  </si>
  <si>
    <t>Necesidades de dotación de personal jurídico permanente</t>
  </si>
  <si>
    <t>Clioquinol</t>
  </si>
  <si>
    <t>Tioconazol</t>
  </si>
  <si>
    <t>Componentes de metal precioso maquinados por extrusión en caliente</t>
  </si>
  <si>
    <t>Aparatos o suministros para terapia ultrasónica</t>
  </si>
  <si>
    <t>Juguetes para mascotas</t>
  </si>
  <si>
    <t>Filtros de gradiente</t>
  </si>
  <si>
    <t>Tejidos de lana de punto</t>
  </si>
  <si>
    <t>EXCEPCIÓN - RESCISIÓN DE CONTRATOS CUYA TERMINACIÓN NO EXCEDA EL 40% DEL MONTO TOTAL DEL PROYECTO, OBRA O SERVICIO</t>
  </si>
  <si>
    <t>Ensambles de láminas remachadas de acero inoxidable</t>
  </si>
  <si>
    <t>Lápidas</t>
  </si>
  <si>
    <t>30191502</t>
  </si>
  <si>
    <t>Estudio de emplazamientos industriales</t>
  </si>
  <si>
    <t>Herramientas de Montaje o Desmontaje</t>
  </si>
  <si>
    <t>Ensambles estructurales atornillados de acero de aleación baja</t>
  </si>
  <si>
    <t>Podofilox</t>
  </si>
  <si>
    <t>Recursos para aprender a hablar alemán</t>
  </si>
  <si>
    <t>Componentes de combado escleral</t>
  </si>
  <si>
    <t>Retractores bucales</t>
  </si>
  <si>
    <t>Bombas peristálticas</t>
  </si>
  <si>
    <t>Analizadores de carbono orgánico</t>
  </si>
  <si>
    <t>Impresoras de banda</t>
  </si>
  <si>
    <t>Servicios de administración de flotas</t>
  </si>
  <si>
    <t>Instrumentos musicales antiguos</t>
  </si>
  <si>
    <t>Dispositivos de movimiento vestibular para rehabilitación o terapia</t>
  </si>
  <si>
    <t>Objetos de latón fundidos en molde de yeso</t>
  </si>
  <si>
    <t>Defensas de correa</t>
  </si>
  <si>
    <t>Disco de ruptura</t>
  </si>
  <si>
    <t>Eliminadores de estática</t>
  </si>
  <si>
    <t>Fibras de asbesto</t>
  </si>
  <si>
    <t>Servicios no gubernamentales de asistencia técnica</t>
  </si>
  <si>
    <t>Sales metálicas inorgánicas</t>
  </si>
  <si>
    <t>Máquinas de póker o tragamonedas</t>
  </si>
  <si>
    <t>Cámaras cinematográficas</t>
  </si>
  <si>
    <t>Etiquetas de códigos de color</t>
  </si>
  <si>
    <t>Baños de viscosidad</t>
  </si>
  <si>
    <t>Brocas de destornillador</t>
  </si>
  <si>
    <t>41111901</t>
  </si>
  <si>
    <t>Válvulas de compuerta de boca de pozo</t>
  </si>
  <si>
    <t>Servicios de desinfección o desodorización</t>
  </si>
  <si>
    <t>Pintura dactilar  lavable</t>
  </si>
  <si>
    <t>Diluyentes para pinturas</t>
  </si>
  <si>
    <t>Aduja de fibra y goma</t>
  </si>
  <si>
    <t>Movimientos clandestinos</t>
  </si>
  <si>
    <t>Microscopios de disección de luz o de estéreo</t>
  </si>
  <si>
    <t>Vaporeras para uso doméstico</t>
  </si>
  <si>
    <t>Textiles de seda de tejido simple</t>
  </si>
  <si>
    <t>Accesorios para retinoscopio para uso oftálmico</t>
  </si>
  <si>
    <t>Tántalo ta</t>
  </si>
  <si>
    <t>Bolsas o medidores para drenaje urinario</t>
  </si>
  <si>
    <t>Servicios del consejo económico y social</t>
  </si>
  <si>
    <t>Sujetadores de aguja láser para uso quirúrgico</t>
  </si>
  <si>
    <t>Uniones de expansión de culminación</t>
  </si>
  <si>
    <t>Herramientas de doblado</t>
  </si>
  <si>
    <t>72103004</t>
  </si>
  <si>
    <t>Servicios de nitrógeno para el pozo</t>
  </si>
  <si>
    <t>Bancos públicos</t>
  </si>
  <si>
    <t>Introductores</t>
  </si>
  <si>
    <t>Varillas cortas</t>
  </si>
  <si>
    <t>Alverina</t>
  </si>
  <si>
    <t>Servicios de refinación de petróleo</t>
  </si>
  <si>
    <t>Servicios de fabricación de equipos de aire acondicionado, ventilación o refrigeración</t>
  </si>
  <si>
    <t>Servicios de prueba o de fijar la elevación por presión de gas</t>
  </si>
  <si>
    <t>Accesorios para veteado</t>
  </si>
  <si>
    <t>Mesilato de delavirdina</t>
  </si>
  <si>
    <t>Forros para comida para los discapacitados físicamente</t>
  </si>
  <si>
    <t>Ollas de vapor de alta presión para uso comercial</t>
  </si>
  <si>
    <t>Kits de pruebas para radio inmunoterapia</t>
  </si>
  <si>
    <t>Nitrato de econazol</t>
  </si>
  <si>
    <t>Destornillador neumático</t>
  </si>
  <si>
    <t>Controladores de cámara</t>
  </si>
  <si>
    <t>Candados de cable</t>
  </si>
  <si>
    <t>Extractos orgánicos de origen vegetal para curtiembre</t>
  </si>
  <si>
    <t>Gas criptón kr</t>
  </si>
  <si>
    <t>Secnidazol</t>
  </si>
  <si>
    <t>Máquinas de coser para uso doméstico</t>
  </si>
  <si>
    <t>Recopilación o distribución de datos de la industria pesquera</t>
  </si>
  <si>
    <t>Nave espacial tripulada</t>
  </si>
  <si>
    <t>Servicios de pruebas de superficie del pozo</t>
  </si>
  <si>
    <t>Gustómetros</t>
  </si>
  <si>
    <t>Nitrato de butoconazol</t>
  </si>
  <si>
    <t>Grabadoras gráficas de pruebas auditivas</t>
  </si>
  <si>
    <t>Reproductores o grabadoras de video casetes</t>
  </si>
  <si>
    <t>Equipo codificador y decodificador</t>
  </si>
  <si>
    <t>Servicios de ratificación o implementación de leyes administrativas</t>
  </si>
  <si>
    <t>Probadores dieléctricos de aceite</t>
  </si>
  <si>
    <t>Materiales didácticos de materiales</t>
  </si>
  <si>
    <t>Clorhidrato de difenoxilato</t>
  </si>
  <si>
    <t>Trajes para niña</t>
  </si>
  <si>
    <t>Aleación de acero inoxidable 304</t>
  </si>
  <si>
    <t>Ensambles de placas atornilladas de inconel</t>
  </si>
  <si>
    <t>Controles de esterilización</t>
  </si>
  <si>
    <t>Objetos fundidos maquinados por proceso v de aleación de níquel</t>
  </si>
  <si>
    <t>Varillas de aluminio</t>
  </si>
  <si>
    <t>Exprimidor de ajo para uso doméstico</t>
  </si>
  <si>
    <t>Forjas no metálicas maquinadas con troquel abierto</t>
  </si>
  <si>
    <t>25172906</t>
  </si>
  <si>
    <t>Brazos oscilantes</t>
  </si>
  <si>
    <t>Materiales de enseñanza de  habilidades laborales básicas</t>
  </si>
  <si>
    <t>Unidades de impresión a doble cara</t>
  </si>
  <si>
    <t>31201503</t>
  </si>
  <si>
    <t>Perlas naturales</t>
  </si>
  <si>
    <t>Poliéster no saturado up</t>
  </si>
  <si>
    <t>Garras para papel</t>
  </si>
  <si>
    <t>Bicicletas de montaña</t>
  </si>
  <si>
    <t>Oficinas</t>
  </si>
  <si>
    <t>Fosfato codeina</t>
  </si>
  <si>
    <t>Mesas de examen con apoya pies para examen obstétrico o ginecológico</t>
  </si>
  <si>
    <t>Marcos de secciones de madera</t>
  </si>
  <si>
    <t>Nitrógeno n</t>
  </si>
  <si>
    <t>Cremas no lácteas</t>
  </si>
  <si>
    <t>Neyba</t>
  </si>
  <si>
    <t>Difenhidramina</t>
  </si>
  <si>
    <t>Estación de autobuses</t>
  </si>
  <si>
    <t>Las Clavellinas</t>
  </si>
  <si>
    <t>Servicios de corte y tinte de pelo</t>
  </si>
  <si>
    <t>Cajas de interruptores periféricos</t>
  </si>
  <si>
    <t>Inyectores de agentes de contraste de resonancia magnética (MRI) médica</t>
  </si>
  <si>
    <t>Servicios de extracción de testigos con esponja</t>
  </si>
  <si>
    <t>Intérpretes</t>
  </si>
  <si>
    <t>Hidrotratador de alimentación catalítica</t>
  </si>
  <si>
    <t>Aros de hula o equipos de hula</t>
  </si>
  <si>
    <t>Tornillos de anclaje</t>
  </si>
  <si>
    <t>Esponjas para cirugía oftálmica</t>
  </si>
  <si>
    <t>Queso procesado</t>
  </si>
  <si>
    <t>Sala de fluoroscopia</t>
  </si>
  <si>
    <t>Libros de recursos de adverbios</t>
  </si>
  <si>
    <t>CÓDIGO SNIP</t>
  </si>
  <si>
    <t>Timolol</t>
  </si>
  <si>
    <t>Cintas para calculadoras</t>
  </si>
  <si>
    <t>Circuitos integrados digitales</t>
  </si>
  <si>
    <t>Tractomulas de nariz alargada sin cama</t>
  </si>
  <si>
    <t>Cable para señales</t>
  </si>
  <si>
    <t>Materiales de enseñanza de habilidades de responsabilidad o toma de decisiones</t>
  </si>
  <si>
    <t>Materiales de detección de ácido nucleico quimio luminiscente</t>
  </si>
  <si>
    <t>Marco de carga</t>
  </si>
  <si>
    <t>Equipo para deshielo de aviones</t>
  </si>
  <si>
    <t>Varas magnéticas</t>
  </si>
  <si>
    <t>Papel para sumadora o máquina registradora</t>
  </si>
  <si>
    <t>Oclusores para cámaras</t>
  </si>
  <si>
    <t>Bolas de foosball</t>
  </si>
  <si>
    <t>Maza congelada para galletas</t>
  </si>
  <si>
    <t>Líneas internacionales externas</t>
  </si>
  <si>
    <t>Tornos</t>
  </si>
  <si>
    <t>Puertas de seguridad para las cajas de monedas de teléfonos de pago</t>
  </si>
  <si>
    <t>Tintura para geles ácido nucleicos</t>
  </si>
  <si>
    <t>Taladros de barreno profundo</t>
  </si>
  <si>
    <t>Clisadores</t>
  </si>
  <si>
    <t>30101617</t>
  </si>
  <si>
    <t>Materiales de enseñanza de comprensión del abuso infantil  físico o emocional</t>
  </si>
  <si>
    <t>Exploración submarina</t>
  </si>
  <si>
    <t>Subasta Inversa</t>
  </si>
  <si>
    <t>Tanques digestores de lodo o aguas residuales</t>
  </si>
  <si>
    <t>Móviles</t>
  </si>
  <si>
    <t>Portapapeles para enfermeras o médicos</t>
  </si>
  <si>
    <t>Lanchas de recreo a motor</t>
  </si>
  <si>
    <t>Interruptores infusibles</t>
  </si>
  <si>
    <t>Filtros infrarrojos</t>
  </si>
  <si>
    <t>Baños o tanques de hidroterapia para las extremidades</t>
  </si>
  <si>
    <t>Analizadores de alimentación</t>
  </si>
  <si>
    <t>Servicios de componente de válvula o válvula del lugar del pozo</t>
  </si>
  <si>
    <t>Alicates de punta de aguja</t>
  </si>
  <si>
    <t>OPERACIONES / ELECTROMEDICINA Y MANTENIMIENTO 4</t>
  </si>
  <si>
    <t>MEDICAMENTOS ANALGESICOS Y ANTIPIRECTICOS</t>
  </si>
  <si>
    <t>Servicios de conservación de testigos</t>
  </si>
  <si>
    <t>Kieserita</t>
  </si>
  <si>
    <t>Cinc en placa labrada</t>
  </si>
  <si>
    <t>42171804</t>
  </si>
  <si>
    <t>Cajas para correo</t>
  </si>
  <si>
    <t>Dispositivo debajo de gancho</t>
  </si>
  <si>
    <t>Clubes de deportes en hielo</t>
  </si>
  <si>
    <t>Forros para equipos para protegerlos del polvo</t>
  </si>
  <si>
    <t>Marcos en forma de cubo transparente</t>
  </si>
  <si>
    <t>Paquetes de muebles para técnicos modulares</t>
  </si>
  <si>
    <t>Relieve de forma</t>
  </si>
  <si>
    <t>Engranajes laterales</t>
  </si>
  <si>
    <t>Servicios de payasos</t>
  </si>
  <si>
    <t>Cables de embrague</t>
  </si>
  <si>
    <t>Transformadores de transmisión</t>
  </si>
  <si>
    <t>Ribeteadoras eléctricas</t>
  </si>
  <si>
    <t>Servicios de fabricación de plásticos, resinas o fibras</t>
  </si>
  <si>
    <t>Servicios de cementar con espuma</t>
  </si>
  <si>
    <t>Publicidad en revistas</t>
  </si>
  <si>
    <t>Contenedores refrigerados</t>
  </si>
  <si>
    <t>Forjaduras en estampa de impresión de acero</t>
  </si>
  <si>
    <t>Tacómetros</t>
  </si>
  <si>
    <t>Servicios de unidad  jaladora para el pozo</t>
  </si>
  <si>
    <t>Artículos de seguridad para la cabeza para uso deportivo</t>
  </si>
  <si>
    <t>14111609</t>
  </si>
  <si>
    <t>Tarjetas de patrones o actividades de bloques lógicos</t>
  </si>
  <si>
    <t>Baterías de níquel-hidruro metálico</t>
  </si>
  <si>
    <t>Aparatos para bloquear o transferir</t>
  </si>
  <si>
    <t>Componentes de magnesio formados en torno</t>
  </si>
  <si>
    <t>Encuadernación espiral</t>
  </si>
  <si>
    <t>Fumarato de disoproxilo tenofovir</t>
  </si>
  <si>
    <t>Aparcamiento</t>
  </si>
  <si>
    <t>Disolventes aromáticos</t>
  </si>
  <si>
    <t>Aparatos de radiosonda</t>
  </si>
  <si>
    <t>Valoración del diagnóstico inicial</t>
  </si>
  <si>
    <t>Servicios de colisión y separación</t>
  </si>
  <si>
    <t>Bolsa para cadáver de uso médico</t>
  </si>
  <si>
    <t>Pañales para bebé</t>
  </si>
  <si>
    <t>Peróxido de benzoilo</t>
  </si>
  <si>
    <t>Partes de repuesto para bombas de sumidero</t>
  </si>
  <si>
    <t>Servicios comunitarios urbanos</t>
  </si>
  <si>
    <t>Asociaciones de personal pensionado</t>
  </si>
  <si>
    <t>Tubo de tríodo</t>
  </si>
  <si>
    <t>Equipos de conexión cruzada digital dcx</t>
  </si>
  <si>
    <t>Pintura removible de baja viscosidad para vidrio o cerámica</t>
  </si>
  <si>
    <t>Alguicidas</t>
  </si>
  <si>
    <t>Cernidores de prueba</t>
  </si>
  <si>
    <t>Fundas para puntas o sondas de termómetros para uso médico</t>
  </si>
  <si>
    <t>Software de autoedición</t>
  </si>
  <si>
    <t>Lacteos 4</t>
  </si>
  <si>
    <t>Reactivos o soluciones o tinturas ambientales</t>
  </si>
  <si>
    <t>Componentes de dispositivo de entrada o unidad de almacenamiento</t>
  </si>
  <si>
    <t>Aditivos de inundación de agua</t>
  </si>
  <si>
    <t>Plantilla de guía</t>
  </si>
  <si>
    <t>Moldeables resistentes a ácidos o a álcalis</t>
  </si>
  <si>
    <t>Cueros</t>
  </si>
  <si>
    <t>Etileno vinil acetato (EVA)</t>
  </si>
  <si>
    <t>Herramientas para hilvanar acolchados</t>
  </si>
  <si>
    <t>Separadores de agua petróleo</t>
  </si>
  <si>
    <t>MONTO TOTAL ESTIMADO</t>
  </si>
  <si>
    <t>Engranajes cremallera</t>
  </si>
  <si>
    <t>Superficies de trabajo de soporte para computadores</t>
  </si>
  <si>
    <t>Cacerolas de hierro fundido con tapa para uso doméstico</t>
  </si>
  <si>
    <t>44121605</t>
  </si>
  <si>
    <t>Arrendamiento de residencias</t>
  </si>
  <si>
    <t>Barras de desayuno o de salud</t>
  </si>
  <si>
    <t>Bloques para lijar</t>
  </si>
  <si>
    <t>Papel no recubierto no tratado</t>
  </si>
  <si>
    <t>Equipos de bombeo a través de la línea de flujo</t>
  </si>
  <si>
    <t>No</t>
  </si>
  <si>
    <t>Mesas de procedimientos para salas de cirugía o accesorios o productos relacionados</t>
  </si>
  <si>
    <t>Contenedores de recolección de filtro de suero</t>
  </si>
  <si>
    <t>Máquinas para escribir cheques</t>
  </si>
  <si>
    <t>Software de aplicación específica para operadores de móviles</t>
  </si>
  <si>
    <t>Cloro cl</t>
  </si>
  <si>
    <t>Tornillos para drywall</t>
  </si>
  <si>
    <t>Lenguajes de programación o de marca patentada</t>
  </si>
  <si>
    <t>Clorhidrato de valaciclovir</t>
  </si>
  <si>
    <t>Pantallas de fondo</t>
  </si>
  <si>
    <t>Unidades para contenedores</t>
  </si>
  <si>
    <t>Materiales didácticos de seguridad o peligro</t>
  </si>
  <si>
    <t>Lingotes de bronce</t>
  </si>
  <si>
    <t>Poliuretano termoestable pur</t>
  </si>
  <si>
    <t>Teléfonos fijos</t>
  </si>
  <si>
    <t>Equipos de preparación de superficies de rodamiento o mecanismos para su colocación</t>
  </si>
  <si>
    <t>Componentes de titanio maquinados por extrusión en frío</t>
  </si>
  <si>
    <t>46181604</t>
  </si>
  <si>
    <t>Forros para el apoyacabezas de la silla de examen de uso odontológico</t>
  </si>
  <si>
    <t>Componentes de estaño maquinados por extrusión hidrostática</t>
  </si>
  <si>
    <t>Accesorios o suministros para respiradores</t>
  </si>
  <si>
    <t>Estampadores o troqueles para metal</t>
  </si>
  <si>
    <t>Máscaras de soldadura</t>
  </si>
  <si>
    <t>Instalación de equipos de comunicaciones</t>
  </si>
  <si>
    <t>Bloques o sujetadores para cámaras</t>
  </si>
  <si>
    <t>Cabezas de disparo</t>
  </si>
  <si>
    <t>Servicios de elaboración de bebidas de agua</t>
  </si>
  <si>
    <t>Servicios de adquisición de importaciones</t>
  </si>
  <si>
    <t>Bandejas absorbentes</t>
  </si>
  <si>
    <t>Conos o copas de helado comestibles</t>
  </si>
  <si>
    <t>Bombardinos barítono</t>
  </si>
  <si>
    <t>Alcaloides de belladona</t>
  </si>
  <si>
    <t>Cloroxilenol</t>
  </si>
  <si>
    <t>Servicios de control de la báscula del pozo de petróleo</t>
  </si>
  <si>
    <t>Guantes de examen o para procedimientos no quirúrgicos</t>
  </si>
  <si>
    <t>Toallitas de preparación de la piel</t>
  </si>
  <si>
    <t>Anclajes de amarre</t>
  </si>
  <si>
    <t>Soportes de máquina o aisladores de vibración</t>
  </si>
  <si>
    <t>Servicios de investigación bacteriológica</t>
  </si>
  <si>
    <t>42181904</t>
  </si>
  <si>
    <t>Calibradores para uso odontológico</t>
  </si>
  <si>
    <t>Vacuna contra la pertussis</t>
  </si>
  <si>
    <t>Marcos para ventanas de guillotina</t>
  </si>
  <si>
    <t>Cobijas para hospital</t>
  </si>
  <si>
    <t>51121511</t>
  </si>
  <si>
    <t>Estuches de desfibriladores para servicios médicos de emergencia</t>
  </si>
  <si>
    <t>Objetos de latón fundidos en molde de grafito</t>
  </si>
  <si>
    <t>Paletizadoras</t>
  </si>
  <si>
    <t>Software de manejo de documentos</t>
  </si>
  <si>
    <t>Películas de cloruro de polivinilo</t>
  </si>
  <si>
    <t>Clorhidrato de cincocaína</t>
  </si>
  <si>
    <t>Camas o accesorios de cuidado del paciente para uso general</t>
  </si>
  <si>
    <t>Jades</t>
  </si>
  <si>
    <t>Resina de cloruro de polivinilo</t>
  </si>
  <si>
    <t>Sujetadores de almacenadores de multimedia</t>
  </si>
  <si>
    <t>Pistola pastelera para uso doméstico</t>
  </si>
  <si>
    <t>Lecitina o fosfatidilcolina</t>
  </si>
  <si>
    <t>Hornos de limpieza de espacio</t>
  </si>
  <si>
    <t>Probadores de fatiga</t>
  </si>
  <si>
    <t>Transmisiones de tambor</t>
  </si>
  <si>
    <t>Desarrolladores temporales de software de tecnologías de la información</t>
  </si>
  <si>
    <t>Medidores de oxígeno disuelto</t>
  </si>
  <si>
    <t>Servicios de rehabilitación por sustancias tóxicas</t>
  </si>
  <si>
    <t>Producción de plantas medicinales</t>
  </si>
  <si>
    <t>Vestidos folclóricos para mujer</t>
  </si>
  <si>
    <t>Puntas de pipeta robóticas</t>
  </si>
  <si>
    <t>Baños de circulación</t>
  </si>
  <si>
    <t>Accesorios o suministros para analizadores de gas en la sangre</t>
  </si>
  <si>
    <t>Abrigos o chaquetas para mujer</t>
  </si>
  <si>
    <t>Centros de control de motor</t>
  </si>
  <si>
    <t>Muestrarios de despliegue de proteínas o péptidos</t>
  </si>
  <si>
    <t>Fusibles de retardo</t>
  </si>
  <si>
    <t>Pisos de vinilo</t>
  </si>
  <si>
    <t>Tenazas para laboratorio</t>
  </si>
  <si>
    <t>Incubadoras de cámara única de dióxido de carbono recubierta de agua</t>
  </si>
  <si>
    <t>Tobramicina</t>
  </si>
  <si>
    <t>Radiadores</t>
  </si>
  <si>
    <t>Instituciones financieras de fomento</t>
  </si>
  <si>
    <t>Chapas o pomos</t>
  </si>
  <si>
    <t>Servicios de cartas de crédito</t>
  </si>
  <si>
    <t>Antiparasitario tópico permetrina</t>
  </si>
  <si>
    <t>Semillas o plántulas de papa</t>
  </si>
  <si>
    <t>Servicios de refracción para la producción de hierro o acero</t>
  </si>
  <si>
    <t>Guías para uso odontológico</t>
  </si>
  <si>
    <t>Equipo para llenado de ampolletas</t>
  </si>
  <si>
    <t>Fibras de abacá</t>
  </si>
  <si>
    <t>Crayones especializados</t>
  </si>
  <si>
    <t>Forjaduras anulares laminadas de acero inoxidable</t>
  </si>
  <si>
    <t>Cabeza del impulsor</t>
  </si>
  <si>
    <t>Cinta magnética</t>
  </si>
  <si>
    <t>Producción de raíces o tubérculos</t>
  </si>
  <si>
    <t>Servicios de prevención o control de enfermedades causadas por hongos</t>
  </si>
  <si>
    <t>Vasijas para pintura o para mezclar o almacenar pintura</t>
  </si>
  <si>
    <t>Tela o textil de grafito</t>
  </si>
  <si>
    <t>Manuel Bueno</t>
  </si>
  <si>
    <t>Contenedores de almacenamiento de semillas para braquiterapia</t>
  </si>
  <si>
    <t>Pupitres</t>
  </si>
  <si>
    <t>Las Cañitas, Elupina Cordero</t>
  </si>
  <si>
    <t>Fragmentos de vidrios de colores</t>
  </si>
  <si>
    <t>Asistentes personales digitales pda u organizadores</t>
  </si>
  <si>
    <t>Pinzas o disectores o agarraderas o fórceps o ligantes endoscópicos</t>
  </si>
  <si>
    <t>Software de manejo de relaciones con el cliente crm</t>
  </si>
  <si>
    <t>Megohmetros</t>
  </si>
  <si>
    <t>Adaptadores de retractores</t>
  </si>
  <si>
    <t>Forros deslizantes para laboratorio</t>
  </si>
  <si>
    <t>Servicios de limpieza de terrenos en obras</t>
  </si>
  <si>
    <t>Servicios de transporte de carga por carretera (en camión) en área local</t>
  </si>
  <si>
    <t>Buriles</t>
  </si>
  <si>
    <t>Lienzos estampables</t>
  </si>
  <si>
    <t>Accesorios para caminadores o andadores</t>
  </si>
  <si>
    <t>30222502</t>
  </si>
  <si>
    <t>Máquinas para hacer etiquetas</t>
  </si>
  <si>
    <t>Partes o accesorios de bombas intravenosas</t>
  </si>
  <si>
    <t>11161804</t>
  </si>
  <si>
    <t>Convertidores de un solo paso para unidades de hemodiálisis</t>
  </si>
  <si>
    <t>Batas de aislamiento para personal médico</t>
  </si>
  <si>
    <t>Equipo de ácido líquido a granel</t>
  </si>
  <si>
    <t>42171612</t>
  </si>
  <si>
    <t>Densitómetros de hueso de rayos x</t>
  </si>
  <si>
    <t>Yaguate</t>
  </si>
  <si>
    <t>Piezas de titanio forjadas a martinete</t>
  </si>
  <si>
    <t>31242206</t>
  </si>
  <si>
    <t>Servicios de fabricación de equipos de laboratorio</t>
  </si>
  <si>
    <t>Adaptadores de silenciadores</t>
  </si>
  <si>
    <t>Trabajadores manuales temporales</t>
  </si>
  <si>
    <t>Fuentes alfa</t>
  </si>
  <si>
    <t>Objetos maquinados no metálicos fundidos en molde de yeso</t>
  </si>
  <si>
    <t>Equipo de garrocha para uso gimnástico</t>
  </si>
  <si>
    <t>Trucha viva</t>
  </si>
  <si>
    <t>Servicios de mezclado de control de arena</t>
  </si>
  <si>
    <t>Cambiador de bombilla de luz</t>
  </si>
  <si>
    <t>Taller de pintura variado</t>
  </si>
  <si>
    <t>Sistemas de manipulación líquida automática o robótica</t>
  </si>
  <si>
    <t>Ensambles estructurales pegados de acero de aleación baja</t>
  </si>
  <si>
    <t>Ingeniería o disposición de la planta de pintura</t>
  </si>
  <si>
    <t>Californio cf</t>
  </si>
  <si>
    <t>Evaluadores de impotencia masculina</t>
  </si>
  <si>
    <t>Cable plano o de cinta</t>
  </si>
  <si>
    <t>Ensambles de barras soldadas con soldadura fuerte o débil no metálica</t>
  </si>
  <si>
    <t>Columpios para jardín</t>
  </si>
  <si>
    <t>Objetos maquinados de berilio fundidos en arena</t>
  </si>
  <si>
    <t>Máquinas para hacer ensayos de tabletas o cápsulas</t>
  </si>
  <si>
    <t>Burletes</t>
  </si>
  <si>
    <t>Aloína</t>
  </si>
  <si>
    <t>42271719</t>
  </si>
  <si>
    <t>Ensambles de barras soldadas con solvente de inconel</t>
  </si>
  <si>
    <t>Las Barías</t>
  </si>
  <si>
    <t>Cintas métricas</t>
  </si>
  <si>
    <t>Afiches o carteles de geografía</t>
  </si>
  <si>
    <t>Control de langostas</t>
  </si>
  <si>
    <t>Servicios de enlechar cemento de pozo</t>
  </si>
  <si>
    <t>Ayuda bilateral o multilateral</t>
  </si>
  <si>
    <t>Losas o baldosas de concreto</t>
  </si>
  <si>
    <t>Oxicodona</t>
  </si>
  <si>
    <t>Guía de válvula</t>
  </si>
  <si>
    <t>Tolvas para empacar</t>
  </si>
  <si>
    <t>Tijeras de bajo grado</t>
  </si>
  <si>
    <t>Té de hoja</t>
  </si>
  <si>
    <t>Radiómetro</t>
  </si>
  <si>
    <t>Paneles acrílicos para marcos</t>
  </si>
  <si>
    <t>Clorhidrato de dobutamina</t>
  </si>
  <si>
    <t>Congeladores verticales para uso doméstico</t>
  </si>
  <si>
    <t>Daclizumab</t>
  </si>
  <si>
    <t>42143301</t>
  </si>
  <si>
    <t>Súper aleación ta6v</t>
  </si>
  <si>
    <t>Piedra de la veta</t>
  </si>
  <si>
    <t>Servicios de estimulación de la matriz  a base de ácido</t>
  </si>
  <si>
    <t>Pantallas o piezas o equipo vibratorios de separación</t>
  </si>
  <si>
    <t>Tapas para sartenes u ollas para uso comercial</t>
  </si>
  <si>
    <t>Láminas de asbesto</t>
  </si>
  <si>
    <t>Máquinas expendedoras de boletas</t>
  </si>
  <si>
    <t>Sartenes eléctricos para uso doméstico</t>
  </si>
  <si>
    <t>Planificación de la estrategia de conservación marítima</t>
  </si>
  <si>
    <t>Rimexolona</t>
  </si>
  <si>
    <t>Componentes de aluminio formados enrollados</t>
  </si>
  <si>
    <t>Libros de ideas</t>
  </si>
  <si>
    <t>Aplanadoras</t>
  </si>
  <si>
    <t>Letras o números autoadhesivos</t>
  </si>
  <si>
    <t>Kits de reacción en cadena de polimerasa transcriptasa inversa rt pcr</t>
  </si>
  <si>
    <t>Servicios de vacunación animal</t>
  </si>
  <si>
    <t>Recursos de plantaciones áridas con agua de lluvia</t>
  </si>
  <si>
    <t>Tubería de goma</t>
  </si>
  <si>
    <t>Zonas libres de armas nucleares o químicas</t>
  </si>
  <si>
    <t>Ensambles de láminas soldadas con soldadura ultra violeta de aluminio</t>
  </si>
  <si>
    <t>OPERACIONES/PROYECTOS 2</t>
  </si>
  <si>
    <t>Servicios de investigación cardiológica</t>
  </si>
  <si>
    <t>Banda de titanio</t>
  </si>
  <si>
    <t>Forjas de berilio maquinadas por anillo enrollado</t>
  </si>
  <si>
    <t>Hato del Yaque</t>
  </si>
  <si>
    <t>Desonida</t>
  </si>
  <si>
    <t>Unidades de electrocardiografía ekg</t>
  </si>
  <si>
    <t>Ayudas para la limpieza de moldes auditivos</t>
  </si>
  <si>
    <t>Villa Jaragua</t>
  </si>
  <si>
    <t>Controles de disolución</t>
  </si>
  <si>
    <t>Generadores hidroeléctricos</t>
  </si>
  <si>
    <t>Maquinaria de pulverización</t>
  </si>
  <si>
    <t>Dispensadores de papel higiénico</t>
  </si>
  <si>
    <t>Misiles aire a aire</t>
  </si>
  <si>
    <t>Rollos de instrumentos para sets o accesorios de tablillas</t>
  </si>
  <si>
    <t>Servicios de higienistas dentales</t>
  </si>
  <si>
    <t>Semillas o plántulas de calabaza</t>
  </si>
  <si>
    <t>Lavado en seco</t>
  </si>
  <si>
    <t>Aceite atemperante</t>
  </si>
  <si>
    <t>Objetos de magnesio fundidos en molde de grafito</t>
  </si>
  <si>
    <t>Bujías para uso quirúrgico</t>
  </si>
  <si>
    <t>Carbidopa</t>
  </si>
  <si>
    <t>Gabinetes u organizadores con llave</t>
  </si>
  <si>
    <t>Servicios de perspectivas de desarrollo profesional</t>
  </si>
  <si>
    <t>Alquiler de casilleros</t>
  </si>
  <si>
    <t>Fragatas</t>
  </si>
  <si>
    <t>51142009</t>
  </si>
  <si>
    <t>Etiquetas de triage para servicios médicos de emergencia</t>
  </si>
  <si>
    <t>Objetos fundidos maquinados con troquel de plomo</t>
  </si>
  <si>
    <t>Servicios de monitoreo del rendimiento del campo petrolero</t>
  </si>
  <si>
    <t>Stents coronarios</t>
  </si>
  <si>
    <t>Dispositivo golpeador de cable</t>
  </si>
  <si>
    <t>Metsuximida</t>
  </si>
  <si>
    <t>Cepillos de extensor</t>
  </si>
  <si>
    <t>Leucita</t>
  </si>
  <si>
    <t>Triamtereno</t>
  </si>
  <si>
    <t>Servicios de optómetras</t>
  </si>
  <si>
    <t>Tapas de rodamientos</t>
  </si>
  <si>
    <t>Trituradoras de pavimento</t>
  </si>
  <si>
    <t>Guías de referencia de geografía</t>
  </si>
  <si>
    <t>Haloperidol</t>
  </si>
  <si>
    <t>Incubadoras planas</t>
  </si>
  <si>
    <t>Artículos para el cuidado del cabello</t>
  </si>
  <si>
    <t>Unidades ultra violeta de purificación de agua</t>
  </si>
  <si>
    <t>Interruptores pulsadores</t>
  </si>
  <si>
    <t>Servicios de hardware de tuberías de revestimiento para campos petroleros</t>
  </si>
  <si>
    <t>Lino</t>
  </si>
  <si>
    <t>Letras o números para calcar</t>
  </si>
  <si>
    <t>Previsión de precios de las mercancías</t>
  </si>
  <si>
    <t>Consola de control de calderas programables</t>
  </si>
  <si>
    <t>Reparación del tren de aterrizaje</t>
  </si>
  <si>
    <t>Dicumarol</t>
  </si>
  <si>
    <t>Actualizaciones o parches de software</t>
  </si>
  <si>
    <t>Fundición en arena de titanio</t>
  </si>
  <si>
    <t>Lingotes de peltre</t>
  </si>
  <si>
    <t>Deshidratadores de frasco</t>
  </si>
  <si>
    <t>Servicios de  asesoramiento sobre economía ambiental</t>
  </si>
  <si>
    <t>Servicios de lenguas arcaicas o indígenas</t>
  </si>
  <si>
    <t>Servicio de mantenimiento o soporte del hardware del computador</t>
  </si>
  <si>
    <t>Globos terráqueos electrónicos</t>
  </si>
  <si>
    <t>Tenazas de reposición</t>
  </si>
  <si>
    <t>Subestación</t>
  </si>
  <si>
    <t>Dietilestilbestrol</t>
  </si>
  <si>
    <t>Relojes de pulso</t>
  </si>
  <si>
    <t>52151636</t>
  </si>
  <si>
    <t>Cornetas musicales</t>
  </si>
  <si>
    <t>Peladora de vegetales</t>
  </si>
  <si>
    <t>Forjas de acero maquinadas por reducción</t>
  </si>
  <si>
    <t>Cuerda o pita</t>
  </si>
  <si>
    <t>Piezas de luces indicadoras o accesorios</t>
  </si>
  <si>
    <t>Individuales de mesa</t>
  </si>
  <si>
    <t>INSUMOS CIRUGIA MAYOR 1</t>
  </si>
  <si>
    <t>Galletas sencillas de sal</t>
  </si>
  <si>
    <t>MEDICAMENTOS BRONCODILATADORES, DERMATITIS, DIURETICOS</t>
  </si>
  <si>
    <t>Remaches de estañador</t>
  </si>
  <si>
    <t>Grabadores de cera para uso odontológico</t>
  </si>
  <si>
    <t>Gestión o administración de proyectos de mobiliario</t>
  </si>
  <si>
    <t>Tablas de surf</t>
  </si>
  <si>
    <t>Equipos o accesorios para criocirugía</t>
  </si>
  <si>
    <t>Pinturas</t>
  </si>
  <si>
    <t>Centrífugas de vacío</t>
  </si>
  <si>
    <t>Sicrómetros</t>
  </si>
  <si>
    <t>SORTEO DE OBRAS</t>
  </si>
  <si>
    <t>Servicios de prueba de madera</t>
  </si>
  <si>
    <t>Servicios de especialistas pulmonares</t>
  </si>
  <si>
    <t>Ayuda gubernamental</t>
  </si>
  <si>
    <t>Blocs de papel para acuarela</t>
  </si>
  <si>
    <t>Equipo de remoción de bacterias</t>
  </si>
  <si>
    <t>Hidroaviones</t>
  </si>
  <si>
    <t>Cana Chapetón</t>
  </si>
  <si>
    <t>Formación de recursos humanos para el sector de gestión</t>
  </si>
  <si>
    <t>Objetos de aleación ferrosa fundidos a la cera perdida</t>
  </si>
  <si>
    <t>Mantenimiento o reparación de sistemas de fontanería</t>
  </si>
  <si>
    <t>Sulfinpirazona</t>
  </si>
  <si>
    <t>Amortiguación</t>
  </si>
  <si>
    <t>Corbatas o pañoletas o bufandas</t>
  </si>
  <si>
    <t>Kits de extracción de gel de ácido ribonucleico rna</t>
  </si>
  <si>
    <t>Servicios de monitoreo de la contaminación acústica</t>
  </si>
  <si>
    <t>Roxitromicina</t>
  </si>
  <si>
    <t>Tubería de proceso acidificante</t>
  </si>
  <si>
    <t>Rueda de sierra de cinta</t>
  </si>
  <si>
    <t>Centro cívico</t>
  </si>
  <si>
    <t>Destrucción de armas</t>
  </si>
  <si>
    <t>Zapateras</t>
  </si>
  <si>
    <t>Trimetilxantina</t>
  </si>
  <si>
    <t>Bombas de barra</t>
  </si>
  <si>
    <t>Bancos de apilado</t>
  </si>
  <si>
    <t>Alerones de avión</t>
  </si>
  <si>
    <t>Extrusiones por impacto de aleación ferrosa</t>
  </si>
  <si>
    <t>Software de acceso</t>
  </si>
  <si>
    <t>Servicios de administración o mantenimiento de viñedos</t>
  </si>
  <si>
    <t>UNIDAD EJECUTORA</t>
  </si>
  <si>
    <t>Papel para grabado para huecograbado o litografía</t>
  </si>
  <si>
    <t>Ondansetrón</t>
  </si>
  <si>
    <t>Servicios de pruebas de muestras de formación de pozos entubados</t>
  </si>
  <si>
    <t>Nitrato de terconazol</t>
  </si>
  <si>
    <t>60102007</t>
  </si>
  <si>
    <t>Máquinas fundidoras</t>
  </si>
  <si>
    <t>Probutato de hidrocortisona</t>
  </si>
  <si>
    <t>Aparato de difusión de gases</t>
  </si>
  <si>
    <t>Hidrocloruro de betaxolol</t>
  </si>
  <si>
    <t>Máquina de roscar machos</t>
  </si>
  <si>
    <t>Servicios de sellamiento de uniones</t>
  </si>
  <si>
    <t>Servicios de terminación de pozos de agujero revestido</t>
  </si>
  <si>
    <t>Probadores de semiconductores</t>
  </si>
  <si>
    <t>Micro jeringas para uso médico</t>
  </si>
  <si>
    <t>Rutenio ru</t>
  </si>
  <si>
    <t>Dactinomicina</t>
  </si>
  <si>
    <t>Caladora</t>
  </si>
  <si>
    <t>Volteadores de páginas para los discapacitados físicamente</t>
  </si>
  <si>
    <t>Bobina de aleación no ferrosa</t>
  </si>
  <si>
    <t>Bitartrato de metaraminol</t>
  </si>
  <si>
    <t>Instrumentación de terremotos para reactores nucleares</t>
  </si>
  <si>
    <t>Calcomanías para tatuaje</t>
  </si>
  <si>
    <t>Hornos tostadores para uso doméstico</t>
  </si>
  <si>
    <t>Tazas de café o té para uso doméstico</t>
  </si>
  <si>
    <t>Cubierta de derrames</t>
  </si>
  <si>
    <t>Aerodeslizadores</t>
  </si>
  <si>
    <t>Tubos de tetrodo</t>
  </si>
  <si>
    <t>Servicios de pruebas  o modificaciones de tubos para pozos de petróleo</t>
  </si>
  <si>
    <t>Lija o esmeril</t>
  </si>
  <si>
    <t>Aro para bordado</t>
  </si>
  <si>
    <t>Polo</t>
  </si>
  <si>
    <t>Escáneres de presión</t>
  </si>
  <si>
    <t>RESMA</t>
  </si>
  <si>
    <t>Ejes de brazo oscilante</t>
  </si>
  <si>
    <t>Instrumentos de navegación por radio</t>
  </si>
  <si>
    <t>Servicios de redes públicas de retransmisión de tramas</t>
  </si>
  <si>
    <t>Bentonita</t>
  </si>
  <si>
    <t>Objetos maquinados centrifugados de titanio fundidos</t>
  </si>
  <si>
    <t>Pelfigrastim</t>
  </si>
  <si>
    <t>Criostatos</t>
  </si>
  <si>
    <t>Kit de inicio de nodo de servicio de internet</t>
  </si>
  <si>
    <t>Apoya cucharas</t>
  </si>
  <si>
    <t>Sets de botellas para uso veterinario</t>
  </si>
  <si>
    <t>Tinturas</t>
  </si>
  <si>
    <t>Clavicordios</t>
  </si>
  <si>
    <t>Parafina para histología</t>
  </si>
  <si>
    <t>Fenofibrato</t>
  </si>
  <si>
    <t>Equipo para talabartería</t>
  </si>
  <si>
    <t>Hidrantes</t>
  </si>
  <si>
    <t>Fosfatidilcolina</t>
  </si>
  <si>
    <t>27112128</t>
  </si>
  <si>
    <t>Poliacetal</t>
  </si>
  <si>
    <t>Clips para papel</t>
  </si>
  <si>
    <t>Servicios de fabricación de fibra de vidrio</t>
  </si>
  <si>
    <t>LICITACIÓN PÚBLICA INTERNACIONAL</t>
  </si>
  <si>
    <t>Servicios de apertura de hoyos o estabilización de la perforación de pozos</t>
  </si>
  <si>
    <t>Servicios de fracturar del pozo con fluido con base de agua</t>
  </si>
  <si>
    <t>Cintas adhesivas de escritorio con los números</t>
  </si>
  <si>
    <t>Avión de transporte militar</t>
  </si>
  <si>
    <t>Materiales de enseñanza de habilidades para la crianza de los hijos</t>
  </si>
  <si>
    <t>Servicios de traducción escrita</t>
  </si>
  <si>
    <t>Sabaneta de Yásica</t>
  </si>
  <si>
    <t>Sillas de brazos</t>
  </si>
  <si>
    <t>Limpiadores de tabaco para pipas</t>
  </si>
  <si>
    <t>Acetilcisteína</t>
  </si>
  <si>
    <t>Tapones del anticongelante</t>
  </si>
  <si>
    <t>Bibliotecas de universidades o colleges</t>
  </si>
  <si>
    <t>Calentadores de convección</t>
  </si>
  <si>
    <t>Claraboyas de ventilación</t>
  </si>
  <si>
    <t>Servicios de bombeo del campo petrolero utilizando cables</t>
  </si>
  <si>
    <t>Activadores por engranajes</t>
  </si>
  <si>
    <t>Servicios del control de calidad del tratamiento de la matriz</t>
  </si>
  <si>
    <t>Boquilla de pegamento</t>
  </si>
  <si>
    <t>Diazóxido</t>
  </si>
  <si>
    <t>Politiazida</t>
  </si>
  <si>
    <t>Amortiguadores de choque</t>
  </si>
  <si>
    <t>Eliminación de residuos médicos</t>
  </si>
  <si>
    <t>Conformadora</t>
  </si>
  <si>
    <t>Eclisas</t>
  </si>
  <si>
    <t>Diacetato de triamcinolona</t>
  </si>
  <si>
    <t>Sistemas de seguridad o de control de acceso</t>
  </si>
  <si>
    <t>Jabones lubricantes</t>
  </si>
  <si>
    <t>Moldeables densos</t>
  </si>
  <si>
    <t>Opciones de color o actualizaciones</t>
  </si>
  <si>
    <t>Clubes de aficionados a la cocina</t>
  </si>
  <si>
    <t>Tubos endobronquiales</t>
  </si>
  <si>
    <t>Bloques de base diez</t>
  </si>
  <si>
    <t>Acero de alta velocidad z90wdkcv65542 or m35</t>
  </si>
  <si>
    <t>Proyectores multimedia</t>
  </si>
  <si>
    <t>Estimuladores de hueso para uso quirúrgico</t>
  </si>
  <si>
    <t>carnes y pescados para consumir en el incart</t>
  </si>
  <si>
    <t>Formas de cobre</t>
  </si>
  <si>
    <t>Vestidos de baño para mujer</t>
  </si>
  <si>
    <t>Municipio</t>
  </si>
  <si>
    <t>Ensambles de barras pegadas de aleación wasp</t>
  </si>
  <si>
    <t>Asociaciones de odontólogos</t>
  </si>
  <si>
    <t>Luces de emergencia o estroboscópicas (licuadoras)</t>
  </si>
  <si>
    <t>Campañas contra el tabaco</t>
  </si>
  <si>
    <t>Ácido láctico</t>
  </si>
  <si>
    <t>Bajos de Haina</t>
  </si>
  <si>
    <t>Directorios electrónicos</t>
  </si>
  <si>
    <t>Calienta comidas para uso doméstico</t>
  </si>
  <si>
    <t>Gabinetes de almacenamiento de cadáveres</t>
  </si>
  <si>
    <t>Pinzas de diálisis</t>
  </si>
  <si>
    <t>Compuesto de caucho</t>
  </si>
  <si>
    <t>Estaciones de elevación</t>
  </si>
  <si>
    <t>Juntador de capas de material</t>
  </si>
  <si>
    <t>Adaptadores del motor de arranque</t>
  </si>
  <si>
    <t>Fibrinógeno</t>
  </si>
  <si>
    <t>Tapas de contenedores de basura</t>
  </si>
  <si>
    <t>Materiales de enseñanza de habilidades culinarias</t>
  </si>
  <si>
    <t>Servicios de medición de la densidad durante la perforación</t>
  </si>
  <si>
    <t>Conductos o red de conductos de acero inoxidable</t>
  </si>
  <si>
    <t>Extractores de aire</t>
  </si>
  <si>
    <t>Motores de turbina hidráulica</t>
  </si>
  <si>
    <t>Pintura de tatuaje provisional</t>
  </si>
  <si>
    <t>Ensambles de tubería soldada de solvente de aleación hast x</t>
  </si>
  <si>
    <t>Inserción en medios impresos</t>
  </si>
  <si>
    <t>Barrenos para aumento forestal</t>
  </si>
  <si>
    <t>Sistemas de video conferencias</t>
  </si>
  <si>
    <t>Clorhidrato de nalbufina</t>
  </si>
  <si>
    <t>Bolas o rodillos de cojinete</t>
  </si>
  <si>
    <t>Confeti de plástico o de papel</t>
  </si>
  <si>
    <t>Invertebrados acuáticos almacenado en repisa</t>
  </si>
  <si>
    <t>Desarrollo de los recursos forestales</t>
  </si>
  <si>
    <t>Claras y yemas de huevo</t>
  </si>
  <si>
    <t>Radio nucleótidos o nucleosidos</t>
  </si>
  <si>
    <t>Cintas de tejido para uso quirúrgico</t>
  </si>
  <si>
    <t>Clorhidrato de cloroprocaína</t>
  </si>
  <si>
    <t>Espectrómetros infrarrojos</t>
  </si>
  <si>
    <t>Proteínas</t>
  </si>
  <si>
    <t>Servicios legales sobre contratos</t>
  </si>
  <si>
    <t>Producción de fruta</t>
  </si>
  <si>
    <t>Forjaduras en estampa cerrada de aluminio</t>
  </si>
  <si>
    <t>Cabezales panorámicos</t>
  </si>
  <si>
    <t>Sistemas de trenes o accesorios</t>
  </si>
  <si>
    <t>Servicios de plantas de conservas</t>
  </si>
  <si>
    <t>Cafeteras o máquinas para hacer té helado de uso comercial</t>
  </si>
  <si>
    <t>Materiales didácticos de  horticultura</t>
  </si>
  <si>
    <t>Cizallas</t>
  </si>
  <si>
    <t>Secadores de linos tipo hogar</t>
  </si>
  <si>
    <t>Servicios recaudación de  impuestos o tasas administrativas</t>
  </si>
  <si>
    <t>Máquinas para limpiar ductos</t>
  </si>
  <si>
    <t>Animales de juguete</t>
  </si>
  <si>
    <t>Bicicletas de turismo</t>
  </si>
  <si>
    <t>Fusibles de cartucho</t>
  </si>
  <si>
    <t>Sets de instrumentos médicos oftálmicos</t>
  </si>
  <si>
    <t>Alambre para automoción o aviación</t>
  </si>
  <si>
    <t>Calibrador de clavos</t>
  </si>
  <si>
    <t>Kits de cuidado de instrumentos</t>
  </si>
  <si>
    <t>Cuero de caballo</t>
  </si>
  <si>
    <t>Filtros de pantalla para aparatos de anestesia</t>
  </si>
  <si>
    <t>Elevadores finales de motor</t>
  </si>
  <si>
    <t>Peralta</t>
  </si>
  <si>
    <t>Forjado por golpe de troquel de acero en frío</t>
  </si>
  <si>
    <t>Política de inversiones</t>
  </si>
  <si>
    <t>Servicios de rehabilitación deportiva</t>
  </si>
  <si>
    <t>Servicios de bombeo en el fondo del pozo</t>
  </si>
  <si>
    <t>Unidades de control de fracturación</t>
  </si>
  <si>
    <t>SERVICIOS: CONSULTORÍA</t>
  </si>
  <si>
    <t>Naftenato de cobre</t>
  </si>
  <si>
    <t>Baterías de níquel-cloruro de sodio</t>
  </si>
  <si>
    <t>Servicios de control de arena multizonal</t>
  </si>
  <si>
    <t>Lazos de papel</t>
  </si>
  <si>
    <t>40101903</t>
  </si>
  <si>
    <t>Canastas para servir para servicio de comidas</t>
  </si>
  <si>
    <t>Picadores ópticos</t>
  </si>
  <si>
    <t>Sensores de inductancia eléctrica</t>
  </si>
  <si>
    <t>Objetos de acero fundidos a la cera perdida</t>
  </si>
  <si>
    <t>Acabadores de terminales de tubos</t>
  </si>
  <si>
    <t>Objetos de acero fundidos en molde fijo</t>
  </si>
  <si>
    <t>Juntas líquidas</t>
  </si>
  <si>
    <t>Diseño de envolturas de productos mecánicos</t>
  </si>
  <si>
    <t>Ladrillos de cemento</t>
  </si>
  <si>
    <t>Residencias religiosas privadas</t>
  </si>
  <si>
    <t>Catéteres o kits de catéteres de enteroclisis para uso médico</t>
  </si>
  <si>
    <t>Tambores oftálmicos o sus accesorios</t>
  </si>
  <si>
    <t>Servicio de almacenamiento transitorio o recogida de tubos para perforación de pozos</t>
  </si>
  <si>
    <t>Pamoato de pirantel</t>
  </si>
  <si>
    <t>Moledoras de café para uso comercial</t>
  </si>
  <si>
    <t>Ensambles de láminas soldadas con soldadura solvente de acero de aleación baja</t>
  </si>
  <si>
    <t>Telas no tejidas ligadas térmicamente</t>
  </si>
  <si>
    <t>Suministros de recolección para ostomía</t>
  </si>
  <si>
    <t>Cintas de fax</t>
  </si>
  <si>
    <t>Clubes para reuniones sociales</t>
  </si>
  <si>
    <t>Comida para monos</t>
  </si>
  <si>
    <t>Sistemas de vigilancia basados en radar</t>
  </si>
  <si>
    <t>Calentadores de conductos de bobina</t>
  </si>
  <si>
    <t>Pitillos o sujeta pitillos para los discapacitados físicamente</t>
  </si>
  <si>
    <t>Hidrocloruro de valganciclovir</t>
  </si>
  <si>
    <t>Fondo Negro</t>
  </si>
  <si>
    <t>Bicicletas reclinadas</t>
  </si>
  <si>
    <t>Servicios de destilación o mezcla de licores</t>
  </si>
  <si>
    <t>Acetato de medroxiprogesterona</t>
  </si>
  <si>
    <t>Sellantes de cemento</t>
  </si>
  <si>
    <t>Dispositivos de calibración pulmonar</t>
  </si>
  <si>
    <t>Compuestos para modelado especializados</t>
  </si>
  <si>
    <t>Cierres</t>
  </si>
  <si>
    <t>Cuentas de gasto flexible (fsa)</t>
  </si>
  <si>
    <t>Devanadoras o encarretadoras</t>
  </si>
  <si>
    <t>Cauchos de repuesto</t>
  </si>
  <si>
    <t>44122016</t>
  </si>
  <si>
    <t>Dispensadores de etiquetas</t>
  </si>
  <si>
    <t>Platanal</t>
  </si>
  <si>
    <t>Pastel a base de aceite</t>
  </si>
  <si>
    <t>Ceras para batik</t>
  </si>
  <si>
    <t>Unidades temáticas de lectura</t>
  </si>
  <si>
    <t>Oxomemazina</t>
  </si>
  <si>
    <t>Aplicadores de clip para uso interno para uso médico</t>
  </si>
  <si>
    <t>Servicios de personalización de obsequios o productos</t>
  </si>
  <si>
    <t xml:space="preserve">INSUMOS CIRUGIA AMBULATORIA </t>
  </si>
  <si>
    <t>Servicios de estiba</t>
  </si>
  <si>
    <t>Multiplexado de división de la longitud de onda densa (dwdm)</t>
  </si>
  <si>
    <t>Vacuna contra el virus de la varicela</t>
  </si>
  <si>
    <t>Sellos de instrumentos para endoscopia</t>
  </si>
  <si>
    <t>Vestidos o cascos o máscaras faciales o accesorios de aislamiento de cirugía</t>
  </si>
  <si>
    <t>Objetos maquinados de estaño fundidos en molde en concha</t>
  </si>
  <si>
    <t>Eslinga de contenedor</t>
  </si>
  <si>
    <t>Dermotomos o aparatos para dermoabrasión o dermoreticulador para uso quirúrgico o accesorios</t>
  </si>
  <si>
    <t>Sets de instrumentos para uniones pequeñas para endoscopia</t>
  </si>
  <si>
    <t>Sonómetros</t>
  </si>
  <si>
    <t>Sensores de carga eléctrica</t>
  </si>
  <si>
    <t>Bulbos o tallos de jacinto</t>
  </si>
  <si>
    <t>Rebosamientos</t>
  </si>
  <si>
    <t>Servicios de asesoría sobre la contaminación acústica</t>
  </si>
  <si>
    <t>Adhesivos de recompensa</t>
  </si>
  <si>
    <t>Citrato sufentanilo</t>
  </si>
  <si>
    <t>Máquinas para cambiar billetes en monedas</t>
  </si>
  <si>
    <t>Servicios de manipulación con alambre (slickline)</t>
  </si>
  <si>
    <t>Papeles borrador para arte</t>
  </si>
  <si>
    <t>Unidades quirúrgicas</t>
  </si>
  <si>
    <t>Sistemas de control de superficie de perforación direccional</t>
  </si>
  <si>
    <t>Kits de cricotiroidotomía o tubo traqueal para servicios médicos de emergencia</t>
  </si>
  <si>
    <t>Aminofilina</t>
  </si>
  <si>
    <t>Floculantes</t>
  </si>
  <si>
    <t>Organizaciones políticas ecológicas</t>
  </si>
  <si>
    <t>Equipo de examen de radiografía de rayos x</t>
  </si>
  <si>
    <t>41102705</t>
  </si>
  <si>
    <t>Máquinas de amasar para uso comercial</t>
  </si>
  <si>
    <t>Gorras</t>
  </si>
  <si>
    <t>Bloques de conexiones</t>
  </si>
  <si>
    <t>Dapsona</t>
  </si>
  <si>
    <t>Sustitución de cultivos</t>
  </si>
  <si>
    <t>Mesilato de ziprasidona</t>
  </si>
  <si>
    <t>Sulfato de efedrina</t>
  </si>
  <si>
    <t>Proyectores de despliegue de cristal líquido</t>
  </si>
  <si>
    <t>Bases o soportes para señales</t>
  </si>
  <si>
    <t>Servicios de sistemas de información de ayuda alimentaria global o alerta anticipada</t>
  </si>
  <si>
    <t>Tapones de tubos de cable de recuperación</t>
  </si>
  <si>
    <t>Drenajes o sets o accesorios para uso quirúrgico</t>
  </si>
  <si>
    <t>Cinturones de seguridad</t>
  </si>
  <si>
    <t>Banda transportadora sobre rieles</t>
  </si>
  <si>
    <t>Clorhidrato de ritodrina</t>
  </si>
  <si>
    <t>Cubos metálicos</t>
  </si>
  <si>
    <t>Componentes compuestos formados por estiramiento</t>
  </si>
  <si>
    <t>Escáneres oftálmicos de ultrasonido para uso médico</t>
  </si>
  <si>
    <t>0007</t>
  </si>
  <si>
    <t>Servicios de crédito agrícola</t>
  </si>
  <si>
    <t>Libro de actividades de pentominós</t>
  </si>
  <si>
    <t>Clorhidrato de arbutamina</t>
  </si>
  <si>
    <t>Taladro de mano</t>
  </si>
  <si>
    <t>Hormonas para plantas</t>
  </si>
  <si>
    <t>Unidades de distribución de alimentación (pdus)</t>
  </si>
  <si>
    <t>Husos de medios</t>
  </si>
  <si>
    <t>Cordón plástico (rexlace)</t>
  </si>
  <si>
    <t>Máquinas expendedoras de maíz pira</t>
  </si>
  <si>
    <t>Relés de sobrecarga</t>
  </si>
  <si>
    <t>Materiales de enseñanza para compra de casa</t>
  </si>
  <si>
    <t>42295106</t>
  </si>
  <si>
    <t>Espéculos para uso veterinario</t>
  </si>
  <si>
    <t>Controladores de buscapersonas</t>
  </si>
  <si>
    <t>Collar del eje</t>
  </si>
  <si>
    <t>Ibuprofeno</t>
  </si>
  <si>
    <t>Bancos de módems</t>
  </si>
  <si>
    <t>Forjaduras en estampa cerrada de aleación no ferrosa</t>
  </si>
  <si>
    <t>Pirómetros</t>
  </si>
  <si>
    <t>Bambú</t>
  </si>
  <si>
    <t>Melarsoprol</t>
  </si>
  <si>
    <t>Trenza elástica</t>
  </si>
  <si>
    <t>Clubes deportivos de ciclismo</t>
  </si>
  <si>
    <t>Marcos  ajustables</t>
  </si>
  <si>
    <t>Servicios de elaboración del café</t>
  </si>
  <si>
    <t>Forjas de aluminio maquinadas con impresión por troquel</t>
  </si>
  <si>
    <t>Vestidos folclóricos para hombre</t>
  </si>
  <si>
    <t>Percusores de pecho</t>
  </si>
  <si>
    <t>Revestimiento de conductor</t>
  </si>
  <si>
    <t>Montaje de fijador de cable</t>
  </si>
  <si>
    <t>Bombas de agua</t>
  </si>
  <si>
    <t>Servicios de vivienda asistida</t>
  </si>
  <si>
    <t>Jarras</t>
  </si>
  <si>
    <t>Mezcladores para uso comercial</t>
  </si>
  <si>
    <t>Bidones metálicos para líquido inflamable</t>
  </si>
  <si>
    <t>Pentifilina</t>
  </si>
  <si>
    <t>Kits de vitrectomía oftálmica</t>
  </si>
  <si>
    <t>Unidades de lavado de seguridad</t>
  </si>
  <si>
    <t>Ensambles de barras soldadas con soldadura sónica de aluminio</t>
  </si>
  <si>
    <t>Freno enfriado con líquido</t>
  </si>
  <si>
    <t>41104109</t>
  </si>
  <si>
    <t>Periódicos electrónicos</t>
  </si>
  <si>
    <t>Ensambles de placas soldadas de aleación hast x</t>
  </si>
  <si>
    <t>Botas para mujer</t>
  </si>
  <si>
    <t>Arroyo Barril</t>
  </si>
  <si>
    <t>Cloruro de polivinilo clorado</t>
  </si>
  <si>
    <t>Servicios de costura industrial</t>
  </si>
  <si>
    <t>Residencia de jubilados</t>
  </si>
  <si>
    <t>Cefalotina</t>
  </si>
  <si>
    <t>Componentes de magnesio hidroformados</t>
  </si>
  <si>
    <t>Baterías de níquel- hidrógeno</t>
  </si>
  <si>
    <t>Empresas de excursiones turísticas</t>
  </si>
  <si>
    <t>Misiles balísticos</t>
  </si>
  <si>
    <t>Ocarinas</t>
  </si>
  <si>
    <t>Mirillas (indicadores de nivel)</t>
  </si>
  <si>
    <t>Hilado de yute</t>
  </si>
  <si>
    <t>Irradiadores de neutrones</t>
  </si>
  <si>
    <t>Institutos técnicos</t>
  </si>
  <si>
    <t>Marcos para ventanas fijas</t>
  </si>
  <si>
    <t>Equipo de acceso de onda corta</t>
  </si>
  <si>
    <t>Papel fluorescente</t>
  </si>
  <si>
    <t>Instalación de ventanas, puertas o dispositivos</t>
  </si>
  <si>
    <t>Núcleo de panal de bronce</t>
  </si>
  <si>
    <t>MEDICAMENTOS CONTROLADOS 2</t>
  </si>
  <si>
    <t>Dispositivos o accesorios de dilatación urológica para uso quirúrgico</t>
  </si>
  <si>
    <t>Cámaras de optimización de luz o dispositivos de visión</t>
  </si>
  <si>
    <t>Tanques de ondas</t>
  </si>
  <si>
    <t>Analizadores de agua</t>
  </si>
  <si>
    <t>Aconitum napellus (acónito común)</t>
  </si>
  <si>
    <t>Kits de cubiertas para bahías de drives</t>
  </si>
  <si>
    <t>Hornillas para uso doméstico</t>
  </si>
  <si>
    <t>Cuchillos o sujeta cuchillos o cuchillas histológicos</t>
  </si>
  <si>
    <t>Sistemas o suministros para cultivos ambientales anaeróbicos</t>
  </si>
  <si>
    <t>Bobina de aluminio</t>
  </si>
  <si>
    <t>Tablillas de escritura</t>
  </si>
  <si>
    <t>Pinzas de anillo de retención</t>
  </si>
  <si>
    <t>Productos de enseñanza para vestirse</t>
  </si>
  <si>
    <t>Removedores de suturas</t>
  </si>
  <si>
    <t>Curva de tubería</t>
  </si>
  <si>
    <t>Módems</t>
  </si>
  <si>
    <t>DISTRITOS MUNICIPALES</t>
  </si>
  <si>
    <t>Jaladores de hilo o aguja para autopsias</t>
  </si>
  <si>
    <t>Acondicionadores de energía para tomografía computarizada ct o cat para uso médico</t>
  </si>
  <si>
    <t>Carritos de herramientas industriales</t>
  </si>
  <si>
    <t>Ensambles de láminas pegadas de acero inoxidable</t>
  </si>
  <si>
    <t>51101511</t>
  </si>
  <si>
    <t>Freno de tambor</t>
  </si>
  <si>
    <t>Desarrollo de pequeñas industrias</t>
  </si>
  <si>
    <t>Afiches o tablas de bloques para patrones</t>
  </si>
  <si>
    <t>Servicios de redacción de manuales</t>
  </si>
  <si>
    <t>Cartelera con bolsillos</t>
  </si>
  <si>
    <t>Harina de pescado</t>
  </si>
  <si>
    <t>Fundición en arena de berilio</t>
  </si>
  <si>
    <t>Programas de prevención o control de abuso de drogas</t>
  </si>
  <si>
    <t>Ensambles de placas soldadas con soldadura ultra violeta de acero al carbono</t>
  </si>
  <si>
    <t>Diseño o decoración de interiores</t>
  </si>
  <si>
    <t>Muñecos para jugadas de futbol</t>
  </si>
  <si>
    <t>Objetos maquinados de acero inoxidable fundidos en molde de grafito</t>
  </si>
  <si>
    <t>Pivotes de acidificación</t>
  </si>
  <si>
    <t>Básculas de asiento para pacientes</t>
  </si>
  <si>
    <t>Máquinas pulidoras</t>
  </si>
  <si>
    <t>Fundición en arena de zinc</t>
  </si>
  <si>
    <t>Hidrocloruro de cetirizina</t>
  </si>
  <si>
    <t>Lógica transistor-transistor (ttl)</t>
  </si>
  <si>
    <t>31201515</t>
  </si>
  <si>
    <t>Espuma de supresión de incendios o compuestos similares</t>
  </si>
  <si>
    <t>Servicios de monitoreo de las fases en el emplazamiento  del pozo</t>
  </si>
  <si>
    <t>Agujas hipodérmicas</t>
  </si>
  <si>
    <t>HEMODIALISIS</t>
  </si>
  <si>
    <t>Afiches o cuadros de geometría</t>
  </si>
  <si>
    <t>Moldeos en arena de hierro</t>
  </si>
  <si>
    <t>Interruptores de flotador o de nivel</t>
  </si>
  <si>
    <t>Servicios de perforación de pozos con tubería flexible continua</t>
  </si>
  <si>
    <t>Objetos maquinados de aluminio fundidos en molde en concha</t>
  </si>
  <si>
    <t>Filtros de concentradores de oxígeno</t>
  </si>
  <si>
    <t>Tanques de profilaxis para uso odontológico</t>
  </si>
  <si>
    <t>Tela de algodón oxford</t>
  </si>
  <si>
    <t>11101511</t>
  </si>
  <si>
    <t>Mesas giratorias de taladro de perforación</t>
  </si>
  <si>
    <t>Kits de admisión para el cuidado del paciente</t>
  </si>
  <si>
    <t>Pantalones largos o cortos o pantalonetas para niña</t>
  </si>
  <si>
    <t>Explosivos de nitrato de amonio</t>
  </si>
  <si>
    <t>Controles de calidad o calibradores o estándares para virología</t>
  </si>
  <si>
    <t>Productos para el sistema cardiovascular para uso veterinario</t>
  </si>
  <si>
    <t>Dosímetros</t>
  </si>
  <si>
    <t>Grúas todo terreno</t>
  </si>
  <si>
    <t>Papel para fax</t>
  </si>
  <si>
    <t>Máquinas Ram de electro descarga</t>
  </si>
  <si>
    <t>Mantenimiento o monitoreo de sistemas de vigilancia de confinamiento</t>
  </si>
  <si>
    <t>Puertos de infusión para hemofiltración</t>
  </si>
  <si>
    <t>Pistolas de grapas eléctricas</t>
  </si>
  <si>
    <t>Rutherfordio rf</t>
  </si>
  <si>
    <t>Piletas térmicas</t>
  </si>
  <si>
    <t>Luces para uso odontológico general o sus accesorios</t>
  </si>
  <si>
    <t>CANTIDAD DE PROCESOS REGISTRADOS</t>
  </si>
  <si>
    <t>Iluminación empotrada</t>
  </si>
  <si>
    <t>Cubos no metálicos</t>
  </si>
  <si>
    <t>Raspadores de limpieza</t>
  </si>
  <si>
    <t>Bombas de presión de dialisato para hemodiálisis</t>
  </si>
  <si>
    <t>Servicios de preservación o  promoción del patrimonio cultural</t>
  </si>
  <si>
    <t>Moduladores</t>
  </si>
  <si>
    <t>47121611</t>
  </si>
  <si>
    <t>Diseño de máquinas herramientas</t>
  </si>
  <si>
    <t>Organizadores industriales</t>
  </si>
  <si>
    <t>Piezas bucales para endoscopia</t>
  </si>
  <si>
    <t>Kits para purificación de ácido ribonucleico mensajero mrna</t>
  </si>
  <si>
    <t>Servicios de evaluación del control de gas o agua</t>
  </si>
  <si>
    <t>Bridas ciegas</t>
  </si>
  <si>
    <t>Impresora de almohadillas</t>
  </si>
  <si>
    <t>Interruptor de lámpara</t>
  </si>
  <si>
    <t>Equipos de rayos x para cardiología</t>
  </si>
  <si>
    <t>Lógica de emisor acoplado (ecl)</t>
  </si>
  <si>
    <t>Reserpina</t>
  </si>
  <si>
    <t>Diseño o gráficos artísticos</t>
  </si>
  <si>
    <t>LEVIN,SONDAS Y TUBOS 3</t>
  </si>
  <si>
    <t>Equipos de paso para aeróbicos (“step”)</t>
  </si>
  <si>
    <t>42131609</t>
  </si>
  <si>
    <t>Zapatas de flotación</t>
  </si>
  <si>
    <t>Reactores, fermentadores o digestores</t>
  </si>
  <si>
    <t>Boro b</t>
  </si>
  <si>
    <t>Vallado de fibrocemento</t>
  </si>
  <si>
    <t>Aceleradores lineales para teleterapia radioterapia</t>
  </si>
  <si>
    <t>Tubos de tasa de sedimentación</t>
  </si>
  <si>
    <t>Equipo de limpieza ultrasónica</t>
  </si>
  <si>
    <t>Crayolas</t>
  </si>
  <si>
    <t>Respaldos para archivos</t>
  </si>
  <si>
    <t>Correas antiestáticas para los dedos de los pies</t>
  </si>
  <si>
    <t>Almacenamientos de transportes</t>
  </si>
  <si>
    <t>Filtros de bolsa</t>
  </si>
  <si>
    <t>Barras giratorias, barras para revolver o gotas para revolver magnéticas</t>
  </si>
  <si>
    <t>Engranajes cónicos</t>
  </si>
  <si>
    <t>Brazos o soportes para monitores</t>
  </si>
  <si>
    <t>Servicios de fluido o lodo para perforación de pozos</t>
  </si>
  <si>
    <t>Enhebrador de agujas</t>
  </si>
  <si>
    <t>Refrescador de aire</t>
  </si>
  <si>
    <t>Espátulas de paleta</t>
  </si>
  <si>
    <t>Fermio fm</t>
  </si>
  <si>
    <t>Bolitas absorbentes de uso odontológico</t>
  </si>
  <si>
    <t>Evaluación del impacto nutricional de la ayuda alimentaria</t>
  </si>
  <si>
    <t>Zonas de paz</t>
  </si>
  <si>
    <t>Neveras para uso doméstico</t>
  </si>
  <si>
    <t>Monitores de presión pulmonar</t>
  </si>
  <si>
    <t>Estuches para anteojos</t>
  </si>
  <si>
    <t>Fichas para juegos de matemáticas</t>
  </si>
  <si>
    <t>Hebillas para el pelo</t>
  </si>
  <si>
    <t>Alimentadores para banda transportadora</t>
  </si>
  <si>
    <t>Cuchillas de corte para encuadernación</t>
  </si>
  <si>
    <t>Planificación de la producción</t>
  </si>
  <si>
    <t>Nervaduras de avión</t>
  </si>
  <si>
    <t>Mercancía promocional</t>
  </si>
  <si>
    <t>Baitoa</t>
  </si>
  <si>
    <t>Servicios de fabricación de   trajes o chaquetas o abrigos tejidos</t>
  </si>
  <si>
    <t>32101527</t>
  </si>
  <si>
    <t>Calentadores de motor</t>
  </si>
  <si>
    <t>Materiales de enseñanza de comprensión de las adicciones o cómo evitarlas</t>
  </si>
  <si>
    <t>Sujetadores bucales para uso odontológico</t>
  </si>
  <si>
    <t>Manivelas</t>
  </si>
  <si>
    <t>Capacitación sobre cadenas de aprovisionamiento o suministro</t>
  </si>
  <si>
    <t>Servicios de laboratorios neurológicos</t>
  </si>
  <si>
    <t>Tubos nasogástricos</t>
  </si>
  <si>
    <t>Compuestos unión Albarrada</t>
  </si>
  <si>
    <t>Mezcla eutéctica de anestésicos locales</t>
  </si>
  <si>
    <t>Canrenoato de potasio</t>
  </si>
  <si>
    <t>Palitos (copitos) con punta de fibra</t>
  </si>
  <si>
    <t>Kits de válvulas</t>
  </si>
  <si>
    <t>Rodamientos lineales</t>
  </si>
  <si>
    <t>Cenefas</t>
  </si>
  <si>
    <t>Vigas de acero inoxidable</t>
  </si>
  <si>
    <t>Pañitos limpiadores para equipo diagnóstico</t>
  </si>
  <si>
    <t>Objetos maquinados en molde permanente de bronce fundidos</t>
  </si>
  <si>
    <t>Extrusiones de perfiles de magnesio</t>
  </si>
  <si>
    <t>Hidroxiestrona diacetato</t>
  </si>
  <si>
    <t>Piezas de acero inoxidable fundidas a presión</t>
  </si>
  <si>
    <t>Rejillas de equipo radiográfico para uso médico</t>
  </si>
  <si>
    <t>Bombas no selladas</t>
  </si>
  <si>
    <t>Túnel para canal</t>
  </si>
  <si>
    <t>Adhesivos de fotos</t>
  </si>
  <si>
    <t>Servicios de asesoramiento sobre tecnologías de la información</t>
  </si>
  <si>
    <t>Polidocanol</t>
  </si>
  <si>
    <t>Administración de cafeterías al pie de obra</t>
  </si>
  <si>
    <t>51101589</t>
  </si>
  <si>
    <t>Objetos maquinados de aleación ferrosa fundidos en molde cerámico</t>
  </si>
  <si>
    <t>Cortador de aves</t>
  </si>
  <si>
    <t>Hidrotalcita</t>
  </si>
  <si>
    <t>Servicios de asesoramiento sobre ciencias ambientales</t>
  </si>
  <si>
    <t>Servicio financiero de alquiler de operaciones</t>
  </si>
  <si>
    <t>Dos muestrarios o sistemas de dos híbridos</t>
  </si>
  <si>
    <t>Talio tl</t>
  </si>
  <si>
    <t>Tableros de basquetbol</t>
  </si>
  <si>
    <t>Tarjetas de circuito de una cara</t>
  </si>
  <si>
    <t>Cortafríos</t>
  </si>
  <si>
    <t>Fieltros de recubrimiento ortopédico para la mano o el dedo</t>
  </si>
  <si>
    <t>Moledores de roca</t>
  </si>
  <si>
    <t>Servicios de promoción de artesanías tradicionales</t>
  </si>
  <si>
    <t>La Jagua</t>
  </si>
  <si>
    <t>Mezclas para hornear</t>
  </si>
  <si>
    <t>Guías de referencia de precálculo o cálculo</t>
  </si>
  <si>
    <t>Mostradores para helados</t>
  </si>
  <si>
    <t>Medición o monitoreo de la contaminación del suelo</t>
  </si>
  <si>
    <t>Planchas para muelles</t>
  </si>
  <si>
    <t>Nombres de los dominio de internet</t>
  </si>
  <si>
    <t>52152006</t>
  </si>
  <si>
    <t>Interfaces de interface digital de instrumentos musicales midi</t>
  </si>
  <si>
    <t>Asnos</t>
  </si>
  <si>
    <t>Abciximab</t>
  </si>
  <si>
    <t>Accesorios para máquinas de cajero automático</t>
  </si>
  <si>
    <t>Penbutolol</t>
  </si>
  <si>
    <t>Electrodos o sondas de litotripia</t>
  </si>
  <si>
    <t>23191202</t>
  </si>
  <si>
    <t>Masillas</t>
  </si>
  <si>
    <t>Memoria sgram</t>
  </si>
  <si>
    <t>Freidoras para uso doméstico</t>
  </si>
  <si>
    <t>51142220</t>
  </si>
  <si>
    <t>Almohadillas para nervios frénicos o almohadas cardíacas de uso quirúrgico</t>
  </si>
  <si>
    <t>Materiales de enseñanza de las repercusiones de la deserción escolar</t>
  </si>
  <si>
    <t>Cinta conductora de electricidad</t>
  </si>
  <si>
    <t>Componentes de estaño formados enrollados</t>
  </si>
  <si>
    <t>Instrumentos de control para periodoncia</t>
  </si>
  <si>
    <t>Kit de purificación de plásmidos o cósmidos o cromosomas bacterianos artificiales bac</t>
  </si>
  <si>
    <t>Construcción o creación de pabellones de feria</t>
  </si>
  <si>
    <t>Objetos maquinados de titanio fundidos en molde en concha</t>
  </si>
  <si>
    <t>Cuero de cabra</t>
  </si>
  <si>
    <t>Agujas post mortem</t>
  </si>
  <si>
    <t>Ducha de mano para personas con desafíos físicos</t>
  </si>
  <si>
    <t>Piezas de interruptor y accesorios</t>
  </si>
  <si>
    <t>Ensambles de placas atornilladas de acero al carbono</t>
  </si>
  <si>
    <t>Servicios de evaluación económica del servicio de pesca en el campo petrolífero</t>
  </si>
  <si>
    <t>Succinato sódico de metilprednisolona</t>
  </si>
  <si>
    <t>Sulfato de indinavir</t>
  </si>
  <si>
    <t>Ramio</t>
  </si>
  <si>
    <t>Resinas recicladas</t>
  </si>
  <si>
    <t>Política de exportación</t>
  </si>
  <si>
    <t>Rehabilitación de tierras forestales áridas</t>
  </si>
  <si>
    <t>Bicicletas</t>
  </si>
  <si>
    <t>Muebles para devolver libros</t>
  </si>
  <si>
    <t>Mástiles de bandera, piezas o accesorios</t>
  </si>
  <si>
    <t>Leasing de segmentos de espacio</t>
  </si>
  <si>
    <t>Kits o accesorios de bombas de infusión</t>
  </si>
  <si>
    <t>Redes o bolsas de lavandería</t>
  </si>
  <si>
    <t>Papel para pintura dactilar</t>
  </si>
  <si>
    <t>Instrumentos de prueba de implante periodontal a interface de hueso</t>
  </si>
  <si>
    <t>Cuentas de plástico</t>
  </si>
  <si>
    <t>Berlingas</t>
  </si>
  <si>
    <t>Servicios de asesoramiento sobre la puesta en marcha de empresas nuevas</t>
  </si>
  <si>
    <t>Armarios para uso hospitalario</t>
  </si>
  <si>
    <t>Contadores de copias</t>
  </si>
  <si>
    <t>equipo para motricidad gruesa o equilibrio</t>
  </si>
  <si>
    <t>INSUMOS CIRUGIA AMBULATORIA 1</t>
  </si>
  <si>
    <t>Control de cambio de divisas</t>
  </si>
  <si>
    <t>31211505</t>
  </si>
  <si>
    <t>Analizadores de enzimas</t>
  </si>
  <si>
    <t>Toneles</t>
  </si>
  <si>
    <t>Materiales didácticos del motor o sus partes</t>
  </si>
  <si>
    <t>Tablas o almohadillas de disección</t>
  </si>
  <si>
    <t>Harina de madera</t>
  </si>
  <si>
    <t>Equipos de aire</t>
  </si>
  <si>
    <t>Articuladores o accesorios de uso odontológico</t>
  </si>
  <si>
    <t>Filtros multiplexados de división de longitud de onda densa de telecomunicaciones dwdm</t>
  </si>
  <si>
    <t>Soluciones o tabletas reveladoras</t>
  </si>
  <si>
    <t>Cubiertas de lámpara</t>
  </si>
  <si>
    <t>Filodendros</t>
  </si>
  <si>
    <t>Recursos o guías de proyectos o actividades de economía doméstica</t>
  </si>
  <si>
    <t>Componentes de plomo perforados</t>
  </si>
  <si>
    <t>Vacuna contra la enfermedad de lyme (borreliosis)</t>
  </si>
  <si>
    <t>Clubes deportivos de canchas cubiertas o al aire libre</t>
  </si>
  <si>
    <t>Equipo de mecanizado por chorro abrasivo</t>
  </si>
  <si>
    <t>Pañuelos de papel kraft</t>
  </si>
  <si>
    <t>Kits de reparación o piezas de apisonadora</t>
  </si>
  <si>
    <t>Servicios de planificación de la ordenación urbana</t>
  </si>
  <si>
    <t>Papel offset</t>
  </si>
  <si>
    <t>Boquillas acopladoras de tubo</t>
  </si>
  <si>
    <t>Servicios sísmicos de geofísica</t>
  </si>
  <si>
    <t>Limpieza de conductos de aire</t>
  </si>
  <si>
    <t>Tabla de yeso</t>
  </si>
  <si>
    <t>Válvulas o peras inflables de liberación de presión del aire en la sangre</t>
  </si>
  <si>
    <t>Calibrador de frenaje</t>
  </si>
  <si>
    <t>Hialuronidasa</t>
  </si>
  <si>
    <t>Aglomerante epoxy</t>
  </si>
  <si>
    <t>Abrazaderas para cámaras</t>
  </si>
  <si>
    <t>Servicios de control de la contaminación de alimentos</t>
  </si>
  <si>
    <t>Servicios de almacenaje en tierra</t>
  </si>
  <si>
    <t>Acetato de noretindrona</t>
  </si>
  <si>
    <t>Fenilbutazona</t>
  </si>
  <si>
    <t>Servicios de pintura</t>
  </si>
  <si>
    <t>Servicios de desalinización</t>
  </si>
  <si>
    <t>Consolas para tomografía computarizada ct o cat para uso médico</t>
  </si>
  <si>
    <t>Procesadores para luz del día o cuarto oscuro de imágenes médicas</t>
  </si>
  <si>
    <t>Aceite de engranajes</t>
  </si>
  <si>
    <t>Ensambles de placas atornilladas de titanio</t>
  </si>
  <si>
    <t>Servicios de análisis de la composición de la población</t>
  </si>
  <si>
    <t>42251706</t>
  </si>
  <si>
    <t>Sopletes</t>
  </si>
  <si>
    <t>Sílice</t>
  </si>
  <si>
    <t>Papel para cigarrillos o filtros</t>
  </si>
  <si>
    <t>Parametadiona</t>
  </si>
  <si>
    <t>Adaptadores para hardware o telefonía</t>
  </si>
  <si>
    <t>Fundentes para soldar</t>
  </si>
  <si>
    <t>Gluconato de clorhexidina</t>
  </si>
  <si>
    <t>Vehículos todoterreno de ruedas o de tracción</t>
  </si>
  <si>
    <t>Tapas de aceite o combustible</t>
  </si>
  <si>
    <t>Fitopatología</t>
  </si>
  <si>
    <t>Cintas abrasivas</t>
  </si>
  <si>
    <t>Analizadores de calcio</t>
  </si>
  <si>
    <t>Depósito elevado de agua</t>
  </si>
  <si>
    <t>Procesador central de instalación de acoplamientos</t>
  </si>
  <si>
    <t>Fenfluramina</t>
  </si>
  <si>
    <t>Intensificadores de presión</t>
  </si>
  <si>
    <t>Servicios de política cultural</t>
  </si>
  <si>
    <t>Instrumentos de medición de rugosidad</t>
  </si>
  <si>
    <t>Barras de cavar o barretones</t>
  </si>
  <si>
    <t>Forjaduras anulares laminadas de cobre</t>
  </si>
  <si>
    <t>Servicios de control de medición de la presión del pozo</t>
  </si>
  <si>
    <t>Servicios respiratorios hospitalarios</t>
  </si>
  <si>
    <t>Cambita el Pueblecito</t>
  </si>
  <si>
    <t>Formación de policía militar</t>
  </si>
  <si>
    <t>Servicios de limpieza del pozo</t>
  </si>
  <si>
    <t>Clorambucil</t>
  </si>
  <si>
    <t>Monitores de temperatura respiratoria</t>
  </si>
  <si>
    <t>Mariposas para aretes de joyería fina</t>
  </si>
  <si>
    <t>Centrífugas</t>
  </si>
  <si>
    <t>Polietileno</t>
  </si>
  <si>
    <t>Servicios de auditoria ambiental de empresas</t>
  </si>
  <si>
    <t>Planchas de esmeril</t>
  </si>
  <si>
    <t>Libros comerciales para múltiples usos</t>
  </si>
  <si>
    <t>Sala de radiología</t>
  </si>
  <si>
    <t>Máquinas clavadoras de cuero</t>
  </si>
  <si>
    <t>Lienzo sin imprimar</t>
  </si>
  <si>
    <t>Aserrín</t>
  </si>
  <si>
    <t>Servicios legales de justicia juvenil o de adolescentes</t>
  </si>
  <si>
    <t>Especias para alimentos en el INCART</t>
  </si>
  <si>
    <t>Servicios de autores de poesía</t>
  </si>
  <si>
    <t>Libros de calificaciones de la clase del profesor</t>
  </si>
  <si>
    <t>Servicios de desarrollo de contratos  para perforación de pozos</t>
  </si>
  <si>
    <t>Ganchos para sacos</t>
  </si>
  <si>
    <t>Tarjetas transmisoras de red óptica</t>
  </si>
  <si>
    <t>Primates</t>
  </si>
  <si>
    <t>Lijadoras de chorro de arena o suministros de laboratorio dental</t>
  </si>
  <si>
    <t>Ebastina</t>
  </si>
  <si>
    <t>Válvulas de lengüeta</t>
  </si>
  <si>
    <t>Máquinas trituradoras de papel o accesorios</t>
  </si>
  <si>
    <t>Paquetes de gráficos</t>
  </si>
  <si>
    <t>Analizadores de conductividad térmica</t>
  </si>
  <si>
    <t>Aparatos de estimación de estructura microscópica</t>
  </si>
  <si>
    <t>Tejidos de lana en tafetán</t>
  </si>
  <si>
    <t>Portafolios</t>
  </si>
  <si>
    <t>Enrejados de madera</t>
  </si>
  <si>
    <t>Sistemas para evitar choques</t>
  </si>
  <si>
    <t>Objetos maquinados de acero fundidos en molde de grafito</t>
  </si>
  <si>
    <t>Postres preparados</t>
  </si>
  <si>
    <t>Cable de detección de alto voltaje</t>
  </si>
  <si>
    <t>Napsilato de propoxifeno</t>
  </si>
  <si>
    <t>Videos de las relaciones interraciales</t>
  </si>
  <si>
    <t>Sistemas de frenos neumáticos o de aire</t>
  </si>
  <si>
    <t>Servicios de desmonte de terrenos</t>
  </si>
  <si>
    <t>Colectores de microscopios</t>
  </si>
  <si>
    <t>Agencias de mercadeo  de venta, incluido el material impreso</t>
  </si>
  <si>
    <t>Desbarbadores rotatorios</t>
  </si>
  <si>
    <t>Servicios de rehabilitación para personas con discapacidades crónicas</t>
  </si>
  <si>
    <t>La Bija</t>
  </si>
  <si>
    <t>Centímetro</t>
  </si>
  <si>
    <t>Control o programas de dietas</t>
  </si>
  <si>
    <t>Tapones de corcho o accesorios</t>
  </si>
  <si>
    <t>Recoleccion de residuos solidos 2</t>
  </si>
  <si>
    <t>Recoleccion de residuos solidos 3</t>
  </si>
  <si>
    <t>Balones hemostáticos o agujas o tubos o accesorios endoscópicos</t>
  </si>
  <si>
    <t>Servicios de fabricación de calzado de cuero</t>
  </si>
  <si>
    <t>Titanio ti</t>
  </si>
  <si>
    <t>Servicios de fabricación de pilas secas o acumuladores</t>
  </si>
  <si>
    <t>Sets de vías de agua</t>
  </si>
  <si>
    <t>Tubería de bronce</t>
  </si>
  <si>
    <t>Servicios de desempleo</t>
  </si>
  <si>
    <t>Sistemas de rejillas de techo</t>
  </si>
  <si>
    <t>Licitacion Restringida</t>
  </si>
  <si>
    <t>Volcado de cemento de rescate de equipos cable de recuperación</t>
  </si>
  <si>
    <t>Servicios de plataformas petroleras en barcazas</t>
  </si>
  <si>
    <t>Escalpelos o cuchillos o cuchillas o trepanadores o accesorios para uso quirúrgico</t>
  </si>
  <si>
    <t>Servicios de detección de mentiras</t>
  </si>
  <si>
    <t>Películas de polietileno</t>
  </si>
  <si>
    <t>Software de fax</t>
  </si>
  <si>
    <t>Servicios de construcción o alquiler de antenas de televisión</t>
  </si>
  <si>
    <t>Sensores de densidad de control de arena</t>
  </si>
  <si>
    <t>Cubiertas de señales</t>
  </si>
  <si>
    <t>Tubos o accesorios de irrigación o succión para uso quirúrgico</t>
  </si>
  <si>
    <t>Zapatas guía</t>
  </si>
  <si>
    <t>Políticas o procedimientos de comercio mundial</t>
  </si>
  <si>
    <t>Semana</t>
  </si>
  <si>
    <t>Empaquetadores de cable para uso odontológico</t>
  </si>
  <si>
    <t>Dibujo mecánico</t>
  </si>
  <si>
    <t>Pirolidina polivinilo</t>
  </si>
  <si>
    <t>Diodos de energía</t>
  </si>
  <si>
    <t>Mapas o secuencias de vectores proteínicos fluorescentes</t>
  </si>
  <si>
    <t>Programas de pregrado</t>
  </si>
  <si>
    <t>Suspensión de dirección</t>
  </si>
  <si>
    <t>Objetos maquinados en molde permanente de berilio fundidos</t>
  </si>
  <si>
    <t>Sofás de tamaño de niños</t>
  </si>
  <si>
    <t>Cucharas de madera para uso doméstico</t>
  </si>
  <si>
    <t>Impresoras de tiquetes aéreos o pases de abordaje atb</t>
  </si>
  <si>
    <t>Pasa bocas o comida recreacional para aves</t>
  </si>
  <si>
    <t>Servicios de la corte internacional de justicia</t>
  </si>
  <si>
    <t>Semillas o plántulas de lino</t>
  </si>
  <si>
    <t>Ensambles de tubería soldada con ultra violeta de aluminio</t>
  </si>
  <si>
    <t>51131709</t>
  </si>
  <si>
    <t>Juegos de arandelas</t>
  </si>
  <si>
    <t>Servicios de monitoreo en tiempo real de datos del pozo en el campo petrolero</t>
  </si>
  <si>
    <t>Proyectos de estudio independiente de economía doméstica</t>
  </si>
  <si>
    <t>Servicios de museos</t>
  </si>
  <si>
    <t>Roscadoras o fileteadoras</t>
  </si>
  <si>
    <t>Travesaños corredizos</t>
  </si>
  <si>
    <t>Materiales de enseñanza de diseño o modas de ropa</t>
  </si>
  <si>
    <t>Cloruro de edrofonio</t>
  </si>
  <si>
    <t>Excavadoras o accesorios quirúrgicos.</t>
  </si>
  <si>
    <t>Plata ag</t>
  </si>
  <si>
    <t>Materiales resistentes de recubrimiento para prótesis dentales removibles</t>
  </si>
  <si>
    <t>Llantas para automóviles o camionetas</t>
  </si>
  <si>
    <t>Etotoína</t>
  </si>
  <si>
    <t>Risedronato de sodio</t>
  </si>
  <si>
    <t>Mordazas o accesorios para uso quirúrgico</t>
  </si>
  <si>
    <t>Modelos del agua</t>
  </si>
  <si>
    <t>Suturas quirúrgicas o pasadores de alambre o productos relacionados</t>
  </si>
  <si>
    <t>Máquina para ahumar</t>
  </si>
  <si>
    <t>Adaptadores infrarrojos</t>
  </si>
  <si>
    <t>Fresas quirúrgicas o sus accesorios</t>
  </si>
  <si>
    <t>Sets de esterilización</t>
  </si>
  <si>
    <t>Repuestos para esferos de corrección</t>
  </si>
  <si>
    <t>Componentes de aleación de níquel maquinados por extrusión en caliente</t>
  </si>
  <si>
    <t>46171505</t>
  </si>
  <si>
    <t>Fomento de la industria láctea</t>
  </si>
  <si>
    <t>Compuesto taponador</t>
  </si>
  <si>
    <t>Servicio de recuperación de información de las bases de datos en línea</t>
  </si>
  <si>
    <t>Colgaduras</t>
  </si>
  <si>
    <t>Tejidos</t>
  </si>
  <si>
    <t>Forjaduras en estampa de impresión de aleación no ferrosa</t>
  </si>
  <si>
    <t>Plato para ponqués con tapa para uso doméstico</t>
  </si>
  <si>
    <t>Kits para extracción de proteína de bacterias</t>
  </si>
  <si>
    <t>Taburetes para uso odontológico</t>
  </si>
  <si>
    <t>Relés de acción diferida</t>
  </si>
  <si>
    <t>Servicios de procesar datos cuatro dimensiónales</t>
  </si>
  <si>
    <t>Cajas de suelo</t>
  </si>
  <si>
    <t>imanes Alnico</t>
  </si>
  <si>
    <t>Aceleradores lineales móviles o transportables para uso médico</t>
  </si>
  <si>
    <t>Protectores de esquinas</t>
  </si>
  <si>
    <t>Ensamblajes de circuitos montados en superficie</t>
  </si>
  <si>
    <t>Pinzas o alambres de pinzas o accesorios para endoscopia</t>
  </si>
  <si>
    <t>Máquinas para aplicar de etiquetas</t>
  </si>
  <si>
    <t>Campin</t>
  </si>
  <si>
    <t>Servicios de estimulación  del pozo</t>
  </si>
  <si>
    <t>Puntas de pipeta de carga de gel</t>
  </si>
  <si>
    <t>Servicios de pruebas de diseño de fracturación o pre fracturación</t>
  </si>
  <si>
    <t>Servicios de prevención o control del sida</t>
  </si>
  <si>
    <t>Sensores de presión de acidificación</t>
  </si>
  <si>
    <t>Gabinetes calentadores</t>
  </si>
  <si>
    <t>Almohadones o almohadillas o almohadas para la posición del paciente</t>
  </si>
  <si>
    <t>Centrales de energía a petróleo</t>
  </si>
  <si>
    <t>Pinza de mano</t>
  </si>
  <si>
    <t>Taladro neumático</t>
  </si>
  <si>
    <t>51201516</t>
  </si>
  <si>
    <t>Etiquetas para impresoras</t>
  </si>
  <si>
    <t>Pompones acrílicos para manualidades</t>
  </si>
  <si>
    <t>Bombas giratorias</t>
  </si>
  <si>
    <t>Anillo de carretera</t>
  </si>
  <si>
    <t>Kits de enseñanza de bacterias</t>
  </si>
  <si>
    <t>San Juan de la Maguana</t>
  </si>
  <si>
    <t>Manómetro</t>
  </si>
  <si>
    <t>Oxacilina sódica</t>
  </si>
  <si>
    <t>Escarificador de prados</t>
  </si>
  <si>
    <t>51111807</t>
  </si>
  <si>
    <t>Oftalmoscopios u otoscopios o sets de escopios</t>
  </si>
  <si>
    <t>Patines o cuchillas de patines</t>
  </si>
  <si>
    <t>Fraccionadores de densidad gradiente</t>
  </si>
  <si>
    <t>Bombas de jeringa</t>
  </si>
  <si>
    <t>Rompecabezas de uso terapéutico</t>
  </si>
  <si>
    <t>44121706</t>
  </si>
  <si>
    <t>Servicios de cortadora a  chorro</t>
  </si>
  <si>
    <t>Tarjetas didácticas de multiplicaciones</t>
  </si>
  <si>
    <t>Punzones de impresión</t>
  </si>
  <si>
    <t>Servicios de medición de la inclinación de formación durante la perforación</t>
  </si>
  <si>
    <t>Baterías de plomo-ácido</t>
  </si>
  <si>
    <t>Servicios de proyeción o políticas de productos básicos</t>
  </si>
  <si>
    <t>Ingeniería subterránea para equipo de comunicaciones</t>
  </si>
  <si>
    <t>Servicios de bobinado del campo petrolífero</t>
  </si>
  <si>
    <t>Señales auto adhesivas</t>
  </si>
  <si>
    <t>Fenoxi</t>
  </si>
  <si>
    <t>Clorhidrato de ziprasidona</t>
  </si>
  <si>
    <t>Conjunto de rodillos de alimentación</t>
  </si>
  <si>
    <t>Brazos de monitoreo clínico</t>
  </si>
  <si>
    <t>Servicios de podiatras</t>
  </si>
  <si>
    <t>Filtros acondicionadores de luz</t>
  </si>
  <si>
    <t>Servicios de administración de la tierra</t>
  </si>
  <si>
    <t>Suministros blanqueadores o decolorantes de dientes</t>
  </si>
  <si>
    <t>Clorhidrato de loxapina</t>
  </si>
  <si>
    <t>Mesas de computador para estudiantes</t>
  </si>
  <si>
    <t>Eslingas para bebés o accesorios</t>
  </si>
  <si>
    <t>Motores monofásicos</t>
  </si>
  <si>
    <t>Dispositivos sellantes vasculares</t>
  </si>
  <si>
    <t>Buena Vista</t>
  </si>
  <si>
    <t>48101613</t>
  </si>
  <si>
    <t>Distómetros oftálmicos</t>
  </si>
  <si>
    <t>30171504</t>
  </si>
  <si>
    <t>Maíz pira</t>
  </si>
  <si>
    <t>Conductos eléctricos</t>
  </si>
  <si>
    <t>Brochas para rociar alimentos</t>
  </si>
  <si>
    <t>56101514</t>
  </si>
  <si>
    <t>Equipos de filtración de ósmosis inversa</t>
  </si>
  <si>
    <t>Centrales eléctricas de diesel</t>
  </si>
  <si>
    <t>sabores o extractos</t>
  </si>
  <si>
    <t>Epinefrina</t>
  </si>
  <si>
    <t>Gestión de viveros forestales</t>
  </si>
  <si>
    <t>Sistemas de inter - bloqueo de las puertas</t>
  </si>
  <si>
    <t>Bombas muestreadoras de aire</t>
  </si>
  <si>
    <t>Cable de poliqueno reticulado</t>
  </si>
  <si>
    <t>Separadores de cultivos</t>
  </si>
  <si>
    <t>Telas revestidas</t>
  </si>
  <si>
    <t>Recuperadores magnéticos de barras giratorias o recuperadores de barras giratorias</t>
  </si>
  <si>
    <t>Embriones</t>
  </si>
  <si>
    <t>Cemento quirúrgico de hueso o sistemas de mezclado o accesorios</t>
  </si>
  <si>
    <t>Evaluación de las necesidades de alimentos de emergencia</t>
  </si>
  <si>
    <t>Bibliotecas de unidades de cinta</t>
  </si>
  <si>
    <t>Instalación de material aislante</t>
  </si>
  <si>
    <t>Juegos de tejo</t>
  </si>
  <si>
    <t>Escoria o ceniza</t>
  </si>
  <si>
    <t>Repuestos para medidores de agua</t>
  </si>
  <si>
    <t>Alumbrado de la vía pública</t>
  </si>
  <si>
    <t>Bateadoras</t>
  </si>
  <si>
    <t>Cajas de conectores de audio</t>
  </si>
  <si>
    <t>Packs quirúrgicos</t>
  </si>
  <si>
    <t>Servicios de cooperación norte-sur</t>
  </si>
  <si>
    <t>Hebra de poliamida</t>
  </si>
  <si>
    <t>Máquinas expendedoras de botellas o latas</t>
  </si>
  <si>
    <t>Resina polipropileno</t>
  </si>
  <si>
    <t>Servicios de mantenimiento de la unidad de bombeo del campo petrolero</t>
  </si>
  <si>
    <t>Servicios de diseño de las tareas para el control de arena del pozo</t>
  </si>
  <si>
    <t>Equipos de cubrejuntas</t>
  </si>
  <si>
    <t>Cefradina</t>
  </si>
  <si>
    <t>Cristo Rey de Guaraguao</t>
  </si>
  <si>
    <t>Forjas no metálicas maquinadas por reducción</t>
  </si>
  <si>
    <t>Equipo de examen de partículas magnéticas</t>
  </si>
  <si>
    <t>Ruedas de esmerilado</t>
  </si>
  <si>
    <t>Sindicatos de estudiantes</t>
  </si>
  <si>
    <t>Amplificadores sísmicos</t>
  </si>
  <si>
    <t>Sets o sistemas de instrumentos de fijación externa</t>
  </si>
  <si>
    <t>Guantes de protección radiológica para uso médico</t>
  </si>
  <si>
    <t>Servicios de tratamiento de las aguas de superficie</t>
  </si>
  <si>
    <t>Transmisores o receptores de radio frecuencia</t>
  </si>
  <si>
    <t>Bridas de casquillo largo para soldar</t>
  </si>
  <si>
    <t>Maderas duras</t>
  </si>
  <si>
    <t>Servicios de promoción de ventas</t>
  </si>
  <si>
    <t>Cable de acero no eléctrico</t>
  </si>
  <si>
    <t>Servicios de herramientas del hoyo de bajada de campo petrolero</t>
  </si>
  <si>
    <t>OPERACIONES / PLATA FISICA 4</t>
  </si>
  <si>
    <t>Postales con el alfabeto</t>
  </si>
  <si>
    <t>Bombas de doble diafragma</t>
  </si>
  <si>
    <t>Exhibidores de discos compactos o de audio casetes para bibliotecas</t>
  </si>
  <si>
    <t>Servicios de reforma administrativa</t>
  </si>
  <si>
    <t>Clorhidrato de nortriptilina</t>
  </si>
  <si>
    <t>Prensas de dimensionamiento o grabado en relieve</t>
  </si>
  <si>
    <t>Luces indicadoras o indicadores luminosos</t>
  </si>
  <si>
    <t>Tatuajes</t>
  </si>
  <si>
    <t>Penetrómetros</t>
  </si>
  <si>
    <t>Clorhidrato de propafenona</t>
  </si>
  <si>
    <t>Cajas de adhesivos</t>
  </si>
  <si>
    <t>Carritos específicos para equipos de diagnóstico o monitoreo</t>
  </si>
  <si>
    <t>42312311</t>
  </si>
  <si>
    <t>Pescado almacenado en repisa</t>
  </si>
  <si>
    <t>PARA USO PACIENTES MEDICAMENTOS</t>
  </si>
  <si>
    <t>Despegues de energía</t>
  </si>
  <si>
    <t>Convertidor o controlador de bus de interface</t>
  </si>
  <si>
    <t>Conductos de salida de escape</t>
  </si>
  <si>
    <t>Comisaría de policía</t>
  </si>
  <si>
    <t>Herramientas de recalcar</t>
  </si>
  <si>
    <t>Bombas de dragado</t>
  </si>
  <si>
    <t>Herramienta de carburo</t>
  </si>
  <si>
    <t>Carpetas o formularios del profesor suplente</t>
  </si>
  <si>
    <t>Objetos maquinados de cinc fundidos en molde de yeso</t>
  </si>
  <si>
    <t>Kits de reparación de moldes auditivos</t>
  </si>
  <si>
    <t>Almacenamiento para sistemas de paneles</t>
  </si>
  <si>
    <t>Tubos nasoyeyunales</t>
  </si>
  <si>
    <t>Máquinas termo modeladoras</t>
  </si>
  <si>
    <t>Servicios de administración de la unidad central</t>
  </si>
  <si>
    <t>Grabadoras oscilo gráficas</t>
  </si>
  <si>
    <t>Moldes para asar para uso doméstico</t>
  </si>
  <si>
    <t>Suministros o accesorios de irrigación o aspiración oftálmica</t>
  </si>
  <si>
    <t>Microscopios iónicos</t>
  </si>
  <si>
    <t>Cuchillas o conjuntos de cuchillas de maquinaria</t>
  </si>
  <si>
    <t>Tubos múltiples</t>
  </si>
  <si>
    <t>Microscopios de escáner de electrones</t>
  </si>
  <si>
    <t>Fenilpropanolamina clorhidrato</t>
  </si>
  <si>
    <t>Servicios de asistencia personal</t>
  </si>
  <si>
    <t>Accesorios para incubadora o calentadora de bebés para uso clínico</t>
  </si>
  <si>
    <t>Instalaciones de almacenamiento en frío</t>
  </si>
  <si>
    <t>Pintura de acuarela líquida</t>
  </si>
  <si>
    <t>Metohexital sódico</t>
  </si>
  <si>
    <t>Penicilina</t>
  </si>
  <si>
    <t>Limpiador de manos</t>
  </si>
  <si>
    <t>Ganchos para colgar la ropa</t>
  </si>
  <si>
    <t>Artefactos fluorescentes</t>
  </si>
  <si>
    <t>Contenedores o bandejas de esterilización</t>
  </si>
  <si>
    <t>Aparatos o contenedores para recolección de esputos</t>
  </si>
  <si>
    <t>Ensambles de tubos soldados con soldadura sónica de cobre</t>
  </si>
  <si>
    <t>Doxiciclina</t>
  </si>
  <si>
    <t>Anakinra</t>
  </si>
  <si>
    <t>Rodamientos magnéticos</t>
  </si>
  <si>
    <t>Resina aleación acrílica estireno acrilonitrilo</t>
  </si>
  <si>
    <t>Pancartas</t>
  </si>
  <si>
    <t>MUNICIPIO</t>
  </si>
  <si>
    <t>Faro</t>
  </si>
  <si>
    <t>51142123</t>
  </si>
  <si>
    <t>Aleación de níquel en placa labrada</t>
  </si>
  <si>
    <t>Mordaza de alimentación</t>
  </si>
  <si>
    <t>Nateglinida</t>
  </si>
  <si>
    <t>Meropenem</t>
  </si>
  <si>
    <t>Máquinas plegadoras o rebobinadoras</t>
  </si>
  <si>
    <t>Jaibón (Laguna Salada)</t>
  </si>
  <si>
    <t>Asadores para uso comercial</t>
  </si>
  <si>
    <t>Carmustina</t>
  </si>
  <si>
    <t>Ensambles de láminas soldadas con soldadura sónica de aleación hast x</t>
  </si>
  <si>
    <t>Equipo de material de cemento a granel</t>
  </si>
  <si>
    <t>Transporte de productos derivados del petróleo</t>
  </si>
  <si>
    <t>Etiquetas necesarias</t>
  </si>
  <si>
    <t>Recursos de subproductos de la pesca</t>
  </si>
  <si>
    <t>Varillas de plomo</t>
  </si>
  <si>
    <t>Semillas de sorgo</t>
  </si>
  <si>
    <t>Resina terftalato polietileno</t>
  </si>
  <si>
    <t>Núcleo de panal de metal ferroso</t>
  </si>
  <si>
    <t>Servicios de limpieza o achique del pozo</t>
  </si>
  <si>
    <t>Unidades de medios removibles de alta capacidad</t>
  </si>
  <si>
    <t>Clubes o servicios para aficionados al baile a la danza</t>
  </si>
  <si>
    <t>MEDICAMENTOS CONTROLADOS</t>
  </si>
  <si>
    <t>Válvulas de globo</t>
  </si>
  <si>
    <t>Libros de recursos para la evaluación</t>
  </si>
  <si>
    <t>Software de flujo de trabajo de contenido</t>
  </si>
  <si>
    <t>Aparato para luz o foto</t>
  </si>
  <si>
    <t>Inyector de paredes de membrana</t>
  </si>
  <si>
    <t>Kits de reparación de carpa de cuarto oscuro de rayos x para uso médico</t>
  </si>
  <si>
    <t>Exprimidores de tubos para los discapacitados físicamente</t>
  </si>
  <si>
    <t>Separadores para uso quirúrgico</t>
  </si>
  <si>
    <t>Guerra ambiental</t>
  </si>
  <si>
    <t>Pompones</t>
  </si>
  <si>
    <t>Recursos para aprender a hablar español</t>
  </si>
  <si>
    <t>56112104</t>
  </si>
  <si>
    <t>Desarrollos mineros</t>
  </si>
  <si>
    <t>Películas cinematográficas</t>
  </si>
  <si>
    <t>Equipo para limpieza y descascarillado de arroz</t>
  </si>
  <si>
    <t>Necesidades de dotación de personal financiero temporal</t>
  </si>
  <si>
    <t>Acetato de desoxicortona</t>
  </si>
  <si>
    <t>Antenas de radio</t>
  </si>
  <si>
    <t>Sombreretes de rodamiento</t>
  </si>
  <si>
    <t>Tela malla de alambre</t>
  </si>
  <si>
    <t>Alcaloides</t>
  </si>
  <si>
    <t>Aditivos ácidos</t>
  </si>
  <si>
    <t>Piezas de aleación no ferrosa fundidas a presión</t>
  </si>
  <si>
    <t>Fijación de dunas</t>
  </si>
  <si>
    <t>Hidroaspiración a alta presión</t>
  </si>
  <si>
    <t>Servicios de protección contra la polución de las aguas de superficie</t>
  </si>
  <si>
    <t>Cable de bronce</t>
  </si>
  <si>
    <t>Servicios relacionados con el budismo</t>
  </si>
  <si>
    <t>Polietereterquetona peek</t>
  </si>
  <si>
    <t>Verduras deshidratadas</t>
  </si>
  <si>
    <t>Encajadoras de bodegaje</t>
  </si>
  <si>
    <t>23191005</t>
  </si>
  <si>
    <t>Hidrocloruro de propranolol</t>
  </si>
  <si>
    <t>Seaborgio sg</t>
  </si>
  <si>
    <t>Ensambles de tubería con soldadura sónica de aleación wasp</t>
  </si>
  <si>
    <t>Guantes de boxeo</t>
  </si>
  <si>
    <t>Jínova</t>
  </si>
  <si>
    <t>Puntas de tacos de billar</t>
  </si>
  <si>
    <t>Servicios de evaluación del tratamiento de la matriz</t>
  </si>
  <si>
    <t>Otros servicios generales para perforación de pozos</t>
  </si>
  <si>
    <t>Sets o kits de tubos de autotransfusión</t>
  </si>
  <si>
    <t>Extensómetros</t>
  </si>
  <si>
    <t>Máquinas para coser botones</t>
  </si>
  <si>
    <t>Cultivo de camarones</t>
  </si>
  <si>
    <t>Equipo de lectura de código de barras</t>
  </si>
  <si>
    <t>Máquinas rotativas</t>
  </si>
  <si>
    <t>Servicios de investigación privada</t>
  </si>
  <si>
    <t>Ensambles de placas soldadas con soldadura fuerte o débil de acero al carbono</t>
  </si>
  <si>
    <t>Aparatos para rebobinar video cintas</t>
  </si>
  <si>
    <t>Puertas de pantalla</t>
  </si>
  <si>
    <t>Objetos maquinados de titanio fundidos a la cera perdida</t>
  </si>
  <si>
    <t>Preparaciones tópicas de aceite de turpentina</t>
  </si>
  <si>
    <t>Herramientas de estabilización de colgador</t>
  </si>
  <si>
    <t>Titanio</t>
  </si>
  <si>
    <t>Servicio de conversión de datos</t>
  </si>
  <si>
    <t>Tuberías submarinas umbilicales o flexibles</t>
  </si>
  <si>
    <t>Reactivos analizadores de proteínas</t>
  </si>
  <si>
    <t>Fumigadores de gas para uso médico</t>
  </si>
  <si>
    <t>Ácido undecilénico</t>
  </si>
  <si>
    <t>Joyas finas para el cuerpo</t>
  </si>
  <si>
    <t>Unidades o accesorios de almacenamiento para laboratorios</t>
  </si>
  <si>
    <t>Removedores de cinta médica o quirúrgica</t>
  </si>
  <si>
    <t>Máquinas para arrugas de los libros</t>
  </si>
  <si>
    <t>Sets de tablillas de tracción</t>
  </si>
  <si>
    <t>Sistemas automatizados de almacenaje o recuperación</t>
  </si>
  <si>
    <t>Ensambles de placas soldadas no metálica</t>
  </si>
  <si>
    <t>Chapas para esquinas</t>
  </si>
  <si>
    <t>Chapa de cobre</t>
  </si>
  <si>
    <t>Armarios</t>
  </si>
  <si>
    <t>Limitación  de armamentos</t>
  </si>
  <si>
    <t>Tocadores</t>
  </si>
  <si>
    <t>Hoja fina de metal de latón</t>
  </si>
  <si>
    <t>Paneles instalados de piso o techo o pared de protección radiológica para uso médico</t>
  </si>
  <si>
    <t>Recubrimiento</t>
  </si>
  <si>
    <t>Cepillos de limpieza endoscópica o productos relacionados</t>
  </si>
  <si>
    <t>Servicios misioneros educativos</t>
  </si>
  <si>
    <t>Especímenes preservados de cuerpos u órganos de plantas</t>
  </si>
  <si>
    <t>Semillas de linaza</t>
  </si>
  <si>
    <t>Arena para jugar</t>
  </si>
  <si>
    <t>Jugo fresco</t>
  </si>
  <si>
    <t>Básculas postales</t>
  </si>
  <si>
    <t>Componentes de acero maquinados por extrusión en frío</t>
  </si>
  <si>
    <t>Tiras de cierre para la piel o para heridas</t>
  </si>
  <si>
    <t>Congeladores horizontales para uso doméstico</t>
  </si>
  <si>
    <t>Porfímero sódico</t>
  </si>
  <si>
    <t>Tenazas de ranura y lengüeta</t>
  </si>
  <si>
    <t>Accesorios para equipos acondicionadores de ambiente para laboratorios</t>
  </si>
  <si>
    <t>Ingeniería de producción para petróleo o gas</t>
  </si>
  <si>
    <t>Ingredientes o aditivos de medio para schizosaccharomyces pombe</t>
  </si>
  <si>
    <t>Diapasones para uso médico</t>
  </si>
  <si>
    <t>Servicios contra incendios en bosques o tierras vírgenes</t>
  </si>
  <si>
    <t>Cigüeñal</t>
  </si>
  <si>
    <t>Cintas indicadoras de esterilización</t>
  </si>
  <si>
    <t>Activadores electrónicos</t>
  </si>
  <si>
    <t>Filtros nasogástricos</t>
  </si>
  <si>
    <t>Chocolate o sustituto de chocolate</t>
  </si>
  <si>
    <t>Cultivos y fluidos</t>
  </si>
  <si>
    <t>Cremas de afeitar</t>
  </si>
  <si>
    <t>Quemadores o antorchas de laboratorio dental</t>
  </si>
  <si>
    <t>Depuradores para pisos</t>
  </si>
  <si>
    <t>Kits o sets de dibujo</t>
  </si>
  <si>
    <t>Puntas de corte o soldadura</t>
  </si>
  <si>
    <t>Sindicatos de obreros o trabajadores generales</t>
  </si>
  <si>
    <t>Pinturas en aerosol</t>
  </si>
  <si>
    <t>Moldeable tabular alúmina</t>
  </si>
  <si>
    <t>Molino de varilla</t>
  </si>
  <si>
    <t>Caladoras</t>
  </si>
  <si>
    <t>Caballetes o accesorios</t>
  </si>
  <si>
    <t>Geología estratigráfica</t>
  </si>
  <si>
    <t>Lentes o capuchas de cascos para uso quirúrgico</t>
  </si>
  <si>
    <t>Túnel para conducir un río</t>
  </si>
  <si>
    <t>Fórmulas de suplementos específicos para enfermedades pediátricas</t>
  </si>
  <si>
    <t>Servicios de laboratorios de ultrasonido</t>
  </si>
  <si>
    <t>Hidrógeno h</t>
  </si>
  <si>
    <t>Materiales de enseñanza de educación acerca del abuso de drogas o  tabaco o alcohol</t>
  </si>
  <si>
    <t>Varillas de estaño</t>
  </si>
  <si>
    <t>Cepillos de ropa</t>
  </si>
  <si>
    <t>Portapapeles</t>
  </si>
  <si>
    <t>Tarjetas de interface de telecomunicaciones de modo de transferencia asincrónico atm</t>
  </si>
  <si>
    <t>Correas o hebillas o accesorios o suministros de restricción</t>
  </si>
  <si>
    <t>Preventores del cable de recuperación</t>
  </si>
  <si>
    <t>Recubrimiento o satinado de materias estructurales de metal, madera u hormigón</t>
  </si>
  <si>
    <t>Fórceps para cortar hueso para uso quirúrgico</t>
  </si>
  <si>
    <t>Sellos de caucho del dinero</t>
  </si>
  <si>
    <t>Servicios de tendencias o proyecciones de la población</t>
  </si>
  <si>
    <t>Servicios de tratamiento de materiales  de impermeabilización</t>
  </si>
  <si>
    <t>60101711</t>
  </si>
  <si>
    <t>Troqueleras</t>
  </si>
  <si>
    <t>Lubricantes espray</t>
  </si>
  <si>
    <t>Cubos o dados de monedas</t>
  </si>
  <si>
    <t>Aleaciones de fundición de uso odontológico</t>
  </si>
  <si>
    <t>Ingeniería aérea para equipo de comunicaciones</t>
  </si>
  <si>
    <t>Sistemas de medida el espesor industrial nucleónico</t>
  </si>
  <si>
    <t>Palitos o lápices o cristales de nitrato de plata para uso quirúrgico</t>
  </si>
  <si>
    <t>Almohadillas de discos de freno</t>
  </si>
  <si>
    <t>Servicios de buró de central de llamadas ("call center")</t>
  </si>
  <si>
    <t>Servicios de organismos administrativos</t>
  </si>
  <si>
    <t>Servicios de extracción horizontal de testigos</t>
  </si>
  <si>
    <t>Servicios de defensa de los derechos de los niños</t>
  </si>
  <si>
    <t>Guerra</t>
  </si>
  <si>
    <t>Hidrocodona</t>
  </si>
  <si>
    <t>Máquina de tarjetas de tiempo</t>
  </si>
  <si>
    <t>Elementos de restricción para todo el cuerpo</t>
  </si>
  <si>
    <t>LEVIN,SONDAS Y TUBOS</t>
  </si>
  <si>
    <t>Clubes o servicios para aficionados a las bellas artes</t>
  </si>
  <si>
    <t>Barras o postes gimnásticos</t>
  </si>
  <si>
    <t>Servicios de aserradero</t>
  </si>
  <si>
    <t>Servicios de asistencia a desplazados</t>
  </si>
  <si>
    <t>Cuero de vaca</t>
  </si>
  <si>
    <t>Chips de transistor</t>
  </si>
  <si>
    <t>Bombas de balancín de boca de pozo</t>
  </si>
  <si>
    <t>FECHA APROBACIÓN</t>
  </si>
  <si>
    <t>Correas de la transmisión</t>
  </si>
  <si>
    <t>Las Gordas</t>
  </si>
  <si>
    <t>Tableros geométricos</t>
  </si>
  <si>
    <t>Solventes de alcohol</t>
  </si>
  <si>
    <t>Los Alcarrizos</t>
  </si>
  <si>
    <t>Unidades de registrar datos de superficie</t>
  </si>
  <si>
    <t>Sensores o transmisores de nivel</t>
  </si>
  <si>
    <t>Directorios</t>
  </si>
  <si>
    <t>Máquinas cortadoras de papel o accesorios</t>
  </si>
  <si>
    <t>Servicios de fabricación de accesorios o material eléctricos</t>
  </si>
  <si>
    <t>Servicios</t>
  </si>
  <si>
    <t>Servicios de confinación de material  radioactivo</t>
  </si>
  <si>
    <t>Fundas de asientos</t>
  </si>
  <si>
    <t>Cinta de malla metálica</t>
  </si>
  <si>
    <t>Resorcinol</t>
  </si>
  <si>
    <t>Sodio de aciclovir</t>
  </si>
  <si>
    <t>Pieles (películas transparentes) para teclados</t>
  </si>
  <si>
    <t>Nitrato de oxiconazol</t>
  </si>
  <si>
    <t>Pinturas o medios para esmaltar</t>
  </si>
  <si>
    <t>Explosímetros</t>
  </si>
  <si>
    <t>Sumatriptán</t>
  </si>
  <si>
    <t>80101505</t>
  </si>
  <si>
    <t>Sacudidores de rotación</t>
  </si>
  <si>
    <t>Zotepina</t>
  </si>
  <si>
    <t>Sets de retractores para uso quirúrgico</t>
  </si>
  <si>
    <t>Suministros para el sistema de energía de electroforesis</t>
  </si>
  <si>
    <t>Servicios de formación profesional en ingeniería</t>
  </si>
  <si>
    <t>Materiales de enseñanza sobre la higiene o la seguridad en la cocina</t>
  </si>
  <si>
    <t>Máquinas cortadoras de tela</t>
  </si>
  <si>
    <t>Dispositivos o bombas para el control de la hemorragia nasal</t>
  </si>
  <si>
    <t>Polisulfona psu</t>
  </si>
  <si>
    <t>Producción de productos agrícolas para elaboración de bebidas</t>
  </si>
  <si>
    <t>Control de desviaciones  en la perforación del pozo</t>
  </si>
  <si>
    <t>Servicios de mujeres en la producción agrícola o desarrollo rural</t>
  </si>
  <si>
    <t>Auditorio</t>
  </si>
  <si>
    <t>Santiago Rodriguez</t>
  </si>
  <si>
    <t>Abrazaderas de mango redondo</t>
  </si>
  <si>
    <t>Bases de uretano</t>
  </si>
  <si>
    <t>Maquinaria para cortar plástico</t>
  </si>
  <si>
    <t>Extensores de consola</t>
  </si>
  <si>
    <t>Semillas de cebada</t>
  </si>
  <si>
    <t>Iluminación interior para buques o barcos</t>
  </si>
  <si>
    <t>Servicios de residencia canina</t>
  </si>
  <si>
    <t>Circos</t>
  </si>
  <si>
    <t>Formación o desarrollo laboral</t>
  </si>
  <si>
    <t>Componentes de reflujo</t>
  </si>
  <si>
    <t>Ventana visual de láser o lentes</t>
  </si>
  <si>
    <t>Tubos criogénicos</t>
  </si>
  <si>
    <t>Arena de sílice</t>
  </si>
  <si>
    <t>Ensambles de láminas soldadas con soldadura solvente de cobre</t>
  </si>
  <si>
    <t>Tuercas de placa con rosca</t>
  </si>
  <si>
    <t>Servicios de análisis del sistema de producción del campo petrolero</t>
  </si>
  <si>
    <t>Fajas para bebés o porta bebés para servicios médicos de emergencia</t>
  </si>
  <si>
    <t>Componentes de metal precioso formados en torno</t>
  </si>
  <si>
    <t>Conductos de magnesio</t>
  </si>
  <si>
    <t>Equipos de seguridad 2</t>
  </si>
  <si>
    <t>23181603</t>
  </si>
  <si>
    <t>Estantes para delantales de protección radiológica para uso médico</t>
  </si>
  <si>
    <t>Pentosano polisulfato sódico</t>
  </si>
  <si>
    <t>Grasa fluoropolímero</t>
  </si>
  <si>
    <t>Vajillas para los discapacitados físicamente</t>
  </si>
  <si>
    <t>Discos para tacómetros</t>
  </si>
  <si>
    <t>Lámina de acero inoxidable</t>
  </si>
  <si>
    <t>46171606</t>
  </si>
  <si>
    <t>Estación de metro</t>
  </si>
  <si>
    <t>Porta corchos para laboratorio</t>
  </si>
  <si>
    <t>32101524</t>
  </si>
  <si>
    <t>Vástagos de pistón de cilindro neumático</t>
  </si>
  <si>
    <t>Tabaco para pipa o tabaco de hoja</t>
  </si>
  <si>
    <t>Piracetam</t>
  </si>
  <si>
    <t>Pirinolas</t>
  </si>
  <si>
    <t>Cremas de untar saladas o patés</t>
  </si>
  <si>
    <t>Servicios de elaboración de productos a base de cereal</t>
  </si>
  <si>
    <t>Afiches</t>
  </si>
  <si>
    <t>Salicilato de trietanolamina</t>
  </si>
  <si>
    <t>Fuentes de prueba de fibra óptica</t>
  </si>
  <si>
    <t>Estrategias de desarrollo alimentario o nutricional</t>
  </si>
  <si>
    <t>Tapas de muebles o superficies de trabajo</t>
  </si>
  <si>
    <t>Objetos de fundición centrífuga de acero inoxidable</t>
  </si>
  <si>
    <t>Turbocargador</t>
  </si>
  <si>
    <t>Apernador de tijera</t>
  </si>
  <si>
    <t>Aceitunas</t>
  </si>
  <si>
    <t>Herramientas para quemado de madera</t>
  </si>
  <si>
    <t>Accesorios de cuero</t>
  </si>
  <si>
    <t>Películas de nylon</t>
  </si>
  <si>
    <t>Utensilios para arcilla o modelado</t>
  </si>
  <si>
    <t>Pantalones (“leggings”) de cirugía</t>
  </si>
  <si>
    <t>Vasija decorativa</t>
  </si>
  <si>
    <t>Flaps o transmisión de flaps de avión</t>
  </si>
  <si>
    <t>Hidrocloruro de tolazolina</t>
  </si>
  <si>
    <t>Pesca con redes barrederas</t>
  </si>
  <si>
    <t>Herramientas de perforación direccional de hoyo derecho</t>
  </si>
  <si>
    <t>Monitores de óxido de carbono exhalado o suministros</t>
  </si>
  <si>
    <t>Mesas para examen pediátrico</t>
  </si>
  <si>
    <t>Molduras al vacío de plástico</t>
  </si>
  <si>
    <t>Ensambles de tubos soldados con disolvente de acero de aleación baja</t>
  </si>
  <si>
    <t>Servicios de privilegios o inmunidad diplomática</t>
  </si>
  <si>
    <t>42295409</t>
  </si>
  <si>
    <t>Servicios de transmisión satelital de datos del pozo en el campo petrolero</t>
  </si>
  <si>
    <t>Cosintropina</t>
  </si>
  <si>
    <t>Pulgada cuadrada</t>
  </si>
  <si>
    <t>Componentes de hierro estampados</t>
  </si>
  <si>
    <t>Asafétida</t>
  </si>
  <si>
    <t>10151502</t>
  </si>
  <si>
    <t>Kits o materiales para tinción</t>
  </si>
  <si>
    <t>Sistema de bombeo y separación anular vertical</t>
  </si>
  <si>
    <t>Resinas de poliuretano</t>
  </si>
  <si>
    <t>Alambre de cobre-acero</t>
  </si>
  <si>
    <t>Barajadores de naipe automáticos para los discapacitados físicamente</t>
  </si>
  <si>
    <t>Tapetes de caucho o vinilo</t>
  </si>
  <si>
    <t>Kits de revestimiento de prótesis dentales</t>
  </si>
  <si>
    <t>Clorhidrato de granisetrón</t>
  </si>
  <si>
    <t>Servicios de carga explosiva experimental</t>
  </si>
  <si>
    <t>Cuerdas de velocidad</t>
  </si>
  <si>
    <t>Pentostatina</t>
  </si>
  <si>
    <t>Sistemas de seguimiento de aire a tierra</t>
  </si>
  <si>
    <t>Asientos para el baño para bebés</t>
  </si>
  <si>
    <t>Cosméticos</t>
  </si>
  <si>
    <t>Unidades temáticas multiculturales</t>
  </si>
  <si>
    <t>Instrumentos para probar textiles</t>
  </si>
  <si>
    <t>Bordeadoras de impresión</t>
  </si>
  <si>
    <t>Transiluminadores</t>
  </si>
  <si>
    <t>Paradas de velocidad</t>
  </si>
  <si>
    <t>Combinación de ácido cítrico y citrato de sodio</t>
  </si>
  <si>
    <t>Juntas obturadoras de caucho</t>
  </si>
  <si>
    <t>Taladros de roca neumáticos</t>
  </si>
  <si>
    <t>Repuestos para borradores</t>
  </si>
  <si>
    <t>Racemetionina</t>
  </si>
  <si>
    <t>Máquinas ribeteadoras de cuero</t>
  </si>
  <si>
    <t>Perfiles de plástico</t>
  </si>
  <si>
    <t>Bombas de calor</t>
  </si>
  <si>
    <t>Servicios de asesoramiento sobre ética ambiental</t>
  </si>
  <si>
    <t>Sets de instrumentos quirúrgicos para uso veterinario</t>
  </si>
  <si>
    <t>Servicios de prevención o control de cáncer o leucemia</t>
  </si>
  <si>
    <t>Fosfato de potasio</t>
  </si>
  <si>
    <t>Jimaní</t>
  </si>
  <si>
    <t>Anteojos de seguridad</t>
  </si>
  <si>
    <t>Lentes de prueba del ojo o sus accesorios para uso oftálmico</t>
  </si>
  <si>
    <t>Objetos maquinados en molde permanente de metal precioso fundidos</t>
  </si>
  <si>
    <t>Difusores de aire</t>
  </si>
  <si>
    <t>Localizadores de ensamble de sello</t>
  </si>
  <si>
    <t>Software para compilar y descompilar</t>
  </si>
  <si>
    <t>Esferos para marcar de uso quirúrgico</t>
  </si>
  <si>
    <t>Sets de actividades de rompecabezas tangram</t>
  </si>
  <si>
    <t>Probadores de nervio o de vitalidad para uso odontológico</t>
  </si>
  <si>
    <t>MEDICAMENTOS HIPOCALCEMIA, HIPOFOSFATEMIA, HIPOGLICEMIANTE Y SUPLEMENTO PROTEICO 3</t>
  </si>
  <si>
    <t>83101510</t>
  </si>
  <si>
    <t>Azo compuestos o sus sustitutos</t>
  </si>
  <si>
    <t>Baños o tanques de hidroterapia para inmersión total del cuerpo</t>
  </si>
  <si>
    <t>Kits de remoción o bandejas o paquetes o sets para sutura</t>
  </si>
  <si>
    <t>Materiales didácticos de energía o electricidad</t>
  </si>
  <si>
    <t>Puertos de inyección o llaves de paso o colectores sin aguja de tubos arteriales o intravenosos</t>
  </si>
  <si>
    <t>Rodillos de banda transportadora</t>
  </si>
  <si>
    <t>44122010</t>
  </si>
  <si>
    <t>Mesas de dibujo</t>
  </si>
  <si>
    <t>Mesas para cortar telas</t>
  </si>
  <si>
    <t>Banco</t>
  </si>
  <si>
    <t>Servicios de terminación del control de las pruebas del vástago de taladro temporáneo</t>
  </si>
  <si>
    <t>Overoles o monos para niña</t>
  </si>
  <si>
    <t>Metamizol sódico</t>
  </si>
  <si>
    <t>52151501</t>
  </si>
  <si>
    <t>Tubos con revestimiento para combustible nuclear</t>
  </si>
  <si>
    <t>Impresora rotativa ultravioleta uv</t>
  </si>
  <si>
    <t>Papel maché</t>
  </si>
  <si>
    <t>Grepafloxacina clorhidrato</t>
  </si>
  <si>
    <t>Servicios de control de la altura de la fracturación del pozo</t>
  </si>
  <si>
    <t>COMPRA MENOR</t>
  </si>
  <si>
    <t>Tazones mezcladores de uso odontológico</t>
  </si>
  <si>
    <t>Kits de bandas de identificación personal o accesorios</t>
  </si>
  <si>
    <t>Levofloxacina</t>
  </si>
  <si>
    <t>Granero</t>
  </si>
  <si>
    <t>Máquina ralladora de hielo</t>
  </si>
  <si>
    <t>Estudios de estructura sociales o servicios relacionados</t>
  </si>
  <si>
    <t>Tintas para huecograbado o litografía a base de aceite</t>
  </si>
  <si>
    <t>Cables o alambres de plomo para electroterapia</t>
  </si>
  <si>
    <t>Persianas venecianas</t>
  </si>
  <si>
    <t>Prednicarbato</t>
  </si>
  <si>
    <t>Piedra Blanca</t>
  </si>
  <si>
    <t>Ensambles de láminas soldadas con soldadura ultra violeta de acero de aleación baja</t>
  </si>
  <si>
    <t>Bases de tubo</t>
  </si>
  <si>
    <t>Servicios de rehabilitación especializados para personas discapacitadas</t>
  </si>
  <si>
    <t>Software de respuesta de voz interactiva</t>
  </si>
  <si>
    <t>Software de mensajería instantánea</t>
  </si>
  <si>
    <t>Camisas o blusas para mujer</t>
  </si>
  <si>
    <t>Flautines</t>
  </si>
  <si>
    <t>Piezas de metal precioso forjadas a martinete</t>
  </si>
  <si>
    <t>Tarjetas de índice</t>
  </si>
  <si>
    <t>Equipo para lecho de perforación</t>
  </si>
  <si>
    <t>Bloques de construcción</t>
  </si>
  <si>
    <t>Clorhidrato de gemcitabina</t>
  </si>
  <si>
    <t>MI</t>
  </si>
  <si>
    <t>Silletería para auditorios o estadios o uso especiales</t>
  </si>
  <si>
    <t>51121715</t>
  </si>
  <si>
    <t>Restauración de albañilería, mampostería o azulejos</t>
  </si>
  <si>
    <t>Paquete de procedimiento para mapeo linfático</t>
  </si>
  <si>
    <t>Servicios de fabricación de alambre o cable aislado</t>
  </si>
  <si>
    <t>Escarabajos</t>
  </si>
  <si>
    <t>Servicios relacionados con la televisión</t>
  </si>
  <si>
    <t>Polietilenglicol laxante</t>
  </si>
  <si>
    <t>Barriles</t>
  </si>
  <si>
    <t>Fibras de rayón</t>
  </si>
  <si>
    <t>Maleato de bromfeniramina</t>
  </si>
  <si>
    <t>Servicios de adquisición de datos de la superficie en el emplazamiento del pozo</t>
  </si>
  <si>
    <t>Componentes de plomo maquinados por extrusión en caliente</t>
  </si>
  <si>
    <t>Kits de restauración para uso odontológico</t>
  </si>
  <si>
    <t>Sujetadores de tarjetas de presentación</t>
  </si>
  <si>
    <t>Conectores circulares</t>
  </si>
  <si>
    <t>Catalizadores de ruptura</t>
  </si>
  <si>
    <t>Nucleótidos u oligómeros conjugados</t>
  </si>
  <si>
    <t>Trajes para hombre</t>
  </si>
  <si>
    <t>Quinupristina</t>
  </si>
  <si>
    <t>Soporte de iniciativas estratégicas en los concesionarios</t>
  </si>
  <si>
    <t>Monturas para anteojos</t>
  </si>
  <si>
    <t>Equipo de video de red</t>
  </si>
  <si>
    <t>Instalador de tuberías</t>
  </si>
  <si>
    <t>Clortetraciclina</t>
  </si>
  <si>
    <t>Eritropoyetina</t>
  </si>
  <si>
    <t>Bolsas de lona</t>
  </si>
  <si>
    <t>Compactadores o incineradores para el tratamiento de residuos radiactivos</t>
  </si>
  <si>
    <t>Chupos o chupetes para bebé</t>
  </si>
  <si>
    <t>Paquetes de muebles para personal modulares</t>
  </si>
  <si>
    <t>Servicios de cordelería</t>
  </si>
  <si>
    <t>Servicios de consolidación de pozos</t>
  </si>
  <si>
    <t>Equipo de carbón activado</t>
  </si>
  <si>
    <t>Sistemas de recuperación de agua de esterilización</t>
  </si>
  <si>
    <t>Ensambles de barras soldadas con soldadura fuerte o débil de aleación wasp</t>
  </si>
  <si>
    <t>Acetato de zinc</t>
  </si>
  <si>
    <t>Sistemas de intercomunicación</t>
  </si>
  <si>
    <t>Destructor de discos compactos</t>
  </si>
  <si>
    <t>Servicios de aditivos de cementar el pozo</t>
  </si>
  <si>
    <t>Dispositivos de prueba de esterilidad</t>
  </si>
  <si>
    <t>Recursos de historia mundial</t>
  </si>
  <si>
    <t>Libros de recursos o actividades de la resta</t>
  </si>
  <si>
    <t>Revestimiento o láminas de madera</t>
  </si>
  <si>
    <t>Extrusiones por impacto de magnesio</t>
  </si>
  <si>
    <t>Operaciones de franquicias</t>
  </si>
  <si>
    <t>Bandas caminadoras ejercitadoras para rehabilitación o terapia</t>
  </si>
  <si>
    <t>Enrofloxacina</t>
  </si>
  <si>
    <t>Ultrasonido o unidades de eco fetales o ginecológicas</t>
  </si>
  <si>
    <t>Brocas industriales</t>
  </si>
  <si>
    <t>Servicios de formación profesional en recursos naturales</t>
  </si>
  <si>
    <t>48101912</t>
  </si>
  <si>
    <t>Implantes para otolaringología o sets</t>
  </si>
  <si>
    <t>Guantes de protección</t>
  </si>
  <si>
    <t>Clorhidrato de clomipramina</t>
  </si>
  <si>
    <t>Ensambles de placas atornilladas no metálica</t>
  </si>
  <si>
    <t>Inversores</t>
  </si>
  <si>
    <t>Residencias para retiros religiosos</t>
  </si>
  <si>
    <t>Vehículos de plataforma elevable o elevadores de tijera</t>
  </si>
  <si>
    <t>Desplegadores de mandíbula</t>
  </si>
  <si>
    <t>Calentadores de dialisato peritoneal</t>
  </si>
  <si>
    <t>Amperímetros</t>
  </si>
  <si>
    <t>Servicios de nivelado de terrenos</t>
  </si>
  <si>
    <t>Moldes de supositorios</t>
  </si>
  <si>
    <t>Películas de poliestireno</t>
  </si>
  <si>
    <t>Cómodas</t>
  </si>
  <si>
    <t>Frescos</t>
  </si>
  <si>
    <t>Gastos generales de riego</t>
  </si>
  <si>
    <t>Forjas de cobre maquinadas por reducción</t>
  </si>
  <si>
    <t>Amalgamantes para uso odontológico</t>
  </si>
  <si>
    <t>Marcos de madera preensamblados</t>
  </si>
  <si>
    <t>Asociaciones de ingenieros</t>
  </si>
  <si>
    <t>Anillos o ganchos para cortinas</t>
  </si>
  <si>
    <t>Plomería de ventilación</t>
  </si>
  <si>
    <t>Desflurano</t>
  </si>
  <si>
    <t>Vidrios ópticamente planos</t>
  </si>
  <si>
    <t>Aleación de acero inoxidable 304i</t>
  </si>
  <si>
    <t>Detectores de dióxido de carbono para pacientes</t>
  </si>
  <si>
    <t>Lociones o aceites para manos o cuerpo</t>
  </si>
  <si>
    <t>Rifles para deportes</t>
  </si>
  <si>
    <t>Esomeprazol magnesico  trihidrato</t>
  </si>
  <si>
    <t>Partes o accesorios para sistemas de paneles</t>
  </si>
  <si>
    <t>Uniformes de agentes de aduna</t>
  </si>
  <si>
    <t>Riel din</t>
  </si>
  <si>
    <t>Bolas de brazo oscilante</t>
  </si>
  <si>
    <t>Herramientas de piloteadoras o sus piezas o accesorios</t>
  </si>
  <si>
    <t>Servicios de disposición de animales muertos</t>
  </si>
  <si>
    <t>Ursodiol</t>
  </si>
  <si>
    <t>Estudios de casos del campo petrolero</t>
  </si>
  <si>
    <t>Servicios de albergue de organizaciones de beneficencia</t>
  </si>
  <si>
    <t>Cloruro de tubocurarina</t>
  </si>
  <si>
    <t>INSUMOS HOSPITALIZACION AMBULATORIA</t>
  </si>
  <si>
    <t>Servicios de producción de medicamentos o medicinas</t>
  </si>
  <si>
    <t>Fórceps dentales</t>
  </si>
  <si>
    <t>San Cristóbal</t>
  </si>
  <si>
    <t>Fotómetros</t>
  </si>
  <si>
    <t>Empaques</t>
  </si>
  <si>
    <t>Clorhidrato de cloroquina</t>
  </si>
  <si>
    <t>Ropa atlética para mujer</t>
  </si>
  <si>
    <t>Representación proporcional</t>
  </si>
  <si>
    <t>Mineral de cobre</t>
  </si>
  <si>
    <t>Objetos maquinados centrifugados de bronce fundidos</t>
  </si>
  <si>
    <t>Bombas de tambor para laboratorio</t>
  </si>
  <si>
    <t>Paneles o empanelado</t>
  </si>
  <si>
    <t>Árboles</t>
  </si>
  <si>
    <t>Clorhidrato de cimetidina</t>
  </si>
  <si>
    <t>Ensambles de tubería soldada con ultra violeta de aleación wasp</t>
  </si>
  <si>
    <t>Pirofosfato férrico</t>
  </si>
  <si>
    <t>Agujas de aspiración o biopsia endoscópica</t>
  </si>
  <si>
    <t>Dacarbazina</t>
  </si>
  <si>
    <t>Combinación de televisor, vhs y grabadora dvd</t>
  </si>
  <si>
    <t>Servicios de investigación alimentaria</t>
  </si>
  <si>
    <t>Sistemas de recuperación y entrega de sangre</t>
  </si>
  <si>
    <t>Láseres</t>
  </si>
  <si>
    <t>Motor neumático</t>
  </si>
  <si>
    <t>Sillas para grupos de trabajo</t>
  </si>
  <si>
    <t>Ensambles de placas soldadas con soldadura sónica de acero de aleación baja</t>
  </si>
  <si>
    <t>PULG</t>
  </si>
  <si>
    <t>Componentes de acero maquinados por extrusión hidrostática</t>
  </si>
  <si>
    <t>Unidades de válvulas para endoscopia</t>
  </si>
  <si>
    <t>Alarmas de seguridad</t>
  </si>
  <si>
    <t>Reactivos o soluciones o tinturas para hematología</t>
  </si>
  <si>
    <t>Sabana Iglesia</t>
  </si>
  <si>
    <t>Polietileno tereftalato pet</t>
  </si>
  <si>
    <t>Tableros para afiches</t>
  </si>
  <si>
    <t>Elevador de plataforma</t>
  </si>
  <si>
    <t>Rincón</t>
  </si>
  <si>
    <t>Servicios bancarios comerciales agrícolas</t>
  </si>
  <si>
    <t>Electrodos de diatermia</t>
  </si>
  <si>
    <t>Servicios de organización o administración de ferias</t>
  </si>
  <si>
    <t>Servicios de información comercial</t>
  </si>
  <si>
    <t>Cortadoras de margen dental</t>
  </si>
  <si>
    <t>Bases de banderas</t>
  </si>
  <si>
    <t>USO UNIDAD DE HEMODIALISIS</t>
  </si>
  <si>
    <t>Desfibriladores externos automatizados aed o paletas duras</t>
  </si>
  <si>
    <t>Servicios de escuelas náuticas de yates y veleros</t>
  </si>
  <si>
    <t>Escuela de guerra</t>
  </si>
  <si>
    <t>Envoltorios o recubrimientos de plástico</t>
  </si>
  <si>
    <t>Sensores de imagen de semiconductor de óxido de metal complementario cmos</t>
  </si>
  <si>
    <t>Caucho isomerizado</t>
  </si>
  <si>
    <t>Cumayasa</t>
  </si>
  <si>
    <t>Tablas o accesorios para disección de animales post mortem</t>
  </si>
  <si>
    <t>Pantalones largos o cortos o pantalonetas para mujer</t>
  </si>
  <si>
    <t>Metirosina</t>
  </si>
  <si>
    <t>Clorhidrato de buflomedil</t>
  </si>
  <si>
    <t>Temas relacionados con la eutanasia</t>
  </si>
  <si>
    <t>Corcho</t>
  </si>
  <si>
    <t>Servicios de prevención o control de enfermedades zoonóticas</t>
  </si>
  <si>
    <t>Guantes para abastecimiento de comidas por encargo (catering) o dispensadores de guantes</t>
  </si>
  <si>
    <t>Clorhidrato de midazoloam</t>
  </si>
  <si>
    <t>Accesorios de documentación de gel</t>
  </si>
  <si>
    <t>Bates de softbol</t>
  </si>
  <si>
    <t>Embragues eléctricos</t>
  </si>
  <si>
    <t>Servicios del hoyo encerrado horizontal</t>
  </si>
  <si>
    <t>Ensambles de barras soldadas con soldadura ultra violeta de aleación wasp</t>
  </si>
  <si>
    <t>Componentes de estaño hidroformados</t>
  </si>
  <si>
    <t>Servicios de conformación porgiro</t>
  </si>
  <si>
    <t>Kits para extrae ácido desoxirribonucleico dna de alimentos</t>
  </si>
  <si>
    <t>Catéteres o jeringas o insertores o aplicadores para braquiterapia</t>
  </si>
  <si>
    <t>Equipo para el manejo de desperdicios de las mascotas</t>
  </si>
  <si>
    <t>Bromuro de pancuronio</t>
  </si>
  <si>
    <t>Mezcladoras para uso doméstico</t>
  </si>
  <si>
    <t>Terpenoides</t>
  </si>
  <si>
    <t>Sets de entrega de medios de contraste para angiografía</t>
  </si>
  <si>
    <t>Ensambles de tubos pegados de latón</t>
  </si>
  <si>
    <t>Bases para esmalte</t>
  </si>
  <si>
    <t>Extrusiones en frío de metal precioso</t>
  </si>
  <si>
    <t>Bibliotecas municipales para uso del público en general</t>
  </si>
  <si>
    <t>Clorhidrato de buclicina</t>
  </si>
  <si>
    <t>Analizadores de protocolo</t>
  </si>
  <si>
    <t>Kits de inicio para ostomía</t>
  </si>
  <si>
    <t>Soportes o zócalos de relés</t>
  </si>
  <si>
    <t>Discos de impuestos de vehículos</t>
  </si>
  <si>
    <t>Maleato de dexbromfeniramina</t>
  </si>
  <si>
    <t>Apiladoras</t>
  </si>
  <si>
    <t>Básculas de mesa o cama para pacientes para uso general</t>
  </si>
  <si>
    <t>Mononitrato de isosorbida</t>
  </si>
  <si>
    <t>Musgo de turba</t>
  </si>
  <si>
    <t>Servicios de preparación del mercado para productos frutales</t>
  </si>
  <si>
    <t>MEDICAMENTOS VASOPROTECTOR</t>
  </si>
  <si>
    <t>Formación de recursos humanos para el sector  comercial</t>
  </si>
  <si>
    <t>Construcción de centrales eléctricas</t>
  </si>
  <si>
    <t>Columnas para equipos eléctricos hospitalarios</t>
  </si>
  <si>
    <t>Servicios de campamentos o instalaciones para jóvenes</t>
  </si>
  <si>
    <t>Pipas para fumar</t>
  </si>
  <si>
    <t>Replicadores de puertos</t>
  </si>
  <si>
    <t>48101518</t>
  </si>
  <si>
    <t>Máquinas para amarrar</t>
  </si>
  <si>
    <t>Servicios de terminación mediante tubería flexible contínua</t>
  </si>
  <si>
    <t>Servicios de administración de sistemas de riego</t>
  </si>
  <si>
    <t>Atenuadores</t>
  </si>
  <si>
    <t>Sierras</t>
  </si>
  <si>
    <t>Zileutón</t>
  </si>
  <si>
    <t>Tubos o tapones de cápsulas</t>
  </si>
  <si>
    <t>Claritromicina</t>
  </si>
  <si>
    <t>Servicios de auditoria ambiental de actividades específicas</t>
  </si>
  <si>
    <t>Paradero</t>
  </si>
  <si>
    <t>Construcción o mantenimiento de chimeneas</t>
  </si>
  <si>
    <t>Pinturas o medios al oleo sintéticos tratados con calor</t>
  </si>
  <si>
    <t>Servicios de procesamiento de la cosecha</t>
  </si>
  <si>
    <t>Pulidores dentales</t>
  </si>
  <si>
    <t>Pinzas para equipos de limpieza</t>
  </si>
  <si>
    <t>Crisoles de metal</t>
  </si>
  <si>
    <t>Sulfato de quinina</t>
  </si>
  <si>
    <t>Vehículos de juego</t>
  </si>
  <si>
    <t>Objetos de bronce fundidos por proceso en v</t>
  </si>
  <si>
    <t>Dienestrol</t>
  </si>
  <si>
    <t>Sopladores o vaporizadores o accesorios de uso quirúrgico</t>
  </si>
  <si>
    <t>Ensambles de barras remachadas de aleación wasp</t>
  </si>
  <si>
    <t>Compuestos para brillado</t>
  </si>
  <si>
    <t>La Romana</t>
  </si>
  <si>
    <t>Clorhidrato de linsidomina</t>
  </si>
  <si>
    <t>Bumetanida</t>
  </si>
  <si>
    <t>Troqueles de herramienta engarzadora de lengüetas</t>
  </si>
  <si>
    <t>Armazones de impresión al vacío de serigrafía</t>
  </si>
  <si>
    <t>39101616</t>
  </si>
  <si>
    <t>Servicios de adopción</t>
  </si>
  <si>
    <t>Indicadores visuales de flujo</t>
  </si>
  <si>
    <t>41104210</t>
  </si>
  <si>
    <t>Gestión de la calidad del agua</t>
  </si>
  <si>
    <t>Etiquetas numeradas consecutivamente</t>
  </si>
  <si>
    <t>Clotrimazol</t>
  </si>
  <si>
    <t>Ensambles de barras soldadas con soldadura fuerte o débil de aluminio</t>
  </si>
  <si>
    <t>Ruedas medidoras para distancias</t>
  </si>
  <si>
    <t>Ensambles de tubos soldados con soldadura sónica de inconel</t>
  </si>
  <si>
    <t>Servicios telegráficos de agencias de noticias</t>
  </si>
  <si>
    <t>Cable coaxial exterior de planta</t>
  </si>
  <si>
    <t>Humidificadores o vaporizadores respiratorios</t>
  </si>
  <si>
    <t>Dados de fracciones</t>
  </si>
  <si>
    <t>Cerdos</t>
  </si>
  <si>
    <t>Ensamblajes o secciones de paneles</t>
  </si>
  <si>
    <t>Enantato de testosterona</t>
  </si>
  <si>
    <t>Urnas de incineración o accesorios</t>
  </si>
  <si>
    <t>Válvulas deslizantes</t>
  </si>
  <si>
    <t>Desechos de papel</t>
  </si>
  <si>
    <t>Planchas de estufa para uso comercial</t>
  </si>
  <si>
    <t>Servicios de pruebas de fracturación del pozo</t>
  </si>
  <si>
    <t>Trofeos</t>
  </si>
  <si>
    <t>Tubería de cemento</t>
  </si>
  <si>
    <t>Servicios de guardería para niños o bebés</t>
  </si>
  <si>
    <t>Tuercas de canal</t>
  </si>
  <si>
    <t>Elevadores reutilizables</t>
  </si>
  <si>
    <t>Hidrocloruro de paroxetina</t>
  </si>
  <si>
    <t>Fundición en arena de estaño</t>
  </si>
  <si>
    <t>Servicios de registro de identificación de fracturas</t>
  </si>
  <si>
    <t>Servicios de cartografía de cuadrícula del campo petrolero</t>
  </si>
  <si>
    <t>Microscopios de campo oscuro</t>
  </si>
  <si>
    <t>Componentes de acero inoxidable maquinados por extrusión en frío</t>
  </si>
  <si>
    <t>Discos movibles para muebles</t>
  </si>
  <si>
    <t>Brassieres</t>
  </si>
  <si>
    <t>Interpretación de fotografía geofísica</t>
  </si>
  <si>
    <t>Pie cuadrado</t>
  </si>
  <si>
    <t>Empacadora al vacío</t>
  </si>
  <si>
    <t>Forjas de magnesio maquinadas por anillo enrollado</t>
  </si>
  <si>
    <t>Fungicidas</t>
  </si>
  <si>
    <t>Producción forestal comestible</t>
  </si>
  <si>
    <t>Kits de jeringas de análisis de gas en la sangre</t>
  </si>
  <si>
    <t>Región</t>
  </si>
  <si>
    <t>Servicios de legislación o justicia social</t>
  </si>
  <si>
    <t>Servicios de limpieza de edificios</t>
  </si>
  <si>
    <t>Servidores de computador</t>
  </si>
  <si>
    <t>Adhesivos gigantes</t>
  </si>
  <si>
    <t>Respiradores</t>
  </si>
  <si>
    <t>Acuerdos sobre horarios laborales</t>
  </si>
  <si>
    <t>Laca</t>
  </si>
  <si>
    <t>Software de servidor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</si>
</sst>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[$RD$-1C0A]* #,##0.00_-;\-[$RD$-1C0A]* #,##0.00_-;_-[$RD$-1C0A]* &quot;-&quot;??_-;_-@_-"/>
    <numFmt numFmtId="169" formatCode="dd\-mm\-yyyy"/>
    <numFmt numFmtId="170" formatCode="_-[$RD$-1C0A]* #,##0.00_ ;_-[$RD$-1C0A]* \-#,##0.00\ ;_-[$RD$-1C0A]* &quot; - &quot;??_ ;_-@_ "/>
  </numFmts>
  <fonts count="20" x14ac:knownFonts="1">
    <font>
      <sz val="11"/>
      <color theme="1"/>
      <name val="Calibri"/>
      <scheme val="minor"/>
    </font>
    <font>
      <sz val="10"/>
      <name val="Arial"/>
    </font>
    <font>
      <b/>
      <sz val="11"/>
      <color rgb="FF002060"/>
      <name val="Calibri"/>
      <scheme val="minor"/>
    </font>
    <font>
      <sz val="14"/>
      <color theme="1"/>
      <name val="Arial Narrow"/>
    </font>
    <font>
      <b/>
      <sz val="12"/>
      <color theme="1"/>
      <name val="Arial Narrow"/>
    </font>
    <font>
      <b/>
      <sz val="16"/>
      <color theme="1"/>
      <name val="Arial Narrow"/>
    </font>
    <font>
      <sz val="11"/>
      <color theme="1"/>
      <name val="Arial Narrow"/>
    </font>
    <font>
      <sz val="8"/>
      <color theme="1"/>
      <name val="Calibri"/>
      <scheme val="minor"/>
    </font>
    <font>
      <b/>
      <sz val="8"/>
      <color rgb="FFFFFFFF"/>
      <name val="Arial"/>
    </font>
    <font>
      <sz val="8"/>
      <color rgb="FF000000"/>
      <name val="Arial"/>
    </font>
    <font>
      <b/>
      <sz val="10"/>
      <color rgb="FF363636"/>
      <name val="Verdana"/>
    </font>
    <font>
      <b/>
      <sz val="9"/>
      <color rgb="FF002060"/>
      <name val="Arial Narrow"/>
    </font>
    <font>
      <sz val="9"/>
      <color theme="1"/>
      <name val="Arial Narrow"/>
    </font>
    <font>
      <b/>
      <sz val="9"/>
      <color theme="1"/>
      <name val="Arial Narrow"/>
    </font>
    <font>
      <b/>
      <sz val="9"/>
      <color theme="1"/>
      <name val="Calibri"/>
      <scheme val="minor"/>
    </font>
    <font>
      <b/>
      <sz val="11"/>
      <name val="Calibri"/>
      <scheme val="minor"/>
    </font>
    <font>
      <sz val="11"/>
      <color rgb="FF002060"/>
      <name val="Calibri"/>
      <scheme val="minor"/>
    </font>
    <font>
      <b/>
      <sz val="8"/>
      <color theme="1"/>
      <name val="Calibri"/>
      <scheme val="minor"/>
    </font>
    <font>
      <b/>
      <sz val="9"/>
      <name val="Tahoma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C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theme="0" tint="-0.4999237037263100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52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2" borderId="1">
      <alignment horizontal="center" vertical="center" wrapText="1"/>
    </xf>
    <xf numFmtId="0" fontId="17" fillId="2" borderId="1">
      <alignment horizontal="center" vertical="center" textRotation="90" wrapText="1"/>
    </xf>
    <xf numFmtId="0" fontId="17" fillId="0" borderId="1">
      <alignment horizontal="center" vertical="center"/>
    </xf>
    <xf numFmtId="169" fontId="17" fillId="0" borderId="1">
      <alignment horizontal="center" vertical="center"/>
    </xf>
    <xf numFmtId="0" fontId="17" fillId="3" borderId="1">
      <alignment horizontal="center" vertical="center"/>
    </xf>
    <xf numFmtId="0" fontId="17" fillId="4" borderId="1">
      <alignment horizontal="center" vertical="center"/>
    </xf>
    <xf numFmtId="0" fontId="7" fillId="5" borderId="2">
      <alignment horizontal="center" vertical="center"/>
    </xf>
    <xf numFmtId="170" fontId="7" fillId="5" borderId="2">
      <alignment horizontal="center" vertical="center"/>
    </xf>
    <xf numFmtId="0" fontId="7" fillId="5" borderId="2">
      <alignment horizontal="center" vertical="center" wrapText="1"/>
    </xf>
    <xf numFmtId="0" fontId="17" fillId="0" borderId="1">
      <alignment horizontal="center" vertical="center"/>
    </xf>
    <xf numFmtId="0" fontId="17" fillId="0" borderId="1">
      <alignment horizontal="left" vertical="center"/>
    </xf>
    <xf numFmtId="0" fontId="17" fillId="3" borderId="1">
      <alignment horizontal="center" vertical="center"/>
    </xf>
    <xf numFmtId="0" fontId="7" fillId="5" borderId="2">
      <alignment horizontal="left" vertical="center"/>
    </xf>
  </cellStyleXfs>
  <cellXfs count="97">
    <xf numFmtId="0" fontId="0" fillId="0" borderId="0" xfId="0"/>
    <xf numFmtId="0" fontId="17" fillId="0" borderId="1" xfId="41">
      <alignment horizontal="center" vertical="center"/>
    </xf>
    <xf numFmtId="0" fontId="17" fillId="2" borderId="1" xfId="40">
      <alignment horizontal="center" vertical="center" textRotation="90" wrapText="1"/>
    </xf>
    <xf numFmtId="14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10" borderId="0" xfId="0" applyFont="1" applyFill="1" applyBorder="1" applyAlignment="1" applyProtection="1">
      <alignment horizontal="center" vertical="center" wrapText="1"/>
    </xf>
    <xf numFmtId="0" fontId="4" fillId="10" borderId="0" xfId="0" applyFont="1" applyFill="1" applyBorder="1" applyAlignment="1" applyProtection="1">
      <alignment horizontal="center" vertical="top" wrapText="1"/>
    </xf>
    <xf numFmtId="49" fontId="14" fillId="0" borderId="14" xfId="0" applyNumberFormat="1" applyFont="1" applyFill="1" applyBorder="1" applyAlignment="1" applyProtection="1">
      <alignment horizontal="center" vertical="center" wrapText="1"/>
    </xf>
    <xf numFmtId="49" fontId="14" fillId="0" borderId="1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15" fillId="12" borderId="19" xfId="0" applyFont="1" applyFill="1" applyBorder="1" applyAlignment="1" applyProtection="1">
      <alignment horizontal="center" vertical="center" wrapText="1"/>
    </xf>
    <xf numFmtId="0" fontId="15" fillId="12" borderId="18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vertical="center"/>
      <protection hidden="1"/>
    </xf>
    <xf numFmtId="0" fontId="3" fillId="6" borderId="3" xfId="0" applyFont="1" applyFill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8" fillId="7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6" borderId="0" xfId="0" applyFont="1" applyFill="1" applyAlignment="1" applyProtection="1">
      <alignment vertical="center"/>
      <protection hidden="1"/>
    </xf>
    <xf numFmtId="0" fontId="7" fillId="0" borderId="0" xfId="0" applyFont="1" applyFill="1" applyBorder="1" applyAlignment="1">
      <alignment horizontal="left"/>
    </xf>
    <xf numFmtId="0" fontId="7" fillId="8" borderId="0" xfId="0" applyFont="1" applyFill="1" applyBorder="1"/>
    <xf numFmtId="0" fontId="7" fillId="8" borderId="4" xfId="0" applyFont="1" applyFill="1" applyBorder="1"/>
    <xf numFmtId="0" fontId="8" fillId="7" borderId="5" xfId="0" applyFont="1" applyFill="1" applyBorder="1" applyAlignment="1">
      <alignment horizontal="center" vertical="center" wrapText="1"/>
    </xf>
    <xf numFmtId="0" fontId="7" fillId="8" borderId="6" xfId="0" applyFont="1" applyFill="1" applyBorder="1"/>
    <xf numFmtId="0" fontId="7" fillId="8" borderId="7" xfId="0" applyFont="1" applyFill="1" applyBorder="1"/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7" fillId="8" borderId="10" xfId="0" applyFont="1" applyFill="1" applyBorder="1"/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0" fillId="0" borderId="0" xfId="0" applyFont="1"/>
    <xf numFmtId="0" fontId="8" fillId="7" borderId="0" xfId="0" applyFont="1" applyFill="1" applyBorder="1" applyAlignment="1">
      <alignment horizontal="left" vertical="center" wrapText="1"/>
    </xf>
    <xf numFmtId="0" fontId="6" fillId="0" borderId="0" xfId="0" applyFont="1" applyAlignment="1" applyProtection="1">
      <alignment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5" fillId="6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horizontal="left" vertical="center"/>
    </xf>
    <xf numFmtId="0" fontId="12" fillId="6" borderId="10" xfId="0" applyFont="1" applyFill="1" applyBorder="1" applyAlignment="1" applyProtection="1">
      <alignment vertical="center"/>
      <protection hidden="1"/>
    </xf>
    <xf numFmtId="0" fontId="11" fillId="6" borderId="0" xfId="0" applyFont="1" applyFill="1" applyBorder="1" applyAlignment="1" applyProtection="1">
      <alignment vertical="center"/>
    </xf>
    <xf numFmtId="0" fontId="12" fillId="6" borderId="11" xfId="0" applyFont="1" applyFill="1" applyBorder="1" applyAlignment="1" applyProtection="1">
      <alignment vertical="center"/>
      <protection hidden="1"/>
    </xf>
    <xf numFmtId="0" fontId="13" fillId="9" borderId="12" xfId="0" applyFont="1" applyFill="1" applyBorder="1" applyAlignment="1" applyProtection="1">
      <alignment horizontal="left" vertical="center"/>
    </xf>
    <xf numFmtId="0" fontId="12" fillId="6" borderId="0" xfId="0" applyFont="1" applyFill="1" applyAlignment="1" applyProtection="1">
      <alignment vertical="center"/>
      <protection hidden="1"/>
    </xf>
    <xf numFmtId="0" fontId="13" fillId="9" borderId="8" xfId="0" applyFont="1" applyFill="1" applyBorder="1" applyAlignment="1" applyProtection="1">
      <alignment horizontal="left" vertical="center"/>
    </xf>
    <xf numFmtId="0" fontId="5" fillId="6" borderId="11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  <protection hidden="1"/>
    </xf>
    <xf numFmtId="0" fontId="12" fillId="6" borderId="0" xfId="0" applyFont="1" applyFill="1" applyBorder="1" applyAlignment="1" applyProtection="1">
      <alignment vertical="center"/>
      <protection hidden="1"/>
    </xf>
    <xf numFmtId="0" fontId="7" fillId="0" borderId="0" xfId="0" applyFont="1" applyProtection="1"/>
    <xf numFmtId="38" fontId="13" fillId="10" borderId="12" xfId="0" applyNumberFormat="1" applyFont="1" applyFill="1" applyBorder="1" applyAlignment="1" applyProtection="1">
      <alignment vertical="center" wrapText="1"/>
    </xf>
    <xf numFmtId="168" fontId="14" fillId="0" borderId="1" xfId="0" applyNumberFormat="1" applyFont="1" applyFill="1" applyBorder="1" applyAlignment="1" applyProtection="1">
      <alignment vertical="center"/>
    </xf>
    <xf numFmtId="0" fontId="14" fillId="0" borderId="1" xfId="0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wrapText="1"/>
    </xf>
    <xf numFmtId="0" fontId="2" fillId="11" borderId="15" xfId="0" applyFont="1" applyFill="1" applyBorder="1" applyAlignment="1">
      <alignment vertical="center" wrapText="1"/>
    </xf>
    <xf numFmtId="168" fontId="16" fillId="10" borderId="16" xfId="0" applyNumberFormat="1" applyFont="1" applyFill="1" applyBorder="1" applyAlignment="1" applyProtection="1">
      <alignment horizontal="right"/>
    </xf>
    <xf numFmtId="0" fontId="2" fillId="11" borderId="17" xfId="0" applyFont="1" applyFill="1" applyBorder="1" applyAlignment="1">
      <alignment vertical="center" wrapText="1"/>
    </xf>
    <xf numFmtId="0" fontId="16" fillId="10" borderId="16" xfId="0" applyFont="1" applyFill="1" applyBorder="1" applyAlignment="1" applyProtection="1">
      <alignment horizontal="right"/>
    </xf>
    <xf numFmtId="38" fontId="16" fillId="10" borderId="16" xfId="0" applyNumberFormat="1" applyFont="1" applyFill="1" applyBorder="1" applyAlignment="1" applyProtection="1">
      <alignment horizontal="right"/>
    </xf>
    <xf numFmtId="1" fontId="16" fillId="10" borderId="16" xfId="0" applyNumberFormat="1" applyFont="1" applyFill="1" applyBorder="1" applyAlignment="1" applyProtection="1">
      <alignment horizontal="right"/>
    </xf>
    <xf numFmtId="0" fontId="2" fillId="10" borderId="16" xfId="0" applyFont="1" applyFill="1" applyBorder="1" applyAlignment="1" applyProtection="1">
      <alignment vertical="center" wrapText="1"/>
    </xf>
    <xf numFmtId="0" fontId="16" fillId="0" borderId="0" xfId="0" applyFont="1" applyProtection="1"/>
    <xf numFmtId="0" fontId="4" fillId="6" borderId="0" xfId="0" applyFont="1" applyFill="1" applyBorder="1" applyAlignment="1" applyProtection="1">
      <alignment vertical="top" wrapText="1"/>
    </xf>
    <xf numFmtId="0" fontId="4" fillId="6" borderId="0" xfId="0" applyFont="1" applyFill="1" applyBorder="1" applyAlignment="1" applyProtection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7" fillId="2" borderId="1" xfId="39">
      <alignment horizontal="center" vertical="center" wrapText="1"/>
    </xf>
    <xf numFmtId="0" fontId="17" fillId="0" borderId="1" xfId="41">
      <alignment horizontal="center" vertical="center"/>
    </xf>
    <xf numFmtId="0" fontId="17" fillId="0" borderId="1" xfId="41" applyProtection="1">
      <alignment horizontal="center" vertical="center"/>
      <protection locked="0"/>
    </xf>
    <xf numFmtId="0" fontId="17" fillId="3" borderId="1" xfId="43">
      <alignment horizontal="center" vertical="center"/>
    </xf>
    <xf numFmtId="0" fontId="7" fillId="5" borderId="2" xfId="45" applyProtection="1">
      <alignment horizontal="center" vertical="center"/>
      <protection locked="0"/>
    </xf>
    <xf numFmtId="0" fontId="7" fillId="5" borderId="2" xfId="47">
      <alignment horizontal="center" vertical="center" wrapText="1"/>
    </xf>
    <xf numFmtId="170" fontId="7" fillId="5" borderId="2" xfId="46">
      <alignment horizontal="center" vertical="center"/>
    </xf>
    <xf numFmtId="170" fontId="7" fillId="5" borderId="2" xfId="46" applyProtection="1">
      <alignment horizontal="center" vertical="center"/>
      <protection locked="0"/>
    </xf>
    <xf numFmtId="0" fontId="17" fillId="4" borderId="1" xfId="44" applyFont="1">
      <alignment horizontal="center" vertical="center"/>
    </xf>
    <xf numFmtId="0" fontId="17" fillId="4" borderId="2" xfId="44" applyBorder="1">
      <alignment horizontal="center" vertical="center"/>
    </xf>
    <xf numFmtId="170" fontId="7" fillId="4" borderId="2" xfId="46" applyFill="1">
      <alignment horizontal="center" vertical="center"/>
    </xf>
    <xf numFmtId="14" fontId="16" fillId="10" borderId="16" xfId="0" applyNumberFormat="1" applyFont="1" applyFill="1" applyBorder="1" applyAlignment="1" applyProtection="1">
      <alignment horizontal="right"/>
    </xf>
    <xf numFmtId="14" fontId="17" fillId="0" borderId="1" xfId="42" applyNumberFormat="1" applyProtection="1">
      <alignment horizontal="center" vertical="center"/>
      <protection locked="0"/>
    </xf>
    <xf numFmtId="169" fontId="17" fillId="0" borderId="1" xfId="42" applyProtection="1">
      <alignment horizontal="center" vertical="center"/>
      <protection locked="0"/>
    </xf>
    <xf numFmtId="0" fontId="17" fillId="0" borderId="1" xfId="48">
      <alignment horizontal="center" vertical="center"/>
    </xf>
    <xf numFmtId="0" fontId="17" fillId="3" borderId="1" xfId="50">
      <alignment horizontal="center" vertical="center"/>
    </xf>
    <xf numFmtId="0" fontId="17" fillId="0" borderId="1" xfId="49" applyProtection="1">
      <alignment horizontal="left" vertical="center"/>
      <protection locked="0"/>
    </xf>
    <xf numFmtId="0" fontId="7" fillId="5" borderId="2" xfId="45" applyProtection="1">
      <alignment horizontal="center" vertical="center"/>
      <protection locked="0"/>
    </xf>
    <xf numFmtId="0" fontId="7" fillId="5" borderId="2" xfId="51" applyProtection="1">
      <alignment horizontal="left" vertical="center"/>
      <protection locked="0"/>
    </xf>
    <xf numFmtId="0" fontId="17" fillId="4" borderId="2" xfId="44" applyFont="1" applyBorder="1">
      <alignment horizontal="center" vertical="center"/>
    </xf>
  </cellXfs>
  <cellStyles count="52">
    <cellStyle name="ArticleBody" xfId="45"/>
    <cellStyle name="ArticleBody_currency" xfId="46"/>
    <cellStyle name="ArticleBody_text" xfId="51"/>
    <cellStyle name="ArticleBody_UNSCPCDescription" xfId="47"/>
    <cellStyle name="ArticleHeader" xfId="44"/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Normal 3" xfId="7"/>
    <cellStyle name="Normal 3 10" xfId="8"/>
    <cellStyle name="Normal 3 11" xfId="9"/>
    <cellStyle name="Normal 3 12" xfId="10"/>
    <cellStyle name="Normal 3 13" xfId="11"/>
    <cellStyle name="Normal 3 14" xfId="12"/>
    <cellStyle name="Normal 3 15" xfId="13"/>
    <cellStyle name="Normal 3 16" xfId="14"/>
    <cellStyle name="Normal 3 17" xfId="15"/>
    <cellStyle name="Normal 3 18" xfId="16"/>
    <cellStyle name="Normal 3 19" xfId="17"/>
    <cellStyle name="Normal 3 2" xfId="18"/>
    <cellStyle name="Normal 3 20" xfId="19"/>
    <cellStyle name="Normal 3 21" xfId="20"/>
    <cellStyle name="Normal 3 22" xfId="21"/>
    <cellStyle name="Normal 3 23" xfId="22"/>
    <cellStyle name="Normal 3 24" xfId="23"/>
    <cellStyle name="Normal 3 25" xfId="24"/>
    <cellStyle name="Normal 3 26" xfId="25"/>
    <cellStyle name="Normal 3 27" xfId="26"/>
    <cellStyle name="Normal 3 28" xfId="27"/>
    <cellStyle name="Normal 3 29" xfId="28"/>
    <cellStyle name="Normal 3 3" xfId="29"/>
    <cellStyle name="Normal 3 30" xfId="30"/>
    <cellStyle name="Normal 3 31" xfId="31"/>
    <cellStyle name="Normal 3 32" xfId="32"/>
    <cellStyle name="Normal 3 4" xfId="33"/>
    <cellStyle name="Normal 3 5" xfId="34"/>
    <cellStyle name="Normal 3 6" xfId="35"/>
    <cellStyle name="Normal 3 7" xfId="36"/>
    <cellStyle name="Normal 3 8" xfId="37"/>
    <cellStyle name="Normal 3 9" xfId="38"/>
    <cellStyle name="Percent" xfId="1"/>
    <cellStyle name="ProcessBody" xfId="41"/>
    <cellStyle name="ProcessBody_address" xfId="49"/>
    <cellStyle name="ProcessBody_datetime" xfId="42"/>
    <cellStyle name="ProcessBody_number" xfId="48"/>
    <cellStyle name="ProcessHeader" xfId="39"/>
    <cellStyle name="ProcessHeader_vertical" xfId="40"/>
    <cellStyle name="ProcessSubHeader" xfId="43"/>
    <cellStyle name="ProcessSubHeader_lugar" xfId="5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/>
        <horizontal/>
      </border>
    </dxf>
    <dxf>
      <border>
        <vertical/>
        <horizontal/>
      </border>
    </dxf>
    <dxf>
      <font>
        <strike val="0"/>
      </font>
    </dxf>
  </dxfs>
  <tableStyles count="4" defaultTableStyle="TableStyleMedium2" defaultPivotStyle="PivotStyleLight16">
    <tableStyle name="Table Style 1" pivot="0" count="1">
      <tableStyleElement type="totalRow" dxfId="7"/>
    </tableStyle>
    <tableStyle name="Table Style 2" pivot="0" count="2">
      <tableStyleElement type="wholeTable" dxfId="6"/>
      <tableStyleElement type="totalRow" dxfId="5"/>
    </tableStyle>
    <tableStyle name="Table Style 3" pivot="0" count="3">
      <tableStyleElement type="lastColumn" dxfId="4"/>
      <tableStyleElement type="firstRowStripe" dxfId="3"/>
      <tableStyleElement type="secondRowStripe" dxfId="2"/>
    </tableStyle>
    <tableStyle name="Table Style 4" pivot="0" count="2">
      <tableStyleElement type="firstRow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19050</xdr:rowOff>
    </xdr:from>
    <xdr:to>
      <xdr:col>1</xdr:col>
      <xdr:colOff>3286125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9050"/>
          <a:ext cx="324802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</xdr:col>
      <xdr:colOff>342900</xdr:colOff>
      <xdr:row>3</xdr:row>
      <xdr:rowOff>66675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61925"/>
          <a:ext cx="1962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342900</xdr:colOff>
      <xdr:row>0</xdr:row>
      <xdr:rowOff>9525</xdr:rowOff>
    </xdr:from>
    <xdr:to>
      <xdr:col>5</xdr:col>
      <xdr:colOff>1352550</xdr:colOff>
      <xdr:row>4</xdr:row>
      <xdr:rowOff>95250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44050" y="9525"/>
          <a:ext cx="10096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28575</xdr:rowOff>
    </xdr:to>
    <xdr:sp macro="" textlink="">
      <xdr:nvSpPr>
        <xdr:cNvPr id="10257" name="Button 17" hidden="1"/>
        <xdr:cNvSpPr/>
      </xdr:nvSpPr>
      <xdr:spPr bwMode="auto">
        <a:xfrm>
          <a:off x="9277350" y="571500"/>
          <a:ext cx="762000" cy="17145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95250</xdr:rowOff>
    </xdr:from>
    <xdr:to>
      <xdr:col>7</xdr:col>
      <xdr:colOff>0</xdr:colOff>
      <xdr:row>1</xdr:row>
      <xdr:rowOff>123825</xdr:rowOff>
    </xdr:to>
    <xdr:sp macro="" textlink="">
      <xdr:nvSpPr>
        <xdr:cNvPr id="10259" name="Button 19" hidden="1"/>
        <xdr:cNvSpPr/>
      </xdr:nvSpPr>
      <xdr:spPr bwMode="auto">
        <a:xfrm>
          <a:off x="9277350" y="95250"/>
          <a:ext cx="762000" cy="4572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-</a:t>
          </a:r>
        </a:p>
      </xdr:txBody>
    </xdr:sp>
    <xdr:clientData/>
  </xdr:twoCellAnchor>
  <xdr:twoCellAnchor>
    <xdr:from>
      <xdr:col>0</xdr:col>
      <xdr:colOff>142875</xdr:colOff>
      <xdr:row>21</xdr:row>
      <xdr:rowOff>47625</xdr:rowOff>
    </xdr:from>
    <xdr:to>
      <xdr:col>1</xdr:col>
      <xdr:colOff>647700</xdr:colOff>
      <xdr:row>24</xdr:row>
      <xdr:rowOff>0</xdr:rowOff>
    </xdr:to>
    <xdr:sp macro="" textlink="">
      <xdr:nvSpPr>
        <xdr:cNvPr id="10260" name="Button 20" hidden="1"/>
        <xdr:cNvSpPr/>
      </xdr:nvSpPr>
      <xdr:spPr bwMode="auto">
        <a:xfrm>
          <a:off x="142875" y="3619500"/>
          <a:ext cx="1952625" cy="3810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800" b="1" i="0" u="none" strike="noStrike" baseline="0">
              <a:solidFill>
                <a:srgbClr val="008000"/>
              </a:solidFill>
              <a:latin typeface="Verdana"/>
              <a:ea typeface="Verdana"/>
              <a:cs typeface="Verdana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0262" name="Button 22" hidden="1"/>
        <xdr:cNvSpPr/>
      </xdr:nvSpPr>
      <xdr:spPr bwMode="auto">
        <a:xfrm>
          <a:off x="9277350" y="1571625"/>
          <a:ext cx="762000" cy="4286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600" b="1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Eliminar Procedimiento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28575</xdr:rowOff>
    </xdr:to>
    <xdr:sp macro="" textlink="">
      <xdr:nvSpPr>
        <xdr:cNvPr id="12292" name="Button 4" hidden="1">
          <a:extLst>
            <a:ext uri="{63B3BB69-23CF-44E3-9099-C40C66FF867C}">
              <a14:compatExt xmlns:a14="http://schemas.microsoft.com/office/drawing/2010/main" spid="_x0000_s12292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285750</xdr:rowOff>
    </xdr:from>
    <xdr:to>
      <xdr:col>7</xdr:col>
      <xdr:colOff>0</xdr:colOff>
      <xdr:row>1</xdr:row>
      <xdr:rowOff>123825</xdr:rowOff>
    </xdr:to>
    <xdr:sp macro="" textlink="">
      <xdr:nvSpPr>
        <xdr:cNvPr id="12291" name="Button 3" hidden="1">
          <a:extLst>
            <a:ext uri="{63B3BB69-23CF-44E3-9099-C40C66FF867C}">
              <a14:compatExt xmlns:a14="http://schemas.microsoft.com/office/drawing/2010/main" spid="_x0000_s12291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0</xdr:col>
      <xdr:colOff>142875</xdr:colOff>
      <xdr:row>20</xdr:row>
      <xdr:rowOff>47625</xdr:rowOff>
    </xdr:from>
    <xdr:to>
      <xdr:col>1</xdr:col>
      <xdr:colOff>647700</xdr:colOff>
      <xdr:row>23</xdr:row>
      <xdr:rowOff>0</xdr:rowOff>
    </xdr:to>
    <xdr:sp macro="" textlink="">
      <xdr:nvSpPr>
        <xdr:cNvPr id="12290" name="Button 2" hidden="1">
          <a:extLst>
            <a:ext uri="{63B3BB69-23CF-44E3-9099-C40C66FF867C}">
              <a14:compatExt xmlns:a14="http://schemas.microsoft.com/office/drawing/2010/main" spid="_x0000_s12290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2289" name="Button 1" hidden="1">
          <a:extLst>
            <a:ext uri="{63B3BB69-23CF-44E3-9099-C40C66FF867C}">
              <a14:compatExt xmlns:a14="http://schemas.microsoft.com/office/drawing/2010/main" spid="_x0000_s12289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Eliminar Procedimiento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28575</xdr:rowOff>
        </xdr:to>
        <xdr:sp macro="" textlink="">
          <xdr:nvSpPr>
            <xdr:cNvPr id="2" name="Button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285750</xdr:rowOff>
        </xdr:from>
        <xdr:to>
          <xdr:col>7</xdr:col>
          <xdr:colOff>0</xdr:colOff>
          <xdr:row>1</xdr:row>
          <xdr:rowOff>123825</xdr:rowOff>
        </xdr:to>
        <xdr:sp macro="" textlink="">
          <xdr:nvSpPr>
            <xdr:cNvPr id="3" name="Button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19</xdr:row>
          <xdr:rowOff>47625</xdr:rowOff>
        </xdr:from>
        <xdr:to>
          <xdr:col>1</xdr:col>
          <xdr:colOff>647700</xdr:colOff>
          <xdr:row>22</xdr:row>
          <xdr:rowOff>0</xdr:rowOff>
        </xdr:to>
        <xdr:sp macro="" textlink="">
          <xdr:nvSpPr>
            <xdr:cNvPr id="4" name="Button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5" name="Button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Eliminar Procedimiento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98" name="Table198" displayName="Table198" ref="A7119:F714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68" name="Table168" displayName="Table168" ref="A6089:F609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76" name="Table176" displayName="Table176" ref="A6303:F63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13" name="Table213" displayName="Table213" ref="A8234:F82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89" name="Table189" displayName="Table189" ref="A6845:F685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224" name="Table224" displayName="Table224" ref="A9101:F92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le10" displayName="Table10" ref="A298:F3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6" name="Table126" displayName="Table126" ref="A4790:F479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33" name="Table133" displayName="Table133" ref="A5288:F530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21" name="Table221" displayName="Table221" ref="A8669:F877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1" name="Table131" displayName="Table131" ref="A5134:F51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35" name="Table135" displayName="Table135" ref="A5327:F53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207" name="Table207" displayName="Table207" ref="A7657:F776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99" name="Table199" displayName="Table199" ref="A7156:F72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5" name="Table25" displayName="Table25" ref="A641:F64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54" name="Table54" displayName="Table54" ref="A1323:F13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57" name="Table57" displayName="Table57" ref="A1391:F13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63" name="Table163" displayName="Table163" ref="A6003:F601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233" name="Table233" displayName="Table233" ref="A9967:F100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17" name="Table17" displayName="Table17" ref="A462:F4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73" name="Table73" displayName="Table73" ref="A1807:F18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122" name="Table122" displayName="Table122" ref="A4236:F440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70" name="Table70" displayName="Table70" ref="A1680:F16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39" name="Table39" displayName="Table39" ref="A880:F89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175" name="Table175" displayName="Table175" ref="A6231:F629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203" name="Table203" displayName="Table203" ref="A7376:F74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205" name="Table205" displayName="Table205" ref="A7479:F755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31" name="Table31" displayName="Table31" ref="A727:F7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97" name="Table97" displayName="Table97" ref="A2605:F26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79" name="Table79" displayName="Table79" ref="A1930:F195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id="231" name="Table231" displayName="Table231" ref="A9803:F987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id="161" name="Table161" displayName="Table161" ref="A5954:F597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id="215" name="Table215" displayName="Table215" ref="A8348:F837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id="95" name="Table95" displayName="Table95" ref="A2485:F25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id="59" name="Table59" displayName="Table59" ref="A1429:F144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id="118" name="Table118" displayName="Table118" ref="A4078:F410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id="32" name="Table32" displayName="Table32" ref="A745:F7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id="183" name="Table183" displayName="Table183" ref="A6693:F671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id="82" name="Table82" displayName="Table82" ref="A2026:F203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id="158" name="Table158" displayName="Table158" ref="A5859:F58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id="116" name="Table116" displayName="Table116" ref="A3967:F40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id="169" name="Table169" displayName="Table169" ref="A6102:F61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id="206" name="Table206" displayName="Table206" ref="A7568:F764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id="96" name="Table96" displayName="Table96" ref="A2545:F259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id="81" name="Table81" displayName="Table81" ref="A1994:F20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id="208" name="Table208" displayName="Table208" ref="A7777:F786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id="21" name="Table21" displayName="Table21" ref="A581:F58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id="155" name="Table155" displayName="Table155" ref="A5804:F58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id="84" name="Table84" displayName="Table84" ref="A2073:F20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id="115" name="Table115" displayName="Table115" ref="A3649:F39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id="232" name="Table232" displayName="Table232" ref="A9885:F99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id="4" name="Table4" displayName="Table4" ref="A22:F4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id="87" name="Table87" displayName="Table87" ref="A2129:F21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id="159" name="Table159" displayName="Table159" ref="A5888:F591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id="42" name="Table42" displayName="Table42" ref="A953:F99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id="129" name="Table129" displayName="Table129" ref="A4852:F49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id="60" name="Table60" displayName="Table60" ref="A1451:F14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id="68" name="Table68" displayName="Table68" ref="A1609:F16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9.xml><?xml version="1.0" encoding="utf-8"?>
<table xmlns="http://schemas.openxmlformats.org/spreadsheetml/2006/main" id="53" name="Table53" displayName="Table53" ref="A1297:F131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0.xml><?xml version="1.0" encoding="utf-8"?>
<table xmlns="http://schemas.openxmlformats.org/spreadsheetml/2006/main" id="58" name="Table58" displayName="Table58" ref="A1407:F14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1.xml><?xml version="1.0" encoding="utf-8"?>
<table xmlns="http://schemas.openxmlformats.org/spreadsheetml/2006/main" id="164" name="Table164" displayName="Table164" ref="A6023:F603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2.xml><?xml version="1.0" encoding="utf-8"?>
<table xmlns="http://schemas.openxmlformats.org/spreadsheetml/2006/main" id="151" name="Table151" displayName="Table151" ref="A5701:F570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3.xml><?xml version="1.0" encoding="utf-8"?>
<table xmlns="http://schemas.openxmlformats.org/spreadsheetml/2006/main" id="113" name="Table113" displayName="Table113" ref="A3569:F358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4.xml><?xml version="1.0" encoding="utf-8"?>
<table xmlns="http://schemas.openxmlformats.org/spreadsheetml/2006/main" id="55" name="Table55" displayName="Table55" ref="A1349:F13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5.xml><?xml version="1.0" encoding="utf-8"?>
<table xmlns="http://schemas.openxmlformats.org/spreadsheetml/2006/main" id="147" name="Table147" displayName="Table147" ref="A5617:F562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6.xml><?xml version="1.0" encoding="utf-8"?>
<table xmlns="http://schemas.openxmlformats.org/spreadsheetml/2006/main" id="49" name="Table49" displayName="Table49" ref="A1211:F12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7.xml><?xml version="1.0" encoding="utf-8"?>
<table xmlns="http://schemas.openxmlformats.org/spreadsheetml/2006/main" id="124" name="Table124" displayName="Table124" ref="A4595:F473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8.xml><?xml version="1.0" encoding="utf-8"?>
<table xmlns="http://schemas.openxmlformats.org/spreadsheetml/2006/main" id="182" name="Table182" displayName="Table182" ref="A6680:F66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9.xml><?xml version="1.0" encoding="utf-8"?>
<table xmlns="http://schemas.openxmlformats.org/spreadsheetml/2006/main" id="106" name="Table106" displayName="Table106" ref="A3047:F311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0.xml><?xml version="1.0" encoding="utf-8"?>
<table xmlns="http://schemas.openxmlformats.org/spreadsheetml/2006/main" id="160" name="Table160" displayName="Table160" ref="A5925:F594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1.xml><?xml version="1.0" encoding="utf-8"?>
<table xmlns="http://schemas.openxmlformats.org/spreadsheetml/2006/main" id="109" name="Table109" displayName="Table109" ref="A3243:F331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2.xml><?xml version="1.0" encoding="utf-8"?>
<table xmlns="http://schemas.openxmlformats.org/spreadsheetml/2006/main" id="108" name="Table108" displayName="Table108" ref="A3192:F323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3.xml><?xml version="1.0" encoding="utf-8"?>
<table xmlns="http://schemas.openxmlformats.org/spreadsheetml/2006/main" id="141" name="Table141" displayName="Table141" ref="A5452:F54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4.xml><?xml version="1.0" encoding="utf-8"?>
<table xmlns="http://schemas.openxmlformats.org/spreadsheetml/2006/main" id="64" name="Table64" displayName="Table64" ref="A1536:F154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5.xml><?xml version="1.0" encoding="utf-8"?>
<table xmlns="http://schemas.openxmlformats.org/spreadsheetml/2006/main" id="75" name="Table75" displayName="Table75" ref="A1876:F187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6.xml><?xml version="1.0" encoding="utf-8"?>
<table xmlns="http://schemas.openxmlformats.org/spreadsheetml/2006/main" id="142" name="Table142" displayName="Table142" ref="A5474:F550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7.xml><?xml version="1.0" encoding="utf-8"?>
<table xmlns="http://schemas.openxmlformats.org/spreadsheetml/2006/main" id="16" name="Table16" displayName="Table16" ref="A449:F45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8.xml><?xml version="1.0" encoding="utf-8"?>
<table xmlns="http://schemas.openxmlformats.org/spreadsheetml/2006/main" id="51" name="Table51" displayName="Table51" ref="A1251:F126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9.xml><?xml version="1.0" encoding="utf-8"?>
<table xmlns="http://schemas.openxmlformats.org/spreadsheetml/2006/main" id="145" name="Table145" displayName="Table145" ref="A5575:F558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0.xml><?xml version="1.0" encoding="utf-8"?>
<table xmlns="http://schemas.openxmlformats.org/spreadsheetml/2006/main" id="38" name="Table38" displayName="Table38" ref="A863:F8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1.xml><?xml version="1.0" encoding="utf-8"?>
<table xmlns="http://schemas.openxmlformats.org/spreadsheetml/2006/main" id="217" name="Table217" displayName="Table217" ref="A8421:F844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2.xml><?xml version="1.0" encoding="utf-8"?>
<table xmlns="http://schemas.openxmlformats.org/spreadsheetml/2006/main" id="167" name="Table167" displayName="Table167" ref="A6076:F607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3.xml><?xml version="1.0" encoding="utf-8"?>
<table xmlns="http://schemas.openxmlformats.org/spreadsheetml/2006/main" id="45" name="Table45" displayName="Table45" ref="A1094:F113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4.xml><?xml version="1.0" encoding="utf-8"?>
<table xmlns="http://schemas.openxmlformats.org/spreadsheetml/2006/main" id="149" name="Table149" displayName="Table149" ref="A5659:F56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5.xml><?xml version="1.0" encoding="utf-8"?>
<table xmlns="http://schemas.openxmlformats.org/spreadsheetml/2006/main" id="192" name="Table192" displayName="Table192" ref="A6909:F693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6.xml><?xml version="1.0" encoding="utf-8"?>
<table xmlns="http://schemas.openxmlformats.org/spreadsheetml/2006/main" id="105" name="Table105" displayName="Table105" ref="A3023:F30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7.xml><?xml version="1.0" encoding="utf-8"?>
<table xmlns="http://schemas.openxmlformats.org/spreadsheetml/2006/main" id="165" name="Table165" displayName="Table165" ref="A6043:F60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8.xml><?xml version="1.0" encoding="utf-8"?>
<table xmlns="http://schemas.openxmlformats.org/spreadsheetml/2006/main" id="22" name="Table22" displayName="Table22" ref="A596:F60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9.xml><?xml version="1.0" encoding="utf-8"?>
<table xmlns="http://schemas.openxmlformats.org/spreadsheetml/2006/main" id="46" name="Table46" displayName="Table46" ref="A1141:F115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0.xml><?xml version="1.0" encoding="utf-8"?>
<table xmlns="http://schemas.openxmlformats.org/spreadsheetml/2006/main" id="177" name="Table177" displayName="Table177" ref="A6375:F64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1.xml><?xml version="1.0" encoding="utf-8"?>
<table xmlns="http://schemas.openxmlformats.org/spreadsheetml/2006/main" id="188" name="Table188" displayName="Table188" ref="A6828:F68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2.xml><?xml version="1.0" encoding="utf-8"?>
<table xmlns="http://schemas.openxmlformats.org/spreadsheetml/2006/main" id="88" name="Table88" displayName="Table88" ref="A2175:F219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3.xml><?xml version="1.0" encoding="utf-8"?>
<table xmlns="http://schemas.openxmlformats.org/spreadsheetml/2006/main" id="171" name="Table171" displayName="Table171" ref="A6126:F612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4.xml><?xml version="1.0" encoding="utf-8"?>
<table xmlns="http://schemas.openxmlformats.org/spreadsheetml/2006/main" id="94" name="Table94" displayName="Table94" ref="A2425:F247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5.xml><?xml version="1.0" encoding="utf-8"?>
<table xmlns="http://schemas.openxmlformats.org/spreadsheetml/2006/main" id="63" name="Table63" displayName="Table63" ref="A1515:F152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6.xml><?xml version="1.0" encoding="utf-8"?>
<table xmlns="http://schemas.openxmlformats.org/spreadsheetml/2006/main" id="30" name="Table30" displayName="Table30" ref="A709:F71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7.xml><?xml version="1.0" encoding="utf-8"?>
<table xmlns="http://schemas.openxmlformats.org/spreadsheetml/2006/main" id="209" name="Table209" displayName="Table209" ref="A7878:F796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8.xml><?xml version="1.0" encoding="utf-8"?>
<table xmlns="http://schemas.openxmlformats.org/spreadsheetml/2006/main" id="40" name="Table40" displayName="Table40" ref="A905:F92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9.xml><?xml version="1.0" encoding="utf-8"?>
<table xmlns="http://schemas.openxmlformats.org/spreadsheetml/2006/main" id="211" name="Table211" displayName="Table211" ref="A8026:F811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0.xml><?xml version="1.0" encoding="utf-8"?>
<table xmlns="http://schemas.openxmlformats.org/spreadsheetml/2006/main" id="98" name="Table98" displayName="Table98" ref="A2673:F269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1.xml><?xml version="1.0" encoding="utf-8"?>
<table xmlns="http://schemas.openxmlformats.org/spreadsheetml/2006/main" id="110" name="Table110" displayName="Table110" ref="A3322:F344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2.xml><?xml version="1.0" encoding="utf-8"?>
<table xmlns="http://schemas.openxmlformats.org/spreadsheetml/2006/main" id="5" name="Table5" displayName="Table5" ref="A53:F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3.xml><?xml version="1.0" encoding="utf-8"?>
<table xmlns="http://schemas.openxmlformats.org/spreadsheetml/2006/main" id="137" name="Table137" displayName="Table137" ref="A5365:F537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4.xml><?xml version="1.0" encoding="utf-8"?>
<table xmlns="http://schemas.openxmlformats.org/spreadsheetml/2006/main" id="48" name="Table48" displayName="Table48" ref="A1191:F120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5.xml><?xml version="1.0" encoding="utf-8"?>
<table xmlns="http://schemas.openxmlformats.org/spreadsheetml/2006/main" id="19" name="Table19" displayName="Table19" ref="A486:F4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6.xml><?xml version="1.0" encoding="utf-8"?>
<table xmlns="http://schemas.openxmlformats.org/spreadsheetml/2006/main" id="112" name="Table112" displayName="Table112" ref="A3515:F35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7.xml><?xml version="1.0" encoding="utf-8"?>
<table xmlns="http://schemas.openxmlformats.org/spreadsheetml/2006/main" id="74" name="Table74" displayName="Table74" ref="A1863:F186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8.xml><?xml version="1.0" encoding="utf-8"?>
<table xmlns="http://schemas.openxmlformats.org/spreadsheetml/2006/main" id="85" name="Table85" displayName="Table85" ref="A2088:F209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9.xml><?xml version="1.0" encoding="utf-8"?>
<table xmlns="http://schemas.openxmlformats.org/spreadsheetml/2006/main" id="104" name="Table104" displayName="Table104" ref="A2955:F301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0.xml><?xml version="1.0" encoding="utf-8"?>
<table xmlns="http://schemas.openxmlformats.org/spreadsheetml/2006/main" id="230" name="Table230" displayName="Table230" ref="A9666:F979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1.xml><?xml version="1.0" encoding="utf-8"?>
<table xmlns="http://schemas.openxmlformats.org/spreadsheetml/2006/main" id="222" name="Table222" displayName="Table222" ref="A8786:F889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2.xml><?xml version="1.0" encoding="utf-8"?>
<table xmlns="http://schemas.openxmlformats.org/spreadsheetml/2006/main" id="225" name="Table225" displayName="Table225" ref="A9232:F923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3.xml><?xml version="1.0" encoding="utf-8"?>
<table xmlns="http://schemas.openxmlformats.org/spreadsheetml/2006/main" id="150" name="Table150" displayName="Table150" ref="A5680:F569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4.xml><?xml version="1.0" encoding="utf-8"?>
<table xmlns="http://schemas.openxmlformats.org/spreadsheetml/2006/main" id="103" name="Table103" displayName="Table103" ref="A2899:F294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5.xml><?xml version="1.0" encoding="utf-8"?>
<table xmlns="http://schemas.openxmlformats.org/spreadsheetml/2006/main" id="153" name="Table153" displayName="Table153" ref="A5727:F57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6.xml><?xml version="1.0" encoding="utf-8"?>
<table xmlns="http://schemas.openxmlformats.org/spreadsheetml/2006/main" id="201" name="Table201" displayName="Table201" ref="A7282:F73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7.xml><?xml version="1.0" encoding="utf-8"?>
<table xmlns="http://schemas.openxmlformats.org/spreadsheetml/2006/main" id="121" name="Table121" displayName="Table121" ref="A4200:F422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8.xml><?xml version="1.0" encoding="utf-8"?>
<table xmlns="http://schemas.openxmlformats.org/spreadsheetml/2006/main" id="193" name="Table193" displayName="Table193" ref="A6941:F69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9.xml><?xml version="1.0" encoding="utf-8"?>
<table xmlns="http://schemas.openxmlformats.org/spreadsheetml/2006/main" id="174" name="Table174" displayName="Table174" ref="A6159:F62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0.xml><?xml version="1.0" encoding="utf-8"?>
<table xmlns="http://schemas.openxmlformats.org/spreadsheetml/2006/main" id="223" name="Table223" displayName="Table223" ref="A8903:F909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1.xml><?xml version="1.0" encoding="utf-8"?>
<table xmlns="http://schemas.openxmlformats.org/spreadsheetml/2006/main" id="181" name="Table181" displayName="Table181" ref="A6625:F66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2.xml><?xml version="1.0" encoding="utf-8"?>
<table xmlns="http://schemas.openxmlformats.org/spreadsheetml/2006/main" id="107" name="Table107" displayName="Table107" ref="A3124:F31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3.xml><?xml version="1.0" encoding="utf-8"?>
<table xmlns="http://schemas.openxmlformats.org/spreadsheetml/2006/main" id="139" name="Table139" displayName="Table139" ref="A5408:F542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4.xml><?xml version="1.0" encoding="utf-8"?>
<table xmlns="http://schemas.openxmlformats.org/spreadsheetml/2006/main" id="36" name="Table36" displayName="Table36" ref="A824:F83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5.xml><?xml version="1.0" encoding="utf-8"?>
<table xmlns="http://schemas.openxmlformats.org/spreadsheetml/2006/main" id="43" name="Table43" displayName="Table43" ref="A1000:F10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6.xml><?xml version="1.0" encoding="utf-8"?>
<table xmlns="http://schemas.openxmlformats.org/spreadsheetml/2006/main" id="100" name="Table100" displayName="Table100" ref="A2774:F278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7.xml><?xml version="1.0" encoding="utf-8"?>
<table xmlns="http://schemas.openxmlformats.org/spreadsheetml/2006/main" id="184" name="Table184" displayName="Table184" ref="A6722:F674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8.xml><?xml version="1.0" encoding="utf-8"?>
<table xmlns="http://schemas.openxmlformats.org/spreadsheetml/2006/main" id="86" name="Table86" displayName="Table86" ref="A2103:F21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9.xml><?xml version="1.0" encoding="utf-8"?>
<table xmlns="http://schemas.openxmlformats.org/spreadsheetml/2006/main" id="162" name="Table162" displayName="Table162" ref="A5983:F599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0.xml><?xml version="1.0" encoding="utf-8"?>
<table xmlns="http://schemas.openxmlformats.org/spreadsheetml/2006/main" id="65" name="Table65" displayName="Table65" ref="A1557:F156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1.xml><?xml version="1.0" encoding="utf-8"?>
<table xmlns="http://schemas.openxmlformats.org/spreadsheetml/2006/main" id="180" name="Table180" displayName="Table180" ref="A6522:F661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2.xml><?xml version="1.0" encoding="utf-8"?>
<table xmlns="http://schemas.openxmlformats.org/spreadsheetml/2006/main" id="52" name="Table52" displayName="Table52" ref="A1271:F128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3.xml><?xml version="1.0" encoding="utf-8"?>
<table xmlns="http://schemas.openxmlformats.org/spreadsheetml/2006/main" id="67" name="Table67" displayName="Table67" ref="A1594:F15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4.xml><?xml version="1.0" encoding="utf-8"?>
<table xmlns="http://schemas.openxmlformats.org/spreadsheetml/2006/main" id="41" name="Table41" displayName="Table41" ref="A930:F94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5.xml><?xml version="1.0" encoding="utf-8"?>
<table xmlns="http://schemas.openxmlformats.org/spreadsheetml/2006/main" id="178" name="Table178" displayName="Table178" ref="A6447:F647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6.xml><?xml version="1.0" encoding="utf-8"?>
<table xmlns="http://schemas.openxmlformats.org/spreadsheetml/2006/main" id="202" name="Table202" displayName="Table202" ref="A7329:F736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7.xml><?xml version="1.0" encoding="utf-8"?>
<table xmlns="http://schemas.openxmlformats.org/spreadsheetml/2006/main" id="35" name="Table35" displayName="Table35" ref="A797:F81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8.xml><?xml version="1.0" encoding="utf-8"?>
<table xmlns="http://schemas.openxmlformats.org/spreadsheetml/2006/main" id="7" name="Table7" displayName="Table7" ref="A161:F2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9.xml><?xml version="1.0" encoding="utf-8"?>
<table xmlns="http://schemas.openxmlformats.org/spreadsheetml/2006/main" id="33" name="Table33" displayName="Table33" ref="A763:F7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0.xml><?xml version="1.0" encoding="utf-8"?>
<table xmlns="http://schemas.openxmlformats.org/spreadsheetml/2006/main" id="9" name="Table9" displayName="Table9" ref="A267:F2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1.xml><?xml version="1.0" encoding="utf-8"?>
<table xmlns="http://schemas.openxmlformats.org/spreadsheetml/2006/main" id="212" name="Table212" displayName="Table212" ref="A8127:F822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2.xml><?xml version="1.0" encoding="utf-8"?>
<table xmlns="http://schemas.openxmlformats.org/spreadsheetml/2006/main" id="132" name="Table132" displayName="Table132" ref="A5180:F52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3.xml><?xml version="1.0" encoding="utf-8"?>
<table xmlns="http://schemas.openxmlformats.org/spreadsheetml/2006/main" id="216" name="Table216" displayName="Table216" ref="A8384:F841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4.xml><?xml version="1.0" encoding="utf-8"?>
<table xmlns="http://schemas.openxmlformats.org/spreadsheetml/2006/main" id="28" name="Table28" displayName="Table28" ref="A680:F6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5.xml><?xml version="1.0" encoding="utf-8"?>
<table xmlns="http://schemas.openxmlformats.org/spreadsheetml/2006/main" id="102" name="Table102" displayName="Table102" ref="A2821:F28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6.xml><?xml version="1.0" encoding="utf-8"?>
<table xmlns="http://schemas.openxmlformats.org/spreadsheetml/2006/main" id="77" name="Table77" displayName="Table77" ref="A1902:F19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7.xml><?xml version="1.0" encoding="utf-8"?>
<table xmlns="http://schemas.openxmlformats.org/spreadsheetml/2006/main" id="6" name="Table6" displayName="Table6" ref="A107:F15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8.xml><?xml version="1.0" encoding="utf-8"?>
<table xmlns="http://schemas.openxmlformats.org/spreadsheetml/2006/main" id="204" name="Table204" displayName="Table204" ref="A7432:F746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9.xml><?xml version="1.0" encoding="utf-8"?>
<table xmlns="http://schemas.openxmlformats.org/spreadsheetml/2006/main" id="8" name="Table8" displayName="Table8" ref="A215:F2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0.xml><?xml version="1.0" encoding="utf-8"?>
<table xmlns="http://schemas.openxmlformats.org/spreadsheetml/2006/main" id="186" name="Table186" displayName="Table186" ref="A6780:F67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1.xml><?xml version="1.0" encoding="utf-8"?>
<table xmlns="http://schemas.openxmlformats.org/spreadsheetml/2006/main" id="119" name="Table119" displayName="Table119" ref="A4116:F41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2.xml><?xml version="1.0" encoding="utf-8"?>
<table xmlns="http://schemas.openxmlformats.org/spreadsheetml/2006/main" id="69" name="Table69" displayName="Table69" ref="A1665:F16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3.xml><?xml version="1.0" encoding="utf-8"?>
<table xmlns="http://schemas.openxmlformats.org/spreadsheetml/2006/main" id="194" name="Table194" displayName="Table194" ref="A6973:F700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4.xml><?xml version="1.0" encoding="utf-8"?>
<table xmlns="http://schemas.openxmlformats.org/spreadsheetml/2006/main" id="123" name="Table123" displayName="Table123" ref="A4419:F45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5.xml><?xml version="1.0" encoding="utf-8"?>
<table xmlns="http://schemas.openxmlformats.org/spreadsheetml/2006/main" id="83" name="Table83" displayName="Table83" ref="A2041:F20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6.xml><?xml version="1.0" encoding="utf-8"?>
<table xmlns="http://schemas.openxmlformats.org/spreadsheetml/2006/main" id="152" name="Table152" displayName="Table152" ref="A5714:F571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7.xml><?xml version="1.0" encoding="utf-8"?>
<table xmlns="http://schemas.openxmlformats.org/spreadsheetml/2006/main" id="140" name="Table140" displayName="Table140" ref="A5430:F544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8.xml><?xml version="1.0" encoding="utf-8"?>
<table xmlns="http://schemas.openxmlformats.org/spreadsheetml/2006/main" id="170" name="Table170" displayName="Table170" ref="A6115:F61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9.xml><?xml version="1.0" encoding="utf-8"?>
<table xmlns="http://schemas.openxmlformats.org/spreadsheetml/2006/main" id="154" name="Table154" displayName="Table154" ref="A5767:F579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0.xml><?xml version="1.0" encoding="utf-8"?>
<table xmlns="http://schemas.openxmlformats.org/spreadsheetml/2006/main" id="62" name="Table62" displayName="Table62" ref="A1494:F15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1.xml><?xml version="1.0" encoding="utf-8"?>
<table xmlns="http://schemas.openxmlformats.org/spreadsheetml/2006/main" id="27" name="Table27" displayName="Table27" ref="A667:F6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2.xml><?xml version="1.0" encoding="utf-8"?>
<table xmlns="http://schemas.openxmlformats.org/spreadsheetml/2006/main" id="50" name="Table50" displayName="Table50" ref="A1231:F124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3.xml><?xml version="1.0" encoding="utf-8"?>
<table xmlns="http://schemas.openxmlformats.org/spreadsheetml/2006/main" id="91" name="Table91" displayName="Table91" ref="A2293:F232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4.xml><?xml version="1.0" encoding="utf-8"?>
<table xmlns="http://schemas.openxmlformats.org/spreadsheetml/2006/main" id="173" name="Table173" displayName="Table173" ref="A6148:F61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5.xml><?xml version="1.0" encoding="utf-8"?>
<table xmlns="http://schemas.openxmlformats.org/spreadsheetml/2006/main" id="210" name="Table210" displayName="Table210" ref="A7979:F80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6.xml><?xml version="1.0" encoding="utf-8"?>
<table xmlns="http://schemas.openxmlformats.org/spreadsheetml/2006/main" id="93" name="Table93" displayName="Table93" ref="A2365:F241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7.xml><?xml version="1.0" encoding="utf-8"?>
<table xmlns="http://schemas.openxmlformats.org/spreadsheetml/2006/main" id="226" name="Table226" displayName="Table226" ref="A9243:F924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8.xml><?xml version="1.0" encoding="utf-8"?>
<table xmlns="http://schemas.openxmlformats.org/spreadsheetml/2006/main" id="117" name="Table117" displayName="Table117" ref="A4018:F406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9.xml><?xml version="1.0" encoding="utf-8"?>
<table xmlns="http://schemas.openxmlformats.org/spreadsheetml/2006/main" id="15" name="Table15" displayName="Table15" ref="A418:F4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0.xml><?xml version="1.0" encoding="utf-8"?>
<table xmlns="http://schemas.openxmlformats.org/spreadsheetml/2006/main" id="148" name="Table148" displayName="Table148" ref="A5638:F56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1.xml><?xml version="1.0" encoding="utf-8"?>
<table xmlns="http://schemas.openxmlformats.org/spreadsheetml/2006/main" id="61" name="Table61" displayName="Table61" ref="A1473:F14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2.xml><?xml version="1.0" encoding="utf-8"?>
<table xmlns="http://schemas.openxmlformats.org/spreadsheetml/2006/main" id="191" name="Table191" displayName="Table191" ref="A6877:F68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3.xml><?xml version="1.0" encoding="utf-8"?>
<table xmlns="http://schemas.openxmlformats.org/spreadsheetml/2006/main" id="190" name="Table190" displayName="Table190" ref="A6861:F686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4.xml><?xml version="1.0" encoding="utf-8"?>
<table xmlns="http://schemas.openxmlformats.org/spreadsheetml/2006/main" id="99" name="Table99" displayName="Table99" ref="A2700:F27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5.xml><?xml version="1.0" encoding="utf-8"?>
<table xmlns="http://schemas.openxmlformats.org/spreadsheetml/2006/main" id="219" name="Table219" displayName="Table219" ref="A8495:F854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6.xml><?xml version="1.0" encoding="utf-8"?>
<table xmlns="http://schemas.openxmlformats.org/spreadsheetml/2006/main" id="234" name="Table234" displayName="Table234" ref="A10049:F101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7.xml><?xml version="1.0" encoding="utf-8"?>
<table xmlns="http://schemas.openxmlformats.org/spreadsheetml/2006/main" id="24" name="Table24" displayName="Table24" ref="A626:F63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8.xml><?xml version="1.0" encoding="utf-8"?>
<table xmlns="http://schemas.openxmlformats.org/spreadsheetml/2006/main" id="78" name="Table78" displayName="Table78" ref="A1915:F192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9.xml><?xml version="1.0" encoding="utf-8"?>
<table xmlns="http://schemas.openxmlformats.org/spreadsheetml/2006/main" id="218" name="Table218" displayName="Table218" ref="A8458:F84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0.xml><?xml version="1.0" encoding="utf-8"?>
<table xmlns="http://schemas.openxmlformats.org/spreadsheetml/2006/main" id="187" name="Table187" displayName="Table187" ref="A6809:F681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1.xml><?xml version="1.0" encoding="utf-8"?>
<table xmlns="http://schemas.openxmlformats.org/spreadsheetml/2006/main" id="172" name="Table172" displayName="Table172" ref="A6137:F613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2.xml><?xml version="1.0" encoding="utf-8"?>
<table xmlns="http://schemas.openxmlformats.org/spreadsheetml/2006/main" id="195" name="Table195" displayName="Table195" ref="A7013:F70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3.xml><?xml version="1.0" encoding="utf-8"?>
<table xmlns="http://schemas.openxmlformats.org/spreadsheetml/2006/main" id="89" name="Table89" displayName="Table89" ref="A2201:F22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4.xml><?xml version="1.0" encoding="utf-8"?>
<table xmlns="http://schemas.openxmlformats.org/spreadsheetml/2006/main" id="185" name="Table185" displayName="Table185" ref="A6751:F67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5.xml><?xml version="1.0" encoding="utf-8"?>
<table xmlns="http://schemas.openxmlformats.org/spreadsheetml/2006/main" id="156" name="Table156" displayName="Table156" ref="A5817:F582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6.xml><?xml version="1.0" encoding="utf-8"?>
<table xmlns="http://schemas.openxmlformats.org/spreadsheetml/2006/main" id="166" name="Table166" displayName="Table166" ref="A6063:F606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7.xml><?xml version="1.0" encoding="utf-8"?>
<table xmlns="http://schemas.openxmlformats.org/spreadsheetml/2006/main" id="90" name="Table90" displayName="Table90" ref="A2247:F22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8.xml><?xml version="1.0" encoding="utf-8"?>
<table xmlns="http://schemas.openxmlformats.org/spreadsheetml/2006/main" id="76" name="Table76" displayName="Table76" ref="A1889:F189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9.xml><?xml version="1.0" encoding="utf-8"?>
<table xmlns="http://schemas.openxmlformats.org/spreadsheetml/2006/main" id="23" name="Table23" displayName="Table23" ref="A611:F6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0.xml><?xml version="1.0" encoding="utf-8"?>
<table xmlns="http://schemas.openxmlformats.org/spreadsheetml/2006/main" id="13" name="Table13" displayName="Table13" ref="A374:F37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1.xml><?xml version="1.0" encoding="utf-8"?>
<table xmlns="http://schemas.openxmlformats.org/spreadsheetml/2006/main" id="157" name="Table157" displayName="Table157" ref="A5830:F58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2.xml><?xml version="1.0" encoding="utf-8"?>
<table xmlns="http://schemas.openxmlformats.org/spreadsheetml/2006/main" id="12" name="Table12" displayName="Table12" ref="A346:F3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3.xml><?xml version="1.0" encoding="utf-8"?>
<table xmlns="http://schemas.openxmlformats.org/spreadsheetml/2006/main" id="20" name="Table20" displayName="Table20" ref="A499:F5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4.xml><?xml version="1.0" encoding="utf-8"?>
<table xmlns="http://schemas.openxmlformats.org/spreadsheetml/2006/main" id="220" name="Table220" displayName="Table220" ref="A8552:F86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5.xml><?xml version="1.0" encoding="utf-8"?>
<table xmlns="http://schemas.openxmlformats.org/spreadsheetml/2006/main" id="44" name="Table44" displayName="Table44" ref="A1047:F10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6.xml><?xml version="1.0" encoding="utf-8"?>
<table xmlns="http://schemas.openxmlformats.org/spreadsheetml/2006/main" id="120" name="Table120" displayName="Table120" ref="A4165:F419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7.xml><?xml version="1.0" encoding="utf-8"?>
<table xmlns="http://schemas.openxmlformats.org/spreadsheetml/2006/main" id="143" name="Table143" displayName="Table143" ref="A5514:F554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8.xml><?xml version="1.0" encoding="utf-8"?>
<table xmlns="http://schemas.openxmlformats.org/spreadsheetml/2006/main" id="179" name="Table179" displayName="Table179" ref="A6484:F651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9.xml><?xml version="1.0" encoding="utf-8"?>
<table xmlns="http://schemas.openxmlformats.org/spreadsheetml/2006/main" id="134" name="Table134" displayName="Table134" ref="A5311:F531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0.xml><?xml version="1.0" encoding="utf-8"?>
<table xmlns="http://schemas.openxmlformats.org/spreadsheetml/2006/main" id="214" name="Table214" displayName="Table214" ref="A8291:F833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1.xml><?xml version="1.0" encoding="utf-8"?>
<table xmlns="http://schemas.openxmlformats.org/spreadsheetml/2006/main" id="11" name="Table11" displayName="Table11" ref="A332:F3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2.xml><?xml version="1.0" encoding="utf-8"?>
<table xmlns="http://schemas.openxmlformats.org/spreadsheetml/2006/main" id="29" name="Table29" displayName="Table29" ref="A693:F6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3.xml><?xml version="1.0" encoding="utf-8"?>
<table xmlns="http://schemas.openxmlformats.org/spreadsheetml/2006/main" id="128" name="Table128" displayName="Table128" ref="A4831:F484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4.xml><?xml version="1.0" encoding="utf-8"?>
<table xmlns="http://schemas.openxmlformats.org/spreadsheetml/2006/main" id="80" name="Table80" displayName="Table80" ref="A1962:F19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5.xml><?xml version="1.0" encoding="utf-8"?>
<table xmlns="http://schemas.openxmlformats.org/spreadsheetml/2006/main" id="138" name="Table138" displayName="Table138" ref="A5386:F539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6.xml><?xml version="1.0" encoding="utf-8"?>
<table xmlns="http://schemas.openxmlformats.org/spreadsheetml/2006/main" id="111" name="Table111" displayName="Table111" ref="A3451:F35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7.xml><?xml version="1.0" encoding="utf-8"?>
<table xmlns="http://schemas.openxmlformats.org/spreadsheetml/2006/main" id="18" name="Table18" displayName="Table18" ref="A474:F47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8.xml><?xml version="1.0" encoding="utf-8"?>
<table xmlns="http://schemas.openxmlformats.org/spreadsheetml/2006/main" id="200" name="Table200" displayName="Table200" ref="A7245:F72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9.xml><?xml version="1.0" encoding="utf-8"?>
<table xmlns="http://schemas.openxmlformats.org/spreadsheetml/2006/main" id="34" name="Table34" displayName="Table34" ref="A781:F78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0.xml><?xml version="1.0" encoding="utf-8"?>
<table xmlns="http://schemas.openxmlformats.org/spreadsheetml/2006/main" id="92" name="Table92" displayName="Table92" ref="A2339:F23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1.xml><?xml version="1.0" encoding="utf-8"?>
<table xmlns="http://schemas.openxmlformats.org/spreadsheetml/2006/main" id="136" name="Table136" displayName="Table136" ref="A5346:F53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2.xml><?xml version="1.0" encoding="utf-8"?>
<table xmlns="http://schemas.openxmlformats.org/spreadsheetml/2006/main" id="229" name="Table229" displayName="Table229" ref="A9528:F965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3.xml><?xml version="1.0" encoding="utf-8"?>
<table xmlns="http://schemas.openxmlformats.org/spreadsheetml/2006/main" id="130" name="Table130" displayName="Table130" ref="A4999:F512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4.xml><?xml version="1.0" encoding="utf-8"?>
<table xmlns="http://schemas.openxmlformats.org/spreadsheetml/2006/main" id="196" name="Table196" displayName="Table196" ref="A7045:F70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5.xml><?xml version="1.0" encoding="utf-8"?>
<table xmlns="http://schemas.openxmlformats.org/spreadsheetml/2006/main" id="72" name="Table72" displayName="Table72" ref="A1782:F17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6.xml><?xml version="1.0" encoding="utf-8"?>
<table xmlns="http://schemas.openxmlformats.org/spreadsheetml/2006/main" id="228" name="Table228" displayName="Table228" ref="A9391:F951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7.xml><?xml version="1.0" encoding="utf-8"?>
<table xmlns="http://schemas.openxmlformats.org/spreadsheetml/2006/main" id="197" name="Table197" displayName="Table197" ref="A7082:F710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8.xml><?xml version="1.0" encoding="utf-8"?>
<table xmlns="http://schemas.openxmlformats.org/spreadsheetml/2006/main" id="125" name="Table125" displayName="Table125" ref="A4740:F478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9.xml><?xml version="1.0" encoding="utf-8"?>
<table xmlns="http://schemas.openxmlformats.org/spreadsheetml/2006/main" id="114" name="Table114" displayName="Table114" ref="A3597:F36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0.xml><?xml version="1.0" encoding="utf-8"?>
<table xmlns="http://schemas.openxmlformats.org/spreadsheetml/2006/main" id="47" name="Table47" displayName="Table47" ref="A1166:F11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1.xml><?xml version="1.0" encoding="utf-8"?>
<table xmlns="http://schemas.openxmlformats.org/spreadsheetml/2006/main" id="144" name="Table144" displayName="Table144" ref="A5554:F556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2.xml><?xml version="1.0" encoding="utf-8"?>
<table xmlns="http://schemas.openxmlformats.org/spreadsheetml/2006/main" id="37" name="Table37" displayName="Table37" ref="A842:F8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3.xml><?xml version="1.0" encoding="utf-8"?>
<table xmlns="http://schemas.openxmlformats.org/spreadsheetml/2006/main" id="101" name="Table101" displayName="Table101" ref="A2797:F281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4.xml><?xml version="1.0" encoding="utf-8"?>
<table xmlns="http://schemas.openxmlformats.org/spreadsheetml/2006/main" id="66" name="Table66" displayName="Table66" ref="A1579:F15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5.xml><?xml version="1.0" encoding="utf-8"?>
<table xmlns="http://schemas.openxmlformats.org/spreadsheetml/2006/main" id="14" name="Table14" displayName="Table14" ref="A387:F4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6.xml><?xml version="1.0" encoding="utf-8"?>
<table xmlns="http://schemas.openxmlformats.org/spreadsheetml/2006/main" id="26" name="Table26" displayName="Table26" ref="A654:F6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7.xml><?xml version="1.0" encoding="utf-8"?>
<table xmlns="http://schemas.openxmlformats.org/spreadsheetml/2006/main" id="71" name="Table71" displayName="Table71" ref="A1695:F17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8.xml><?xml version="1.0" encoding="utf-8"?>
<table xmlns="http://schemas.openxmlformats.org/spreadsheetml/2006/main" id="56" name="Table56" displayName="Table56" ref="A1375:F13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9.xml><?xml version="1.0" encoding="utf-8"?>
<table xmlns="http://schemas.openxmlformats.org/spreadsheetml/2006/main" id="127" name="Table127" displayName="Table127" ref="A4802:F482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30.xml><?xml version="1.0" encoding="utf-8"?>
<table xmlns="http://schemas.openxmlformats.org/spreadsheetml/2006/main" id="146" name="Table146" displayName="Table146" ref="A5596:F56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31.xml><?xml version="1.0" encoding="utf-8"?>
<table xmlns="http://schemas.openxmlformats.org/spreadsheetml/2006/main" id="227" name="Table227" displayName="Table227" ref="A9254:F93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32.xml><?xml version="1.0" encoding="utf-8"?>
<table xmlns="http://schemas.openxmlformats.org/spreadsheetml/2006/main" id="3" name="Table3" displayName="Table3" ref="A8:F9" totalsRowShown="0">
  <autoFilter ref="A8:F9"/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table" Target="../tables/table115.xml"/><Relationship Id="rId21" Type="http://schemas.openxmlformats.org/officeDocument/2006/relationships/table" Target="../tables/table19.xml"/><Relationship Id="rId42" Type="http://schemas.openxmlformats.org/officeDocument/2006/relationships/table" Target="../tables/table40.xml"/><Relationship Id="rId63" Type="http://schemas.openxmlformats.org/officeDocument/2006/relationships/table" Target="../tables/table61.xml"/><Relationship Id="rId84" Type="http://schemas.openxmlformats.org/officeDocument/2006/relationships/table" Target="../tables/table82.xml"/><Relationship Id="rId138" Type="http://schemas.openxmlformats.org/officeDocument/2006/relationships/table" Target="../tables/table136.xml"/><Relationship Id="rId159" Type="http://schemas.openxmlformats.org/officeDocument/2006/relationships/table" Target="../tables/table157.xml"/><Relationship Id="rId170" Type="http://schemas.openxmlformats.org/officeDocument/2006/relationships/table" Target="../tables/table168.xml"/><Relationship Id="rId191" Type="http://schemas.openxmlformats.org/officeDocument/2006/relationships/table" Target="../tables/table189.xml"/><Relationship Id="rId205" Type="http://schemas.openxmlformats.org/officeDocument/2006/relationships/table" Target="../tables/table203.xml"/><Relationship Id="rId226" Type="http://schemas.openxmlformats.org/officeDocument/2006/relationships/table" Target="../tables/table224.xml"/><Relationship Id="rId107" Type="http://schemas.openxmlformats.org/officeDocument/2006/relationships/table" Target="../tables/table105.xml"/><Relationship Id="rId11" Type="http://schemas.openxmlformats.org/officeDocument/2006/relationships/table" Target="../tables/table9.xml"/><Relationship Id="rId32" Type="http://schemas.openxmlformats.org/officeDocument/2006/relationships/table" Target="../tables/table30.xml"/><Relationship Id="rId53" Type="http://schemas.openxmlformats.org/officeDocument/2006/relationships/table" Target="../tables/table51.xml"/><Relationship Id="rId74" Type="http://schemas.openxmlformats.org/officeDocument/2006/relationships/table" Target="../tables/table72.xml"/><Relationship Id="rId128" Type="http://schemas.openxmlformats.org/officeDocument/2006/relationships/table" Target="../tables/table126.xml"/><Relationship Id="rId149" Type="http://schemas.openxmlformats.org/officeDocument/2006/relationships/table" Target="../tables/table147.xml"/><Relationship Id="rId5" Type="http://schemas.openxmlformats.org/officeDocument/2006/relationships/table" Target="../tables/table3.xml"/><Relationship Id="rId95" Type="http://schemas.openxmlformats.org/officeDocument/2006/relationships/table" Target="../tables/table93.xml"/><Relationship Id="rId160" Type="http://schemas.openxmlformats.org/officeDocument/2006/relationships/table" Target="../tables/table158.xml"/><Relationship Id="rId181" Type="http://schemas.openxmlformats.org/officeDocument/2006/relationships/table" Target="../tables/table179.xml"/><Relationship Id="rId216" Type="http://schemas.openxmlformats.org/officeDocument/2006/relationships/table" Target="../tables/table214.xml"/><Relationship Id="rId22" Type="http://schemas.openxmlformats.org/officeDocument/2006/relationships/table" Target="../tables/table20.xml"/><Relationship Id="rId27" Type="http://schemas.openxmlformats.org/officeDocument/2006/relationships/table" Target="../tables/table25.xml"/><Relationship Id="rId43" Type="http://schemas.openxmlformats.org/officeDocument/2006/relationships/table" Target="../tables/table41.xml"/><Relationship Id="rId48" Type="http://schemas.openxmlformats.org/officeDocument/2006/relationships/table" Target="../tables/table46.xml"/><Relationship Id="rId64" Type="http://schemas.openxmlformats.org/officeDocument/2006/relationships/table" Target="../tables/table62.xml"/><Relationship Id="rId69" Type="http://schemas.openxmlformats.org/officeDocument/2006/relationships/table" Target="../tables/table67.xml"/><Relationship Id="rId113" Type="http://schemas.openxmlformats.org/officeDocument/2006/relationships/table" Target="../tables/table111.xml"/><Relationship Id="rId118" Type="http://schemas.openxmlformats.org/officeDocument/2006/relationships/table" Target="../tables/table116.xml"/><Relationship Id="rId134" Type="http://schemas.openxmlformats.org/officeDocument/2006/relationships/table" Target="../tables/table132.xml"/><Relationship Id="rId139" Type="http://schemas.openxmlformats.org/officeDocument/2006/relationships/table" Target="../tables/table137.xml"/><Relationship Id="rId80" Type="http://schemas.openxmlformats.org/officeDocument/2006/relationships/table" Target="../tables/table78.xml"/><Relationship Id="rId85" Type="http://schemas.openxmlformats.org/officeDocument/2006/relationships/table" Target="../tables/table83.xml"/><Relationship Id="rId150" Type="http://schemas.openxmlformats.org/officeDocument/2006/relationships/table" Target="../tables/table148.xml"/><Relationship Id="rId155" Type="http://schemas.openxmlformats.org/officeDocument/2006/relationships/table" Target="../tables/table153.xml"/><Relationship Id="rId171" Type="http://schemas.openxmlformats.org/officeDocument/2006/relationships/table" Target="../tables/table169.xml"/><Relationship Id="rId176" Type="http://schemas.openxmlformats.org/officeDocument/2006/relationships/table" Target="../tables/table174.xml"/><Relationship Id="rId192" Type="http://schemas.openxmlformats.org/officeDocument/2006/relationships/table" Target="../tables/table190.xml"/><Relationship Id="rId197" Type="http://schemas.openxmlformats.org/officeDocument/2006/relationships/table" Target="../tables/table195.xml"/><Relationship Id="rId206" Type="http://schemas.openxmlformats.org/officeDocument/2006/relationships/table" Target="../tables/table204.xml"/><Relationship Id="rId227" Type="http://schemas.openxmlformats.org/officeDocument/2006/relationships/table" Target="../tables/table225.xml"/><Relationship Id="rId201" Type="http://schemas.openxmlformats.org/officeDocument/2006/relationships/table" Target="../tables/table199.xml"/><Relationship Id="rId222" Type="http://schemas.openxmlformats.org/officeDocument/2006/relationships/table" Target="../tables/table220.xml"/><Relationship Id="rId12" Type="http://schemas.openxmlformats.org/officeDocument/2006/relationships/table" Target="../tables/table10.xml"/><Relationship Id="rId17" Type="http://schemas.openxmlformats.org/officeDocument/2006/relationships/table" Target="../tables/table15.xml"/><Relationship Id="rId33" Type="http://schemas.openxmlformats.org/officeDocument/2006/relationships/table" Target="../tables/table31.xml"/><Relationship Id="rId38" Type="http://schemas.openxmlformats.org/officeDocument/2006/relationships/table" Target="../tables/table36.xml"/><Relationship Id="rId59" Type="http://schemas.openxmlformats.org/officeDocument/2006/relationships/table" Target="../tables/table57.xml"/><Relationship Id="rId103" Type="http://schemas.openxmlformats.org/officeDocument/2006/relationships/table" Target="../tables/table101.xml"/><Relationship Id="rId108" Type="http://schemas.openxmlformats.org/officeDocument/2006/relationships/table" Target="../tables/table106.xml"/><Relationship Id="rId124" Type="http://schemas.openxmlformats.org/officeDocument/2006/relationships/table" Target="../tables/table122.xml"/><Relationship Id="rId129" Type="http://schemas.openxmlformats.org/officeDocument/2006/relationships/table" Target="../tables/table127.xml"/><Relationship Id="rId54" Type="http://schemas.openxmlformats.org/officeDocument/2006/relationships/table" Target="../tables/table52.xml"/><Relationship Id="rId70" Type="http://schemas.openxmlformats.org/officeDocument/2006/relationships/table" Target="../tables/table68.xml"/><Relationship Id="rId75" Type="http://schemas.openxmlformats.org/officeDocument/2006/relationships/table" Target="../tables/table73.xml"/><Relationship Id="rId91" Type="http://schemas.openxmlformats.org/officeDocument/2006/relationships/table" Target="../tables/table89.xml"/><Relationship Id="rId96" Type="http://schemas.openxmlformats.org/officeDocument/2006/relationships/table" Target="../tables/table94.xml"/><Relationship Id="rId140" Type="http://schemas.openxmlformats.org/officeDocument/2006/relationships/table" Target="../tables/table138.xml"/><Relationship Id="rId145" Type="http://schemas.openxmlformats.org/officeDocument/2006/relationships/table" Target="../tables/table143.xml"/><Relationship Id="rId161" Type="http://schemas.openxmlformats.org/officeDocument/2006/relationships/table" Target="../tables/table159.xml"/><Relationship Id="rId166" Type="http://schemas.openxmlformats.org/officeDocument/2006/relationships/table" Target="../tables/table164.xml"/><Relationship Id="rId182" Type="http://schemas.openxmlformats.org/officeDocument/2006/relationships/table" Target="../tables/table180.xml"/><Relationship Id="rId187" Type="http://schemas.openxmlformats.org/officeDocument/2006/relationships/table" Target="../tables/table185.xml"/><Relationship Id="rId217" Type="http://schemas.openxmlformats.org/officeDocument/2006/relationships/table" Target="../tables/table215.xml"/><Relationship Id="rId1" Type="http://schemas.openxmlformats.org/officeDocument/2006/relationships/drawing" Target="../drawings/drawing2.xml"/><Relationship Id="rId6" Type="http://schemas.openxmlformats.org/officeDocument/2006/relationships/table" Target="../tables/table4.xml"/><Relationship Id="rId212" Type="http://schemas.openxmlformats.org/officeDocument/2006/relationships/table" Target="../tables/table210.xml"/><Relationship Id="rId233" Type="http://schemas.openxmlformats.org/officeDocument/2006/relationships/table" Target="../tables/table231.xml"/><Relationship Id="rId23" Type="http://schemas.openxmlformats.org/officeDocument/2006/relationships/table" Target="../tables/table21.xml"/><Relationship Id="rId28" Type="http://schemas.openxmlformats.org/officeDocument/2006/relationships/table" Target="../tables/table26.xml"/><Relationship Id="rId49" Type="http://schemas.openxmlformats.org/officeDocument/2006/relationships/table" Target="../tables/table47.xml"/><Relationship Id="rId114" Type="http://schemas.openxmlformats.org/officeDocument/2006/relationships/table" Target="../tables/table112.xml"/><Relationship Id="rId119" Type="http://schemas.openxmlformats.org/officeDocument/2006/relationships/table" Target="../tables/table117.xml"/><Relationship Id="rId44" Type="http://schemas.openxmlformats.org/officeDocument/2006/relationships/table" Target="../tables/table42.xml"/><Relationship Id="rId60" Type="http://schemas.openxmlformats.org/officeDocument/2006/relationships/table" Target="../tables/table58.xml"/><Relationship Id="rId65" Type="http://schemas.openxmlformats.org/officeDocument/2006/relationships/table" Target="../tables/table63.xml"/><Relationship Id="rId81" Type="http://schemas.openxmlformats.org/officeDocument/2006/relationships/table" Target="../tables/table79.xml"/><Relationship Id="rId86" Type="http://schemas.openxmlformats.org/officeDocument/2006/relationships/table" Target="../tables/table84.xml"/><Relationship Id="rId130" Type="http://schemas.openxmlformats.org/officeDocument/2006/relationships/table" Target="../tables/table128.xml"/><Relationship Id="rId135" Type="http://schemas.openxmlformats.org/officeDocument/2006/relationships/table" Target="../tables/table133.xml"/><Relationship Id="rId151" Type="http://schemas.openxmlformats.org/officeDocument/2006/relationships/table" Target="../tables/table149.xml"/><Relationship Id="rId156" Type="http://schemas.openxmlformats.org/officeDocument/2006/relationships/table" Target="../tables/table154.xml"/><Relationship Id="rId177" Type="http://schemas.openxmlformats.org/officeDocument/2006/relationships/table" Target="../tables/table175.xml"/><Relationship Id="rId198" Type="http://schemas.openxmlformats.org/officeDocument/2006/relationships/table" Target="../tables/table196.xml"/><Relationship Id="rId172" Type="http://schemas.openxmlformats.org/officeDocument/2006/relationships/table" Target="../tables/table170.xml"/><Relationship Id="rId193" Type="http://schemas.openxmlformats.org/officeDocument/2006/relationships/table" Target="../tables/table191.xml"/><Relationship Id="rId202" Type="http://schemas.openxmlformats.org/officeDocument/2006/relationships/table" Target="../tables/table200.xml"/><Relationship Id="rId207" Type="http://schemas.openxmlformats.org/officeDocument/2006/relationships/table" Target="../tables/table205.xml"/><Relationship Id="rId223" Type="http://schemas.openxmlformats.org/officeDocument/2006/relationships/table" Target="../tables/table221.xml"/><Relationship Id="rId228" Type="http://schemas.openxmlformats.org/officeDocument/2006/relationships/table" Target="../tables/table226.xml"/><Relationship Id="rId13" Type="http://schemas.openxmlformats.org/officeDocument/2006/relationships/table" Target="../tables/table11.xml"/><Relationship Id="rId18" Type="http://schemas.openxmlformats.org/officeDocument/2006/relationships/table" Target="../tables/table16.xml"/><Relationship Id="rId39" Type="http://schemas.openxmlformats.org/officeDocument/2006/relationships/table" Target="../tables/table37.xml"/><Relationship Id="rId109" Type="http://schemas.openxmlformats.org/officeDocument/2006/relationships/table" Target="../tables/table107.xml"/><Relationship Id="rId34" Type="http://schemas.openxmlformats.org/officeDocument/2006/relationships/table" Target="../tables/table32.xml"/><Relationship Id="rId50" Type="http://schemas.openxmlformats.org/officeDocument/2006/relationships/table" Target="../tables/table48.xml"/><Relationship Id="rId55" Type="http://schemas.openxmlformats.org/officeDocument/2006/relationships/table" Target="../tables/table53.xml"/><Relationship Id="rId76" Type="http://schemas.openxmlformats.org/officeDocument/2006/relationships/table" Target="../tables/table74.xml"/><Relationship Id="rId97" Type="http://schemas.openxmlformats.org/officeDocument/2006/relationships/table" Target="../tables/table95.xml"/><Relationship Id="rId104" Type="http://schemas.openxmlformats.org/officeDocument/2006/relationships/table" Target="../tables/table102.xml"/><Relationship Id="rId120" Type="http://schemas.openxmlformats.org/officeDocument/2006/relationships/table" Target="../tables/table118.xml"/><Relationship Id="rId125" Type="http://schemas.openxmlformats.org/officeDocument/2006/relationships/table" Target="../tables/table123.xml"/><Relationship Id="rId141" Type="http://schemas.openxmlformats.org/officeDocument/2006/relationships/table" Target="../tables/table139.xml"/><Relationship Id="rId146" Type="http://schemas.openxmlformats.org/officeDocument/2006/relationships/table" Target="../tables/table144.xml"/><Relationship Id="rId167" Type="http://schemas.openxmlformats.org/officeDocument/2006/relationships/table" Target="../tables/table165.xml"/><Relationship Id="rId188" Type="http://schemas.openxmlformats.org/officeDocument/2006/relationships/table" Target="../tables/table186.xml"/><Relationship Id="rId7" Type="http://schemas.openxmlformats.org/officeDocument/2006/relationships/table" Target="../tables/table5.xml"/><Relationship Id="rId71" Type="http://schemas.openxmlformats.org/officeDocument/2006/relationships/table" Target="../tables/table69.xml"/><Relationship Id="rId92" Type="http://schemas.openxmlformats.org/officeDocument/2006/relationships/table" Target="../tables/table90.xml"/><Relationship Id="rId162" Type="http://schemas.openxmlformats.org/officeDocument/2006/relationships/table" Target="../tables/table160.xml"/><Relationship Id="rId183" Type="http://schemas.openxmlformats.org/officeDocument/2006/relationships/table" Target="../tables/table181.xml"/><Relationship Id="rId213" Type="http://schemas.openxmlformats.org/officeDocument/2006/relationships/table" Target="../tables/table211.xml"/><Relationship Id="rId218" Type="http://schemas.openxmlformats.org/officeDocument/2006/relationships/table" Target="../tables/table216.xml"/><Relationship Id="rId234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29" Type="http://schemas.openxmlformats.org/officeDocument/2006/relationships/table" Target="../tables/table27.xml"/><Relationship Id="rId24" Type="http://schemas.openxmlformats.org/officeDocument/2006/relationships/table" Target="../tables/table22.xml"/><Relationship Id="rId40" Type="http://schemas.openxmlformats.org/officeDocument/2006/relationships/table" Target="../tables/table38.xml"/><Relationship Id="rId45" Type="http://schemas.openxmlformats.org/officeDocument/2006/relationships/table" Target="../tables/table43.xml"/><Relationship Id="rId66" Type="http://schemas.openxmlformats.org/officeDocument/2006/relationships/table" Target="../tables/table64.xml"/><Relationship Id="rId87" Type="http://schemas.openxmlformats.org/officeDocument/2006/relationships/table" Target="../tables/table85.xml"/><Relationship Id="rId110" Type="http://schemas.openxmlformats.org/officeDocument/2006/relationships/table" Target="../tables/table108.xml"/><Relationship Id="rId115" Type="http://schemas.openxmlformats.org/officeDocument/2006/relationships/table" Target="../tables/table113.xml"/><Relationship Id="rId131" Type="http://schemas.openxmlformats.org/officeDocument/2006/relationships/table" Target="../tables/table129.xml"/><Relationship Id="rId136" Type="http://schemas.openxmlformats.org/officeDocument/2006/relationships/table" Target="../tables/table134.xml"/><Relationship Id="rId157" Type="http://schemas.openxmlformats.org/officeDocument/2006/relationships/table" Target="../tables/table155.xml"/><Relationship Id="rId178" Type="http://schemas.openxmlformats.org/officeDocument/2006/relationships/table" Target="../tables/table176.xml"/><Relationship Id="rId61" Type="http://schemas.openxmlformats.org/officeDocument/2006/relationships/table" Target="../tables/table59.xml"/><Relationship Id="rId82" Type="http://schemas.openxmlformats.org/officeDocument/2006/relationships/table" Target="../tables/table80.xml"/><Relationship Id="rId152" Type="http://schemas.openxmlformats.org/officeDocument/2006/relationships/table" Target="../tables/table150.xml"/><Relationship Id="rId173" Type="http://schemas.openxmlformats.org/officeDocument/2006/relationships/table" Target="../tables/table171.xml"/><Relationship Id="rId194" Type="http://schemas.openxmlformats.org/officeDocument/2006/relationships/table" Target="../tables/table192.xml"/><Relationship Id="rId199" Type="http://schemas.openxmlformats.org/officeDocument/2006/relationships/table" Target="../tables/table197.xml"/><Relationship Id="rId203" Type="http://schemas.openxmlformats.org/officeDocument/2006/relationships/table" Target="../tables/table201.xml"/><Relationship Id="rId208" Type="http://schemas.openxmlformats.org/officeDocument/2006/relationships/table" Target="../tables/table206.xml"/><Relationship Id="rId229" Type="http://schemas.openxmlformats.org/officeDocument/2006/relationships/table" Target="../tables/table227.xml"/><Relationship Id="rId19" Type="http://schemas.openxmlformats.org/officeDocument/2006/relationships/table" Target="../tables/table17.xml"/><Relationship Id="rId224" Type="http://schemas.openxmlformats.org/officeDocument/2006/relationships/table" Target="../tables/table222.xml"/><Relationship Id="rId14" Type="http://schemas.openxmlformats.org/officeDocument/2006/relationships/table" Target="../tables/table12.xml"/><Relationship Id="rId30" Type="http://schemas.openxmlformats.org/officeDocument/2006/relationships/table" Target="../tables/table28.xml"/><Relationship Id="rId35" Type="http://schemas.openxmlformats.org/officeDocument/2006/relationships/table" Target="../tables/table33.xml"/><Relationship Id="rId56" Type="http://schemas.openxmlformats.org/officeDocument/2006/relationships/table" Target="../tables/table54.xml"/><Relationship Id="rId77" Type="http://schemas.openxmlformats.org/officeDocument/2006/relationships/table" Target="../tables/table75.xml"/><Relationship Id="rId100" Type="http://schemas.openxmlformats.org/officeDocument/2006/relationships/table" Target="../tables/table98.xml"/><Relationship Id="rId105" Type="http://schemas.openxmlformats.org/officeDocument/2006/relationships/table" Target="../tables/table103.xml"/><Relationship Id="rId126" Type="http://schemas.openxmlformats.org/officeDocument/2006/relationships/table" Target="../tables/table124.xml"/><Relationship Id="rId147" Type="http://schemas.openxmlformats.org/officeDocument/2006/relationships/table" Target="../tables/table145.xml"/><Relationship Id="rId168" Type="http://schemas.openxmlformats.org/officeDocument/2006/relationships/table" Target="../tables/table166.xml"/><Relationship Id="rId8" Type="http://schemas.openxmlformats.org/officeDocument/2006/relationships/table" Target="../tables/table6.xml"/><Relationship Id="rId51" Type="http://schemas.openxmlformats.org/officeDocument/2006/relationships/table" Target="../tables/table49.xml"/><Relationship Id="rId72" Type="http://schemas.openxmlformats.org/officeDocument/2006/relationships/table" Target="../tables/table70.xml"/><Relationship Id="rId93" Type="http://schemas.openxmlformats.org/officeDocument/2006/relationships/table" Target="../tables/table91.xml"/><Relationship Id="rId98" Type="http://schemas.openxmlformats.org/officeDocument/2006/relationships/table" Target="../tables/table96.xml"/><Relationship Id="rId121" Type="http://schemas.openxmlformats.org/officeDocument/2006/relationships/table" Target="../tables/table119.xml"/><Relationship Id="rId142" Type="http://schemas.openxmlformats.org/officeDocument/2006/relationships/table" Target="../tables/table140.xml"/><Relationship Id="rId163" Type="http://schemas.openxmlformats.org/officeDocument/2006/relationships/table" Target="../tables/table161.xml"/><Relationship Id="rId184" Type="http://schemas.openxmlformats.org/officeDocument/2006/relationships/table" Target="../tables/table182.xml"/><Relationship Id="rId189" Type="http://schemas.openxmlformats.org/officeDocument/2006/relationships/table" Target="../tables/table187.xml"/><Relationship Id="rId219" Type="http://schemas.openxmlformats.org/officeDocument/2006/relationships/table" Target="../tables/table217.xml"/><Relationship Id="rId3" Type="http://schemas.openxmlformats.org/officeDocument/2006/relationships/table" Target="../tables/table1.xml"/><Relationship Id="rId214" Type="http://schemas.openxmlformats.org/officeDocument/2006/relationships/table" Target="../tables/table212.xml"/><Relationship Id="rId230" Type="http://schemas.openxmlformats.org/officeDocument/2006/relationships/table" Target="../tables/table228.xml"/><Relationship Id="rId25" Type="http://schemas.openxmlformats.org/officeDocument/2006/relationships/table" Target="../tables/table23.xml"/><Relationship Id="rId46" Type="http://schemas.openxmlformats.org/officeDocument/2006/relationships/table" Target="../tables/table44.xml"/><Relationship Id="rId67" Type="http://schemas.openxmlformats.org/officeDocument/2006/relationships/table" Target="../tables/table65.xml"/><Relationship Id="rId116" Type="http://schemas.openxmlformats.org/officeDocument/2006/relationships/table" Target="../tables/table114.xml"/><Relationship Id="rId137" Type="http://schemas.openxmlformats.org/officeDocument/2006/relationships/table" Target="../tables/table135.xml"/><Relationship Id="rId158" Type="http://schemas.openxmlformats.org/officeDocument/2006/relationships/table" Target="../tables/table156.xml"/><Relationship Id="rId20" Type="http://schemas.openxmlformats.org/officeDocument/2006/relationships/table" Target="../tables/table18.xml"/><Relationship Id="rId41" Type="http://schemas.openxmlformats.org/officeDocument/2006/relationships/table" Target="../tables/table39.xml"/><Relationship Id="rId62" Type="http://schemas.openxmlformats.org/officeDocument/2006/relationships/table" Target="../tables/table60.xml"/><Relationship Id="rId83" Type="http://schemas.openxmlformats.org/officeDocument/2006/relationships/table" Target="../tables/table81.xml"/><Relationship Id="rId88" Type="http://schemas.openxmlformats.org/officeDocument/2006/relationships/table" Target="../tables/table86.xml"/><Relationship Id="rId111" Type="http://schemas.openxmlformats.org/officeDocument/2006/relationships/table" Target="../tables/table109.xml"/><Relationship Id="rId132" Type="http://schemas.openxmlformats.org/officeDocument/2006/relationships/table" Target="../tables/table130.xml"/><Relationship Id="rId153" Type="http://schemas.openxmlformats.org/officeDocument/2006/relationships/table" Target="../tables/table151.xml"/><Relationship Id="rId174" Type="http://schemas.openxmlformats.org/officeDocument/2006/relationships/table" Target="../tables/table172.xml"/><Relationship Id="rId179" Type="http://schemas.openxmlformats.org/officeDocument/2006/relationships/table" Target="../tables/table177.xml"/><Relationship Id="rId195" Type="http://schemas.openxmlformats.org/officeDocument/2006/relationships/table" Target="../tables/table193.xml"/><Relationship Id="rId209" Type="http://schemas.openxmlformats.org/officeDocument/2006/relationships/table" Target="../tables/table207.xml"/><Relationship Id="rId190" Type="http://schemas.openxmlformats.org/officeDocument/2006/relationships/table" Target="../tables/table188.xml"/><Relationship Id="rId204" Type="http://schemas.openxmlformats.org/officeDocument/2006/relationships/table" Target="../tables/table202.xml"/><Relationship Id="rId220" Type="http://schemas.openxmlformats.org/officeDocument/2006/relationships/table" Target="../tables/table218.xml"/><Relationship Id="rId225" Type="http://schemas.openxmlformats.org/officeDocument/2006/relationships/table" Target="../tables/table223.xml"/><Relationship Id="rId15" Type="http://schemas.openxmlformats.org/officeDocument/2006/relationships/table" Target="../tables/table13.xml"/><Relationship Id="rId36" Type="http://schemas.openxmlformats.org/officeDocument/2006/relationships/table" Target="../tables/table34.xml"/><Relationship Id="rId57" Type="http://schemas.openxmlformats.org/officeDocument/2006/relationships/table" Target="../tables/table55.xml"/><Relationship Id="rId106" Type="http://schemas.openxmlformats.org/officeDocument/2006/relationships/table" Target="../tables/table104.xml"/><Relationship Id="rId127" Type="http://schemas.openxmlformats.org/officeDocument/2006/relationships/table" Target="../tables/table125.xml"/><Relationship Id="rId10" Type="http://schemas.openxmlformats.org/officeDocument/2006/relationships/table" Target="../tables/table8.xml"/><Relationship Id="rId31" Type="http://schemas.openxmlformats.org/officeDocument/2006/relationships/table" Target="../tables/table29.xml"/><Relationship Id="rId52" Type="http://schemas.openxmlformats.org/officeDocument/2006/relationships/table" Target="../tables/table50.xml"/><Relationship Id="rId73" Type="http://schemas.openxmlformats.org/officeDocument/2006/relationships/table" Target="../tables/table71.xml"/><Relationship Id="rId78" Type="http://schemas.openxmlformats.org/officeDocument/2006/relationships/table" Target="../tables/table76.xml"/><Relationship Id="rId94" Type="http://schemas.openxmlformats.org/officeDocument/2006/relationships/table" Target="../tables/table92.xml"/><Relationship Id="rId99" Type="http://schemas.openxmlformats.org/officeDocument/2006/relationships/table" Target="../tables/table97.xml"/><Relationship Id="rId101" Type="http://schemas.openxmlformats.org/officeDocument/2006/relationships/table" Target="../tables/table99.xml"/><Relationship Id="rId122" Type="http://schemas.openxmlformats.org/officeDocument/2006/relationships/table" Target="../tables/table120.xml"/><Relationship Id="rId143" Type="http://schemas.openxmlformats.org/officeDocument/2006/relationships/table" Target="../tables/table141.xml"/><Relationship Id="rId148" Type="http://schemas.openxmlformats.org/officeDocument/2006/relationships/table" Target="../tables/table146.xml"/><Relationship Id="rId164" Type="http://schemas.openxmlformats.org/officeDocument/2006/relationships/table" Target="../tables/table162.xml"/><Relationship Id="rId169" Type="http://schemas.openxmlformats.org/officeDocument/2006/relationships/table" Target="../tables/table167.xml"/><Relationship Id="rId185" Type="http://schemas.openxmlformats.org/officeDocument/2006/relationships/table" Target="../tables/table183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80" Type="http://schemas.openxmlformats.org/officeDocument/2006/relationships/table" Target="../tables/table178.xml"/><Relationship Id="rId210" Type="http://schemas.openxmlformats.org/officeDocument/2006/relationships/table" Target="../tables/table208.xml"/><Relationship Id="rId215" Type="http://schemas.openxmlformats.org/officeDocument/2006/relationships/table" Target="../tables/table213.xml"/><Relationship Id="rId26" Type="http://schemas.openxmlformats.org/officeDocument/2006/relationships/table" Target="../tables/table24.xml"/><Relationship Id="rId231" Type="http://schemas.openxmlformats.org/officeDocument/2006/relationships/table" Target="../tables/table229.xml"/><Relationship Id="rId47" Type="http://schemas.openxmlformats.org/officeDocument/2006/relationships/table" Target="../tables/table45.xml"/><Relationship Id="rId68" Type="http://schemas.openxmlformats.org/officeDocument/2006/relationships/table" Target="../tables/table66.xml"/><Relationship Id="rId89" Type="http://schemas.openxmlformats.org/officeDocument/2006/relationships/table" Target="../tables/table87.xml"/><Relationship Id="rId112" Type="http://schemas.openxmlformats.org/officeDocument/2006/relationships/table" Target="../tables/table110.xml"/><Relationship Id="rId133" Type="http://schemas.openxmlformats.org/officeDocument/2006/relationships/table" Target="../tables/table131.xml"/><Relationship Id="rId154" Type="http://schemas.openxmlformats.org/officeDocument/2006/relationships/table" Target="../tables/table152.xml"/><Relationship Id="rId175" Type="http://schemas.openxmlformats.org/officeDocument/2006/relationships/table" Target="../tables/table173.xml"/><Relationship Id="rId196" Type="http://schemas.openxmlformats.org/officeDocument/2006/relationships/table" Target="../tables/table194.xml"/><Relationship Id="rId200" Type="http://schemas.openxmlformats.org/officeDocument/2006/relationships/table" Target="../tables/table198.xml"/><Relationship Id="rId16" Type="http://schemas.openxmlformats.org/officeDocument/2006/relationships/table" Target="../tables/table14.xml"/><Relationship Id="rId221" Type="http://schemas.openxmlformats.org/officeDocument/2006/relationships/table" Target="../tables/table219.xml"/><Relationship Id="rId37" Type="http://schemas.openxmlformats.org/officeDocument/2006/relationships/table" Target="../tables/table35.xml"/><Relationship Id="rId58" Type="http://schemas.openxmlformats.org/officeDocument/2006/relationships/table" Target="../tables/table56.xml"/><Relationship Id="rId79" Type="http://schemas.openxmlformats.org/officeDocument/2006/relationships/table" Target="../tables/table77.xml"/><Relationship Id="rId102" Type="http://schemas.openxmlformats.org/officeDocument/2006/relationships/table" Target="../tables/table100.xml"/><Relationship Id="rId123" Type="http://schemas.openxmlformats.org/officeDocument/2006/relationships/table" Target="../tables/table121.xml"/><Relationship Id="rId144" Type="http://schemas.openxmlformats.org/officeDocument/2006/relationships/table" Target="../tables/table142.xml"/><Relationship Id="rId90" Type="http://schemas.openxmlformats.org/officeDocument/2006/relationships/table" Target="../tables/table88.xml"/><Relationship Id="rId165" Type="http://schemas.openxmlformats.org/officeDocument/2006/relationships/table" Target="../tables/table163.xml"/><Relationship Id="rId186" Type="http://schemas.openxmlformats.org/officeDocument/2006/relationships/table" Target="../tables/table184.xml"/><Relationship Id="rId211" Type="http://schemas.openxmlformats.org/officeDocument/2006/relationships/table" Target="../tables/table209.xml"/><Relationship Id="rId232" Type="http://schemas.openxmlformats.org/officeDocument/2006/relationships/table" Target="../tables/table230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3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6:G39"/>
  <sheetViews>
    <sheetView showGridLines="0" workbookViewId="0">
      <selection activeCell="B37" sqref="B37"/>
    </sheetView>
  </sheetViews>
  <sheetFormatPr baseColWidth="10" defaultColWidth="9.140625" defaultRowHeight="15" x14ac:dyDescent="0.25"/>
  <cols>
    <col min="1" max="1" width="4" style="40" customWidth="1"/>
    <col min="2" max="2" width="67.7109375" style="64" customWidth="1"/>
    <col min="3" max="3" width="44.5703125" style="72" customWidth="1"/>
    <col min="4" max="4" width="9.140625" style="40" customWidth="1"/>
    <col min="5" max="16384" width="9.140625" style="40"/>
  </cols>
  <sheetData>
    <row r="6" spans="2:7" x14ac:dyDescent="0.25">
      <c r="B6" s="13" t="s">
        <v>13800</v>
      </c>
      <c r="C6" s="13"/>
    </row>
    <row r="7" spans="2:7" ht="18" x14ac:dyDescent="0.25">
      <c r="B7" s="65" t="s">
        <v>6767</v>
      </c>
      <c r="C7" s="66">
        <f ca="1">PACC!B10</f>
        <v>863050512.93230009</v>
      </c>
      <c r="G7" s="41"/>
    </row>
    <row r="8" spans="2:7" ht="18" x14ac:dyDescent="0.25">
      <c r="B8" s="67" t="s">
        <v>18934</v>
      </c>
      <c r="C8" s="68">
        <f ca="1">PACC!B9</f>
        <v>231</v>
      </c>
      <c r="G8" s="41"/>
    </row>
    <row r="9" spans="2:7" ht="18" x14ac:dyDescent="0.25">
      <c r="B9" s="67" t="s">
        <v>7811</v>
      </c>
      <c r="C9" s="69" t="str">
        <f>IF(PACC!E6="","",PACC!E6)</f>
        <v>5180</v>
      </c>
      <c r="G9" s="41"/>
    </row>
    <row r="10" spans="2:7" ht="18" x14ac:dyDescent="0.25">
      <c r="B10" s="67" t="s">
        <v>16939</v>
      </c>
      <c r="C10" s="69" t="str">
        <f>IF(PACC!E7="","",PACC!E7)</f>
        <v>01</v>
      </c>
      <c r="G10" s="41"/>
    </row>
    <row r="11" spans="2:7" ht="18" x14ac:dyDescent="0.25">
      <c r="B11" s="67" t="s">
        <v>18542</v>
      </c>
      <c r="C11" s="69" t="str">
        <f>IF(PACC!E8="","",PACC!E8)</f>
        <v>0007</v>
      </c>
      <c r="G11" s="41"/>
    </row>
    <row r="12" spans="2:7" ht="16.5" customHeight="1" x14ac:dyDescent="0.25">
      <c r="B12" s="67" t="s">
        <v>14234</v>
      </c>
      <c r="C12" s="69" t="str">
        <f>IF(PACC!E9="","",PACC!E9)</f>
        <v>Instituto Nacional de Cancer 'Rosa E. Tavares'</v>
      </c>
      <c r="G12" s="41"/>
    </row>
    <row r="13" spans="2:7" ht="16.5" customHeight="1" x14ac:dyDescent="0.25">
      <c r="B13" s="67" t="s">
        <v>4953</v>
      </c>
      <c r="C13" s="70" t="str">
        <f>IF(PACC!E11="","",PACC!E11)</f>
        <v>2019</v>
      </c>
      <c r="G13" s="42"/>
    </row>
    <row r="14" spans="2:7" ht="16.5" customHeight="1" x14ac:dyDescent="0.25">
      <c r="B14" s="67" t="s">
        <v>19618</v>
      </c>
      <c r="C14" s="88" t="str">
        <f>IF(PACC!E12="","",PACC!E12)</f>
        <v/>
      </c>
      <c r="G14" s="42"/>
    </row>
    <row r="15" spans="2:7" x14ac:dyDescent="0.25">
      <c r="B15" s="12" t="s">
        <v>15968</v>
      </c>
      <c r="C15" s="12"/>
    </row>
    <row r="16" spans="2:7" x14ac:dyDescent="0.25">
      <c r="B16" s="71" t="s">
        <v>12942</v>
      </c>
      <c r="C16" s="66">
        <f ca="1">SUMIF(ObjetoContratacionOculto,"="&amp;Bienes,TotalEstColumnValue)</f>
        <v>861416644.93230021</v>
      </c>
    </row>
    <row r="17" spans="2:3" x14ac:dyDescent="0.25">
      <c r="B17" s="71" t="s">
        <v>3931</v>
      </c>
      <c r="C17" s="66">
        <f>SUMIF(ObjetoContratacionOculto,"="&amp;Obras,TotalEstColumnValue)</f>
        <v>0</v>
      </c>
    </row>
    <row r="18" spans="2:3" x14ac:dyDescent="0.25">
      <c r="B18" s="71" t="s">
        <v>6638</v>
      </c>
      <c r="C18" s="66">
        <f ca="1">SUMIF(ObjetoContratacionOculto,"="&amp;Servicios,TotalEstColumnValue)</f>
        <v>1633868</v>
      </c>
    </row>
    <row r="19" spans="2:3" x14ac:dyDescent="0.25">
      <c r="B19" s="71" t="s">
        <v>18702</v>
      </c>
      <c r="C19" s="66">
        <f>SUMIF(ObjetoContratacionOculto,"="&amp;ServiciosConsultoria,TotalEstColumnValue)</f>
        <v>0</v>
      </c>
    </row>
    <row r="20" spans="2:3" x14ac:dyDescent="0.25">
      <c r="B20" s="71" t="s">
        <v>16867</v>
      </c>
      <c r="C20" s="66">
        <f>SUMIF(ObjetoContratacionOculto,"="&amp;ConsultoriaServicios,TotalEstColumnValue)</f>
        <v>0</v>
      </c>
    </row>
    <row r="21" spans="2:3" x14ac:dyDescent="0.25">
      <c r="B21" s="12" t="s">
        <v>10786</v>
      </c>
      <c r="C21" s="12"/>
    </row>
    <row r="22" spans="2:3" x14ac:dyDescent="0.25">
      <c r="B22" s="71" t="s">
        <v>8749</v>
      </c>
      <c r="C22" s="66">
        <f>SUMIF(MIPYMEOculto,"="&amp;MIPYMESí,TotalEstColumnValue)</f>
        <v>0</v>
      </c>
    </row>
    <row r="23" spans="2:3" x14ac:dyDescent="0.25">
      <c r="B23" s="71" t="s">
        <v>9695</v>
      </c>
      <c r="C23" s="66">
        <f>SUMIF(MIPYMEOculto,"="&amp;MIPYMEMujer,TotalEstColumnValue)</f>
        <v>0</v>
      </c>
    </row>
    <row r="24" spans="2:3" x14ac:dyDescent="0.25">
      <c r="B24" s="71" t="s">
        <v>12575</v>
      </c>
      <c r="C24" s="66">
        <f ca="1">SUMIF(MIPYMEOculto,"="&amp;MIPYMENo,TotalEstColumnValue)</f>
        <v>863050512.93230009</v>
      </c>
    </row>
    <row r="25" spans="2:3" x14ac:dyDescent="0.25">
      <c r="B25" s="13" t="s">
        <v>9439</v>
      </c>
      <c r="C25" s="13"/>
    </row>
    <row r="26" spans="2:3" x14ac:dyDescent="0.25">
      <c r="B26" s="71" t="s">
        <v>16001</v>
      </c>
      <c r="C26" s="66">
        <f ca="1">SUMIF(ProcedimientoOculto,"="&amp;ModCU,TotalEstColumnValue)</f>
        <v>1190084</v>
      </c>
    </row>
    <row r="27" spans="2:3" x14ac:dyDescent="0.25">
      <c r="B27" s="71" t="s">
        <v>19785</v>
      </c>
      <c r="C27" s="66">
        <f ca="1">SUMIF(ProcedimientoOculto,"="&amp;ModCM,TotalEstColumnValue)</f>
        <v>495886592.49419993</v>
      </c>
    </row>
    <row r="28" spans="2:3" x14ac:dyDescent="0.25">
      <c r="B28" s="71" t="s">
        <v>17668</v>
      </c>
      <c r="C28" s="66">
        <f ca="1">SUMIF(ProcedimientoOculto,"="&amp;ModCP,TotalEstColumnValue)</f>
        <v>102344319.65000007</v>
      </c>
    </row>
    <row r="29" spans="2:3" x14ac:dyDescent="0.25">
      <c r="B29" s="71" t="s">
        <v>3724</v>
      </c>
      <c r="C29" s="66">
        <f>SUMIF(ProcedimientoOculto,"="&amp;ModLP,TotalEstColumnValue)</f>
        <v>0</v>
      </c>
    </row>
    <row r="30" spans="2:3" x14ac:dyDescent="0.25">
      <c r="B30" s="71" t="s">
        <v>18597</v>
      </c>
      <c r="C30" s="66">
        <f>SUMIF(ProcedimientoOculto,"="&amp;ModLI,TotalEstColumnValue)</f>
        <v>0</v>
      </c>
    </row>
    <row r="31" spans="2:3" x14ac:dyDescent="0.25">
      <c r="B31" s="71" t="s">
        <v>2006</v>
      </c>
      <c r="C31" s="66">
        <f>SUMIF(ProcedimientoOculto,"="&amp;ModLR,TotalEstColumnValue)</f>
        <v>0</v>
      </c>
    </row>
    <row r="32" spans="2:3" x14ac:dyDescent="0.25">
      <c r="B32" s="71" t="s">
        <v>18513</v>
      </c>
      <c r="C32" s="66">
        <f>SUMIF(ProcedimientoOculto,"="&amp;ModSO,TotalEstColumnValue)</f>
        <v>0</v>
      </c>
    </row>
    <row r="33" spans="2:3" x14ac:dyDescent="0.25">
      <c r="B33" s="65" t="s">
        <v>16682</v>
      </c>
      <c r="C33" s="66">
        <f>SUMIF(ProcedimientoOculto,"="&amp;ModEBienes,TotalEstColumnValue)</f>
        <v>0</v>
      </c>
    </row>
    <row r="34" spans="2:3" ht="30" x14ac:dyDescent="0.25">
      <c r="B34" s="67" t="s">
        <v>1783</v>
      </c>
      <c r="C34" s="66">
        <f>SUMIF(ProcedimientoOculto,"="&amp;ModEConstruccion,TotalEstColumnValue)</f>
        <v>0</v>
      </c>
    </row>
    <row r="35" spans="2:3" ht="30" x14ac:dyDescent="0.25">
      <c r="B35" s="67" t="s">
        <v>15053</v>
      </c>
      <c r="C35" s="66">
        <f>SUMIF(ProcedimientoOculto,"="&amp;ModEPublicidad,TotalEstColumnValue)</f>
        <v>0</v>
      </c>
    </row>
    <row r="36" spans="2:3" ht="30" x14ac:dyDescent="0.25">
      <c r="B36" s="67" t="s">
        <v>11460</v>
      </c>
      <c r="C36" s="66">
        <f>SUMIF(ProcedimientoOculto,"="&amp;ModEObras,TotalEstColumnValue)</f>
        <v>0</v>
      </c>
    </row>
    <row r="37" spans="2:3" x14ac:dyDescent="0.25">
      <c r="B37" s="67" t="s">
        <v>13746</v>
      </c>
      <c r="C37" s="66">
        <f ca="1">SUMIF(ProcedimientoOculto,"="&amp;ModEProveedor,TotalEstColumnValue)</f>
        <v>109771388.52000001</v>
      </c>
    </row>
    <row r="38" spans="2:3" ht="30" x14ac:dyDescent="0.25">
      <c r="B38" s="67" t="s">
        <v>18022</v>
      </c>
      <c r="C38" s="66">
        <f>SUMIF(ProcedimientoOculto,"="&amp;ModE40,TotalEstColumnValue)</f>
        <v>0</v>
      </c>
    </row>
    <row r="39" spans="2:3" ht="30" x14ac:dyDescent="0.25">
      <c r="B39" s="67" t="s">
        <v>12917</v>
      </c>
      <c r="C39" s="66">
        <f>SUMIF(ProcedimientoOculto,"="&amp;ModE1508,TotalEstColumnValue)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4">
    <mergeCell ref="B6:C6"/>
    <mergeCell ref="B15:C15"/>
    <mergeCell ref="B21:C21"/>
    <mergeCell ref="B25:C2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M10122"/>
  <sheetViews>
    <sheetView tabSelected="1" zoomScaleSheetLayoutView="100" workbookViewId="0">
      <selection activeCell="F10122" sqref="A1:F10122"/>
    </sheetView>
  </sheetViews>
  <sheetFormatPr baseColWidth="10" defaultColWidth="9.140625" defaultRowHeight="14.1" customHeight="1" x14ac:dyDescent="0.25"/>
  <cols>
    <col min="1" max="1" width="24.28515625" style="39" customWidth="1"/>
    <col min="2" max="2" width="46.42578125" style="39" customWidth="1"/>
    <col min="3" max="3" width="19" style="39" customWidth="1"/>
    <col min="4" max="4" width="24" style="39" customWidth="1"/>
    <col min="5" max="6" width="24.28515625" style="39" customWidth="1"/>
    <col min="7" max="7" width="11.42578125" style="39" customWidth="1"/>
    <col min="8" max="9" width="9.140625" style="39" hidden="1" customWidth="1"/>
    <col min="10" max="10" width="11.5703125" style="39" hidden="1" customWidth="1"/>
    <col min="11" max="11" width="7.42578125" style="39" customWidth="1"/>
    <col min="12" max="12" width="14.28515625" style="39" customWidth="1"/>
    <col min="13" max="13" width="22.5703125" style="39" customWidth="1"/>
    <col min="14" max="14" width="72.85546875" style="39" customWidth="1"/>
    <col min="15" max="15" width="14.28515625" style="39" customWidth="1"/>
    <col min="16" max="16" width="9.140625" style="39" customWidth="1"/>
    <col min="17" max="16384" width="9.140625" style="39"/>
  </cols>
  <sheetData>
    <row r="1" spans="1:13" s="16" customFormat="1" ht="18" x14ac:dyDescent="0.25">
      <c r="A1" s="11"/>
      <c r="B1" s="55"/>
      <c r="C1" s="43"/>
      <c r="D1" s="43"/>
      <c r="E1" s="14"/>
      <c r="F1" s="55"/>
      <c r="G1" s="55"/>
      <c r="H1" s="15"/>
      <c r="I1" s="44"/>
      <c r="J1" s="44"/>
      <c r="K1" s="23"/>
      <c r="L1" s="23"/>
      <c r="M1" s="23"/>
    </row>
    <row r="2" spans="1:13" s="16" customFormat="1" ht="18" x14ac:dyDescent="0.25">
      <c r="A2" s="11"/>
      <c r="B2" s="8" t="s">
        <v>12088</v>
      </c>
      <c r="C2" s="8"/>
      <c r="D2" s="8"/>
      <c r="E2" s="8"/>
      <c r="F2" s="73"/>
      <c r="G2" s="55"/>
      <c r="H2" s="23"/>
    </row>
    <row r="3" spans="1:13" s="16" customFormat="1" ht="18" x14ac:dyDescent="0.25">
      <c r="A3" s="11"/>
      <c r="B3" s="7" t="str">
        <f>"AÑO "&amp;E11</f>
        <v>AÑO 2019</v>
      </c>
      <c r="C3" s="7"/>
      <c r="D3" s="7"/>
      <c r="E3" s="7"/>
      <c r="F3" s="74"/>
      <c r="G3" s="55"/>
      <c r="H3" s="23"/>
    </row>
    <row r="4" spans="1:13" s="16" customFormat="1" ht="18" x14ac:dyDescent="0.25">
      <c r="A4" s="11"/>
      <c r="B4" s="55"/>
      <c r="C4" s="55"/>
      <c r="D4" s="55"/>
      <c r="E4" s="45"/>
      <c r="F4" s="55"/>
      <c r="G4" s="55"/>
      <c r="H4" s="23"/>
    </row>
    <row r="5" spans="1:13" s="16" customFormat="1" ht="20.25" x14ac:dyDescent="0.25">
      <c r="A5" s="54"/>
      <c r="B5" s="54"/>
      <c r="C5" s="46"/>
      <c r="D5" s="46"/>
      <c r="E5" s="46"/>
      <c r="F5" s="46"/>
      <c r="G5" s="52"/>
      <c r="H5" s="52"/>
    </row>
    <row r="6" spans="1:13" s="56" customFormat="1" ht="13.5" x14ac:dyDescent="0.25">
      <c r="A6" s="47" t="s">
        <v>5500</v>
      </c>
      <c r="B6" s="57"/>
      <c r="C6" s="48"/>
      <c r="D6" s="59" t="s">
        <v>11806</v>
      </c>
      <c r="E6" s="10" t="s">
        <v>4692</v>
      </c>
      <c r="F6" s="9"/>
    </row>
    <row r="7" spans="1:13" s="56" customFormat="1" ht="13.5" x14ac:dyDescent="0.25">
      <c r="A7" s="49" t="s">
        <v>4301</v>
      </c>
      <c r="B7" s="57"/>
      <c r="C7" s="57"/>
      <c r="D7" s="59" t="s">
        <v>3748</v>
      </c>
      <c r="E7" s="10" t="s">
        <v>5884</v>
      </c>
      <c r="F7" s="9"/>
    </row>
    <row r="8" spans="1:13" s="56" customFormat="1" ht="13.5" x14ac:dyDescent="0.25">
      <c r="A8" s="57"/>
      <c r="B8" s="57"/>
      <c r="C8" s="57"/>
      <c r="D8" s="59" t="s">
        <v>17269</v>
      </c>
      <c r="E8" s="10" t="s">
        <v>18799</v>
      </c>
      <c r="F8" s="9"/>
    </row>
    <row r="9" spans="1:13" s="56" customFormat="1" ht="13.5" x14ac:dyDescent="0.25">
      <c r="A9" s="51" t="s">
        <v>13409</v>
      </c>
      <c r="B9" s="61">
        <f ca="1">COUNTIFS(TotalEstColumnName,"="&amp;TotalEstLabel,TotalEstColumnValue,"&gt;0")</f>
        <v>231</v>
      </c>
      <c r="C9" s="57"/>
      <c r="D9" s="59" t="s">
        <v>600</v>
      </c>
      <c r="E9" s="10" t="s">
        <v>12487</v>
      </c>
      <c r="F9" s="9"/>
    </row>
    <row r="10" spans="1:13" s="56" customFormat="1" ht="13.5" x14ac:dyDescent="0.25">
      <c r="A10" s="53" t="s">
        <v>2829</v>
      </c>
      <c r="B10" s="60">
        <f ca="1">SUMIF(TotalEstColumnName,"="&amp;TotalEstLabel,TotalEstColumnValue)</f>
        <v>863050512.93230009</v>
      </c>
      <c r="C10" s="57"/>
      <c r="D10" s="59" t="s">
        <v>8520</v>
      </c>
      <c r="E10" s="10" t="s">
        <v>2702</v>
      </c>
      <c r="F10" s="9"/>
    </row>
    <row r="11" spans="1:13" s="56" customFormat="1" ht="13.5" x14ac:dyDescent="0.25">
      <c r="A11" s="52"/>
      <c r="B11" s="52"/>
      <c r="C11" s="57"/>
      <c r="D11" s="59" t="s">
        <v>15645</v>
      </c>
      <c r="E11" s="6" t="s">
        <v>8566</v>
      </c>
      <c r="F11" s="5"/>
    </row>
    <row r="12" spans="1:13" s="56" customFormat="1" ht="13.5" x14ac:dyDescent="0.25">
      <c r="A12" s="50"/>
      <c r="B12" s="50"/>
      <c r="C12" s="50"/>
      <c r="D12" s="59" t="s">
        <v>14566</v>
      </c>
      <c r="E12" s="4" t="s">
        <v>16829</v>
      </c>
      <c r="F12" s="3"/>
    </row>
    <row r="15" spans="1:13" ht="33.950000000000003" customHeight="1" x14ac:dyDescent="0.25">
      <c r="A15" s="77" t="s">
        <v>17233</v>
      </c>
      <c r="B15" s="77" t="s">
        <v>4237</v>
      </c>
      <c r="C15" s="77" t="s">
        <v>4743</v>
      </c>
      <c r="D15" s="77" t="s">
        <v>9891</v>
      </c>
      <c r="E15" s="77" t="s">
        <v>3089</v>
      </c>
      <c r="F15" s="77" t="s">
        <v>18141</v>
      </c>
    </row>
    <row r="16" spans="1:13" ht="14.1" customHeight="1" x14ac:dyDescent="0.25">
      <c r="A16" s="79" t="s">
        <v>3564</v>
      </c>
      <c r="B16" s="79" t="s">
        <v>17677</v>
      </c>
      <c r="C16" s="79" t="s">
        <v>17215</v>
      </c>
      <c r="D16" s="79" t="s">
        <v>12255</v>
      </c>
      <c r="E16" s="79" t="s">
        <v>18247</v>
      </c>
      <c r="F16" s="79"/>
    </row>
    <row r="17" spans="1:6" ht="14.1" customHeight="1" x14ac:dyDescent="0.25">
      <c r="A17" s="2" t="s">
        <v>6643</v>
      </c>
      <c r="B17" s="80" t="s">
        <v>1046</v>
      </c>
      <c r="C17" s="90">
        <v>43467</v>
      </c>
      <c r="D17" s="2" t="s">
        <v>59</v>
      </c>
      <c r="E17" s="92" t="s">
        <v>20066</v>
      </c>
      <c r="F17" s="93"/>
    </row>
    <row r="18" spans="1:6" ht="14.1" customHeight="1" x14ac:dyDescent="0.25">
      <c r="A18" s="1"/>
      <c r="B18" s="80" t="s">
        <v>10788</v>
      </c>
      <c r="C18" s="91">
        <f>IF(C17="","",IF(AND(MONTH(C17)&gt;=1,MONTH(C17)&lt;=3),1,IF(AND(MONTH(C17)&gt;=4,MONTH(C17)&lt;=6),2,IF(AND(MONTH(C17)&gt;=7,MONTH(C17)&lt;=9),3,4))))</f>
        <v>1</v>
      </c>
      <c r="D18" s="1"/>
      <c r="E18" s="92" t="s">
        <v>14822</v>
      </c>
      <c r="F18" s="93"/>
    </row>
    <row r="19" spans="1:6" ht="14.1" customHeight="1" x14ac:dyDescent="0.25">
      <c r="A19" s="1"/>
      <c r="B19" s="80" t="s">
        <v>13758</v>
      </c>
      <c r="C19" s="90">
        <v>43553</v>
      </c>
      <c r="D19" s="1"/>
      <c r="E19" s="92" t="s">
        <v>18636</v>
      </c>
      <c r="F19" s="93"/>
    </row>
    <row r="20" spans="1:6" ht="14.1" customHeight="1" x14ac:dyDescent="0.25">
      <c r="A20" s="1"/>
      <c r="B20" s="80" t="s">
        <v>10788</v>
      </c>
      <c r="C20" s="91">
        <f>IF(C19="","",IF(AND(MONTH(C19)&gt;=1,MONTH(C19)&lt;=3),1,IF(AND(MONTH(C19)&gt;=4,MONTH(C19)&lt;=6),2,IF(AND(MONTH(C19)&gt;=7,MONTH(C19)&lt;=9),3,4))))</f>
        <v>1</v>
      </c>
      <c r="D20" s="1"/>
      <c r="E20" s="92" t="s">
        <v>15990</v>
      </c>
      <c r="F20" s="93"/>
    </row>
    <row r="22" spans="1:6" ht="14.1" customHeight="1" x14ac:dyDescent="0.25">
      <c r="A22" s="85" t="s">
        <v>15474</v>
      </c>
      <c r="B22" s="85" t="s">
        <v>5027</v>
      </c>
      <c r="C22" s="85" t="s">
        <v>17461</v>
      </c>
      <c r="D22" s="85" t="s">
        <v>3935</v>
      </c>
      <c r="E22" s="85" t="s">
        <v>10722</v>
      </c>
      <c r="F22" s="85" t="s">
        <v>18237</v>
      </c>
    </row>
    <row r="23" spans="1:6" ht="14.1" customHeight="1" x14ac:dyDescent="0.25">
      <c r="A23" s="94" t="s">
        <v>7953</v>
      </c>
      <c r="B23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23" s="95" t="str">
        <f>IFERROR(VLOOKUP("UD",'Informacion '!P:Q,2,FALSE),"")</f>
        <v>Unidad</v>
      </c>
      <c r="D23" s="94">
        <v>31</v>
      </c>
      <c r="E23" s="84">
        <v>1396.65</v>
      </c>
      <c r="F23" s="83">
        <f t="shared" ref="F23:F43" ca="1" si="0">INDIRECT(ADDRESS(ROW(),COLUMN()-2,4))*INDIRECT(ADDRESS(ROW(),COLUMN()-1,4))</f>
        <v>43296.15</v>
      </c>
    </row>
    <row r="24" spans="1:6" ht="14.1" customHeight="1" x14ac:dyDescent="0.25">
      <c r="A24" s="94" t="s">
        <v>2352</v>
      </c>
      <c r="B24" s="82" t="str">
        <f ca="1">IFERROR(INDEX(UNSPSCDes,MATCH(INDIRECT(ADDRESS(ROW(),COLUMN()-1,4)),UNSPSCCode,0)),IF(INDIRECT(ADDRESS(ROW(),COLUMN()-1,4))="51171821","Aprepitant",""))</f>
        <v>Aprepitant</v>
      </c>
      <c r="C24" s="95" t="str">
        <f>IFERROR(VLOOKUP("UD",'Informacion '!P:Q,2,FALSE),"")</f>
        <v>Unidad</v>
      </c>
      <c r="D24" s="94">
        <v>7</v>
      </c>
      <c r="E24" s="84">
        <v>5598.24</v>
      </c>
      <c r="F24" s="83">
        <f t="shared" ca="1" si="0"/>
        <v>39187.68</v>
      </c>
    </row>
    <row r="25" spans="1:6" ht="14.1" customHeight="1" x14ac:dyDescent="0.25">
      <c r="A25" s="94" t="s">
        <v>19020</v>
      </c>
      <c r="B25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25" s="95" t="str">
        <f>IFERROR(VLOOKUP("UD",'Informacion '!P:Q,2,FALSE),"")</f>
        <v>Unidad</v>
      </c>
      <c r="D25" s="94">
        <v>57</v>
      </c>
      <c r="E25" s="84">
        <v>3034.08</v>
      </c>
      <c r="F25" s="83">
        <f t="shared" ca="1" si="0"/>
        <v>172942.56</v>
      </c>
    </row>
    <row r="26" spans="1:6" ht="14.1" customHeight="1" x14ac:dyDescent="0.25">
      <c r="A26" s="94" t="s">
        <v>19305</v>
      </c>
      <c r="B26" s="82" t="str">
        <f ca="1">IFERROR(INDEX(UNSPSCDes,MATCH(INDIRECT(ADDRESS(ROW(),COLUMN()-1,4)),UNSPSCCode,0)),IF(INDIRECT(ADDRESS(ROW(),COLUMN()-1,4))="51111807","Acetato de leuprolide",""))</f>
        <v>Acetato de leuprolide</v>
      </c>
      <c r="C26" s="95" t="str">
        <f>IFERROR(VLOOKUP("UD",'Informacion '!P:Q,2,FALSE),"")</f>
        <v>Unidad</v>
      </c>
      <c r="D26" s="94">
        <v>29</v>
      </c>
      <c r="E26" s="84">
        <v>7032</v>
      </c>
      <c r="F26" s="83">
        <f t="shared" ca="1" si="0"/>
        <v>203928</v>
      </c>
    </row>
    <row r="27" spans="1:6" ht="14.1" customHeight="1" x14ac:dyDescent="0.25">
      <c r="A27" s="94" t="s">
        <v>6655</v>
      </c>
      <c r="B27" s="82" t="str">
        <f ca="1">IFERROR(INDEX(UNSPSCDes,MATCH(INDIRECT(ADDRESS(ROW(),COLUMN()-1,4)),UNSPSCCode,0)),IF(INDIRECT(ADDRESS(ROW(),COLUMN()-1,4))="51111717","Trastuzumab",""))</f>
        <v>Trastuzumab</v>
      </c>
      <c r="C27" s="95" t="str">
        <f>IFERROR(VLOOKUP("UD",'Informacion '!P:Q,2,FALSE),"")</f>
        <v>Unidad</v>
      </c>
      <c r="D27" s="94">
        <v>53</v>
      </c>
      <c r="E27" s="84">
        <v>25329.9</v>
      </c>
      <c r="F27" s="83">
        <f t="shared" ca="1" si="0"/>
        <v>1342484.7000000002</v>
      </c>
    </row>
    <row r="28" spans="1:6" ht="14.1" customHeight="1" x14ac:dyDescent="0.25">
      <c r="A28" s="94" t="s">
        <v>6655</v>
      </c>
      <c r="B28" s="82" t="str">
        <f ca="1">IFERROR(INDEX(UNSPSCDes,MATCH(INDIRECT(ADDRESS(ROW(),COLUMN()-1,4)),UNSPSCCode,0)),IF(INDIRECT(ADDRESS(ROW(),COLUMN()-1,4))="51111717","Trastuzumab",""))</f>
        <v>Trastuzumab</v>
      </c>
      <c r="C28" s="95" t="str">
        <f>IFERROR(VLOOKUP("UD",'Informacion '!P:Q,2,FALSE),"")</f>
        <v>Unidad</v>
      </c>
      <c r="D28" s="94">
        <v>135</v>
      </c>
      <c r="E28" s="84">
        <v>106637.66</v>
      </c>
      <c r="F28" s="83">
        <f t="shared" ca="1" si="0"/>
        <v>14396084.1</v>
      </c>
    </row>
    <row r="29" spans="1:6" ht="14.1" customHeight="1" x14ac:dyDescent="0.25">
      <c r="A29" s="94" t="s">
        <v>6655</v>
      </c>
      <c r="B29" s="82" t="str">
        <f ca="1">IFERROR(INDEX(UNSPSCDes,MATCH(INDIRECT(ADDRESS(ROW(),COLUMN()-1,4)),UNSPSCCode,0)),IF(INDIRECT(ADDRESS(ROW(),COLUMN()-1,4))="51111717","Trastuzumab",""))</f>
        <v>Trastuzumab</v>
      </c>
      <c r="C29" s="95" t="str">
        <f>IFERROR(VLOOKUP("UD",'Informacion '!P:Q,2,FALSE),"")</f>
        <v>Unidad</v>
      </c>
      <c r="D29" s="94">
        <v>4</v>
      </c>
      <c r="E29" s="84">
        <v>178803.82</v>
      </c>
      <c r="F29" s="83">
        <f t="shared" ca="1" si="0"/>
        <v>715215.28</v>
      </c>
    </row>
    <row r="30" spans="1:6" ht="14.1" customHeight="1" x14ac:dyDescent="0.25">
      <c r="A30" s="94" t="s">
        <v>11307</v>
      </c>
      <c r="B30" s="82" t="str">
        <f ca="1">IFERROR(INDEX(UNSPSCDes,MATCH(INDIRECT(ADDRESS(ROW(),COLUMN()-1,4)),UNSPSCCode,0)),IF(INDIRECT(ADDRESS(ROW(),COLUMN()-1,4))="51182415","Ácido zoledrónico",""))</f>
        <v>Ácido zoledrónico</v>
      </c>
      <c r="C30" s="95" t="str">
        <f>IFERROR(VLOOKUP("UD",'Informacion '!P:Q,2,FALSE),"")</f>
        <v>Unidad</v>
      </c>
      <c r="D30" s="94">
        <v>183</v>
      </c>
      <c r="E30" s="84">
        <v>6581.51</v>
      </c>
      <c r="F30" s="83">
        <f t="shared" ca="1" si="0"/>
        <v>1204416.33</v>
      </c>
    </row>
    <row r="31" spans="1:6" ht="14.1" customHeight="1" x14ac:dyDescent="0.25">
      <c r="A31" s="94" t="s">
        <v>2868</v>
      </c>
      <c r="B31" s="82" t="str">
        <f ca="1">IFERROR(INDEX(UNSPSCDes,MATCH(INDIRECT(ADDRESS(ROW(),COLUMN()-1,4)),UNSPSCCode,0)),IF(INDIRECT(ADDRESS(ROW(),COLUMN()-1,4))="51111616","Capecitabina",""))</f>
        <v>Capecitabina</v>
      </c>
      <c r="C31" s="95" t="str">
        <f>IFERROR(VLOOKUP("UD",'Informacion '!P:Q,2,FALSE),"")</f>
        <v>Unidad</v>
      </c>
      <c r="D31" s="94">
        <v>5759</v>
      </c>
      <c r="E31" s="84">
        <v>174.23</v>
      </c>
      <c r="F31" s="83">
        <f t="shared" ca="1" si="0"/>
        <v>1003390.57</v>
      </c>
    </row>
    <row r="32" spans="1:6" ht="14.1" customHeight="1" x14ac:dyDescent="0.25">
      <c r="A32" s="94" t="s">
        <v>9065</v>
      </c>
      <c r="B32" s="82" t="str">
        <f ca="1">IFERROR(INDEX(UNSPSCDes,MATCH(INDIRECT(ADDRESS(ROW(),COLUMN()-1,4)),UNSPSCCode,0)),IF(INDIRECT(ADDRESS(ROW(),COLUMN()-1,4))="51111820","Letrozol",""))</f>
        <v>Letrozol</v>
      </c>
      <c r="C32" s="95" t="str">
        <f>IFERROR(VLOOKUP("UD",'Informacion '!P:Q,2,FALSE),"")</f>
        <v>Unidad</v>
      </c>
      <c r="D32" s="94">
        <v>161</v>
      </c>
      <c r="E32" s="84">
        <v>208.68</v>
      </c>
      <c r="F32" s="83">
        <f t="shared" ca="1" si="0"/>
        <v>33597.480000000003</v>
      </c>
    </row>
    <row r="33" spans="1:10" ht="14.1" customHeight="1" x14ac:dyDescent="0.25">
      <c r="A33" s="94" t="s">
        <v>872</v>
      </c>
      <c r="B33" s="82" t="str">
        <f ca="1">IFERROR(INDEX(UNSPSCDes,MATCH(INDIRECT(ADDRESS(ROW(),COLUMN()-1,4)),UNSPSCCode,0)),IF(INDIRECT(ADDRESS(ROW(),COLUMN()-1,4))="51111819","Fulvestrant",""))</f>
        <v>Fulvestrant</v>
      </c>
      <c r="C33" s="95" t="str">
        <f>IFERROR(VLOOKUP("UD",'Informacion '!P:Q,2,FALSE),"")</f>
        <v>Unidad</v>
      </c>
      <c r="D33" s="94">
        <v>1</v>
      </c>
      <c r="E33" s="84">
        <v>47900</v>
      </c>
      <c r="F33" s="83">
        <f t="shared" ca="1" si="0"/>
        <v>47900</v>
      </c>
    </row>
    <row r="34" spans="1:10" ht="14.1" customHeight="1" x14ac:dyDescent="0.25">
      <c r="A34" s="94" t="s">
        <v>6655</v>
      </c>
      <c r="B34" s="82" t="str">
        <f ca="1">IFERROR(INDEX(UNSPSCDes,MATCH(INDIRECT(ADDRESS(ROW(),COLUMN()-1,4)),UNSPSCCode,0)),IF(INDIRECT(ADDRESS(ROW(),COLUMN()-1,4))="51111717","Trastuzumab",""))</f>
        <v>Trastuzumab</v>
      </c>
      <c r="C34" s="95" t="str">
        <f>IFERROR(VLOOKUP("UD",'Informacion '!P:Q,2,FALSE),"")</f>
        <v>Unidad</v>
      </c>
      <c r="D34" s="94">
        <v>93</v>
      </c>
      <c r="E34" s="84">
        <v>62852.47</v>
      </c>
      <c r="F34" s="83">
        <f t="shared" ca="1" si="0"/>
        <v>5845279.71</v>
      </c>
    </row>
    <row r="35" spans="1:10" ht="14.1" customHeight="1" x14ac:dyDescent="0.25">
      <c r="A35" s="94" t="s">
        <v>693</v>
      </c>
      <c r="B35" s="82" t="str">
        <f ca="1">IFERROR(INDEX(UNSPSCDes,MATCH(INDIRECT(ADDRESS(ROW(),COLUMN()-1,4)),UNSPSCCode,0)),IF(INDIRECT(ADDRESS(ROW(),COLUMN()-1,4))="51111716","Rituximab",""))</f>
        <v>Rituximab</v>
      </c>
      <c r="C35" s="95" t="str">
        <f>IFERROR(VLOOKUP("UD",'Informacion '!P:Q,2,FALSE),"")</f>
        <v>Unidad</v>
      </c>
      <c r="D35" s="94">
        <v>174</v>
      </c>
      <c r="E35" s="84">
        <v>119214.5</v>
      </c>
      <c r="F35" s="83">
        <f t="shared" ca="1" si="0"/>
        <v>20743323</v>
      </c>
    </row>
    <row r="36" spans="1:10" ht="14.1" customHeight="1" x14ac:dyDescent="0.25">
      <c r="A36" s="94" t="s">
        <v>19295</v>
      </c>
      <c r="B36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36" s="95" t="str">
        <f>IFERROR(VLOOKUP("UD",'Informacion '!P:Q,2,FALSE),"")</f>
        <v>Unidad</v>
      </c>
      <c r="D36" s="94">
        <v>61</v>
      </c>
      <c r="E36" s="84">
        <v>55200</v>
      </c>
      <c r="F36" s="83">
        <f t="shared" ca="1" si="0"/>
        <v>3367200</v>
      </c>
    </row>
    <row r="37" spans="1:10" ht="14.1" customHeight="1" x14ac:dyDescent="0.25">
      <c r="A37" s="94" t="s">
        <v>11115</v>
      </c>
      <c r="B37" s="82" t="str">
        <f ca="1">IFERROR(INDEX(UNSPSCDes,MATCH(INDIRECT(ADDRESS(ROW(),COLUMN()-1,4)),UNSPSCCode,0)),IF(INDIRECT(ADDRESS(ROW(),COLUMN()-1,4))="51131506","Eritropoyetina",""))</f>
        <v>Eritropoyetina</v>
      </c>
      <c r="C37" s="95" t="str">
        <f>IFERROR(VLOOKUP("UD",'Informacion '!P:Q,2,FALSE),"")</f>
        <v>Unidad</v>
      </c>
      <c r="D37" s="94">
        <v>175</v>
      </c>
      <c r="E37" s="84">
        <v>1133.81</v>
      </c>
      <c r="F37" s="83">
        <f t="shared" ca="1" si="0"/>
        <v>198416.75</v>
      </c>
    </row>
    <row r="38" spans="1:10" ht="14.1" customHeight="1" x14ac:dyDescent="0.25">
      <c r="A38" s="94" t="s">
        <v>693</v>
      </c>
      <c r="B38" s="82" t="str">
        <f ca="1">IFERROR(INDEX(UNSPSCDes,MATCH(INDIRECT(ADDRESS(ROW(),COLUMN()-1,4)),UNSPSCCode,0)),IF(INDIRECT(ADDRESS(ROW(),COLUMN()-1,4))="51111716","Rituximab",""))</f>
        <v>Rituximab</v>
      </c>
      <c r="C38" s="95" t="str">
        <f>IFERROR(VLOOKUP("UD",'Informacion '!P:Q,2,FALSE),"")</f>
        <v>Unidad</v>
      </c>
      <c r="D38" s="94">
        <v>27</v>
      </c>
      <c r="E38" s="84">
        <v>34783.69</v>
      </c>
      <c r="F38" s="83">
        <f t="shared" ca="1" si="0"/>
        <v>939159.63000000012</v>
      </c>
    </row>
    <row r="39" spans="1:10" ht="14.1" customHeight="1" x14ac:dyDescent="0.25">
      <c r="A39" s="94" t="s">
        <v>4724</v>
      </c>
      <c r="B39" s="82" t="str">
        <f ca="1">IFERROR(INDEX(UNSPSCDes,MATCH(INDIRECT(ADDRESS(ROW(),COLUMN()-1,4)),UNSPSCCode,0)),IF(INDIRECT(ADDRESS(ROW(),COLUMN()-1,4))="51111712","Pirarubicina",""))</f>
        <v>Pirarubicina</v>
      </c>
      <c r="C39" s="95" t="str">
        <f>IFERROR(VLOOKUP("UD",'Informacion '!P:Q,2,FALSE),"")</f>
        <v>Unidad</v>
      </c>
      <c r="D39" s="94">
        <v>120</v>
      </c>
      <c r="E39" s="84">
        <v>4353</v>
      </c>
      <c r="F39" s="83">
        <f t="shared" ca="1" si="0"/>
        <v>522360</v>
      </c>
    </row>
    <row r="40" spans="1:10" ht="14.1" customHeight="1" x14ac:dyDescent="0.25">
      <c r="A40" s="94" t="s">
        <v>3969</v>
      </c>
      <c r="B40" s="82" t="str">
        <f ca="1">IFERROR(INDEX(UNSPSCDes,MATCH(INDIRECT(ADDRESS(ROW(),COLUMN()-1,4)),UNSPSCCode,0)),IF(INDIRECT(ADDRESS(ROW(),COLUMN()-1,4))="51142608","Trimetilxantina",""))</f>
        <v>Trimetilxantina</v>
      </c>
      <c r="C40" s="95" t="str">
        <f>IFERROR(VLOOKUP("UD",'Informacion '!P:Q,2,FALSE),"")</f>
        <v>Unidad</v>
      </c>
      <c r="D40" s="94">
        <v>30</v>
      </c>
      <c r="E40" s="84">
        <v>7097</v>
      </c>
      <c r="F40" s="83">
        <f t="shared" ca="1" si="0"/>
        <v>212910</v>
      </c>
    </row>
    <row r="41" spans="1:10" ht="14.1" customHeight="1" x14ac:dyDescent="0.25">
      <c r="A41" s="94" t="s">
        <v>7830</v>
      </c>
      <c r="B41" s="82" t="str">
        <f ca="1">IFERROR(INDEX(UNSPSCDes,MATCH(INDIRECT(ADDRESS(ROW(),COLUMN()-1,4)),UNSPSCCode,0)),IF(INDIRECT(ADDRESS(ROW(),COLUMN()-1,4))="51111809","Tamoxifeno",""))</f>
        <v>Tamoxifeno</v>
      </c>
      <c r="C41" s="95" t="str">
        <f>IFERROR(VLOOKUP("UD",'Informacion '!P:Q,2,FALSE),"")</f>
        <v>Unidad</v>
      </c>
      <c r="D41" s="94">
        <v>300</v>
      </c>
      <c r="E41" s="84">
        <v>64</v>
      </c>
      <c r="F41" s="83">
        <f t="shared" ca="1" si="0"/>
        <v>19200</v>
      </c>
    </row>
    <row r="42" spans="1:10" ht="14.1" customHeight="1" x14ac:dyDescent="0.25">
      <c r="A42" s="94" t="s">
        <v>4724</v>
      </c>
      <c r="B42" s="82" t="str">
        <f ca="1">IFERROR(INDEX(UNSPSCDes,MATCH(INDIRECT(ADDRESS(ROW(),COLUMN()-1,4)),UNSPSCCode,0)),IF(INDIRECT(ADDRESS(ROW(),COLUMN()-1,4))="51111712","Pirarubicina",""))</f>
        <v>Pirarubicina</v>
      </c>
      <c r="C42" s="95" t="str">
        <f>IFERROR(VLOOKUP("UD",'Informacion '!P:Q,2,FALSE),"")</f>
        <v>Unidad</v>
      </c>
      <c r="D42" s="94">
        <v>420</v>
      </c>
      <c r="E42" s="84">
        <v>827</v>
      </c>
      <c r="F42" s="83">
        <f t="shared" ca="1" si="0"/>
        <v>347340</v>
      </c>
    </row>
    <row r="43" spans="1:10" ht="14.1" customHeight="1" x14ac:dyDescent="0.25">
      <c r="A43" s="94" t="s">
        <v>6372</v>
      </c>
      <c r="B43" s="82" t="str">
        <f ca="1">IFERROR(INDEX(UNSPSCDes,MATCH(INDIRECT(ADDRESS(ROW(),COLUMN()-1,4)),UNSPSCCode,0)),IF(INDIRECT(ADDRESS(ROW(),COLUMN()-1,4))="51101835","Acetato de caspofungina",""))</f>
        <v>Acetato de caspofungina</v>
      </c>
      <c r="C43" s="95" t="str">
        <f>IFERROR(VLOOKUP("UD",'Informacion '!P:Q,2,FALSE),"")</f>
        <v>Unidad</v>
      </c>
      <c r="D43" s="94">
        <v>29</v>
      </c>
      <c r="E43" s="84">
        <v>22529.56</v>
      </c>
      <c r="F43" s="83">
        <f t="shared" ca="1" si="0"/>
        <v>653357.24</v>
      </c>
    </row>
    <row r="44" spans="1:10" ht="14.1" customHeight="1" x14ac:dyDescent="0.25">
      <c r="E44" s="96" t="s">
        <v>7213</v>
      </c>
      <c r="F44" s="87">
        <f ca="1">SUM(Table4[MONTO TOTAL ESTIMADO])</f>
        <v>52050989.180000007</v>
      </c>
      <c r="H44" s="39" t="str">
        <f>C16</f>
        <v>Bienes</v>
      </c>
      <c r="I44" s="39" t="str">
        <f>E16</f>
        <v>No</v>
      </c>
      <c r="J44" s="39" t="str">
        <f>D16</f>
        <v>Excepción - Bienes o servicios con exclusividad</v>
      </c>
    </row>
    <row r="46" spans="1:10" ht="33.950000000000003" customHeight="1" x14ac:dyDescent="0.25">
      <c r="A46" s="77" t="s">
        <v>17233</v>
      </c>
      <c r="B46" s="77" t="s">
        <v>4237</v>
      </c>
      <c r="C46" s="77" t="s">
        <v>4743</v>
      </c>
      <c r="D46" s="77" t="s">
        <v>9891</v>
      </c>
      <c r="E46" s="77" t="s">
        <v>3089</v>
      </c>
      <c r="F46" s="77" t="s">
        <v>18141</v>
      </c>
    </row>
    <row r="47" spans="1:10" ht="14.1" customHeight="1" x14ac:dyDescent="0.25">
      <c r="A47" s="79" t="s">
        <v>1041</v>
      </c>
      <c r="B47" s="79" t="s">
        <v>15052</v>
      </c>
      <c r="C47" s="79" t="s">
        <v>17215</v>
      </c>
      <c r="D47" s="79" t="s">
        <v>15249</v>
      </c>
      <c r="E47" s="79" t="s">
        <v>18247</v>
      </c>
      <c r="F47" s="79"/>
    </row>
    <row r="48" spans="1:10" ht="14.1" customHeight="1" x14ac:dyDescent="0.25">
      <c r="A48" s="2" t="s">
        <v>6643</v>
      </c>
      <c r="B48" s="80" t="s">
        <v>1046</v>
      </c>
      <c r="C48" s="90">
        <v>43468</v>
      </c>
      <c r="D48" s="2" t="s">
        <v>59</v>
      </c>
      <c r="E48" s="92" t="s">
        <v>20066</v>
      </c>
      <c r="F48" s="93" t="s">
        <v>5684</v>
      </c>
    </row>
    <row r="49" spans="1:6" ht="14.1" customHeight="1" x14ac:dyDescent="0.25">
      <c r="A49" s="1"/>
      <c r="B49" s="80" t="s">
        <v>10788</v>
      </c>
      <c r="C49" s="91">
        <f>IF(C48="","",IF(AND(MONTH(C48)&gt;=1,MONTH(C48)&lt;=3),1,IF(AND(MONTH(C48)&gt;=4,MONTH(C48)&lt;=6),2,IF(AND(MONTH(C48)&gt;=7,MONTH(C48)&lt;=9),3,4))))</f>
        <v>1</v>
      </c>
      <c r="D49" s="1"/>
      <c r="E49" s="92" t="s">
        <v>14822</v>
      </c>
      <c r="F49" s="93" t="s">
        <v>17690</v>
      </c>
    </row>
    <row r="50" spans="1:6" ht="14.1" customHeight="1" x14ac:dyDescent="0.25">
      <c r="A50" s="1"/>
      <c r="B50" s="80" t="s">
        <v>13758</v>
      </c>
      <c r="C50" s="90">
        <v>43531</v>
      </c>
      <c r="D50" s="1"/>
      <c r="E50" s="92" t="s">
        <v>18636</v>
      </c>
      <c r="F50" s="93" t="s">
        <v>17690</v>
      </c>
    </row>
    <row r="51" spans="1:6" ht="14.1" customHeight="1" x14ac:dyDescent="0.25">
      <c r="A51" s="1"/>
      <c r="B51" s="80" t="s">
        <v>10788</v>
      </c>
      <c r="C51" s="91">
        <f>IF(C50="","",IF(AND(MONTH(C50)&gt;=1,MONTH(C50)&lt;=3),1,IF(AND(MONTH(C50)&gt;=4,MONTH(C50)&lt;=6),2,IF(AND(MONTH(C50)&gt;=7,MONTH(C50)&lt;=9),3,4))))</f>
        <v>1</v>
      </c>
      <c r="D51" s="1"/>
      <c r="E51" s="92" t="s">
        <v>15990</v>
      </c>
      <c r="F51" s="93"/>
    </row>
    <row r="53" spans="1:6" ht="14.1" customHeight="1" x14ac:dyDescent="0.25">
      <c r="A53" s="85" t="s">
        <v>15474</v>
      </c>
      <c r="B53" s="85" t="s">
        <v>5027</v>
      </c>
      <c r="C53" s="85" t="s">
        <v>17461</v>
      </c>
      <c r="D53" s="85" t="s">
        <v>3935</v>
      </c>
      <c r="E53" s="85" t="s">
        <v>10722</v>
      </c>
      <c r="F53" s="85" t="s">
        <v>18237</v>
      </c>
    </row>
    <row r="54" spans="1:6" ht="14.1" customHeight="1" x14ac:dyDescent="0.25">
      <c r="A54" s="94" t="s">
        <v>6439</v>
      </c>
      <c r="B54" s="82" t="str">
        <f t="shared" ref="B54:B61" ca="1" si="1">IFERROR(INDEX(UNSPSCDes,MATCH(INDIRECT(ADDRESS(ROW(),COLUMN()-1,4)),UNSPSCCode,0)),IF(INDIRECT(ADDRESS(ROW(),COLUMN()-1,4))="12161902","Surfactantes detergentes",""))</f>
        <v>Surfactantes detergentes</v>
      </c>
      <c r="C54" s="95" t="str">
        <f>IFERROR(VLOOKUP("GAL",'Informacion '!P:Q,2,FALSE),"")</f>
        <v>Galón</v>
      </c>
      <c r="D54" s="94">
        <v>70</v>
      </c>
      <c r="E54" s="84">
        <v>950</v>
      </c>
      <c r="F54" s="83">
        <f t="shared" ref="F54:F97" ca="1" si="2">INDIRECT(ADDRESS(ROW(),COLUMN()-2,4))*INDIRECT(ADDRESS(ROW(),COLUMN()-1,4))</f>
        <v>66500</v>
      </c>
    </row>
    <row r="55" spans="1:6" ht="14.1" customHeight="1" x14ac:dyDescent="0.25">
      <c r="A55" s="94" t="s">
        <v>6439</v>
      </c>
      <c r="B55" s="82" t="str">
        <f t="shared" ca="1" si="1"/>
        <v>Surfactantes detergentes</v>
      </c>
      <c r="C55" s="95" t="str">
        <f>IFERROR(VLOOKUP("L",'Informacion '!P:Q,2,FALSE),"")</f>
        <v>Litro</v>
      </c>
      <c r="D55" s="94">
        <v>350</v>
      </c>
      <c r="E55" s="84">
        <v>600</v>
      </c>
      <c r="F55" s="83">
        <f t="shared" ca="1" si="2"/>
        <v>210000</v>
      </c>
    </row>
    <row r="56" spans="1:6" ht="14.1" customHeight="1" x14ac:dyDescent="0.25">
      <c r="A56" s="94" t="s">
        <v>6439</v>
      </c>
      <c r="B56" s="82" t="str">
        <f t="shared" ca="1" si="1"/>
        <v>Surfactantes detergentes</v>
      </c>
      <c r="C56" s="95" t="str">
        <f>IFERROR(VLOOKUP("GAL",'Informacion '!P:Q,2,FALSE),"")</f>
        <v>Galón</v>
      </c>
      <c r="D56" s="94">
        <v>84</v>
      </c>
      <c r="E56" s="84">
        <v>2006</v>
      </c>
      <c r="F56" s="83">
        <f t="shared" ca="1" si="2"/>
        <v>168504</v>
      </c>
    </row>
    <row r="57" spans="1:6" ht="14.1" customHeight="1" x14ac:dyDescent="0.25">
      <c r="A57" s="94" t="s">
        <v>6439</v>
      </c>
      <c r="B57" s="82" t="str">
        <f t="shared" ca="1" si="1"/>
        <v>Surfactantes detergentes</v>
      </c>
      <c r="C57" s="95" t="str">
        <f>IFERROR(VLOOKUP("GAL",'Informacion '!P:Q,2,FALSE),"")</f>
        <v>Galón</v>
      </c>
      <c r="D57" s="94">
        <v>6</v>
      </c>
      <c r="E57" s="84">
        <v>2800</v>
      </c>
      <c r="F57" s="83">
        <f t="shared" ca="1" si="2"/>
        <v>16800</v>
      </c>
    </row>
    <row r="58" spans="1:6" ht="14.1" customHeight="1" x14ac:dyDescent="0.25">
      <c r="A58" s="94" t="s">
        <v>6439</v>
      </c>
      <c r="B58" s="82" t="str">
        <f t="shared" ca="1" si="1"/>
        <v>Surfactantes detergentes</v>
      </c>
      <c r="C58" s="95" t="str">
        <f>IFERROR(VLOOKUP("GAL",'Informacion '!P:Q,2,FALSE),"")</f>
        <v>Galón</v>
      </c>
      <c r="D58" s="94">
        <v>20</v>
      </c>
      <c r="E58" s="84">
        <v>5500</v>
      </c>
      <c r="F58" s="83">
        <f t="shared" ca="1" si="2"/>
        <v>110000</v>
      </c>
    </row>
    <row r="59" spans="1:6" ht="14.1" customHeight="1" x14ac:dyDescent="0.25">
      <c r="A59" s="94" t="s">
        <v>6439</v>
      </c>
      <c r="B59" s="82" t="str">
        <f t="shared" ca="1" si="1"/>
        <v>Surfactantes detergentes</v>
      </c>
      <c r="C59" s="95" t="str">
        <f>IFERROR(VLOOKUP("GAL",'Informacion '!P:Q,2,FALSE),"")</f>
        <v>Galón</v>
      </c>
      <c r="D59" s="94">
        <v>85</v>
      </c>
      <c r="E59" s="84">
        <v>320</v>
      </c>
      <c r="F59" s="83">
        <f t="shared" ca="1" si="2"/>
        <v>27200</v>
      </c>
    </row>
    <row r="60" spans="1:6" ht="14.1" customHeight="1" x14ac:dyDescent="0.25">
      <c r="A60" s="94" t="s">
        <v>6439</v>
      </c>
      <c r="B60" s="82" t="str">
        <f t="shared" ca="1" si="1"/>
        <v>Surfactantes detergentes</v>
      </c>
      <c r="C60" s="95" t="str">
        <f>IFERROR(VLOOKUP("GAL",'Informacion '!P:Q,2,FALSE),"")</f>
        <v>Galón</v>
      </c>
      <c r="D60" s="94">
        <v>350</v>
      </c>
      <c r="E60" s="84">
        <v>150</v>
      </c>
      <c r="F60" s="83">
        <f t="shared" ca="1" si="2"/>
        <v>52500</v>
      </c>
    </row>
    <row r="61" spans="1:6" ht="14.1" customHeight="1" x14ac:dyDescent="0.25">
      <c r="A61" s="94" t="s">
        <v>6439</v>
      </c>
      <c r="B61" s="82" t="str">
        <f t="shared" ca="1" si="1"/>
        <v>Surfactantes detergentes</v>
      </c>
      <c r="C61" s="95" t="str">
        <f>IFERROR(VLOOKUP("GAL",'Informacion '!P:Q,2,FALSE),"")</f>
        <v>Galón</v>
      </c>
      <c r="D61" s="94">
        <v>60</v>
      </c>
      <c r="E61" s="84">
        <v>320</v>
      </c>
      <c r="F61" s="83">
        <f t="shared" ca="1" si="2"/>
        <v>19200</v>
      </c>
    </row>
    <row r="62" spans="1:6" ht="14.1" customHeight="1" x14ac:dyDescent="0.25">
      <c r="A62" s="94" t="s">
        <v>8163</v>
      </c>
      <c r="B62" s="82" t="str">
        <f ca="1">IFERROR(INDEX(UNSPSCDes,MATCH(INDIRECT(ADDRESS(ROW(),COLUMN()-1,4)),UNSPSCCode,0)),IF(INDIRECT(ADDRESS(ROW(),COLUMN()-1,4))="15121803","Removedor de óxido",""))</f>
        <v>Removedor de óxido</v>
      </c>
      <c r="C62" s="95" t="str">
        <f>IFERROR(VLOOKUP("GAL",'Informacion '!P:Q,2,FALSE),"")</f>
        <v>Galón</v>
      </c>
      <c r="D62" s="94">
        <v>1</v>
      </c>
      <c r="E62" s="84">
        <v>4900</v>
      </c>
      <c r="F62" s="83">
        <f t="shared" ca="1" si="2"/>
        <v>4900</v>
      </c>
    </row>
    <row r="63" spans="1:6" ht="14.1" customHeight="1" x14ac:dyDescent="0.25">
      <c r="A63" s="94" t="s">
        <v>6439</v>
      </c>
      <c r="B63" s="82" t="str">
        <f ca="1">IFERROR(INDEX(UNSPSCDes,MATCH(INDIRECT(ADDRESS(ROW(),COLUMN()-1,4)),UNSPSCCode,0)),IF(INDIRECT(ADDRESS(ROW(),COLUMN()-1,4))="12161902","Surfactantes detergentes",""))</f>
        <v>Surfactantes detergentes</v>
      </c>
      <c r="C63" s="95" t="str">
        <f>IFERROR(VLOOKUP("GAL",'Informacion '!P:Q,2,FALSE),"")</f>
        <v>Galón</v>
      </c>
      <c r="D63" s="94">
        <v>15</v>
      </c>
      <c r="E63" s="84">
        <v>750</v>
      </c>
      <c r="F63" s="83">
        <f t="shared" ca="1" si="2"/>
        <v>11250</v>
      </c>
    </row>
    <row r="64" spans="1:6" ht="14.1" customHeight="1" x14ac:dyDescent="0.25">
      <c r="A64" s="94" t="s">
        <v>6439</v>
      </c>
      <c r="B64" s="82" t="str">
        <f ca="1">IFERROR(INDEX(UNSPSCDes,MATCH(INDIRECT(ADDRESS(ROW(),COLUMN()-1,4)),UNSPSCCode,0)),IF(INDIRECT(ADDRESS(ROW(),COLUMN()-1,4))="12161902","Surfactantes detergentes",""))</f>
        <v>Surfactantes detergentes</v>
      </c>
      <c r="C64" s="95" t="str">
        <f>IFERROR(VLOOKUP("GAL",'Informacion '!P:Q,2,FALSE),"")</f>
        <v>Galón</v>
      </c>
      <c r="D64" s="94">
        <v>40</v>
      </c>
      <c r="E64" s="84">
        <v>110</v>
      </c>
      <c r="F64" s="83">
        <f t="shared" ca="1" si="2"/>
        <v>4400</v>
      </c>
    </row>
    <row r="65" spans="1:6" ht="14.1" customHeight="1" x14ac:dyDescent="0.25">
      <c r="A65" s="94" t="s">
        <v>6439</v>
      </c>
      <c r="B65" s="82" t="str">
        <f ca="1">IFERROR(INDEX(UNSPSCDes,MATCH(INDIRECT(ADDRESS(ROW(),COLUMN()-1,4)),UNSPSCCode,0)),IF(INDIRECT(ADDRESS(ROW(),COLUMN()-1,4))="12161902","Surfactantes detergentes",""))</f>
        <v>Surfactantes detergentes</v>
      </c>
      <c r="C65" s="95" t="str">
        <f>IFERROR(VLOOKUP("GAL",'Informacion '!P:Q,2,FALSE),"")</f>
        <v>Galón</v>
      </c>
      <c r="D65" s="94">
        <v>15</v>
      </c>
      <c r="E65" s="84">
        <v>750</v>
      </c>
      <c r="F65" s="83">
        <f t="shared" ca="1" si="2"/>
        <v>11250</v>
      </c>
    </row>
    <row r="66" spans="1:6" ht="14.1" customHeight="1" x14ac:dyDescent="0.25">
      <c r="A66" s="94" t="s">
        <v>729</v>
      </c>
      <c r="B66" s="82" t="str">
        <f ca="1">IFERROR(INDEX(UNSPSCDes,MATCH(INDIRECT(ADDRESS(ROW(),COLUMN()-1,4)),UNSPSCCode,0)),IF(INDIRECT(ADDRESS(ROW(),COLUMN()-1,4))="24141506","Encerados",""))</f>
        <v>Encerados</v>
      </c>
      <c r="C66" s="95" t="str">
        <f>IFERROR(VLOOKUP("GAL",'Informacion '!P:Q,2,FALSE),"")</f>
        <v>Galón</v>
      </c>
      <c r="D66" s="94">
        <v>30</v>
      </c>
      <c r="E66" s="84">
        <v>340</v>
      </c>
      <c r="F66" s="83">
        <f t="shared" ca="1" si="2"/>
        <v>10200</v>
      </c>
    </row>
    <row r="67" spans="1:6" ht="14.1" customHeight="1" x14ac:dyDescent="0.25">
      <c r="A67" s="94" t="s">
        <v>18780</v>
      </c>
      <c r="B67" s="82" t="str">
        <f ca="1">IFERROR(INDEX(UNSPSCDes,MATCH(INDIRECT(ADDRESS(ROW(),COLUMN()-1,4)),UNSPSCCode,0)),IF(INDIRECT(ADDRESS(ROW(),COLUMN()-1,4))="41102705","Cristalizadores",""))</f>
        <v>Cristalizadores</v>
      </c>
      <c r="C67" s="95" t="str">
        <f>IFERROR(VLOOKUP("GAL",'Informacion '!P:Q,2,FALSE),"")</f>
        <v>Galón</v>
      </c>
      <c r="D67" s="94">
        <v>3</v>
      </c>
      <c r="E67" s="84">
        <v>450</v>
      </c>
      <c r="F67" s="83">
        <f t="shared" ca="1" si="2"/>
        <v>1350</v>
      </c>
    </row>
    <row r="68" spans="1:6" ht="14.1" customHeight="1" x14ac:dyDescent="0.25">
      <c r="A68" s="94" t="s">
        <v>6439</v>
      </c>
      <c r="B68" s="82" t="str">
        <f ca="1">IFERROR(INDEX(UNSPSCDes,MATCH(INDIRECT(ADDRESS(ROW(),COLUMN()-1,4)),UNSPSCCode,0)),IF(INDIRECT(ADDRESS(ROW(),COLUMN()-1,4))="12161902","Surfactantes detergentes",""))</f>
        <v>Surfactantes detergentes</v>
      </c>
      <c r="C68" s="95" t="str">
        <f>IFERROR(VLOOKUP("GAL",'Informacion '!P:Q,2,FALSE),"")</f>
        <v>Galón</v>
      </c>
      <c r="D68" s="94">
        <v>3</v>
      </c>
      <c r="E68" s="84">
        <v>1600</v>
      </c>
      <c r="F68" s="83">
        <f t="shared" ca="1" si="2"/>
        <v>4800</v>
      </c>
    </row>
    <row r="69" spans="1:6" ht="14.1" customHeight="1" x14ac:dyDescent="0.25">
      <c r="A69" s="94" t="s">
        <v>16379</v>
      </c>
      <c r="B69" s="82" t="str">
        <f ca="1">IFERROR(INDEX(UNSPSCDes,MATCH(INDIRECT(ADDRESS(ROW(),COLUMN()-1,4)),UNSPSCCode,0)),IF(INDIRECT(ADDRESS(ROW(),COLUMN()-1,4))="53131608","Jabones",""))</f>
        <v>Jabones</v>
      </c>
      <c r="C69" s="95" t="str">
        <f>IFERROR(VLOOKUP("GAL",'Informacion '!P:Q,2,FALSE),"")</f>
        <v>Galón</v>
      </c>
      <c r="D69" s="94">
        <v>80</v>
      </c>
      <c r="E69" s="84">
        <v>340</v>
      </c>
      <c r="F69" s="83">
        <f t="shared" ca="1" si="2"/>
        <v>27200</v>
      </c>
    </row>
    <row r="70" spans="1:6" ht="14.1" customHeight="1" x14ac:dyDescent="0.25">
      <c r="A70" s="94" t="s">
        <v>16379</v>
      </c>
      <c r="B70" s="82" t="str">
        <f ca="1">IFERROR(INDEX(UNSPSCDes,MATCH(INDIRECT(ADDRESS(ROW(),COLUMN()-1,4)),UNSPSCCode,0)),IF(INDIRECT(ADDRESS(ROW(),COLUMN()-1,4))="53131608","Jabones",""))</f>
        <v>Jabones</v>
      </c>
      <c r="C70" s="95" t="str">
        <f>IFERROR(VLOOKUP("GAL",'Informacion '!P:Q,2,FALSE),"")</f>
        <v>Galón</v>
      </c>
      <c r="D70" s="94">
        <v>25</v>
      </c>
      <c r="E70" s="84">
        <v>850</v>
      </c>
      <c r="F70" s="83">
        <f t="shared" ca="1" si="2"/>
        <v>21250</v>
      </c>
    </row>
    <row r="71" spans="1:6" ht="14.1" customHeight="1" x14ac:dyDescent="0.25">
      <c r="A71" s="94" t="s">
        <v>3074</v>
      </c>
      <c r="B71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71" s="95" t="str">
        <f>IFERROR(VLOOKUP("GAL",'Informacion '!P:Q,2,FALSE),"")</f>
        <v>Galón</v>
      </c>
      <c r="D71" s="94">
        <v>30</v>
      </c>
      <c r="E71" s="84">
        <v>325</v>
      </c>
      <c r="F71" s="83">
        <f t="shared" ca="1" si="2"/>
        <v>9750</v>
      </c>
    </row>
    <row r="72" spans="1:6" ht="14.1" customHeight="1" x14ac:dyDescent="0.25">
      <c r="A72" s="94" t="s">
        <v>16379</v>
      </c>
      <c r="B72" s="82" t="str">
        <f ca="1">IFERROR(INDEX(UNSPSCDes,MATCH(INDIRECT(ADDRESS(ROW(),COLUMN()-1,4)),UNSPSCCode,0)),IF(INDIRECT(ADDRESS(ROW(),COLUMN()-1,4))="53131608","Jabones",""))</f>
        <v>Jabones</v>
      </c>
      <c r="C72" s="95" t="str">
        <f>IFERROR(VLOOKUP("GAL",'Informacion '!P:Q,2,FALSE),"")</f>
        <v>Galón</v>
      </c>
      <c r="D72" s="94">
        <v>50</v>
      </c>
      <c r="E72" s="84">
        <v>3339.4</v>
      </c>
      <c r="F72" s="83">
        <f t="shared" ca="1" si="2"/>
        <v>166970</v>
      </c>
    </row>
    <row r="73" spans="1:6" ht="14.1" customHeight="1" x14ac:dyDescent="0.25">
      <c r="A73" s="94" t="s">
        <v>3074</v>
      </c>
      <c r="B73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73" s="95" t="str">
        <f>IFERROR(VLOOKUP("GAL",'Informacion '!P:Q,2,FALSE),"")</f>
        <v>Galón</v>
      </c>
      <c r="D73" s="94">
        <v>25</v>
      </c>
      <c r="E73" s="84">
        <v>3280.4</v>
      </c>
      <c r="F73" s="83">
        <f t="shared" ca="1" si="2"/>
        <v>82010</v>
      </c>
    </row>
    <row r="74" spans="1:6" ht="14.1" customHeight="1" x14ac:dyDescent="0.25">
      <c r="A74" s="94" t="s">
        <v>16379</v>
      </c>
      <c r="B74" s="82" t="str">
        <f ca="1">IFERROR(INDEX(UNSPSCDes,MATCH(INDIRECT(ADDRESS(ROW(),COLUMN()-1,4)),UNSPSCCode,0)),IF(INDIRECT(ADDRESS(ROW(),COLUMN()-1,4))="53131608","Jabones",""))</f>
        <v>Jabones</v>
      </c>
      <c r="C74" s="95" t="str">
        <f>IFERROR(VLOOKUP("GAL",'Informacion '!P:Q,2,FALSE),"")</f>
        <v>Galón</v>
      </c>
      <c r="D74" s="94">
        <v>85</v>
      </c>
      <c r="E74" s="84">
        <v>2800</v>
      </c>
      <c r="F74" s="83">
        <f t="shared" ca="1" si="2"/>
        <v>238000</v>
      </c>
    </row>
    <row r="75" spans="1:6" ht="14.1" customHeight="1" x14ac:dyDescent="0.25">
      <c r="A75" s="94" t="s">
        <v>6439</v>
      </c>
      <c r="B75" s="82" t="str">
        <f ca="1">IFERROR(INDEX(UNSPSCDes,MATCH(INDIRECT(ADDRESS(ROW(),COLUMN()-1,4)),UNSPSCCode,0)),IF(INDIRECT(ADDRESS(ROW(),COLUMN()-1,4))="12161902","Surfactantes detergentes",""))</f>
        <v>Surfactantes detergentes</v>
      </c>
      <c r="C75" s="95" t="str">
        <f>IFERROR(VLOOKUP("GAL",'Informacion '!P:Q,2,FALSE),"")</f>
        <v>Galón</v>
      </c>
      <c r="D75" s="94">
        <v>50</v>
      </c>
      <c r="E75" s="84">
        <v>3872.76</v>
      </c>
      <c r="F75" s="83">
        <f t="shared" ca="1" si="2"/>
        <v>193638</v>
      </c>
    </row>
    <row r="76" spans="1:6" ht="14.1" customHeight="1" x14ac:dyDescent="0.25">
      <c r="A76" s="94" t="s">
        <v>5571</v>
      </c>
      <c r="B76" s="82" t="str">
        <f ca="1">IFERROR(INDEX(UNSPSCDes,MATCH(INDIRECT(ADDRESS(ROW(),COLUMN()-1,4)),UNSPSCCode,0)),IF(INDIRECT(ADDRESS(ROW(),COLUMN()-1,4))="42271802","Nebulizadores o accesorios",""))</f>
        <v>Nebulizadores o accesorios</v>
      </c>
      <c r="C76" s="95" t="str">
        <f>IFERROR(VLOOKUP("GAL",'Informacion '!P:Q,2,FALSE),"")</f>
        <v>Galón</v>
      </c>
      <c r="D76" s="94">
        <v>7</v>
      </c>
      <c r="E76" s="84">
        <v>19000</v>
      </c>
      <c r="F76" s="83">
        <f t="shared" ca="1" si="2"/>
        <v>133000</v>
      </c>
    </row>
    <row r="77" spans="1:6" ht="14.1" customHeight="1" x14ac:dyDescent="0.25">
      <c r="A77" s="94" t="s">
        <v>16072</v>
      </c>
      <c r="B77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77" s="95" t="str">
        <f>IFERROR(VLOOKUP("GAL",'Informacion '!P:Q,2,FALSE),"")</f>
        <v>Galón</v>
      </c>
      <c r="D77" s="94">
        <v>24</v>
      </c>
      <c r="E77" s="84">
        <v>600</v>
      </c>
      <c r="F77" s="83">
        <f t="shared" ca="1" si="2"/>
        <v>14400</v>
      </c>
    </row>
    <row r="78" spans="1:6" ht="14.1" customHeight="1" x14ac:dyDescent="0.25">
      <c r="A78" s="94" t="s">
        <v>6439</v>
      </c>
      <c r="B78" s="82" t="str">
        <f ca="1">IFERROR(INDEX(UNSPSCDes,MATCH(INDIRECT(ADDRESS(ROW(),COLUMN()-1,4)),UNSPSCCode,0)),IF(INDIRECT(ADDRESS(ROW(),COLUMN()-1,4))="12161902","Surfactantes detergentes",""))</f>
        <v>Surfactantes detergentes</v>
      </c>
      <c r="C78" s="95" t="str">
        <f>IFERROR(VLOOKUP("GAL",'Informacion '!P:Q,2,FALSE),"")</f>
        <v>Galón</v>
      </c>
      <c r="D78" s="94">
        <v>3</v>
      </c>
      <c r="E78" s="84">
        <v>45000</v>
      </c>
      <c r="F78" s="83">
        <f t="shared" ca="1" si="2"/>
        <v>135000</v>
      </c>
    </row>
    <row r="79" spans="1:6" ht="14.1" customHeight="1" x14ac:dyDescent="0.25">
      <c r="A79" s="94" t="s">
        <v>19401</v>
      </c>
      <c r="B79" s="82" t="str">
        <f ca="1">IFERROR(INDEX(UNSPSCDes,MATCH(INDIRECT(ADDRESS(ROW(),COLUMN()-1,4)),UNSPSCCode,0)),IF(INDIRECT(ADDRESS(ROW(),COLUMN()-1,4))="42312311","Kits de desinfectantes",""))</f>
        <v>Kits de desinfectantes</v>
      </c>
      <c r="C79" s="95" t="str">
        <f>IFERROR(VLOOKUP("GAL",'Informacion '!P:Q,2,FALSE),"")</f>
        <v>Galón</v>
      </c>
      <c r="D79" s="94">
        <v>6</v>
      </c>
      <c r="E79" s="84">
        <v>789.98</v>
      </c>
      <c r="F79" s="83">
        <f t="shared" ca="1" si="2"/>
        <v>4739.88</v>
      </c>
    </row>
    <row r="80" spans="1:6" ht="14.1" customHeight="1" x14ac:dyDescent="0.25">
      <c r="A80" s="94" t="s">
        <v>6439</v>
      </c>
      <c r="B80" s="82" t="str">
        <f ca="1">IFERROR(INDEX(UNSPSCDes,MATCH(INDIRECT(ADDRESS(ROW(),COLUMN()-1,4)),UNSPSCCode,0)),IF(INDIRECT(ADDRESS(ROW(),COLUMN()-1,4))="12161902","Surfactantes detergentes",""))</f>
        <v>Surfactantes detergentes</v>
      </c>
      <c r="C80" s="95" t="str">
        <f>IFERROR(VLOOKUP("GAL",'Informacion '!P:Q,2,FALSE),"")</f>
        <v>Galón</v>
      </c>
      <c r="D80" s="94">
        <v>30</v>
      </c>
      <c r="E80" s="84">
        <v>987.87</v>
      </c>
      <c r="F80" s="83">
        <f t="shared" ca="1" si="2"/>
        <v>29636.1</v>
      </c>
    </row>
    <row r="81" spans="1:6" ht="14.1" customHeight="1" x14ac:dyDescent="0.25">
      <c r="A81" s="94" t="s">
        <v>6439</v>
      </c>
      <c r="B81" s="82" t="str">
        <f ca="1">IFERROR(INDEX(UNSPSCDes,MATCH(INDIRECT(ADDRESS(ROW(),COLUMN()-1,4)),UNSPSCCode,0)),IF(INDIRECT(ADDRESS(ROW(),COLUMN()-1,4))="12161902","Surfactantes detergentes",""))</f>
        <v>Surfactantes detergentes</v>
      </c>
      <c r="C81" s="95" t="str">
        <f>IFERROR(VLOOKUP("GAL",'Informacion '!P:Q,2,FALSE),"")</f>
        <v>Galón</v>
      </c>
      <c r="D81" s="94">
        <v>6</v>
      </c>
      <c r="E81" s="84">
        <v>1054.25</v>
      </c>
      <c r="F81" s="83">
        <f t="shared" ca="1" si="2"/>
        <v>6325.5</v>
      </c>
    </row>
    <row r="82" spans="1:6" ht="14.1" customHeight="1" x14ac:dyDescent="0.25">
      <c r="A82" s="94" t="s">
        <v>19401</v>
      </c>
      <c r="B82" s="82" t="str">
        <f ca="1">IFERROR(INDEX(UNSPSCDes,MATCH(INDIRECT(ADDRESS(ROW(),COLUMN()-1,4)),UNSPSCCode,0)),IF(INDIRECT(ADDRESS(ROW(),COLUMN()-1,4))="42312311","Kits de desinfectantes",""))</f>
        <v>Kits de desinfectantes</v>
      </c>
      <c r="C82" s="95" t="str">
        <f>IFERROR(VLOOKUP("GAL",'Informacion '!P:Q,2,FALSE),"")</f>
        <v>Galón</v>
      </c>
      <c r="D82" s="94">
        <v>6</v>
      </c>
      <c r="E82" s="84">
        <v>684.72</v>
      </c>
      <c r="F82" s="83">
        <f t="shared" ca="1" si="2"/>
        <v>4108.32</v>
      </c>
    </row>
    <row r="83" spans="1:6" ht="14.1" customHeight="1" x14ac:dyDescent="0.25">
      <c r="A83" s="94" t="s">
        <v>19401</v>
      </c>
      <c r="B83" s="82" t="str">
        <f ca="1">IFERROR(INDEX(UNSPSCDes,MATCH(INDIRECT(ADDRESS(ROW(),COLUMN()-1,4)),UNSPSCCode,0)),IF(INDIRECT(ADDRESS(ROW(),COLUMN()-1,4))="42312311","Kits de desinfectantes",""))</f>
        <v>Kits de desinfectantes</v>
      </c>
      <c r="C83" s="95" t="str">
        <f>IFERROR(VLOOKUP("GAL",'Informacion '!P:Q,2,FALSE),"")</f>
        <v>Galón</v>
      </c>
      <c r="D83" s="94">
        <v>30</v>
      </c>
      <c r="E83" s="84">
        <v>1002.82</v>
      </c>
      <c r="F83" s="83">
        <f t="shared" ca="1" si="2"/>
        <v>30084.600000000002</v>
      </c>
    </row>
    <row r="84" spans="1:6" ht="14.1" customHeight="1" x14ac:dyDescent="0.25">
      <c r="A84" s="94" t="s">
        <v>19401</v>
      </c>
      <c r="B84" s="82" t="str">
        <f ca="1">IFERROR(INDEX(UNSPSCDes,MATCH(INDIRECT(ADDRESS(ROW(),COLUMN()-1,4)),UNSPSCCode,0)),IF(INDIRECT(ADDRESS(ROW(),COLUMN()-1,4))="42312311","Kits de desinfectantes",""))</f>
        <v>Kits de desinfectantes</v>
      </c>
      <c r="C84" s="95" t="str">
        <f>IFERROR(VLOOKUP("GAL",'Informacion '!P:Q,2,FALSE),"")</f>
        <v>Galón</v>
      </c>
      <c r="D84" s="94">
        <v>5</v>
      </c>
      <c r="E84" s="84">
        <v>850</v>
      </c>
      <c r="F84" s="83">
        <f t="shared" ca="1" si="2"/>
        <v>4250</v>
      </c>
    </row>
    <row r="85" spans="1:6" ht="14.1" customHeight="1" x14ac:dyDescent="0.25">
      <c r="A85" s="94" t="s">
        <v>19401</v>
      </c>
      <c r="B85" s="82" t="str">
        <f ca="1">IFERROR(INDEX(UNSPSCDes,MATCH(INDIRECT(ADDRESS(ROW(),COLUMN()-1,4)),UNSPSCCode,0)),IF(INDIRECT(ADDRESS(ROW(),COLUMN()-1,4))="42312311","Kits de desinfectantes",""))</f>
        <v>Kits de desinfectantes</v>
      </c>
      <c r="C85" s="95" t="str">
        <f>IFERROR(VLOOKUP("GAL",'Informacion '!P:Q,2,FALSE),"")</f>
        <v>Galón</v>
      </c>
      <c r="D85" s="94">
        <v>1</v>
      </c>
      <c r="E85" s="84">
        <v>1282</v>
      </c>
      <c r="F85" s="83">
        <f t="shared" ca="1" si="2"/>
        <v>1282</v>
      </c>
    </row>
    <row r="86" spans="1:6" ht="14.1" customHeight="1" x14ac:dyDescent="0.25">
      <c r="A86" s="94" t="s">
        <v>11659</v>
      </c>
      <c r="B86" s="82" t="str">
        <f ca="1">IFERROR(INDEX(UNSPSCDes,MATCH(INDIRECT(ADDRESS(ROW(),COLUMN()-1,4)),UNSPSCCode,0)),IF(INDIRECT(ADDRESS(ROW(),COLUMN()-1,4))="47131810","Productos para el lavaplatos",""))</f>
        <v>Productos para el lavaplatos</v>
      </c>
      <c r="C86" s="95" t="str">
        <f>IFERROR(VLOOKUP("GAL",'Informacion '!P:Q,2,FALSE),"")</f>
        <v>Galón</v>
      </c>
      <c r="D86" s="94">
        <v>3</v>
      </c>
      <c r="E86" s="84">
        <v>580.20000000000005</v>
      </c>
      <c r="F86" s="83">
        <f t="shared" ca="1" si="2"/>
        <v>1740.6000000000001</v>
      </c>
    </row>
    <row r="87" spans="1:6" ht="14.1" customHeight="1" x14ac:dyDescent="0.25">
      <c r="A87" s="94" t="s">
        <v>6439</v>
      </c>
      <c r="B87" s="82" t="str">
        <f ca="1">IFERROR(INDEX(UNSPSCDes,MATCH(INDIRECT(ADDRESS(ROW(),COLUMN()-1,4)),UNSPSCCode,0)),IF(INDIRECT(ADDRESS(ROW(),COLUMN()-1,4))="12161902","Surfactantes detergentes",""))</f>
        <v>Surfactantes detergentes</v>
      </c>
      <c r="C87" s="95" t="str">
        <f>IFERROR(VLOOKUP("GAL",'Informacion '!P:Q,2,FALSE),"")</f>
        <v>Galón</v>
      </c>
      <c r="D87" s="94">
        <v>6</v>
      </c>
      <c r="E87" s="84">
        <v>849.8</v>
      </c>
      <c r="F87" s="83">
        <f t="shared" ca="1" si="2"/>
        <v>5098.7999999999993</v>
      </c>
    </row>
    <row r="88" spans="1:6" ht="14.1" customHeight="1" x14ac:dyDescent="0.25">
      <c r="A88" s="94" t="s">
        <v>19401</v>
      </c>
      <c r="B88" s="82" t="str">
        <f ca="1">IFERROR(INDEX(UNSPSCDes,MATCH(INDIRECT(ADDRESS(ROW(),COLUMN()-1,4)),UNSPSCCode,0)),IF(INDIRECT(ADDRESS(ROW(),COLUMN()-1,4))="42312311","Kits de desinfectantes",""))</f>
        <v>Kits de desinfectantes</v>
      </c>
      <c r="C88" s="95" t="str">
        <f>IFERROR(VLOOKUP("GAL",'Informacion '!P:Q,2,FALSE),"")</f>
        <v>Galón</v>
      </c>
      <c r="D88" s="94">
        <v>1</v>
      </c>
      <c r="E88" s="84">
        <v>38876</v>
      </c>
      <c r="F88" s="83">
        <f t="shared" ca="1" si="2"/>
        <v>38876</v>
      </c>
    </row>
    <row r="89" spans="1:6" ht="14.1" customHeight="1" x14ac:dyDescent="0.25">
      <c r="A89" s="94" t="s">
        <v>3373</v>
      </c>
      <c r="B89" s="82" t="str">
        <f ca="1">IFERROR(INDEX(UNSPSCDes,MATCH(INDIRECT(ADDRESS(ROW(),COLUMN()-1,4)),UNSPSCCode,0)),IF(INDIRECT(ADDRESS(ROW(),COLUMN()-1,4))="41104202","Equipos de deionización o desmineralización",""))</f>
        <v>Equipos de deionización o desmineralización</v>
      </c>
      <c r="C89" s="95" t="str">
        <f>IFERROR(VLOOKUP("GAL",'Informacion '!P:Q,2,FALSE),"")</f>
        <v>Galón</v>
      </c>
      <c r="D89" s="94">
        <v>110</v>
      </c>
      <c r="E89" s="84">
        <v>416</v>
      </c>
      <c r="F89" s="83">
        <f t="shared" ca="1" si="2"/>
        <v>45760</v>
      </c>
    </row>
    <row r="90" spans="1:6" ht="14.1" customHeight="1" x14ac:dyDescent="0.25">
      <c r="A90" s="94" t="s">
        <v>6439</v>
      </c>
      <c r="B90" s="82" t="str">
        <f ca="1">IFERROR(INDEX(UNSPSCDes,MATCH(INDIRECT(ADDRESS(ROW(),COLUMN()-1,4)),UNSPSCCode,0)),IF(INDIRECT(ADDRESS(ROW(),COLUMN()-1,4))="12161902","Surfactantes detergentes",""))</f>
        <v>Surfactantes detergentes</v>
      </c>
      <c r="C90" s="95" t="str">
        <f>IFERROR(VLOOKUP("GAL",'Informacion '!P:Q,2,FALSE),"")</f>
        <v>Galón</v>
      </c>
      <c r="D90" s="94">
        <v>110</v>
      </c>
      <c r="E90" s="84">
        <v>570</v>
      </c>
      <c r="F90" s="83">
        <f t="shared" ca="1" si="2"/>
        <v>62700</v>
      </c>
    </row>
    <row r="91" spans="1:6" ht="14.1" customHeight="1" x14ac:dyDescent="0.25">
      <c r="A91" s="94" t="s">
        <v>14959</v>
      </c>
      <c r="B91" s="82" t="str">
        <f ca="1">IFERROR(INDEX(UNSPSCDes,MATCH(INDIRECT(ADDRESS(ROW(),COLUMN()-1,4)),UNSPSCCode,0)),IF(INDIRECT(ADDRESS(ROW(),COLUMN()-1,4))="41104211","Suavizantes",""))</f>
        <v>Suavizantes</v>
      </c>
      <c r="C91" s="95" t="str">
        <f>IFERROR(VLOOKUP("GAL",'Informacion '!P:Q,2,FALSE),"")</f>
        <v>Galón</v>
      </c>
      <c r="D91" s="94">
        <v>110</v>
      </c>
      <c r="E91" s="84">
        <v>511.65</v>
      </c>
      <c r="F91" s="83">
        <f t="shared" ca="1" si="2"/>
        <v>56281.5</v>
      </c>
    </row>
    <row r="92" spans="1:6" ht="14.1" customHeight="1" x14ac:dyDescent="0.25">
      <c r="A92" s="94" t="s">
        <v>15967</v>
      </c>
      <c r="B92" s="82" t="str">
        <f ca="1">IFERROR(INDEX(UNSPSCDes,MATCH(INDIRECT(ADDRESS(ROW(),COLUMN()-1,4)),UNSPSCCode,0)),IF(INDIRECT(ADDRESS(ROW(),COLUMN()-1,4))="26121614","Cable de construcción",""))</f>
        <v>Cable de construcción</v>
      </c>
      <c r="C92" s="95" t="str">
        <f>IFERROR(VLOOKUP("GAL",'Informacion '!P:Q,2,FALSE),"")</f>
        <v>Galón</v>
      </c>
      <c r="D92" s="94">
        <v>1</v>
      </c>
      <c r="E92" s="84">
        <v>8861</v>
      </c>
      <c r="F92" s="83">
        <f t="shared" ca="1" si="2"/>
        <v>8861</v>
      </c>
    </row>
    <row r="93" spans="1:6" ht="14.1" customHeight="1" x14ac:dyDescent="0.25">
      <c r="A93" s="94" t="s">
        <v>2968</v>
      </c>
      <c r="B93" s="82" t="str">
        <f ca="1">IFERROR(INDEX(UNSPSCDes,MATCH(INDIRECT(ADDRESS(ROW(),COLUMN()-1,4)),UNSPSCCode,0)),IF(INDIRECT(ADDRESS(ROW(),COLUMN()-1,4))="73141703","Servicios de fabricación de tejidos de punto",""))</f>
        <v>Servicios de fabricación de tejidos de punto</v>
      </c>
      <c r="C93" s="95" t="str">
        <f>IFERROR(VLOOKUP("GAL",'Informacion '!P:Q,2,FALSE),"")</f>
        <v>Galón</v>
      </c>
      <c r="D93" s="94">
        <v>90</v>
      </c>
      <c r="E93" s="84">
        <v>726</v>
      </c>
      <c r="F93" s="83">
        <f t="shared" ca="1" si="2"/>
        <v>65340</v>
      </c>
    </row>
    <row r="94" spans="1:6" ht="14.1" customHeight="1" x14ac:dyDescent="0.25">
      <c r="A94" s="94" t="s">
        <v>6921</v>
      </c>
      <c r="B94" s="82" t="str">
        <f ca="1">IFERROR(INDEX(UNSPSCDes,MATCH(INDIRECT(ADDRESS(ROW(),COLUMN()-1,4)),UNSPSCCode,0)),IF(INDIRECT(ADDRESS(ROW(),COLUMN()-1,4))="12141901","Cloro cl",""))</f>
        <v>Cloro cl</v>
      </c>
      <c r="C94" s="95" t="str">
        <f>IFERROR(VLOOKUP("GAL",'Informacion '!P:Q,2,FALSE),"")</f>
        <v>Galón</v>
      </c>
      <c r="D94" s="94">
        <v>90</v>
      </c>
      <c r="E94" s="84">
        <v>416.2</v>
      </c>
      <c r="F94" s="83">
        <f t="shared" ca="1" si="2"/>
        <v>37458</v>
      </c>
    </row>
    <row r="95" spans="1:6" ht="14.1" customHeight="1" x14ac:dyDescent="0.25">
      <c r="A95" s="94" t="s">
        <v>14959</v>
      </c>
      <c r="B95" s="82" t="str">
        <f ca="1">IFERROR(INDEX(UNSPSCDes,MATCH(INDIRECT(ADDRESS(ROW(),COLUMN()-1,4)),UNSPSCCode,0)),IF(INDIRECT(ADDRESS(ROW(),COLUMN()-1,4))="41104211","Suavizantes",""))</f>
        <v>Suavizantes</v>
      </c>
      <c r="C95" s="95" t="str">
        <f>IFERROR(VLOOKUP("GAL",'Informacion '!P:Q,2,FALSE),"")</f>
        <v>Galón</v>
      </c>
      <c r="D95" s="94">
        <v>90</v>
      </c>
      <c r="E95" s="84">
        <v>570</v>
      </c>
      <c r="F95" s="83">
        <f t="shared" ca="1" si="2"/>
        <v>51300</v>
      </c>
    </row>
    <row r="96" spans="1:6" ht="14.1" customHeight="1" x14ac:dyDescent="0.25">
      <c r="A96" s="94" t="s">
        <v>6439</v>
      </c>
      <c r="B96" s="82" t="str">
        <f ca="1">IFERROR(INDEX(UNSPSCDes,MATCH(INDIRECT(ADDRESS(ROW(),COLUMN()-1,4)),UNSPSCCode,0)),IF(INDIRECT(ADDRESS(ROW(),COLUMN()-1,4))="12161902","Surfactantes detergentes",""))</f>
        <v>Surfactantes detergentes</v>
      </c>
      <c r="C96" s="95" t="str">
        <f>IFERROR(VLOOKUP("GAL",'Informacion '!P:Q,2,FALSE),"")</f>
        <v>Galón</v>
      </c>
      <c r="D96" s="94">
        <v>75</v>
      </c>
      <c r="E96" s="84">
        <v>512</v>
      </c>
      <c r="F96" s="83">
        <f t="shared" ca="1" si="2"/>
        <v>38400</v>
      </c>
    </row>
    <row r="97" spans="1:10" ht="14.1" customHeight="1" x14ac:dyDescent="0.25">
      <c r="A97" s="94" t="s">
        <v>6439</v>
      </c>
      <c r="B97" s="82" t="str">
        <f ca="1">IFERROR(INDEX(UNSPSCDes,MATCH(INDIRECT(ADDRESS(ROW(),COLUMN()-1,4)),UNSPSCCode,0)),IF(INDIRECT(ADDRESS(ROW(),COLUMN()-1,4))="12161902","Surfactantes detergentes",""))</f>
        <v>Surfactantes detergentes</v>
      </c>
      <c r="C97" s="95" t="str">
        <f>IFERROR(VLOOKUP("GAL",'Informacion '!P:Q,2,FALSE),"")</f>
        <v>Galón</v>
      </c>
      <c r="D97" s="94">
        <v>18</v>
      </c>
      <c r="E97" s="84">
        <v>806</v>
      </c>
      <c r="F97" s="83">
        <f t="shared" ca="1" si="2"/>
        <v>14508</v>
      </c>
    </row>
    <row r="98" spans="1:10" ht="14.1" customHeight="1" x14ac:dyDescent="0.25">
      <c r="E98" s="96" t="s">
        <v>7213</v>
      </c>
      <c r="F98" s="87">
        <f ca="1">SUM(Table5[MONTO TOTAL ESTIMADO])</f>
        <v>2246822.3000000003</v>
      </c>
      <c r="H98" s="39" t="str">
        <f>C47</f>
        <v>Bienes</v>
      </c>
      <c r="I98" s="39" t="str">
        <f>E47</f>
        <v>No</v>
      </c>
      <c r="J98" s="39" t="str">
        <f>D47</f>
        <v>Comparacion de Precios</v>
      </c>
    </row>
    <row r="100" spans="1:10" ht="33.950000000000003" customHeight="1" x14ac:dyDescent="0.25">
      <c r="A100" s="77" t="s">
        <v>17233</v>
      </c>
      <c r="B100" s="77" t="s">
        <v>4237</v>
      </c>
      <c r="C100" s="77" t="s">
        <v>4743</v>
      </c>
      <c r="D100" s="77" t="s">
        <v>9891</v>
      </c>
      <c r="E100" s="77" t="s">
        <v>3089</v>
      </c>
      <c r="F100" s="77" t="s">
        <v>18141</v>
      </c>
    </row>
    <row r="101" spans="1:10" ht="14.1" customHeight="1" x14ac:dyDescent="0.25">
      <c r="A101" s="79" t="s">
        <v>14765</v>
      </c>
      <c r="B101" s="79" t="s">
        <v>2588</v>
      </c>
      <c r="C101" s="79" t="s">
        <v>17215</v>
      </c>
      <c r="D101" s="79" t="s">
        <v>15249</v>
      </c>
      <c r="E101" s="79" t="s">
        <v>18247</v>
      </c>
      <c r="F101" s="79"/>
    </row>
    <row r="102" spans="1:10" ht="14.1" customHeight="1" x14ac:dyDescent="0.25">
      <c r="A102" s="2" t="s">
        <v>6643</v>
      </c>
      <c r="B102" s="80" t="s">
        <v>1046</v>
      </c>
      <c r="C102" s="90">
        <v>43558</v>
      </c>
      <c r="D102" s="2" t="s">
        <v>59</v>
      </c>
      <c r="E102" s="92" t="s">
        <v>20066</v>
      </c>
      <c r="F102" s="93" t="s">
        <v>5684</v>
      </c>
    </row>
    <row r="103" spans="1:10" ht="14.1" customHeight="1" x14ac:dyDescent="0.25">
      <c r="A103" s="1"/>
      <c r="B103" s="80" t="s">
        <v>10788</v>
      </c>
      <c r="C103" s="91">
        <f>IF(C102="","",IF(AND(MONTH(C102)&gt;=1,MONTH(C102)&lt;=3),1,IF(AND(MONTH(C102)&gt;=4,MONTH(C102)&lt;=6),2,IF(AND(MONTH(C102)&gt;=7,MONTH(C102)&lt;=9),3,4))))</f>
        <v>2</v>
      </c>
      <c r="D103" s="1"/>
      <c r="E103" s="92" t="s">
        <v>14822</v>
      </c>
      <c r="F103" s="93" t="s">
        <v>17690</v>
      </c>
    </row>
    <row r="104" spans="1:10" ht="14.1" customHeight="1" x14ac:dyDescent="0.25">
      <c r="A104" s="1"/>
      <c r="B104" s="80" t="s">
        <v>13758</v>
      </c>
      <c r="C104" s="90">
        <v>43593</v>
      </c>
      <c r="D104" s="1"/>
      <c r="E104" s="92" t="s">
        <v>18636</v>
      </c>
      <c r="F104" s="93" t="s">
        <v>17690</v>
      </c>
    </row>
    <row r="105" spans="1:10" ht="14.1" customHeight="1" x14ac:dyDescent="0.25">
      <c r="A105" s="1"/>
      <c r="B105" s="80" t="s">
        <v>10788</v>
      </c>
      <c r="C105" s="91">
        <f>IF(C104="","",IF(AND(MONTH(C104)&gt;=1,MONTH(C104)&lt;=3),1,IF(AND(MONTH(C104)&gt;=4,MONTH(C104)&lt;=6),2,IF(AND(MONTH(C104)&gt;=7,MONTH(C104)&lt;=9),3,4))))</f>
        <v>2</v>
      </c>
      <c r="D105" s="1"/>
      <c r="E105" s="92" t="s">
        <v>15990</v>
      </c>
      <c r="F105" s="93"/>
    </row>
    <row r="107" spans="1:10" ht="14.1" customHeight="1" x14ac:dyDescent="0.25">
      <c r="A107" s="85" t="s">
        <v>15474</v>
      </c>
      <c r="B107" s="85" t="s">
        <v>5027</v>
      </c>
      <c r="C107" s="85" t="s">
        <v>17461</v>
      </c>
      <c r="D107" s="85" t="s">
        <v>3935</v>
      </c>
      <c r="E107" s="85" t="s">
        <v>10722</v>
      </c>
      <c r="F107" s="85" t="s">
        <v>18237</v>
      </c>
    </row>
    <row r="108" spans="1:10" ht="14.1" customHeight="1" x14ac:dyDescent="0.25">
      <c r="A108" s="94" t="s">
        <v>6439</v>
      </c>
      <c r="B108" s="82" t="str">
        <f t="shared" ref="B108:B122" ca="1" si="3">IFERROR(INDEX(UNSPSCDes,MATCH(INDIRECT(ADDRESS(ROW(),COLUMN()-1,4)),UNSPSCCode,0)),IF(INDIRECT(ADDRESS(ROW(),COLUMN()-1,4))="12161902","Surfactantes detergentes",""))</f>
        <v>Surfactantes detergentes</v>
      </c>
      <c r="C108" s="95" t="str">
        <f>IFERROR(VLOOKUP("GAL",'Informacion '!P:Q,2,FALSE),"")</f>
        <v>Galón</v>
      </c>
      <c r="D108" s="94">
        <v>80</v>
      </c>
      <c r="E108" s="84">
        <v>950</v>
      </c>
      <c r="F108" s="83">
        <f t="shared" ref="F108:F151" ca="1" si="4">INDIRECT(ADDRESS(ROW(),COLUMN()-2,4))*INDIRECT(ADDRESS(ROW(),COLUMN()-1,4))</f>
        <v>76000</v>
      </c>
    </row>
    <row r="109" spans="1:10" ht="14.1" customHeight="1" x14ac:dyDescent="0.25">
      <c r="A109" s="94" t="s">
        <v>6439</v>
      </c>
      <c r="B109" s="82" t="str">
        <f t="shared" ca="1" si="3"/>
        <v>Surfactantes detergentes</v>
      </c>
      <c r="C109" s="95" t="str">
        <f>IFERROR(VLOOKUP("L",'Informacion '!P:Q,2,FALSE),"")</f>
        <v>Litro</v>
      </c>
      <c r="D109" s="94">
        <v>350</v>
      </c>
      <c r="E109" s="84">
        <v>600</v>
      </c>
      <c r="F109" s="83">
        <f t="shared" ca="1" si="4"/>
        <v>210000</v>
      </c>
    </row>
    <row r="110" spans="1:10" ht="14.1" customHeight="1" x14ac:dyDescent="0.25">
      <c r="A110" s="94" t="s">
        <v>6439</v>
      </c>
      <c r="B110" s="82" t="str">
        <f t="shared" ca="1" si="3"/>
        <v>Surfactantes detergentes</v>
      </c>
      <c r="C110" s="95" t="str">
        <f>IFERROR(VLOOKUP("GAL",'Informacion '!P:Q,2,FALSE),"")</f>
        <v>Galón</v>
      </c>
      <c r="D110" s="94">
        <v>84</v>
      </c>
      <c r="E110" s="84">
        <v>2006</v>
      </c>
      <c r="F110" s="83">
        <f t="shared" ca="1" si="4"/>
        <v>168504</v>
      </c>
    </row>
    <row r="111" spans="1:10" ht="14.1" customHeight="1" x14ac:dyDescent="0.25">
      <c r="A111" s="94" t="s">
        <v>6439</v>
      </c>
      <c r="B111" s="82" t="str">
        <f t="shared" ca="1" si="3"/>
        <v>Surfactantes detergentes</v>
      </c>
      <c r="C111" s="95" t="str">
        <f>IFERROR(VLOOKUP("GAL",'Informacion '!P:Q,2,FALSE),"")</f>
        <v>Galón</v>
      </c>
      <c r="D111" s="94">
        <v>6</v>
      </c>
      <c r="E111" s="84">
        <v>2800</v>
      </c>
      <c r="F111" s="83">
        <f t="shared" ca="1" si="4"/>
        <v>16800</v>
      </c>
    </row>
    <row r="112" spans="1:10" ht="14.1" customHeight="1" x14ac:dyDescent="0.25">
      <c r="A112" s="94" t="s">
        <v>6439</v>
      </c>
      <c r="B112" s="82" t="str">
        <f t="shared" ca="1" si="3"/>
        <v>Surfactantes detergentes</v>
      </c>
      <c r="C112" s="95" t="str">
        <f>IFERROR(VLOOKUP("GAL",'Informacion '!P:Q,2,FALSE),"")</f>
        <v>Galón</v>
      </c>
      <c r="D112" s="94">
        <v>20</v>
      </c>
      <c r="E112" s="84">
        <v>5500</v>
      </c>
      <c r="F112" s="83">
        <f t="shared" ca="1" si="4"/>
        <v>110000</v>
      </c>
    </row>
    <row r="113" spans="1:6" ht="14.1" customHeight="1" x14ac:dyDescent="0.25">
      <c r="A113" s="94" t="s">
        <v>6439</v>
      </c>
      <c r="B113" s="82" t="str">
        <f t="shared" ca="1" si="3"/>
        <v>Surfactantes detergentes</v>
      </c>
      <c r="C113" s="95" t="str">
        <f>IFERROR(VLOOKUP("GAL",'Informacion '!P:Q,2,FALSE),"")</f>
        <v>Galón</v>
      </c>
      <c r="D113" s="94">
        <v>90</v>
      </c>
      <c r="E113" s="84">
        <v>320</v>
      </c>
      <c r="F113" s="83">
        <f t="shared" ca="1" si="4"/>
        <v>28800</v>
      </c>
    </row>
    <row r="114" spans="1:6" ht="14.1" customHeight="1" x14ac:dyDescent="0.25">
      <c r="A114" s="94" t="s">
        <v>6439</v>
      </c>
      <c r="B114" s="82" t="str">
        <f t="shared" ca="1" si="3"/>
        <v>Surfactantes detergentes</v>
      </c>
      <c r="C114" s="95" t="str">
        <f>IFERROR(VLOOKUP("GAL",'Informacion '!P:Q,2,FALSE),"")</f>
        <v>Galón</v>
      </c>
      <c r="D114" s="94">
        <v>350</v>
      </c>
      <c r="E114" s="84">
        <v>150</v>
      </c>
      <c r="F114" s="83">
        <f t="shared" ca="1" si="4"/>
        <v>52500</v>
      </c>
    </row>
    <row r="115" spans="1:6" ht="14.1" customHeight="1" x14ac:dyDescent="0.25">
      <c r="A115" s="94" t="s">
        <v>6439</v>
      </c>
      <c r="B115" s="82" t="str">
        <f t="shared" ca="1" si="3"/>
        <v>Surfactantes detergentes</v>
      </c>
      <c r="C115" s="95" t="str">
        <f>IFERROR(VLOOKUP("GAL",'Informacion '!P:Q,2,FALSE),"")</f>
        <v>Galón</v>
      </c>
      <c r="D115" s="94">
        <v>60</v>
      </c>
      <c r="E115" s="84">
        <v>320</v>
      </c>
      <c r="F115" s="83">
        <f t="shared" ca="1" si="4"/>
        <v>19200</v>
      </c>
    </row>
    <row r="116" spans="1:6" ht="14.1" customHeight="1" x14ac:dyDescent="0.25">
      <c r="A116" s="94" t="s">
        <v>6439</v>
      </c>
      <c r="B116" s="82" t="str">
        <f t="shared" ca="1" si="3"/>
        <v>Surfactantes detergentes</v>
      </c>
      <c r="C116" s="95" t="str">
        <f>IFERROR(VLOOKUP("UD",'Informacion '!P:Q,2,FALSE),"")</f>
        <v>Unidad</v>
      </c>
      <c r="D116" s="94">
        <v>1</v>
      </c>
      <c r="E116" s="84">
        <v>4900</v>
      </c>
      <c r="F116" s="83">
        <f t="shared" ca="1" si="4"/>
        <v>4900</v>
      </c>
    </row>
    <row r="117" spans="1:6" ht="14.1" customHeight="1" x14ac:dyDescent="0.25">
      <c r="A117" s="94" t="s">
        <v>6439</v>
      </c>
      <c r="B117" s="82" t="str">
        <f t="shared" ca="1" si="3"/>
        <v>Surfactantes detergentes</v>
      </c>
      <c r="C117" s="95" t="str">
        <f>IFERROR(VLOOKUP("CAJ",'Informacion '!P:Q,2,FALSE),"")</f>
        <v>Caja</v>
      </c>
      <c r="D117" s="94">
        <v>15</v>
      </c>
      <c r="E117" s="84">
        <v>750</v>
      </c>
      <c r="F117" s="83">
        <f t="shared" ca="1" si="4"/>
        <v>11250</v>
      </c>
    </row>
    <row r="118" spans="1:6" ht="14.1" customHeight="1" x14ac:dyDescent="0.25">
      <c r="A118" s="94" t="s">
        <v>6439</v>
      </c>
      <c r="B118" s="82" t="str">
        <f t="shared" ca="1" si="3"/>
        <v>Surfactantes detergentes</v>
      </c>
      <c r="C118" s="95" t="str">
        <f>IFERROR(VLOOKUP("GAL",'Informacion '!P:Q,2,FALSE),"")</f>
        <v>Galón</v>
      </c>
      <c r="D118" s="94">
        <v>40</v>
      </c>
      <c r="E118" s="84">
        <v>110</v>
      </c>
      <c r="F118" s="83">
        <f t="shared" ca="1" si="4"/>
        <v>4400</v>
      </c>
    </row>
    <row r="119" spans="1:6" ht="14.1" customHeight="1" x14ac:dyDescent="0.25">
      <c r="A119" s="94" t="s">
        <v>6439</v>
      </c>
      <c r="B119" s="82" t="str">
        <f t="shared" ca="1" si="3"/>
        <v>Surfactantes detergentes</v>
      </c>
      <c r="C119" s="95" t="str">
        <f>IFERROR(VLOOKUP("UD",'Informacion '!P:Q,2,FALSE),"")</f>
        <v>Unidad</v>
      </c>
      <c r="D119" s="94">
        <v>15</v>
      </c>
      <c r="E119" s="84">
        <v>750</v>
      </c>
      <c r="F119" s="83">
        <f t="shared" ca="1" si="4"/>
        <v>11250</v>
      </c>
    </row>
    <row r="120" spans="1:6" ht="14.1" customHeight="1" x14ac:dyDescent="0.25">
      <c r="A120" s="94" t="s">
        <v>6439</v>
      </c>
      <c r="B120" s="82" t="str">
        <f t="shared" ca="1" si="3"/>
        <v>Surfactantes detergentes</v>
      </c>
      <c r="C120" s="95" t="str">
        <f>IFERROR(VLOOKUP("UD",'Informacion '!P:Q,2,FALSE),"")</f>
        <v>Unidad</v>
      </c>
      <c r="D120" s="94">
        <v>30</v>
      </c>
      <c r="E120" s="84">
        <v>340</v>
      </c>
      <c r="F120" s="83">
        <f t="shared" ca="1" si="4"/>
        <v>10200</v>
      </c>
    </row>
    <row r="121" spans="1:6" ht="14.1" customHeight="1" x14ac:dyDescent="0.25">
      <c r="A121" s="94" t="s">
        <v>6439</v>
      </c>
      <c r="B121" s="82" t="str">
        <f t="shared" ca="1" si="3"/>
        <v>Surfactantes detergentes</v>
      </c>
      <c r="C121" s="95" t="str">
        <f>IFERROR(VLOOKUP("GAL",'Informacion '!P:Q,2,FALSE),"")</f>
        <v>Galón</v>
      </c>
      <c r="D121" s="94">
        <v>3</v>
      </c>
      <c r="E121" s="84">
        <v>450</v>
      </c>
      <c r="F121" s="83">
        <f t="shared" ca="1" si="4"/>
        <v>1350</v>
      </c>
    </row>
    <row r="122" spans="1:6" ht="14.1" customHeight="1" x14ac:dyDescent="0.25">
      <c r="A122" s="94" t="s">
        <v>6439</v>
      </c>
      <c r="B122" s="82" t="str">
        <f t="shared" ca="1" si="3"/>
        <v>Surfactantes detergentes</v>
      </c>
      <c r="C122" s="95" t="str">
        <f>IFERROR(VLOOKUP("GAL",'Informacion '!P:Q,2,FALSE),"")</f>
        <v>Galón</v>
      </c>
      <c r="D122" s="94">
        <v>3</v>
      </c>
      <c r="E122" s="84">
        <v>1600</v>
      </c>
      <c r="F122" s="83">
        <f t="shared" ca="1" si="4"/>
        <v>4800</v>
      </c>
    </row>
    <row r="123" spans="1:6" ht="14.1" customHeight="1" x14ac:dyDescent="0.25">
      <c r="A123" s="94" t="s">
        <v>3005</v>
      </c>
      <c r="B123" s="82" t="str">
        <f ca="1">IFERROR(INDEX(UNSPSCDes,MATCH(INDIRECT(ADDRESS(ROW(),COLUMN()-1,4)),UNSPSCCode,0)),IF(INDIRECT(ADDRESS(ROW(),COLUMN()-1,4))="47121603","Brilladoras de pisos",""))</f>
        <v>Brilladoras de pisos</v>
      </c>
      <c r="C123" s="95" t="str">
        <f>IFERROR(VLOOKUP("GAL",'Informacion '!P:Q,2,FALSE),"")</f>
        <v>Galón</v>
      </c>
      <c r="D123" s="94">
        <v>80</v>
      </c>
      <c r="E123" s="84">
        <v>340</v>
      </c>
      <c r="F123" s="83">
        <f t="shared" ca="1" si="4"/>
        <v>27200</v>
      </c>
    </row>
    <row r="124" spans="1:6" ht="14.1" customHeight="1" x14ac:dyDescent="0.25">
      <c r="A124" s="94" t="s">
        <v>6439</v>
      </c>
      <c r="B124" s="82" t="str">
        <f ca="1">IFERROR(INDEX(UNSPSCDes,MATCH(INDIRECT(ADDRESS(ROW(),COLUMN()-1,4)),UNSPSCCode,0)),IF(INDIRECT(ADDRESS(ROW(),COLUMN()-1,4))="12161902","Surfactantes detergentes",""))</f>
        <v>Surfactantes detergentes</v>
      </c>
      <c r="C124" s="95" t="str">
        <f>IFERROR(VLOOKUP("GAL",'Informacion '!P:Q,2,FALSE),"")</f>
        <v>Galón</v>
      </c>
      <c r="D124" s="94">
        <v>30</v>
      </c>
      <c r="E124" s="84">
        <v>850</v>
      </c>
      <c r="F124" s="83">
        <f t="shared" ca="1" si="4"/>
        <v>25500</v>
      </c>
    </row>
    <row r="125" spans="1:6" ht="14.1" customHeight="1" x14ac:dyDescent="0.25">
      <c r="A125" s="94" t="s">
        <v>6439</v>
      </c>
      <c r="B125" s="82" t="str">
        <f ca="1">IFERROR(INDEX(UNSPSCDes,MATCH(INDIRECT(ADDRESS(ROW(),COLUMN()-1,4)),UNSPSCCode,0)),IF(INDIRECT(ADDRESS(ROW(),COLUMN()-1,4))="12161902","Surfactantes detergentes",""))</f>
        <v>Surfactantes detergentes</v>
      </c>
      <c r="C125" s="95" t="str">
        <f>IFERROR(VLOOKUP("GAL",'Informacion '!P:Q,2,FALSE),"")</f>
        <v>Galón</v>
      </c>
      <c r="D125" s="94">
        <v>30</v>
      </c>
      <c r="E125" s="84">
        <v>325</v>
      </c>
      <c r="F125" s="83">
        <f t="shared" ca="1" si="4"/>
        <v>9750</v>
      </c>
    </row>
    <row r="126" spans="1:6" ht="14.1" customHeight="1" x14ac:dyDescent="0.25">
      <c r="A126" s="94" t="s">
        <v>6439</v>
      </c>
      <c r="B126" s="82" t="str">
        <f ca="1">IFERROR(INDEX(UNSPSCDes,MATCH(INDIRECT(ADDRESS(ROW(),COLUMN()-1,4)),UNSPSCCode,0)),IF(INDIRECT(ADDRESS(ROW(),COLUMN()-1,4))="12161902","Surfactantes detergentes",""))</f>
        <v>Surfactantes detergentes</v>
      </c>
      <c r="C126" s="95" t="str">
        <f>IFERROR(VLOOKUP("GAL",'Informacion '!P:Q,2,FALSE),"")</f>
        <v>Galón</v>
      </c>
      <c r="D126" s="94">
        <v>50</v>
      </c>
      <c r="E126" s="84">
        <v>3339.4</v>
      </c>
      <c r="F126" s="83">
        <f t="shared" ca="1" si="4"/>
        <v>166970</v>
      </c>
    </row>
    <row r="127" spans="1:6" ht="14.1" customHeight="1" x14ac:dyDescent="0.25">
      <c r="A127" s="94" t="s">
        <v>6439</v>
      </c>
      <c r="B127" s="82" t="str">
        <f ca="1">IFERROR(INDEX(UNSPSCDes,MATCH(INDIRECT(ADDRESS(ROW(),COLUMN()-1,4)),UNSPSCCode,0)),IF(INDIRECT(ADDRESS(ROW(),COLUMN()-1,4))="12161902","Surfactantes detergentes",""))</f>
        <v>Surfactantes detergentes</v>
      </c>
      <c r="C127" s="95" t="str">
        <f>IFERROR(VLOOKUP("CAJ",'Informacion '!P:Q,2,FALSE),"")</f>
        <v>Caja</v>
      </c>
      <c r="D127" s="94">
        <v>25</v>
      </c>
      <c r="E127" s="84">
        <v>3280.4</v>
      </c>
      <c r="F127" s="83">
        <f t="shared" ca="1" si="4"/>
        <v>82010</v>
      </c>
    </row>
    <row r="128" spans="1:6" ht="14.1" customHeight="1" x14ac:dyDescent="0.25">
      <c r="A128" s="94" t="s">
        <v>6439</v>
      </c>
      <c r="B128" s="82" t="str">
        <f ca="1">IFERROR(INDEX(UNSPSCDes,MATCH(INDIRECT(ADDRESS(ROW(),COLUMN()-1,4)),UNSPSCCode,0)),IF(INDIRECT(ADDRESS(ROW(),COLUMN()-1,4))="12161902","Surfactantes detergentes",""))</f>
        <v>Surfactantes detergentes</v>
      </c>
      <c r="C128" s="95" t="str">
        <f>IFERROR(VLOOKUP("CAJ",'Informacion '!P:Q,2,FALSE),"")</f>
        <v>Caja</v>
      </c>
      <c r="D128" s="94">
        <v>85</v>
      </c>
      <c r="E128" s="84">
        <v>2800</v>
      </c>
      <c r="F128" s="83">
        <f t="shared" ca="1" si="4"/>
        <v>238000</v>
      </c>
    </row>
    <row r="129" spans="1:6" ht="14.1" customHeight="1" x14ac:dyDescent="0.25">
      <c r="A129" s="94" t="s">
        <v>3074</v>
      </c>
      <c r="B129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29" s="95" t="str">
        <f>IFERROR(VLOOKUP("UD",'Informacion '!P:Q,2,FALSE),"")</f>
        <v>Unidad</v>
      </c>
      <c r="D129" s="94">
        <v>50</v>
      </c>
      <c r="E129" s="84">
        <v>3872</v>
      </c>
      <c r="F129" s="83">
        <f t="shared" ca="1" si="4"/>
        <v>193600</v>
      </c>
    </row>
    <row r="130" spans="1:6" ht="14.1" customHeight="1" x14ac:dyDescent="0.25">
      <c r="A130" s="94" t="s">
        <v>3074</v>
      </c>
      <c r="B130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30" s="95" t="str">
        <f>IFERROR(VLOOKUP("UD",'Informacion '!P:Q,2,FALSE),"")</f>
        <v>Unidad</v>
      </c>
      <c r="D130" s="94">
        <v>7</v>
      </c>
      <c r="E130" s="84">
        <v>19000</v>
      </c>
      <c r="F130" s="83">
        <f t="shared" ca="1" si="4"/>
        <v>133000</v>
      </c>
    </row>
    <row r="131" spans="1:6" ht="14.1" customHeight="1" x14ac:dyDescent="0.25">
      <c r="A131" s="94" t="s">
        <v>6439</v>
      </c>
      <c r="B131" s="82" t="str">
        <f ca="1">IFERROR(INDEX(UNSPSCDes,MATCH(INDIRECT(ADDRESS(ROW(),COLUMN()-1,4)),UNSPSCCode,0)),IF(INDIRECT(ADDRESS(ROW(),COLUMN()-1,4))="12161902","Surfactantes detergentes",""))</f>
        <v>Surfactantes detergentes</v>
      </c>
      <c r="C131" s="95" t="str">
        <f>IFERROR(VLOOKUP("UD",'Informacion '!P:Q,2,FALSE),"")</f>
        <v>Unidad</v>
      </c>
      <c r="D131" s="94">
        <v>24</v>
      </c>
      <c r="E131" s="84">
        <v>600</v>
      </c>
      <c r="F131" s="83">
        <f t="shared" ca="1" si="4"/>
        <v>14400</v>
      </c>
    </row>
    <row r="132" spans="1:6" ht="14.1" customHeight="1" x14ac:dyDescent="0.25">
      <c r="A132" s="94" t="s">
        <v>5571</v>
      </c>
      <c r="B132" s="82" t="str">
        <f ca="1">IFERROR(INDEX(UNSPSCDes,MATCH(INDIRECT(ADDRESS(ROW(),COLUMN()-1,4)),UNSPSCCode,0)),IF(INDIRECT(ADDRESS(ROW(),COLUMN()-1,4))="42271802","Nebulizadores o accesorios",""))</f>
        <v>Nebulizadores o accesorios</v>
      </c>
      <c r="C132" s="95" t="str">
        <f>IFERROR(VLOOKUP("UD",'Informacion '!P:Q,2,FALSE),"")</f>
        <v>Unidad</v>
      </c>
      <c r="D132" s="94">
        <v>3</v>
      </c>
      <c r="E132" s="84">
        <v>45000</v>
      </c>
      <c r="F132" s="83">
        <f t="shared" ca="1" si="4"/>
        <v>135000</v>
      </c>
    </row>
    <row r="133" spans="1:6" ht="14.1" customHeight="1" x14ac:dyDescent="0.25">
      <c r="A133" s="94" t="s">
        <v>16072</v>
      </c>
      <c r="B133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33" s="95" t="str">
        <f>IFERROR(VLOOKUP("GAL",'Informacion '!P:Q,2,FALSE),"")</f>
        <v>Galón</v>
      </c>
      <c r="D133" s="94">
        <v>6</v>
      </c>
      <c r="E133" s="84">
        <v>789.98</v>
      </c>
      <c r="F133" s="83">
        <f t="shared" ca="1" si="4"/>
        <v>4739.88</v>
      </c>
    </row>
    <row r="134" spans="1:6" ht="14.1" customHeight="1" x14ac:dyDescent="0.25">
      <c r="A134" s="94" t="s">
        <v>19401</v>
      </c>
      <c r="B134" s="82" t="str">
        <f ca="1">IFERROR(INDEX(UNSPSCDes,MATCH(INDIRECT(ADDRESS(ROW(),COLUMN()-1,4)),UNSPSCCode,0)),IF(INDIRECT(ADDRESS(ROW(),COLUMN()-1,4))="42312311","Kits de desinfectantes",""))</f>
        <v>Kits de desinfectantes</v>
      </c>
      <c r="C134" s="95" t="str">
        <f>IFERROR(VLOOKUP("GAL",'Informacion '!P:Q,2,FALSE),"")</f>
        <v>Galón</v>
      </c>
      <c r="D134" s="94">
        <v>30</v>
      </c>
      <c r="E134" s="84">
        <v>987.78</v>
      </c>
      <c r="F134" s="83">
        <f t="shared" ca="1" si="4"/>
        <v>29633.399999999998</v>
      </c>
    </row>
    <row r="135" spans="1:6" ht="14.1" customHeight="1" x14ac:dyDescent="0.25">
      <c r="A135" s="94" t="s">
        <v>6439</v>
      </c>
      <c r="B135" s="82" t="str">
        <f ca="1">IFERROR(INDEX(UNSPSCDes,MATCH(INDIRECT(ADDRESS(ROW(),COLUMN()-1,4)),UNSPSCCode,0)),IF(INDIRECT(ADDRESS(ROW(),COLUMN()-1,4))="12161902","Surfactantes detergentes",""))</f>
        <v>Surfactantes detergentes</v>
      </c>
      <c r="C135" s="95" t="str">
        <f>IFERROR(VLOOKUP("GAL",'Informacion '!P:Q,2,FALSE),"")</f>
        <v>Galón</v>
      </c>
      <c r="D135" s="94">
        <v>6</v>
      </c>
      <c r="E135" s="84">
        <v>1054.25</v>
      </c>
      <c r="F135" s="83">
        <f t="shared" ca="1" si="4"/>
        <v>6325.5</v>
      </c>
    </row>
    <row r="136" spans="1:6" ht="14.1" customHeight="1" x14ac:dyDescent="0.25">
      <c r="A136" s="94" t="s">
        <v>19401</v>
      </c>
      <c r="B136" s="82" t="str">
        <f ca="1">IFERROR(INDEX(UNSPSCDes,MATCH(INDIRECT(ADDRESS(ROW(),COLUMN()-1,4)),UNSPSCCode,0)),IF(INDIRECT(ADDRESS(ROW(),COLUMN()-1,4))="42312311","Kits de desinfectantes",""))</f>
        <v>Kits de desinfectantes</v>
      </c>
      <c r="C136" s="95" t="str">
        <f>IFERROR(VLOOKUP("GAL",'Informacion '!P:Q,2,FALSE),"")</f>
        <v>Galón</v>
      </c>
      <c r="D136" s="94">
        <v>6</v>
      </c>
      <c r="E136" s="84">
        <v>684.72</v>
      </c>
      <c r="F136" s="83">
        <f t="shared" ca="1" si="4"/>
        <v>4108.32</v>
      </c>
    </row>
    <row r="137" spans="1:6" ht="14.1" customHeight="1" x14ac:dyDescent="0.25">
      <c r="A137" s="94" t="s">
        <v>19401</v>
      </c>
      <c r="B137" s="82" t="str">
        <f ca="1">IFERROR(INDEX(UNSPSCDes,MATCH(INDIRECT(ADDRESS(ROW(),COLUMN()-1,4)),UNSPSCCode,0)),IF(INDIRECT(ADDRESS(ROW(),COLUMN()-1,4))="42312311","Kits de desinfectantes",""))</f>
        <v>Kits de desinfectantes</v>
      </c>
      <c r="C137" s="95" t="str">
        <f>IFERROR(VLOOKUP("GAL",'Informacion '!P:Q,2,FALSE),"")</f>
        <v>Galón</v>
      </c>
      <c r="D137" s="94">
        <v>30</v>
      </c>
      <c r="E137" s="84">
        <v>1002.82</v>
      </c>
      <c r="F137" s="83">
        <f t="shared" ca="1" si="4"/>
        <v>30084.600000000002</v>
      </c>
    </row>
    <row r="138" spans="1:6" ht="14.1" customHeight="1" x14ac:dyDescent="0.25">
      <c r="A138" s="94" t="s">
        <v>19401</v>
      </c>
      <c r="B138" s="82" t="str">
        <f ca="1">IFERROR(INDEX(UNSPSCDes,MATCH(INDIRECT(ADDRESS(ROW(),COLUMN()-1,4)),UNSPSCCode,0)),IF(INDIRECT(ADDRESS(ROW(),COLUMN()-1,4))="42312311","Kits de desinfectantes",""))</f>
        <v>Kits de desinfectantes</v>
      </c>
      <c r="C138" s="95" t="str">
        <f>IFERROR(VLOOKUP("GAL",'Informacion '!P:Q,2,FALSE),"")</f>
        <v>Galón</v>
      </c>
      <c r="D138" s="94">
        <v>5</v>
      </c>
      <c r="E138" s="84">
        <v>850</v>
      </c>
      <c r="F138" s="83">
        <f t="shared" ca="1" si="4"/>
        <v>4250</v>
      </c>
    </row>
    <row r="139" spans="1:6" ht="14.1" customHeight="1" x14ac:dyDescent="0.25">
      <c r="A139" s="94" t="s">
        <v>11659</v>
      </c>
      <c r="B139" s="82" t="str">
        <f ca="1">IFERROR(INDEX(UNSPSCDes,MATCH(INDIRECT(ADDRESS(ROW(),COLUMN()-1,4)),UNSPSCCode,0)),IF(INDIRECT(ADDRESS(ROW(),COLUMN()-1,4))="47131810","Productos para el lavaplatos",""))</f>
        <v>Productos para el lavaplatos</v>
      </c>
      <c r="C139" s="95" t="str">
        <f>IFERROR(VLOOKUP("GAL",'Informacion '!P:Q,2,FALSE),"")</f>
        <v>Galón</v>
      </c>
      <c r="D139" s="94">
        <v>2</v>
      </c>
      <c r="E139" s="84">
        <v>1282</v>
      </c>
      <c r="F139" s="83">
        <f t="shared" ca="1" si="4"/>
        <v>2564</v>
      </c>
    </row>
    <row r="140" spans="1:6" ht="14.1" customHeight="1" x14ac:dyDescent="0.25">
      <c r="A140" s="94" t="s">
        <v>6439</v>
      </c>
      <c r="B140" s="82" t="str">
        <f ca="1">IFERROR(INDEX(UNSPSCDes,MATCH(INDIRECT(ADDRESS(ROW(),COLUMN()-1,4)),UNSPSCCode,0)),IF(INDIRECT(ADDRESS(ROW(),COLUMN()-1,4))="12161902","Surfactantes detergentes",""))</f>
        <v>Surfactantes detergentes</v>
      </c>
      <c r="C140" s="95" t="str">
        <f>IFERROR(VLOOKUP("GAL",'Informacion '!P:Q,2,FALSE),"")</f>
        <v>Galón</v>
      </c>
      <c r="D140" s="94">
        <v>3</v>
      </c>
      <c r="E140" s="84">
        <v>580.20000000000005</v>
      </c>
      <c r="F140" s="83">
        <f t="shared" ca="1" si="4"/>
        <v>1740.6000000000001</v>
      </c>
    </row>
    <row r="141" spans="1:6" ht="14.1" customHeight="1" x14ac:dyDescent="0.25">
      <c r="A141" s="94" t="s">
        <v>19401</v>
      </c>
      <c r="B141" s="82" t="str">
        <f ca="1">IFERROR(INDEX(UNSPSCDes,MATCH(INDIRECT(ADDRESS(ROW(),COLUMN()-1,4)),UNSPSCCode,0)),IF(INDIRECT(ADDRESS(ROW(),COLUMN()-1,4))="42312311","Kits de desinfectantes",""))</f>
        <v>Kits de desinfectantes</v>
      </c>
      <c r="C141" s="95" t="str">
        <f>IFERROR(VLOOKUP("GAL",'Informacion '!P:Q,2,FALSE),"")</f>
        <v>Galón</v>
      </c>
      <c r="D141" s="94">
        <v>6</v>
      </c>
      <c r="E141" s="84">
        <v>849.8</v>
      </c>
      <c r="F141" s="83">
        <f t="shared" ca="1" si="4"/>
        <v>5098.7999999999993</v>
      </c>
    </row>
    <row r="142" spans="1:6" ht="14.1" customHeight="1" x14ac:dyDescent="0.25">
      <c r="A142" s="94" t="s">
        <v>3373</v>
      </c>
      <c r="B142" s="82" t="str">
        <f ca="1">IFERROR(INDEX(UNSPSCDes,MATCH(INDIRECT(ADDRESS(ROW(),COLUMN()-1,4)),UNSPSCCode,0)),IF(INDIRECT(ADDRESS(ROW(),COLUMN()-1,4))="41104202","Equipos de deionización o desmineralización",""))</f>
        <v>Equipos de deionización o desmineralización</v>
      </c>
      <c r="C142" s="95" t="str">
        <f>IFERROR(VLOOKUP("GAL",'Informacion '!P:Q,2,FALSE),"")</f>
        <v>Galón</v>
      </c>
      <c r="D142" s="94">
        <v>1</v>
      </c>
      <c r="E142" s="84">
        <v>38876</v>
      </c>
      <c r="F142" s="83">
        <f t="shared" ca="1" si="4"/>
        <v>38876</v>
      </c>
    </row>
    <row r="143" spans="1:6" ht="14.1" customHeight="1" x14ac:dyDescent="0.25">
      <c r="A143" s="94" t="s">
        <v>6439</v>
      </c>
      <c r="B143" s="82" t="str">
        <f ca="1">IFERROR(INDEX(UNSPSCDes,MATCH(INDIRECT(ADDRESS(ROW(),COLUMN()-1,4)),UNSPSCCode,0)),IF(INDIRECT(ADDRESS(ROW(),COLUMN()-1,4))="12161902","Surfactantes detergentes",""))</f>
        <v>Surfactantes detergentes</v>
      </c>
      <c r="C143" s="95" t="str">
        <f>IFERROR(VLOOKUP("GAL",'Informacion '!P:Q,2,FALSE),"")</f>
        <v>Galón</v>
      </c>
      <c r="D143" s="94">
        <v>1</v>
      </c>
      <c r="E143" s="84">
        <v>22881</v>
      </c>
      <c r="F143" s="83">
        <f t="shared" ca="1" si="4"/>
        <v>22881</v>
      </c>
    </row>
    <row r="144" spans="1:6" ht="14.1" customHeight="1" x14ac:dyDescent="0.25">
      <c r="A144" s="94" t="s">
        <v>14959</v>
      </c>
      <c r="B144" s="82" t="str">
        <f ca="1">IFERROR(INDEX(UNSPSCDes,MATCH(INDIRECT(ADDRESS(ROW(),COLUMN()-1,4)),UNSPSCCode,0)),IF(INDIRECT(ADDRESS(ROW(),COLUMN()-1,4))="41104211","Suavizantes",""))</f>
        <v>Suavizantes</v>
      </c>
      <c r="C144" s="95" t="str">
        <f>IFERROR(VLOOKUP("GAL",'Informacion '!P:Q,2,FALSE),"")</f>
        <v>Galón</v>
      </c>
      <c r="D144" s="94">
        <v>1</v>
      </c>
      <c r="E144" s="84">
        <v>31348</v>
      </c>
      <c r="F144" s="83">
        <f t="shared" ca="1" si="4"/>
        <v>31348</v>
      </c>
    </row>
    <row r="145" spans="1:10" ht="14.1" customHeight="1" x14ac:dyDescent="0.25">
      <c r="A145" s="94" t="s">
        <v>15967</v>
      </c>
      <c r="B145" s="82" t="str">
        <f ca="1">IFERROR(INDEX(UNSPSCDes,MATCH(INDIRECT(ADDRESS(ROW(),COLUMN()-1,4)),UNSPSCCode,0)),IF(INDIRECT(ADDRESS(ROW(),COLUMN()-1,4))="26121614","Cable de construcción",""))</f>
        <v>Cable de construcción</v>
      </c>
      <c r="C145" s="95" t="str">
        <f>IFERROR(VLOOKUP("GAL",'Informacion '!P:Q,2,FALSE),"")</f>
        <v>Galón</v>
      </c>
      <c r="D145" s="94">
        <v>1</v>
      </c>
      <c r="E145" s="84">
        <v>28141</v>
      </c>
      <c r="F145" s="83">
        <f t="shared" ca="1" si="4"/>
        <v>28141</v>
      </c>
    </row>
    <row r="146" spans="1:10" ht="14.1" customHeight="1" x14ac:dyDescent="0.25">
      <c r="A146" s="94" t="s">
        <v>2968</v>
      </c>
      <c r="B146" s="82" t="str">
        <f ca="1">IFERROR(INDEX(UNSPSCDes,MATCH(INDIRECT(ADDRESS(ROW(),COLUMN()-1,4)),UNSPSCCode,0)),IF(INDIRECT(ADDRESS(ROW(),COLUMN()-1,4))="73141703","Servicios de fabricación de tejidos de punto",""))</f>
        <v>Servicios de fabricación de tejidos de punto</v>
      </c>
      <c r="C146" s="95" t="str">
        <f>IFERROR(VLOOKUP("GAL",'Informacion '!P:Q,2,FALSE),"")</f>
        <v>Galón</v>
      </c>
      <c r="D146" s="94">
        <v>1</v>
      </c>
      <c r="E146" s="84">
        <v>8861</v>
      </c>
      <c r="F146" s="83">
        <f t="shared" ca="1" si="4"/>
        <v>8861</v>
      </c>
    </row>
    <row r="147" spans="1:10" ht="14.1" customHeight="1" x14ac:dyDescent="0.25">
      <c r="A147" s="94" t="s">
        <v>6921</v>
      </c>
      <c r="B147" s="82" t="str">
        <f ca="1">IFERROR(INDEX(UNSPSCDes,MATCH(INDIRECT(ADDRESS(ROW(),COLUMN()-1,4)),UNSPSCCode,0)),IF(INDIRECT(ADDRESS(ROW(),COLUMN()-1,4))="12141901","Cloro cl",""))</f>
        <v>Cloro cl</v>
      </c>
      <c r="C147" s="95" t="str">
        <f>IFERROR(VLOOKUP("GAL",'Informacion '!P:Q,2,FALSE),"")</f>
        <v>Galón</v>
      </c>
      <c r="D147" s="94">
        <v>18</v>
      </c>
      <c r="E147" s="84">
        <v>3630</v>
      </c>
      <c r="F147" s="83">
        <f t="shared" ca="1" si="4"/>
        <v>65340</v>
      </c>
    </row>
    <row r="148" spans="1:10" ht="14.1" customHeight="1" x14ac:dyDescent="0.25">
      <c r="A148" s="94" t="s">
        <v>6439</v>
      </c>
      <c r="B148" s="82" t="str">
        <f ca="1">IFERROR(INDEX(UNSPSCDes,MATCH(INDIRECT(ADDRESS(ROW(),COLUMN()-1,4)),UNSPSCCode,0)),IF(INDIRECT(ADDRESS(ROW(),COLUMN()-1,4))="12161902","Surfactantes detergentes",""))</f>
        <v>Surfactantes detergentes</v>
      </c>
      <c r="C148" s="95" t="str">
        <f>IFERROR(VLOOKUP("UD",'Informacion '!P:Q,2,FALSE),"")</f>
        <v>Unidad</v>
      </c>
      <c r="D148" s="94">
        <v>18</v>
      </c>
      <c r="E148" s="84">
        <v>2081</v>
      </c>
      <c r="F148" s="83">
        <f t="shared" ca="1" si="4"/>
        <v>37458</v>
      </c>
    </row>
    <row r="149" spans="1:10" ht="14.1" customHeight="1" x14ac:dyDescent="0.25">
      <c r="A149" s="94" t="s">
        <v>14959</v>
      </c>
      <c r="B149" s="82" t="str">
        <f ca="1">IFERROR(INDEX(UNSPSCDes,MATCH(INDIRECT(ADDRESS(ROW(),COLUMN()-1,4)),UNSPSCCode,0)),IF(INDIRECT(ADDRESS(ROW(),COLUMN()-1,4))="41104211","Suavizantes",""))</f>
        <v>Suavizantes</v>
      </c>
      <c r="C149" s="95" t="str">
        <f>IFERROR(VLOOKUP("UD",'Informacion '!P:Q,2,FALSE),"")</f>
        <v>Unidad</v>
      </c>
      <c r="D149" s="94">
        <v>18</v>
      </c>
      <c r="E149" s="84">
        <v>2850</v>
      </c>
      <c r="F149" s="83">
        <f t="shared" ca="1" si="4"/>
        <v>51300</v>
      </c>
    </row>
    <row r="150" spans="1:10" ht="14.1" customHeight="1" x14ac:dyDescent="0.25">
      <c r="A150" s="94" t="s">
        <v>15967</v>
      </c>
      <c r="B150" s="82" t="str">
        <f ca="1">IFERROR(INDEX(UNSPSCDes,MATCH(INDIRECT(ADDRESS(ROW(),COLUMN()-1,4)),UNSPSCCode,0)),IF(INDIRECT(ADDRESS(ROW(),COLUMN()-1,4))="26121614","Cable de construcción",""))</f>
        <v>Cable de construcción</v>
      </c>
      <c r="C150" s="95" t="str">
        <f>IFERROR(VLOOKUP("UD",'Informacion '!P:Q,2,FALSE),"")</f>
        <v>Unidad</v>
      </c>
      <c r="D150" s="94">
        <v>10</v>
      </c>
      <c r="E150" s="84">
        <v>2560</v>
      </c>
      <c r="F150" s="83">
        <f t="shared" ca="1" si="4"/>
        <v>25600</v>
      </c>
    </row>
    <row r="151" spans="1:10" ht="14.1" customHeight="1" x14ac:dyDescent="0.25">
      <c r="A151" s="94" t="s">
        <v>6439</v>
      </c>
      <c r="B151" s="82" t="str">
        <f ca="1">IFERROR(INDEX(UNSPSCDes,MATCH(INDIRECT(ADDRESS(ROW(),COLUMN()-1,4)),UNSPSCCode,0)),IF(INDIRECT(ADDRESS(ROW(),COLUMN()-1,4))="12161902","Surfactantes detergentes",""))</f>
        <v>Surfactantes detergentes</v>
      </c>
      <c r="C151" s="95" t="str">
        <f>IFERROR(VLOOKUP("UD",'Informacion '!P:Q,2,FALSE),"")</f>
        <v>Unidad</v>
      </c>
      <c r="D151" s="94">
        <v>18</v>
      </c>
      <c r="E151" s="84">
        <v>806</v>
      </c>
      <c r="F151" s="83">
        <f t="shared" ca="1" si="4"/>
        <v>14508</v>
      </c>
    </row>
    <row r="152" spans="1:10" ht="14.1" customHeight="1" x14ac:dyDescent="0.25">
      <c r="E152" s="96" t="s">
        <v>7213</v>
      </c>
      <c r="F152" s="87">
        <f ca="1">SUM(Table6[MONTO TOTAL ESTIMADO])</f>
        <v>2168242.1</v>
      </c>
      <c r="H152" s="39" t="str">
        <f>C101</f>
        <v>Bienes</v>
      </c>
      <c r="I152" s="39" t="str">
        <f>E101</f>
        <v>No</v>
      </c>
      <c r="J152" s="39" t="str">
        <f>D101</f>
        <v>Comparacion de Precios</v>
      </c>
    </row>
    <row r="154" spans="1:10" ht="33.950000000000003" customHeight="1" x14ac:dyDescent="0.25">
      <c r="A154" s="77" t="s">
        <v>17233</v>
      </c>
      <c r="B154" s="77" t="s">
        <v>4237</v>
      </c>
      <c r="C154" s="77" t="s">
        <v>4743</v>
      </c>
      <c r="D154" s="77" t="s">
        <v>9891</v>
      </c>
      <c r="E154" s="77" t="s">
        <v>3089</v>
      </c>
      <c r="F154" s="77" t="s">
        <v>18141</v>
      </c>
    </row>
    <row r="155" spans="1:10" ht="14.1" customHeight="1" x14ac:dyDescent="0.25">
      <c r="A155" s="79" t="s">
        <v>8237</v>
      </c>
      <c r="B155" s="79" t="s">
        <v>2588</v>
      </c>
      <c r="C155" s="79" t="s">
        <v>17215</v>
      </c>
      <c r="D155" s="79" t="s">
        <v>15249</v>
      </c>
      <c r="E155" s="79" t="s">
        <v>18247</v>
      </c>
      <c r="F155" s="79"/>
    </row>
    <row r="156" spans="1:10" ht="14.1" customHeight="1" x14ac:dyDescent="0.25">
      <c r="A156" s="2" t="s">
        <v>6643</v>
      </c>
      <c r="B156" s="80" t="s">
        <v>1046</v>
      </c>
      <c r="C156" s="90">
        <v>43649</v>
      </c>
      <c r="D156" s="2" t="s">
        <v>59</v>
      </c>
      <c r="E156" s="92" t="s">
        <v>20066</v>
      </c>
      <c r="F156" s="93"/>
    </row>
    <row r="157" spans="1:10" ht="14.1" customHeight="1" x14ac:dyDescent="0.25">
      <c r="A157" s="1"/>
      <c r="B157" s="80" t="s">
        <v>10788</v>
      </c>
      <c r="C157" s="91">
        <f>IF(C156="","",IF(AND(MONTH(C156)&gt;=1,MONTH(C156)&lt;=3),1,IF(AND(MONTH(C156)&gt;=4,MONTH(C156)&lt;=6),2,IF(AND(MONTH(C156)&gt;=7,MONTH(C156)&lt;=9),3,4))))</f>
        <v>3</v>
      </c>
      <c r="D157" s="1"/>
      <c r="E157" s="92" t="s">
        <v>14822</v>
      </c>
      <c r="F157" s="93"/>
    </row>
    <row r="158" spans="1:10" ht="14.1" customHeight="1" x14ac:dyDescent="0.25">
      <c r="A158" s="1"/>
      <c r="B158" s="80" t="s">
        <v>13758</v>
      </c>
      <c r="C158" s="90">
        <v>43712</v>
      </c>
      <c r="D158" s="1"/>
      <c r="E158" s="92" t="s">
        <v>18636</v>
      </c>
      <c r="F158" s="93"/>
    </row>
    <row r="159" spans="1:10" ht="14.1" customHeight="1" x14ac:dyDescent="0.25">
      <c r="A159" s="1"/>
      <c r="B159" s="80" t="s">
        <v>10788</v>
      </c>
      <c r="C159" s="91">
        <f>IF(C158="","",IF(AND(MONTH(C158)&gt;=1,MONTH(C158)&lt;=3),1,IF(AND(MONTH(C158)&gt;=4,MONTH(C158)&lt;=6),2,IF(AND(MONTH(C158)&gt;=7,MONTH(C158)&lt;=9),3,4))))</f>
        <v>3</v>
      </c>
      <c r="D159" s="1"/>
      <c r="E159" s="92" t="s">
        <v>15990</v>
      </c>
      <c r="F159" s="93"/>
    </row>
    <row r="161" spans="1:6" ht="14.1" customHeight="1" x14ac:dyDescent="0.25">
      <c r="A161" s="85" t="s">
        <v>15474</v>
      </c>
      <c r="B161" s="85" t="s">
        <v>5027</v>
      </c>
      <c r="C161" s="85" t="s">
        <v>17461</v>
      </c>
      <c r="D161" s="85" t="s">
        <v>3935</v>
      </c>
      <c r="E161" s="85" t="s">
        <v>10722</v>
      </c>
      <c r="F161" s="85" t="s">
        <v>18237</v>
      </c>
    </row>
    <row r="162" spans="1:6" ht="14.1" customHeight="1" x14ac:dyDescent="0.25">
      <c r="A162" s="94" t="s">
        <v>6439</v>
      </c>
      <c r="B162" s="82" t="str">
        <f t="shared" ref="B162:B176" ca="1" si="5">IFERROR(INDEX(UNSPSCDes,MATCH(INDIRECT(ADDRESS(ROW(),COLUMN()-1,4)),UNSPSCCode,0)),IF(INDIRECT(ADDRESS(ROW(),COLUMN()-1,4))="12161902","Surfactantes detergentes",""))</f>
        <v>Surfactantes detergentes</v>
      </c>
      <c r="C162" s="95" t="str">
        <f>IFERROR(VLOOKUP("GAL",'Informacion '!P:Q,2,FALSE),"")</f>
        <v>Galón</v>
      </c>
      <c r="D162" s="94">
        <v>80</v>
      </c>
      <c r="E162" s="84">
        <v>950</v>
      </c>
      <c r="F162" s="83">
        <f t="shared" ref="F162:F205" ca="1" si="6">INDIRECT(ADDRESS(ROW(),COLUMN()-2,4))*INDIRECT(ADDRESS(ROW(),COLUMN()-1,4))</f>
        <v>76000</v>
      </c>
    </row>
    <row r="163" spans="1:6" ht="14.1" customHeight="1" x14ac:dyDescent="0.25">
      <c r="A163" s="94" t="s">
        <v>6439</v>
      </c>
      <c r="B163" s="82" t="str">
        <f t="shared" ca="1" si="5"/>
        <v>Surfactantes detergentes</v>
      </c>
      <c r="C163" s="95" t="str">
        <f>IFERROR(VLOOKUP("L",'Informacion '!P:Q,2,FALSE),"")</f>
        <v>Litro</v>
      </c>
      <c r="D163" s="94">
        <v>350</v>
      </c>
      <c r="E163" s="84">
        <v>600</v>
      </c>
      <c r="F163" s="83">
        <f t="shared" ca="1" si="6"/>
        <v>210000</v>
      </c>
    </row>
    <row r="164" spans="1:6" ht="14.1" customHeight="1" x14ac:dyDescent="0.25">
      <c r="A164" s="94" t="s">
        <v>6439</v>
      </c>
      <c r="B164" s="82" t="str">
        <f t="shared" ca="1" si="5"/>
        <v>Surfactantes detergentes</v>
      </c>
      <c r="C164" s="95" t="str">
        <f>IFERROR(VLOOKUP("GAL",'Informacion '!P:Q,2,FALSE),"")</f>
        <v>Galón</v>
      </c>
      <c r="D164" s="94">
        <v>84</v>
      </c>
      <c r="E164" s="84">
        <v>2006</v>
      </c>
      <c r="F164" s="83">
        <f t="shared" ca="1" si="6"/>
        <v>168504</v>
      </c>
    </row>
    <row r="165" spans="1:6" ht="14.1" customHeight="1" x14ac:dyDescent="0.25">
      <c r="A165" s="94" t="s">
        <v>6439</v>
      </c>
      <c r="B165" s="82" t="str">
        <f t="shared" ca="1" si="5"/>
        <v>Surfactantes detergentes</v>
      </c>
      <c r="C165" s="95" t="str">
        <f>IFERROR(VLOOKUP("GAL",'Informacion '!P:Q,2,FALSE),"")</f>
        <v>Galón</v>
      </c>
      <c r="D165" s="94">
        <v>6</v>
      </c>
      <c r="E165" s="84">
        <v>2800</v>
      </c>
      <c r="F165" s="83">
        <f t="shared" ca="1" si="6"/>
        <v>16800</v>
      </c>
    </row>
    <row r="166" spans="1:6" ht="14.1" customHeight="1" x14ac:dyDescent="0.25">
      <c r="A166" s="94" t="s">
        <v>6439</v>
      </c>
      <c r="B166" s="82" t="str">
        <f t="shared" ca="1" si="5"/>
        <v>Surfactantes detergentes</v>
      </c>
      <c r="C166" s="95" t="str">
        <f>IFERROR(VLOOKUP("GAL",'Informacion '!P:Q,2,FALSE),"")</f>
        <v>Galón</v>
      </c>
      <c r="D166" s="94">
        <v>20</v>
      </c>
      <c r="E166" s="84">
        <v>5500</v>
      </c>
      <c r="F166" s="83">
        <f t="shared" ca="1" si="6"/>
        <v>110000</v>
      </c>
    </row>
    <row r="167" spans="1:6" ht="14.1" customHeight="1" x14ac:dyDescent="0.25">
      <c r="A167" s="94" t="s">
        <v>6439</v>
      </c>
      <c r="B167" s="82" t="str">
        <f t="shared" ca="1" si="5"/>
        <v>Surfactantes detergentes</v>
      </c>
      <c r="C167" s="95" t="str">
        <f>IFERROR(VLOOKUP("GAL",'Informacion '!P:Q,2,FALSE),"")</f>
        <v>Galón</v>
      </c>
      <c r="D167" s="94">
        <v>90</v>
      </c>
      <c r="E167" s="84">
        <v>320</v>
      </c>
      <c r="F167" s="83">
        <f t="shared" ca="1" si="6"/>
        <v>28800</v>
      </c>
    </row>
    <row r="168" spans="1:6" ht="14.1" customHeight="1" x14ac:dyDescent="0.25">
      <c r="A168" s="94" t="s">
        <v>6439</v>
      </c>
      <c r="B168" s="82" t="str">
        <f t="shared" ca="1" si="5"/>
        <v>Surfactantes detergentes</v>
      </c>
      <c r="C168" s="95" t="str">
        <f>IFERROR(VLOOKUP("GAL",'Informacion '!P:Q,2,FALSE),"")</f>
        <v>Galón</v>
      </c>
      <c r="D168" s="94">
        <v>350</v>
      </c>
      <c r="E168" s="84">
        <v>150</v>
      </c>
      <c r="F168" s="83">
        <f t="shared" ca="1" si="6"/>
        <v>52500</v>
      </c>
    </row>
    <row r="169" spans="1:6" ht="14.1" customHeight="1" x14ac:dyDescent="0.25">
      <c r="A169" s="94" t="s">
        <v>6439</v>
      </c>
      <c r="B169" s="82" t="str">
        <f t="shared" ca="1" si="5"/>
        <v>Surfactantes detergentes</v>
      </c>
      <c r="C169" s="95" t="str">
        <f>IFERROR(VLOOKUP("GAL",'Informacion '!P:Q,2,FALSE),"")</f>
        <v>Galón</v>
      </c>
      <c r="D169" s="94">
        <v>60</v>
      </c>
      <c r="E169" s="84">
        <v>320</v>
      </c>
      <c r="F169" s="83">
        <f t="shared" ca="1" si="6"/>
        <v>19200</v>
      </c>
    </row>
    <row r="170" spans="1:6" ht="14.1" customHeight="1" x14ac:dyDescent="0.25">
      <c r="A170" s="94" t="s">
        <v>6439</v>
      </c>
      <c r="B170" s="82" t="str">
        <f t="shared" ca="1" si="5"/>
        <v>Surfactantes detergentes</v>
      </c>
      <c r="C170" s="95" t="str">
        <f>IFERROR(VLOOKUP("UD",'Informacion '!P:Q,2,FALSE),"")</f>
        <v>Unidad</v>
      </c>
      <c r="D170" s="94">
        <v>1</v>
      </c>
      <c r="E170" s="84">
        <v>4900</v>
      </c>
      <c r="F170" s="83">
        <f t="shared" ca="1" si="6"/>
        <v>4900</v>
      </c>
    </row>
    <row r="171" spans="1:6" ht="14.1" customHeight="1" x14ac:dyDescent="0.25">
      <c r="A171" s="94" t="s">
        <v>6439</v>
      </c>
      <c r="B171" s="82" t="str">
        <f t="shared" ca="1" si="5"/>
        <v>Surfactantes detergentes</v>
      </c>
      <c r="C171" s="95" t="str">
        <f>IFERROR(VLOOKUP("CAJ",'Informacion '!P:Q,2,FALSE),"")</f>
        <v>Caja</v>
      </c>
      <c r="D171" s="94">
        <v>15</v>
      </c>
      <c r="E171" s="84">
        <v>750</v>
      </c>
      <c r="F171" s="83">
        <f t="shared" ca="1" si="6"/>
        <v>11250</v>
      </c>
    </row>
    <row r="172" spans="1:6" ht="14.1" customHeight="1" x14ac:dyDescent="0.25">
      <c r="A172" s="94" t="s">
        <v>6439</v>
      </c>
      <c r="B172" s="82" t="str">
        <f t="shared" ca="1" si="5"/>
        <v>Surfactantes detergentes</v>
      </c>
      <c r="C172" s="95" t="str">
        <f>IFERROR(VLOOKUP("GAL",'Informacion '!P:Q,2,FALSE),"")</f>
        <v>Galón</v>
      </c>
      <c r="D172" s="94">
        <v>40</v>
      </c>
      <c r="E172" s="84">
        <v>110</v>
      </c>
      <c r="F172" s="83">
        <f t="shared" ca="1" si="6"/>
        <v>4400</v>
      </c>
    </row>
    <row r="173" spans="1:6" ht="14.1" customHeight="1" x14ac:dyDescent="0.25">
      <c r="A173" s="94" t="s">
        <v>6439</v>
      </c>
      <c r="B173" s="82" t="str">
        <f t="shared" ca="1" si="5"/>
        <v>Surfactantes detergentes</v>
      </c>
      <c r="C173" s="95" t="str">
        <f>IFERROR(VLOOKUP("UD",'Informacion '!P:Q,2,FALSE),"")</f>
        <v>Unidad</v>
      </c>
      <c r="D173" s="94">
        <v>15</v>
      </c>
      <c r="E173" s="84">
        <v>750</v>
      </c>
      <c r="F173" s="83">
        <f t="shared" ca="1" si="6"/>
        <v>11250</v>
      </c>
    </row>
    <row r="174" spans="1:6" ht="14.1" customHeight="1" x14ac:dyDescent="0.25">
      <c r="A174" s="94" t="s">
        <v>6439</v>
      </c>
      <c r="B174" s="82" t="str">
        <f t="shared" ca="1" si="5"/>
        <v>Surfactantes detergentes</v>
      </c>
      <c r="C174" s="95" t="str">
        <f>IFERROR(VLOOKUP("UD",'Informacion '!P:Q,2,FALSE),"")</f>
        <v>Unidad</v>
      </c>
      <c r="D174" s="94">
        <v>30</v>
      </c>
      <c r="E174" s="84">
        <v>340</v>
      </c>
      <c r="F174" s="83">
        <f t="shared" ca="1" si="6"/>
        <v>10200</v>
      </c>
    </row>
    <row r="175" spans="1:6" ht="14.1" customHeight="1" x14ac:dyDescent="0.25">
      <c r="A175" s="94" t="s">
        <v>6439</v>
      </c>
      <c r="B175" s="82" t="str">
        <f t="shared" ca="1" si="5"/>
        <v>Surfactantes detergentes</v>
      </c>
      <c r="C175" s="95" t="str">
        <f>IFERROR(VLOOKUP("GAL",'Informacion '!P:Q,2,FALSE),"")</f>
        <v>Galón</v>
      </c>
      <c r="D175" s="94">
        <v>3</v>
      </c>
      <c r="E175" s="84">
        <v>450</v>
      </c>
      <c r="F175" s="83">
        <f t="shared" ca="1" si="6"/>
        <v>1350</v>
      </c>
    </row>
    <row r="176" spans="1:6" ht="14.1" customHeight="1" x14ac:dyDescent="0.25">
      <c r="A176" s="94" t="s">
        <v>6439</v>
      </c>
      <c r="B176" s="82" t="str">
        <f t="shared" ca="1" si="5"/>
        <v>Surfactantes detergentes</v>
      </c>
      <c r="C176" s="95" t="str">
        <f>IFERROR(VLOOKUP("GAL",'Informacion '!P:Q,2,FALSE),"")</f>
        <v>Galón</v>
      </c>
      <c r="D176" s="94">
        <v>3</v>
      </c>
      <c r="E176" s="84">
        <v>1600</v>
      </c>
      <c r="F176" s="83">
        <f t="shared" ca="1" si="6"/>
        <v>4800</v>
      </c>
    </row>
    <row r="177" spans="1:6" ht="14.1" customHeight="1" x14ac:dyDescent="0.25">
      <c r="A177" s="94" t="s">
        <v>3005</v>
      </c>
      <c r="B177" s="82" t="str">
        <f ca="1">IFERROR(INDEX(UNSPSCDes,MATCH(INDIRECT(ADDRESS(ROW(),COLUMN()-1,4)),UNSPSCCode,0)),IF(INDIRECT(ADDRESS(ROW(),COLUMN()-1,4))="47121603","Brilladoras de pisos",""))</f>
        <v>Brilladoras de pisos</v>
      </c>
      <c r="C177" s="95" t="str">
        <f>IFERROR(VLOOKUP("GAL",'Informacion '!P:Q,2,FALSE),"")</f>
        <v>Galón</v>
      </c>
      <c r="D177" s="94">
        <v>80</v>
      </c>
      <c r="E177" s="84">
        <v>340</v>
      </c>
      <c r="F177" s="83">
        <f t="shared" ca="1" si="6"/>
        <v>27200</v>
      </c>
    </row>
    <row r="178" spans="1:6" ht="14.1" customHeight="1" x14ac:dyDescent="0.25">
      <c r="A178" s="94" t="s">
        <v>6439</v>
      </c>
      <c r="B178" s="82" t="str">
        <f ca="1">IFERROR(INDEX(UNSPSCDes,MATCH(INDIRECT(ADDRESS(ROW(),COLUMN()-1,4)),UNSPSCCode,0)),IF(INDIRECT(ADDRESS(ROW(),COLUMN()-1,4))="12161902","Surfactantes detergentes",""))</f>
        <v>Surfactantes detergentes</v>
      </c>
      <c r="C178" s="95" t="str">
        <f>IFERROR(VLOOKUP("GAL",'Informacion '!P:Q,2,FALSE),"")</f>
        <v>Galón</v>
      </c>
      <c r="D178" s="94">
        <v>30</v>
      </c>
      <c r="E178" s="84">
        <v>850</v>
      </c>
      <c r="F178" s="83">
        <f t="shared" ca="1" si="6"/>
        <v>25500</v>
      </c>
    </row>
    <row r="179" spans="1:6" ht="14.1" customHeight="1" x14ac:dyDescent="0.25">
      <c r="A179" s="94" t="s">
        <v>6439</v>
      </c>
      <c r="B179" s="82" t="str">
        <f ca="1">IFERROR(INDEX(UNSPSCDes,MATCH(INDIRECT(ADDRESS(ROW(),COLUMN()-1,4)),UNSPSCCode,0)),IF(INDIRECT(ADDRESS(ROW(),COLUMN()-1,4))="12161902","Surfactantes detergentes",""))</f>
        <v>Surfactantes detergentes</v>
      </c>
      <c r="C179" s="95" t="str">
        <f>IFERROR(VLOOKUP("GAL",'Informacion '!P:Q,2,FALSE),"")</f>
        <v>Galón</v>
      </c>
      <c r="D179" s="94">
        <v>30</v>
      </c>
      <c r="E179" s="84">
        <v>850</v>
      </c>
      <c r="F179" s="83">
        <f t="shared" ca="1" si="6"/>
        <v>25500</v>
      </c>
    </row>
    <row r="180" spans="1:6" ht="14.1" customHeight="1" x14ac:dyDescent="0.25">
      <c r="A180" s="94" t="s">
        <v>6439</v>
      </c>
      <c r="B180" s="82" t="str">
        <f ca="1">IFERROR(INDEX(UNSPSCDes,MATCH(INDIRECT(ADDRESS(ROW(),COLUMN()-1,4)),UNSPSCCode,0)),IF(INDIRECT(ADDRESS(ROW(),COLUMN()-1,4))="12161902","Surfactantes detergentes",""))</f>
        <v>Surfactantes detergentes</v>
      </c>
      <c r="C180" s="95" t="str">
        <f>IFERROR(VLOOKUP("GAL",'Informacion '!P:Q,2,FALSE),"")</f>
        <v>Galón</v>
      </c>
      <c r="D180" s="94">
        <v>50</v>
      </c>
      <c r="E180" s="84">
        <v>325</v>
      </c>
      <c r="F180" s="83">
        <f t="shared" ca="1" si="6"/>
        <v>16250</v>
      </c>
    </row>
    <row r="181" spans="1:6" ht="14.1" customHeight="1" x14ac:dyDescent="0.25">
      <c r="A181" s="94" t="s">
        <v>6439</v>
      </c>
      <c r="B181" s="82" t="str">
        <f ca="1">IFERROR(INDEX(UNSPSCDes,MATCH(INDIRECT(ADDRESS(ROW(),COLUMN()-1,4)),UNSPSCCode,0)),IF(INDIRECT(ADDRESS(ROW(),COLUMN()-1,4))="12161902","Surfactantes detergentes",""))</f>
        <v>Surfactantes detergentes</v>
      </c>
      <c r="C181" s="95" t="str">
        <f>IFERROR(VLOOKUP("GAL",'Informacion '!P:Q,2,FALSE),"")</f>
        <v>Galón</v>
      </c>
      <c r="D181" s="94">
        <v>25</v>
      </c>
      <c r="E181" s="84">
        <v>3339.4</v>
      </c>
      <c r="F181" s="83">
        <f t="shared" ca="1" si="6"/>
        <v>83485</v>
      </c>
    </row>
    <row r="182" spans="1:6" ht="14.1" customHeight="1" x14ac:dyDescent="0.25">
      <c r="A182" s="94" t="s">
        <v>6439</v>
      </c>
      <c r="B182" s="82" t="str">
        <f ca="1">IFERROR(INDEX(UNSPSCDes,MATCH(INDIRECT(ADDRESS(ROW(),COLUMN()-1,4)),UNSPSCCode,0)),IF(INDIRECT(ADDRESS(ROW(),COLUMN()-1,4))="12161902","Surfactantes detergentes",""))</f>
        <v>Surfactantes detergentes</v>
      </c>
      <c r="C182" s="95" t="str">
        <f>IFERROR(VLOOKUP("GAL",'Informacion '!P:Q,2,FALSE),"")</f>
        <v>Galón</v>
      </c>
      <c r="D182" s="94">
        <v>85</v>
      </c>
      <c r="E182" s="84">
        <v>3280</v>
      </c>
      <c r="F182" s="83">
        <f t="shared" ca="1" si="6"/>
        <v>278800</v>
      </c>
    </row>
    <row r="183" spans="1:6" ht="14.1" customHeight="1" x14ac:dyDescent="0.25">
      <c r="A183" s="94" t="s">
        <v>3074</v>
      </c>
      <c r="B183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83" s="95" t="str">
        <f>IFERROR(VLOOKUP("GAL",'Informacion '!P:Q,2,FALSE),"")</f>
        <v>Galón</v>
      </c>
      <c r="D183" s="94">
        <v>50</v>
      </c>
      <c r="E183" s="84">
        <v>2800</v>
      </c>
      <c r="F183" s="83">
        <f t="shared" ca="1" si="6"/>
        <v>140000</v>
      </c>
    </row>
    <row r="184" spans="1:6" ht="14.1" customHeight="1" x14ac:dyDescent="0.25">
      <c r="A184" s="94" t="s">
        <v>3074</v>
      </c>
      <c r="B184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84" s="95" t="str">
        <f>IFERROR(VLOOKUP("GAL",'Informacion '!P:Q,2,FALSE),"")</f>
        <v>Galón</v>
      </c>
      <c r="D184" s="94">
        <v>7</v>
      </c>
      <c r="E184" s="84">
        <v>3872.76</v>
      </c>
      <c r="F184" s="83">
        <f t="shared" ca="1" si="6"/>
        <v>27109.32</v>
      </c>
    </row>
    <row r="185" spans="1:6" ht="14.1" customHeight="1" x14ac:dyDescent="0.25">
      <c r="A185" s="94" t="s">
        <v>6439</v>
      </c>
      <c r="B185" s="82" t="str">
        <f ca="1">IFERROR(INDEX(UNSPSCDes,MATCH(INDIRECT(ADDRESS(ROW(),COLUMN()-1,4)),UNSPSCCode,0)),IF(INDIRECT(ADDRESS(ROW(),COLUMN()-1,4))="12161902","Surfactantes detergentes",""))</f>
        <v>Surfactantes detergentes</v>
      </c>
      <c r="C185" s="95" t="str">
        <f>IFERROR(VLOOKUP("UD",'Informacion '!P:Q,2,FALSE),"")</f>
        <v>Unidad</v>
      </c>
      <c r="D185" s="94">
        <v>24</v>
      </c>
      <c r="E185" s="84">
        <v>19000</v>
      </c>
      <c r="F185" s="83">
        <f t="shared" ca="1" si="6"/>
        <v>456000</v>
      </c>
    </row>
    <row r="186" spans="1:6" ht="14.1" customHeight="1" x14ac:dyDescent="0.25">
      <c r="A186" s="94" t="s">
        <v>5571</v>
      </c>
      <c r="B186" s="82" t="str">
        <f ca="1">IFERROR(INDEX(UNSPSCDes,MATCH(INDIRECT(ADDRESS(ROW(),COLUMN()-1,4)),UNSPSCCode,0)),IF(INDIRECT(ADDRESS(ROW(),COLUMN()-1,4))="42271802","Nebulizadores o accesorios",""))</f>
        <v>Nebulizadores o accesorios</v>
      </c>
      <c r="C186" s="95" t="str">
        <f>IFERROR(VLOOKUP("GAL",'Informacion '!P:Q,2,FALSE),"")</f>
        <v>Galón</v>
      </c>
      <c r="D186" s="94">
        <v>3</v>
      </c>
      <c r="E186" s="84">
        <v>600</v>
      </c>
      <c r="F186" s="83">
        <f t="shared" ca="1" si="6"/>
        <v>1800</v>
      </c>
    </row>
    <row r="187" spans="1:6" ht="14.1" customHeight="1" x14ac:dyDescent="0.25">
      <c r="A187" s="94" t="s">
        <v>16072</v>
      </c>
      <c r="B187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87" s="95" t="str">
        <f>IFERROR(VLOOKUP("GAL",'Informacion '!P:Q,2,FALSE),"")</f>
        <v>Galón</v>
      </c>
      <c r="D187" s="94">
        <v>6</v>
      </c>
      <c r="E187" s="84">
        <v>45000</v>
      </c>
      <c r="F187" s="83">
        <f t="shared" ca="1" si="6"/>
        <v>270000</v>
      </c>
    </row>
    <row r="188" spans="1:6" ht="14.1" customHeight="1" x14ac:dyDescent="0.25">
      <c r="A188" s="94" t="s">
        <v>19401</v>
      </c>
      <c r="B188" s="82" t="str">
        <f ca="1">IFERROR(INDEX(UNSPSCDes,MATCH(INDIRECT(ADDRESS(ROW(),COLUMN()-1,4)),UNSPSCCode,0)),IF(INDIRECT(ADDRESS(ROW(),COLUMN()-1,4))="42312311","Kits de desinfectantes",""))</f>
        <v>Kits de desinfectantes</v>
      </c>
      <c r="C188" s="95" t="str">
        <f>IFERROR(VLOOKUP("GAL",'Informacion '!P:Q,2,FALSE),"")</f>
        <v>Galón</v>
      </c>
      <c r="D188" s="94">
        <v>30</v>
      </c>
      <c r="E188" s="84">
        <v>789.98</v>
      </c>
      <c r="F188" s="83">
        <f t="shared" ca="1" si="6"/>
        <v>23699.4</v>
      </c>
    </row>
    <row r="189" spans="1:6" ht="14.1" customHeight="1" x14ac:dyDescent="0.25">
      <c r="A189" s="94" t="s">
        <v>6439</v>
      </c>
      <c r="B189" s="82" t="str">
        <f ca="1">IFERROR(INDEX(UNSPSCDes,MATCH(INDIRECT(ADDRESS(ROW(),COLUMN()-1,4)),UNSPSCCode,0)),IF(INDIRECT(ADDRESS(ROW(),COLUMN()-1,4))="12161902","Surfactantes detergentes",""))</f>
        <v>Surfactantes detergentes</v>
      </c>
      <c r="C189" s="95" t="str">
        <f>IFERROR(VLOOKUP("GAL",'Informacion '!P:Q,2,FALSE),"")</f>
        <v>Galón</v>
      </c>
      <c r="D189" s="94">
        <v>6</v>
      </c>
      <c r="E189" s="84">
        <v>987.78</v>
      </c>
      <c r="F189" s="83">
        <f t="shared" ca="1" si="6"/>
        <v>5926.68</v>
      </c>
    </row>
    <row r="190" spans="1:6" ht="14.1" customHeight="1" x14ac:dyDescent="0.25">
      <c r="A190" s="94" t="s">
        <v>19401</v>
      </c>
      <c r="B190" s="82" t="str">
        <f ca="1">IFERROR(INDEX(UNSPSCDes,MATCH(INDIRECT(ADDRESS(ROW(),COLUMN()-1,4)),UNSPSCCode,0)),IF(INDIRECT(ADDRESS(ROW(),COLUMN()-1,4))="42312311","Kits de desinfectantes",""))</f>
        <v>Kits de desinfectantes</v>
      </c>
      <c r="C190" s="95" t="str">
        <f>IFERROR(VLOOKUP("GAL",'Informacion '!P:Q,2,FALSE),"")</f>
        <v>Galón</v>
      </c>
      <c r="D190" s="94">
        <v>6</v>
      </c>
      <c r="E190" s="84">
        <v>1054.25</v>
      </c>
      <c r="F190" s="83">
        <f t="shared" ca="1" si="6"/>
        <v>6325.5</v>
      </c>
    </row>
    <row r="191" spans="1:6" ht="14.1" customHeight="1" x14ac:dyDescent="0.25">
      <c r="A191" s="94" t="s">
        <v>19401</v>
      </c>
      <c r="B191" s="82" t="str">
        <f ca="1">IFERROR(INDEX(UNSPSCDes,MATCH(INDIRECT(ADDRESS(ROW(),COLUMN()-1,4)),UNSPSCCode,0)),IF(INDIRECT(ADDRESS(ROW(),COLUMN()-1,4))="42312311","Kits de desinfectantes",""))</f>
        <v>Kits de desinfectantes</v>
      </c>
      <c r="C191" s="95" t="str">
        <f>IFERROR(VLOOKUP("GAL",'Informacion '!P:Q,2,FALSE),"")</f>
        <v>Galón</v>
      </c>
      <c r="D191" s="94">
        <v>30</v>
      </c>
      <c r="E191" s="84">
        <v>684.72</v>
      </c>
      <c r="F191" s="83">
        <f t="shared" ca="1" si="6"/>
        <v>20541.600000000002</v>
      </c>
    </row>
    <row r="192" spans="1:6" ht="14.1" customHeight="1" x14ac:dyDescent="0.25">
      <c r="A192" s="94" t="s">
        <v>19401</v>
      </c>
      <c r="B192" s="82" t="str">
        <f ca="1">IFERROR(INDEX(UNSPSCDes,MATCH(INDIRECT(ADDRESS(ROW(),COLUMN()-1,4)),UNSPSCCode,0)),IF(INDIRECT(ADDRESS(ROW(),COLUMN()-1,4))="42312311","Kits de desinfectantes",""))</f>
        <v>Kits de desinfectantes</v>
      </c>
      <c r="C192" s="95" t="str">
        <f>IFERROR(VLOOKUP("GAL",'Informacion '!P:Q,2,FALSE),"")</f>
        <v>Galón</v>
      </c>
      <c r="D192" s="94">
        <v>5</v>
      </c>
      <c r="E192" s="84">
        <v>1002.82</v>
      </c>
      <c r="F192" s="83">
        <f t="shared" ca="1" si="6"/>
        <v>5014.1000000000004</v>
      </c>
    </row>
    <row r="193" spans="1:10" ht="14.1" customHeight="1" x14ac:dyDescent="0.25">
      <c r="A193" s="94" t="s">
        <v>11659</v>
      </c>
      <c r="B193" s="82" t="str">
        <f ca="1">IFERROR(INDEX(UNSPSCDes,MATCH(INDIRECT(ADDRESS(ROW(),COLUMN()-1,4)),UNSPSCCode,0)),IF(INDIRECT(ADDRESS(ROW(),COLUMN()-1,4))="47131810","Productos para el lavaplatos",""))</f>
        <v>Productos para el lavaplatos</v>
      </c>
      <c r="C193" s="95" t="str">
        <f>IFERROR(VLOOKUP("GAL",'Informacion '!P:Q,2,FALSE),"")</f>
        <v>Galón</v>
      </c>
      <c r="D193" s="94">
        <v>2</v>
      </c>
      <c r="E193" s="84">
        <v>1282</v>
      </c>
      <c r="F193" s="83">
        <f t="shared" ca="1" si="6"/>
        <v>2564</v>
      </c>
    </row>
    <row r="194" spans="1:10" ht="14.1" customHeight="1" x14ac:dyDescent="0.25">
      <c r="A194" s="94" t="s">
        <v>6439</v>
      </c>
      <c r="B194" s="82" t="str">
        <f ca="1">IFERROR(INDEX(UNSPSCDes,MATCH(INDIRECT(ADDRESS(ROW(),COLUMN()-1,4)),UNSPSCCode,0)),IF(INDIRECT(ADDRESS(ROW(),COLUMN()-1,4))="12161902","Surfactantes detergentes",""))</f>
        <v>Surfactantes detergentes</v>
      </c>
      <c r="C194" s="95" t="str">
        <f>IFERROR(VLOOKUP("GAL",'Informacion '!P:Q,2,FALSE),"")</f>
        <v>Galón</v>
      </c>
      <c r="D194" s="94">
        <v>3</v>
      </c>
      <c r="E194" s="84">
        <v>580.20000000000005</v>
      </c>
      <c r="F194" s="83">
        <f t="shared" ca="1" si="6"/>
        <v>1740.6000000000001</v>
      </c>
    </row>
    <row r="195" spans="1:10" ht="14.1" customHeight="1" x14ac:dyDescent="0.25">
      <c r="A195" s="94" t="s">
        <v>19401</v>
      </c>
      <c r="B195" s="82" t="str">
        <f ca="1">IFERROR(INDEX(UNSPSCDes,MATCH(INDIRECT(ADDRESS(ROW(),COLUMN()-1,4)),UNSPSCCode,0)),IF(INDIRECT(ADDRESS(ROW(),COLUMN()-1,4))="42312311","Kits de desinfectantes",""))</f>
        <v>Kits de desinfectantes</v>
      </c>
      <c r="C195" s="95" t="str">
        <f>IFERROR(VLOOKUP("GAL",'Informacion '!P:Q,2,FALSE),"")</f>
        <v>Galón</v>
      </c>
      <c r="D195" s="94">
        <v>6</v>
      </c>
      <c r="E195" s="84">
        <v>849.8</v>
      </c>
      <c r="F195" s="83">
        <f t="shared" ca="1" si="6"/>
        <v>5098.7999999999993</v>
      </c>
    </row>
    <row r="196" spans="1:10" ht="14.1" customHeight="1" x14ac:dyDescent="0.25">
      <c r="A196" s="94" t="s">
        <v>19401</v>
      </c>
      <c r="B196" s="82" t="str">
        <f ca="1">IFERROR(INDEX(UNSPSCDes,MATCH(INDIRECT(ADDRESS(ROW(),COLUMN()-1,4)),UNSPSCCode,0)),IF(INDIRECT(ADDRESS(ROW(),COLUMN()-1,4))="42312311","Kits de desinfectantes",""))</f>
        <v>Kits de desinfectantes</v>
      </c>
      <c r="C196" s="95" t="str">
        <f>IFERROR(VLOOKUP("UD",'Informacion '!P:Q,2,FALSE),"")</f>
        <v>Unidad</v>
      </c>
      <c r="D196" s="94">
        <v>1</v>
      </c>
      <c r="E196" s="84">
        <v>38876</v>
      </c>
      <c r="F196" s="83">
        <f t="shared" ca="1" si="6"/>
        <v>38876</v>
      </c>
    </row>
    <row r="197" spans="1:10" ht="14.1" customHeight="1" x14ac:dyDescent="0.25">
      <c r="A197" s="94" t="s">
        <v>3373</v>
      </c>
      <c r="B197" s="82" t="str">
        <f ca="1">IFERROR(INDEX(UNSPSCDes,MATCH(INDIRECT(ADDRESS(ROW(),COLUMN()-1,4)),UNSPSCCode,0)),IF(INDIRECT(ADDRESS(ROW(),COLUMN()-1,4))="41104202","Equipos de deionización o desmineralización",""))</f>
        <v>Equipos de deionización o desmineralización</v>
      </c>
      <c r="C197" s="95" t="str">
        <f>IFERROR(VLOOKUP("UD",'Informacion '!P:Q,2,FALSE),"")</f>
        <v>Unidad</v>
      </c>
      <c r="D197" s="94">
        <v>1</v>
      </c>
      <c r="E197" s="84">
        <v>22881</v>
      </c>
      <c r="F197" s="83">
        <f t="shared" ca="1" si="6"/>
        <v>22881</v>
      </c>
    </row>
    <row r="198" spans="1:10" ht="14.1" customHeight="1" x14ac:dyDescent="0.25">
      <c r="A198" s="94" t="s">
        <v>6439</v>
      </c>
      <c r="B198" s="82" t="str">
        <f ca="1">IFERROR(INDEX(UNSPSCDes,MATCH(INDIRECT(ADDRESS(ROW(),COLUMN()-1,4)),UNSPSCCode,0)),IF(INDIRECT(ADDRESS(ROW(),COLUMN()-1,4))="12161902","Surfactantes detergentes",""))</f>
        <v>Surfactantes detergentes</v>
      </c>
      <c r="C198" s="95" t="str">
        <f>IFERROR(VLOOKUP("UD",'Informacion '!P:Q,2,FALSE),"")</f>
        <v>Unidad</v>
      </c>
      <c r="D198" s="94">
        <v>1</v>
      </c>
      <c r="E198" s="84">
        <v>31348</v>
      </c>
      <c r="F198" s="83">
        <f t="shared" ca="1" si="6"/>
        <v>31348</v>
      </c>
    </row>
    <row r="199" spans="1:10" ht="14.1" customHeight="1" x14ac:dyDescent="0.25">
      <c r="A199" s="94" t="s">
        <v>14959</v>
      </c>
      <c r="B199" s="82" t="str">
        <f ca="1">IFERROR(INDEX(UNSPSCDes,MATCH(INDIRECT(ADDRESS(ROW(),COLUMN()-1,4)),UNSPSCCode,0)),IF(INDIRECT(ADDRESS(ROW(),COLUMN()-1,4))="41104211","Suavizantes",""))</f>
        <v>Suavizantes</v>
      </c>
      <c r="C199" s="95" t="str">
        <f>IFERROR(VLOOKUP("UD",'Informacion '!P:Q,2,FALSE),"")</f>
        <v>Unidad</v>
      </c>
      <c r="D199" s="94">
        <v>1</v>
      </c>
      <c r="E199" s="84">
        <v>28141</v>
      </c>
      <c r="F199" s="83">
        <f t="shared" ca="1" si="6"/>
        <v>28141</v>
      </c>
    </row>
    <row r="200" spans="1:10" ht="14.1" customHeight="1" x14ac:dyDescent="0.25">
      <c r="A200" s="94" t="s">
        <v>15967</v>
      </c>
      <c r="B200" s="82" t="str">
        <f ca="1">IFERROR(INDEX(UNSPSCDes,MATCH(INDIRECT(ADDRESS(ROW(),COLUMN()-1,4)),UNSPSCCode,0)),IF(INDIRECT(ADDRESS(ROW(),COLUMN()-1,4))="26121614","Cable de construcción",""))</f>
        <v>Cable de construcción</v>
      </c>
      <c r="C200" s="95" t="str">
        <f>IFERROR(VLOOKUP("UD",'Informacion '!P:Q,2,FALSE),"")</f>
        <v>Unidad</v>
      </c>
      <c r="D200" s="94">
        <v>1</v>
      </c>
      <c r="E200" s="84">
        <v>8861</v>
      </c>
      <c r="F200" s="83">
        <f t="shared" ca="1" si="6"/>
        <v>8861</v>
      </c>
    </row>
    <row r="201" spans="1:10" ht="14.1" customHeight="1" x14ac:dyDescent="0.25">
      <c r="A201" s="94" t="s">
        <v>6921</v>
      </c>
      <c r="B201" s="82" t="str">
        <f ca="1">IFERROR(INDEX(UNSPSCDes,MATCH(INDIRECT(ADDRESS(ROW(),COLUMN()-1,4)),UNSPSCCode,0)),IF(INDIRECT(ADDRESS(ROW(),COLUMN()-1,4))="12141901","Cloro cl",""))</f>
        <v>Cloro cl</v>
      </c>
      <c r="C201" s="95" t="str">
        <f>IFERROR(VLOOKUP("UD",'Informacion '!P:Q,2,FALSE),"")</f>
        <v>Unidad</v>
      </c>
      <c r="D201" s="94">
        <v>18</v>
      </c>
      <c r="E201" s="84">
        <v>3630</v>
      </c>
      <c r="F201" s="83">
        <f t="shared" ca="1" si="6"/>
        <v>65340</v>
      </c>
    </row>
    <row r="202" spans="1:10" ht="14.1" customHeight="1" x14ac:dyDescent="0.25">
      <c r="A202" s="94" t="s">
        <v>6439</v>
      </c>
      <c r="B202" s="82" t="str">
        <f ca="1">IFERROR(INDEX(UNSPSCDes,MATCH(INDIRECT(ADDRESS(ROW(),COLUMN()-1,4)),UNSPSCCode,0)),IF(INDIRECT(ADDRESS(ROW(),COLUMN()-1,4))="12161902","Surfactantes detergentes",""))</f>
        <v>Surfactantes detergentes</v>
      </c>
      <c r="C202" s="95" t="str">
        <f>IFERROR(VLOOKUP("UD",'Informacion '!P:Q,2,FALSE),"")</f>
        <v>Unidad</v>
      </c>
      <c r="D202" s="94">
        <v>18</v>
      </c>
      <c r="E202" s="84">
        <v>2081</v>
      </c>
      <c r="F202" s="83">
        <f t="shared" ca="1" si="6"/>
        <v>37458</v>
      </c>
    </row>
    <row r="203" spans="1:10" ht="14.1" customHeight="1" x14ac:dyDescent="0.25">
      <c r="A203" s="94" t="s">
        <v>6439</v>
      </c>
      <c r="B203" s="82" t="str">
        <f ca="1">IFERROR(INDEX(UNSPSCDes,MATCH(INDIRECT(ADDRESS(ROW(),COLUMN()-1,4)),UNSPSCCode,0)),IF(INDIRECT(ADDRESS(ROW(),COLUMN()-1,4))="12161902","Surfactantes detergentes",""))</f>
        <v>Surfactantes detergentes</v>
      </c>
      <c r="C203" s="95" t="str">
        <f>IFERROR(VLOOKUP("UD",'Informacion '!P:Q,2,FALSE),"")</f>
        <v>Unidad</v>
      </c>
      <c r="D203" s="94">
        <v>18</v>
      </c>
      <c r="E203" s="84">
        <v>2850</v>
      </c>
      <c r="F203" s="83">
        <f t="shared" ca="1" si="6"/>
        <v>51300</v>
      </c>
    </row>
    <row r="204" spans="1:10" ht="14.1" customHeight="1" x14ac:dyDescent="0.25">
      <c r="A204" s="94" t="s">
        <v>6439</v>
      </c>
      <c r="B204" s="82" t="str">
        <f ca="1">IFERROR(INDEX(UNSPSCDes,MATCH(INDIRECT(ADDRESS(ROW(),COLUMN()-1,4)),UNSPSCCode,0)),IF(INDIRECT(ADDRESS(ROW(),COLUMN()-1,4))="12161902","Surfactantes detergentes",""))</f>
        <v>Surfactantes detergentes</v>
      </c>
      <c r="C204" s="95" t="str">
        <f>IFERROR(VLOOKUP("UD",'Informacion '!P:Q,2,FALSE),"")</f>
        <v>Unidad</v>
      </c>
      <c r="D204" s="94">
        <v>10</v>
      </c>
      <c r="E204" s="84">
        <v>2560</v>
      </c>
      <c r="F204" s="83">
        <f t="shared" ca="1" si="6"/>
        <v>25600</v>
      </c>
    </row>
    <row r="205" spans="1:10" ht="14.1" customHeight="1" x14ac:dyDescent="0.25">
      <c r="A205" s="94" t="s">
        <v>6439</v>
      </c>
      <c r="B205" s="82" t="str">
        <f ca="1">IFERROR(INDEX(UNSPSCDes,MATCH(INDIRECT(ADDRESS(ROW(),COLUMN()-1,4)),UNSPSCCode,0)),IF(INDIRECT(ADDRESS(ROW(),COLUMN()-1,4))="12161902","Surfactantes detergentes",""))</f>
        <v>Surfactantes detergentes</v>
      </c>
      <c r="C205" s="95" t="str">
        <f>IFERROR(VLOOKUP("UD",'Informacion '!P:Q,2,FALSE),"")</f>
        <v>Unidad</v>
      </c>
      <c r="D205" s="94">
        <v>18</v>
      </c>
      <c r="E205" s="84">
        <v>806</v>
      </c>
      <c r="F205" s="83">
        <f t="shared" ca="1" si="6"/>
        <v>14508</v>
      </c>
    </row>
    <row r="206" spans="1:10" ht="14.1" customHeight="1" x14ac:dyDescent="0.25">
      <c r="E206" s="96" t="s">
        <v>7213</v>
      </c>
      <c r="F206" s="87">
        <f ca="1">SUM(Table7[MONTO TOTAL ESTIMADO])</f>
        <v>2476822.0000000005</v>
      </c>
      <c r="H206" s="39" t="str">
        <f>C155</f>
        <v>Bienes</v>
      </c>
      <c r="I206" s="39" t="str">
        <f>E155</f>
        <v>No</v>
      </c>
      <c r="J206" s="39" t="str">
        <f>D155</f>
        <v>Comparacion de Precios</v>
      </c>
    </row>
    <row r="208" spans="1:10" ht="33.950000000000003" customHeight="1" x14ac:dyDescent="0.25">
      <c r="A208" s="77" t="s">
        <v>17233</v>
      </c>
      <c r="B208" s="77" t="s">
        <v>4237</v>
      </c>
      <c r="C208" s="77" t="s">
        <v>4743</v>
      </c>
      <c r="D208" s="77" t="s">
        <v>9891</v>
      </c>
      <c r="E208" s="77" t="s">
        <v>3089</v>
      </c>
      <c r="F208" s="77" t="s">
        <v>18141</v>
      </c>
    </row>
    <row r="209" spans="1:6" ht="14.1" customHeight="1" x14ac:dyDescent="0.25">
      <c r="A209" s="79" t="s">
        <v>806</v>
      </c>
      <c r="B209" s="79" t="s">
        <v>12254</v>
      </c>
      <c r="C209" s="79" t="s">
        <v>17215</v>
      </c>
      <c r="D209" s="79" t="s">
        <v>15249</v>
      </c>
      <c r="E209" s="79" t="s">
        <v>18247</v>
      </c>
      <c r="F209" s="79"/>
    </row>
    <row r="210" spans="1:6" ht="14.1" customHeight="1" x14ac:dyDescent="0.25">
      <c r="A210" s="2" t="s">
        <v>6643</v>
      </c>
      <c r="B210" s="80" t="s">
        <v>1046</v>
      </c>
      <c r="C210" s="90">
        <v>43740</v>
      </c>
      <c r="D210" s="2" t="s">
        <v>59</v>
      </c>
      <c r="E210" s="92" t="s">
        <v>20066</v>
      </c>
      <c r="F210" s="93" t="s">
        <v>5684</v>
      </c>
    </row>
    <row r="211" spans="1:6" ht="14.1" customHeight="1" x14ac:dyDescent="0.25">
      <c r="A211" s="1"/>
      <c r="B211" s="80" t="s">
        <v>10788</v>
      </c>
      <c r="C211" s="91">
        <f>IF(C210="","",IF(AND(MONTH(C210)&gt;=1,MONTH(C210)&lt;=3),1,IF(AND(MONTH(C210)&gt;=4,MONTH(C210)&lt;=6),2,IF(AND(MONTH(C210)&gt;=7,MONTH(C210)&lt;=9),3,4))))</f>
        <v>4</v>
      </c>
      <c r="D211" s="1"/>
      <c r="E211" s="92" t="s">
        <v>14822</v>
      </c>
      <c r="F211" s="93" t="s">
        <v>17690</v>
      </c>
    </row>
    <row r="212" spans="1:6" ht="14.1" customHeight="1" x14ac:dyDescent="0.25">
      <c r="A212" s="1"/>
      <c r="B212" s="80" t="s">
        <v>13758</v>
      </c>
      <c r="C212" s="90">
        <v>43804</v>
      </c>
      <c r="D212" s="1"/>
      <c r="E212" s="92" t="s">
        <v>18636</v>
      </c>
      <c r="F212" s="93" t="s">
        <v>17690</v>
      </c>
    </row>
    <row r="213" spans="1:6" ht="14.1" customHeight="1" x14ac:dyDescent="0.25">
      <c r="A213" s="1"/>
      <c r="B213" s="80" t="s">
        <v>10788</v>
      </c>
      <c r="C213" s="91">
        <f>IF(C212="","",IF(AND(MONTH(C212)&gt;=1,MONTH(C212)&lt;=3),1,IF(AND(MONTH(C212)&gt;=4,MONTH(C212)&lt;=6),2,IF(AND(MONTH(C212)&gt;=7,MONTH(C212)&lt;=9),3,4))))</f>
        <v>4</v>
      </c>
      <c r="D213" s="1"/>
      <c r="E213" s="92" t="s">
        <v>15990</v>
      </c>
      <c r="F213" s="93"/>
    </row>
    <row r="215" spans="1:6" ht="14.1" customHeight="1" x14ac:dyDescent="0.25">
      <c r="A215" s="85" t="s">
        <v>15474</v>
      </c>
      <c r="B215" s="85" t="s">
        <v>5027</v>
      </c>
      <c r="C215" s="85" t="s">
        <v>17461</v>
      </c>
      <c r="D215" s="85" t="s">
        <v>3935</v>
      </c>
      <c r="E215" s="85" t="s">
        <v>10722</v>
      </c>
      <c r="F215" s="85" t="s">
        <v>18237</v>
      </c>
    </row>
    <row r="216" spans="1:6" ht="14.1" customHeight="1" x14ac:dyDescent="0.25">
      <c r="A216" s="94" t="s">
        <v>6439</v>
      </c>
      <c r="B216" s="82" t="str">
        <f t="shared" ref="B216:B223" ca="1" si="7">IFERROR(INDEX(UNSPSCDes,MATCH(INDIRECT(ADDRESS(ROW(),COLUMN()-1,4)),UNSPSCCode,0)),IF(INDIRECT(ADDRESS(ROW(),COLUMN()-1,4))="12161902","Surfactantes detergentes",""))</f>
        <v>Surfactantes detergentes</v>
      </c>
      <c r="C216" s="95" t="str">
        <f>IFERROR(VLOOKUP("GAL",'Informacion '!P:Q,2,FALSE),"")</f>
        <v>Galón</v>
      </c>
      <c r="D216" s="94">
        <v>110</v>
      </c>
      <c r="E216" s="84">
        <v>950</v>
      </c>
      <c r="F216" s="83">
        <f t="shared" ref="F216:F257" ca="1" si="8">INDIRECT(ADDRESS(ROW(),COLUMN()-2,4))*INDIRECT(ADDRESS(ROW(),COLUMN()-1,4))</f>
        <v>104500</v>
      </c>
    </row>
    <row r="217" spans="1:6" ht="14.1" customHeight="1" x14ac:dyDescent="0.25">
      <c r="A217" s="94" t="s">
        <v>6439</v>
      </c>
      <c r="B217" s="82" t="str">
        <f t="shared" ca="1" si="7"/>
        <v>Surfactantes detergentes</v>
      </c>
      <c r="C217" s="95" t="str">
        <f>IFERROR(VLOOKUP("GAL",'Informacion '!P:Q,2,FALSE),"")</f>
        <v>Galón</v>
      </c>
      <c r="D217" s="94">
        <v>550</v>
      </c>
      <c r="E217" s="84">
        <v>600</v>
      </c>
      <c r="F217" s="83">
        <f t="shared" ca="1" si="8"/>
        <v>330000</v>
      </c>
    </row>
    <row r="218" spans="1:6" ht="14.1" customHeight="1" x14ac:dyDescent="0.25">
      <c r="A218" s="94" t="s">
        <v>6439</v>
      </c>
      <c r="B218" s="82" t="str">
        <f t="shared" ca="1" si="7"/>
        <v>Surfactantes detergentes</v>
      </c>
      <c r="C218" s="95" t="str">
        <f>IFERROR(VLOOKUP("GAL",'Informacion '!P:Q,2,FALSE),"")</f>
        <v>Galón</v>
      </c>
      <c r="D218" s="94">
        <v>84</v>
      </c>
      <c r="E218" s="84">
        <v>2006</v>
      </c>
      <c r="F218" s="83">
        <f t="shared" ca="1" si="8"/>
        <v>168504</v>
      </c>
    </row>
    <row r="219" spans="1:6" ht="14.1" customHeight="1" x14ac:dyDescent="0.25">
      <c r="A219" s="94" t="s">
        <v>6439</v>
      </c>
      <c r="B219" s="82" t="str">
        <f t="shared" ca="1" si="7"/>
        <v>Surfactantes detergentes</v>
      </c>
      <c r="C219" s="95" t="str">
        <f>IFERROR(VLOOKUP("GAL",'Informacion '!P:Q,2,FALSE),"")</f>
        <v>Galón</v>
      </c>
      <c r="D219" s="94">
        <v>6</v>
      </c>
      <c r="E219" s="84">
        <v>2800</v>
      </c>
      <c r="F219" s="83">
        <f t="shared" ca="1" si="8"/>
        <v>16800</v>
      </c>
    </row>
    <row r="220" spans="1:6" ht="14.1" customHeight="1" x14ac:dyDescent="0.25">
      <c r="A220" s="94" t="s">
        <v>6439</v>
      </c>
      <c r="B220" s="82" t="str">
        <f t="shared" ca="1" si="7"/>
        <v>Surfactantes detergentes</v>
      </c>
      <c r="C220" s="95" t="str">
        <f>IFERROR(VLOOKUP("GAL",'Informacion '!P:Q,2,FALSE),"")</f>
        <v>Galón</v>
      </c>
      <c r="D220" s="94">
        <v>20</v>
      </c>
      <c r="E220" s="84">
        <v>5500</v>
      </c>
      <c r="F220" s="83">
        <f t="shared" ca="1" si="8"/>
        <v>110000</v>
      </c>
    </row>
    <row r="221" spans="1:6" ht="14.1" customHeight="1" x14ac:dyDescent="0.25">
      <c r="A221" s="94" t="s">
        <v>6439</v>
      </c>
      <c r="B221" s="82" t="str">
        <f t="shared" ca="1" si="7"/>
        <v>Surfactantes detergentes</v>
      </c>
      <c r="C221" s="95" t="str">
        <f>IFERROR(VLOOKUP("GAL",'Informacion '!P:Q,2,FALSE),"")</f>
        <v>Galón</v>
      </c>
      <c r="D221" s="94">
        <v>110</v>
      </c>
      <c r="E221" s="84">
        <v>320</v>
      </c>
      <c r="F221" s="83">
        <f t="shared" ca="1" si="8"/>
        <v>35200</v>
      </c>
    </row>
    <row r="222" spans="1:6" ht="14.1" customHeight="1" x14ac:dyDescent="0.25">
      <c r="A222" s="94" t="s">
        <v>6439</v>
      </c>
      <c r="B222" s="82" t="str">
        <f t="shared" ca="1" si="7"/>
        <v>Surfactantes detergentes</v>
      </c>
      <c r="C222" s="95" t="str">
        <f>IFERROR(VLOOKUP("GAL",'Informacion '!P:Q,2,FALSE),"")</f>
        <v>Galón</v>
      </c>
      <c r="D222" s="94">
        <v>400</v>
      </c>
      <c r="E222" s="84">
        <v>150</v>
      </c>
      <c r="F222" s="83">
        <f t="shared" ca="1" si="8"/>
        <v>60000</v>
      </c>
    </row>
    <row r="223" spans="1:6" ht="14.1" customHeight="1" x14ac:dyDescent="0.25">
      <c r="A223" s="94" t="s">
        <v>6439</v>
      </c>
      <c r="B223" s="82" t="str">
        <f t="shared" ca="1" si="7"/>
        <v>Surfactantes detergentes</v>
      </c>
      <c r="C223" s="95" t="str">
        <f>IFERROR(VLOOKUP("GAL",'Informacion '!P:Q,2,FALSE),"")</f>
        <v>Galón</v>
      </c>
      <c r="D223" s="94">
        <v>60</v>
      </c>
      <c r="E223" s="84">
        <v>320</v>
      </c>
      <c r="F223" s="83">
        <f t="shared" ca="1" si="8"/>
        <v>19200</v>
      </c>
    </row>
    <row r="224" spans="1:6" ht="14.1" customHeight="1" x14ac:dyDescent="0.25">
      <c r="A224" s="94" t="s">
        <v>8163</v>
      </c>
      <c r="B224" s="82" t="str">
        <f ca="1">IFERROR(INDEX(UNSPSCDes,MATCH(INDIRECT(ADDRESS(ROW(),COLUMN()-1,4)),UNSPSCCode,0)),IF(INDIRECT(ADDRESS(ROW(),COLUMN()-1,4))="15121803","Removedor de óxido",""))</f>
        <v>Removedor de óxido</v>
      </c>
      <c r="C224" s="95" t="str">
        <f>IFERROR(VLOOKUP("GAL",'Informacion '!P:Q,2,FALSE),"")</f>
        <v>Galón</v>
      </c>
      <c r="D224" s="94">
        <v>1</v>
      </c>
      <c r="E224" s="84">
        <v>4900</v>
      </c>
      <c r="F224" s="83">
        <f t="shared" ca="1" si="8"/>
        <v>4900</v>
      </c>
    </row>
    <row r="225" spans="1:6" ht="14.1" customHeight="1" x14ac:dyDescent="0.25">
      <c r="A225" s="94" t="s">
        <v>6439</v>
      </c>
      <c r="B225" s="82" t="str">
        <f ca="1">IFERROR(INDEX(UNSPSCDes,MATCH(INDIRECT(ADDRESS(ROW(),COLUMN()-1,4)),UNSPSCCode,0)),IF(INDIRECT(ADDRESS(ROW(),COLUMN()-1,4))="12161902","Surfactantes detergentes",""))</f>
        <v>Surfactantes detergentes</v>
      </c>
      <c r="C225" s="95" t="str">
        <f>IFERROR(VLOOKUP("GAL",'Informacion '!P:Q,2,FALSE),"")</f>
        <v>Galón</v>
      </c>
      <c r="D225" s="94">
        <v>15</v>
      </c>
      <c r="E225" s="84">
        <v>750</v>
      </c>
      <c r="F225" s="83">
        <f t="shared" ca="1" si="8"/>
        <v>11250</v>
      </c>
    </row>
    <row r="226" spans="1:6" ht="14.1" customHeight="1" x14ac:dyDescent="0.25">
      <c r="A226" s="94" t="s">
        <v>6439</v>
      </c>
      <c r="B226" s="82" t="str">
        <f ca="1">IFERROR(INDEX(UNSPSCDes,MATCH(INDIRECT(ADDRESS(ROW(),COLUMN()-1,4)),UNSPSCCode,0)),IF(INDIRECT(ADDRESS(ROW(),COLUMN()-1,4))="12161902","Surfactantes detergentes",""))</f>
        <v>Surfactantes detergentes</v>
      </c>
      <c r="C226" s="95" t="str">
        <f>IFERROR(VLOOKUP("GAL",'Informacion '!P:Q,2,FALSE),"")</f>
        <v>Galón</v>
      </c>
      <c r="D226" s="94">
        <v>45</v>
      </c>
      <c r="E226" s="84">
        <v>110</v>
      </c>
      <c r="F226" s="83">
        <f t="shared" ca="1" si="8"/>
        <v>4950</v>
      </c>
    </row>
    <row r="227" spans="1:6" ht="14.1" customHeight="1" x14ac:dyDescent="0.25">
      <c r="A227" s="94" t="s">
        <v>6439</v>
      </c>
      <c r="B227" s="82" t="str">
        <f ca="1">IFERROR(INDEX(UNSPSCDes,MATCH(INDIRECT(ADDRESS(ROW(),COLUMN()-1,4)),UNSPSCCode,0)),IF(INDIRECT(ADDRESS(ROW(),COLUMN()-1,4))="12161902","Surfactantes detergentes",""))</f>
        <v>Surfactantes detergentes</v>
      </c>
      <c r="C227" s="95" t="str">
        <f>IFERROR(VLOOKUP("GAL",'Informacion '!P:Q,2,FALSE),"")</f>
        <v>Galón</v>
      </c>
      <c r="D227" s="94">
        <v>15</v>
      </c>
      <c r="E227" s="84">
        <v>750</v>
      </c>
      <c r="F227" s="83">
        <f t="shared" ca="1" si="8"/>
        <v>11250</v>
      </c>
    </row>
    <row r="228" spans="1:6" ht="14.1" customHeight="1" x14ac:dyDescent="0.25">
      <c r="A228" s="94" t="s">
        <v>729</v>
      </c>
      <c r="B228" s="82" t="str">
        <f ca="1">IFERROR(INDEX(UNSPSCDes,MATCH(INDIRECT(ADDRESS(ROW(),COLUMN()-1,4)),UNSPSCCode,0)),IF(INDIRECT(ADDRESS(ROW(),COLUMN()-1,4))="24141506","Encerados",""))</f>
        <v>Encerados</v>
      </c>
      <c r="C228" s="95" t="str">
        <f>IFERROR(VLOOKUP("GAL",'Informacion '!P:Q,2,FALSE),"")</f>
        <v>Galón</v>
      </c>
      <c r="D228" s="94">
        <v>30</v>
      </c>
      <c r="E228" s="84">
        <v>340</v>
      </c>
      <c r="F228" s="83">
        <f t="shared" ca="1" si="8"/>
        <v>10200</v>
      </c>
    </row>
    <row r="229" spans="1:6" ht="14.1" customHeight="1" x14ac:dyDescent="0.25">
      <c r="A229" s="94" t="s">
        <v>18780</v>
      </c>
      <c r="B229" s="82" t="str">
        <f ca="1">IFERROR(INDEX(UNSPSCDes,MATCH(INDIRECT(ADDRESS(ROW(),COLUMN()-1,4)),UNSPSCCode,0)),IF(INDIRECT(ADDRESS(ROW(),COLUMN()-1,4))="41102705","Cristalizadores",""))</f>
        <v>Cristalizadores</v>
      </c>
      <c r="C229" s="95" t="str">
        <f>IFERROR(VLOOKUP("GAL",'Informacion '!P:Q,2,FALSE),"")</f>
        <v>Galón</v>
      </c>
      <c r="D229" s="94">
        <v>3</v>
      </c>
      <c r="E229" s="84">
        <v>450</v>
      </c>
      <c r="F229" s="83">
        <f t="shared" ca="1" si="8"/>
        <v>1350</v>
      </c>
    </row>
    <row r="230" spans="1:6" ht="14.1" customHeight="1" x14ac:dyDescent="0.25">
      <c r="A230" s="94" t="s">
        <v>6439</v>
      </c>
      <c r="B230" s="82" t="str">
        <f ca="1">IFERROR(INDEX(UNSPSCDes,MATCH(INDIRECT(ADDRESS(ROW(),COLUMN()-1,4)),UNSPSCCode,0)),IF(INDIRECT(ADDRESS(ROW(),COLUMN()-1,4))="12161902","Surfactantes detergentes",""))</f>
        <v>Surfactantes detergentes</v>
      </c>
      <c r="C230" s="95" t="str">
        <f>IFERROR(VLOOKUP("GAL",'Informacion '!P:Q,2,FALSE),"")</f>
        <v>Galón</v>
      </c>
      <c r="D230" s="94">
        <v>3</v>
      </c>
      <c r="E230" s="84">
        <v>1600</v>
      </c>
      <c r="F230" s="83">
        <f t="shared" ca="1" si="8"/>
        <v>4800</v>
      </c>
    </row>
    <row r="231" spans="1:6" ht="14.1" customHeight="1" x14ac:dyDescent="0.25">
      <c r="A231" s="94" t="s">
        <v>16379</v>
      </c>
      <c r="B231" s="82" t="str">
        <f ca="1">IFERROR(INDEX(UNSPSCDes,MATCH(INDIRECT(ADDRESS(ROW(),COLUMN()-1,4)),UNSPSCCode,0)),IF(INDIRECT(ADDRESS(ROW(),COLUMN()-1,4))="53131608","Jabones",""))</f>
        <v>Jabones</v>
      </c>
      <c r="C231" s="95" t="str">
        <f>IFERROR(VLOOKUP("GAL",'Informacion '!P:Q,2,FALSE),"")</f>
        <v>Galón</v>
      </c>
      <c r="D231" s="94">
        <v>80</v>
      </c>
      <c r="E231" s="84">
        <v>340</v>
      </c>
      <c r="F231" s="83">
        <f t="shared" ca="1" si="8"/>
        <v>27200</v>
      </c>
    </row>
    <row r="232" spans="1:6" ht="14.1" customHeight="1" x14ac:dyDescent="0.25">
      <c r="A232" s="94" t="s">
        <v>16379</v>
      </c>
      <c r="B232" s="82" t="str">
        <f ca="1">IFERROR(INDEX(UNSPSCDes,MATCH(INDIRECT(ADDRESS(ROW(),COLUMN()-1,4)),UNSPSCCode,0)),IF(INDIRECT(ADDRESS(ROW(),COLUMN()-1,4))="53131608","Jabones",""))</f>
        <v>Jabones</v>
      </c>
      <c r="C232" s="95" t="str">
        <f>IFERROR(VLOOKUP("GAL",'Informacion '!P:Q,2,FALSE),"")</f>
        <v>Galón</v>
      </c>
      <c r="D232" s="94">
        <v>30</v>
      </c>
      <c r="E232" s="84">
        <v>850</v>
      </c>
      <c r="F232" s="83">
        <f t="shared" ca="1" si="8"/>
        <v>25500</v>
      </c>
    </row>
    <row r="233" spans="1:6" ht="14.1" customHeight="1" x14ac:dyDescent="0.25">
      <c r="A233" s="94" t="s">
        <v>3074</v>
      </c>
      <c r="B233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233" s="95" t="str">
        <f>IFERROR(VLOOKUP("GAL",'Informacion '!P:Q,2,FALSE),"")</f>
        <v>Galón</v>
      </c>
      <c r="D233" s="94">
        <v>35</v>
      </c>
      <c r="E233" s="84">
        <v>325</v>
      </c>
      <c r="F233" s="83">
        <f t="shared" ca="1" si="8"/>
        <v>11375</v>
      </c>
    </row>
    <row r="234" spans="1:6" ht="14.1" customHeight="1" x14ac:dyDescent="0.25">
      <c r="A234" s="94" t="s">
        <v>16379</v>
      </c>
      <c r="B234" s="82" t="str">
        <f ca="1">IFERROR(INDEX(UNSPSCDes,MATCH(INDIRECT(ADDRESS(ROW(),COLUMN()-1,4)),UNSPSCCode,0)),IF(INDIRECT(ADDRESS(ROW(),COLUMN()-1,4))="53131608","Jabones",""))</f>
        <v>Jabones</v>
      </c>
      <c r="C234" s="95" t="str">
        <f>IFERROR(VLOOKUP("GAL",'Informacion '!P:Q,2,FALSE),"")</f>
        <v>Galón</v>
      </c>
      <c r="D234" s="94">
        <v>55</v>
      </c>
      <c r="E234" s="84">
        <v>3339</v>
      </c>
      <c r="F234" s="83">
        <f t="shared" ca="1" si="8"/>
        <v>183645</v>
      </c>
    </row>
    <row r="235" spans="1:6" ht="14.1" customHeight="1" x14ac:dyDescent="0.25">
      <c r="A235" s="94" t="s">
        <v>3074</v>
      </c>
      <c r="B235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235" s="95" t="str">
        <f>IFERROR(VLOOKUP("GAL",'Informacion '!P:Q,2,FALSE),"")</f>
        <v>Galón</v>
      </c>
      <c r="D235" s="94">
        <v>25</v>
      </c>
      <c r="E235" s="84">
        <v>3280</v>
      </c>
      <c r="F235" s="83">
        <f t="shared" ca="1" si="8"/>
        <v>82000</v>
      </c>
    </row>
    <row r="236" spans="1:6" ht="14.1" customHeight="1" x14ac:dyDescent="0.25">
      <c r="A236" s="94" t="s">
        <v>16379</v>
      </c>
      <c r="B236" s="82" t="str">
        <f ca="1">IFERROR(INDEX(UNSPSCDes,MATCH(INDIRECT(ADDRESS(ROW(),COLUMN()-1,4)),UNSPSCCode,0)),IF(INDIRECT(ADDRESS(ROW(),COLUMN()-1,4))="53131608","Jabones",""))</f>
        <v>Jabones</v>
      </c>
      <c r="C236" s="95" t="str">
        <f>IFERROR(VLOOKUP("GAL",'Informacion '!P:Q,2,FALSE),"")</f>
        <v>Galón</v>
      </c>
      <c r="D236" s="94">
        <v>85</v>
      </c>
      <c r="E236" s="84">
        <v>2800</v>
      </c>
      <c r="F236" s="83">
        <f t="shared" ca="1" si="8"/>
        <v>238000</v>
      </c>
    </row>
    <row r="237" spans="1:6" ht="14.1" customHeight="1" x14ac:dyDescent="0.25">
      <c r="A237" s="94" t="s">
        <v>3074</v>
      </c>
      <c r="B237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237" s="95" t="str">
        <f>IFERROR(VLOOKUP("GAL",'Informacion '!P:Q,2,FALSE),"")</f>
        <v>Galón</v>
      </c>
      <c r="D237" s="94">
        <v>55</v>
      </c>
      <c r="E237" s="84">
        <v>3872.76</v>
      </c>
      <c r="F237" s="83">
        <f t="shared" ca="1" si="8"/>
        <v>213001.80000000002</v>
      </c>
    </row>
    <row r="238" spans="1:6" ht="14.1" customHeight="1" x14ac:dyDescent="0.25">
      <c r="A238" s="94" t="s">
        <v>6439</v>
      </c>
      <c r="B238" s="82" t="str">
        <f ca="1">IFERROR(INDEX(UNSPSCDes,MATCH(INDIRECT(ADDRESS(ROW(),COLUMN()-1,4)),UNSPSCCode,0)),IF(INDIRECT(ADDRESS(ROW(),COLUMN()-1,4))="12161902","Surfactantes detergentes",""))</f>
        <v>Surfactantes detergentes</v>
      </c>
      <c r="C238" s="95" t="str">
        <f>IFERROR(VLOOKUP("GAL",'Informacion '!P:Q,2,FALSE),"")</f>
        <v>Galón</v>
      </c>
      <c r="D238" s="94">
        <v>8</v>
      </c>
      <c r="E238" s="84">
        <v>19000</v>
      </c>
      <c r="F238" s="83">
        <f t="shared" ca="1" si="8"/>
        <v>152000</v>
      </c>
    </row>
    <row r="239" spans="1:6" ht="14.1" customHeight="1" x14ac:dyDescent="0.25">
      <c r="A239" s="94" t="s">
        <v>5571</v>
      </c>
      <c r="B239" s="82" t="str">
        <f ca="1">IFERROR(INDEX(UNSPSCDes,MATCH(INDIRECT(ADDRESS(ROW(),COLUMN()-1,4)),UNSPSCCode,0)),IF(INDIRECT(ADDRESS(ROW(),COLUMN()-1,4))="42271802","Nebulizadores o accesorios",""))</f>
        <v>Nebulizadores o accesorios</v>
      </c>
      <c r="C239" s="95" t="str">
        <f>IFERROR(VLOOKUP("GAL",'Informacion '!P:Q,2,FALSE),"")</f>
        <v>Galón</v>
      </c>
      <c r="D239" s="94">
        <v>24</v>
      </c>
      <c r="E239" s="84">
        <v>600</v>
      </c>
      <c r="F239" s="83">
        <f t="shared" ca="1" si="8"/>
        <v>14400</v>
      </c>
    </row>
    <row r="240" spans="1:6" ht="14.1" customHeight="1" x14ac:dyDescent="0.25">
      <c r="A240" s="94" t="s">
        <v>5571</v>
      </c>
      <c r="B240" s="82" t="str">
        <f ca="1">IFERROR(INDEX(UNSPSCDes,MATCH(INDIRECT(ADDRESS(ROW(),COLUMN()-1,4)),UNSPSCCode,0)),IF(INDIRECT(ADDRESS(ROW(),COLUMN()-1,4))="42271802","Nebulizadores o accesorios",""))</f>
        <v>Nebulizadores o accesorios</v>
      </c>
      <c r="C240" s="95" t="str">
        <f>IFERROR(VLOOKUP("GAL",'Informacion '!P:Q,2,FALSE),"")</f>
        <v>Galón</v>
      </c>
      <c r="D240" s="94">
        <v>3</v>
      </c>
      <c r="E240" s="84">
        <v>45000</v>
      </c>
      <c r="F240" s="83">
        <f t="shared" ca="1" si="8"/>
        <v>135000</v>
      </c>
    </row>
    <row r="241" spans="1:6" ht="14.1" customHeight="1" x14ac:dyDescent="0.25">
      <c r="A241" s="94" t="s">
        <v>16072</v>
      </c>
      <c r="B241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241" s="95" t="str">
        <f>IFERROR(VLOOKUP("GAL",'Informacion '!P:Q,2,FALSE),"")</f>
        <v>Galón</v>
      </c>
      <c r="D241" s="94">
        <v>6</v>
      </c>
      <c r="E241" s="84">
        <v>790</v>
      </c>
      <c r="F241" s="83">
        <f t="shared" ca="1" si="8"/>
        <v>4740</v>
      </c>
    </row>
    <row r="242" spans="1:6" ht="14.1" customHeight="1" x14ac:dyDescent="0.25">
      <c r="A242" s="94" t="s">
        <v>19401</v>
      </c>
      <c r="B242" s="82" t="str">
        <f ca="1">IFERROR(INDEX(UNSPSCDes,MATCH(INDIRECT(ADDRESS(ROW(),COLUMN()-1,4)),UNSPSCCode,0)),IF(INDIRECT(ADDRESS(ROW(),COLUMN()-1,4))="42312311","Kits de desinfectantes",""))</f>
        <v>Kits de desinfectantes</v>
      </c>
      <c r="C242" s="95" t="str">
        <f>IFERROR(VLOOKUP("GAL",'Informacion '!P:Q,2,FALSE),"")</f>
        <v>Galón</v>
      </c>
      <c r="D242" s="94">
        <v>30</v>
      </c>
      <c r="E242" s="84">
        <v>987.78</v>
      </c>
      <c r="F242" s="83">
        <f t="shared" ca="1" si="8"/>
        <v>29633.399999999998</v>
      </c>
    </row>
    <row r="243" spans="1:6" ht="14.1" customHeight="1" x14ac:dyDescent="0.25">
      <c r="A243" s="94" t="s">
        <v>6439</v>
      </c>
      <c r="B243" s="82" t="str">
        <f ca="1">IFERROR(INDEX(UNSPSCDes,MATCH(INDIRECT(ADDRESS(ROW(),COLUMN()-1,4)),UNSPSCCode,0)),IF(INDIRECT(ADDRESS(ROW(),COLUMN()-1,4))="12161902","Surfactantes detergentes",""))</f>
        <v>Surfactantes detergentes</v>
      </c>
      <c r="C243" s="95" t="str">
        <f>IFERROR(VLOOKUP("GAL",'Informacion '!P:Q,2,FALSE),"")</f>
        <v>Galón</v>
      </c>
      <c r="D243" s="94">
        <v>6</v>
      </c>
      <c r="E243" s="84">
        <v>1054.25</v>
      </c>
      <c r="F243" s="83">
        <f t="shared" ca="1" si="8"/>
        <v>6325.5</v>
      </c>
    </row>
    <row r="244" spans="1:6" ht="14.1" customHeight="1" x14ac:dyDescent="0.25">
      <c r="A244" s="94" t="s">
        <v>19401</v>
      </c>
      <c r="B244" s="82" t="str">
        <f ca="1">IFERROR(INDEX(UNSPSCDes,MATCH(INDIRECT(ADDRESS(ROW(),COLUMN()-1,4)),UNSPSCCode,0)),IF(INDIRECT(ADDRESS(ROW(),COLUMN()-1,4))="42312311","Kits de desinfectantes",""))</f>
        <v>Kits de desinfectantes</v>
      </c>
      <c r="C244" s="95" t="str">
        <f>IFERROR(VLOOKUP("GAL",'Informacion '!P:Q,2,FALSE),"")</f>
        <v>Galón</v>
      </c>
      <c r="D244" s="94">
        <v>6</v>
      </c>
      <c r="E244" s="84">
        <v>684.72</v>
      </c>
      <c r="F244" s="83">
        <f t="shared" ca="1" si="8"/>
        <v>4108.32</v>
      </c>
    </row>
    <row r="245" spans="1:6" ht="14.1" customHeight="1" x14ac:dyDescent="0.25">
      <c r="A245" s="94" t="s">
        <v>19401</v>
      </c>
      <c r="B245" s="82" t="str">
        <f ca="1">IFERROR(INDEX(UNSPSCDes,MATCH(INDIRECT(ADDRESS(ROW(),COLUMN()-1,4)),UNSPSCCode,0)),IF(INDIRECT(ADDRESS(ROW(),COLUMN()-1,4))="42312311","Kits de desinfectantes",""))</f>
        <v>Kits de desinfectantes</v>
      </c>
      <c r="C245" s="95" t="str">
        <f>IFERROR(VLOOKUP("GAL",'Informacion '!P:Q,2,FALSE),"")</f>
        <v>Galón</v>
      </c>
      <c r="D245" s="94">
        <v>30</v>
      </c>
      <c r="E245" s="84">
        <v>1003</v>
      </c>
      <c r="F245" s="83">
        <f t="shared" ca="1" si="8"/>
        <v>30090</v>
      </c>
    </row>
    <row r="246" spans="1:6" ht="14.1" customHeight="1" x14ac:dyDescent="0.25">
      <c r="A246" s="94" t="s">
        <v>19401</v>
      </c>
      <c r="B246" s="82" t="str">
        <f ca="1">IFERROR(INDEX(UNSPSCDes,MATCH(INDIRECT(ADDRESS(ROW(),COLUMN()-1,4)),UNSPSCCode,0)),IF(INDIRECT(ADDRESS(ROW(),COLUMN()-1,4))="42312311","Kits de desinfectantes",""))</f>
        <v>Kits de desinfectantes</v>
      </c>
      <c r="C246" s="95" t="str">
        <f>IFERROR(VLOOKUP("GAL",'Informacion '!P:Q,2,FALSE),"")</f>
        <v>Galón</v>
      </c>
      <c r="D246" s="94">
        <v>5</v>
      </c>
      <c r="E246" s="84">
        <v>850</v>
      </c>
      <c r="F246" s="83">
        <f t="shared" ca="1" si="8"/>
        <v>4250</v>
      </c>
    </row>
    <row r="247" spans="1:6" ht="14.1" customHeight="1" x14ac:dyDescent="0.25">
      <c r="A247" s="94" t="s">
        <v>11659</v>
      </c>
      <c r="B247" s="82" t="str">
        <f ca="1">IFERROR(INDEX(UNSPSCDes,MATCH(INDIRECT(ADDRESS(ROW(),COLUMN()-1,4)),UNSPSCCode,0)),IF(INDIRECT(ADDRESS(ROW(),COLUMN()-1,4))="47131810","Productos para el lavaplatos",""))</f>
        <v>Productos para el lavaplatos</v>
      </c>
      <c r="C247" s="95" t="str">
        <f>IFERROR(VLOOKUP("GAL",'Informacion '!P:Q,2,FALSE),"")</f>
        <v>Galón</v>
      </c>
      <c r="D247" s="94">
        <v>1</v>
      </c>
      <c r="E247" s="84">
        <v>1282</v>
      </c>
      <c r="F247" s="83">
        <f t="shared" ca="1" si="8"/>
        <v>1282</v>
      </c>
    </row>
    <row r="248" spans="1:6" ht="14.1" customHeight="1" x14ac:dyDescent="0.25">
      <c r="A248" s="94" t="s">
        <v>6439</v>
      </c>
      <c r="B248" s="82" t="str">
        <f ca="1">IFERROR(INDEX(UNSPSCDes,MATCH(INDIRECT(ADDRESS(ROW(),COLUMN()-1,4)),UNSPSCCode,0)),IF(INDIRECT(ADDRESS(ROW(),COLUMN()-1,4))="12161902","Surfactantes detergentes",""))</f>
        <v>Surfactantes detergentes</v>
      </c>
      <c r="C248" s="95" t="str">
        <f>IFERROR(VLOOKUP("GAL",'Informacion '!P:Q,2,FALSE),"")</f>
        <v>Galón</v>
      </c>
      <c r="D248" s="94">
        <v>3</v>
      </c>
      <c r="E248" s="84">
        <v>580</v>
      </c>
      <c r="F248" s="83">
        <f t="shared" ca="1" si="8"/>
        <v>1740</v>
      </c>
    </row>
    <row r="249" spans="1:6" ht="14.1" customHeight="1" x14ac:dyDescent="0.25">
      <c r="A249" s="94" t="s">
        <v>19401</v>
      </c>
      <c r="B249" s="82" t="str">
        <f ca="1">IFERROR(INDEX(UNSPSCDes,MATCH(INDIRECT(ADDRESS(ROW(),COLUMN()-1,4)),UNSPSCCode,0)),IF(INDIRECT(ADDRESS(ROW(),COLUMN()-1,4))="42312311","Kits de desinfectantes",""))</f>
        <v>Kits de desinfectantes</v>
      </c>
      <c r="C249" s="95" t="str">
        <f>IFERROR(VLOOKUP("GAL",'Informacion '!P:Q,2,FALSE),"")</f>
        <v>Galón</v>
      </c>
      <c r="D249" s="94">
        <v>6</v>
      </c>
      <c r="E249" s="84">
        <v>850</v>
      </c>
      <c r="F249" s="83">
        <f t="shared" ca="1" si="8"/>
        <v>5100</v>
      </c>
    </row>
    <row r="250" spans="1:6" ht="14.1" customHeight="1" x14ac:dyDescent="0.25">
      <c r="A250" s="94" t="s">
        <v>3373</v>
      </c>
      <c r="B250" s="82" t="str">
        <f ca="1">IFERROR(INDEX(UNSPSCDes,MATCH(INDIRECT(ADDRESS(ROW(),COLUMN()-1,4)),UNSPSCCode,0)),IF(INDIRECT(ADDRESS(ROW(),COLUMN()-1,4))="41104202","Equipos de deionización o desmineralización",""))</f>
        <v>Equipos de deionización o desmineralización</v>
      </c>
      <c r="C250" s="95" t="str">
        <f>IFERROR(VLOOKUP("GAL",'Informacion '!P:Q,2,FALSE),"")</f>
        <v>Galón</v>
      </c>
      <c r="D250" s="94">
        <v>2</v>
      </c>
      <c r="E250" s="84">
        <v>38876</v>
      </c>
      <c r="F250" s="83">
        <f t="shared" ca="1" si="8"/>
        <v>77752</v>
      </c>
    </row>
    <row r="251" spans="1:6" ht="14.1" customHeight="1" x14ac:dyDescent="0.25">
      <c r="A251" s="94" t="s">
        <v>6439</v>
      </c>
      <c r="B251" s="82" t="str">
        <f ca="1">IFERROR(INDEX(UNSPSCDes,MATCH(INDIRECT(ADDRESS(ROW(),COLUMN()-1,4)),UNSPSCCode,0)),IF(INDIRECT(ADDRESS(ROW(),COLUMN()-1,4))="12161902","Surfactantes detergentes",""))</f>
        <v>Surfactantes detergentes</v>
      </c>
      <c r="C251" s="95" t="str">
        <f>IFERROR(VLOOKUP("GAL",'Informacion '!P:Q,2,FALSE),"")</f>
        <v>Galón</v>
      </c>
      <c r="D251" s="94">
        <v>1</v>
      </c>
      <c r="E251" s="84">
        <v>22881</v>
      </c>
      <c r="F251" s="83">
        <f t="shared" ca="1" si="8"/>
        <v>22881</v>
      </c>
    </row>
    <row r="252" spans="1:6" ht="14.1" customHeight="1" x14ac:dyDescent="0.25">
      <c r="A252" s="94" t="s">
        <v>14959</v>
      </c>
      <c r="B252" s="82" t="str">
        <f ca="1">IFERROR(INDEX(UNSPSCDes,MATCH(INDIRECT(ADDRESS(ROW(),COLUMN()-1,4)),UNSPSCCode,0)),IF(INDIRECT(ADDRESS(ROW(),COLUMN()-1,4))="41104211","Suavizantes",""))</f>
        <v>Suavizantes</v>
      </c>
      <c r="C252" s="95" t="str">
        <f>IFERROR(VLOOKUP("GAL",'Informacion '!P:Q,2,FALSE),"")</f>
        <v>Galón</v>
      </c>
      <c r="D252" s="94">
        <v>1</v>
      </c>
      <c r="E252" s="84">
        <v>31348</v>
      </c>
      <c r="F252" s="83">
        <f t="shared" ca="1" si="8"/>
        <v>31348</v>
      </c>
    </row>
    <row r="253" spans="1:6" ht="14.1" customHeight="1" x14ac:dyDescent="0.25">
      <c r="A253" s="94" t="s">
        <v>6921</v>
      </c>
      <c r="B253" s="82" t="str">
        <f ca="1">IFERROR(INDEX(UNSPSCDes,MATCH(INDIRECT(ADDRESS(ROW(),COLUMN()-1,4)),UNSPSCCode,0)),IF(INDIRECT(ADDRESS(ROW(),COLUMN()-1,4))="12141901","Cloro cl",""))</f>
        <v>Cloro cl</v>
      </c>
      <c r="C253" s="95" t="str">
        <f>IFERROR(VLOOKUP("GAL",'Informacion '!P:Q,2,FALSE),"")</f>
        <v>Galón</v>
      </c>
      <c r="D253" s="94">
        <v>1</v>
      </c>
      <c r="E253" s="84">
        <v>3630</v>
      </c>
      <c r="F253" s="83">
        <f t="shared" ca="1" si="8"/>
        <v>3630</v>
      </c>
    </row>
    <row r="254" spans="1:6" ht="14.1" customHeight="1" x14ac:dyDescent="0.25">
      <c r="A254" s="94" t="s">
        <v>6439</v>
      </c>
      <c r="B254" s="82" t="str">
        <f ca="1">IFERROR(INDEX(UNSPSCDes,MATCH(INDIRECT(ADDRESS(ROW(),COLUMN()-1,4)),UNSPSCCode,0)),IF(INDIRECT(ADDRESS(ROW(),COLUMN()-1,4))="12161902","Surfactantes detergentes",""))</f>
        <v>Surfactantes detergentes</v>
      </c>
      <c r="C254" s="95" t="str">
        <f>IFERROR(VLOOKUP("GAL",'Informacion '!P:Q,2,FALSE),"")</f>
        <v>Galón</v>
      </c>
      <c r="D254" s="94">
        <v>18</v>
      </c>
      <c r="E254" s="84">
        <v>2081</v>
      </c>
      <c r="F254" s="83">
        <f t="shared" ca="1" si="8"/>
        <v>37458</v>
      </c>
    </row>
    <row r="255" spans="1:6" ht="14.1" customHeight="1" x14ac:dyDescent="0.25">
      <c r="A255" s="94" t="s">
        <v>14959</v>
      </c>
      <c r="B255" s="82" t="str">
        <f ca="1">IFERROR(INDEX(UNSPSCDes,MATCH(INDIRECT(ADDRESS(ROW(),COLUMN()-1,4)),UNSPSCCode,0)),IF(INDIRECT(ADDRESS(ROW(),COLUMN()-1,4))="41104211","Suavizantes",""))</f>
        <v>Suavizantes</v>
      </c>
      <c r="C255" s="95" t="str">
        <f>IFERROR(VLOOKUP("GAL",'Informacion '!P:Q,2,FALSE),"")</f>
        <v>Galón</v>
      </c>
      <c r="D255" s="94">
        <v>18</v>
      </c>
      <c r="E255" s="84">
        <v>2850</v>
      </c>
      <c r="F255" s="83">
        <f t="shared" ca="1" si="8"/>
        <v>51300</v>
      </c>
    </row>
    <row r="256" spans="1:6" ht="14.1" customHeight="1" x14ac:dyDescent="0.25">
      <c r="A256" s="94" t="s">
        <v>6439</v>
      </c>
      <c r="B256" s="82" t="str">
        <f ca="1">IFERROR(INDEX(UNSPSCDes,MATCH(INDIRECT(ADDRESS(ROW(),COLUMN()-1,4)),UNSPSCCode,0)),IF(INDIRECT(ADDRESS(ROW(),COLUMN()-1,4))="12161902","Surfactantes detergentes",""))</f>
        <v>Surfactantes detergentes</v>
      </c>
      <c r="C256" s="95" t="str">
        <f>IFERROR(VLOOKUP("GAL",'Informacion '!P:Q,2,FALSE),"")</f>
        <v>Galón</v>
      </c>
      <c r="D256" s="94">
        <v>10</v>
      </c>
      <c r="E256" s="84">
        <v>2560</v>
      </c>
      <c r="F256" s="83">
        <f t="shared" ca="1" si="8"/>
        <v>25600</v>
      </c>
    </row>
    <row r="257" spans="1:10" ht="14.1" customHeight="1" x14ac:dyDescent="0.25">
      <c r="A257" s="94" t="s">
        <v>6439</v>
      </c>
      <c r="B257" s="82" t="str">
        <f ca="1">IFERROR(INDEX(UNSPSCDes,MATCH(INDIRECT(ADDRESS(ROW(),COLUMN()-1,4)),UNSPSCCode,0)),IF(INDIRECT(ADDRESS(ROW(),COLUMN()-1,4))="12161902","Surfactantes detergentes",""))</f>
        <v>Surfactantes detergentes</v>
      </c>
      <c r="C257" s="95" t="str">
        <f>IFERROR(VLOOKUP("GAL",'Informacion '!P:Q,2,FALSE),"")</f>
        <v>Galón</v>
      </c>
      <c r="D257" s="94">
        <v>18</v>
      </c>
      <c r="E257" s="84">
        <v>806</v>
      </c>
      <c r="F257" s="83">
        <f t="shared" ca="1" si="8"/>
        <v>14508</v>
      </c>
    </row>
    <row r="258" spans="1:10" ht="14.1" customHeight="1" x14ac:dyDescent="0.25">
      <c r="E258" s="96" t="s">
        <v>7213</v>
      </c>
      <c r="F258" s="87">
        <f ca="1">SUM(Table8[MONTO TOTAL ESTIMADO])</f>
        <v>2326772.02</v>
      </c>
      <c r="H258" s="39" t="str">
        <f>C209</f>
        <v>Bienes</v>
      </c>
      <c r="I258" s="39" t="str">
        <f>E209</f>
        <v>No</v>
      </c>
      <c r="J258" s="39" t="str">
        <f>D209</f>
        <v>Comparacion de Precios</v>
      </c>
    </row>
    <row r="260" spans="1:10" ht="33.950000000000003" customHeight="1" x14ac:dyDescent="0.25">
      <c r="A260" s="77" t="s">
        <v>17233</v>
      </c>
      <c r="B260" s="77" t="s">
        <v>4237</v>
      </c>
      <c r="C260" s="77" t="s">
        <v>4743</v>
      </c>
      <c r="D260" s="77" t="s">
        <v>9891</v>
      </c>
      <c r="E260" s="77" t="s">
        <v>3089</v>
      </c>
      <c r="F260" s="77" t="s">
        <v>18141</v>
      </c>
    </row>
    <row r="261" spans="1:10" ht="14.1" customHeight="1" x14ac:dyDescent="0.25">
      <c r="A261" s="79" t="s">
        <v>9858</v>
      </c>
      <c r="B261" s="79" t="s">
        <v>17677</v>
      </c>
      <c r="C261" s="79" t="s">
        <v>17215</v>
      </c>
      <c r="D261" s="79" t="s">
        <v>3848</v>
      </c>
      <c r="E261" s="79" t="s">
        <v>18247</v>
      </c>
      <c r="F261" s="79"/>
    </row>
    <row r="262" spans="1:10" ht="14.1" customHeight="1" x14ac:dyDescent="0.25">
      <c r="A262" s="2" t="s">
        <v>6643</v>
      </c>
      <c r="B262" s="80" t="s">
        <v>1046</v>
      </c>
      <c r="C262" s="90">
        <v>43556</v>
      </c>
      <c r="D262" s="2" t="s">
        <v>59</v>
      </c>
      <c r="E262" s="92" t="s">
        <v>20066</v>
      </c>
      <c r="F262" s="93"/>
    </row>
    <row r="263" spans="1:10" ht="14.1" customHeight="1" x14ac:dyDescent="0.25">
      <c r="A263" s="1"/>
      <c r="B263" s="80" t="s">
        <v>10788</v>
      </c>
      <c r="C263" s="91">
        <f>IF(C262="","",IF(AND(MONTH(C262)&gt;=1,MONTH(C262)&lt;=3),1,IF(AND(MONTH(C262)&gt;=4,MONTH(C262)&lt;=6),2,IF(AND(MONTH(C262)&gt;=7,MONTH(C262)&lt;=9),3,4))))</f>
        <v>2</v>
      </c>
      <c r="D263" s="1"/>
      <c r="E263" s="92" t="s">
        <v>14822</v>
      </c>
      <c r="F263" s="93"/>
    </row>
    <row r="264" spans="1:10" ht="14.1" customHeight="1" x14ac:dyDescent="0.25">
      <c r="A264" s="1"/>
      <c r="B264" s="80" t="s">
        <v>13758</v>
      </c>
      <c r="C264" s="90">
        <v>43644</v>
      </c>
      <c r="D264" s="1"/>
      <c r="E264" s="92" t="s">
        <v>18636</v>
      </c>
      <c r="F264" s="93"/>
    </row>
    <row r="265" spans="1:10" ht="14.1" customHeight="1" x14ac:dyDescent="0.25">
      <c r="A265" s="1"/>
      <c r="B265" s="80" t="s">
        <v>10788</v>
      </c>
      <c r="C265" s="91">
        <f>IF(C264="","",IF(AND(MONTH(C264)&gt;=1,MONTH(C264)&lt;=3),1,IF(AND(MONTH(C264)&gt;=4,MONTH(C264)&lt;=6),2,IF(AND(MONTH(C264)&gt;=7,MONTH(C264)&lt;=9),3,4))))</f>
        <v>2</v>
      </c>
      <c r="D265" s="1"/>
      <c r="E265" s="92" t="s">
        <v>15990</v>
      </c>
      <c r="F265" s="93"/>
    </row>
    <row r="267" spans="1:10" ht="14.1" customHeight="1" x14ac:dyDescent="0.25">
      <c r="A267" s="85" t="s">
        <v>15474</v>
      </c>
      <c r="B267" s="85" t="s">
        <v>5027</v>
      </c>
      <c r="C267" s="85" t="s">
        <v>17461</v>
      </c>
      <c r="D267" s="85" t="s">
        <v>3935</v>
      </c>
      <c r="E267" s="85" t="s">
        <v>10722</v>
      </c>
      <c r="F267" s="85" t="s">
        <v>18237</v>
      </c>
    </row>
    <row r="268" spans="1:10" ht="14.1" customHeight="1" x14ac:dyDescent="0.25">
      <c r="A268" s="94" t="s">
        <v>7953</v>
      </c>
      <c r="B268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268" s="95" t="str">
        <f>IFERROR(VLOOKUP("UD",'Informacion '!P:Q,2,FALSE),"")</f>
        <v>Unidad</v>
      </c>
      <c r="D268" s="94">
        <v>31</v>
      </c>
      <c r="E268" s="84">
        <v>1396.65</v>
      </c>
      <c r="F268" s="83">
        <f t="shared" ref="F268:F288" ca="1" si="9">INDIRECT(ADDRESS(ROW(),COLUMN()-2,4))*INDIRECT(ADDRESS(ROW(),COLUMN()-1,4))</f>
        <v>43296.15</v>
      </c>
    </row>
    <row r="269" spans="1:10" ht="14.1" customHeight="1" x14ac:dyDescent="0.25">
      <c r="A269" s="94" t="s">
        <v>2352</v>
      </c>
      <c r="B269" s="82" t="str">
        <f ca="1">IFERROR(INDEX(UNSPSCDes,MATCH(INDIRECT(ADDRESS(ROW(),COLUMN()-1,4)),UNSPSCCode,0)),IF(INDIRECT(ADDRESS(ROW(),COLUMN()-1,4))="51171821","Aprepitant",""))</f>
        <v>Aprepitant</v>
      </c>
      <c r="C269" s="95" t="str">
        <f>IFERROR(VLOOKUP("UD",'Informacion '!P:Q,2,FALSE),"")</f>
        <v>Unidad</v>
      </c>
      <c r="D269" s="94">
        <v>8</v>
      </c>
      <c r="E269" s="84">
        <v>5598.24</v>
      </c>
      <c r="F269" s="83">
        <f t="shared" ca="1" si="9"/>
        <v>44785.919999999998</v>
      </c>
    </row>
    <row r="270" spans="1:10" ht="14.1" customHeight="1" x14ac:dyDescent="0.25">
      <c r="A270" s="94" t="s">
        <v>19020</v>
      </c>
      <c r="B270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270" s="95" t="str">
        <f>IFERROR(VLOOKUP("UD",'Informacion '!P:Q,2,FALSE),"")</f>
        <v>Unidad</v>
      </c>
      <c r="D270" s="94">
        <v>59</v>
      </c>
      <c r="E270" s="84">
        <v>3034.08</v>
      </c>
      <c r="F270" s="83">
        <f t="shared" ca="1" si="9"/>
        <v>179010.72</v>
      </c>
    </row>
    <row r="271" spans="1:10" ht="14.1" customHeight="1" x14ac:dyDescent="0.25">
      <c r="A271" s="94" t="s">
        <v>19305</v>
      </c>
      <c r="B271" s="82" t="str">
        <f ca="1">IFERROR(INDEX(UNSPSCDes,MATCH(INDIRECT(ADDRESS(ROW(),COLUMN()-1,4)),UNSPSCCode,0)),IF(INDIRECT(ADDRESS(ROW(),COLUMN()-1,4))="51111807","Acetato de leuprolide",""))</f>
        <v>Acetato de leuprolide</v>
      </c>
      <c r="C271" s="95" t="str">
        <f>IFERROR(VLOOKUP("UD",'Informacion '!P:Q,2,FALSE),"")</f>
        <v>Unidad</v>
      </c>
      <c r="D271" s="94">
        <v>30</v>
      </c>
      <c r="E271" s="84">
        <v>7032</v>
      </c>
      <c r="F271" s="83">
        <f t="shared" ca="1" si="9"/>
        <v>210960</v>
      </c>
    </row>
    <row r="272" spans="1:10" ht="14.1" customHeight="1" x14ac:dyDescent="0.25">
      <c r="A272" s="94" t="s">
        <v>6655</v>
      </c>
      <c r="B272" s="82" t="str">
        <f ca="1">IFERROR(INDEX(UNSPSCDes,MATCH(INDIRECT(ADDRESS(ROW(),COLUMN()-1,4)),UNSPSCCode,0)),IF(INDIRECT(ADDRESS(ROW(),COLUMN()-1,4))="51111717","Trastuzumab",""))</f>
        <v>Trastuzumab</v>
      </c>
      <c r="C272" s="95" t="str">
        <f>IFERROR(VLOOKUP("UD",'Informacion '!P:Q,2,FALSE),"")</f>
        <v>Unidad</v>
      </c>
      <c r="D272" s="94">
        <v>55</v>
      </c>
      <c r="E272" s="84">
        <v>25329.9</v>
      </c>
      <c r="F272" s="83">
        <f t="shared" ca="1" si="9"/>
        <v>1393144.5</v>
      </c>
    </row>
    <row r="273" spans="1:6" ht="14.1" customHeight="1" x14ac:dyDescent="0.25">
      <c r="A273" s="94" t="s">
        <v>6655</v>
      </c>
      <c r="B273" s="82" t="str">
        <f ca="1">IFERROR(INDEX(UNSPSCDes,MATCH(INDIRECT(ADDRESS(ROW(),COLUMN()-1,4)),UNSPSCCode,0)),IF(INDIRECT(ADDRESS(ROW(),COLUMN()-1,4))="51111717","Trastuzumab",""))</f>
        <v>Trastuzumab</v>
      </c>
      <c r="C273" s="95" t="str">
        <f>IFERROR(VLOOKUP("UD",'Informacion '!P:Q,2,FALSE),"")</f>
        <v>Unidad</v>
      </c>
      <c r="D273" s="94">
        <v>138</v>
      </c>
      <c r="E273" s="84">
        <v>106637.66</v>
      </c>
      <c r="F273" s="83">
        <f t="shared" ca="1" si="9"/>
        <v>14715997.08</v>
      </c>
    </row>
    <row r="274" spans="1:6" ht="14.1" customHeight="1" x14ac:dyDescent="0.25">
      <c r="A274" s="94" t="s">
        <v>6655</v>
      </c>
      <c r="B274" s="82" t="str">
        <f ca="1">IFERROR(INDEX(UNSPSCDes,MATCH(INDIRECT(ADDRESS(ROW(),COLUMN()-1,4)),UNSPSCCode,0)),IF(INDIRECT(ADDRESS(ROW(),COLUMN()-1,4))="51111717","Trastuzumab",""))</f>
        <v>Trastuzumab</v>
      </c>
      <c r="C274" s="95" t="str">
        <f>IFERROR(VLOOKUP("UD",'Informacion '!P:Q,2,FALSE),"")</f>
        <v>Unidad</v>
      </c>
      <c r="D274" s="94">
        <v>5</v>
      </c>
      <c r="E274" s="84">
        <v>178803.82</v>
      </c>
      <c r="F274" s="83">
        <f t="shared" ca="1" si="9"/>
        <v>894019.10000000009</v>
      </c>
    </row>
    <row r="275" spans="1:6" ht="14.1" customHeight="1" x14ac:dyDescent="0.25">
      <c r="A275" s="94" t="s">
        <v>11307</v>
      </c>
      <c r="B275" s="82" t="str">
        <f ca="1">IFERROR(INDEX(UNSPSCDes,MATCH(INDIRECT(ADDRESS(ROW(),COLUMN()-1,4)),UNSPSCCode,0)),IF(INDIRECT(ADDRESS(ROW(),COLUMN()-1,4))="51182415","Ácido zoledrónico",""))</f>
        <v>Ácido zoledrónico</v>
      </c>
      <c r="C275" s="95" t="str">
        <f>IFERROR(VLOOKUP("UD",'Informacion '!P:Q,2,FALSE),"")</f>
        <v>Unidad</v>
      </c>
      <c r="D275" s="94">
        <v>187</v>
      </c>
      <c r="E275" s="84">
        <v>6581.51</v>
      </c>
      <c r="F275" s="83">
        <f t="shared" ca="1" si="9"/>
        <v>1230742.3700000001</v>
      </c>
    </row>
    <row r="276" spans="1:6" ht="14.1" customHeight="1" x14ac:dyDescent="0.25">
      <c r="A276" s="94" t="s">
        <v>2868</v>
      </c>
      <c r="B276" s="82" t="str">
        <f ca="1">IFERROR(INDEX(UNSPSCDes,MATCH(INDIRECT(ADDRESS(ROW(),COLUMN()-1,4)),UNSPSCCode,0)),IF(INDIRECT(ADDRESS(ROW(),COLUMN()-1,4))="51111616","Capecitabina",""))</f>
        <v>Capecitabina</v>
      </c>
      <c r="C276" s="95" t="str">
        <f>IFERROR(VLOOKUP("UD",'Informacion '!P:Q,2,FALSE),"")</f>
        <v>Unidad</v>
      </c>
      <c r="D276" s="94">
        <v>5875</v>
      </c>
      <c r="E276" s="84">
        <v>174.23</v>
      </c>
      <c r="F276" s="83">
        <f t="shared" ca="1" si="9"/>
        <v>1023601.2499999999</v>
      </c>
    </row>
    <row r="277" spans="1:6" ht="14.1" customHeight="1" x14ac:dyDescent="0.25">
      <c r="A277" s="94" t="s">
        <v>9065</v>
      </c>
      <c r="B277" s="82" t="str">
        <f ca="1">IFERROR(INDEX(UNSPSCDes,MATCH(INDIRECT(ADDRESS(ROW(),COLUMN()-1,4)),UNSPSCCode,0)),IF(INDIRECT(ADDRESS(ROW(),COLUMN()-1,4))="51111820","Letrozol",""))</f>
        <v>Letrozol</v>
      </c>
      <c r="C277" s="95" t="str">
        <f>IFERROR(VLOOKUP("UD",'Informacion '!P:Q,2,FALSE),"")</f>
        <v>Unidad</v>
      </c>
      <c r="D277" s="94">
        <v>165</v>
      </c>
      <c r="E277" s="84">
        <v>208.68</v>
      </c>
      <c r="F277" s="83">
        <f t="shared" ca="1" si="9"/>
        <v>34432.200000000004</v>
      </c>
    </row>
    <row r="278" spans="1:6" ht="14.1" customHeight="1" x14ac:dyDescent="0.25">
      <c r="A278" s="94" t="s">
        <v>872</v>
      </c>
      <c r="B278" s="82" t="str">
        <f ca="1">IFERROR(INDEX(UNSPSCDes,MATCH(INDIRECT(ADDRESS(ROW(),COLUMN()-1,4)),UNSPSCCode,0)),IF(INDIRECT(ADDRESS(ROW(),COLUMN()-1,4))="51111819","Fulvestrant",""))</f>
        <v>Fulvestrant</v>
      </c>
      <c r="C278" s="95" t="str">
        <f>IFERROR(VLOOKUP("UD",'Informacion '!P:Q,2,FALSE),"")</f>
        <v>Unidad</v>
      </c>
      <c r="D278" s="94">
        <v>2</v>
      </c>
      <c r="E278" s="84">
        <v>47900</v>
      </c>
      <c r="F278" s="83">
        <f t="shared" ca="1" si="9"/>
        <v>95800</v>
      </c>
    </row>
    <row r="279" spans="1:6" ht="14.1" customHeight="1" x14ac:dyDescent="0.25">
      <c r="A279" s="94" t="s">
        <v>6655</v>
      </c>
      <c r="B279" s="82" t="str">
        <f ca="1">IFERROR(INDEX(UNSPSCDes,MATCH(INDIRECT(ADDRESS(ROW(),COLUMN()-1,4)),UNSPSCCode,0)),IF(INDIRECT(ADDRESS(ROW(),COLUMN()-1,4))="51111717","Trastuzumab",""))</f>
        <v>Trastuzumab</v>
      </c>
      <c r="C279" s="95" t="str">
        <f>IFERROR(VLOOKUP("UD",'Informacion '!P:Q,2,FALSE),"")</f>
        <v>Unidad</v>
      </c>
      <c r="D279" s="94">
        <v>95</v>
      </c>
      <c r="E279" s="84">
        <v>62852.47</v>
      </c>
      <c r="F279" s="83">
        <f t="shared" ca="1" si="9"/>
        <v>5970984.6500000004</v>
      </c>
    </row>
    <row r="280" spans="1:6" ht="14.1" customHeight="1" x14ac:dyDescent="0.25">
      <c r="A280" s="94" t="s">
        <v>693</v>
      </c>
      <c r="B280" s="82" t="str">
        <f ca="1">IFERROR(INDEX(UNSPSCDes,MATCH(INDIRECT(ADDRESS(ROW(),COLUMN()-1,4)),UNSPSCCode,0)),IF(INDIRECT(ADDRESS(ROW(),COLUMN()-1,4))="51111716","Rituximab",""))</f>
        <v>Rituximab</v>
      </c>
      <c r="C280" s="95" t="str">
        <f>IFERROR(VLOOKUP("UD",'Informacion '!P:Q,2,FALSE),"")</f>
        <v>Unidad</v>
      </c>
      <c r="D280" s="94">
        <v>178</v>
      </c>
      <c r="E280" s="84">
        <v>119214.5</v>
      </c>
      <c r="F280" s="83">
        <f t="shared" ca="1" si="9"/>
        <v>21220181</v>
      </c>
    </row>
    <row r="281" spans="1:6" ht="14.1" customHeight="1" x14ac:dyDescent="0.25">
      <c r="A281" s="94" t="s">
        <v>19295</v>
      </c>
      <c r="B281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281" s="95" t="str">
        <f>IFERROR(VLOOKUP("UD",'Informacion '!P:Q,2,FALSE),"")</f>
        <v>Unidad</v>
      </c>
      <c r="D281" s="94">
        <v>63</v>
      </c>
      <c r="E281" s="84">
        <v>55200</v>
      </c>
      <c r="F281" s="83">
        <f t="shared" ca="1" si="9"/>
        <v>3477600</v>
      </c>
    </row>
    <row r="282" spans="1:6" ht="14.1" customHeight="1" x14ac:dyDescent="0.25">
      <c r="A282" s="94" t="s">
        <v>11115</v>
      </c>
      <c r="B282" s="82" t="str">
        <f ca="1">IFERROR(INDEX(UNSPSCDes,MATCH(INDIRECT(ADDRESS(ROW(),COLUMN()-1,4)),UNSPSCCode,0)),IF(INDIRECT(ADDRESS(ROW(),COLUMN()-1,4))="51131506","Eritropoyetina",""))</f>
        <v>Eritropoyetina</v>
      </c>
      <c r="C282" s="95" t="str">
        <f>IFERROR(VLOOKUP("UD",'Informacion '!P:Q,2,FALSE),"")</f>
        <v>Unidad</v>
      </c>
      <c r="D282" s="94">
        <v>179</v>
      </c>
      <c r="E282" s="84">
        <v>1133.81</v>
      </c>
      <c r="F282" s="83">
        <f t="shared" ca="1" si="9"/>
        <v>202951.99</v>
      </c>
    </row>
    <row r="283" spans="1:6" ht="14.1" customHeight="1" x14ac:dyDescent="0.25">
      <c r="A283" s="94" t="s">
        <v>693</v>
      </c>
      <c r="B283" s="82" t="str">
        <f ca="1">IFERROR(INDEX(UNSPSCDes,MATCH(INDIRECT(ADDRESS(ROW(),COLUMN()-1,4)),UNSPSCCode,0)),IF(INDIRECT(ADDRESS(ROW(),COLUMN()-1,4))="51111716","Rituximab",""))</f>
        <v>Rituximab</v>
      </c>
      <c r="C283" s="95" t="str">
        <f>IFERROR(VLOOKUP("UD",'Informacion '!P:Q,2,FALSE),"")</f>
        <v>Unidad</v>
      </c>
      <c r="D283" s="94">
        <v>28</v>
      </c>
      <c r="E283" s="84">
        <v>34783.69</v>
      </c>
      <c r="F283" s="83">
        <f t="shared" ca="1" si="9"/>
        <v>973943.32000000007</v>
      </c>
    </row>
    <row r="284" spans="1:6" ht="14.1" customHeight="1" x14ac:dyDescent="0.25">
      <c r="A284" s="94" t="s">
        <v>4724</v>
      </c>
      <c r="B284" s="82" t="str">
        <f ca="1">IFERROR(INDEX(UNSPSCDes,MATCH(INDIRECT(ADDRESS(ROW(),COLUMN()-1,4)),UNSPSCCode,0)),IF(INDIRECT(ADDRESS(ROW(),COLUMN()-1,4))="51111712","Pirarubicina",""))</f>
        <v>Pirarubicina</v>
      </c>
      <c r="C284" s="95" t="str">
        <f>IFERROR(VLOOKUP("UD",'Informacion '!P:Q,2,FALSE),"")</f>
        <v>Unidad</v>
      </c>
      <c r="D284" s="94">
        <v>120</v>
      </c>
      <c r="E284" s="84">
        <v>4353</v>
      </c>
      <c r="F284" s="83">
        <f t="shared" ca="1" si="9"/>
        <v>522360</v>
      </c>
    </row>
    <row r="285" spans="1:6" ht="14.1" customHeight="1" x14ac:dyDescent="0.25">
      <c r="A285" s="94" t="s">
        <v>3969</v>
      </c>
      <c r="B285" s="82" t="str">
        <f ca="1">IFERROR(INDEX(UNSPSCDes,MATCH(INDIRECT(ADDRESS(ROW(),COLUMN()-1,4)),UNSPSCCode,0)),IF(INDIRECT(ADDRESS(ROW(),COLUMN()-1,4))="51142608","Trimetilxantina",""))</f>
        <v>Trimetilxantina</v>
      </c>
      <c r="C285" s="95" t="str">
        <f>IFERROR(VLOOKUP("UD",'Informacion '!P:Q,2,FALSE),"")</f>
        <v>Unidad</v>
      </c>
      <c r="D285" s="94">
        <v>30</v>
      </c>
      <c r="E285" s="84">
        <v>7097</v>
      </c>
      <c r="F285" s="83">
        <f t="shared" ca="1" si="9"/>
        <v>212910</v>
      </c>
    </row>
    <row r="286" spans="1:6" ht="14.1" customHeight="1" x14ac:dyDescent="0.25">
      <c r="A286" s="94" t="s">
        <v>7830</v>
      </c>
      <c r="B286" s="82" t="str">
        <f ca="1">IFERROR(INDEX(UNSPSCDes,MATCH(INDIRECT(ADDRESS(ROW(),COLUMN()-1,4)),UNSPSCCode,0)),IF(INDIRECT(ADDRESS(ROW(),COLUMN()-1,4))="51111809","Tamoxifeno",""))</f>
        <v>Tamoxifeno</v>
      </c>
      <c r="C286" s="95" t="str">
        <f>IFERROR(VLOOKUP("UD",'Informacion '!P:Q,2,FALSE),"")</f>
        <v>Unidad</v>
      </c>
      <c r="D286" s="94">
        <v>300</v>
      </c>
      <c r="E286" s="84">
        <v>64</v>
      </c>
      <c r="F286" s="83">
        <f t="shared" ca="1" si="9"/>
        <v>19200</v>
      </c>
    </row>
    <row r="287" spans="1:6" ht="14.1" customHeight="1" x14ac:dyDescent="0.25">
      <c r="A287" s="94" t="s">
        <v>4724</v>
      </c>
      <c r="B287" s="82" t="str">
        <f ca="1">IFERROR(INDEX(UNSPSCDes,MATCH(INDIRECT(ADDRESS(ROW(),COLUMN()-1,4)),UNSPSCCode,0)),IF(INDIRECT(ADDRESS(ROW(),COLUMN()-1,4))="51111712","Pirarubicina",""))</f>
        <v>Pirarubicina</v>
      </c>
      <c r="C287" s="95" t="str">
        <f>IFERROR(VLOOKUP("UD",'Informacion '!P:Q,2,FALSE),"")</f>
        <v>Unidad</v>
      </c>
      <c r="D287" s="94">
        <v>420</v>
      </c>
      <c r="E287" s="84">
        <v>827</v>
      </c>
      <c r="F287" s="83">
        <f t="shared" ca="1" si="9"/>
        <v>347340</v>
      </c>
    </row>
    <row r="288" spans="1:6" ht="14.1" customHeight="1" x14ac:dyDescent="0.25">
      <c r="A288" s="94" t="s">
        <v>6372</v>
      </c>
      <c r="B288" s="82" t="str">
        <f ca="1">IFERROR(INDEX(UNSPSCDes,MATCH(INDIRECT(ADDRESS(ROW(),COLUMN()-1,4)),UNSPSCCode,0)),IF(INDIRECT(ADDRESS(ROW(),COLUMN()-1,4))="51101835","Acetato de caspofungina",""))</f>
        <v>Acetato de caspofungina</v>
      </c>
      <c r="C288" s="95" t="str">
        <f>IFERROR(VLOOKUP("UD",'Informacion '!P:Q,2,FALSE),"")</f>
        <v>Unidad</v>
      </c>
      <c r="D288" s="94">
        <v>30</v>
      </c>
      <c r="E288" s="84">
        <v>22529.56</v>
      </c>
      <c r="F288" s="83">
        <f t="shared" ca="1" si="9"/>
        <v>675886.8</v>
      </c>
    </row>
    <row r="289" spans="1:10" ht="14.1" customHeight="1" x14ac:dyDescent="0.25">
      <c r="E289" s="96" t="s">
        <v>7213</v>
      </c>
      <c r="F289" s="87">
        <f ca="1">SUM(Table9[MONTO TOTAL ESTIMADO])</f>
        <v>53489147.050000004</v>
      </c>
      <c r="H289" s="39" t="str">
        <f>C261</f>
        <v>Bienes</v>
      </c>
      <c r="I289" s="39" t="str">
        <f>E261</f>
        <v>No</v>
      </c>
      <c r="J289" s="39" t="str">
        <f>D261</f>
        <v>Excepción - Proveedor Único</v>
      </c>
    </row>
    <row r="291" spans="1:10" ht="33.950000000000003" customHeight="1" x14ac:dyDescent="0.25">
      <c r="A291" s="77" t="s">
        <v>17233</v>
      </c>
      <c r="B291" s="77" t="s">
        <v>4237</v>
      </c>
      <c r="C291" s="77" t="s">
        <v>4743</v>
      </c>
      <c r="D291" s="77" t="s">
        <v>9891</v>
      </c>
      <c r="E291" s="77" t="s">
        <v>3089</v>
      </c>
      <c r="F291" s="77" t="s">
        <v>18141</v>
      </c>
    </row>
    <row r="292" spans="1:10" ht="14.1" customHeight="1" x14ac:dyDescent="0.25">
      <c r="A292" s="79" t="s">
        <v>16623</v>
      </c>
      <c r="B292" s="79" t="s">
        <v>4764</v>
      </c>
      <c r="C292" s="79" t="s">
        <v>17215</v>
      </c>
      <c r="D292" s="79" t="s">
        <v>15249</v>
      </c>
      <c r="E292" s="79" t="s">
        <v>18247</v>
      </c>
      <c r="F292" s="79"/>
    </row>
    <row r="293" spans="1:10" ht="14.1" customHeight="1" x14ac:dyDescent="0.25">
      <c r="A293" s="2" t="s">
        <v>6643</v>
      </c>
      <c r="B293" s="80" t="s">
        <v>1046</v>
      </c>
      <c r="C293" s="90">
        <v>43466</v>
      </c>
      <c r="D293" s="2" t="s">
        <v>59</v>
      </c>
      <c r="E293" s="92" t="s">
        <v>20066</v>
      </c>
      <c r="F293" s="93" t="s">
        <v>5684</v>
      </c>
    </row>
    <row r="294" spans="1:10" ht="14.1" customHeight="1" x14ac:dyDescent="0.25">
      <c r="A294" s="1"/>
      <c r="B294" s="80" t="s">
        <v>10788</v>
      </c>
      <c r="C294" s="91">
        <f>IF(C293="","",IF(AND(MONTH(C293)&gt;=1,MONTH(C293)&lt;=3),1,IF(AND(MONTH(C293)&gt;=4,MONTH(C293)&lt;=6),2,IF(AND(MONTH(C293)&gt;=7,MONTH(C293)&lt;=9),3,4))))</f>
        <v>1</v>
      </c>
      <c r="D294" s="1"/>
      <c r="E294" s="92" t="s">
        <v>14822</v>
      </c>
      <c r="F294" s="93" t="s">
        <v>17690</v>
      </c>
    </row>
    <row r="295" spans="1:10" ht="14.1" customHeight="1" x14ac:dyDescent="0.25">
      <c r="A295" s="1"/>
      <c r="B295" s="80" t="s">
        <v>13758</v>
      </c>
      <c r="C295" s="90">
        <v>43553</v>
      </c>
      <c r="D295" s="1"/>
      <c r="E295" s="92" t="s">
        <v>18636</v>
      </c>
      <c r="F295" s="93"/>
    </row>
    <row r="296" spans="1:10" ht="14.1" customHeight="1" x14ac:dyDescent="0.25">
      <c r="A296" s="1"/>
      <c r="B296" s="80" t="s">
        <v>10788</v>
      </c>
      <c r="C296" s="91">
        <f>IF(C295="","",IF(AND(MONTH(C295)&gt;=1,MONTH(C295)&lt;=3),1,IF(AND(MONTH(C295)&gt;=4,MONTH(C295)&lt;=6),2,IF(AND(MONTH(C295)&gt;=7,MONTH(C295)&lt;=9),3,4))))</f>
        <v>1</v>
      </c>
      <c r="D296" s="1"/>
      <c r="E296" s="92" t="s">
        <v>15990</v>
      </c>
      <c r="F296" s="93"/>
    </row>
    <row r="298" spans="1:10" ht="14.1" customHeight="1" x14ac:dyDescent="0.25">
      <c r="A298" s="85" t="s">
        <v>15474</v>
      </c>
      <c r="B298" s="85" t="s">
        <v>5027</v>
      </c>
      <c r="C298" s="85" t="s">
        <v>17461</v>
      </c>
      <c r="D298" s="85" t="s">
        <v>3935</v>
      </c>
      <c r="E298" s="85" t="s">
        <v>10722</v>
      </c>
      <c r="F298" s="85" t="s">
        <v>18237</v>
      </c>
    </row>
    <row r="299" spans="1:10" ht="14.1" customHeight="1" x14ac:dyDescent="0.25">
      <c r="A299" s="94" t="s">
        <v>3544</v>
      </c>
      <c r="B299" s="82" t="str">
        <f ca="1">IFERROR(INDEX(UNSPSCDes,MATCH(INDIRECT(ADDRESS(ROW(),COLUMN()-1,4)),UNSPSCCode,0)),IF(INDIRECT(ADDRESS(ROW(),COLUMN()-1,4))="52121505","Almohadas",""))</f>
        <v>Almohadas</v>
      </c>
      <c r="C299" s="95" t="str">
        <f>IFERROR(VLOOKUP("UD",'Informacion '!P:Q,2,FALSE),"")</f>
        <v>Unidad</v>
      </c>
      <c r="D299" s="94">
        <v>80</v>
      </c>
      <c r="E299" s="84">
        <v>350</v>
      </c>
      <c r="F299" s="83">
        <f t="shared" ref="F299:F322" ca="1" si="10">INDIRECT(ADDRESS(ROW(),COLUMN()-2,4))*INDIRECT(ADDRESS(ROW(),COLUMN()-1,4))</f>
        <v>28000</v>
      </c>
    </row>
    <row r="300" spans="1:10" ht="14.1" customHeight="1" x14ac:dyDescent="0.25">
      <c r="A300" s="94" t="s">
        <v>10804</v>
      </c>
      <c r="B300" s="82" t="str">
        <f ca="1">IFERROR(INDEX(UNSPSCDes,MATCH(INDIRECT(ADDRESS(ROW(),COLUMN()-1,4)),UNSPSCCode,0)),IF(INDIRECT(ADDRESS(ROW(),COLUMN()-1,4))="11162112","Telas revestidas",""))</f>
        <v>Telas revestidas</v>
      </c>
      <c r="C300" s="95" t="str">
        <f>IFERROR(VLOOKUP("YD",'Informacion '!P:Q,2,FALSE),"")</f>
        <v>Yarda</v>
      </c>
      <c r="D300" s="94">
        <v>500</v>
      </c>
      <c r="E300" s="84">
        <v>250</v>
      </c>
      <c r="F300" s="83">
        <f t="shared" ca="1" si="10"/>
        <v>125000</v>
      </c>
    </row>
    <row r="301" spans="1:10" ht="14.1" customHeight="1" x14ac:dyDescent="0.25">
      <c r="A301" s="94" t="s">
        <v>10804</v>
      </c>
      <c r="B301" s="82" t="str">
        <f ca="1">IFERROR(INDEX(UNSPSCDes,MATCH(INDIRECT(ADDRESS(ROW(),COLUMN()-1,4)),UNSPSCCode,0)),IF(INDIRECT(ADDRESS(ROW(),COLUMN()-1,4))="11162112","Telas revestidas",""))</f>
        <v>Telas revestidas</v>
      </c>
      <c r="C301" s="95" t="str">
        <f>IFERROR(VLOOKUP("YD",'Informacion '!P:Q,2,FALSE),"")</f>
        <v>Yarda</v>
      </c>
      <c r="D301" s="94">
        <v>500</v>
      </c>
      <c r="E301" s="84">
        <v>250</v>
      </c>
      <c r="F301" s="83">
        <f t="shared" ca="1" si="10"/>
        <v>125000</v>
      </c>
    </row>
    <row r="302" spans="1:10" ht="14.1" customHeight="1" x14ac:dyDescent="0.25">
      <c r="A302" s="94" t="s">
        <v>10804</v>
      </c>
      <c r="B302" s="82" t="str">
        <f ca="1">IFERROR(INDEX(UNSPSCDes,MATCH(INDIRECT(ADDRESS(ROW(),COLUMN()-1,4)),UNSPSCCode,0)),IF(INDIRECT(ADDRESS(ROW(),COLUMN()-1,4))="11162112","Telas revestidas",""))</f>
        <v>Telas revestidas</v>
      </c>
      <c r="C302" s="95" t="str">
        <f>IFERROR(VLOOKUP("YD",'Informacion '!P:Q,2,FALSE),"")</f>
        <v>Yarda</v>
      </c>
      <c r="D302" s="94">
        <v>130</v>
      </c>
      <c r="E302" s="84">
        <v>150</v>
      </c>
      <c r="F302" s="83">
        <f t="shared" ca="1" si="10"/>
        <v>19500</v>
      </c>
    </row>
    <row r="303" spans="1:10" ht="14.1" customHeight="1" x14ac:dyDescent="0.25">
      <c r="A303" s="94" t="s">
        <v>10804</v>
      </c>
      <c r="B303" s="82" t="str">
        <f ca="1">IFERROR(INDEX(UNSPSCDes,MATCH(INDIRECT(ADDRESS(ROW(),COLUMN()-1,4)),UNSPSCCode,0)),IF(INDIRECT(ADDRESS(ROW(),COLUMN()-1,4))="11162112","Telas revestidas",""))</f>
        <v>Telas revestidas</v>
      </c>
      <c r="C303" s="95" t="str">
        <f>IFERROR(VLOOKUP("YD",'Informacion '!P:Q,2,FALSE),"")</f>
        <v>Yarda</v>
      </c>
      <c r="D303" s="94">
        <v>200</v>
      </c>
      <c r="E303" s="84">
        <v>150</v>
      </c>
      <c r="F303" s="83">
        <f t="shared" ca="1" si="10"/>
        <v>30000</v>
      </c>
    </row>
    <row r="304" spans="1:10" ht="14.1" customHeight="1" x14ac:dyDescent="0.25">
      <c r="A304" s="94" t="s">
        <v>10804</v>
      </c>
      <c r="B304" s="82" t="str">
        <f ca="1">IFERROR(INDEX(UNSPSCDes,MATCH(INDIRECT(ADDRESS(ROW(),COLUMN()-1,4)),UNSPSCCode,0)),IF(INDIRECT(ADDRESS(ROW(),COLUMN()-1,4))="11162112","Telas revestidas",""))</f>
        <v>Telas revestidas</v>
      </c>
      <c r="C304" s="95" t="str">
        <f>IFERROR(VLOOKUP("YD",'Informacion '!P:Q,2,FALSE),"")</f>
        <v>Yarda</v>
      </c>
      <c r="D304" s="94">
        <v>165</v>
      </c>
      <c r="E304" s="84">
        <v>150</v>
      </c>
      <c r="F304" s="83">
        <f t="shared" ca="1" si="10"/>
        <v>24750</v>
      </c>
    </row>
    <row r="305" spans="1:6" ht="14.1" customHeight="1" x14ac:dyDescent="0.25">
      <c r="A305" s="94" t="s">
        <v>3823</v>
      </c>
      <c r="B305" s="82" t="str">
        <f ca="1">IFERROR(INDEX(UNSPSCDes,MATCH(INDIRECT(ADDRESS(ROW(),COLUMN()-1,4)),UNSPSCCode,0)),IF(INDIRECT(ADDRESS(ROW(),COLUMN()-1,4))="60122002","Accesorios para tejer",""))</f>
        <v>Accesorios para tejer</v>
      </c>
      <c r="C305" s="95" t="str">
        <f>IFERROR(VLOOKUP("UD",'Informacion '!P:Q,2,FALSE),"")</f>
        <v>Unidad</v>
      </c>
      <c r="D305" s="94">
        <v>80</v>
      </c>
      <c r="E305" s="84">
        <v>80</v>
      </c>
      <c r="F305" s="83">
        <f t="shared" ca="1" si="10"/>
        <v>6400</v>
      </c>
    </row>
    <row r="306" spans="1:6" ht="14.1" customHeight="1" x14ac:dyDescent="0.25">
      <c r="A306" s="94" t="s">
        <v>3823</v>
      </c>
      <c r="B306" s="82" t="str">
        <f ca="1">IFERROR(INDEX(UNSPSCDes,MATCH(INDIRECT(ADDRESS(ROW(),COLUMN()-1,4)),UNSPSCCode,0)),IF(INDIRECT(ADDRESS(ROW(),COLUMN()-1,4))="60122002","Accesorios para tejer",""))</f>
        <v>Accesorios para tejer</v>
      </c>
      <c r="C306" s="95" t="str">
        <f>IFERROR(VLOOKUP("UD",'Informacion '!P:Q,2,FALSE),"")</f>
        <v>Unidad</v>
      </c>
      <c r="D306" s="94">
        <v>80</v>
      </c>
      <c r="E306" s="84">
        <v>240</v>
      </c>
      <c r="F306" s="83">
        <f t="shared" ca="1" si="10"/>
        <v>19200</v>
      </c>
    </row>
    <row r="307" spans="1:6" ht="14.1" customHeight="1" x14ac:dyDescent="0.25">
      <c r="A307" s="94" t="s">
        <v>3778</v>
      </c>
      <c r="B307" s="82" t="str">
        <f ca="1">IFERROR(INDEX(UNSPSCDes,MATCH(INDIRECT(ADDRESS(ROW(),COLUMN()-1,4)),UNSPSCCode,0)),IF(INDIRECT(ADDRESS(ROW(),COLUMN()-1,4))="60122003","Agujas para coser a mano",""))</f>
        <v>Agujas para coser a mano</v>
      </c>
      <c r="C307" s="95" t="str">
        <f>IFERROR(VLOOKUP("UD",'Informacion '!P:Q,2,FALSE),"")</f>
        <v>Unidad</v>
      </c>
      <c r="D307" s="94">
        <v>20</v>
      </c>
      <c r="E307" s="84">
        <v>150</v>
      </c>
      <c r="F307" s="83">
        <f t="shared" ca="1" si="10"/>
        <v>3000</v>
      </c>
    </row>
    <row r="308" spans="1:6" ht="14.1" customHeight="1" x14ac:dyDescent="0.25">
      <c r="A308" s="94" t="s">
        <v>3778</v>
      </c>
      <c r="B308" s="82" t="str">
        <f ca="1">IFERROR(INDEX(UNSPSCDes,MATCH(INDIRECT(ADDRESS(ROW(),COLUMN()-1,4)),UNSPSCCode,0)),IF(INDIRECT(ADDRESS(ROW(),COLUMN()-1,4))="60122003","Agujas para coser a mano",""))</f>
        <v>Agujas para coser a mano</v>
      </c>
      <c r="C308" s="95" t="str">
        <f>IFERROR(VLOOKUP("UD",'Informacion '!P:Q,2,FALSE),"")</f>
        <v>Unidad</v>
      </c>
      <c r="D308" s="94">
        <v>20</v>
      </c>
      <c r="E308" s="84">
        <v>150</v>
      </c>
      <c r="F308" s="83">
        <f t="shared" ca="1" si="10"/>
        <v>3000</v>
      </c>
    </row>
    <row r="309" spans="1:6" ht="14.1" customHeight="1" x14ac:dyDescent="0.25">
      <c r="A309" s="94" t="s">
        <v>3778</v>
      </c>
      <c r="B309" s="82" t="str">
        <f ca="1">IFERROR(INDEX(UNSPSCDes,MATCH(INDIRECT(ADDRESS(ROW(),COLUMN()-1,4)),UNSPSCCode,0)),IF(INDIRECT(ADDRESS(ROW(),COLUMN()-1,4))="60122003","Agujas para coser a mano",""))</f>
        <v>Agujas para coser a mano</v>
      </c>
      <c r="C309" s="95" t="str">
        <f>IFERROR(VLOOKUP("UD",'Informacion '!P:Q,2,FALSE),"")</f>
        <v>Unidad</v>
      </c>
      <c r="D309" s="94">
        <v>20</v>
      </c>
      <c r="E309" s="84">
        <v>150</v>
      </c>
      <c r="F309" s="83">
        <f t="shared" ca="1" si="10"/>
        <v>3000</v>
      </c>
    </row>
    <row r="310" spans="1:6" ht="14.1" customHeight="1" x14ac:dyDescent="0.25">
      <c r="A310" s="94" t="s">
        <v>3778</v>
      </c>
      <c r="B310" s="82" t="str">
        <f ca="1">IFERROR(INDEX(UNSPSCDes,MATCH(INDIRECT(ADDRESS(ROW(),COLUMN()-1,4)),UNSPSCCode,0)),IF(INDIRECT(ADDRESS(ROW(),COLUMN()-1,4))="60122003","Agujas para coser a mano",""))</f>
        <v>Agujas para coser a mano</v>
      </c>
      <c r="C310" s="95" t="str">
        <f>IFERROR(VLOOKUP("UD",'Informacion '!P:Q,2,FALSE),"")</f>
        <v>Unidad</v>
      </c>
      <c r="D310" s="94">
        <v>10</v>
      </c>
      <c r="E310" s="84">
        <v>150</v>
      </c>
      <c r="F310" s="83">
        <f t="shared" ca="1" si="10"/>
        <v>1500</v>
      </c>
    </row>
    <row r="311" spans="1:6" ht="14.1" customHeight="1" x14ac:dyDescent="0.25">
      <c r="A311" s="94" t="s">
        <v>10655</v>
      </c>
      <c r="B311" s="82" t="str">
        <f ca="1">IFERROR(INDEX(UNSPSCDes,MATCH(INDIRECT(ADDRESS(ROW(),COLUMN()-1,4)),UNSPSCCode,0)),IF(INDIRECT(ADDRESS(ROW(),COLUMN()-1,4))="53141503","Cremalleras",""))</f>
        <v>Cremalleras</v>
      </c>
      <c r="C311" s="95" t="str">
        <f>IFERROR(VLOOKUP("UD",'Informacion '!P:Q,2,FALSE),"")</f>
        <v>Unidad</v>
      </c>
      <c r="D311" s="94">
        <v>4</v>
      </c>
      <c r="E311" s="84">
        <v>200</v>
      </c>
      <c r="F311" s="83">
        <f t="shared" ca="1" si="10"/>
        <v>800</v>
      </c>
    </row>
    <row r="312" spans="1:6" ht="14.1" customHeight="1" x14ac:dyDescent="0.25">
      <c r="A312" s="94" t="s">
        <v>10655</v>
      </c>
      <c r="B312" s="82" t="str">
        <f ca="1">IFERROR(INDEX(UNSPSCDes,MATCH(INDIRECT(ADDRESS(ROW(),COLUMN()-1,4)),UNSPSCCode,0)),IF(INDIRECT(ADDRESS(ROW(),COLUMN()-1,4))="53141503","Cremalleras",""))</f>
        <v>Cremalleras</v>
      </c>
      <c r="C312" s="95" t="str">
        <f>IFERROR(VLOOKUP("UD",'Informacion '!P:Q,2,FALSE),"")</f>
        <v>Unidad</v>
      </c>
      <c r="D312" s="94">
        <v>100</v>
      </c>
      <c r="E312" s="84">
        <v>50</v>
      </c>
      <c r="F312" s="83">
        <f t="shared" ca="1" si="10"/>
        <v>5000</v>
      </c>
    </row>
    <row r="313" spans="1:6" ht="14.1" customHeight="1" x14ac:dyDescent="0.25">
      <c r="A313" s="94" t="s">
        <v>9982</v>
      </c>
      <c r="B313" s="82" t="str">
        <f ca="1">IFERROR(INDEX(UNSPSCDes,MATCH(INDIRECT(ADDRESS(ROW(),COLUMN()-1,4)),UNSPSCCode,0)),IF(INDIRECT(ADDRESS(ROW(),COLUMN()-1,4))="53141505","Botones",""))</f>
        <v>Botones</v>
      </c>
      <c r="C313" s="95" t="str">
        <f>IFERROR(VLOOKUP("UD",'Informacion '!P:Q,2,FALSE),"")</f>
        <v>Unidad</v>
      </c>
      <c r="D313" s="94">
        <v>250</v>
      </c>
      <c r="E313" s="84">
        <v>10</v>
      </c>
      <c r="F313" s="83">
        <f t="shared" ca="1" si="10"/>
        <v>2500</v>
      </c>
    </row>
    <row r="314" spans="1:6" ht="14.1" customHeight="1" x14ac:dyDescent="0.25">
      <c r="A314" s="94" t="s">
        <v>6840</v>
      </c>
      <c r="B314" s="82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314" s="95" t="str">
        <f>IFERROR(VLOOKUP("UD",'Informacion '!P:Q,2,FALSE),"")</f>
        <v>Unidad</v>
      </c>
      <c r="D314" s="94">
        <v>200</v>
      </c>
      <c r="E314" s="84">
        <v>15</v>
      </c>
      <c r="F314" s="83">
        <f t="shared" ca="1" si="10"/>
        <v>3000</v>
      </c>
    </row>
    <row r="315" spans="1:6" ht="14.1" customHeight="1" x14ac:dyDescent="0.25">
      <c r="A315" s="94" t="s">
        <v>6840</v>
      </c>
      <c r="B315" s="82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315" s="95" t="str">
        <f>IFERROR(VLOOKUP("UD",'Informacion '!P:Q,2,FALSE),"")</f>
        <v>Unidad</v>
      </c>
      <c r="D315" s="94">
        <v>150</v>
      </c>
      <c r="E315" s="84">
        <v>100</v>
      </c>
      <c r="F315" s="83">
        <f t="shared" ca="1" si="10"/>
        <v>15000</v>
      </c>
    </row>
    <row r="316" spans="1:6" ht="14.1" customHeight="1" x14ac:dyDescent="0.25">
      <c r="A316" s="94" t="s">
        <v>12615</v>
      </c>
      <c r="B316" s="82" t="str">
        <f ca="1">IFERROR(INDEX(UNSPSCDes,MATCH(INDIRECT(ADDRESS(ROW(),COLUMN()-1,4)),UNSPSCCode,0)),IF(INDIRECT(ADDRESS(ROW(),COLUMN()-1,4))="31201512","Cinta transparente",""))</f>
        <v>Cinta transparente</v>
      </c>
      <c r="C316" s="95" t="str">
        <f>IFERROR(VLOOKUP("UD",'Informacion '!P:Q,2,FALSE),"")</f>
        <v>Unidad</v>
      </c>
      <c r="D316" s="94">
        <v>7</v>
      </c>
      <c r="E316" s="84">
        <v>7500</v>
      </c>
      <c r="F316" s="83">
        <f t="shared" ca="1" si="10"/>
        <v>52500</v>
      </c>
    </row>
    <row r="317" spans="1:6" ht="14.1" customHeight="1" x14ac:dyDescent="0.25">
      <c r="A317" s="94" t="s">
        <v>7201</v>
      </c>
      <c r="B317" s="82" t="str">
        <f ca="1">IFERROR(INDEX(UNSPSCDes,MATCH(INDIRECT(ADDRESS(ROW(),COLUMN()-1,4)),UNSPSCCode,0)),IF(INDIRECT(ADDRESS(ROW(),COLUMN()-1,4))="53102507","Ganchos para colgar la ropa",""))</f>
        <v>Ganchos para colgar la ropa</v>
      </c>
      <c r="C317" s="95" t="str">
        <f>IFERROR(VLOOKUP("UD",'Informacion '!P:Q,2,FALSE),"")</f>
        <v>Unidad</v>
      </c>
      <c r="D317" s="94">
        <v>450</v>
      </c>
      <c r="E317" s="84">
        <v>70</v>
      </c>
      <c r="F317" s="83">
        <f t="shared" ca="1" si="10"/>
        <v>31500</v>
      </c>
    </row>
    <row r="318" spans="1:6" ht="14.1" customHeight="1" x14ac:dyDescent="0.25">
      <c r="A318" s="94" t="s">
        <v>10961</v>
      </c>
      <c r="B318" s="82" t="str">
        <f ca="1">IFERROR(INDEX(UNSPSCDes,MATCH(INDIRECT(ADDRESS(ROW(),COLUMN()-1,4)),UNSPSCCode,0)),IF(INDIRECT(ADDRESS(ROW(),COLUMN()-1,4))="23121614","Máquinas de coser",""))</f>
        <v>Máquinas de coser</v>
      </c>
      <c r="C318" s="95" t="str">
        <f>IFERROR(VLOOKUP("UD",'Informacion '!P:Q,2,FALSE),"")</f>
        <v>Unidad</v>
      </c>
      <c r="D318" s="94">
        <v>1</v>
      </c>
      <c r="E318" s="84">
        <v>765</v>
      </c>
      <c r="F318" s="83">
        <f t="shared" ca="1" si="10"/>
        <v>765</v>
      </c>
    </row>
    <row r="319" spans="1:6" ht="14.1" customHeight="1" x14ac:dyDescent="0.25">
      <c r="A319" s="94" t="s">
        <v>10961</v>
      </c>
      <c r="B319" s="82" t="str">
        <f ca="1">IFERROR(INDEX(UNSPSCDes,MATCH(INDIRECT(ADDRESS(ROW(),COLUMN()-1,4)),UNSPSCCode,0)),IF(INDIRECT(ADDRESS(ROW(),COLUMN()-1,4))="23121614","Máquinas de coser",""))</f>
        <v>Máquinas de coser</v>
      </c>
      <c r="C319" s="95" t="str">
        <f>IFERROR(VLOOKUP("UD",'Informacion '!P:Q,2,FALSE),"")</f>
        <v>Unidad</v>
      </c>
      <c r="D319" s="94">
        <v>15</v>
      </c>
      <c r="E319" s="84">
        <v>354</v>
      </c>
      <c r="F319" s="83">
        <f t="shared" ca="1" si="10"/>
        <v>5310</v>
      </c>
    </row>
    <row r="320" spans="1:6" ht="14.1" customHeight="1" x14ac:dyDescent="0.25">
      <c r="A320" s="94" t="s">
        <v>19593</v>
      </c>
      <c r="B320" s="82" t="str">
        <f ca="1">IFERROR(INDEX(UNSPSCDes,MATCH(INDIRECT(ADDRESS(ROW(),COLUMN()-1,4)),UNSPSCCode,0)),IF(INDIRECT(ADDRESS(ROW(),COLUMN()-1,4))="60101711","Sellos para calificar",""))</f>
        <v>Sellos para calificar</v>
      </c>
      <c r="C320" s="95" t="str">
        <f>IFERROR(VLOOKUP("UD",'Informacion '!P:Q,2,FALSE),"")</f>
        <v>Unidad</v>
      </c>
      <c r="D320" s="94">
        <v>1</v>
      </c>
      <c r="E320" s="84">
        <v>10000</v>
      </c>
      <c r="F320" s="83">
        <f t="shared" ca="1" si="10"/>
        <v>10000</v>
      </c>
    </row>
    <row r="321" spans="1:10" ht="14.1" customHeight="1" x14ac:dyDescent="0.25">
      <c r="A321" s="94" t="s">
        <v>2268</v>
      </c>
      <c r="B321" s="82" t="str">
        <f ca="1">IFERROR(INDEX(UNSPSCDes,MATCH(INDIRECT(ADDRESS(ROW(),COLUMN()-1,4)),UNSPSCCode,0)),IF(INDIRECT(ADDRESS(ROW(),COLUMN()-1,4))="55121731","Marcadores de identificación",""))</f>
        <v>Marcadores de identificación</v>
      </c>
      <c r="C321" s="95" t="str">
        <f>IFERROR(VLOOKUP("UD",'Informacion '!P:Q,2,FALSE),"")</f>
        <v>Unidad</v>
      </c>
      <c r="D321" s="94">
        <v>2</v>
      </c>
      <c r="E321" s="84">
        <v>250</v>
      </c>
      <c r="F321" s="83">
        <f t="shared" ca="1" si="10"/>
        <v>500</v>
      </c>
    </row>
    <row r="322" spans="1:10" ht="14.1" customHeight="1" x14ac:dyDescent="0.25">
      <c r="A322" s="94" t="s">
        <v>17214</v>
      </c>
      <c r="B322" s="82" t="str">
        <f ca="1">IFERROR(INDEX(UNSPSCDes,MATCH(INDIRECT(ADDRESS(ROW(),COLUMN()-1,4)),UNSPSCCode,0)),IF(INDIRECT(ADDRESS(ROW(),COLUMN()-1,4))="60121001","Pinturas",""))</f>
        <v>Pinturas</v>
      </c>
      <c r="C322" s="95" t="str">
        <f>IFERROR(VLOOKUP("UD",'Informacion '!P:Q,2,FALSE),"")</f>
        <v>Unidad</v>
      </c>
      <c r="D322" s="94">
        <v>1</v>
      </c>
      <c r="E322" s="84">
        <v>1200</v>
      </c>
      <c r="F322" s="83">
        <f t="shared" ca="1" si="10"/>
        <v>1200</v>
      </c>
    </row>
    <row r="323" spans="1:10" ht="14.1" customHeight="1" x14ac:dyDescent="0.25">
      <c r="E323" s="96" t="s">
        <v>7213</v>
      </c>
      <c r="F323" s="87">
        <f ca="1">SUM(Table10[MONTO TOTAL ESTIMADO])</f>
        <v>516425</v>
      </c>
      <c r="H323" s="39" t="str">
        <f>C292</f>
        <v>Bienes</v>
      </c>
      <c r="I323" s="39" t="str">
        <f>E292</f>
        <v>No</v>
      </c>
      <c r="J323" s="39" t="str">
        <f>D292</f>
        <v>Comparacion de Precios</v>
      </c>
    </row>
    <row r="325" spans="1:10" ht="33.950000000000003" customHeight="1" x14ac:dyDescent="0.25">
      <c r="A325" s="77" t="s">
        <v>17233</v>
      </c>
      <c r="B325" s="77" t="s">
        <v>4237</v>
      </c>
      <c r="C325" s="77" t="s">
        <v>4743</v>
      </c>
      <c r="D325" s="77" t="s">
        <v>9891</v>
      </c>
      <c r="E325" s="77" t="s">
        <v>3089</v>
      </c>
      <c r="F325" s="77" t="s">
        <v>18141</v>
      </c>
    </row>
    <row r="326" spans="1:10" ht="14.1" customHeight="1" x14ac:dyDescent="0.25">
      <c r="A326" s="79" t="s">
        <v>6064</v>
      </c>
      <c r="B326" s="79" t="s">
        <v>11851</v>
      </c>
      <c r="C326" s="79" t="s">
        <v>17215</v>
      </c>
      <c r="D326" s="79" t="s">
        <v>15249</v>
      </c>
      <c r="E326" s="79" t="s">
        <v>18247</v>
      </c>
      <c r="F326" s="79"/>
    </row>
    <row r="327" spans="1:10" ht="14.1" customHeight="1" x14ac:dyDescent="0.25">
      <c r="A327" s="2" t="s">
        <v>6643</v>
      </c>
      <c r="B327" s="80" t="s">
        <v>1046</v>
      </c>
      <c r="C327" s="90">
        <v>43557</v>
      </c>
      <c r="D327" s="2" t="s">
        <v>59</v>
      </c>
      <c r="E327" s="92" t="s">
        <v>20066</v>
      </c>
      <c r="F327" s="93"/>
    </row>
    <row r="328" spans="1:10" ht="14.1" customHeight="1" x14ac:dyDescent="0.25">
      <c r="A328" s="1"/>
      <c r="B328" s="80" t="s">
        <v>10788</v>
      </c>
      <c r="C328" s="91">
        <f>IF(C327="","",IF(AND(MONTH(C327)&gt;=1,MONTH(C327)&lt;=3),1,IF(AND(MONTH(C327)&gt;=4,MONTH(C327)&lt;=6),2,IF(AND(MONTH(C327)&gt;=7,MONTH(C327)&lt;=9),3,4))))</f>
        <v>2</v>
      </c>
      <c r="D328" s="1"/>
      <c r="E328" s="92" t="s">
        <v>14822</v>
      </c>
      <c r="F328" s="93"/>
    </row>
    <row r="329" spans="1:10" ht="14.1" customHeight="1" x14ac:dyDescent="0.25">
      <c r="A329" s="1"/>
      <c r="B329" s="80" t="s">
        <v>13758</v>
      </c>
      <c r="C329" s="90">
        <v>43644</v>
      </c>
      <c r="D329" s="1"/>
      <c r="E329" s="92" t="s">
        <v>18636</v>
      </c>
      <c r="F329" s="93"/>
    </row>
    <row r="330" spans="1:10" ht="14.1" customHeight="1" x14ac:dyDescent="0.25">
      <c r="A330" s="1"/>
      <c r="B330" s="80" t="s">
        <v>10788</v>
      </c>
      <c r="C330" s="91">
        <f>IF(C329="","",IF(AND(MONTH(C329)&gt;=1,MONTH(C329)&lt;=3),1,IF(AND(MONTH(C329)&gt;=4,MONTH(C329)&lt;=6),2,IF(AND(MONTH(C329)&gt;=7,MONTH(C329)&lt;=9),3,4))))</f>
        <v>2</v>
      </c>
      <c r="D330" s="1"/>
      <c r="E330" s="92" t="s">
        <v>15990</v>
      </c>
      <c r="F330" s="93"/>
    </row>
    <row r="332" spans="1:10" ht="14.1" customHeight="1" x14ac:dyDescent="0.25">
      <c r="A332" s="85" t="s">
        <v>15474</v>
      </c>
      <c r="B332" s="85" t="s">
        <v>5027</v>
      </c>
      <c r="C332" s="85" t="s">
        <v>17461</v>
      </c>
      <c r="D332" s="85" t="s">
        <v>3935</v>
      </c>
      <c r="E332" s="85" t="s">
        <v>10722</v>
      </c>
      <c r="F332" s="85" t="s">
        <v>18237</v>
      </c>
    </row>
    <row r="333" spans="1:10" ht="14.1" customHeight="1" x14ac:dyDescent="0.25">
      <c r="A333" s="94" t="s">
        <v>3544</v>
      </c>
      <c r="B333" s="82" t="str">
        <f ca="1">IFERROR(INDEX(UNSPSCDes,MATCH(INDIRECT(ADDRESS(ROW(),COLUMN()-1,4)),UNSPSCCode,0)),IF(INDIRECT(ADDRESS(ROW(),COLUMN()-1,4))="52121505","Almohadas",""))</f>
        <v>Almohadas</v>
      </c>
      <c r="C333" s="95" t="str">
        <f>IFERROR(VLOOKUP("UD",'Informacion '!P:Q,2,FALSE),"")</f>
        <v>Unidad</v>
      </c>
      <c r="D333" s="94">
        <v>80</v>
      </c>
      <c r="E333" s="84">
        <v>350</v>
      </c>
      <c r="F333" s="83">
        <f ca="1">INDIRECT(ADDRESS(ROW(),COLUMN()-2,4))*INDIRECT(ADDRESS(ROW(),COLUMN()-1,4))</f>
        <v>28000</v>
      </c>
    </row>
    <row r="334" spans="1:10" ht="14.1" customHeight="1" x14ac:dyDescent="0.25">
      <c r="A334" s="94" t="s">
        <v>10804</v>
      </c>
      <c r="B334" s="82" t="str">
        <f ca="1">IFERROR(INDEX(UNSPSCDes,MATCH(INDIRECT(ADDRESS(ROW(),COLUMN()-1,4)),UNSPSCCode,0)),IF(INDIRECT(ADDRESS(ROW(),COLUMN()-1,4))="11162112","Telas revestidas",""))</f>
        <v>Telas revestidas</v>
      </c>
      <c r="C334" s="95" t="str">
        <f>IFERROR(VLOOKUP("UD",'Informacion '!P:Q,2,FALSE),"")</f>
        <v>Unidad</v>
      </c>
      <c r="D334" s="94">
        <v>100</v>
      </c>
      <c r="E334" s="84">
        <v>150</v>
      </c>
      <c r="F334" s="83">
        <f ca="1">INDIRECT(ADDRESS(ROW(),COLUMN()-2,4))*INDIRECT(ADDRESS(ROW(),COLUMN()-1,4))</f>
        <v>15000</v>
      </c>
    </row>
    <row r="335" spans="1:10" ht="14.1" customHeight="1" x14ac:dyDescent="0.25">
      <c r="A335" s="94" t="s">
        <v>12615</v>
      </c>
      <c r="B335" s="82" t="str">
        <f ca="1">IFERROR(INDEX(UNSPSCDes,MATCH(INDIRECT(ADDRESS(ROW(),COLUMN()-1,4)),UNSPSCCode,0)),IF(INDIRECT(ADDRESS(ROW(),COLUMN()-1,4))="31201512","Cinta transparente",""))</f>
        <v>Cinta transparente</v>
      </c>
      <c r="C335" s="95" t="str">
        <f>IFERROR(VLOOKUP("UD",'Informacion '!P:Q,2,FALSE),"")</f>
        <v>Unidad</v>
      </c>
      <c r="D335" s="94">
        <v>7</v>
      </c>
      <c r="E335" s="84">
        <v>7500</v>
      </c>
      <c r="F335" s="83">
        <f ca="1">INDIRECT(ADDRESS(ROW(),COLUMN()-2,4))*INDIRECT(ADDRESS(ROW(),COLUMN()-1,4))</f>
        <v>52500</v>
      </c>
    </row>
    <row r="336" spans="1:10" ht="14.1" customHeight="1" x14ac:dyDescent="0.25">
      <c r="A336" s="94" t="s">
        <v>10961</v>
      </c>
      <c r="B336" s="82" t="str">
        <f ca="1">IFERROR(INDEX(UNSPSCDes,MATCH(INDIRECT(ADDRESS(ROW(),COLUMN()-1,4)),UNSPSCCode,0)),IF(INDIRECT(ADDRESS(ROW(),COLUMN()-1,4))="23121614","Máquinas de coser",""))</f>
        <v>Máquinas de coser</v>
      </c>
      <c r="C336" s="95" t="str">
        <f>IFERROR(VLOOKUP("UD",'Informacion '!P:Q,2,FALSE),"")</f>
        <v>Unidad</v>
      </c>
      <c r="D336" s="94">
        <v>15</v>
      </c>
      <c r="E336" s="84">
        <v>354</v>
      </c>
      <c r="F336" s="83">
        <f ca="1">INDIRECT(ADDRESS(ROW(),COLUMN()-2,4))*INDIRECT(ADDRESS(ROW(),COLUMN()-1,4))</f>
        <v>5310</v>
      </c>
    </row>
    <row r="337" spans="1:10" ht="14.1" customHeight="1" x14ac:dyDescent="0.25">
      <c r="E337" s="96" t="s">
        <v>7213</v>
      </c>
      <c r="F337" s="87">
        <f ca="1">SUM(Table11[MONTO TOTAL ESTIMADO])</f>
        <v>100810</v>
      </c>
      <c r="H337" s="39" t="str">
        <f>C326</f>
        <v>Bienes</v>
      </c>
      <c r="I337" s="39" t="str">
        <f>E326</f>
        <v>No</v>
      </c>
      <c r="J337" s="39" t="str">
        <f>D326</f>
        <v>Comparacion de Precios</v>
      </c>
    </row>
    <row r="339" spans="1:10" ht="33.950000000000003" customHeight="1" x14ac:dyDescent="0.25">
      <c r="A339" s="77" t="s">
        <v>17233</v>
      </c>
      <c r="B339" s="77" t="s">
        <v>4237</v>
      </c>
      <c r="C339" s="77" t="s">
        <v>4743</v>
      </c>
      <c r="D339" s="77" t="s">
        <v>9891</v>
      </c>
      <c r="E339" s="77" t="s">
        <v>3089</v>
      </c>
      <c r="F339" s="77" t="s">
        <v>18141</v>
      </c>
    </row>
    <row r="340" spans="1:10" ht="14.1" customHeight="1" x14ac:dyDescent="0.25">
      <c r="A340" s="79" t="s">
        <v>6065</v>
      </c>
      <c r="B340" s="79" t="s">
        <v>5947</v>
      </c>
      <c r="C340" s="79" t="s">
        <v>17215</v>
      </c>
      <c r="D340" s="79" t="s">
        <v>15249</v>
      </c>
      <c r="E340" s="79" t="s">
        <v>18247</v>
      </c>
      <c r="F340" s="79"/>
    </row>
    <row r="341" spans="1:10" ht="14.1" customHeight="1" x14ac:dyDescent="0.25">
      <c r="A341" s="2" t="s">
        <v>6643</v>
      </c>
      <c r="B341" s="80" t="s">
        <v>1046</v>
      </c>
      <c r="C341" s="90">
        <v>43647</v>
      </c>
      <c r="D341" s="2" t="s">
        <v>59</v>
      </c>
      <c r="E341" s="92" t="s">
        <v>20066</v>
      </c>
      <c r="F341" s="93"/>
    </row>
    <row r="342" spans="1:10" ht="14.1" customHeight="1" x14ac:dyDescent="0.25">
      <c r="A342" s="1"/>
      <c r="B342" s="80" t="s">
        <v>10788</v>
      </c>
      <c r="C342" s="91">
        <f>IF(C341="","",IF(AND(MONTH(C341)&gt;=1,MONTH(C341)&lt;=3),1,IF(AND(MONTH(C341)&gt;=4,MONTH(C341)&lt;=6),2,IF(AND(MONTH(C341)&gt;=7,MONTH(C341)&lt;=9),3,4))))</f>
        <v>3</v>
      </c>
      <c r="D342" s="1"/>
      <c r="E342" s="92" t="s">
        <v>14822</v>
      </c>
      <c r="F342" s="93"/>
    </row>
    <row r="343" spans="1:10" ht="14.1" customHeight="1" x14ac:dyDescent="0.25">
      <c r="A343" s="1"/>
      <c r="B343" s="80" t="s">
        <v>13758</v>
      </c>
      <c r="C343" s="90">
        <v>43738</v>
      </c>
      <c r="D343" s="1"/>
      <c r="E343" s="92" t="s">
        <v>18636</v>
      </c>
      <c r="F343" s="93"/>
    </row>
    <row r="344" spans="1:10" ht="14.1" customHeight="1" x14ac:dyDescent="0.25">
      <c r="A344" s="1"/>
      <c r="B344" s="80" t="s">
        <v>10788</v>
      </c>
      <c r="C344" s="91">
        <f>IF(C343="","",IF(AND(MONTH(C343)&gt;=1,MONTH(C343)&lt;=3),1,IF(AND(MONTH(C343)&gt;=4,MONTH(C343)&lt;=6),2,IF(AND(MONTH(C343)&gt;=7,MONTH(C343)&lt;=9),3,4))))</f>
        <v>3</v>
      </c>
      <c r="D344" s="1"/>
      <c r="E344" s="92" t="s">
        <v>15990</v>
      </c>
      <c r="F344" s="93"/>
    </row>
    <row r="346" spans="1:10" ht="14.1" customHeight="1" x14ac:dyDescent="0.25">
      <c r="A346" s="85" t="s">
        <v>15474</v>
      </c>
      <c r="B346" s="85" t="s">
        <v>5027</v>
      </c>
      <c r="C346" s="85" t="s">
        <v>17461</v>
      </c>
      <c r="D346" s="85" t="s">
        <v>3935</v>
      </c>
      <c r="E346" s="85" t="s">
        <v>10722</v>
      </c>
      <c r="F346" s="85" t="s">
        <v>18237</v>
      </c>
    </row>
    <row r="347" spans="1:10" ht="14.1" customHeight="1" x14ac:dyDescent="0.25">
      <c r="A347" s="94" t="s">
        <v>3544</v>
      </c>
      <c r="B347" s="82" t="str">
        <f ca="1">IFERROR(INDEX(UNSPSCDes,MATCH(INDIRECT(ADDRESS(ROW(),COLUMN()-1,4)),UNSPSCCode,0)),IF(INDIRECT(ADDRESS(ROW(),COLUMN()-1,4))="52121505","Almohadas",""))</f>
        <v>Almohadas</v>
      </c>
      <c r="C347" s="95" t="str">
        <f>IFERROR(VLOOKUP("UD",'Informacion '!P:Q,2,FALSE),"")</f>
        <v>Unidad</v>
      </c>
      <c r="D347" s="94">
        <v>80</v>
      </c>
      <c r="E347" s="84">
        <v>350</v>
      </c>
      <c r="F347" s="83">
        <f t="shared" ref="F347:F364" ca="1" si="11">INDIRECT(ADDRESS(ROW(),COLUMN()-2,4))*INDIRECT(ADDRESS(ROW(),COLUMN()-1,4))</f>
        <v>28000</v>
      </c>
    </row>
    <row r="348" spans="1:10" ht="14.1" customHeight="1" x14ac:dyDescent="0.25">
      <c r="A348" s="94" t="s">
        <v>10804</v>
      </c>
      <c r="B348" s="82" t="str">
        <f ca="1">IFERROR(INDEX(UNSPSCDes,MATCH(INDIRECT(ADDRESS(ROW(),COLUMN()-1,4)),UNSPSCCode,0)),IF(INDIRECT(ADDRESS(ROW(),COLUMN()-1,4))="11162112","Telas revestidas",""))</f>
        <v>Telas revestidas</v>
      </c>
      <c r="C348" s="95" t="str">
        <f>IFERROR(VLOOKUP("UD",'Informacion '!P:Q,2,FALSE),"")</f>
        <v>Unidad</v>
      </c>
      <c r="D348" s="94">
        <v>500</v>
      </c>
      <c r="E348" s="84">
        <v>250</v>
      </c>
      <c r="F348" s="83">
        <f t="shared" ca="1" si="11"/>
        <v>125000</v>
      </c>
    </row>
    <row r="349" spans="1:10" ht="14.1" customHeight="1" x14ac:dyDescent="0.25">
      <c r="A349" s="94" t="s">
        <v>10804</v>
      </c>
      <c r="B349" s="82" t="str">
        <f ca="1">IFERROR(INDEX(UNSPSCDes,MATCH(INDIRECT(ADDRESS(ROW(),COLUMN()-1,4)),UNSPSCCode,0)),IF(INDIRECT(ADDRESS(ROW(),COLUMN()-1,4))="11162112","Telas revestidas",""))</f>
        <v>Telas revestidas</v>
      </c>
      <c r="C349" s="95" t="str">
        <f>IFERROR(VLOOKUP("UD",'Informacion '!P:Q,2,FALSE),"")</f>
        <v>Unidad</v>
      </c>
      <c r="D349" s="94">
        <v>500</v>
      </c>
      <c r="E349" s="84">
        <v>250</v>
      </c>
      <c r="F349" s="83">
        <f t="shared" ca="1" si="11"/>
        <v>125000</v>
      </c>
    </row>
    <row r="350" spans="1:10" ht="14.1" customHeight="1" x14ac:dyDescent="0.25">
      <c r="A350" s="94" t="s">
        <v>10804</v>
      </c>
      <c r="B350" s="82" t="str">
        <f ca="1">IFERROR(INDEX(UNSPSCDes,MATCH(INDIRECT(ADDRESS(ROW(),COLUMN()-1,4)),UNSPSCCode,0)),IF(INDIRECT(ADDRESS(ROW(),COLUMN()-1,4))="11162112","Telas revestidas",""))</f>
        <v>Telas revestidas</v>
      </c>
      <c r="C350" s="95" t="str">
        <f>IFERROR(VLOOKUP("UD",'Informacion '!P:Q,2,FALSE),"")</f>
        <v>Unidad</v>
      </c>
      <c r="D350" s="94">
        <v>500</v>
      </c>
      <c r="E350" s="84">
        <v>180</v>
      </c>
      <c r="F350" s="83">
        <f t="shared" ca="1" si="11"/>
        <v>90000</v>
      </c>
    </row>
    <row r="351" spans="1:10" ht="14.1" customHeight="1" x14ac:dyDescent="0.25">
      <c r="A351" s="94" t="s">
        <v>10804</v>
      </c>
      <c r="B351" s="82" t="str">
        <f ca="1">IFERROR(INDEX(UNSPSCDes,MATCH(INDIRECT(ADDRESS(ROW(),COLUMN()-1,4)),UNSPSCCode,0)),IF(INDIRECT(ADDRESS(ROW(),COLUMN()-1,4))="11162112","Telas revestidas",""))</f>
        <v>Telas revestidas</v>
      </c>
      <c r="C351" s="95" t="str">
        <f>IFERROR(VLOOKUP("UD",'Informacion '!P:Q,2,FALSE),"")</f>
        <v>Unidad</v>
      </c>
      <c r="D351" s="94">
        <v>165</v>
      </c>
      <c r="E351" s="84">
        <v>150</v>
      </c>
      <c r="F351" s="83">
        <f t="shared" ca="1" si="11"/>
        <v>24750</v>
      </c>
    </row>
    <row r="352" spans="1:10" ht="14.1" customHeight="1" x14ac:dyDescent="0.25">
      <c r="A352" s="94" t="s">
        <v>3823</v>
      </c>
      <c r="B352" s="82" t="str">
        <f ca="1">IFERROR(INDEX(UNSPSCDes,MATCH(INDIRECT(ADDRESS(ROW(),COLUMN()-1,4)),UNSPSCCode,0)),IF(INDIRECT(ADDRESS(ROW(),COLUMN()-1,4))="60122002","Accesorios para tejer",""))</f>
        <v>Accesorios para tejer</v>
      </c>
      <c r="C352" s="95" t="str">
        <f>IFERROR(VLOOKUP("UD",'Informacion '!P:Q,2,FALSE),"")</f>
        <v>Unidad</v>
      </c>
      <c r="D352" s="94">
        <v>40</v>
      </c>
      <c r="E352" s="84">
        <v>80</v>
      </c>
      <c r="F352" s="83">
        <f t="shared" ca="1" si="11"/>
        <v>3200</v>
      </c>
    </row>
    <row r="353" spans="1:10" ht="14.1" customHeight="1" x14ac:dyDescent="0.25">
      <c r="A353" s="94" t="s">
        <v>3823</v>
      </c>
      <c r="B353" s="82" t="str">
        <f ca="1">IFERROR(INDEX(UNSPSCDes,MATCH(INDIRECT(ADDRESS(ROW(),COLUMN()-1,4)),UNSPSCCode,0)),IF(INDIRECT(ADDRESS(ROW(),COLUMN()-1,4))="60122002","Accesorios para tejer",""))</f>
        <v>Accesorios para tejer</v>
      </c>
      <c r="C353" s="95" t="str">
        <f>IFERROR(VLOOKUP("UD",'Informacion '!P:Q,2,FALSE),"")</f>
        <v>Unidad</v>
      </c>
      <c r="D353" s="94">
        <v>40</v>
      </c>
      <c r="E353" s="84">
        <v>240</v>
      </c>
      <c r="F353" s="83">
        <f t="shared" ca="1" si="11"/>
        <v>9600</v>
      </c>
    </row>
    <row r="354" spans="1:10" ht="14.1" customHeight="1" x14ac:dyDescent="0.25">
      <c r="A354" s="94" t="s">
        <v>3778</v>
      </c>
      <c r="B354" s="82" t="str">
        <f ca="1">IFERROR(INDEX(UNSPSCDes,MATCH(INDIRECT(ADDRESS(ROW(),COLUMN()-1,4)),UNSPSCCode,0)),IF(INDIRECT(ADDRESS(ROW(),COLUMN()-1,4))="60122003","Agujas para coser a mano",""))</f>
        <v>Agujas para coser a mano</v>
      </c>
      <c r="C354" s="95" t="str">
        <f>IFERROR(VLOOKUP("UD",'Informacion '!P:Q,2,FALSE),"")</f>
        <v>Unidad</v>
      </c>
      <c r="D354" s="94">
        <v>10</v>
      </c>
      <c r="E354" s="84">
        <v>150</v>
      </c>
      <c r="F354" s="83">
        <f t="shared" ca="1" si="11"/>
        <v>1500</v>
      </c>
    </row>
    <row r="355" spans="1:10" ht="14.1" customHeight="1" x14ac:dyDescent="0.25">
      <c r="A355" s="94" t="s">
        <v>3778</v>
      </c>
      <c r="B355" s="82" t="str">
        <f ca="1">IFERROR(INDEX(UNSPSCDes,MATCH(INDIRECT(ADDRESS(ROW(),COLUMN()-1,4)),UNSPSCCode,0)),IF(INDIRECT(ADDRESS(ROW(),COLUMN()-1,4))="60122003","Agujas para coser a mano",""))</f>
        <v>Agujas para coser a mano</v>
      </c>
      <c r="C355" s="95" t="str">
        <f>IFERROR(VLOOKUP("UD",'Informacion '!P:Q,2,FALSE),"")</f>
        <v>Unidad</v>
      </c>
      <c r="D355" s="94">
        <v>10</v>
      </c>
      <c r="E355" s="84">
        <v>150</v>
      </c>
      <c r="F355" s="83">
        <f t="shared" ca="1" si="11"/>
        <v>1500</v>
      </c>
    </row>
    <row r="356" spans="1:10" ht="14.1" customHeight="1" x14ac:dyDescent="0.25">
      <c r="A356" s="94" t="s">
        <v>3778</v>
      </c>
      <c r="B356" s="82" t="str">
        <f ca="1">IFERROR(INDEX(UNSPSCDes,MATCH(INDIRECT(ADDRESS(ROW(),COLUMN()-1,4)),UNSPSCCode,0)),IF(INDIRECT(ADDRESS(ROW(),COLUMN()-1,4))="60122003","Agujas para coser a mano",""))</f>
        <v>Agujas para coser a mano</v>
      </c>
      <c r="C356" s="95" t="str">
        <f>IFERROR(VLOOKUP("UD",'Informacion '!P:Q,2,FALSE),"")</f>
        <v>Unidad</v>
      </c>
      <c r="D356" s="94">
        <v>10</v>
      </c>
      <c r="E356" s="84">
        <v>150</v>
      </c>
      <c r="F356" s="83">
        <f t="shared" ca="1" si="11"/>
        <v>1500</v>
      </c>
    </row>
    <row r="357" spans="1:10" ht="14.1" customHeight="1" x14ac:dyDescent="0.25">
      <c r="A357" s="94" t="s">
        <v>3778</v>
      </c>
      <c r="B357" s="82" t="str">
        <f ca="1">IFERROR(INDEX(UNSPSCDes,MATCH(INDIRECT(ADDRESS(ROW(),COLUMN()-1,4)),UNSPSCCode,0)),IF(INDIRECT(ADDRESS(ROW(),COLUMN()-1,4))="60122003","Agujas para coser a mano",""))</f>
        <v>Agujas para coser a mano</v>
      </c>
      <c r="C357" s="95" t="str">
        <f>IFERROR(VLOOKUP("UD",'Informacion '!P:Q,2,FALSE),"")</f>
        <v>Unidad</v>
      </c>
      <c r="D357" s="94">
        <v>10</v>
      </c>
      <c r="E357" s="84">
        <v>150</v>
      </c>
      <c r="F357" s="83">
        <f t="shared" ca="1" si="11"/>
        <v>1500</v>
      </c>
    </row>
    <row r="358" spans="1:10" ht="14.1" customHeight="1" x14ac:dyDescent="0.25">
      <c r="A358" s="94" t="s">
        <v>10655</v>
      </c>
      <c r="B358" s="82" t="str">
        <f ca="1">IFERROR(INDEX(UNSPSCDes,MATCH(INDIRECT(ADDRESS(ROW(),COLUMN()-1,4)),UNSPSCCode,0)),IF(INDIRECT(ADDRESS(ROW(),COLUMN()-1,4))="53141503","Cremalleras",""))</f>
        <v>Cremalleras</v>
      </c>
      <c r="C358" s="95" t="str">
        <f>IFERROR(VLOOKUP("UD",'Informacion '!P:Q,2,FALSE),"")</f>
        <v>Unidad</v>
      </c>
      <c r="D358" s="94">
        <v>100</v>
      </c>
      <c r="E358" s="84">
        <v>50</v>
      </c>
      <c r="F358" s="83">
        <f t="shared" ca="1" si="11"/>
        <v>5000</v>
      </c>
    </row>
    <row r="359" spans="1:10" ht="14.1" customHeight="1" x14ac:dyDescent="0.25">
      <c r="A359" s="94" t="s">
        <v>9982</v>
      </c>
      <c r="B359" s="82" t="str">
        <f ca="1">IFERROR(INDEX(UNSPSCDes,MATCH(INDIRECT(ADDRESS(ROW(),COLUMN()-1,4)),UNSPSCCode,0)),IF(INDIRECT(ADDRESS(ROW(),COLUMN()-1,4))="53141505","Botones",""))</f>
        <v>Botones</v>
      </c>
      <c r="C359" s="95" t="str">
        <f>IFERROR(VLOOKUP("UD",'Informacion '!P:Q,2,FALSE),"")</f>
        <v>Unidad</v>
      </c>
      <c r="D359" s="94">
        <v>250</v>
      </c>
      <c r="E359" s="84">
        <v>1000</v>
      </c>
      <c r="F359" s="83">
        <f t="shared" ca="1" si="11"/>
        <v>250000</v>
      </c>
    </row>
    <row r="360" spans="1:10" ht="14.1" customHeight="1" x14ac:dyDescent="0.25">
      <c r="A360" s="94" t="s">
        <v>12615</v>
      </c>
      <c r="B360" s="82" t="str">
        <f ca="1">IFERROR(INDEX(UNSPSCDes,MATCH(INDIRECT(ADDRESS(ROW(),COLUMN()-1,4)),UNSPSCCode,0)),IF(INDIRECT(ADDRESS(ROW(),COLUMN()-1,4))="31201512","Cinta transparente",""))</f>
        <v>Cinta transparente</v>
      </c>
      <c r="C360" s="95" t="str">
        <f>IFERROR(VLOOKUP("UD",'Informacion '!P:Q,2,FALSE),"")</f>
        <v>Unidad</v>
      </c>
      <c r="D360" s="94">
        <v>7</v>
      </c>
      <c r="E360" s="84">
        <v>7500</v>
      </c>
      <c r="F360" s="83">
        <f t="shared" ca="1" si="11"/>
        <v>52500</v>
      </c>
    </row>
    <row r="361" spans="1:10" ht="14.1" customHeight="1" x14ac:dyDescent="0.25">
      <c r="A361" s="94" t="s">
        <v>7201</v>
      </c>
      <c r="B361" s="82" t="str">
        <f ca="1">IFERROR(INDEX(UNSPSCDes,MATCH(INDIRECT(ADDRESS(ROW(),COLUMN()-1,4)),UNSPSCCode,0)),IF(INDIRECT(ADDRESS(ROW(),COLUMN()-1,4))="53102507","Ganchos para colgar la ropa",""))</f>
        <v>Ganchos para colgar la ropa</v>
      </c>
      <c r="C361" s="95" t="str">
        <f>IFERROR(VLOOKUP("UD",'Informacion '!P:Q,2,FALSE),"")</f>
        <v>Unidad</v>
      </c>
      <c r="D361" s="94">
        <v>450</v>
      </c>
      <c r="E361" s="84">
        <v>70</v>
      </c>
      <c r="F361" s="83">
        <f t="shared" ca="1" si="11"/>
        <v>31500</v>
      </c>
    </row>
    <row r="362" spans="1:10" ht="14.1" customHeight="1" x14ac:dyDescent="0.25">
      <c r="A362" s="94" t="s">
        <v>10961</v>
      </c>
      <c r="B362" s="82" t="str">
        <f ca="1">IFERROR(INDEX(UNSPSCDes,MATCH(INDIRECT(ADDRESS(ROW(),COLUMN()-1,4)),UNSPSCCode,0)),IF(INDIRECT(ADDRESS(ROW(),COLUMN()-1,4))="23121614","Máquinas de coser",""))</f>
        <v>Máquinas de coser</v>
      </c>
      <c r="C362" s="95" t="str">
        <f>IFERROR(VLOOKUP("UD",'Informacion '!P:Q,2,FALSE),"")</f>
        <v>Unidad</v>
      </c>
      <c r="D362" s="94">
        <v>1</v>
      </c>
      <c r="E362" s="84">
        <v>765</v>
      </c>
      <c r="F362" s="83">
        <f t="shared" ca="1" si="11"/>
        <v>765</v>
      </c>
    </row>
    <row r="363" spans="1:10" ht="14.1" customHeight="1" x14ac:dyDescent="0.25">
      <c r="A363" s="94" t="s">
        <v>10961</v>
      </c>
      <c r="B363" s="82" t="str">
        <f ca="1">IFERROR(INDEX(UNSPSCDes,MATCH(INDIRECT(ADDRESS(ROW(),COLUMN()-1,4)),UNSPSCCode,0)),IF(INDIRECT(ADDRESS(ROW(),COLUMN()-1,4))="23121614","Máquinas de coser",""))</f>
        <v>Máquinas de coser</v>
      </c>
      <c r="C363" s="95" t="str">
        <f>IFERROR(VLOOKUP("UD",'Informacion '!P:Q,2,FALSE),"")</f>
        <v>Unidad</v>
      </c>
      <c r="D363" s="94">
        <v>15</v>
      </c>
      <c r="E363" s="84">
        <v>354</v>
      </c>
      <c r="F363" s="83">
        <f t="shared" ca="1" si="11"/>
        <v>5310</v>
      </c>
    </row>
    <row r="364" spans="1:10" ht="14.1" customHeight="1" x14ac:dyDescent="0.25">
      <c r="A364" s="94" t="s">
        <v>17214</v>
      </c>
      <c r="B364" s="82" t="str">
        <f ca="1">IFERROR(INDEX(UNSPSCDes,MATCH(INDIRECT(ADDRESS(ROW(),COLUMN()-1,4)),UNSPSCCode,0)),IF(INDIRECT(ADDRESS(ROW(),COLUMN()-1,4))="60121001","Pinturas",""))</f>
        <v>Pinturas</v>
      </c>
      <c r="C364" s="95" t="str">
        <f>IFERROR(VLOOKUP("UD",'Informacion '!P:Q,2,FALSE),"")</f>
        <v>Unidad</v>
      </c>
      <c r="D364" s="94">
        <v>1</v>
      </c>
      <c r="E364" s="84">
        <v>1200</v>
      </c>
      <c r="F364" s="83">
        <f t="shared" ca="1" si="11"/>
        <v>1200</v>
      </c>
    </row>
    <row r="365" spans="1:10" ht="14.1" customHeight="1" x14ac:dyDescent="0.25">
      <c r="E365" s="96" t="s">
        <v>7213</v>
      </c>
      <c r="F365" s="87">
        <f ca="1">SUM(Table12[MONTO TOTAL ESTIMADO])</f>
        <v>757825</v>
      </c>
      <c r="H365" s="39" t="str">
        <f>C340</f>
        <v>Bienes</v>
      </c>
      <c r="I365" s="39" t="str">
        <f>E340</f>
        <v>No</v>
      </c>
      <c r="J365" s="39" t="str">
        <f>D340</f>
        <v>Comparacion de Precios</v>
      </c>
    </row>
    <row r="367" spans="1:10" ht="33.950000000000003" customHeight="1" x14ac:dyDescent="0.25">
      <c r="A367" s="77" t="s">
        <v>17233</v>
      </c>
      <c r="B367" s="77" t="s">
        <v>4237</v>
      </c>
      <c r="C367" s="77" t="s">
        <v>4743</v>
      </c>
      <c r="D367" s="77" t="s">
        <v>9891</v>
      </c>
      <c r="E367" s="77" t="s">
        <v>3089</v>
      </c>
      <c r="F367" s="77" t="s">
        <v>18141</v>
      </c>
    </row>
    <row r="368" spans="1:10" ht="14.1" customHeight="1" x14ac:dyDescent="0.25">
      <c r="A368" s="79" t="s">
        <v>6059</v>
      </c>
      <c r="B368" s="79" t="s">
        <v>5947</v>
      </c>
      <c r="C368" s="79" t="s">
        <v>17215</v>
      </c>
      <c r="D368" s="79" t="s">
        <v>15249</v>
      </c>
      <c r="E368" s="79" t="s">
        <v>18247</v>
      </c>
      <c r="F368" s="79"/>
    </row>
    <row r="369" spans="1:10" ht="14.1" customHeight="1" x14ac:dyDescent="0.25">
      <c r="A369" s="2" t="s">
        <v>6643</v>
      </c>
      <c r="B369" s="80" t="s">
        <v>1046</v>
      </c>
      <c r="C369" s="90">
        <v>43739</v>
      </c>
      <c r="D369" s="2" t="s">
        <v>59</v>
      </c>
      <c r="E369" s="92" t="s">
        <v>20066</v>
      </c>
      <c r="F369" s="93"/>
    </row>
    <row r="370" spans="1:10" ht="14.1" customHeight="1" x14ac:dyDescent="0.25">
      <c r="A370" s="1"/>
      <c r="B370" s="80" t="s">
        <v>10788</v>
      </c>
      <c r="C370" s="91">
        <f>IF(C369="","",IF(AND(MONTH(C369)&gt;=1,MONTH(C369)&lt;=3),1,IF(AND(MONTH(C369)&gt;=4,MONTH(C369)&lt;=6),2,IF(AND(MONTH(C369)&gt;=7,MONTH(C369)&lt;=9),3,4))))</f>
        <v>4</v>
      </c>
      <c r="D370" s="1"/>
      <c r="E370" s="92" t="s">
        <v>14822</v>
      </c>
      <c r="F370" s="93"/>
    </row>
    <row r="371" spans="1:10" ht="14.1" customHeight="1" x14ac:dyDescent="0.25">
      <c r="A371" s="1"/>
      <c r="B371" s="80" t="s">
        <v>13758</v>
      </c>
      <c r="C371" s="90">
        <v>43830</v>
      </c>
      <c r="D371" s="1"/>
      <c r="E371" s="92" t="s">
        <v>18636</v>
      </c>
      <c r="F371" s="93"/>
    </row>
    <row r="372" spans="1:10" ht="14.1" customHeight="1" x14ac:dyDescent="0.25">
      <c r="A372" s="1"/>
      <c r="B372" s="80" t="s">
        <v>10788</v>
      </c>
      <c r="C372" s="91">
        <f>IF(C371="","",IF(AND(MONTH(C371)&gt;=1,MONTH(C371)&lt;=3),1,IF(AND(MONTH(C371)&gt;=4,MONTH(C371)&lt;=6),2,IF(AND(MONTH(C371)&gt;=7,MONTH(C371)&lt;=9),3,4))))</f>
        <v>4</v>
      </c>
      <c r="D372" s="1"/>
      <c r="E372" s="92" t="s">
        <v>15990</v>
      </c>
      <c r="F372" s="93"/>
    </row>
    <row r="374" spans="1:10" ht="14.1" customHeight="1" x14ac:dyDescent="0.25">
      <c r="A374" s="85" t="s">
        <v>15474</v>
      </c>
      <c r="B374" s="85" t="s">
        <v>5027</v>
      </c>
      <c r="C374" s="85" t="s">
        <v>17461</v>
      </c>
      <c r="D374" s="85" t="s">
        <v>3935</v>
      </c>
      <c r="E374" s="85" t="s">
        <v>10722</v>
      </c>
      <c r="F374" s="85" t="s">
        <v>18237</v>
      </c>
    </row>
    <row r="375" spans="1:10" ht="14.1" customHeight="1" x14ac:dyDescent="0.25">
      <c r="A375" s="94" t="s">
        <v>3544</v>
      </c>
      <c r="B375" s="82" t="str">
        <f ca="1">IFERROR(INDEX(UNSPSCDes,MATCH(INDIRECT(ADDRESS(ROW(),COLUMN()-1,4)),UNSPSCCode,0)),IF(INDIRECT(ADDRESS(ROW(),COLUMN()-1,4))="52121505","Almohadas",""))</f>
        <v>Almohadas</v>
      </c>
      <c r="C375" s="95" t="str">
        <f>IFERROR(VLOOKUP("UD",'Informacion '!P:Q,2,FALSE),"")</f>
        <v>Unidad</v>
      </c>
      <c r="D375" s="94">
        <v>80</v>
      </c>
      <c r="E375" s="84">
        <v>350</v>
      </c>
      <c r="F375" s="83">
        <f ca="1">INDIRECT(ADDRESS(ROW(),COLUMN()-2,4))*INDIRECT(ADDRESS(ROW(),COLUMN()-1,4))</f>
        <v>28000</v>
      </c>
    </row>
    <row r="376" spans="1:10" ht="14.1" customHeight="1" x14ac:dyDescent="0.25">
      <c r="A376" s="94" t="s">
        <v>12615</v>
      </c>
      <c r="B376" s="82" t="str">
        <f ca="1">IFERROR(INDEX(UNSPSCDes,MATCH(INDIRECT(ADDRESS(ROW(),COLUMN()-1,4)),UNSPSCCode,0)),IF(INDIRECT(ADDRESS(ROW(),COLUMN()-1,4))="31201512","Cinta transparente",""))</f>
        <v>Cinta transparente</v>
      </c>
      <c r="C376" s="95" t="str">
        <f>IFERROR(VLOOKUP("UD",'Informacion '!P:Q,2,FALSE),"")</f>
        <v>Unidad</v>
      </c>
      <c r="D376" s="94">
        <v>7</v>
      </c>
      <c r="E376" s="84">
        <v>7500</v>
      </c>
      <c r="F376" s="83">
        <f ca="1">INDIRECT(ADDRESS(ROW(),COLUMN()-2,4))*INDIRECT(ADDRESS(ROW(),COLUMN()-1,4))</f>
        <v>52500</v>
      </c>
    </row>
    <row r="377" spans="1:10" ht="14.1" customHeight="1" x14ac:dyDescent="0.25">
      <c r="A377" s="94" t="s">
        <v>10961</v>
      </c>
      <c r="B377" s="82" t="str">
        <f ca="1">IFERROR(INDEX(UNSPSCDes,MATCH(INDIRECT(ADDRESS(ROW(),COLUMN()-1,4)),UNSPSCCode,0)),IF(INDIRECT(ADDRESS(ROW(),COLUMN()-1,4))="23121614","Máquinas de coser",""))</f>
        <v>Máquinas de coser</v>
      </c>
      <c r="C377" s="95" t="str">
        <f>IFERROR(VLOOKUP("UD",'Informacion '!P:Q,2,FALSE),"")</f>
        <v>Unidad</v>
      </c>
      <c r="D377" s="94">
        <v>15</v>
      </c>
      <c r="E377" s="84">
        <v>354</v>
      </c>
      <c r="F377" s="83">
        <f ca="1">INDIRECT(ADDRESS(ROW(),COLUMN()-2,4))*INDIRECT(ADDRESS(ROW(),COLUMN()-1,4))</f>
        <v>5310</v>
      </c>
    </row>
    <row r="378" spans="1:10" ht="14.1" customHeight="1" x14ac:dyDescent="0.25">
      <c r="E378" s="96" t="s">
        <v>7213</v>
      </c>
      <c r="F378" s="87">
        <f ca="1">SUM(Table13[MONTO TOTAL ESTIMADO])</f>
        <v>85810</v>
      </c>
      <c r="H378" s="39" t="str">
        <f>C368</f>
        <v>Bienes</v>
      </c>
      <c r="I378" s="39" t="str">
        <f>E368</f>
        <v>No</v>
      </c>
      <c r="J378" s="39" t="str">
        <f>D368</f>
        <v>Comparacion de Precios</v>
      </c>
    </row>
    <row r="380" spans="1:10" ht="33.950000000000003" customHeight="1" x14ac:dyDescent="0.25">
      <c r="A380" s="77" t="s">
        <v>17233</v>
      </c>
      <c r="B380" s="77" t="s">
        <v>4237</v>
      </c>
      <c r="C380" s="77" t="s">
        <v>4743</v>
      </c>
      <c r="D380" s="77" t="s">
        <v>9891</v>
      </c>
      <c r="E380" s="77" t="s">
        <v>3089</v>
      </c>
      <c r="F380" s="77" t="s">
        <v>18141</v>
      </c>
    </row>
    <row r="381" spans="1:10" ht="14.1" customHeight="1" x14ac:dyDescent="0.25">
      <c r="A381" s="79" t="s">
        <v>9859</v>
      </c>
      <c r="B381" s="79" t="s">
        <v>6588</v>
      </c>
      <c r="C381" s="79" t="s">
        <v>17215</v>
      </c>
      <c r="D381" s="79" t="s">
        <v>12255</v>
      </c>
      <c r="E381" s="79" t="s">
        <v>18247</v>
      </c>
      <c r="F381" s="79"/>
    </row>
    <row r="382" spans="1:10" ht="14.1" customHeight="1" x14ac:dyDescent="0.25">
      <c r="A382" s="2" t="s">
        <v>6643</v>
      </c>
      <c r="B382" s="80" t="s">
        <v>1046</v>
      </c>
      <c r="C382" s="90">
        <v>43647</v>
      </c>
      <c r="D382" s="2" t="s">
        <v>59</v>
      </c>
      <c r="E382" s="92" t="s">
        <v>20066</v>
      </c>
      <c r="F382" s="93" t="s">
        <v>5684</v>
      </c>
    </row>
    <row r="383" spans="1:10" ht="14.1" customHeight="1" x14ac:dyDescent="0.25">
      <c r="A383" s="1"/>
      <c r="B383" s="80" t="s">
        <v>10788</v>
      </c>
      <c r="C383" s="91">
        <f>IF(C382="","",IF(AND(MONTH(C382)&gt;=1,MONTH(C382)&lt;=3),1,IF(AND(MONTH(C382)&gt;=4,MONTH(C382)&lt;=6),2,IF(AND(MONTH(C382)&gt;=7,MONTH(C382)&lt;=9),3,4))))</f>
        <v>3</v>
      </c>
      <c r="D383" s="1"/>
      <c r="E383" s="92" t="s">
        <v>14822</v>
      </c>
      <c r="F383" s="93"/>
    </row>
    <row r="384" spans="1:10" ht="14.1" customHeight="1" x14ac:dyDescent="0.25">
      <c r="A384" s="1"/>
      <c r="B384" s="80" t="s">
        <v>13758</v>
      </c>
      <c r="C384" s="90">
        <v>43738</v>
      </c>
      <c r="D384" s="1"/>
      <c r="E384" s="92" t="s">
        <v>18636</v>
      </c>
      <c r="F384" s="93"/>
    </row>
    <row r="385" spans="1:6" ht="14.1" customHeight="1" x14ac:dyDescent="0.25">
      <c r="A385" s="1"/>
      <c r="B385" s="80" t="s">
        <v>10788</v>
      </c>
      <c r="C385" s="91">
        <f>IF(C384="","",IF(AND(MONTH(C384)&gt;=1,MONTH(C384)&lt;=3),1,IF(AND(MONTH(C384)&gt;=4,MONTH(C384)&lt;=6),2,IF(AND(MONTH(C384)&gt;=7,MONTH(C384)&lt;=9),3,4))))</f>
        <v>3</v>
      </c>
      <c r="D385" s="1"/>
      <c r="E385" s="92" t="s">
        <v>15990</v>
      </c>
      <c r="F385" s="93"/>
    </row>
    <row r="387" spans="1:6" ht="14.1" customHeight="1" x14ac:dyDescent="0.25">
      <c r="A387" s="85" t="s">
        <v>15474</v>
      </c>
      <c r="B387" s="85" t="s">
        <v>5027</v>
      </c>
      <c r="C387" s="85" t="s">
        <v>17461</v>
      </c>
      <c r="D387" s="85" t="s">
        <v>3935</v>
      </c>
      <c r="E387" s="85" t="s">
        <v>10722</v>
      </c>
      <c r="F387" s="85" t="s">
        <v>18237</v>
      </c>
    </row>
    <row r="388" spans="1:6" ht="14.1" customHeight="1" x14ac:dyDescent="0.25">
      <c r="A388" s="94" t="s">
        <v>7953</v>
      </c>
      <c r="B388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388" s="95" t="str">
        <f>IFERROR(VLOOKUP("UD",'Informacion '!P:Q,2,FALSE),"")</f>
        <v>Unidad</v>
      </c>
      <c r="D388" s="94">
        <v>32</v>
      </c>
      <c r="E388" s="84">
        <v>1396.65</v>
      </c>
      <c r="F388" s="83">
        <f t="shared" ref="F388:F408" ca="1" si="12">INDIRECT(ADDRESS(ROW(),COLUMN()-2,4))*INDIRECT(ADDRESS(ROW(),COLUMN()-1,4))</f>
        <v>44692.800000000003</v>
      </c>
    </row>
    <row r="389" spans="1:6" ht="14.1" customHeight="1" x14ac:dyDescent="0.25">
      <c r="A389" s="94" t="s">
        <v>2352</v>
      </c>
      <c r="B389" s="82" t="str">
        <f ca="1">IFERROR(INDEX(UNSPSCDes,MATCH(INDIRECT(ADDRESS(ROW(),COLUMN()-1,4)),UNSPSCCode,0)),IF(INDIRECT(ADDRESS(ROW(),COLUMN()-1,4))="51171821","Aprepitant",""))</f>
        <v>Aprepitant</v>
      </c>
      <c r="C389" s="95" t="str">
        <f>IFERROR(VLOOKUP("UD",'Informacion '!P:Q,2,FALSE),"")</f>
        <v>Unidad</v>
      </c>
      <c r="D389" s="94">
        <v>9</v>
      </c>
      <c r="E389" s="84">
        <v>5598.24</v>
      </c>
      <c r="F389" s="83">
        <f t="shared" ca="1" si="12"/>
        <v>50384.159999999996</v>
      </c>
    </row>
    <row r="390" spans="1:6" ht="14.1" customHeight="1" x14ac:dyDescent="0.25">
      <c r="A390" s="94" t="s">
        <v>19020</v>
      </c>
      <c r="B390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390" s="95" t="str">
        <f>IFERROR(VLOOKUP("UD",'Informacion '!P:Q,2,FALSE),"")</f>
        <v>Unidad</v>
      </c>
      <c r="D390" s="94">
        <v>61</v>
      </c>
      <c r="E390" s="84">
        <v>3034.08</v>
      </c>
      <c r="F390" s="83">
        <f t="shared" ca="1" si="12"/>
        <v>185078.88</v>
      </c>
    </row>
    <row r="391" spans="1:6" ht="14.1" customHeight="1" x14ac:dyDescent="0.25">
      <c r="A391" s="94" t="s">
        <v>19305</v>
      </c>
      <c r="B391" s="82" t="str">
        <f ca="1">IFERROR(INDEX(UNSPSCDes,MATCH(INDIRECT(ADDRESS(ROW(),COLUMN()-1,4)),UNSPSCCode,0)),IF(INDIRECT(ADDRESS(ROW(),COLUMN()-1,4))="51111807","Acetato de leuprolide",""))</f>
        <v>Acetato de leuprolide</v>
      </c>
      <c r="C391" s="95" t="str">
        <f>IFERROR(VLOOKUP("UD",'Informacion '!P:Q,2,FALSE),"")</f>
        <v>Unidad</v>
      </c>
      <c r="D391" s="94">
        <v>31</v>
      </c>
      <c r="E391" s="84">
        <v>7032</v>
      </c>
      <c r="F391" s="83">
        <f t="shared" ca="1" si="12"/>
        <v>217992</v>
      </c>
    </row>
    <row r="392" spans="1:6" ht="14.1" customHeight="1" x14ac:dyDescent="0.25">
      <c r="A392" s="94" t="s">
        <v>6655</v>
      </c>
      <c r="B392" s="82" t="str">
        <f ca="1">IFERROR(INDEX(UNSPSCDes,MATCH(INDIRECT(ADDRESS(ROW(),COLUMN()-1,4)),UNSPSCCode,0)),IF(INDIRECT(ADDRESS(ROW(),COLUMN()-1,4))="51111717","Trastuzumab",""))</f>
        <v>Trastuzumab</v>
      </c>
      <c r="C392" s="95" t="str">
        <f>IFERROR(VLOOKUP("UD",'Informacion '!P:Q,2,FALSE),"")</f>
        <v>Unidad</v>
      </c>
      <c r="D392" s="94">
        <v>57</v>
      </c>
      <c r="E392" s="84">
        <v>25329.9</v>
      </c>
      <c r="F392" s="83">
        <f t="shared" ca="1" si="12"/>
        <v>1443804.3</v>
      </c>
    </row>
    <row r="393" spans="1:6" ht="14.1" customHeight="1" x14ac:dyDescent="0.25">
      <c r="A393" s="94" t="s">
        <v>6655</v>
      </c>
      <c r="B393" s="82" t="str">
        <f ca="1">IFERROR(INDEX(UNSPSCDes,MATCH(INDIRECT(ADDRESS(ROW(),COLUMN()-1,4)),UNSPSCCode,0)),IF(INDIRECT(ADDRESS(ROW(),COLUMN()-1,4))="51111717","Trastuzumab",""))</f>
        <v>Trastuzumab</v>
      </c>
      <c r="C393" s="95" t="str">
        <f>IFERROR(VLOOKUP("UD",'Informacion '!P:Q,2,FALSE),"")</f>
        <v>Unidad</v>
      </c>
      <c r="D393" s="94">
        <v>141</v>
      </c>
      <c r="E393" s="84">
        <v>106637.66</v>
      </c>
      <c r="F393" s="83">
        <f t="shared" ca="1" si="12"/>
        <v>15035910.060000001</v>
      </c>
    </row>
    <row r="394" spans="1:6" ht="14.1" customHeight="1" x14ac:dyDescent="0.25">
      <c r="A394" s="94" t="s">
        <v>6655</v>
      </c>
      <c r="B394" s="82" t="str">
        <f ca="1">IFERROR(INDEX(UNSPSCDes,MATCH(INDIRECT(ADDRESS(ROW(),COLUMN()-1,4)),UNSPSCCode,0)),IF(INDIRECT(ADDRESS(ROW(),COLUMN()-1,4))="51111717","Trastuzumab",""))</f>
        <v>Trastuzumab</v>
      </c>
      <c r="C394" s="95" t="str">
        <f>IFERROR(VLOOKUP("UD",'Informacion '!P:Q,2,FALSE),"")</f>
        <v>Unidad</v>
      </c>
      <c r="D394" s="94">
        <v>6</v>
      </c>
      <c r="E394" s="84">
        <v>178803.82</v>
      </c>
      <c r="F394" s="83">
        <f t="shared" ca="1" si="12"/>
        <v>1072822.92</v>
      </c>
    </row>
    <row r="395" spans="1:6" ht="14.1" customHeight="1" x14ac:dyDescent="0.25">
      <c r="A395" s="94" t="s">
        <v>11307</v>
      </c>
      <c r="B395" s="82" t="str">
        <f ca="1">IFERROR(INDEX(UNSPSCDes,MATCH(INDIRECT(ADDRESS(ROW(),COLUMN()-1,4)),UNSPSCCode,0)),IF(INDIRECT(ADDRESS(ROW(),COLUMN()-1,4))="51182415","Ácido zoledrónico",""))</f>
        <v>Ácido zoledrónico</v>
      </c>
      <c r="C395" s="95" t="str">
        <f>IFERROR(VLOOKUP("UD",'Informacion '!P:Q,2,FALSE),"")</f>
        <v>Unidad</v>
      </c>
      <c r="D395" s="94">
        <v>191</v>
      </c>
      <c r="E395" s="84">
        <v>6581.51</v>
      </c>
      <c r="F395" s="83">
        <f t="shared" ca="1" si="12"/>
        <v>1257068.4100000001</v>
      </c>
    </row>
    <row r="396" spans="1:6" ht="14.1" customHeight="1" x14ac:dyDescent="0.25">
      <c r="A396" s="94" t="s">
        <v>2868</v>
      </c>
      <c r="B396" s="82" t="str">
        <f ca="1">IFERROR(INDEX(UNSPSCDes,MATCH(INDIRECT(ADDRESS(ROW(),COLUMN()-1,4)),UNSPSCCode,0)),IF(INDIRECT(ADDRESS(ROW(),COLUMN()-1,4))="51111616","Capecitabina",""))</f>
        <v>Capecitabina</v>
      </c>
      <c r="C396" s="95" t="str">
        <f>IFERROR(VLOOKUP("UD",'Informacion '!P:Q,2,FALSE),"")</f>
        <v>Unidad</v>
      </c>
      <c r="D396" s="94">
        <v>5993</v>
      </c>
      <c r="E396" s="84">
        <v>174.23</v>
      </c>
      <c r="F396" s="83">
        <f t="shared" ca="1" si="12"/>
        <v>1044160.3899999999</v>
      </c>
    </row>
    <row r="397" spans="1:6" ht="14.1" customHeight="1" x14ac:dyDescent="0.25">
      <c r="A397" s="94" t="s">
        <v>9065</v>
      </c>
      <c r="B397" s="82" t="str">
        <f ca="1">IFERROR(INDEX(UNSPSCDes,MATCH(INDIRECT(ADDRESS(ROW(),COLUMN()-1,4)),UNSPSCCode,0)),IF(INDIRECT(ADDRESS(ROW(),COLUMN()-1,4))="51111820","Letrozol",""))</f>
        <v>Letrozol</v>
      </c>
      <c r="C397" s="95" t="str">
        <f>IFERROR(VLOOKUP("UD",'Informacion '!P:Q,2,FALSE),"")</f>
        <v>Unidad</v>
      </c>
      <c r="D397" s="94">
        <v>169</v>
      </c>
      <c r="E397" s="84">
        <v>208.68</v>
      </c>
      <c r="F397" s="83">
        <f t="shared" ca="1" si="12"/>
        <v>35266.92</v>
      </c>
    </row>
    <row r="398" spans="1:6" ht="14.1" customHeight="1" x14ac:dyDescent="0.25">
      <c r="A398" s="94" t="s">
        <v>872</v>
      </c>
      <c r="B398" s="82" t="str">
        <f ca="1">IFERROR(INDEX(UNSPSCDes,MATCH(INDIRECT(ADDRESS(ROW(),COLUMN()-1,4)),UNSPSCCode,0)),IF(INDIRECT(ADDRESS(ROW(),COLUMN()-1,4))="51111819","Fulvestrant",""))</f>
        <v>Fulvestrant</v>
      </c>
      <c r="C398" s="95" t="str">
        <f>IFERROR(VLOOKUP("UD",'Informacion '!P:Q,2,FALSE),"")</f>
        <v>Unidad</v>
      </c>
      <c r="D398" s="94">
        <v>24</v>
      </c>
      <c r="E398" s="84">
        <v>47900</v>
      </c>
      <c r="F398" s="83">
        <f t="shared" ca="1" si="12"/>
        <v>1149600</v>
      </c>
    </row>
    <row r="399" spans="1:6" ht="14.1" customHeight="1" x14ac:dyDescent="0.25">
      <c r="A399" s="94" t="s">
        <v>6655</v>
      </c>
      <c r="B399" s="82" t="str">
        <f ca="1">IFERROR(INDEX(UNSPSCDes,MATCH(INDIRECT(ADDRESS(ROW(),COLUMN()-1,4)),UNSPSCCode,0)),IF(INDIRECT(ADDRESS(ROW(),COLUMN()-1,4))="51111717","Trastuzumab",""))</f>
        <v>Trastuzumab</v>
      </c>
      <c r="C399" s="95" t="str">
        <f>IFERROR(VLOOKUP("UD",'Informacion '!P:Q,2,FALSE),"")</f>
        <v>Unidad</v>
      </c>
      <c r="D399" s="94">
        <v>97</v>
      </c>
      <c r="E399" s="84">
        <v>62852.47</v>
      </c>
      <c r="F399" s="83">
        <f t="shared" ca="1" si="12"/>
        <v>6096689.5899999999</v>
      </c>
    </row>
    <row r="400" spans="1:6" ht="14.1" customHeight="1" x14ac:dyDescent="0.25">
      <c r="A400" s="94" t="s">
        <v>693</v>
      </c>
      <c r="B400" s="82" t="str">
        <f ca="1">IFERROR(INDEX(UNSPSCDes,MATCH(INDIRECT(ADDRESS(ROW(),COLUMN()-1,4)),UNSPSCCode,0)),IF(INDIRECT(ADDRESS(ROW(),COLUMN()-1,4))="51111716","Rituximab",""))</f>
        <v>Rituximab</v>
      </c>
      <c r="C400" s="95" t="str">
        <f>IFERROR(VLOOKUP("UD",'Informacion '!P:Q,2,FALSE),"")</f>
        <v>Unidad</v>
      </c>
      <c r="D400" s="94">
        <v>182</v>
      </c>
      <c r="E400" s="84">
        <v>119214.5</v>
      </c>
      <c r="F400" s="83">
        <f t="shared" ca="1" si="12"/>
        <v>21697039</v>
      </c>
    </row>
    <row r="401" spans="1:10" ht="14.1" customHeight="1" x14ac:dyDescent="0.25">
      <c r="A401" s="94" t="s">
        <v>19295</v>
      </c>
      <c r="B401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401" s="95" t="str">
        <f>IFERROR(VLOOKUP("UD",'Informacion '!P:Q,2,FALSE),"")</f>
        <v>Unidad</v>
      </c>
      <c r="D401" s="94">
        <v>65</v>
      </c>
      <c r="E401" s="84">
        <v>55200</v>
      </c>
      <c r="F401" s="83">
        <f t="shared" ca="1" si="12"/>
        <v>3588000</v>
      </c>
    </row>
    <row r="402" spans="1:10" ht="14.1" customHeight="1" x14ac:dyDescent="0.25">
      <c r="A402" s="94" t="s">
        <v>11115</v>
      </c>
      <c r="B402" s="82" t="str">
        <f ca="1">IFERROR(INDEX(UNSPSCDes,MATCH(INDIRECT(ADDRESS(ROW(),COLUMN()-1,4)),UNSPSCCode,0)),IF(INDIRECT(ADDRESS(ROW(),COLUMN()-1,4))="51131506","Eritropoyetina",""))</f>
        <v>Eritropoyetina</v>
      </c>
      <c r="C402" s="95" t="str">
        <f>IFERROR(VLOOKUP("UD",'Informacion '!P:Q,2,FALSE),"")</f>
        <v>Unidad</v>
      </c>
      <c r="D402" s="94">
        <v>183</v>
      </c>
      <c r="E402" s="84">
        <v>1133.81</v>
      </c>
      <c r="F402" s="83">
        <f t="shared" ca="1" si="12"/>
        <v>207487.22999999998</v>
      </c>
    </row>
    <row r="403" spans="1:10" ht="14.1" customHeight="1" x14ac:dyDescent="0.25">
      <c r="A403" s="94" t="s">
        <v>693</v>
      </c>
      <c r="B403" s="82" t="str">
        <f ca="1">IFERROR(INDEX(UNSPSCDes,MATCH(INDIRECT(ADDRESS(ROW(),COLUMN()-1,4)),UNSPSCCode,0)),IF(INDIRECT(ADDRESS(ROW(),COLUMN()-1,4))="51111716","Rituximab",""))</f>
        <v>Rituximab</v>
      </c>
      <c r="C403" s="95" t="str">
        <f>IFERROR(VLOOKUP("UD",'Informacion '!P:Q,2,FALSE),"")</f>
        <v>Unidad</v>
      </c>
      <c r="D403" s="94">
        <v>29</v>
      </c>
      <c r="E403" s="84">
        <v>34783.69</v>
      </c>
      <c r="F403" s="83">
        <f t="shared" ca="1" si="12"/>
        <v>1008727.01</v>
      </c>
    </row>
    <row r="404" spans="1:10" ht="14.1" customHeight="1" x14ac:dyDescent="0.25">
      <c r="A404" s="94" t="s">
        <v>4724</v>
      </c>
      <c r="B404" s="82" t="str">
        <f ca="1">IFERROR(INDEX(UNSPSCDes,MATCH(INDIRECT(ADDRESS(ROW(),COLUMN()-1,4)),UNSPSCCode,0)),IF(INDIRECT(ADDRESS(ROW(),COLUMN()-1,4))="51111712","Pirarubicina",""))</f>
        <v>Pirarubicina</v>
      </c>
      <c r="C404" s="95" t="str">
        <f>IFERROR(VLOOKUP("UD",'Informacion '!P:Q,2,FALSE),"")</f>
        <v>Unidad</v>
      </c>
      <c r="D404" s="94">
        <v>120</v>
      </c>
      <c r="E404" s="84">
        <v>4353</v>
      </c>
      <c r="F404" s="83">
        <f t="shared" ca="1" si="12"/>
        <v>522360</v>
      </c>
    </row>
    <row r="405" spans="1:10" ht="14.1" customHeight="1" x14ac:dyDescent="0.25">
      <c r="A405" s="94" t="s">
        <v>3969</v>
      </c>
      <c r="B405" s="82" t="str">
        <f ca="1">IFERROR(INDEX(UNSPSCDes,MATCH(INDIRECT(ADDRESS(ROW(),COLUMN()-1,4)),UNSPSCCode,0)),IF(INDIRECT(ADDRESS(ROW(),COLUMN()-1,4))="51142608","Trimetilxantina",""))</f>
        <v>Trimetilxantina</v>
      </c>
      <c r="C405" s="95" t="str">
        <f>IFERROR(VLOOKUP("UD",'Informacion '!P:Q,2,FALSE),"")</f>
        <v>Unidad</v>
      </c>
      <c r="D405" s="94">
        <v>30</v>
      </c>
      <c r="E405" s="84">
        <v>7097</v>
      </c>
      <c r="F405" s="83">
        <f t="shared" ca="1" si="12"/>
        <v>212910</v>
      </c>
    </row>
    <row r="406" spans="1:10" ht="14.1" customHeight="1" x14ac:dyDescent="0.25">
      <c r="A406" s="94" t="s">
        <v>7830</v>
      </c>
      <c r="B406" s="82" t="str">
        <f ca="1">IFERROR(INDEX(UNSPSCDes,MATCH(INDIRECT(ADDRESS(ROW(),COLUMN()-1,4)),UNSPSCCode,0)),IF(INDIRECT(ADDRESS(ROW(),COLUMN()-1,4))="51111809","Tamoxifeno",""))</f>
        <v>Tamoxifeno</v>
      </c>
      <c r="C406" s="95" t="str">
        <f>IFERROR(VLOOKUP("UD",'Informacion '!P:Q,2,FALSE),"")</f>
        <v>Unidad</v>
      </c>
      <c r="D406" s="94">
        <v>300</v>
      </c>
      <c r="E406" s="84">
        <v>64</v>
      </c>
      <c r="F406" s="83">
        <f t="shared" ca="1" si="12"/>
        <v>19200</v>
      </c>
    </row>
    <row r="407" spans="1:10" ht="14.1" customHeight="1" x14ac:dyDescent="0.25">
      <c r="A407" s="94" t="s">
        <v>4724</v>
      </c>
      <c r="B407" s="82" t="str">
        <f ca="1">IFERROR(INDEX(UNSPSCDes,MATCH(INDIRECT(ADDRESS(ROW(),COLUMN()-1,4)),UNSPSCCode,0)),IF(INDIRECT(ADDRESS(ROW(),COLUMN()-1,4))="51111712","Pirarubicina",""))</f>
        <v>Pirarubicina</v>
      </c>
      <c r="C407" s="95" t="str">
        <f>IFERROR(VLOOKUP("UD",'Informacion '!P:Q,2,FALSE),"")</f>
        <v>Unidad</v>
      </c>
      <c r="D407" s="94">
        <v>420</v>
      </c>
      <c r="E407" s="84">
        <v>827</v>
      </c>
      <c r="F407" s="83">
        <f t="shared" ca="1" si="12"/>
        <v>347340</v>
      </c>
    </row>
    <row r="408" spans="1:10" ht="14.1" customHeight="1" x14ac:dyDescent="0.25">
      <c r="A408" s="94" t="s">
        <v>6372</v>
      </c>
      <c r="B408" s="82" t="str">
        <f ca="1">IFERROR(INDEX(UNSPSCDes,MATCH(INDIRECT(ADDRESS(ROW(),COLUMN()-1,4)),UNSPSCCode,0)),IF(INDIRECT(ADDRESS(ROW(),COLUMN()-1,4))="51101835","Acetato de caspofungina",""))</f>
        <v>Acetato de caspofungina</v>
      </c>
      <c r="C408" s="95" t="str">
        <f>IFERROR(VLOOKUP("UD",'Informacion '!P:Q,2,FALSE),"")</f>
        <v>Unidad</v>
      </c>
      <c r="D408" s="94">
        <v>31</v>
      </c>
      <c r="E408" s="84">
        <v>22529.56</v>
      </c>
      <c r="F408" s="83">
        <f t="shared" ca="1" si="12"/>
        <v>698416.36</v>
      </c>
    </row>
    <row r="409" spans="1:10" ht="14.1" customHeight="1" x14ac:dyDescent="0.25">
      <c r="E409" s="96" t="s">
        <v>7213</v>
      </c>
      <c r="F409" s="87">
        <f ca="1">SUM(Table14[MONTO TOTAL ESTIMADO])</f>
        <v>55934950.029999994</v>
      </c>
      <c r="H409" s="39" t="str">
        <f>C381</f>
        <v>Bienes</v>
      </c>
      <c r="I409" s="39" t="str">
        <f>E381</f>
        <v>No</v>
      </c>
      <c r="J409" s="39" t="str">
        <f>D381</f>
        <v>Excepción - Bienes o servicios con exclusividad</v>
      </c>
    </row>
    <row r="411" spans="1:10" ht="33.950000000000003" customHeight="1" x14ac:dyDescent="0.25">
      <c r="A411" s="77" t="s">
        <v>17233</v>
      </c>
      <c r="B411" s="77" t="s">
        <v>4237</v>
      </c>
      <c r="C411" s="77" t="s">
        <v>4743</v>
      </c>
      <c r="D411" s="77" t="s">
        <v>9891</v>
      </c>
      <c r="E411" s="77" t="s">
        <v>3089</v>
      </c>
      <c r="F411" s="77" t="s">
        <v>18141</v>
      </c>
    </row>
    <row r="412" spans="1:10" ht="14.1" customHeight="1" x14ac:dyDescent="0.25">
      <c r="A412" s="79" t="s">
        <v>13349</v>
      </c>
      <c r="B412" s="79" t="s">
        <v>6588</v>
      </c>
      <c r="C412" s="79" t="s">
        <v>17215</v>
      </c>
      <c r="D412" s="79" t="s">
        <v>3848</v>
      </c>
      <c r="E412" s="79" t="s">
        <v>18247</v>
      </c>
      <c r="F412" s="79"/>
    </row>
    <row r="413" spans="1:10" ht="14.1" customHeight="1" x14ac:dyDescent="0.25">
      <c r="A413" s="2" t="s">
        <v>6643</v>
      </c>
      <c r="B413" s="80" t="s">
        <v>1046</v>
      </c>
      <c r="C413" s="90">
        <v>43739</v>
      </c>
      <c r="D413" s="2" t="s">
        <v>59</v>
      </c>
      <c r="E413" s="92" t="s">
        <v>20066</v>
      </c>
      <c r="F413" s="93"/>
    </row>
    <row r="414" spans="1:10" ht="14.1" customHeight="1" x14ac:dyDescent="0.25">
      <c r="A414" s="1"/>
      <c r="B414" s="80" t="s">
        <v>10788</v>
      </c>
      <c r="C414" s="91">
        <f>IF(C413="","",IF(AND(MONTH(C413)&gt;=1,MONTH(C413)&lt;=3),1,IF(AND(MONTH(C413)&gt;=4,MONTH(C413)&lt;=6),2,IF(AND(MONTH(C413)&gt;=7,MONTH(C413)&lt;=9),3,4))))</f>
        <v>4</v>
      </c>
      <c r="D414" s="1"/>
      <c r="E414" s="92" t="s">
        <v>14822</v>
      </c>
      <c r="F414" s="93"/>
    </row>
    <row r="415" spans="1:10" ht="14.1" customHeight="1" x14ac:dyDescent="0.25">
      <c r="A415" s="1"/>
      <c r="B415" s="80" t="s">
        <v>13758</v>
      </c>
      <c r="C415" s="90">
        <v>43826</v>
      </c>
      <c r="D415" s="1"/>
      <c r="E415" s="92" t="s">
        <v>18636</v>
      </c>
      <c r="F415" s="93"/>
    </row>
    <row r="416" spans="1:10" ht="14.1" customHeight="1" x14ac:dyDescent="0.25">
      <c r="A416" s="1"/>
      <c r="B416" s="80" t="s">
        <v>10788</v>
      </c>
      <c r="C416" s="91">
        <f>IF(C415="","",IF(AND(MONTH(C415)&gt;=1,MONTH(C415)&lt;=3),1,IF(AND(MONTH(C415)&gt;=4,MONTH(C415)&lt;=6),2,IF(AND(MONTH(C415)&gt;=7,MONTH(C415)&lt;=9),3,4))))</f>
        <v>4</v>
      </c>
      <c r="D416" s="1"/>
      <c r="E416" s="92" t="s">
        <v>15990</v>
      </c>
      <c r="F416" s="93"/>
    </row>
    <row r="418" spans="1:6" ht="14.1" customHeight="1" x14ac:dyDescent="0.25">
      <c r="A418" s="85" t="s">
        <v>15474</v>
      </c>
      <c r="B418" s="85" t="s">
        <v>5027</v>
      </c>
      <c r="C418" s="85" t="s">
        <v>17461</v>
      </c>
      <c r="D418" s="85" t="s">
        <v>3935</v>
      </c>
      <c r="E418" s="85" t="s">
        <v>10722</v>
      </c>
      <c r="F418" s="85" t="s">
        <v>18237</v>
      </c>
    </row>
    <row r="419" spans="1:6" ht="14.1" customHeight="1" x14ac:dyDescent="0.25">
      <c r="A419" s="94" t="s">
        <v>7953</v>
      </c>
      <c r="B419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419" s="95" t="str">
        <f>IFERROR(VLOOKUP("UD",'Informacion '!P:Q,2,FALSE),"")</f>
        <v>Unidad</v>
      </c>
      <c r="D419" s="94">
        <v>33</v>
      </c>
      <c r="E419" s="84">
        <v>1396.65</v>
      </c>
      <c r="F419" s="83">
        <f t="shared" ref="F419:F439" ca="1" si="13">INDIRECT(ADDRESS(ROW(),COLUMN()-2,4))*INDIRECT(ADDRESS(ROW(),COLUMN()-1,4))</f>
        <v>46089.450000000004</v>
      </c>
    </row>
    <row r="420" spans="1:6" ht="14.1" customHeight="1" x14ac:dyDescent="0.25">
      <c r="A420" s="94" t="s">
        <v>2352</v>
      </c>
      <c r="B420" s="82" t="str">
        <f ca="1">IFERROR(INDEX(UNSPSCDes,MATCH(INDIRECT(ADDRESS(ROW(),COLUMN()-1,4)),UNSPSCCode,0)),IF(INDIRECT(ADDRESS(ROW(),COLUMN()-1,4))="51171821","Aprepitant",""))</f>
        <v>Aprepitant</v>
      </c>
      <c r="C420" s="95" t="str">
        <f>IFERROR(VLOOKUP("UD",'Informacion '!P:Q,2,FALSE),"")</f>
        <v>Unidad</v>
      </c>
      <c r="D420" s="94">
        <v>10</v>
      </c>
      <c r="E420" s="84">
        <v>5598.24</v>
      </c>
      <c r="F420" s="83">
        <f t="shared" ca="1" si="13"/>
        <v>55982.399999999994</v>
      </c>
    </row>
    <row r="421" spans="1:6" ht="14.1" customHeight="1" x14ac:dyDescent="0.25">
      <c r="A421" s="94" t="s">
        <v>19020</v>
      </c>
      <c r="B421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421" s="95" t="str">
        <f>IFERROR(VLOOKUP("UD",'Informacion '!P:Q,2,FALSE),"")</f>
        <v>Unidad</v>
      </c>
      <c r="D421" s="94">
        <v>63</v>
      </c>
      <c r="E421" s="84">
        <v>3034.08</v>
      </c>
      <c r="F421" s="83">
        <f t="shared" ca="1" si="13"/>
        <v>191147.04</v>
      </c>
    </row>
    <row r="422" spans="1:6" ht="14.1" customHeight="1" x14ac:dyDescent="0.25">
      <c r="A422" s="94" t="s">
        <v>19305</v>
      </c>
      <c r="B422" s="82" t="str">
        <f ca="1">IFERROR(INDEX(UNSPSCDes,MATCH(INDIRECT(ADDRESS(ROW(),COLUMN()-1,4)),UNSPSCCode,0)),IF(INDIRECT(ADDRESS(ROW(),COLUMN()-1,4))="51111807","Acetato de leuprolide",""))</f>
        <v>Acetato de leuprolide</v>
      </c>
      <c r="C422" s="95" t="str">
        <f>IFERROR(VLOOKUP("UD",'Informacion '!P:Q,2,FALSE),"")</f>
        <v>Unidad</v>
      </c>
      <c r="D422" s="94">
        <v>32</v>
      </c>
      <c r="E422" s="84">
        <v>7032</v>
      </c>
      <c r="F422" s="83">
        <f t="shared" ca="1" si="13"/>
        <v>225024</v>
      </c>
    </row>
    <row r="423" spans="1:6" ht="14.1" customHeight="1" x14ac:dyDescent="0.25">
      <c r="A423" s="94" t="s">
        <v>6655</v>
      </c>
      <c r="B423" s="82" t="str">
        <f ca="1">IFERROR(INDEX(UNSPSCDes,MATCH(INDIRECT(ADDRESS(ROW(),COLUMN()-1,4)),UNSPSCCode,0)),IF(INDIRECT(ADDRESS(ROW(),COLUMN()-1,4))="51111717","Trastuzumab",""))</f>
        <v>Trastuzumab</v>
      </c>
      <c r="C423" s="95" t="str">
        <f>IFERROR(VLOOKUP("UD",'Informacion '!P:Q,2,FALSE),"")</f>
        <v>Unidad</v>
      </c>
      <c r="D423" s="94">
        <v>59</v>
      </c>
      <c r="E423" s="84">
        <v>25329.9</v>
      </c>
      <c r="F423" s="83">
        <f t="shared" ca="1" si="13"/>
        <v>1494464.1</v>
      </c>
    </row>
    <row r="424" spans="1:6" ht="14.1" customHeight="1" x14ac:dyDescent="0.25">
      <c r="A424" s="94" t="s">
        <v>6655</v>
      </c>
      <c r="B424" s="82" t="str">
        <f ca="1">IFERROR(INDEX(UNSPSCDes,MATCH(INDIRECT(ADDRESS(ROW(),COLUMN()-1,4)),UNSPSCCode,0)),IF(INDIRECT(ADDRESS(ROW(),COLUMN()-1,4))="51111717","Trastuzumab",""))</f>
        <v>Trastuzumab</v>
      </c>
      <c r="C424" s="95" t="str">
        <f>IFERROR(VLOOKUP("UD",'Informacion '!P:Q,2,FALSE),"")</f>
        <v>Unidad</v>
      </c>
      <c r="D424" s="94">
        <v>144</v>
      </c>
      <c r="E424" s="84">
        <v>106637.66</v>
      </c>
      <c r="F424" s="83">
        <f t="shared" ca="1" si="13"/>
        <v>15355823.040000001</v>
      </c>
    </row>
    <row r="425" spans="1:6" ht="14.1" customHeight="1" x14ac:dyDescent="0.25">
      <c r="A425" s="94" t="s">
        <v>6655</v>
      </c>
      <c r="B425" s="82" t="str">
        <f ca="1">IFERROR(INDEX(UNSPSCDes,MATCH(INDIRECT(ADDRESS(ROW(),COLUMN()-1,4)),UNSPSCCode,0)),IF(INDIRECT(ADDRESS(ROW(),COLUMN()-1,4))="51111717","Trastuzumab",""))</f>
        <v>Trastuzumab</v>
      </c>
      <c r="C425" s="95" t="str">
        <f>IFERROR(VLOOKUP("UD",'Informacion '!P:Q,2,FALSE),"")</f>
        <v>Unidad</v>
      </c>
      <c r="D425" s="94">
        <v>7</v>
      </c>
      <c r="E425" s="84">
        <v>178803.82</v>
      </c>
      <c r="F425" s="83">
        <f t="shared" ca="1" si="13"/>
        <v>1251626.74</v>
      </c>
    </row>
    <row r="426" spans="1:6" ht="14.1" customHeight="1" x14ac:dyDescent="0.25">
      <c r="A426" s="94" t="s">
        <v>11307</v>
      </c>
      <c r="B426" s="82" t="str">
        <f ca="1">IFERROR(INDEX(UNSPSCDes,MATCH(INDIRECT(ADDRESS(ROW(),COLUMN()-1,4)),UNSPSCCode,0)),IF(INDIRECT(ADDRESS(ROW(),COLUMN()-1,4))="51182415","Ácido zoledrónico",""))</f>
        <v>Ácido zoledrónico</v>
      </c>
      <c r="C426" s="95" t="str">
        <f>IFERROR(VLOOKUP("UD",'Informacion '!P:Q,2,FALSE),"")</f>
        <v>Unidad</v>
      </c>
      <c r="D426" s="94">
        <v>195</v>
      </c>
      <c r="E426" s="84">
        <v>6581.51</v>
      </c>
      <c r="F426" s="83">
        <f t="shared" ca="1" si="13"/>
        <v>1283394.45</v>
      </c>
    </row>
    <row r="427" spans="1:6" ht="14.1" customHeight="1" x14ac:dyDescent="0.25">
      <c r="A427" s="94" t="s">
        <v>2868</v>
      </c>
      <c r="B427" s="82" t="str">
        <f ca="1">IFERROR(INDEX(UNSPSCDes,MATCH(INDIRECT(ADDRESS(ROW(),COLUMN()-1,4)),UNSPSCCode,0)),IF(INDIRECT(ADDRESS(ROW(),COLUMN()-1,4))="51111616","Capecitabina",""))</f>
        <v>Capecitabina</v>
      </c>
      <c r="C427" s="95" t="str">
        <f>IFERROR(VLOOKUP("UD",'Informacion '!P:Q,2,FALSE),"")</f>
        <v>Unidad</v>
      </c>
      <c r="D427" s="94">
        <v>6113</v>
      </c>
      <c r="E427" s="84">
        <v>174.23</v>
      </c>
      <c r="F427" s="83">
        <f t="shared" ca="1" si="13"/>
        <v>1065067.99</v>
      </c>
    </row>
    <row r="428" spans="1:6" ht="14.1" customHeight="1" x14ac:dyDescent="0.25">
      <c r="A428" s="94" t="s">
        <v>9065</v>
      </c>
      <c r="B428" s="82" t="str">
        <f ca="1">IFERROR(INDEX(UNSPSCDes,MATCH(INDIRECT(ADDRESS(ROW(),COLUMN()-1,4)),UNSPSCCode,0)),IF(INDIRECT(ADDRESS(ROW(),COLUMN()-1,4))="51111820","Letrozol",""))</f>
        <v>Letrozol</v>
      </c>
      <c r="C428" s="95" t="str">
        <f>IFERROR(VLOOKUP("UD",'Informacion '!P:Q,2,FALSE),"")</f>
        <v>Unidad</v>
      </c>
      <c r="D428" s="94">
        <v>173</v>
      </c>
      <c r="E428" s="84">
        <v>208.68</v>
      </c>
      <c r="F428" s="83">
        <f t="shared" ca="1" si="13"/>
        <v>36101.64</v>
      </c>
    </row>
    <row r="429" spans="1:6" ht="14.1" customHeight="1" x14ac:dyDescent="0.25">
      <c r="A429" s="94" t="s">
        <v>872</v>
      </c>
      <c r="B429" s="82" t="str">
        <f ca="1">IFERROR(INDEX(UNSPSCDes,MATCH(INDIRECT(ADDRESS(ROW(),COLUMN()-1,4)),UNSPSCCode,0)),IF(INDIRECT(ADDRESS(ROW(),COLUMN()-1,4))="51111819","Fulvestrant",""))</f>
        <v>Fulvestrant</v>
      </c>
      <c r="C429" s="95" t="str">
        <f>IFERROR(VLOOKUP("UD",'Informacion '!P:Q,2,FALSE),"")</f>
        <v>Unidad</v>
      </c>
      <c r="D429" s="94">
        <v>4</v>
      </c>
      <c r="E429" s="84">
        <v>47900</v>
      </c>
      <c r="F429" s="83">
        <f t="shared" ca="1" si="13"/>
        <v>191600</v>
      </c>
    </row>
    <row r="430" spans="1:6" ht="14.1" customHeight="1" x14ac:dyDescent="0.25">
      <c r="A430" s="94" t="s">
        <v>6655</v>
      </c>
      <c r="B430" s="82" t="str">
        <f ca="1">IFERROR(INDEX(UNSPSCDes,MATCH(INDIRECT(ADDRESS(ROW(),COLUMN()-1,4)),UNSPSCCode,0)),IF(INDIRECT(ADDRESS(ROW(),COLUMN()-1,4))="51111717","Trastuzumab",""))</f>
        <v>Trastuzumab</v>
      </c>
      <c r="C430" s="95" t="str">
        <f>IFERROR(VLOOKUP("UD",'Informacion '!P:Q,2,FALSE),"")</f>
        <v>Unidad</v>
      </c>
      <c r="D430" s="94">
        <v>99</v>
      </c>
      <c r="E430" s="84">
        <v>62852.47</v>
      </c>
      <c r="F430" s="83">
        <f t="shared" ca="1" si="13"/>
        <v>6222394.5300000003</v>
      </c>
    </row>
    <row r="431" spans="1:6" ht="14.1" customHeight="1" x14ac:dyDescent="0.25">
      <c r="A431" s="94" t="s">
        <v>693</v>
      </c>
      <c r="B431" s="82" t="str">
        <f ca="1">IFERROR(INDEX(UNSPSCDes,MATCH(INDIRECT(ADDRESS(ROW(),COLUMN()-1,4)),UNSPSCCode,0)),IF(INDIRECT(ADDRESS(ROW(),COLUMN()-1,4))="51111716","Rituximab",""))</f>
        <v>Rituximab</v>
      </c>
      <c r="C431" s="95" t="str">
        <f>IFERROR(VLOOKUP("UD",'Informacion '!P:Q,2,FALSE),"")</f>
        <v>Unidad</v>
      </c>
      <c r="D431" s="94">
        <v>186</v>
      </c>
      <c r="E431" s="84">
        <v>119214.5</v>
      </c>
      <c r="F431" s="83">
        <f t="shared" ca="1" si="13"/>
        <v>22173897</v>
      </c>
    </row>
    <row r="432" spans="1:6" ht="14.1" customHeight="1" x14ac:dyDescent="0.25">
      <c r="A432" s="94" t="s">
        <v>19295</v>
      </c>
      <c r="B432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432" s="95" t="str">
        <f>IFERROR(VLOOKUP("UD",'Informacion '!P:Q,2,FALSE),"")</f>
        <v>Unidad</v>
      </c>
      <c r="D432" s="94">
        <v>67</v>
      </c>
      <c r="E432" s="84">
        <v>55200</v>
      </c>
      <c r="F432" s="83">
        <f t="shared" ca="1" si="13"/>
        <v>3698400</v>
      </c>
    </row>
    <row r="433" spans="1:10" ht="14.1" customHeight="1" x14ac:dyDescent="0.25">
      <c r="A433" s="94" t="s">
        <v>11115</v>
      </c>
      <c r="B433" s="82" t="str">
        <f ca="1">IFERROR(INDEX(UNSPSCDes,MATCH(INDIRECT(ADDRESS(ROW(),COLUMN()-1,4)),UNSPSCCode,0)),IF(INDIRECT(ADDRESS(ROW(),COLUMN()-1,4))="51131506","Eritropoyetina",""))</f>
        <v>Eritropoyetina</v>
      </c>
      <c r="C433" s="95" t="str">
        <f>IFERROR(VLOOKUP("UD",'Informacion '!P:Q,2,FALSE),"")</f>
        <v>Unidad</v>
      </c>
      <c r="D433" s="94">
        <v>187</v>
      </c>
      <c r="E433" s="84">
        <v>1133.81</v>
      </c>
      <c r="F433" s="83">
        <f t="shared" ca="1" si="13"/>
        <v>212022.47</v>
      </c>
    </row>
    <row r="434" spans="1:10" ht="14.1" customHeight="1" x14ac:dyDescent="0.25">
      <c r="A434" s="94" t="s">
        <v>693</v>
      </c>
      <c r="B434" s="82" t="str">
        <f ca="1">IFERROR(INDEX(UNSPSCDes,MATCH(INDIRECT(ADDRESS(ROW(),COLUMN()-1,4)),UNSPSCCode,0)),IF(INDIRECT(ADDRESS(ROW(),COLUMN()-1,4))="51111716","Rituximab",""))</f>
        <v>Rituximab</v>
      </c>
      <c r="C434" s="95" t="str">
        <f>IFERROR(VLOOKUP("UD",'Informacion '!P:Q,2,FALSE),"")</f>
        <v>Unidad</v>
      </c>
      <c r="D434" s="94">
        <v>30</v>
      </c>
      <c r="E434" s="84">
        <v>34783.69</v>
      </c>
      <c r="F434" s="83">
        <f t="shared" ca="1" si="13"/>
        <v>1043510.7000000001</v>
      </c>
    </row>
    <row r="435" spans="1:10" ht="14.1" customHeight="1" x14ac:dyDescent="0.25">
      <c r="A435" s="94" t="s">
        <v>4724</v>
      </c>
      <c r="B435" s="82" t="str">
        <f ca="1">IFERROR(INDEX(UNSPSCDes,MATCH(INDIRECT(ADDRESS(ROW(),COLUMN()-1,4)),UNSPSCCode,0)),IF(INDIRECT(ADDRESS(ROW(),COLUMN()-1,4))="51111712","Pirarubicina",""))</f>
        <v>Pirarubicina</v>
      </c>
      <c r="C435" s="95" t="str">
        <f>IFERROR(VLOOKUP("UD",'Informacion '!P:Q,2,FALSE),"")</f>
        <v>Unidad</v>
      </c>
      <c r="D435" s="94">
        <v>100</v>
      </c>
      <c r="E435" s="84">
        <v>4353</v>
      </c>
      <c r="F435" s="83">
        <f t="shared" ca="1" si="13"/>
        <v>435300</v>
      </c>
    </row>
    <row r="436" spans="1:10" ht="14.1" customHeight="1" x14ac:dyDescent="0.25">
      <c r="A436" s="94" t="s">
        <v>3969</v>
      </c>
      <c r="B436" s="82" t="str">
        <f ca="1">IFERROR(INDEX(UNSPSCDes,MATCH(INDIRECT(ADDRESS(ROW(),COLUMN()-1,4)),UNSPSCCode,0)),IF(INDIRECT(ADDRESS(ROW(),COLUMN()-1,4))="51142608","Trimetilxantina",""))</f>
        <v>Trimetilxantina</v>
      </c>
      <c r="C436" s="95" t="str">
        <f>IFERROR(VLOOKUP("UD",'Informacion '!P:Q,2,FALSE),"")</f>
        <v>Unidad</v>
      </c>
      <c r="D436" s="94">
        <v>30</v>
      </c>
      <c r="E436" s="84">
        <v>7097</v>
      </c>
      <c r="F436" s="83">
        <f t="shared" ca="1" si="13"/>
        <v>212910</v>
      </c>
    </row>
    <row r="437" spans="1:10" ht="14.1" customHeight="1" x14ac:dyDescent="0.25">
      <c r="A437" s="94" t="s">
        <v>7830</v>
      </c>
      <c r="B437" s="82" t="str">
        <f ca="1">IFERROR(INDEX(UNSPSCDes,MATCH(INDIRECT(ADDRESS(ROW(),COLUMN()-1,4)),UNSPSCCode,0)),IF(INDIRECT(ADDRESS(ROW(),COLUMN()-1,4))="51111809","Tamoxifeno",""))</f>
        <v>Tamoxifeno</v>
      </c>
      <c r="C437" s="95" t="str">
        <f>IFERROR(VLOOKUP("UD",'Informacion '!P:Q,2,FALSE),"")</f>
        <v>Unidad</v>
      </c>
      <c r="D437" s="94">
        <v>300</v>
      </c>
      <c r="E437" s="84">
        <v>64</v>
      </c>
      <c r="F437" s="83">
        <f t="shared" ca="1" si="13"/>
        <v>19200</v>
      </c>
    </row>
    <row r="438" spans="1:10" ht="14.1" customHeight="1" x14ac:dyDescent="0.25">
      <c r="A438" s="94" t="s">
        <v>4724</v>
      </c>
      <c r="B438" s="82" t="str">
        <f ca="1">IFERROR(INDEX(UNSPSCDes,MATCH(INDIRECT(ADDRESS(ROW(),COLUMN()-1,4)),UNSPSCCode,0)),IF(INDIRECT(ADDRESS(ROW(),COLUMN()-1,4))="51111712","Pirarubicina",""))</f>
        <v>Pirarubicina</v>
      </c>
      <c r="C438" s="95" t="str">
        <f>IFERROR(VLOOKUP("UD",'Informacion '!P:Q,2,FALSE),"")</f>
        <v>Unidad</v>
      </c>
      <c r="D438" s="94">
        <v>420</v>
      </c>
      <c r="E438" s="84">
        <v>827</v>
      </c>
      <c r="F438" s="83">
        <f t="shared" ca="1" si="13"/>
        <v>347340</v>
      </c>
    </row>
    <row r="439" spans="1:10" ht="14.1" customHeight="1" x14ac:dyDescent="0.25">
      <c r="A439" s="94" t="s">
        <v>6372</v>
      </c>
      <c r="B439" s="82" t="str">
        <f ca="1">IFERROR(INDEX(UNSPSCDes,MATCH(INDIRECT(ADDRESS(ROW(),COLUMN()-1,4)),UNSPSCCode,0)),IF(INDIRECT(ADDRESS(ROW(),COLUMN()-1,4))="51101835","Acetato de caspofungina",""))</f>
        <v>Acetato de caspofungina</v>
      </c>
      <c r="C439" s="95" t="str">
        <f>IFERROR(VLOOKUP("UD",'Informacion '!P:Q,2,FALSE),"")</f>
        <v>Unidad</v>
      </c>
      <c r="D439" s="94">
        <v>32</v>
      </c>
      <c r="E439" s="84">
        <v>22529.56</v>
      </c>
      <c r="F439" s="83">
        <f t="shared" ca="1" si="13"/>
        <v>720945.92</v>
      </c>
    </row>
    <row r="440" spans="1:10" ht="14.1" customHeight="1" x14ac:dyDescent="0.25">
      <c r="E440" s="96" t="s">
        <v>7213</v>
      </c>
      <c r="F440" s="87">
        <f ca="1">SUM(Table15[MONTO TOTAL ESTIMADO])</f>
        <v>56282241.469999999</v>
      </c>
      <c r="H440" s="39" t="str">
        <f>C412</f>
        <v>Bienes</v>
      </c>
      <c r="I440" s="39" t="str">
        <f>E412</f>
        <v>No</v>
      </c>
      <c r="J440" s="39" t="str">
        <f>D412</f>
        <v>Excepción - Proveedor Único</v>
      </c>
    </row>
    <row r="442" spans="1:10" ht="33.950000000000003" customHeight="1" x14ac:dyDescent="0.25">
      <c r="A442" s="77" t="s">
        <v>17233</v>
      </c>
      <c r="B442" s="77" t="s">
        <v>4237</v>
      </c>
      <c r="C442" s="77" t="s">
        <v>4743</v>
      </c>
      <c r="D442" s="77" t="s">
        <v>9891</v>
      </c>
      <c r="E442" s="77" t="s">
        <v>3089</v>
      </c>
      <c r="F442" s="77" t="s">
        <v>18141</v>
      </c>
    </row>
    <row r="443" spans="1:10" ht="14.1" customHeight="1" x14ac:dyDescent="0.25">
      <c r="A443" s="79" t="s">
        <v>326</v>
      </c>
      <c r="B443" s="79" t="s">
        <v>3864</v>
      </c>
      <c r="C443" s="79" t="s">
        <v>17215</v>
      </c>
      <c r="D443" s="79" t="s">
        <v>12255</v>
      </c>
      <c r="E443" s="79" t="s">
        <v>18247</v>
      </c>
      <c r="F443" s="79"/>
    </row>
    <row r="444" spans="1:10" ht="14.1" customHeight="1" x14ac:dyDescent="0.25">
      <c r="A444" s="2" t="s">
        <v>6643</v>
      </c>
      <c r="B444" s="80" t="s">
        <v>1046</v>
      </c>
      <c r="C444" s="90">
        <v>43467</v>
      </c>
      <c r="D444" s="2" t="s">
        <v>59</v>
      </c>
      <c r="E444" s="92" t="s">
        <v>20066</v>
      </c>
      <c r="F444" s="93" t="s">
        <v>5684</v>
      </c>
    </row>
    <row r="445" spans="1:10" ht="14.1" customHeight="1" x14ac:dyDescent="0.25">
      <c r="A445" s="1"/>
      <c r="B445" s="80" t="s">
        <v>10788</v>
      </c>
      <c r="C445" s="91">
        <f>IF(C444="","",IF(AND(MONTH(C444)&gt;=1,MONTH(C444)&lt;=3),1,IF(AND(MONTH(C444)&gt;=4,MONTH(C444)&lt;=6),2,IF(AND(MONTH(C444)&gt;=7,MONTH(C444)&lt;=9),3,4))))</f>
        <v>1</v>
      </c>
      <c r="D445" s="1"/>
      <c r="E445" s="92" t="s">
        <v>14822</v>
      </c>
      <c r="F445" s="93"/>
    </row>
    <row r="446" spans="1:10" ht="14.1" customHeight="1" x14ac:dyDescent="0.25">
      <c r="A446" s="1"/>
      <c r="B446" s="80" t="s">
        <v>13758</v>
      </c>
      <c r="C446" s="90">
        <v>43553</v>
      </c>
      <c r="D446" s="1"/>
      <c r="E446" s="92" t="s">
        <v>18636</v>
      </c>
      <c r="F446" s="93"/>
    </row>
    <row r="447" spans="1:10" ht="14.1" customHeight="1" x14ac:dyDescent="0.25">
      <c r="A447" s="1"/>
      <c r="B447" s="80" t="s">
        <v>10788</v>
      </c>
      <c r="C447" s="91">
        <f>IF(C446="","",IF(AND(MONTH(C446)&gt;=1,MONTH(C446)&lt;=3),1,IF(AND(MONTH(C446)&gt;=4,MONTH(C446)&lt;=6),2,IF(AND(MONTH(C446)&gt;=7,MONTH(C446)&lt;=9),3,4))))</f>
        <v>1</v>
      </c>
      <c r="D447" s="1"/>
      <c r="E447" s="92" t="s">
        <v>15990</v>
      </c>
      <c r="F447" s="93"/>
    </row>
    <row r="449" spans="1:10" ht="14.1" customHeight="1" x14ac:dyDescent="0.25">
      <c r="A449" s="85" t="s">
        <v>15474</v>
      </c>
      <c r="B449" s="85" t="s">
        <v>5027</v>
      </c>
      <c r="C449" s="85" t="s">
        <v>17461</v>
      </c>
      <c r="D449" s="85" t="s">
        <v>3935</v>
      </c>
      <c r="E449" s="85" t="s">
        <v>10722</v>
      </c>
      <c r="F449" s="85" t="s">
        <v>18237</v>
      </c>
    </row>
    <row r="450" spans="1:10" ht="14.1" customHeight="1" x14ac:dyDescent="0.25">
      <c r="A450" s="94" t="s">
        <v>2499</v>
      </c>
      <c r="B450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450" s="95" t="str">
        <f>IFERROR(VLOOKUP("UD",'Informacion '!P:Q,2,FALSE),"")</f>
        <v>Unidad</v>
      </c>
      <c r="D450" s="94">
        <v>240</v>
      </c>
      <c r="E450" s="84">
        <v>824.42</v>
      </c>
      <c r="F450" s="83">
        <f ca="1">INDIRECT(ADDRESS(ROW(),COLUMN()-2,4))*INDIRECT(ADDRESS(ROW(),COLUMN()-1,4))</f>
        <v>197860.8</v>
      </c>
    </row>
    <row r="451" spans="1:10" ht="14.1" customHeight="1" x14ac:dyDescent="0.25">
      <c r="A451" s="94" t="s">
        <v>2499</v>
      </c>
      <c r="B451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451" s="95" t="str">
        <f>IFERROR(VLOOKUP("UD",'Informacion '!P:Q,2,FALSE),"")</f>
        <v>Unidad</v>
      </c>
      <c r="D451" s="94">
        <v>75</v>
      </c>
      <c r="E451" s="84">
        <v>875</v>
      </c>
      <c r="F451" s="83">
        <f ca="1">INDIRECT(ADDRESS(ROW(),COLUMN()-2,4))*INDIRECT(ADDRESS(ROW(),COLUMN()-1,4))</f>
        <v>65625</v>
      </c>
    </row>
    <row r="452" spans="1:10" ht="14.1" customHeight="1" x14ac:dyDescent="0.25">
      <c r="A452" s="94"/>
      <c r="B452" s="82" t="str">
        <f ca="1">IFERROR(INDEX(UNSPSCDes,MATCH(INDIRECT(ADDRESS(ROW(),COLUMN()-1,4)),UNSPSCCode,0)),"")</f>
        <v/>
      </c>
      <c r="C452" s="95"/>
      <c r="D452" s="94"/>
      <c r="E452" s="84"/>
      <c r="F452" s="83">
        <f ca="1">INDIRECT(ADDRESS(ROW(),COLUMN()-2,4))*INDIRECT(ADDRESS(ROW(),COLUMN()-1,4))</f>
        <v>0</v>
      </c>
    </row>
    <row r="453" spans="1:10" ht="14.1" customHeight="1" x14ac:dyDescent="0.25">
      <c r="E453" s="96" t="s">
        <v>7213</v>
      </c>
      <c r="F453" s="87">
        <f ca="1">SUM(Table16[MONTO TOTAL ESTIMADO])</f>
        <v>263485.8</v>
      </c>
      <c r="H453" s="39" t="str">
        <f>C443</f>
        <v>Bienes</v>
      </c>
      <c r="I453" s="39" t="str">
        <f>E443</f>
        <v>No</v>
      </c>
      <c r="J453" s="39" t="str">
        <f>D443</f>
        <v>Excepción - Bienes o servicios con exclusividad</v>
      </c>
    </row>
    <row r="455" spans="1:10" ht="33.950000000000003" customHeight="1" x14ac:dyDescent="0.25">
      <c r="A455" s="77" t="s">
        <v>17233</v>
      </c>
      <c r="B455" s="77" t="s">
        <v>4237</v>
      </c>
      <c r="C455" s="77" t="s">
        <v>4743</v>
      </c>
      <c r="D455" s="77" t="s">
        <v>9891</v>
      </c>
      <c r="E455" s="77" t="s">
        <v>3089</v>
      </c>
      <c r="F455" s="77" t="s">
        <v>18141</v>
      </c>
    </row>
    <row r="456" spans="1:10" ht="14.1" customHeight="1" x14ac:dyDescent="0.25">
      <c r="A456" s="79" t="s">
        <v>2705</v>
      </c>
      <c r="B456" s="79" t="s">
        <v>3864</v>
      </c>
      <c r="C456" s="79" t="s">
        <v>17215</v>
      </c>
      <c r="D456" s="79" t="s">
        <v>12255</v>
      </c>
      <c r="E456" s="79" t="s">
        <v>18247</v>
      </c>
      <c r="F456" s="79"/>
    </row>
    <row r="457" spans="1:10" ht="14.1" customHeight="1" x14ac:dyDescent="0.25">
      <c r="A457" s="2" t="s">
        <v>6643</v>
      </c>
      <c r="B457" s="80" t="s">
        <v>1046</v>
      </c>
      <c r="C457" s="90">
        <v>43556</v>
      </c>
      <c r="D457" s="2" t="s">
        <v>59</v>
      </c>
      <c r="E457" s="92" t="s">
        <v>20066</v>
      </c>
      <c r="F457" s="93"/>
    </row>
    <row r="458" spans="1:10" ht="14.1" customHeight="1" x14ac:dyDescent="0.25">
      <c r="A458" s="1"/>
      <c r="B458" s="80" t="s">
        <v>10788</v>
      </c>
      <c r="C458" s="91">
        <f>IF(C457="","",IF(AND(MONTH(C457)&gt;=1,MONTH(C457)&lt;=3),1,IF(AND(MONTH(C457)&gt;=4,MONTH(C457)&lt;=6),2,IF(AND(MONTH(C457)&gt;=7,MONTH(C457)&lt;=9),3,4))))</f>
        <v>2</v>
      </c>
      <c r="D458" s="1"/>
      <c r="E458" s="92" t="s">
        <v>14822</v>
      </c>
      <c r="F458" s="93"/>
    </row>
    <row r="459" spans="1:10" ht="14.1" customHeight="1" x14ac:dyDescent="0.25">
      <c r="A459" s="1"/>
      <c r="B459" s="80" t="s">
        <v>13758</v>
      </c>
      <c r="C459" s="90">
        <v>43644</v>
      </c>
      <c r="D459" s="1"/>
      <c r="E459" s="92" t="s">
        <v>18636</v>
      </c>
      <c r="F459" s="93"/>
    </row>
    <row r="460" spans="1:10" ht="14.1" customHeight="1" x14ac:dyDescent="0.25">
      <c r="A460" s="1"/>
      <c r="B460" s="80" t="s">
        <v>10788</v>
      </c>
      <c r="C460" s="91">
        <f>IF(C459="","",IF(AND(MONTH(C459)&gt;=1,MONTH(C459)&lt;=3),1,IF(AND(MONTH(C459)&gt;=4,MONTH(C459)&lt;=6),2,IF(AND(MONTH(C459)&gt;=7,MONTH(C459)&lt;=9),3,4))))</f>
        <v>2</v>
      </c>
      <c r="D460" s="1"/>
      <c r="E460" s="92" t="s">
        <v>15990</v>
      </c>
      <c r="F460" s="93"/>
    </row>
    <row r="462" spans="1:10" ht="14.1" customHeight="1" x14ac:dyDescent="0.25">
      <c r="A462" s="85" t="s">
        <v>15474</v>
      </c>
      <c r="B462" s="85" t="s">
        <v>5027</v>
      </c>
      <c r="C462" s="85" t="s">
        <v>17461</v>
      </c>
      <c r="D462" s="85" t="s">
        <v>3935</v>
      </c>
      <c r="E462" s="85" t="s">
        <v>10722</v>
      </c>
      <c r="F462" s="85" t="s">
        <v>18237</v>
      </c>
    </row>
    <row r="463" spans="1:10" ht="14.1" customHeight="1" x14ac:dyDescent="0.25">
      <c r="A463" s="94" t="s">
        <v>2499</v>
      </c>
      <c r="B463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463" s="95" t="str">
        <f>IFERROR(VLOOKUP("UD",'Informacion '!P:Q,2,FALSE),"")</f>
        <v>Unidad</v>
      </c>
      <c r="D463" s="94">
        <v>245</v>
      </c>
      <c r="E463" s="84">
        <v>824.42</v>
      </c>
      <c r="F463" s="83">
        <f ca="1">INDIRECT(ADDRESS(ROW(),COLUMN()-2,4))*INDIRECT(ADDRESS(ROW(),COLUMN()-1,4))</f>
        <v>201982.9</v>
      </c>
    </row>
    <row r="464" spans="1:10" ht="14.1" customHeight="1" x14ac:dyDescent="0.25">
      <c r="A464" s="94" t="s">
        <v>2499</v>
      </c>
      <c r="B464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464" s="95" t="str">
        <f>IFERROR(VLOOKUP("UD",'Informacion '!P:Q,2,FALSE),"")</f>
        <v>Unidad</v>
      </c>
      <c r="D464" s="94">
        <v>75</v>
      </c>
      <c r="E464" s="84">
        <v>875</v>
      </c>
      <c r="F464" s="83">
        <f ca="1">INDIRECT(ADDRESS(ROW(),COLUMN()-2,4))*INDIRECT(ADDRESS(ROW(),COLUMN()-1,4))</f>
        <v>65625</v>
      </c>
    </row>
    <row r="465" spans="1:10" ht="14.1" customHeight="1" x14ac:dyDescent="0.25">
      <c r="E465" s="96" t="s">
        <v>7213</v>
      </c>
      <c r="F465" s="87">
        <f ca="1">SUM(Table17[MONTO TOTAL ESTIMADO])</f>
        <v>267607.90000000002</v>
      </c>
      <c r="H465" s="39" t="str">
        <f>C456</f>
        <v>Bienes</v>
      </c>
      <c r="I465" s="39" t="str">
        <f>E456</f>
        <v>No</v>
      </c>
      <c r="J465" s="39" t="str">
        <f>D456</f>
        <v>Excepción - Bienes o servicios con exclusividad</v>
      </c>
    </row>
    <row r="467" spans="1:10" ht="33.950000000000003" customHeight="1" x14ac:dyDescent="0.25">
      <c r="A467" s="77" t="s">
        <v>17233</v>
      </c>
      <c r="B467" s="77" t="s">
        <v>4237</v>
      </c>
      <c r="C467" s="77" t="s">
        <v>4743</v>
      </c>
      <c r="D467" s="77" t="s">
        <v>9891</v>
      </c>
      <c r="E467" s="77" t="s">
        <v>3089</v>
      </c>
      <c r="F467" s="77" t="s">
        <v>18141</v>
      </c>
    </row>
    <row r="468" spans="1:10" ht="14.1" customHeight="1" x14ac:dyDescent="0.25">
      <c r="A468" s="79" t="s">
        <v>2193</v>
      </c>
      <c r="B468" s="79" t="s">
        <v>3864</v>
      </c>
      <c r="C468" s="79" t="s">
        <v>17215</v>
      </c>
      <c r="D468" s="79" t="s">
        <v>12255</v>
      </c>
      <c r="E468" s="79" t="s">
        <v>18247</v>
      </c>
      <c r="F468" s="79"/>
    </row>
    <row r="469" spans="1:10" ht="14.1" customHeight="1" x14ac:dyDescent="0.25">
      <c r="A469" s="2" t="s">
        <v>6643</v>
      </c>
      <c r="B469" s="80" t="s">
        <v>1046</v>
      </c>
      <c r="C469" s="90">
        <v>43647</v>
      </c>
      <c r="D469" s="2" t="s">
        <v>59</v>
      </c>
      <c r="E469" s="92" t="s">
        <v>20066</v>
      </c>
      <c r="F469" s="93"/>
    </row>
    <row r="470" spans="1:10" ht="14.1" customHeight="1" x14ac:dyDescent="0.25">
      <c r="A470" s="1"/>
      <c r="B470" s="80" t="s">
        <v>10788</v>
      </c>
      <c r="C470" s="91">
        <f>IF(C469="","",IF(AND(MONTH(C469)&gt;=1,MONTH(C469)&lt;=3),1,IF(AND(MONTH(C469)&gt;=4,MONTH(C469)&lt;=6),2,IF(AND(MONTH(C469)&gt;=7,MONTH(C469)&lt;=9),3,4))))</f>
        <v>3</v>
      </c>
      <c r="D470" s="1"/>
      <c r="E470" s="92" t="s">
        <v>14822</v>
      </c>
      <c r="F470" s="93"/>
    </row>
    <row r="471" spans="1:10" ht="14.1" customHeight="1" x14ac:dyDescent="0.25">
      <c r="A471" s="1"/>
      <c r="B471" s="80" t="s">
        <v>13758</v>
      </c>
      <c r="C471" s="90">
        <v>43735</v>
      </c>
      <c r="D471" s="1"/>
      <c r="E471" s="92" t="s">
        <v>18636</v>
      </c>
      <c r="F471" s="93"/>
    </row>
    <row r="472" spans="1:10" ht="14.1" customHeight="1" x14ac:dyDescent="0.25">
      <c r="A472" s="1"/>
      <c r="B472" s="80" t="s">
        <v>10788</v>
      </c>
      <c r="C472" s="91">
        <f>IF(C471="","",IF(AND(MONTH(C471)&gt;=1,MONTH(C471)&lt;=3),1,IF(AND(MONTH(C471)&gt;=4,MONTH(C471)&lt;=6),2,IF(AND(MONTH(C471)&gt;=7,MONTH(C471)&lt;=9),3,4))))</f>
        <v>3</v>
      </c>
      <c r="D472" s="1"/>
      <c r="E472" s="92" t="s">
        <v>15990</v>
      </c>
      <c r="F472" s="93"/>
    </row>
    <row r="474" spans="1:10" ht="14.1" customHeight="1" x14ac:dyDescent="0.25">
      <c r="A474" s="85" t="s">
        <v>15474</v>
      </c>
      <c r="B474" s="85" t="s">
        <v>5027</v>
      </c>
      <c r="C474" s="85" t="s">
        <v>17461</v>
      </c>
      <c r="D474" s="85" t="s">
        <v>3935</v>
      </c>
      <c r="E474" s="85" t="s">
        <v>10722</v>
      </c>
      <c r="F474" s="85" t="s">
        <v>18237</v>
      </c>
    </row>
    <row r="475" spans="1:10" ht="14.1" customHeight="1" x14ac:dyDescent="0.25">
      <c r="A475" s="94" t="s">
        <v>2499</v>
      </c>
      <c r="B475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475" s="95" t="str">
        <f>IFERROR(VLOOKUP("UD",'Informacion '!P:Q,2,FALSE),"")</f>
        <v>Unidad</v>
      </c>
      <c r="D475" s="94">
        <v>250</v>
      </c>
      <c r="E475" s="84">
        <v>824.42</v>
      </c>
      <c r="F475" s="83">
        <f ca="1">INDIRECT(ADDRESS(ROW(),COLUMN()-2,4))*INDIRECT(ADDRESS(ROW(),COLUMN()-1,4))</f>
        <v>206105</v>
      </c>
    </row>
    <row r="476" spans="1:10" ht="14.1" customHeight="1" x14ac:dyDescent="0.25">
      <c r="A476" s="94" t="s">
        <v>2499</v>
      </c>
      <c r="B476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476" s="95" t="str">
        <f>IFERROR(VLOOKUP("UD",'Informacion '!P:Q,2,FALSE),"")</f>
        <v>Unidad</v>
      </c>
      <c r="D476" s="94">
        <v>75</v>
      </c>
      <c r="E476" s="84">
        <v>875</v>
      </c>
      <c r="F476" s="83">
        <f ca="1">INDIRECT(ADDRESS(ROW(),COLUMN()-2,4))*INDIRECT(ADDRESS(ROW(),COLUMN()-1,4))</f>
        <v>65625</v>
      </c>
    </row>
    <row r="477" spans="1:10" ht="14.1" customHeight="1" x14ac:dyDescent="0.25">
      <c r="E477" s="96" t="s">
        <v>7213</v>
      </c>
      <c r="F477" s="87">
        <f ca="1">SUM(Table18[MONTO TOTAL ESTIMADO])</f>
        <v>271730</v>
      </c>
      <c r="H477" s="39" t="str">
        <f>C468</f>
        <v>Bienes</v>
      </c>
      <c r="I477" s="39" t="str">
        <f>E468</f>
        <v>No</v>
      </c>
      <c r="J477" s="39" t="str">
        <f>D468</f>
        <v>Excepción - Bienes o servicios con exclusividad</v>
      </c>
    </row>
    <row r="479" spans="1:10" ht="33.950000000000003" customHeight="1" x14ac:dyDescent="0.25">
      <c r="A479" s="77" t="s">
        <v>17233</v>
      </c>
      <c r="B479" s="77" t="s">
        <v>4237</v>
      </c>
      <c r="C479" s="77" t="s">
        <v>4743</v>
      </c>
      <c r="D479" s="77" t="s">
        <v>9891</v>
      </c>
      <c r="E479" s="77" t="s">
        <v>3089</v>
      </c>
      <c r="F479" s="77" t="s">
        <v>18141</v>
      </c>
    </row>
    <row r="480" spans="1:10" ht="14.1" customHeight="1" x14ac:dyDescent="0.25">
      <c r="A480" s="79" t="s">
        <v>2777</v>
      </c>
      <c r="B480" s="79" t="s">
        <v>7679</v>
      </c>
      <c r="C480" s="79" t="s">
        <v>17215</v>
      </c>
      <c r="D480" s="79" t="s">
        <v>12255</v>
      </c>
      <c r="E480" s="79" t="s">
        <v>18247</v>
      </c>
      <c r="F480" s="79"/>
    </row>
    <row r="481" spans="1:10" ht="14.1" customHeight="1" x14ac:dyDescent="0.25">
      <c r="A481" s="2" t="s">
        <v>6643</v>
      </c>
      <c r="B481" s="80" t="s">
        <v>1046</v>
      </c>
      <c r="C481" s="90">
        <v>43739</v>
      </c>
      <c r="D481" s="2" t="s">
        <v>59</v>
      </c>
      <c r="E481" s="92" t="s">
        <v>20066</v>
      </c>
      <c r="F481" s="93"/>
    </row>
    <row r="482" spans="1:10" ht="14.1" customHeight="1" x14ac:dyDescent="0.25">
      <c r="A482" s="1"/>
      <c r="B482" s="80" t="s">
        <v>10788</v>
      </c>
      <c r="C482" s="91">
        <f>IF(C481="","",IF(AND(MONTH(C481)&gt;=1,MONTH(C481)&lt;=3),1,IF(AND(MONTH(C481)&gt;=4,MONTH(C481)&lt;=6),2,IF(AND(MONTH(C481)&gt;=7,MONTH(C481)&lt;=9),3,4))))</f>
        <v>4</v>
      </c>
      <c r="D482" s="1"/>
      <c r="E482" s="92" t="s">
        <v>14822</v>
      </c>
      <c r="F482" s="93"/>
    </row>
    <row r="483" spans="1:10" ht="14.1" customHeight="1" x14ac:dyDescent="0.25">
      <c r="A483" s="1"/>
      <c r="B483" s="80" t="s">
        <v>13758</v>
      </c>
      <c r="C483" s="90">
        <v>43829</v>
      </c>
      <c r="D483" s="1"/>
      <c r="E483" s="92" t="s">
        <v>18636</v>
      </c>
      <c r="F483" s="93"/>
    </row>
    <row r="484" spans="1:10" ht="14.1" customHeight="1" x14ac:dyDescent="0.25">
      <c r="A484" s="1"/>
      <c r="B484" s="80" t="s">
        <v>10788</v>
      </c>
      <c r="C484" s="91">
        <f>IF(C483="","",IF(AND(MONTH(C483)&gt;=1,MONTH(C483)&lt;=3),1,IF(AND(MONTH(C483)&gt;=4,MONTH(C483)&lt;=6),2,IF(AND(MONTH(C483)&gt;=7,MONTH(C483)&lt;=9),3,4))))</f>
        <v>4</v>
      </c>
      <c r="D484" s="1"/>
      <c r="E484" s="92" t="s">
        <v>15990</v>
      </c>
      <c r="F484" s="93"/>
    </row>
    <row r="486" spans="1:10" ht="14.1" customHeight="1" x14ac:dyDescent="0.25">
      <c r="A486" s="85" t="s">
        <v>15474</v>
      </c>
      <c r="B486" s="85" t="s">
        <v>5027</v>
      </c>
      <c r="C486" s="85" t="s">
        <v>17461</v>
      </c>
      <c r="D486" s="85" t="s">
        <v>3935</v>
      </c>
      <c r="E486" s="85" t="s">
        <v>10722</v>
      </c>
      <c r="F486" s="85" t="s">
        <v>18237</v>
      </c>
    </row>
    <row r="487" spans="1:10" ht="14.1" customHeight="1" x14ac:dyDescent="0.25">
      <c r="A487" s="94" t="s">
        <v>2499</v>
      </c>
      <c r="B487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487" s="95" t="str">
        <f>IFERROR(VLOOKUP("UD",'Informacion '!P:Q,2,FALSE),"")</f>
        <v>Unidad</v>
      </c>
      <c r="D487" s="94">
        <v>255</v>
      </c>
      <c r="E487" s="84">
        <v>824.42</v>
      </c>
      <c r="F487" s="83">
        <f ca="1">INDIRECT(ADDRESS(ROW(),COLUMN()-2,4))*INDIRECT(ADDRESS(ROW(),COLUMN()-1,4))</f>
        <v>210227.09999999998</v>
      </c>
    </row>
    <row r="488" spans="1:10" ht="14.1" customHeight="1" x14ac:dyDescent="0.25">
      <c r="A488" s="94" t="s">
        <v>2499</v>
      </c>
      <c r="B488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488" s="95" t="str">
        <f>IFERROR(VLOOKUP("UD",'Informacion '!P:Q,2,FALSE),"")</f>
        <v>Unidad</v>
      </c>
      <c r="D488" s="94">
        <v>75</v>
      </c>
      <c r="E488" s="84">
        <v>875</v>
      </c>
      <c r="F488" s="83">
        <f ca="1">INDIRECT(ADDRESS(ROW(),COLUMN()-2,4))*INDIRECT(ADDRESS(ROW(),COLUMN()-1,4))</f>
        <v>65625</v>
      </c>
    </row>
    <row r="489" spans="1:10" ht="14.1" customHeight="1" x14ac:dyDescent="0.25">
      <c r="A489" s="94" t="s">
        <v>5965</v>
      </c>
      <c r="B489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489" s="95" t="str">
        <f>IFERROR(VLOOKUP("UD",'Informacion '!P:Q,2,FALSE),"")</f>
        <v>Unidad</v>
      </c>
      <c r="D489" s="94">
        <v>10</v>
      </c>
      <c r="E489" s="84">
        <v>943.78</v>
      </c>
      <c r="F489" s="83">
        <f ca="1">INDIRECT(ADDRESS(ROW(),COLUMN()-2,4))*INDIRECT(ADDRESS(ROW(),COLUMN()-1,4))</f>
        <v>9437.7999999999993</v>
      </c>
    </row>
    <row r="490" spans="1:10" ht="14.1" customHeight="1" x14ac:dyDescent="0.25">
      <c r="E490" s="96" t="s">
        <v>7213</v>
      </c>
      <c r="F490" s="87">
        <f ca="1">SUM(Table19[MONTO TOTAL ESTIMADO])</f>
        <v>285289.89999999997</v>
      </c>
      <c r="H490" s="39" t="str">
        <f>C480</f>
        <v>Bienes</v>
      </c>
      <c r="I490" s="39" t="str">
        <f>E480</f>
        <v>No</v>
      </c>
      <c r="J490" s="39" t="str">
        <f>D480</f>
        <v>Excepción - Bienes o servicios con exclusividad</v>
      </c>
    </row>
    <row r="492" spans="1:10" ht="33.950000000000003" customHeight="1" x14ac:dyDescent="0.25">
      <c r="A492" s="77" t="s">
        <v>17233</v>
      </c>
      <c r="B492" s="77" t="s">
        <v>4237</v>
      </c>
      <c r="C492" s="77" t="s">
        <v>4743</v>
      </c>
      <c r="D492" s="77" t="s">
        <v>9891</v>
      </c>
      <c r="E492" s="77" t="s">
        <v>3089</v>
      </c>
      <c r="F492" s="77" t="s">
        <v>18141</v>
      </c>
    </row>
    <row r="493" spans="1:10" ht="14.1" customHeight="1" x14ac:dyDescent="0.25">
      <c r="A493" s="79" t="s">
        <v>10586</v>
      </c>
      <c r="B493" s="79" t="s">
        <v>16487</v>
      </c>
      <c r="C493" s="79" t="s">
        <v>17215</v>
      </c>
      <c r="D493" s="79" t="s">
        <v>15249</v>
      </c>
      <c r="E493" s="79" t="s">
        <v>18247</v>
      </c>
      <c r="F493" s="79"/>
    </row>
    <row r="494" spans="1:10" ht="14.1" customHeight="1" x14ac:dyDescent="0.25">
      <c r="A494" s="2" t="s">
        <v>6643</v>
      </c>
      <c r="B494" s="80" t="s">
        <v>1046</v>
      </c>
      <c r="C494" s="90">
        <v>43466</v>
      </c>
      <c r="D494" s="2" t="s">
        <v>59</v>
      </c>
      <c r="E494" s="92" t="s">
        <v>20066</v>
      </c>
      <c r="F494" s="93"/>
    </row>
    <row r="495" spans="1:10" ht="14.1" customHeight="1" x14ac:dyDescent="0.25">
      <c r="A495" s="1"/>
      <c r="B495" s="80" t="s">
        <v>10788</v>
      </c>
      <c r="C495" s="91">
        <f>IF(C494="","",IF(AND(MONTH(C494)&gt;=1,MONTH(C494)&lt;=3),1,IF(AND(MONTH(C494)&gt;=4,MONTH(C494)&lt;=6),2,IF(AND(MONTH(C494)&gt;=7,MONTH(C494)&lt;=9),3,4))))</f>
        <v>1</v>
      </c>
      <c r="D495" s="1"/>
      <c r="E495" s="92" t="s">
        <v>14822</v>
      </c>
      <c r="F495" s="93"/>
    </row>
    <row r="496" spans="1:10" ht="14.1" customHeight="1" x14ac:dyDescent="0.25">
      <c r="A496" s="1"/>
      <c r="B496" s="80" t="s">
        <v>13758</v>
      </c>
      <c r="C496" s="90">
        <v>43553</v>
      </c>
      <c r="D496" s="1"/>
      <c r="E496" s="92" t="s">
        <v>18636</v>
      </c>
      <c r="F496" s="93"/>
    </row>
    <row r="497" spans="1:6" ht="14.1" customHeight="1" x14ac:dyDescent="0.25">
      <c r="A497" s="1"/>
      <c r="B497" s="80" t="s">
        <v>10788</v>
      </c>
      <c r="C497" s="91">
        <f>IF(C496="","",IF(AND(MONTH(C496)&gt;=1,MONTH(C496)&lt;=3),1,IF(AND(MONTH(C496)&gt;=4,MONTH(C496)&lt;=6),2,IF(AND(MONTH(C496)&gt;=7,MONTH(C496)&lt;=9),3,4))))</f>
        <v>1</v>
      </c>
      <c r="D497" s="1"/>
      <c r="E497" s="92" t="s">
        <v>15990</v>
      </c>
      <c r="F497" s="93"/>
    </row>
    <row r="499" spans="1:6" ht="14.1" customHeight="1" x14ac:dyDescent="0.25">
      <c r="A499" s="85" t="s">
        <v>15474</v>
      </c>
      <c r="B499" s="85" t="s">
        <v>5027</v>
      </c>
      <c r="C499" s="85" t="s">
        <v>17461</v>
      </c>
      <c r="D499" s="85" t="s">
        <v>3935</v>
      </c>
      <c r="E499" s="85" t="s">
        <v>10722</v>
      </c>
      <c r="F499" s="85" t="s">
        <v>18237</v>
      </c>
    </row>
    <row r="500" spans="1:6" ht="14.1" customHeight="1" x14ac:dyDescent="0.25">
      <c r="A500" s="94" t="s">
        <v>395</v>
      </c>
      <c r="B500" s="82" t="str">
        <f ca="1">IFERROR(INDEX(UNSPSCDes,MATCH(INDIRECT(ADDRESS(ROW(),COLUMN()-1,4)),UNSPSCCode,0)),IF(INDIRECT(ADDRESS(ROW(),COLUMN()-1,4))="14111703","Toallas de papel",""))</f>
        <v>Toallas de papel</v>
      </c>
      <c r="C500" s="95" t="str">
        <f>IFERROR(VLOOKUP("UD",'Informacion '!P:Q,2,FALSE),"")</f>
        <v>Unidad</v>
      </c>
      <c r="D500" s="94">
        <v>400</v>
      </c>
      <c r="E500" s="84">
        <v>1401.84</v>
      </c>
      <c r="F500" s="83">
        <f t="shared" ref="F500:F531" ca="1" si="14">INDIRECT(ADDRESS(ROW(),COLUMN()-2,4))*INDIRECT(ADDRESS(ROW(),COLUMN()-1,4))</f>
        <v>560736</v>
      </c>
    </row>
    <row r="501" spans="1:6" ht="14.1" customHeight="1" x14ac:dyDescent="0.25">
      <c r="A501" s="94" t="s">
        <v>7445</v>
      </c>
      <c r="B501" s="82" t="str">
        <f ca="1">IFERROR(INDEX(UNSPSCDes,MATCH(INDIRECT(ADDRESS(ROW(),COLUMN()-1,4)),UNSPSCCode,0)),IF(INDIRECT(ADDRESS(ROW(),COLUMN()-1,4))="14111704","Papel higiénico",""))</f>
        <v>Papel higiénico</v>
      </c>
      <c r="C501" s="95" t="str">
        <f>IFERROR(VLOOKUP("UD",'Informacion '!P:Q,2,FALSE),"")</f>
        <v>Unidad</v>
      </c>
      <c r="D501" s="94">
        <v>500</v>
      </c>
      <c r="E501" s="84">
        <v>529.82000000000005</v>
      </c>
      <c r="F501" s="83">
        <f t="shared" ca="1" si="14"/>
        <v>264910</v>
      </c>
    </row>
    <row r="502" spans="1:6" ht="14.1" customHeight="1" x14ac:dyDescent="0.25">
      <c r="A502" s="94" t="s">
        <v>12096</v>
      </c>
      <c r="B502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502" s="95" t="str">
        <f>IFERROR(VLOOKUP("UD",'Informacion '!P:Q,2,FALSE),"")</f>
        <v>Unidad</v>
      </c>
      <c r="D502" s="94">
        <v>200</v>
      </c>
      <c r="E502" s="84">
        <v>90</v>
      </c>
      <c r="F502" s="83">
        <f t="shared" ca="1" si="14"/>
        <v>18000</v>
      </c>
    </row>
    <row r="503" spans="1:6" ht="14.1" customHeight="1" x14ac:dyDescent="0.25">
      <c r="A503" s="94" t="s">
        <v>12096</v>
      </c>
      <c r="B503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503" s="95" t="str">
        <f>IFERROR(VLOOKUP("UD",'Informacion '!P:Q,2,FALSE),"")</f>
        <v>Unidad</v>
      </c>
      <c r="D503" s="94">
        <v>200</v>
      </c>
      <c r="E503" s="84">
        <v>90</v>
      </c>
      <c r="F503" s="83">
        <f t="shared" ca="1" si="14"/>
        <v>18000</v>
      </c>
    </row>
    <row r="504" spans="1:6" ht="14.1" customHeight="1" x14ac:dyDescent="0.25">
      <c r="A504" s="94" t="s">
        <v>12096</v>
      </c>
      <c r="B504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504" s="95" t="str">
        <f>IFERROR(VLOOKUP("UD",'Informacion '!P:Q,2,FALSE),"")</f>
        <v>Unidad</v>
      </c>
      <c r="D504" s="94">
        <v>200</v>
      </c>
      <c r="E504" s="84">
        <v>90</v>
      </c>
      <c r="F504" s="83">
        <f t="shared" ca="1" si="14"/>
        <v>18000</v>
      </c>
    </row>
    <row r="505" spans="1:6" ht="14.1" customHeight="1" x14ac:dyDescent="0.25">
      <c r="A505" s="94" t="s">
        <v>1878</v>
      </c>
      <c r="B505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05" s="95" t="str">
        <f>IFERROR(VLOOKUP("UD",'Informacion '!P:Q,2,FALSE),"")</f>
        <v>Unidad</v>
      </c>
      <c r="D505" s="94">
        <v>20</v>
      </c>
      <c r="E505" s="84">
        <v>1100</v>
      </c>
      <c r="F505" s="83">
        <f t="shared" ca="1" si="14"/>
        <v>22000</v>
      </c>
    </row>
    <row r="506" spans="1:6" ht="14.1" customHeight="1" x14ac:dyDescent="0.25">
      <c r="A506" s="94" t="s">
        <v>1878</v>
      </c>
      <c r="B506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06" s="95" t="str">
        <f>IFERROR(VLOOKUP("UD",'Informacion '!P:Q,2,FALSE),"")</f>
        <v>Unidad</v>
      </c>
      <c r="D506" s="94">
        <v>10</v>
      </c>
      <c r="E506" s="84">
        <v>1250</v>
      </c>
      <c r="F506" s="83">
        <f t="shared" ca="1" si="14"/>
        <v>12500</v>
      </c>
    </row>
    <row r="507" spans="1:6" ht="14.1" customHeight="1" x14ac:dyDescent="0.25">
      <c r="A507" s="94" t="s">
        <v>1878</v>
      </c>
      <c r="B507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07" s="95" t="str">
        <f>IFERROR(VLOOKUP("UD",'Informacion '!P:Q,2,FALSE),"")</f>
        <v>Unidad</v>
      </c>
      <c r="D507" s="94">
        <v>5</v>
      </c>
      <c r="E507" s="84">
        <v>1300</v>
      </c>
      <c r="F507" s="83">
        <f t="shared" ca="1" si="14"/>
        <v>6500</v>
      </c>
    </row>
    <row r="508" spans="1:6" ht="14.1" customHeight="1" x14ac:dyDescent="0.25">
      <c r="A508" s="94" t="s">
        <v>6997</v>
      </c>
      <c r="B508" s="82" t="str">
        <f ca="1">IFERROR(INDEX(UNSPSCDes,MATCH(INDIRECT(ADDRESS(ROW(),COLUMN()-1,4)),UNSPSCCode,0)),IF(INDIRECT(ADDRESS(ROW(),COLUMN()-1,4))="52121703","Paños para lavar",""))</f>
        <v>Paños para lavar</v>
      </c>
      <c r="C508" s="95" t="str">
        <f>IFERROR(VLOOKUP("UD",'Informacion '!P:Q,2,FALSE),"")</f>
        <v>Unidad</v>
      </c>
      <c r="D508" s="94">
        <v>50</v>
      </c>
      <c r="E508" s="84">
        <v>560</v>
      </c>
      <c r="F508" s="83">
        <f t="shared" ca="1" si="14"/>
        <v>28000</v>
      </c>
    </row>
    <row r="509" spans="1:6" ht="14.1" customHeight="1" x14ac:dyDescent="0.25">
      <c r="A509" s="94" t="s">
        <v>6997</v>
      </c>
      <c r="B509" s="82" t="str">
        <f ca="1">IFERROR(INDEX(UNSPSCDes,MATCH(INDIRECT(ADDRESS(ROW(),COLUMN()-1,4)),UNSPSCCode,0)),IF(INDIRECT(ADDRESS(ROW(),COLUMN()-1,4))="52121703","Paños para lavar",""))</f>
        <v>Paños para lavar</v>
      </c>
      <c r="C509" s="95" t="str">
        <f>IFERROR(VLOOKUP("UD",'Informacion '!P:Q,2,FALSE),"")</f>
        <v>Unidad</v>
      </c>
      <c r="D509" s="94">
        <v>50</v>
      </c>
      <c r="E509" s="84">
        <v>820</v>
      </c>
      <c r="F509" s="83">
        <f t="shared" ca="1" si="14"/>
        <v>41000</v>
      </c>
    </row>
    <row r="510" spans="1:6" ht="14.1" customHeight="1" x14ac:dyDescent="0.25">
      <c r="A510" s="94" t="s">
        <v>6997</v>
      </c>
      <c r="B510" s="82" t="str">
        <f ca="1">IFERROR(INDEX(UNSPSCDes,MATCH(INDIRECT(ADDRESS(ROW(),COLUMN()-1,4)),UNSPSCCode,0)),IF(INDIRECT(ADDRESS(ROW(),COLUMN()-1,4))="52121703","Paños para lavar",""))</f>
        <v>Paños para lavar</v>
      </c>
      <c r="C510" s="95" t="str">
        <f>IFERROR(VLOOKUP("UD",'Informacion '!P:Q,2,FALSE),"")</f>
        <v>Unidad</v>
      </c>
      <c r="D510" s="94">
        <v>50</v>
      </c>
      <c r="E510" s="84">
        <v>835</v>
      </c>
      <c r="F510" s="83">
        <f t="shared" ca="1" si="14"/>
        <v>41750</v>
      </c>
    </row>
    <row r="511" spans="1:6" ht="14.1" customHeight="1" x14ac:dyDescent="0.25">
      <c r="A511" s="94" t="s">
        <v>1878</v>
      </c>
      <c r="B511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11" s="95" t="str">
        <f>IFERROR(VLOOKUP("UD",'Informacion '!P:Q,2,FALSE),"")</f>
        <v>Unidad</v>
      </c>
      <c r="D511" s="94">
        <v>18</v>
      </c>
      <c r="E511" s="84">
        <v>985</v>
      </c>
      <c r="F511" s="83">
        <f t="shared" ca="1" si="14"/>
        <v>17730</v>
      </c>
    </row>
    <row r="512" spans="1:6" ht="14.1" customHeight="1" x14ac:dyDescent="0.25">
      <c r="A512" s="94" t="s">
        <v>1878</v>
      </c>
      <c r="B512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12" s="95" t="str">
        <f>IFERROR(VLOOKUP("UD",'Informacion '!P:Q,2,FALSE),"")</f>
        <v>Unidad</v>
      </c>
      <c r="D512" s="94">
        <v>18</v>
      </c>
      <c r="E512" s="84">
        <v>1690</v>
      </c>
      <c r="F512" s="83">
        <f t="shared" ca="1" si="14"/>
        <v>30420</v>
      </c>
    </row>
    <row r="513" spans="1:6" ht="14.1" customHeight="1" x14ac:dyDescent="0.25">
      <c r="A513" s="94" t="s">
        <v>1878</v>
      </c>
      <c r="B513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13" s="95" t="str">
        <f>IFERROR(VLOOKUP("UD",'Informacion '!P:Q,2,FALSE),"")</f>
        <v>Unidad</v>
      </c>
      <c r="D513" s="94">
        <v>18</v>
      </c>
      <c r="E513" s="84">
        <v>1750</v>
      </c>
      <c r="F513" s="83">
        <f t="shared" ca="1" si="14"/>
        <v>31500</v>
      </c>
    </row>
    <row r="514" spans="1:6" ht="14.1" customHeight="1" x14ac:dyDescent="0.25">
      <c r="A514" s="94" t="s">
        <v>1878</v>
      </c>
      <c r="B514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14" s="95" t="str">
        <f>IFERROR(VLOOKUP("UD",'Informacion '!P:Q,2,FALSE),"")</f>
        <v>Unidad</v>
      </c>
      <c r="D514" s="94">
        <v>18</v>
      </c>
      <c r="E514" s="84">
        <v>1825</v>
      </c>
      <c r="F514" s="83">
        <f t="shared" ca="1" si="14"/>
        <v>32850</v>
      </c>
    </row>
    <row r="515" spans="1:6" ht="14.1" customHeight="1" x14ac:dyDescent="0.25">
      <c r="A515" s="94" t="s">
        <v>6997</v>
      </c>
      <c r="B515" s="82" t="str">
        <f ca="1">IFERROR(INDEX(UNSPSCDes,MATCH(INDIRECT(ADDRESS(ROW(),COLUMN()-1,4)),UNSPSCCode,0)),IF(INDIRECT(ADDRESS(ROW(),COLUMN()-1,4))="52121703","Paños para lavar",""))</f>
        <v>Paños para lavar</v>
      </c>
      <c r="C515" s="95" t="str">
        <f>IFERROR(VLOOKUP("UD",'Informacion '!P:Q,2,FALSE),"")</f>
        <v>Unidad</v>
      </c>
      <c r="D515" s="94">
        <v>30</v>
      </c>
      <c r="E515" s="84">
        <v>495</v>
      </c>
      <c r="F515" s="83">
        <f t="shared" ca="1" si="14"/>
        <v>14850</v>
      </c>
    </row>
    <row r="516" spans="1:6" ht="14.1" customHeight="1" x14ac:dyDescent="0.25">
      <c r="A516" s="94" t="s">
        <v>6997</v>
      </c>
      <c r="B516" s="82" t="str">
        <f ca="1">IFERROR(INDEX(UNSPSCDes,MATCH(INDIRECT(ADDRESS(ROW(),COLUMN()-1,4)),UNSPSCCode,0)),IF(INDIRECT(ADDRESS(ROW(),COLUMN()-1,4))="52121703","Paños para lavar",""))</f>
        <v>Paños para lavar</v>
      </c>
      <c r="C516" s="95" t="str">
        <f>IFERROR(VLOOKUP("UD",'Informacion '!P:Q,2,FALSE),"")</f>
        <v>Unidad</v>
      </c>
      <c r="D516" s="94">
        <v>30</v>
      </c>
      <c r="E516" s="84">
        <v>525</v>
      </c>
      <c r="F516" s="83">
        <f t="shared" ca="1" si="14"/>
        <v>15750</v>
      </c>
    </row>
    <row r="517" spans="1:6" ht="14.1" customHeight="1" x14ac:dyDescent="0.25">
      <c r="A517" s="94" t="s">
        <v>6997</v>
      </c>
      <c r="B517" s="82" t="str">
        <f ca="1">IFERROR(INDEX(UNSPSCDes,MATCH(INDIRECT(ADDRESS(ROW(),COLUMN()-1,4)),UNSPSCCode,0)),IF(INDIRECT(ADDRESS(ROW(),COLUMN()-1,4))="52121703","Paños para lavar",""))</f>
        <v>Paños para lavar</v>
      </c>
      <c r="C517" s="95" t="str">
        <f>IFERROR(VLOOKUP("UD",'Informacion '!P:Q,2,FALSE),"")</f>
        <v>Unidad</v>
      </c>
      <c r="D517" s="94">
        <v>30</v>
      </c>
      <c r="E517" s="84">
        <v>725</v>
      </c>
      <c r="F517" s="83">
        <f t="shared" ca="1" si="14"/>
        <v>21750</v>
      </c>
    </row>
    <row r="518" spans="1:6" ht="14.1" customHeight="1" x14ac:dyDescent="0.25">
      <c r="A518" s="94" t="s">
        <v>6997</v>
      </c>
      <c r="B518" s="82" t="str">
        <f ca="1">IFERROR(INDEX(UNSPSCDes,MATCH(INDIRECT(ADDRESS(ROW(),COLUMN()-1,4)),UNSPSCCode,0)),IF(INDIRECT(ADDRESS(ROW(),COLUMN()-1,4))="52121703","Paños para lavar",""))</f>
        <v>Paños para lavar</v>
      </c>
      <c r="C518" s="95" t="str">
        <f>IFERROR(VLOOKUP("UD",'Informacion '!P:Q,2,FALSE),"")</f>
        <v>Unidad</v>
      </c>
      <c r="D518" s="94">
        <v>30</v>
      </c>
      <c r="E518" s="84">
        <v>785</v>
      </c>
      <c r="F518" s="83">
        <f t="shared" ca="1" si="14"/>
        <v>23550</v>
      </c>
    </row>
    <row r="519" spans="1:6" ht="14.1" customHeight="1" x14ac:dyDescent="0.25">
      <c r="A519" s="94" t="s">
        <v>6311</v>
      </c>
      <c r="B519" s="82" t="str">
        <f ca="1">IFERROR(INDEX(UNSPSCDes,MATCH(INDIRECT(ADDRESS(ROW(),COLUMN()-1,4)),UNSPSCCode,0)),IF(INDIRECT(ADDRESS(ROW(),COLUMN()-1,4))="47132101","Kits de limpieza industrial",""))</f>
        <v>Kits de limpieza industrial</v>
      </c>
      <c r="C519" s="95" t="str">
        <f>IFERROR(VLOOKUP("UD",'Informacion '!P:Q,2,FALSE),"")</f>
        <v>Unidad</v>
      </c>
      <c r="D519" s="94">
        <v>20</v>
      </c>
      <c r="E519" s="84">
        <v>400</v>
      </c>
      <c r="F519" s="83">
        <f t="shared" ca="1" si="14"/>
        <v>8000</v>
      </c>
    </row>
    <row r="520" spans="1:6" ht="14.1" customHeight="1" x14ac:dyDescent="0.25">
      <c r="A520" s="94" t="s">
        <v>8934</v>
      </c>
      <c r="B520" s="82" t="str">
        <f ca="1">IFERROR(INDEX(UNSPSCDes,MATCH(INDIRECT(ADDRESS(ROW(),COLUMN()-1,4)),UNSPSCCode,0)),IF(INDIRECT(ADDRESS(ROW(),COLUMN()-1,4))="41121813","Cubetas",""))</f>
        <v>Cubetas</v>
      </c>
      <c r="C520" s="95" t="str">
        <f>IFERROR(VLOOKUP("UD",'Informacion '!P:Q,2,FALSE),"")</f>
        <v>Unidad</v>
      </c>
      <c r="D520" s="94">
        <v>8</v>
      </c>
      <c r="E520" s="84">
        <v>850</v>
      </c>
      <c r="F520" s="83">
        <f t="shared" ca="1" si="14"/>
        <v>6800</v>
      </c>
    </row>
    <row r="521" spans="1:6" ht="14.1" customHeight="1" x14ac:dyDescent="0.25">
      <c r="A521" s="94" t="s">
        <v>8934</v>
      </c>
      <c r="B521" s="82" t="str">
        <f ca="1">IFERROR(INDEX(UNSPSCDes,MATCH(INDIRECT(ADDRESS(ROW(),COLUMN()-1,4)),UNSPSCCode,0)),IF(INDIRECT(ADDRESS(ROW(),COLUMN()-1,4))="41121813","Cubetas",""))</f>
        <v>Cubetas</v>
      </c>
      <c r="C521" s="95" t="str">
        <f>IFERROR(VLOOKUP("UD",'Informacion '!P:Q,2,FALSE),"")</f>
        <v>Unidad</v>
      </c>
      <c r="D521" s="94">
        <v>8</v>
      </c>
      <c r="E521" s="84">
        <v>1100</v>
      </c>
      <c r="F521" s="83">
        <f t="shared" ca="1" si="14"/>
        <v>8800</v>
      </c>
    </row>
    <row r="522" spans="1:6" ht="14.1" customHeight="1" x14ac:dyDescent="0.25">
      <c r="A522" s="94" t="s">
        <v>8934</v>
      </c>
      <c r="B522" s="82" t="str">
        <f ca="1">IFERROR(INDEX(UNSPSCDes,MATCH(INDIRECT(ADDRESS(ROW(),COLUMN()-1,4)),UNSPSCCode,0)),IF(INDIRECT(ADDRESS(ROW(),COLUMN()-1,4))="41121813","Cubetas",""))</f>
        <v>Cubetas</v>
      </c>
      <c r="C522" s="95" t="str">
        <f>IFERROR(VLOOKUP("UD",'Informacion '!P:Q,2,FALSE),"")</f>
        <v>Unidad</v>
      </c>
      <c r="D522" s="94">
        <v>25</v>
      </c>
      <c r="E522" s="84">
        <v>5500</v>
      </c>
      <c r="F522" s="83">
        <f t="shared" ca="1" si="14"/>
        <v>137500</v>
      </c>
    </row>
    <row r="523" spans="1:6" ht="14.1" customHeight="1" x14ac:dyDescent="0.25">
      <c r="A523" s="94" t="s">
        <v>1878</v>
      </c>
      <c r="B523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523" s="95" t="str">
        <f>IFERROR(VLOOKUP("UD",'Informacion '!P:Q,2,FALSE),"")</f>
        <v>Unidad</v>
      </c>
      <c r="D523" s="94">
        <v>6</v>
      </c>
      <c r="E523" s="84">
        <v>8500</v>
      </c>
      <c r="F523" s="83">
        <f t="shared" ca="1" si="14"/>
        <v>51000</v>
      </c>
    </row>
    <row r="524" spans="1:6" ht="14.1" customHeight="1" x14ac:dyDescent="0.25">
      <c r="A524" s="94" t="s">
        <v>3311</v>
      </c>
      <c r="B524" s="82" t="str">
        <f ca="1">IFERROR(INDEX(UNSPSCDes,MATCH(INDIRECT(ADDRESS(ROW(),COLUMN()-1,4)),UNSPSCCode,0)),IF(INDIRECT(ADDRESS(ROW(),COLUMN()-1,4))="47121701","Bolsas de basura",""))</f>
        <v>Bolsas de basura</v>
      </c>
      <c r="C524" s="95" t="str">
        <f>IFERROR(VLOOKUP("UD",'Informacion '!P:Q,2,FALSE),"")</f>
        <v>Unidad</v>
      </c>
      <c r="D524" s="94">
        <v>12</v>
      </c>
      <c r="E524" s="84">
        <v>3000</v>
      </c>
      <c r="F524" s="83">
        <f t="shared" ca="1" si="14"/>
        <v>36000</v>
      </c>
    </row>
    <row r="525" spans="1:6" ht="14.1" customHeight="1" x14ac:dyDescent="0.25">
      <c r="A525" s="94" t="s">
        <v>3945</v>
      </c>
      <c r="B525" s="82" t="str">
        <f ca="1">IFERROR(INDEX(UNSPSCDes,MATCH(INDIRECT(ADDRESS(ROW(),COLUMN()-1,4)),UNSPSCCode,0)),IF(INDIRECT(ADDRESS(ROW(),COLUMN()-1,4))="47131604","Escobas",""))</f>
        <v>Escobas</v>
      </c>
      <c r="C525" s="95" t="str">
        <f>IFERROR(VLOOKUP("UD",'Informacion '!P:Q,2,FALSE),"")</f>
        <v>Unidad</v>
      </c>
      <c r="D525" s="94">
        <v>25</v>
      </c>
      <c r="E525" s="84">
        <v>150</v>
      </c>
      <c r="F525" s="83">
        <f t="shared" ca="1" si="14"/>
        <v>3750</v>
      </c>
    </row>
    <row r="526" spans="1:6" ht="14.1" customHeight="1" x14ac:dyDescent="0.25">
      <c r="A526" s="94" t="s">
        <v>3945</v>
      </c>
      <c r="B526" s="82" t="str">
        <f ca="1">IFERROR(INDEX(UNSPSCDes,MATCH(INDIRECT(ADDRESS(ROW(),COLUMN()-1,4)),UNSPSCCode,0)),IF(INDIRECT(ADDRESS(ROW(),COLUMN()-1,4))="47131604","Escobas",""))</f>
        <v>Escobas</v>
      </c>
      <c r="C526" s="95" t="str">
        <f>IFERROR(VLOOKUP("UD",'Informacion '!P:Q,2,FALSE),"")</f>
        <v>Unidad</v>
      </c>
      <c r="D526" s="94">
        <v>20</v>
      </c>
      <c r="E526" s="84">
        <v>150</v>
      </c>
      <c r="F526" s="83">
        <f t="shared" ca="1" si="14"/>
        <v>3000</v>
      </c>
    </row>
    <row r="527" spans="1:6" ht="14.1" customHeight="1" x14ac:dyDescent="0.25">
      <c r="A527" s="94" t="s">
        <v>3945</v>
      </c>
      <c r="B527" s="82" t="str">
        <f ca="1">IFERROR(INDEX(UNSPSCDes,MATCH(INDIRECT(ADDRESS(ROW(),COLUMN()-1,4)),UNSPSCCode,0)),IF(INDIRECT(ADDRESS(ROW(),COLUMN()-1,4))="47131604","Escobas",""))</f>
        <v>Escobas</v>
      </c>
      <c r="C527" s="95" t="str">
        <f>IFERROR(VLOOKUP("UD",'Informacion '!P:Q,2,FALSE),"")</f>
        <v>Unidad</v>
      </c>
      <c r="D527" s="94">
        <v>40</v>
      </c>
      <c r="E527" s="84">
        <v>85</v>
      </c>
      <c r="F527" s="83">
        <f t="shared" ca="1" si="14"/>
        <v>3400</v>
      </c>
    </row>
    <row r="528" spans="1:6" ht="14.1" customHeight="1" x14ac:dyDescent="0.25">
      <c r="A528" s="94" t="s">
        <v>12692</v>
      </c>
      <c r="B528" s="82" t="str">
        <f ca="1">IFERROR(INDEX(UNSPSCDes,MATCH(INDIRECT(ADDRESS(ROW(),COLUMN()-1,4)),UNSPSCCode,0)),IF(INDIRECT(ADDRESS(ROW(),COLUMN()-1,4))="47131605","Cepillos de limpieza",""))</f>
        <v>Cepillos de limpieza</v>
      </c>
      <c r="C528" s="95" t="str">
        <f>IFERROR(VLOOKUP("UD",'Informacion '!P:Q,2,FALSE),"")</f>
        <v>Unidad</v>
      </c>
      <c r="D528" s="94">
        <v>30</v>
      </c>
      <c r="E528" s="84">
        <v>80</v>
      </c>
      <c r="F528" s="83">
        <f t="shared" ca="1" si="14"/>
        <v>2400</v>
      </c>
    </row>
    <row r="529" spans="1:6" ht="14.1" customHeight="1" x14ac:dyDescent="0.25">
      <c r="A529" s="94" t="s">
        <v>182</v>
      </c>
      <c r="B529" s="82" t="str">
        <f ca="1">IFERROR(INDEX(UNSPSCDes,MATCH(INDIRECT(ADDRESS(ROW(),COLUMN()-1,4)),UNSPSCCode,0)),IF(INDIRECT(ADDRESS(ROW(),COLUMN()-1,4))="47131602","Almohadillas para restregar",""))</f>
        <v>Almohadillas para restregar</v>
      </c>
      <c r="C529" s="95" t="str">
        <f>IFERROR(VLOOKUP("UD",'Informacion '!P:Q,2,FALSE),"")</f>
        <v>Unidad</v>
      </c>
      <c r="D529" s="94">
        <v>200</v>
      </c>
      <c r="E529" s="84">
        <v>7.38</v>
      </c>
      <c r="F529" s="83">
        <f t="shared" ca="1" si="14"/>
        <v>1476</v>
      </c>
    </row>
    <row r="530" spans="1:6" ht="14.1" customHeight="1" x14ac:dyDescent="0.25">
      <c r="A530" s="94" t="s">
        <v>12453</v>
      </c>
      <c r="B530" s="82" t="str">
        <f ca="1">IFERROR(INDEX(UNSPSCDes,MATCH(INDIRECT(ADDRESS(ROW(),COLUMN()-1,4)),UNSPSCCode,0)),IF(INDIRECT(ADDRESS(ROW(),COLUMN()-1,4))="47131609","Manijas de escobas o traperos",""))</f>
        <v>Manijas de escobas o traperos</v>
      </c>
      <c r="C530" s="95" t="str">
        <f>IFERROR(VLOOKUP("UD",'Informacion '!P:Q,2,FALSE),"")</f>
        <v>Unidad</v>
      </c>
      <c r="D530" s="94">
        <v>10</v>
      </c>
      <c r="E530" s="84">
        <v>175</v>
      </c>
      <c r="F530" s="83">
        <f t="shared" ca="1" si="14"/>
        <v>1750</v>
      </c>
    </row>
    <row r="531" spans="1:6" ht="14.1" customHeight="1" x14ac:dyDescent="0.25">
      <c r="A531" s="94" t="s">
        <v>9906</v>
      </c>
      <c r="B531" s="82" t="str">
        <f ca="1">IFERROR(INDEX(UNSPSCDes,MATCH(INDIRECT(ADDRESS(ROW(),COLUMN()-1,4)),UNSPSCCode,0)),IF(INDIRECT(ADDRESS(ROW(),COLUMN()-1,4))="47131611","Recogedor de basura",""))</f>
        <v>Recogedor de basura</v>
      </c>
      <c r="C531" s="95" t="str">
        <f>IFERROR(VLOOKUP("UD",'Informacion '!P:Q,2,FALSE),"")</f>
        <v>Unidad</v>
      </c>
      <c r="D531" s="94">
        <v>20</v>
      </c>
      <c r="E531" s="84">
        <v>300</v>
      </c>
      <c r="F531" s="83">
        <f t="shared" ca="1" si="14"/>
        <v>6000</v>
      </c>
    </row>
    <row r="532" spans="1:6" ht="14.1" customHeight="1" x14ac:dyDescent="0.25">
      <c r="A532" s="94" t="s">
        <v>3945</v>
      </c>
      <c r="B532" s="82" t="str">
        <f ca="1">IFERROR(INDEX(UNSPSCDes,MATCH(INDIRECT(ADDRESS(ROW(),COLUMN()-1,4)),UNSPSCCode,0)),IF(INDIRECT(ADDRESS(ROW(),COLUMN()-1,4))="47131604","Escobas",""))</f>
        <v>Escobas</v>
      </c>
      <c r="C532" s="95" t="str">
        <f>IFERROR(VLOOKUP("UD",'Informacion '!P:Q,2,FALSE),"")</f>
        <v>Unidad</v>
      </c>
      <c r="D532" s="94">
        <v>15</v>
      </c>
      <c r="E532" s="84">
        <v>970</v>
      </c>
      <c r="F532" s="83">
        <f t="shared" ref="F532:F563" ca="1" si="15">INDIRECT(ADDRESS(ROW(),COLUMN()-2,4))*INDIRECT(ADDRESS(ROW(),COLUMN()-1,4))</f>
        <v>14550</v>
      </c>
    </row>
    <row r="533" spans="1:6" ht="14.1" customHeight="1" x14ac:dyDescent="0.25">
      <c r="A533" s="94" t="s">
        <v>6782</v>
      </c>
      <c r="B533" s="82" t="str">
        <f ca="1">IFERROR(INDEX(UNSPSCDes,MATCH(INDIRECT(ADDRESS(ROW(),COLUMN()-1,4)),UNSPSCCode,0)),IF(INDIRECT(ADDRESS(ROW(),COLUMN()-1,4))="50202301","Agua",""))</f>
        <v>Agua</v>
      </c>
      <c r="C533" s="95" t="str">
        <f>IFERROR(VLOOKUP("UD",'Informacion '!P:Q,2,FALSE),"")</f>
        <v>Unidad</v>
      </c>
      <c r="D533" s="94">
        <v>10</v>
      </c>
      <c r="E533" s="84">
        <v>700</v>
      </c>
      <c r="F533" s="83">
        <f t="shared" ca="1" si="15"/>
        <v>7000</v>
      </c>
    </row>
    <row r="534" spans="1:6" ht="14.1" customHeight="1" x14ac:dyDescent="0.25">
      <c r="A534" s="94" t="s">
        <v>6782</v>
      </c>
      <c r="B534" s="82" t="str">
        <f ca="1">IFERROR(INDEX(UNSPSCDes,MATCH(INDIRECT(ADDRESS(ROW(),COLUMN()-1,4)),UNSPSCCode,0)),IF(INDIRECT(ADDRESS(ROW(),COLUMN()-1,4))="50202301","Agua",""))</f>
        <v>Agua</v>
      </c>
      <c r="C534" s="95" t="str">
        <f>IFERROR(VLOOKUP("UD",'Informacion '!P:Q,2,FALSE),"")</f>
        <v>Unidad</v>
      </c>
      <c r="D534" s="94">
        <v>12</v>
      </c>
      <c r="E534" s="84">
        <v>400</v>
      </c>
      <c r="F534" s="83">
        <f t="shared" ca="1" si="15"/>
        <v>4800</v>
      </c>
    </row>
    <row r="535" spans="1:6" ht="14.1" customHeight="1" x14ac:dyDescent="0.25">
      <c r="A535" s="94" t="s">
        <v>6442</v>
      </c>
      <c r="B535" s="82" t="str">
        <f ca="1">IFERROR(INDEX(UNSPSCDes,MATCH(INDIRECT(ADDRESS(ROW(),COLUMN()-1,4)),UNSPSCCode,0)),IF(INDIRECT(ADDRESS(ROW(),COLUMN()-1,4))="47111505","Puestos para equipos de lavandería",""))</f>
        <v>Puestos para equipos de lavandería</v>
      </c>
      <c r="C535" s="95" t="str">
        <f>IFERROR(VLOOKUP("UD",'Informacion '!P:Q,2,FALSE),"")</f>
        <v>Unidad</v>
      </c>
      <c r="D535" s="94">
        <v>30</v>
      </c>
      <c r="E535" s="84">
        <v>2690</v>
      </c>
      <c r="F535" s="83">
        <f t="shared" ca="1" si="15"/>
        <v>80700</v>
      </c>
    </row>
    <row r="536" spans="1:6" ht="14.1" customHeight="1" x14ac:dyDescent="0.25">
      <c r="A536" s="94" t="s">
        <v>7138</v>
      </c>
      <c r="B536" s="82" t="str">
        <f ca="1">IFERROR(INDEX(UNSPSCDes,MATCH(INDIRECT(ADDRESS(ROW(),COLUMN()-1,4)),UNSPSCCode,0)),IF(INDIRECT(ADDRESS(ROW(),COLUMN()-1,4))="52151650","Escurridores para uso doméstico",""))</f>
        <v>Escurridores para uso doméstico</v>
      </c>
      <c r="C536" s="95" t="str">
        <f>IFERROR(VLOOKUP("UD",'Informacion '!P:Q,2,FALSE),"")</f>
        <v>Unidad</v>
      </c>
      <c r="D536" s="94">
        <v>25</v>
      </c>
      <c r="E536" s="84">
        <v>100</v>
      </c>
      <c r="F536" s="83">
        <f t="shared" ca="1" si="15"/>
        <v>2500</v>
      </c>
    </row>
    <row r="537" spans="1:6" ht="14.1" customHeight="1" x14ac:dyDescent="0.25">
      <c r="A537" s="94" t="s">
        <v>3687</v>
      </c>
      <c r="B537" s="82" t="str">
        <f ca="1">IFERROR(INDEX(UNSPSCDes,MATCH(INDIRECT(ADDRESS(ROW(),COLUMN()-1,4)),UNSPSCCode,0)),IF(INDIRECT(ADDRESS(ROW(),COLUMN()-1,4))="40141742","Atomizadores",""))</f>
        <v>Atomizadores</v>
      </c>
      <c r="C537" s="95" t="str">
        <f>IFERROR(VLOOKUP("UD",'Informacion '!P:Q,2,FALSE),"")</f>
        <v>Unidad</v>
      </c>
      <c r="D537" s="94">
        <v>65</v>
      </c>
      <c r="E537" s="84">
        <v>50</v>
      </c>
      <c r="F537" s="83">
        <f t="shared" ca="1" si="15"/>
        <v>3250</v>
      </c>
    </row>
    <row r="538" spans="1:6" ht="14.1" customHeight="1" x14ac:dyDescent="0.25">
      <c r="A538" s="94" t="s">
        <v>5832</v>
      </c>
      <c r="B538" s="82" t="str">
        <f ca="1">IFERROR(INDEX(UNSPSCDes,MATCH(INDIRECT(ADDRESS(ROW(),COLUMN()-1,4)),UNSPSCCode,0)),IF(INDIRECT(ADDRESS(ROW(),COLUMN()-1,4))="47131618","Traperos húmedos",""))</f>
        <v>Traperos húmedos</v>
      </c>
      <c r="C538" s="95" t="str">
        <f>IFERROR(VLOOKUP("UD",'Informacion '!P:Q,2,FALSE),"")</f>
        <v>Unidad</v>
      </c>
      <c r="D538" s="94">
        <v>115</v>
      </c>
      <c r="E538" s="84">
        <v>115</v>
      </c>
      <c r="F538" s="83">
        <f t="shared" ca="1" si="15"/>
        <v>13225</v>
      </c>
    </row>
    <row r="539" spans="1:6" ht="14.1" customHeight="1" x14ac:dyDescent="0.25">
      <c r="A539" s="94" t="s">
        <v>5832</v>
      </c>
      <c r="B539" s="82" t="str">
        <f ca="1">IFERROR(INDEX(UNSPSCDes,MATCH(INDIRECT(ADDRESS(ROW(),COLUMN()-1,4)),UNSPSCCode,0)),IF(INDIRECT(ADDRESS(ROW(),COLUMN()-1,4))="47131618","Traperos húmedos",""))</f>
        <v>Traperos húmedos</v>
      </c>
      <c r="C539" s="95" t="str">
        <f>IFERROR(VLOOKUP("UD",'Informacion '!P:Q,2,FALSE),"")</f>
        <v>Unidad</v>
      </c>
      <c r="D539" s="94">
        <v>150</v>
      </c>
      <c r="E539" s="84">
        <v>150</v>
      </c>
      <c r="F539" s="83">
        <f t="shared" ca="1" si="15"/>
        <v>22500</v>
      </c>
    </row>
    <row r="540" spans="1:6" ht="14.1" customHeight="1" x14ac:dyDescent="0.25">
      <c r="A540" s="94" t="s">
        <v>6997</v>
      </c>
      <c r="B540" s="82" t="str">
        <f ca="1">IFERROR(INDEX(UNSPSCDes,MATCH(INDIRECT(ADDRESS(ROW(),COLUMN()-1,4)),UNSPSCCode,0)),IF(INDIRECT(ADDRESS(ROW(),COLUMN()-1,4))="52121703","Paños para lavar",""))</f>
        <v>Paños para lavar</v>
      </c>
      <c r="C540" s="95" t="str">
        <f>IFERROR(VLOOKUP("UD",'Informacion '!P:Q,2,FALSE),"")</f>
        <v>Unidad</v>
      </c>
      <c r="D540" s="94">
        <v>65</v>
      </c>
      <c r="E540" s="84">
        <v>55</v>
      </c>
      <c r="F540" s="83">
        <f t="shared" ca="1" si="15"/>
        <v>3575</v>
      </c>
    </row>
    <row r="541" spans="1:6" ht="14.1" customHeight="1" x14ac:dyDescent="0.25">
      <c r="A541" s="94" t="s">
        <v>16872</v>
      </c>
      <c r="B541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541" s="95" t="str">
        <f>IFERROR(VLOOKUP("UD",'Informacion '!P:Q,2,FALSE),"")</f>
        <v>Unidad</v>
      </c>
      <c r="D541" s="94">
        <v>25</v>
      </c>
      <c r="E541" s="84">
        <v>265</v>
      </c>
      <c r="F541" s="83">
        <f t="shared" ca="1" si="15"/>
        <v>6625</v>
      </c>
    </row>
    <row r="542" spans="1:6" ht="14.1" customHeight="1" x14ac:dyDescent="0.25">
      <c r="A542" s="94" t="s">
        <v>10680</v>
      </c>
      <c r="B542" s="82" t="str">
        <f ca="1">IFERROR(INDEX(UNSPSCDes,MATCH(INDIRECT(ADDRESS(ROW(),COLUMN()-1,4)),UNSPSCCode,0)),IF(INDIRECT(ADDRESS(ROW(),COLUMN()-1,4))="22101619","Máquinas pulidoras",""))</f>
        <v>Máquinas pulidoras</v>
      </c>
      <c r="C542" s="95" t="str">
        <f>IFERROR(VLOOKUP("UD",'Informacion '!P:Q,2,FALSE),"")</f>
        <v>Unidad</v>
      </c>
      <c r="D542" s="94">
        <v>1</v>
      </c>
      <c r="E542" s="84">
        <v>30000</v>
      </c>
      <c r="F542" s="83">
        <f t="shared" ca="1" si="15"/>
        <v>30000</v>
      </c>
    </row>
    <row r="543" spans="1:6" ht="14.1" customHeight="1" x14ac:dyDescent="0.25">
      <c r="A543" s="94" t="s">
        <v>17050</v>
      </c>
      <c r="B543" s="82" t="str">
        <f ca="1">IFERROR(INDEX(UNSPSCDes,MATCH(INDIRECT(ADDRESS(ROW(),COLUMN()-1,4)),UNSPSCCode,0)),IF(INDIRECT(ADDRESS(ROW(),COLUMN()-1,4))="24101709","Transportador de rodillos",""))</f>
        <v>Transportador de rodillos</v>
      </c>
      <c r="C543" s="95" t="str">
        <f>IFERROR(VLOOKUP("UD",'Informacion '!P:Q,2,FALSE),"")</f>
        <v>Unidad</v>
      </c>
      <c r="D543" s="94">
        <v>1</v>
      </c>
      <c r="E543" s="84">
        <v>8500</v>
      </c>
      <c r="F543" s="83">
        <f t="shared" ca="1" si="15"/>
        <v>8500</v>
      </c>
    </row>
    <row r="544" spans="1:6" ht="14.1" customHeight="1" x14ac:dyDescent="0.25">
      <c r="A544" s="94" t="s">
        <v>13448</v>
      </c>
      <c r="B544" s="82" t="str">
        <f ca="1">IFERROR(INDEX(UNSPSCDes,MATCH(INDIRECT(ADDRESS(ROW(),COLUMN()-1,4)),UNSPSCCode,0)),IF(INDIRECT(ADDRESS(ROW(),COLUMN()-1,4))="30201803","Unidades para contenedores",""))</f>
        <v>Unidades para contenedores</v>
      </c>
      <c r="C544" s="95" t="str">
        <f>IFERROR(VLOOKUP("UD",'Informacion '!P:Q,2,FALSE),"")</f>
        <v>Unidad</v>
      </c>
      <c r="D544" s="94">
        <v>60</v>
      </c>
      <c r="E544" s="84">
        <v>200</v>
      </c>
      <c r="F544" s="83">
        <f t="shared" ca="1" si="15"/>
        <v>12000</v>
      </c>
    </row>
    <row r="545" spans="1:6" ht="14.1" customHeight="1" x14ac:dyDescent="0.25">
      <c r="A545" s="94" t="s">
        <v>13448</v>
      </c>
      <c r="B545" s="82" t="str">
        <f ca="1">IFERROR(INDEX(UNSPSCDes,MATCH(INDIRECT(ADDRESS(ROW(),COLUMN()-1,4)),UNSPSCCode,0)),IF(INDIRECT(ADDRESS(ROW(),COLUMN()-1,4))="30201803","Unidades para contenedores",""))</f>
        <v>Unidades para contenedores</v>
      </c>
      <c r="C545" s="95" t="str">
        <f>IFERROR(VLOOKUP("UD",'Informacion '!P:Q,2,FALSE),"")</f>
        <v>Unidad</v>
      </c>
      <c r="D545" s="94">
        <v>60</v>
      </c>
      <c r="E545" s="84">
        <v>225</v>
      </c>
      <c r="F545" s="83">
        <f t="shared" ca="1" si="15"/>
        <v>13500</v>
      </c>
    </row>
    <row r="546" spans="1:6" ht="14.1" customHeight="1" x14ac:dyDescent="0.25">
      <c r="A546" s="94" t="s">
        <v>13448</v>
      </c>
      <c r="B546" s="82" t="str">
        <f ca="1">IFERROR(INDEX(UNSPSCDes,MATCH(INDIRECT(ADDRESS(ROW(),COLUMN()-1,4)),UNSPSCCode,0)),IF(INDIRECT(ADDRESS(ROW(),COLUMN()-1,4))="30201803","Unidades para contenedores",""))</f>
        <v>Unidades para contenedores</v>
      </c>
      <c r="C546" s="95" t="str">
        <f>IFERROR(VLOOKUP("UD",'Informacion '!P:Q,2,FALSE),"")</f>
        <v>Unidad</v>
      </c>
      <c r="D546" s="94">
        <v>65</v>
      </c>
      <c r="E546" s="84">
        <v>375</v>
      </c>
      <c r="F546" s="83">
        <f t="shared" ca="1" si="15"/>
        <v>24375</v>
      </c>
    </row>
    <row r="547" spans="1:6" ht="14.1" customHeight="1" x14ac:dyDescent="0.25">
      <c r="A547" s="94" t="s">
        <v>13448</v>
      </c>
      <c r="B547" s="82" t="str">
        <f ca="1">IFERROR(INDEX(UNSPSCDes,MATCH(INDIRECT(ADDRESS(ROW(),COLUMN()-1,4)),UNSPSCCode,0)),IF(INDIRECT(ADDRESS(ROW(),COLUMN()-1,4))="30201803","Unidades para contenedores",""))</f>
        <v>Unidades para contenedores</v>
      </c>
      <c r="C547" s="95" t="str">
        <f>IFERROR(VLOOKUP("UD",'Informacion '!P:Q,2,FALSE),"")</f>
        <v>Unidad</v>
      </c>
      <c r="D547" s="94">
        <v>85</v>
      </c>
      <c r="E547" s="84">
        <v>450</v>
      </c>
      <c r="F547" s="83">
        <f t="shared" ca="1" si="15"/>
        <v>38250</v>
      </c>
    </row>
    <row r="548" spans="1:6" ht="14.1" customHeight="1" x14ac:dyDescent="0.25">
      <c r="A548" s="94" t="s">
        <v>13448</v>
      </c>
      <c r="B548" s="82" t="str">
        <f ca="1">IFERROR(INDEX(UNSPSCDes,MATCH(INDIRECT(ADDRESS(ROW(),COLUMN()-1,4)),UNSPSCCode,0)),IF(INDIRECT(ADDRESS(ROW(),COLUMN()-1,4))="30201803","Unidades para contenedores",""))</f>
        <v>Unidades para contenedores</v>
      </c>
      <c r="C548" s="95" t="str">
        <f>IFERROR(VLOOKUP("UD",'Informacion '!P:Q,2,FALSE),"")</f>
        <v>Unidad</v>
      </c>
      <c r="D548" s="94">
        <v>90</v>
      </c>
      <c r="E548" s="84">
        <v>200</v>
      </c>
      <c r="F548" s="83">
        <f t="shared" ca="1" si="15"/>
        <v>18000</v>
      </c>
    </row>
    <row r="549" spans="1:6" ht="14.1" customHeight="1" x14ac:dyDescent="0.25">
      <c r="A549" s="94" t="s">
        <v>3311</v>
      </c>
      <c r="B549" s="82" t="str">
        <f t="shared" ref="B549:B556" ca="1" si="16">IFERROR(INDEX(UNSPSCDes,MATCH(INDIRECT(ADDRESS(ROW(),COLUMN()-1,4)),UNSPSCCode,0)),IF(INDIRECT(ADDRESS(ROW(),COLUMN()-1,4))="47121701","Bolsas de basura",""))</f>
        <v>Bolsas de basura</v>
      </c>
      <c r="C549" s="95" t="str">
        <f>IFERROR(VLOOKUP("UD",'Informacion '!P:Q,2,FALSE),"")</f>
        <v>Unidad</v>
      </c>
      <c r="D549" s="94">
        <v>35000</v>
      </c>
      <c r="E549" s="84">
        <v>0.75</v>
      </c>
      <c r="F549" s="83">
        <f t="shared" ca="1" si="15"/>
        <v>26250</v>
      </c>
    </row>
    <row r="550" spans="1:6" ht="14.1" customHeight="1" x14ac:dyDescent="0.25">
      <c r="A550" s="94" t="s">
        <v>3311</v>
      </c>
      <c r="B550" s="82" t="str">
        <f t="shared" ca="1" si="16"/>
        <v>Bolsas de basura</v>
      </c>
      <c r="C550" s="95" t="str">
        <f>IFERROR(VLOOKUP("UD",'Informacion '!P:Q,2,FALSE),"")</f>
        <v>Unidad</v>
      </c>
      <c r="D550" s="94">
        <v>6000</v>
      </c>
      <c r="E550" s="84">
        <v>2.4500000000000002</v>
      </c>
      <c r="F550" s="83">
        <f t="shared" ca="1" si="15"/>
        <v>14700.000000000002</v>
      </c>
    </row>
    <row r="551" spans="1:6" ht="14.1" customHeight="1" x14ac:dyDescent="0.25">
      <c r="A551" s="94" t="s">
        <v>3311</v>
      </c>
      <c r="B551" s="82" t="str">
        <f t="shared" ca="1" si="16"/>
        <v>Bolsas de basura</v>
      </c>
      <c r="C551" s="95" t="str">
        <f>IFERROR(VLOOKUP("UD",'Informacion '!P:Q,2,FALSE),"")</f>
        <v>Unidad</v>
      </c>
      <c r="D551" s="94">
        <v>12000</v>
      </c>
      <c r="E551" s="84">
        <v>3.32</v>
      </c>
      <c r="F551" s="83">
        <f t="shared" ca="1" si="15"/>
        <v>39840</v>
      </c>
    </row>
    <row r="552" spans="1:6" ht="14.1" customHeight="1" x14ac:dyDescent="0.25">
      <c r="A552" s="94" t="s">
        <v>3311</v>
      </c>
      <c r="B552" s="82" t="str">
        <f t="shared" ca="1" si="16"/>
        <v>Bolsas de basura</v>
      </c>
      <c r="C552" s="95" t="str">
        <f>IFERROR(VLOOKUP("UD",'Informacion '!P:Q,2,FALSE),"")</f>
        <v>Unidad</v>
      </c>
      <c r="D552" s="94">
        <v>8000</v>
      </c>
      <c r="E552" s="84">
        <v>8.0500000000000007</v>
      </c>
      <c r="F552" s="83">
        <f t="shared" ca="1" si="15"/>
        <v>64400.000000000007</v>
      </c>
    </row>
    <row r="553" spans="1:6" ht="14.1" customHeight="1" x14ac:dyDescent="0.25">
      <c r="A553" s="94" t="s">
        <v>3311</v>
      </c>
      <c r="B553" s="82" t="str">
        <f t="shared" ca="1" si="16"/>
        <v>Bolsas de basura</v>
      </c>
      <c r="C553" s="95" t="str">
        <f>IFERROR(VLOOKUP("UD",'Informacion '!P:Q,2,FALSE),"")</f>
        <v>Unidad</v>
      </c>
      <c r="D553" s="94">
        <v>35000</v>
      </c>
      <c r="E553" s="84">
        <v>1.88</v>
      </c>
      <c r="F553" s="83">
        <f t="shared" ca="1" si="15"/>
        <v>65800</v>
      </c>
    </row>
    <row r="554" spans="1:6" ht="14.1" customHeight="1" x14ac:dyDescent="0.25">
      <c r="A554" s="94" t="s">
        <v>3311</v>
      </c>
      <c r="B554" s="82" t="str">
        <f t="shared" ca="1" si="16"/>
        <v>Bolsas de basura</v>
      </c>
      <c r="C554" s="95" t="str">
        <f>IFERROR(VLOOKUP("UD",'Informacion '!P:Q,2,FALSE),"")</f>
        <v>Unidad</v>
      </c>
      <c r="D554" s="94">
        <v>6000</v>
      </c>
      <c r="E554" s="84">
        <v>2.4500000000000002</v>
      </c>
      <c r="F554" s="83">
        <f t="shared" ca="1" si="15"/>
        <v>14700.000000000002</v>
      </c>
    </row>
    <row r="555" spans="1:6" ht="14.1" customHeight="1" x14ac:dyDescent="0.25">
      <c r="A555" s="94" t="s">
        <v>3311</v>
      </c>
      <c r="B555" s="82" t="str">
        <f t="shared" ca="1" si="16"/>
        <v>Bolsas de basura</v>
      </c>
      <c r="C555" s="95" t="str">
        <f>IFERROR(VLOOKUP("UD",'Informacion '!P:Q,2,FALSE),"")</f>
        <v>Unidad</v>
      </c>
      <c r="D555" s="94">
        <v>6000</v>
      </c>
      <c r="E555" s="84">
        <v>5.0999999999999996</v>
      </c>
      <c r="F555" s="83">
        <f t="shared" ca="1" si="15"/>
        <v>30599.999999999996</v>
      </c>
    </row>
    <row r="556" spans="1:6" ht="14.1" customHeight="1" x14ac:dyDescent="0.25">
      <c r="A556" s="94" t="s">
        <v>3311</v>
      </c>
      <c r="B556" s="82" t="str">
        <f t="shared" ca="1" si="16"/>
        <v>Bolsas de basura</v>
      </c>
      <c r="C556" s="95" t="str">
        <f>IFERROR(VLOOKUP("UD",'Informacion '!P:Q,2,FALSE),"")</f>
        <v>Unidad</v>
      </c>
      <c r="D556" s="94">
        <v>6000</v>
      </c>
      <c r="E556" s="84">
        <v>10</v>
      </c>
      <c r="F556" s="83">
        <f t="shared" ca="1" si="15"/>
        <v>60000</v>
      </c>
    </row>
    <row r="557" spans="1:6" ht="14.1" customHeight="1" x14ac:dyDescent="0.25">
      <c r="A557" s="94" t="s">
        <v>16889</v>
      </c>
      <c r="B557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557" s="95" t="str">
        <f>IFERROR(VLOOKUP("UD",'Informacion '!P:Q,2,FALSE),"")</f>
        <v>Unidad</v>
      </c>
      <c r="D557" s="94">
        <v>580</v>
      </c>
      <c r="E557" s="84">
        <v>85</v>
      </c>
      <c r="F557" s="83">
        <f t="shared" ca="1" si="15"/>
        <v>49300</v>
      </c>
    </row>
    <row r="558" spans="1:6" ht="14.1" customHeight="1" x14ac:dyDescent="0.25">
      <c r="A558" s="94" t="s">
        <v>16889</v>
      </c>
      <c r="B558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558" s="95" t="str">
        <f>IFERROR(VLOOKUP("UD",'Informacion '!P:Q,2,FALSE),"")</f>
        <v>Unidad</v>
      </c>
      <c r="D558" s="94">
        <v>385</v>
      </c>
      <c r="E558" s="84">
        <v>325</v>
      </c>
      <c r="F558" s="83">
        <f t="shared" ca="1" si="15"/>
        <v>125125</v>
      </c>
    </row>
    <row r="559" spans="1:6" ht="14.1" customHeight="1" x14ac:dyDescent="0.25">
      <c r="A559" s="94" t="s">
        <v>16889</v>
      </c>
      <c r="B559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559" s="95" t="str">
        <f>IFERROR(VLOOKUP("UD",'Informacion '!P:Q,2,FALSE),"")</f>
        <v>Unidad</v>
      </c>
      <c r="D559" s="94">
        <v>35</v>
      </c>
      <c r="E559" s="84">
        <v>350</v>
      </c>
      <c r="F559" s="83">
        <f t="shared" ca="1" si="15"/>
        <v>12250</v>
      </c>
    </row>
    <row r="560" spans="1:6" ht="14.1" customHeight="1" x14ac:dyDescent="0.25">
      <c r="A560" s="94" t="s">
        <v>16889</v>
      </c>
      <c r="B560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560" s="95" t="str">
        <f>IFERROR(VLOOKUP("UD",'Informacion '!P:Q,2,FALSE),"")</f>
        <v>Unidad</v>
      </c>
      <c r="D560" s="94">
        <v>165</v>
      </c>
      <c r="E560" s="84">
        <v>260</v>
      </c>
      <c r="F560" s="83">
        <f t="shared" ca="1" si="15"/>
        <v>42900</v>
      </c>
    </row>
    <row r="561" spans="1:10" ht="14.1" customHeight="1" x14ac:dyDescent="0.25">
      <c r="A561" s="94" t="s">
        <v>2417</v>
      </c>
      <c r="B561" s="82" t="str">
        <f ca="1">IFERROR(INDEX(UNSPSCDes,MATCH(INDIRECT(ADDRESS(ROW(),COLUMN()-1,4)),UNSPSCCode,0)),IF(INDIRECT(ADDRESS(ROW(),COLUMN()-1,4))="47131503","Gamuzas o cueros para lavar",""))</f>
        <v>Gamuzas o cueros para lavar</v>
      </c>
      <c r="C561" s="95" t="str">
        <f>IFERROR(VLOOKUP("UD",'Informacion '!P:Q,2,FALSE),"")</f>
        <v>Unidad</v>
      </c>
      <c r="D561" s="94">
        <v>4</v>
      </c>
      <c r="E561" s="84">
        <v>650</v>
      </c>
      <c r="F561" s="83">
        <f t="shared" ca="1" si="15"/>
        <v>2600</v>
      </c>
    </row>
    <row r="562" spans="1:10" ht="14.1" customHeight="1" x14ac:dyDescent="0.25">
      <c r="A562" s="94" t="s">
        <v>2417</v>
      </c>
      <c r="B562" s="82" t="str">
        <f ca="1">IFERROR(INDEX(UNSPSCDes,MATCH(INDIRECT(ADDRESS(ROW(),COLUMN()-1,4)),UNSPSCCode,0)),IF(INDIRECT(ADDRESS(ROW(),COLUMN()-1,4))="47131503","Gamuzas o cueros para lavar",""))</f>
        <v>Gamuzas o cueros para lavar</v>
      </c>
      <c r="C562" s="95" t="str">
        <f>IFERROR(VLOOKUP("UD",'Informacion '!P:Q,2,FALSE),"")</f>
        <v>Unidad</v>
      </c>
      <c r="D562" s="94">
        <v>110</v>
      </c>
      <c r="E562" s="84">
        <v>45</v>
      </c>
      <c r="F562" s="83">
        <f t="shared" ca="1" si="15"/>
        <v>4950</v>
      </c>
    </row>
    <row r="563" spans="1:10" ht="14.1" customHeight="1" x14ac:dyDescent="0.25">
      <c r="A563" s="94" t="s">
        <v>2417</v>
      </c>
      <c r="B563" s="82" t="str">
        <f ca="1">IFERROR(INDEX(UNSPSCDes,MATCH(INDIRECT(ADDRESS(ROW(),COLUMN()-1,4)),UNSPSCCode,0)),IF(INDIRECT(ADDRESS(ROW(),COLUMN()-1,4))="47131503","Gamuzas o cueros para lavar",""))</f>
        <v>Gamuzas o cueros para lavar</v>
      </c>
      <c r="C563" s="95" t="str">
        <f>IFERROR(VLOOKUP("UD",'Informacion '!P:Q,2,FALSE),"")</f>
        <v>Unidad</v>
      </c>
      <c r="D563" s="94">
        <v>55</v>
      </c>
      <c r="E563" s="84">
        <v>50</v>
      </c>
      <c r="F563" s="83">
        <f t="shared" ca="1" si="15"/>
        <v>2750</v>
      </c>
    </row>
    <row r="564" spans="1:10" ht="14.1" customHeight="1" x14ac:dyDescent="0.25">
      <c r="A564" s="94" t="s">
        <v>14712</v>
      </c>
      <c r="B564" s="82" t="str">
        <f ca="1">IFERROR(INDEX(UNSPSCDes,MATCH(INDIRECT(ADDRESS(ROW(),COLUMN()-1,4)),UNSPSCCode,0)),IF(INDIRECT(ADDRESS(ROW(),COLUMN()-1,4))="76111501","Servicios de limpieza de edificios",""))</f>
        <v>Servicios de limpieza de edificios</v>
      </c>
      <c r="C564" s="95" t="str">
        <f>IFERROR(VLOOKUP("UD",'Informacion '!P:Q,2,FALSE),"")</f>
        <v>Unidad</v>
      </c>
      <c r="D564" s="94">
        <v>1</v>
      </c>
      <c r="E564" s="84">
        <v>350000</v>
      </c>
      <c r="F564" s="83">
        <f t="shared" ref="F564:F571" ca="1" si="17">INDIRECT(ADDRESS(ROW(),COLUMN()-2,4))*INDIRECT(ADDRESS(ROW(),COLUMN()-1,4))</f>
        <v>350000</v>
      </c>
    </row>
    <row r="565" spans="1:10" ht="14.1" customHeight="1" x14ac:dyDescent="0.25">
      <c r="A565" s="94" t="s">
        <v>14712</v>
      </c>
      <c r="B565" s="82" t="str">
        <f ca="1">IFERROR(INDEX(UNSPSCDes,MATCH(INDIRECT(ADDRESS(ROW(),COLUMN()-1,4)),UNSPSCCode,0)),IF(INDIRECT(ADDRESS(ROW(),COLUMN()-1,4))="76111501","Servicios de limpieza de edificios",""))</f>
        <v>Servicios de limpieza de edificios</v>
      </c>
      <c r="C565" s="95" t="str">
        <f>IFERROR(VLOOKUP("UD",'Informacion '!P:Q,2,FALSE),"")</f>
        <v>Unidad</v>
      </c>
      <c r="D565" s="94">
        <v>1</v>
      </c>
      <c r="E565" s="84">
        <v>82600</v>
      </c>
      <c r="F565" s="83">
        <f t="shared" ca="1" si="17"/>
        <v>82600</v>
      </c>
    </row>
    <row r="566" spans="1:10" ht="14.1" customHeight="1" x14ac:dyDescent="0.25">
      <c r="A566" s="94" t="s">
        <v>10729</v>
      </c>
      <c r="B566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66" s="95" t="str">
        <f>IFERROR(VLOOKUP("UD",'Informacion '!P:Q,2,FALSE),"")</f>
        <v>Unidad</v>
      </c>
      <c r="D566" s="94">
        <v>3</v>
      </c>
      <c r="E566" s="84">
        <v>45000</v>
      </c>
      <c r="F566" s="83">
        <f t="shared" ca="1" si="17"/>
        <v>135000</v>
      </c>
    </row>
    <row r="567" spans="1:10" ht="14.1" customHeight="1" x14ac:dyDescent="0.25">
      <c r="A567" s="94" t="s">
        <v>10729</v>
      </c>
      <c r="B567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67" s="95" t="str">
        <f>IFERROR(VLOOKUP("UD",'Informacion '!P:Q,2,FALSE),"")</f>
        <v>Unidad</v>
      </c>
      <c r="D567" s="94">
        <v>1</v>
      </c>
      <c r="E567" s="84">
        <v>5900</v>
      </c>
      <c r="F567" s="83">
        <f t="shared" ca="1" si="17"/>
        <v>5900</v>
      </c>
    </row>
    <row r="568" spans="1:10" ht="14.1" customHeight="1" x14ac:dyDescent="0.25">
      <c r="A568" s="94" t="s">
        <v>2417</v>
      </c>
      <c r="B568" s="82" t="str">
        <f ca="1">IFERROR(INDEX(UNSPSCDes,MATCH(INDIRECT(ADDRESS(ROW(),COLUMN()-1,4)),UNSPSCCode,0)),IF(INDIRECT(ADDRESS(ROW(),COLUMN()-1,4))="47131503","Gamuzas o cueros para lavar",""))</f>
        <v>Gamuzas o cueros para lavar</v>
      </c>
      <c r="C568" s="95" t="str">
        <f>IFERROR(VLOOKUP("UD",'Informacion '!P:Q,2,FALSE),"")</f>
        <v>Unidad</v>
      </c>
      <c r="D568" s="94">
        <v>2</v>
      </c>
      <c r="E568" s="84">
        <v>650</v>
      </c>
      <c r="F568" s="83">
        <f t="shared" ca="1" si="17"/>
        <v>1300</v>
      </c>
    </row>
    <row r="569" spans="1:10" ht="14.1" customHeight="1" x14ac:dyDescent="0.25">
      <c r="A569" s="94" t="s">
        <v>2417</v>
      </c>
      <c r="B569" s="82" t="str">
        <f ca="1">IFERROR(INDEX(UNSPSCDes,MATCH(INDIRECT(ADDRESS(ROW(),COLUMN()-1,4)),UNSPSCCode,0)),IF(INDIRECT(ADDRESS(ROW(),COLUMN()-1,4))="47131503","Gamuzas o cueros para lavar",""))</f>
        <v>Gamuzas o cueros para lavar</v>
      </c>
      <c r="C569" s="95" t="str">
        <f>IFERROR(VLOOKUP("UD",'Informacion '!P:Q,2,FALSE),"")</f>
        <v>Unidad</v>
      </c>
      <c r="D569" s="94">
        <v>100</v>
      </c>
      <c r="E569" s="84">
        <v>45</v>
      </c>
      <c r="F569" s="83">
        <f t="shared" ca="1" si="17"/>
        <v>4500</v>
      </c>
    </row>
    <row r="570" spans="1:10" ht="14.1" customHeight="1" x14ac:dyDescent="0.25">
      <c r="A570" s="94" t="s">
        <v>2417</v>
      </c>
      <c r="B570" s="82" t="str">
        <f ca="1">IFERROR(INDEX(UNSPSCDes,MATCH(INDIRECT(ADDRESS(ROW(),COLUMN()-1,4)),UNSPSCCode,0)),IF(INDIRECT(ADDRESS(ROW(),COLUMN()-1,4))="47131503","Gamuzas o cueros para lavar",""))</f>
        <v>Gamuzas o cueros para lavar</v>
      </c>
      <c r="C570" s="95" t="str">
        <f>IFERROR(VLOOKUP("UD",'Informacion '!P:Q,2,FALSE),"")</f>
        <v>Unidad</v>
      </c>
      <c r="D570" s="94">
        <v>50</v>
      </c>
      <c r="E570" s="84">
        <v>50</v>
      </c>
      <c r="F570" s="83">
        <f t="shared" ca="1" si="17"/>
        <v>2500</v>
      </c>
    </row>
    <row r="571" spans="1:10" ht="14.1" customHeight="1" x14ac:dyDescent="0.25">
      <c r="A571" s="94" t="s">
        <v>10729</v>
      </c>
      <c r="B571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571" s="95" t="str">
        <f>IFERROR(VLOOKUP("UD",'Informacion '!P:Q,2,FALSE),"")</f>
        <v>Unidad</v>
      </c>
      <c r="D571" s="94">
        <v>1</v>
      </c>
      <c r="E571" s="84">
        <v>55460</v>
      </c>
      <c r="F571" s="83">
        <f t="shared" ca="1" si="17"/>
        <v>55460</v>
      </c>
    </row>
    <row r="572" spans="1:10" ht="14.1" customHeight="1" x14ac:dyDescent="0.25">
      <c r="E572" s="96" t="s">
        <v>7213</v>
      </c>
      <c r="F572" s="87">
        <f ca="1">SUM(Table20[MONTO TOTAL ESTIMADO])</f>
        <v>2986447</v>
      </c>
      <c r="H572" s="39" t="str">
        <f>C493</f>
        <v>Bienes</v>
      </c>
      <c r="I572" s="39" t="str">
        <f>E493</f>
        <v>No</v>
      </c>
      <c r="J572" s="39" t="str">
        <f>D493</f>
        <v>Comparacion de Precios</v>
      </c>
    </row>
    <row r="574" spans="1:10" ht="33.950000000000003" customHeight="1" x14ac:dyDescent="0.25">
      <c r="A574" s="77" t="s">
        <v>17233</v>
      </c>
      <c r="B574" s="77" t="s">
        <v>4237</v>
      </c>
      <c r="C574" s="77" t="s">
        <v>4743</v>
      </c>
      <c r="D574" s="77" t="s">
        <v>9891</v>
      </c>
      <c r="E574" s="77" t="s">
        <v>3089</v>
      </c>
      <c r="F574" s="77" t="s">
        <v>18141</v>
      </c>
    </row>
    <row r="575" spans="1:10" ht="14.1" customHeight="1" x14ac:dyDescent="0.25">
      <c r="A575" s="79" t="s">
        <v>17641</v>
      </c>
      <c r="B575" s="79" t="s">
        <v>1002</v>
      </c>
      <c r="C575" s="79" t="s">
        <v>17215</v>
      </c>
      <c r="D575" s="79" t="s">
        <v>17798</v>
      </c>
      <c r="E575" s="79" t="s">
        <v>18247</v>
      </c>
      <c r="F575" s="79"/>
    </row>
    <row r="576" spans="1:10" ht="14.1" customHeight="1" x14ac:dyDescent="0.25">
      <c r="A576" s="2" t="s">
        <v>6643</v>
      </c>
      <c r="B576" s="80" t="s">
        <v>1046</v>
      </c>
      <c r="C576" s="90">
        <v>43467</v>
      </c>
      <c r="D576" s="2" t="s">
        <v>59</v>
      </c>
      <c r="E576" s="92" t="s">
        <v>20066</v>
      </c>
      <c r="F576" s="93"/>
    </row>
    <row r="577" spans="1:10" ht="14.1" customHeight="1" x14ac:dyDescent="0.25">
      <c r="A577" s="1"/>
      <c r="B577" s="80" t="s">
        <v>10788</v>
      </c>
      <c r="C577" s="91">
        <f>IF(C576="","",IF(AND(MONTH(C576)&gt;=1,MONTH(C576)&lt;=3),1,IF(AND(MONTH(C576)&gt;=4,MONTH(C576)&lt;=6),2,IF(AND(MONTH(C576)&gt;=7,MONTH(C576)&lt;=9),3,4))))</f>
        <v>1</v>
      </c>
      <c r="D577" s="1"/>
      <c r="E577" s="92" t="s">
        <v>14822</v>
      </c>
      <c r="F577" s="93"/>
    </row>
    <row r="578" spans="1:10" ht="14.1" customHeight="1" x14ac:dyDescent="0.25">
      <c r="A578" s="1"/>
      <c r="B578" s="80" t="s">
        <v>13758</v>
      </c>
      <c r="C578" s="90">
        <v>43553</v>
      </c>
      <c r="D578" s="1"/>
      <c r="E578" s="92" t="s">
        <v>18636</v>
      </c>
      <c r="F578" s="93"/>
    </row>
    <row r="579" spans="1:10" ht="14.1" customHeight="1" x14ac:dyDescent="0.25">
      <c r="A579" s="1"/>
      <c r="B579" s="80" t="s">
        <v>10788</v>
      </c>
      <c r="C579" s="91">
        <f>IF(C578="","",IF(AND(MONTH(C578)&gt;=1,MONTH(C578)&lt;=3),1,IF(AND(MONTH(C578)&gt;=4,MONTH(C578)&lt;=6),2,IF(AND(MONTH(C578)&gt;=7,MONTH(C578)&lt;=9),3,4))))</f>
        <v>1</v>
      </c>
      <c r="D579" s="1"/>
      <c r="E579" s="92" t="s">
        <v>15990</v>
      </c>
      <c r="F579" s="93"/>
    </row>
    <row r="581" spans="1:10" ht="14.1" customHeight="1" x14ac:dyDescent="0.25">
      <c r="A581" s="85" t="s">
        <v>15474</v>
      </c>
      <c r="B581" s="85" t="s">
        <v>5027</v>
      </c>
      <c r="C581" s="85" t="s">
        <v>17461</v>
      </c>
      <c r="D581" s="85" t="s">
        <v>3935</v>
      </c>
      <c r="E581" s="85" t="s">
        <v>10722</v>
      </c>
      <c r="F581" s="85" t="s">
        <v>18237</v>
      </c>
    </row>
    <row r="582" spans="1:10" ht="14.1" customHeight="1" x14ac:dyDescent="0.25">
      <c r="A582" s="94" t="s">
        <v>3078</v>
      </c>
      <c r="B582" s="82" t="str">
        <f ca="1">IFERROR(INDEX(UNSPSCDes,MATCH(INDIRECT(ADDRESS(ROW(),COLUMN()-1,4)),UNSPSCCode,0)),IF(INDIRECT(ADDRESS(ROW(),COLUMN()-1,4))="12161804","Emulsiones",""))</f>
        <v>Emulsiones</v>
      </c>
      <c r="C582" s="95" t="str">
        <f>IFERROR(VLOOKUP("UD",'Informacion '!P:Q,2,FALSE),"")</f>
        <v>Unidad</v>
      </c>
      <c r="D582" s="94">
        <v>38</v>
      </c>
      <c r="E582" s="84">
        <v>4400</v>
      </c>
      <c r="F582" s="83">
        <f ca="1">INDIRECT(ADDRESS(ROW(),COLUMN()-2,4))*INDIRECT(ADDRESS(ROW(),COLUMN()-1,4))</f>
        <v>167200</v>
      </c>
    </row>
    <row r="583" spans="1:10" ht="14.1" customHeight="1" x14ac:dyDescent="0.25">
      <c r="A583" s="94" t="s">
        <v>3078</v>
      </c>
      <c r="B583" s="82" t="str">
        <f ca="1">IFERROR(INDEX(UNSPSCDes,MATCH(INDIRECT(ADDRESS(ROW(),COLUMN()-1,4)),UNSPSCCode,0)),IF(INDIRECT(ADDRESS(ROW(),COLUMN()-1,4))="12161804","Emulsiones",""))</f>
        <v>Emulsiones</v>
      </c>
      <c r="C583" s="95" t="str">
        <f>IFERROR(VLOOKUP("UD",'Informacion '!P:Q,2,FALSE),"")</f>
        <v>Unidad</v>
      </c>
      <c r="D583" s="94">
        <v>55</v>
      </c>
      <c r="E583" s="84">
        <v>4613.83</v>
      </c>
      <c r="F583" s="83">
        <f ca="1">INDIRECT(ADDRESS(ROW(),COLUMN()-2,4))*INDIRECT(ADDRESS(ROW(),COLUMN()-1,4))</f>
        <v>253760.65</v>
      </c>
    </row>
    <row r="584" spans="1:10" ht="14.1" customHeight="1" x14ac:dyDescent="0.25">
      <c r="A584" s="94" t="s">
        <v>3078</v>
      </c>
      <c r="B584" s="82" t="str">
        <f ca="1">IFERROR(INDEX(UNSPSCDes,MATCH(INDIRECT(ADDRESS(ROW(),COLUMN()-1,4)),UNSPSCCode,0)),IF(INDIRECT(ADDRESS(ROW(),COLUMN()-1,4))="12161804","Emulsiones",""))</f>
        <v>Emulsiones</v>
      </c>
      <c r="C584" s="95" t="str">
        <f>IFERROR(VLOOKUP("UD",'Informacion '!P:Q,2,FALSE),"")</f>
        <v>Unidad</v>
      </c>
      <c r="D584" s="94">
        <v>17</v>
      </c>
      <c r="E584" s="84">
        <v>5914</v>
      </c>
      <c r="F584" s="83">
        <f ca="1">INDIRECT(ADDRESS(ROW(),COLUMN()-2,4))*INDIRECT(ADDRESS(ROW(),COLUMN()-1,4))</f>
        <v>100538</v>
      </c>
    </row>
    <row r="585" spans="1:10" ht="14.1" customHeight="1" x14ac:dyDescent="0.25">
      <c r="A585" s="94" t="s">
        <v>3078</v>
      </c>
      <c r="B585" s="82" t="str">
        <f ca="1">IFERROR(INDEX(UNSPSCDes,MATCH(INDIRECT(ADDRESS(ROW(),COLUMN()-1,4)),UNSPSCCode,0)),IF(INDIRECT(ADDRESS(ROW(),COLUMN()-1,4))="12161804","Emulsiones",""))</f>
        <v>Emulsiones</v>
      </c>
      <c r="C585" s="95" t="str">
        <f>IFERROR(VLOOKUP("UD",'Informacion '!P:Q,2,FALSE),"")</f>
        <v>Unidad</v>
      </c>
      <c r="D585" s="94">
        <v>90</v>
      </c>
      <c r="E585" s="84">
        <v>3190</v>
      </c>
      <c r="F585" s="83">
        <f ca="1">INDIRECT(ADDRESS(ROW(),COLUMN()-2,4))*INDIRECT(ADDRESS(ROW(),COLUMN()-1,4))</f>
        <v>287100</v>
      </c>
    </row>
    <row r="586" spans="1:10" ht="14.1" customHeight="1" x14ac:dyDescent="0.25">
      <c r="A586" s="94" t="s">
        <v>3078</v>
      </c>
      <c r="B586" s="82" t="str">
        <f ca="1">IFERROR(INDEX(UNSPSCDes,MATCH(INDIRECT(ADDRESS(ROW(),COLUMN()-1,4)),UNSPSCCode,0)),IF(INDIRECT(ADDRESS(ROW(),COLUMN()-1,4))="12161804","Emulsiones",""))</f>
        <v>Emulsiones</v>
      </c>
      <c r="C586" s="95" t="str">
        <f>IFERROR(VLOOKUP("UD",'Informacion '!P:Q,2,FALSE),"")</f>
        <v>Unidad</v>
      </c>
      <c r="D586" s="94">
        <v>17</v>
      </c>
      <c r="E586" s="84">
        <v>5239.38</v>
      </c>
      <c r="F586" s="83">
        <f ca="1">INDIRECT(ADDRESS(ROW(),COLUMN()-2,4))*INDIRECT(ADDRESS(ROW(),COLUMN()-1,4))</f>
        <v>89069.46</v>
      </c>
    </row>
    <row r="587" spans="1:10" ht="14.1" customHeight="1" x14ac:dyDescent="0.25">
      <c r="E587" s="96" t="s">
        <v>7213</v>
      </c>
      <c r="F587" s="87">
        <f ca="1">SUM(Table21[MONTO TOTAL ESTIMADO])</f>
        <v>897668.11</v>
      </c>
      <c r="H587" s="39" t="str">
        <f>C575</f>
        <v>Bienes</v>
      </c>
      <c r="I587" s="39" t="str">
        <f>E575</f>
        <v>No</v>
      </c>
      <c r="J587" s="39" t="str">
        <f>D575</f>
        <v>Compras Menores</v>
      </c>
    </row>
    <row r="589" spans="1:10" ht="33.950000000000003" customHeight="1" x14ac:dyDescent="0.25">
      <c r="A589" s="77" t="s">
        <v>17233</v>
      </c>
      <c r="B589" s="77" t="s">
        <v>4237</v>
      </c>
      <c r="C589" s="77" t="s">
        <v>4743</v>
      </c>
      <c r="D589" s="77" t="s">
        <v>9891</v>
      </c>
      <c r="E589" s="77" t="s">
        <v>3089</v>
      </c>
      <c r="F589" s="77" t="s">
        <v>18141</v>
      </c>
    </row>
    <row r="590" spans="1:10" ht="14.1" customHeight="1" x14ac:dyDescent="0.25">
      <c r="A590" s="79" t="s">
        <v>1475</v>
      </c>
      <c r="B590" s="79" t="s">
        <v>18013</v>
      </c>
      <c r="C590" s="79" t="s">
        <v>17215</v>
      </c>
      <c r="D590" s="79" t="s">
        <v>17798</v>
      </c>
      <c r="E590" s="79" t="s">
        <v>18247</v>
      </c>
      <c r="F590" s="79"/>
    </row>
    <row r="591" spans="1:10" ht="14.1" customHeight="1" x14ac:dyDescent="0.25">
      <c r="A591" s="2" t="s">
        <v>6643</v>
      </c>
      <c r="B591" s="80" t="s">
        <v>1046</v>
      </c>
      <c r="C591" s="90">
        <v>43556</v>
      </c>
      <c r="D591" s="2" t="s">
        <v>59</v>
      </c>
      <c r="E591" s="92" t="s">
        <v>20066</v>
      </c>
      <c r="F591" s="93"/>
    </row>
    <row r="592" spans="1:10" ht="14.1" customHeight="1" x14ac:dyDescent="0.25">
      <c r="A592" s="1"/>
      <c r="B592" s="80" t="s">
        <v>10788</v>
      </c>
      <c r="C592" s="91">
        <f>IF(C591="","",IF(AND(MONTH(C591)&gt;=1,MONTH(C591)&lt;=3),1,IF(AND(MONTH(C591)&gt;=4,MONTH(C591)&lt;=6),2,IF(AND(MONTH(C591)&gt;=7,MONTH(C591)&lt;=9),3,4))))</f>
        <v>2</v>
      </c>
      <c r="D592" s="1"/>
      <c r="E592" s="92" t="s">
        <v>14822</v>
      </c>
      <c r="F592" s="93"/>
    </row>
    <row r="593" spans="1:10" ht="14.1" customHeight="1" x14ac:dyDescent="0.25">
      <c r="A593" s="1"/>
      <c r="B593" s="80" t="s">
        <v>13758</v>
      </c>
      <c r="C593" s="90">
        <v>43644</v>
      </c>
      <c r="D593" s="1"/>
      <c r="E593" s="92" t="s">
        <v>18636</v>
      </c>
      <c r="F593" s="93"/>
    </row>
    <row r="594" spans="1:10" ht="14.1" customHeight="1" x14ac:dyDescent="0.25">
      <c r="A594" s="1"/>
      <c r="B594" s="80" t="s">
        <v>10788</v>
      </c>
      <c r="C594" s="91">
        <f>IF(C593="","",IF(AND(MONTH(C593)&gt;=1,MONTH(C593)&lt;=3),1,IF(AND(MONTH(C593)&gt;=4,MONTH(C593)&lt;=6),2,IF(AND(MONTH(C593)&gt;=7,MONTH(C593)&lt;=9),3,4))))</f>
        <v>2</v>
      </c>
      <c r="D594" s="1"/>
      <c r="E594" s="92" t="s">
        <v>15990</v>
      </c>
      <c r="F594" s="93"/>
    </row>
    <row r="596" spans="1:10" ht="14.1" customHeight="1" x14ac:dyDescent="0.25">
      <c r="A596" s="85" t="s">
        <v>15474</v>
      </c>
      <c r="B596" s="85" t="s">
        <v>5027</v>
      </c>
      <c r="C596" s="85" t="s">
        <v>17461</v>
      </c>
      <c r="D596" s="85" t="s">
        <v>3935</v>
      </c>
      <c r="E596" s="85" t="s">
        <v>10722</v>
      </c>
      <c r="F596" s="85" t="s">
        <v>18237</v>
      </c>
    </row>
    <row r="597" spans="1:10" ht="14.1" customHeight="1" x14ac:dyDescent="0.25">
      <c r="A597" s="94" t="s">
        <v>3078</v>
      </c>
      <c r="B597" s="82" t="str">
        <f ca="1">IFERROR(INDEX(UNSPSCDes,MATCH(INDIRECT(ADDRESS(ROW(),COLUMN()-1,4)),UNSPSCCode,0)),IF(INDIRECT(ADDRESS(ROW(),COLUMN()-1,4))="12161804","Emulsiones",""))</f>
        <v>Emulsiones</v>
      </c>
      <c r="C597" s="95" t="str">
        <f>IFERROR(VLOOKUP("UD",'Informacion '!P:Q,2,FALSE),"")</f>
        <v>Unidad</v>
      </c>
      <c r="D597" s="94">
        <v>38</v>
      </c>
      <c r="E597" s="84">
        <v>4400</v>
      </c>
      <c r="F597" s="83">
        <f ca="1">INDIRECT(ADDRESS(ROW(),COLUMN()-2,4))*INDIRECT(ADDRESS(ROW(),COLUMN()-1,4))</f>
        <v>167200</v>
      </c>
    </row>
    <row r="598" spans="1:10" ht="14.1" customHeight="1" x14ac:dyDescent="0.25">
      <c r="A598" s="94" t="s">
        <v>3078</v>
      </c>
      <c r="B598" s="82" t="str">
        <f ca="1">IFERROR(INDEX(UNSPSCDes,MATCH(INDIRECT(ADDRESS(ROW(),COLUMN()-1,4)),UNSPSCCode,0)),IF(INDIRECT(ADDRESS(ROW(),COLUMN()-1,4))="12161804","Emulsiones",""))</f>
        <v>Emulsiones</v>
      </c>
      <c r="C598" s="95" t="str">
        <f>IFERROR(VLOOKUP("UD",'Informacion '!P:Q,2,FALSE),"")</f>
        <v>Unidad</v>
      </c>
      <c r="D598" s="94">
        <v>55</v>
      </c>
      <c r="E598" s="84">
        <v>4613.83</v>
      </c>
      <c r="F598" s="83">
        <f ca="1">INDIRECT(ADDRESS(ROW(),COLUMN()-2,4))*INDIRECT(ADDRESS(ROW(),COLUMN()-1,4))</f>
        <v>253760.65</v>
      </c>
    </row>
    <row r="599" spans="1:10" ht="14.1" customHeight="1" x14ac:dyDescent="0.25">
      <c r="A599" s="94" t="s">
        <v>3078</v>
      </c>
      <c r="B599" s="82" t="str">
        <f ca="1">IFERROR(INDEX(UNSPSCDes,MATCH(INDIRECT(ADDRESS(ROW(),COLUMN()-1,4)),UNSPSCCode,0)),IF(INDIRECT(ADDRESS(ROW(),COLUMN()-1,4))="12161804","Emulsiones",""))</f>
        <v>Emulsiones</v>
      </c>
      <c r="C599" s="95" t="str">
        <f>IFERROR(VLOOKUP("UD",'Informacion '!P:Q,2,FALSE),"")</f>
        <v>Unidad</v>
      </c>
      <c r="D599" s="94">
        <v>17</v>
      </c>
      <c r="E599" s="84">
        <v>5914</v>
      </c>
      <c r="F599" s="83">
        <f ca="1">INDIRECT(ADDRESS(ROW(),COLUMN()-2,4))*INDIRECT(ADDRESS(ROW(),COLUMN()-1,4))</f>
        <v>100538</v>
      </c>
    </row>
    <row r="600" spans="1:10" ht="14.1" customHeight="1" x14ac:dyDescent="0.25">
      <c r="A600" s="94" t="s">
        <v>3078</v>
      </c>
      <c r="B600" s="82" t="str">
        <f ca="1">IFERROR(INDEX(UNSPSCDes,MATCH(INDIRECT(ADDRESS(ROW(),COLUMN()-1,4)),UNSPSCCode,0)),IF(INDIRECT(ADDRESS(ROW(),COLUMN()-1,4))="12161804","Emulsiones",""))</f>
        <v>Emulsiones</v>
      </c>
      <c r="C600" s="95" t="str">
        <f>IFERROR(VLOOKUP("UD",'Informacion '!P:Q,2,FALSE),"")</f>
        <v>Unidad</v>
      </c>
      <c r="D600" s="94">
        <v>90</v>
      </c>
      <c r="E600" s="84">
        <v>3190</v>
      </c>
      <c r="F600" s="83">
        <f ca="1">INDIRECT(ADDRESS(ROW(),COLUMN()-2,4))*INDIRECT(ADDRESS(ROW(),COLUMN()-1,4))</f>
        <v>287100</v>
      </c>
    </row>
    <row r="601" spans="1:10" ht="14.1" customHeight="1" x14ac:dyDescent="0.25">
      <c r="A601" s="94" t="s">
        <v>3078</v>
      </c>
      <c r="B601" s="82" t="str">
        <f ca="1">IFERROR(INDEX(UNSPSCDes,MATCH(INDIRECT(ADDRESS(ROW(),COLUMN()-1,4)),UNSPSCCode,0)),IF(INDIRECT(ADDRESS(ROW(),COLUMN()-1,4))="12161804","Emulsiones",""))</f>
        <v>Emulsiones</v>
      </c>
      <c r="C601" s="95" t="str">
        <f>IFERROR(VLOOKUP("UD",'Informacion '!P:Q,2,FALSE),"")</f>
        <v>Unidad</v>
      </c>
      <c r="D601" s="94">
        <v>17</v>
      </c>
      <c r="E601" s="84">
        <v>5239.38</v>
      </c>
      <c r="F601" s="83">
        <f ca="1">INDIRECT(ADDRESS(ROW(),COLUMN()-2,4))*INDIRECT(ADDRESS(ROW(),COLUMN()-1,4))</f>
        <v>89069.46</v>
      </c>
    </row>
    <row r="602" spans="1:10" ht="14.1" customHeight="1" x14ac:dyDescent="0.25">
      <c r="E602" s="96" t="s">
        <v>7213</v>
      </c>
      <c r="F602" s="87">
        <f ca="1">SUM(Table22[MONTO TOTAL ESTIMADO])</f>
        <v>897668.11</v>
      </c>
      <c r="H602" s="39" t="str">
        <f>C590</f>
        <v>Bienes</v>
      </c>
      <c r="I602" s="39" t="str">
        <f>E590</f>
        <v>No</v>
      </c>
      <c r="J602" s="39" t="str">
        <f>D590</f>
        <v>Compras Menores</v>
      </c>
    </row>
    <row r="604" spans="1:10" ht="33.950000000000003" customHeight="1" x14ac:dyDescent="0.25">
      <c r="A604" s="77" t="s">
        <v>17233</v>
      </c>
      <c r="B604" s="77" t="s">
        <v>4237</v>
      </c>
      <c r="C604" s="77" t="s">
        <v>4743</v>
      </c>
      <c r="D604" s="77" t="s">
        <v>9891</v>
      </c>
      <c r="E604" s="77" t="s">
        <v>3089</v>
      </c>
      <c r="F604" s="77" t="s">
        <v>18141</v>
      </c>
    </row>
    <row r="605" spans="1:10" ht="14.1" customHeight="1" x14ac:dyDescent="0.25">
      <c r="A605" s="79" t="s">
        <v>3209</v>
      </c>
      <c r="B605" s="79" t="s">
        <v>11359</v>
      </c>
      <c r="C605" s="79" t="s">
        <v>17215</v>
      </c>
      <c r="D605" s="79" t="s">
        <v>17798</v>
      </c>
      <c r="E605" s="79" t="s">
        <v>18247</v>
      </c>
      <c r="F605" s="79"/>
    </row>
    <row r="606" spans="1:10" ht="14.1" customHeight="1" x14ac:dyDescent="0.25">
      <c r="A606" s="2" t="s">
        <v>6643</v>
      </c>
      <c r="B606" s="80" t="s">
        <v>1046</v>
      </c>
      <c r="C606" s="90">
        <v>43647</v>
      </c>
      <c r="D606" s="2" t="s">
        <v>59</v>
      </c>
      <c r="E606" s="92" t="s">
        <v>20066</v>
      </c>
      <c r="F606" s="93"/>
    </row>
    <row r="607" spans="1:10" ht="14.1" customHeight="1" x14ac:dyDescent="0.25">
      <c r="A607" s="1"/>
      <c r="B607" s="80" t="s">
        <v>10788</v>
      </c>
      <c r="C607" s="91">
        <f>IF(C606="","",IF(AND(MONTH(C606)&gt;=1,MONTH(C606)&lt;=3),1,IF(AND(MONTH(C606)&gt;=4,MONTH(C606)&lt;=6),2,IF(AND(MONTH(C606)&gt;=7,MONTH(C606)&lt;=9),3,4))))</f>
        <v>3</v>
      </c>
      <c r="D607" s="1"/>
      <c r="E607" s="92" t="s">
        <v>14822</v>
      </c>
      <c r="F607" s="93"/>
    </row>
    <row r="608" spans="1:10" ht="14.1" customHeight="1" x14ac:dyDescent="0.25">
      <c r="A608" s="1"/>
      <c r="B608" s="80" t="s">
        <v>13758</v>
      </c>
      <c r="C608" s="90">
        <v>43738</v>
      </c>
      <c r="D608" s="1"/>
      <c r="E608" s="92" t="s">
        <v>18636</v>
      </c>
      <c r="F608" s="93"/>
    </row>
    <row r="609" spans="1:10" ht="14.1" customHeight="1" x14ac:dyDescent="0.25">
      <c r="A609" s="1"/>
      <c r="B609" s="80" t="s">
        <v>10788</v>
      </c>
      <c r="C609" s="91">
        <f>IF(C608="","",IF(AND(MONTH(C608)&gt;=1,MONTH(C608)&lt;=3),1,IF(AND(MONTH(C608)&gt;=4,MONTH(C608)&lt;=6),2,IF(AND(MONTH(C608)&gt;=7,MONTH(C608)&lt;=9),3,4))))</f>
        <v>3</v>
      </c>
      <c r="D609" s="1"/>
      <c r="E609" s="92" t="s">
        <v>15990</v>
      </c>
      <c r="F609" s="93"/>
    </row>
    <row r="611" spans="1:10" ht="14.1" customHeight="1" x14ac:dyDescent="0.25">
      <c r="A611" s="85" t="s">
        <v>15474</v>
      </c>
      <c r="B611" s="85" t="s">
        <v>5027</v>
      </c>
      <c r="C611" s="85" t="s">
        <v>17461</v>
      </c>
      <c r="D611" s="85" t="s">
        <v>3935</v>
      </c>
      <c r="E611" s="85" t="s">
        <v>10722</v>
      </c>
      <c r="F611" s="85" t="s">
        <v>18237</v>
      </c>
    </row>
    <row r="612" spans="1:10" ht="14.1" customHeight="1" x14ac:dyDescent="0.25">
      <c r="A612" s="94" t="s">
        <v>3078</v>
      </c>
      <c r="B612" s="82" t="str">
        <f ca="1">IFERROR(INDEX(UNSPSCDes,MATCH(INDIRECT(ADDRESS(ROW(),COLUMN()-1,4)),UNSPSCCode,0)),IF(INDIRECT(ADDRESS(ROW(),COLUMN()-1,4))="12161804","Emulsiones",""))</f>
        <v>Emulsiones</v>
      </c>
      <c r="C612" s="95" t="str">
        <f>IFERROR(VLOOKUP("UD",'Informacion '!P:Q,2,FALSE),"")</f>
        <v>Unidad</v>
      </c>
      <c r="D612" s="94">
        <v>38</v>
      </c>
      <c r="E612" s="84">
        <v>4400</v>
      </c>
      <c r="F612" s="83">
        <f ca="1">INDIRECT(ADDRESS(ROW(),COLUMN()-2,4))*INDIRECT(ADDRESS(ROW(),COLUMN()-1,4))</f>
        <v>167200</v>
      </c>
    </row>
    <row r="613" spans="1:10" ht="14.1" customHeight="1" x14ac:dyDescent="0.25">
      <c r="A613" s="94" t="s">
        <v>3078</v>
      </c>
      <c r="B613" s="82" t="str">
        <f ca="1">IFERROR(INDEX(UNSPSCDes,MATCH(INDIRECT(ADDRESS(ROW(),COLUMN()-1,4)),UNSPSCCode,0)),IF(INDIRECT(ADDRESS(ROW(),COLUMN()-1,4))="12161804","Emulsiones",""))</f>
        <v>Emulsiones</v>
      </c>
      <c r="C613" s="95" t="str">
        <f>IFERROR(VLOOKUP("UD",'Informacion '!P:Q,2,FALSE),"")</f>
        <v>Unidad</v>
      </c>
      <c r="D613" s="94">
        <v>55</v>
      </c>
      <c r="E613" s="84">
        <v>4613.83</v>
      </c>
      <c r="F613" s="83">
        <f ca="1">INDIRECT(ADDRESS(ROW(),COLUMN()-2,4))*INDIRECT(ADDRESS(ROW(),COLUMN()-1,4))</f>
        <v>253760.65</v>
      </c>
    </row>
    <row r="614" spans="1:10" ht="14.1" customHeight="1" x14ac:dyDescent="0.25">
      <c r="A614" s="94" t="s">
        <v>3078</v>
      </c>
      <c r="B614" s="82" t="str">
        <f ca="1">IFERROR(INDEX(UNSPSCDes,MATCH(INDIRECT(ADDRESS(ROW(),COLUMN()-1,4)),UNSPSCCode,0)),IF(INDIRECT(ADDRESS(ROW(),COLUMN()-1,4))="12161804","Emulsiones",""))</f>
        <v>Emulsiones</v>
      </c>
      <c r="C614" s="95" t="str">
        <f>IFERROR(VLOOKUP("UD",'Informacion '!P:Q,2,FALSE),"")</f>
        <v>Unidad</v>
      </c>
      <c r="D614" s="94">
        <v>17</v>
      </c>
      <c r="E614" s="84">
        <v>5914</v>
      </c>
      <c r="F614" s="83">
        <f ca="1">INDIRECT(ADDRESS(ROW(),COLUMN()-2,4))*INDIRECT(ADDRESS(ROW(),COLUMN()-1,4))</f>
        <v>100538</v>
      </c>
    </row>
    <row r="615" spans="1:10" ht="14.1" customHeight="1" x14ac:dyDescent="0.25">
      <c r="A615" s="94" t="s">
        <v>3078</v>
      </c>
      <c r="B615" s="82" t="str">
        <f ca="1">IFERROR(INDEX(UNSPSCDes,MATCH(INDIRECT(ADDRESS(ROW(),COLUMN()-1,4)),UNSPSCCode,0)),IF(INDIRECT(ADDRESS(ROW(),COLUMN()-1,4))="12161804","Emulsiones",""))</f>
        <v>Emulsiones</v>
      </c>
      <c r="C615" s="95" t="str">
        <f>IFERROR(VLOOKUP("UD",'Informacion '!P:Q,2,FALSE),"")</f>
        <v>Unidad</v>
      </c>
      <c r="D615" s="94">
        <v>90</v>
      </c>
      <c r="E615" s="84">
        <v>3190</v>
      </c>
      <c r="F615" s="83">
        <f ca="1">INDIRECT(ADDRESS(ROW(),COLUMN()-2,4))*INDIRECT(ADDRESS(ROW(),COLUMN()-1,4))</f>
        <v>287100</v>
      </c>
    </row>
    <row r="616" spans="1:10" ht="14.1" customHeight="1" x14ac:dyDescent="0.25">
      <c r="A616" s="94" t="s">
        <v>3078</v>
      </c>
      <c r="B616" s="82" t="str">
        <f ca="1">IFERROR(INDEX(UNSPSCDes,MATCH(INDIRECT(ADDRESS(ROW(),COLUMN()-1,4)),UNSPSCCode,0)),IF(INDIRECT(ADDRESS(ROW(),COLUMN()-1,4))="12161804","Emulsiones",""))</f>
        <v>Emulsiones</v>
      </c>
      <c r="C616" s="95" t="str">
        <f>IFERROR(VLOOKUP("UD",'Informacion '!P:Q,2,FALSE),"")</f>
        <v>Unidad</v>
      </c>
      <c r="D616" s="94">
        <v>17</v>
      </c>
      <c r="E616" s="84">
        <v>5239.38</v>
      </c>
      <c r="F616" s="83">
        <f ca="1">INDIRECT(ADDRESS(ROW(),COLUMN()-2,4))*INDIRECT(ADDRESS(ROW(),COLUMN()-1,4))</f>
        <v>89069.46</v>
      </c>
    </row>
    <row r="617" spans="1:10" ht="14.1" customHeight="1" x14ac:dyDescent="0.25">
      <c r="E617" s="96" t="s">
        <v>7213</v>
      </c>
      <c r="F617" s="87">
        <f ca="1">SUM(Table23[MONTO TOTAL ESTIMADO])</f>
        <v>897668.11</v>
      </c>
      <c r="H617" s="39" t="str">
        <f>C605</f>
        <v>Bienes</v>
      </c>
      <c r="I617" s="39" t="str">
        <f>E605</f>
        <v>No</v>
      </c>
      <c r="J617" s="39" t="str">
        <f>D605</f>
        <v>Compras Menores</v>
      </c>
    </row>
    <row r="619" spans="1:10" ht="33.950000000000003" customHeight="1" x14ac:dyDescent="0.25">
      <c r="A619" s="77" t="s">
        <v>17233</v>
      </c>
      <c r="B619" s="77" t="s">
        <v>4237</v>
      </c>
      <c r="C619" s="77" t="s">
        <v>4743</v>
      </c>
      <c r="D619" s="77" t="s">
        <v>9891</v>
      </c>
      <c r="E619" s="77" t="s">
        <v>3089</v>
      </c>
      <c r="F619" s="77" t="s">
        <v>18141</v>
      </c>
    </row>
    <row r="620" spans="1:10" ht="14.1" customHeight="1" x14ac:dyDescent="0.25">
      <c r="A620" s="79" t="s">
        <v>3943</v>
      </c>
      <c r="B620" s="79" t="s">
        <v>11232</v>
      </c>
      <c r="C620" s="79" t="s">
        <v>17215</v>
      </c>
      <c r="D620" s="79" t="s">
        <v>17798</v>
      </c>
      <c r="E620" s="79" t="s">
        <v>18247</v>
      </c>
      <c r="F620" s="79"/>
    </row>
    <row r="621" spans="1:10" ht="14.1" customHeight="1" x14ac:dyDescent="0.25">
      <c r="A621" s="2" t="s">
        <v>6643</v>
      </c>
      <c r="B621" s="80" t="s">
        <v>1046</v>
      </c>
      <c r="C621" s="90">
        <v>43710</v>
      </c>
      <c r="D621" s="2" t="s">
        <v>59</v>
      </c>
      <c r="E621" s="92" t="s">
        <v>20066</v>
      </c>
      <c r="F621" s="93"/>
    </row>
    <row r="622" spans="1:10" ht="14.1" customHeight="1" x14ac:dyDescent="0.25">
      <c r="A622" s="1"/>
      <c r="B622" s="80" t="s">
        <v>10788</v>
      </c>
      <c r="C622" s="91">
        <f>IF(C621="","",IF(AND(MONTH(C621)&gt;=1,MONTH(C621)&lt;=3),1,IF(AND(MONTH(C621)&gt;=4,MONTH(C621)&lt;=6),2,IF(AND(MONTH(C621)&gt;=7,MONTH(C621)&lt;=9),3,4))))</f>
        <v>3</v>
      </c>
      <c r="D622" s="1"/>
      <c r="E622" s="92" t="s">
        <v>14822</v>
      </c>
      <c r="F622" s="93"/>
    </row>
    <row r="623" spans="1:10" ht="14.1" customHeight="1" x14ac:dyDescent="0.25">
      <c r="A623" s="1"/>
      <c r="B623" s="80" t="s">
        <v>13758</v>
      </c>
      <c r="C623" s="90">
        <v>43829</v>
      </c>
      <c r="D623" s="1"/>
      <c r="E623" s="92" t="s">
        <v>18636</v>
      </c>
      <c r="F623" s="93"/>
    </row>
    <row r="624" spans="1:10" ht="14.1" customHeight="1" x14ac:dyDescent="0.25">
      <c r="A624" s="1"/>
      <c r="B624" s="80" t="s">
        <v>10788</v>
      </c>
      <c r="C624" s="91">
        <f>IF(C623="","",IF(AND(MONTH(C623)&gt;=1,MONTH(C623)&lt;=3),1,IF(AND(MONTH(C623)&gt;=4,MONTH(C623)&lt;=6),2,IF(AND(MONTH(C623)&gt;=7,MONTH(C623)&lt;=9),3,4))))</f>
        <v>4</v>
      </c>
      <c r="D624" s="1"/>
      <c r="E624" s="92" t="s">
        <v>15990</v>
      </c>
      <c r="F624" s="93"/>
    </row>
    <row r="626" spans="1:10" ht="14.1" customHeight="1" x14ac:dyDescent="0.25">
      <c r="A626" s="85" t="s">
        <v>15474</v>
      </c>
      <c r="B626" s="85" t="s">
        <v>5027</v>
      </c>
      <c r="C626" s="85" t="s">
        <v>17461</v>
      </c>
      <c r="D626" s="85" t="s">
        <v>3935</v>
      </c>
      <c r="E626" s="85" t="s">
        <v>10722</v>
      </c>
      <c r="F626" s="85" t="s">
        <v>18237</v>
      </c>
    </row>
    <row r="627" spans="1:10" ht="14.1" customHeight="1" x14ac:dyDescent="0.25">
      <c r="A627" s="94" t="s">
        <v>3078</v>
      </c>
      <c r="B627" s="82" t="str">
        <f ca="1">IFERROR(INDEX(UNSPSCDes,MATCH(INDIRECT(ADDRESS(ROW(),COLUMN()-1,4)),UNSPSCCode,0)),IF(INDIRECT(ADDRESS(ROW(),COLUMN()-1,4))="12161804","Emulsiones",""))</f>
        <v>Emulsiones</v>
      </c>
      <c r="C627" s="95" t="str">
        <f>IFERROR(VLOOKUP("UD",'Informacion '!P:Q,2,FALSE),"")</f>
        <v>Unidad</v>
      </c>
      <c r="D627" s="94">
        <v>38</v>
      </c>
      <c r="E627" s="84">
        <v>4400</v>
      </c>
      <c r="F627" s="83">
        <f ca="1">INDIRECT(ADDRESS(ROW(),COLUMN()-2,4))*INDIRECT(ADDRESS(ROW(),COLUMN()-1,4))</f>
        <v>167200</v>
      </c>
    </row>
    <row r="628" spans="1:10" ht="14.1" customHeight="1" x14ac:dyDescent="0.25">
      <c r="A628" s="94" t="s">
        <v>3078</v>
      </c>
      <c r="B628" s="82" t="str">
        <f ca="1">IFERROR(INDEX(UNSPSCDes,MATCH(INDIRECT(ADDRESS(ROW(),COLUMN()-1,4)),UNSPSCCode,0)),IF(INDIRECT(ADDRESS(ROW(),COLUMN()-1,4))="12161804","Emulsiones",""))</f>
        <v>Emulsiones</v>
      </c>
      <c r="C628" s="95" t="str">
        <f>IFERROR(VLOOKUP("UD",'Informacion '!P:Q,2,FALSE),"")</f>
        <v>Unidad</v>
      </c>
      <c r="D628" s="94">
        <v>55</v>
      </c>
      <c r="E628" s="84">
        <v>4613.83</v>
      </c>
      <c r="F628" s="83">
        <f ca="1">INDIRECT(ADDRESS(ROW(),COLUMN()-2,4))*INDIRECT(ADDRESS(ROW(),COLUMN()-1,4))</f>
        <v>253760.65</v>
      </c>
    </row>
    <row r="629" spans="1:10" ht="14.1" customHeight="1" x14ac:dyDescent="0.25">
      <c r="A629" s="94" t="s">
        <v>3078</v>
      </c>
      <c r="B629" s="82" t="str">
        <f ca="1">IFERROR(INDEX(UNSPSCDes,MATCH(INDIRECT(ADDRESS(ROW(),COLUMN()-1,4)),UNSPSCCode,0)),IF(INDIRECT(ADDRESS(ROW(),COLUMN()-1,4))="12161804","Emulsiones",""))</f>
        <v>Emulsiones</v>
      </c>
      <c r="C629" s="95" t="str">
        <f>IFERROR(VLOOKUP("UD",'Informacion '!P:Q,2,FALSE),"")</f>
        <v>Unidad</v>
      </c>
      <c r="D629" s="94">
        <v>17</v>
      </c>
      <c r="E629" s="84">
        <v>5914</v>
      </c>
      <c r="F629" s="83">
        <f ca="1">INDIRECT(ADDRESS(ROW(),COLUMN()-2,4))*INDIRECT(ADDRESS(ROW(),COLUMN()-1,4))</f>
        <v>100538</v>
      </c>
    </row>
    <row r="630" spans="1:10" ht="14.1" customHeight="1" x14ac:dyDescent="0.25">
      <c r="A630" s="94" t="s">
        <v>3078</v>
      </c>
      <c r="B630" s="82" t="str">
        <f ca="1">IFERROR(INDEX(UNSPSCDes,MATCH(INDIRECT(ADDRESS(ROW(),COLUMN()-1,4)),UNSPSCCode,0)),IF(INDIRECT(ADDRESS(ROW(),COLUMN()-1,4))="12161804","Emulsiones",""))</f>
        <v>Emulsiones</v>
      </c>
      <c r="C630" s="95" t="str">
        <f>IFERROR(VLOOKUP("UD",'Informacion '!P:Q,2,FALSE),"")</f>
        <v>Unidad</v>
      </c>
      <c r="D630" s="94">
        <v>90</v>
      </c>
      <c r="E630" s="84">
        <v>3190</v>
      </c>
      <c r="F630" s="83">
        <f ca="1">INDIRECT(ADDRESS(ROW(),COLUMN()-2,4))*INDIRECT(ADDRESS(ROW(),COLUMN()-1,4))</f>
        <v>287100</v>
      </c>
    </row>
    <row r="631" spans="1:10" ht="14.1" customHeight="1" x14ac:dyDescent="0.25">
      <c r="A631" s="94" t="s">
        <v>3078</v>
      </c>
      <c r="B631" s="82" t="str">
        <f ca="1">IFERROR(INDEX(UNSPSCDes,MATCH(INDIRECT(ADDRESS(ROW(),COLUMN()-1,4)),UNSPSCCode,0)),IF(INDIRECT(ADDRESS(ROW(),COLUMN()-1,4))="12161804","Emulsiones",""))</f>
        <v>Emulsiones</v>
      </c>
      <c r="C631" s="95" t="str">
        <f>IFERROR(VLOOKUP("UD",'Informacion '!P:Q,2,FALSE),"")</f>
        <v>Unidad</v>
      </c>
      <c r="D631" s="94">
        <v>17</v>
      </c>
      <c r="E631" s="84">
        <v>5239.38</v>
      </c>
      <c r="F631" s="83">
        <f ca="1">INDIRECT(ADDRESS(ROW(),COLUMN()-2,4))*INDIRECT(ADDRESS(ROW(),COLUMN()-1,4))</f>
        <v>89069.46</v>
      </c>
    </row>
    <row r="632" spans="1:10" ht="14.1" customHeight="1" x14ac:dyDescent="0.25">
      <c r="E632" s="96" t="s">
        <v>7213</v>
      </c>
      <c r="F632" s="87">
        <f ca="1">SUM(Table24[MONTO TOTAL ESTIMADO])</f>
        <v>897668.11</v>
      </c>
      <c r="H632" s="39" t="str">
        <f>C620</f>
        <v>Bienes</v>
      </c>
      <c r="I632" s="39" t="str">
        <f>E620</f>
        <v>No</v>
      </c>
      <c r="J632" s="39" t="str">
        <f>D620</f>
        <v>Compras Menores</v>
      </c>
    </row>
    <row r="634" spans="1:10" ht="33.950000000000003" customHeight="1" x14ac:dyDescent="0.25">
      <c r="A634" s="77" t="s">
        <v>17233</v>
      </c>
      <c r="B634" s="77" t="s">
        <v>4237</v>
      </c>
      <c r="C634" s="77" t="s">
        <v>4743</v>
      </c>
      <c r="D634" s="77" t="s">
        <v>9891</v>
      </c>
      <c r="E634" s="77" t="s">
        <v>3089</v>
      </c>
      <c r="F634" s="77" t="s">
        <v>18141</v>
      </c>
    </row>
    <row r="635" spans="1:10" ht="14.1" customHeight="1" x14ac:dyDescent="0.25">
      <c r="A635" s="79" t="s">
        <v>13841</v>
      </c>
      <c r="B635" s="79" t="s">
        <v>15204</v>
      </c>
      <c r="C635" s="79" t="s">
        <v>19629</v>
      </c>
      <c r="D635" s="79" t="s">
        <v>17798</v>
      </c>
      <c r="E635" s="79" t="s">
        <v>18247</v>
      </c>
      <c r="F635" s="79"/>
    </row>
    <row r="636" spans="1:10" ht="14.1" customHeight="1" x14ac:dyDescent="0.25">
      <c r="A636" s="2" t="s">
        <v>6643</v>
      </c>
      <c r="B636" s="80" t="s">
        <v>1046</v>
      </c>
      <c r="C636" s="90">
        <v>43467</v>
      </c>
      <c r="D636" s="2" t="s">
        <v>59</v>
      </c>
      <c r="E636" s="92" t="s">
        <v>20066</v>
      </c>
      <c r="F636" s="93" t="s">
        <v>5684</v>
      </c>
    </row>
    <row r="637" spans="1:10" ht="14.1" customHeight="1" x14ac:dyDescent="0.25">
      <c r="A637" s="1"/>
      <c r="B637" s="80" t="s">
        <v>10788</v>
      </c>
      <c r="C637" s="91">
        <f>IF(C636="","",IF(AND(MONTH(C636)&gt;=1,MONTH(C636)&lt;=3),1,IF(AND(MONTH(C636)&gt;=4,MONTH(C636)&lt;=6),2,IF(AND(MONTH(C636)&gt;=7,MONTH(C636)&lt;=9),3,4))))</f>
        <v>1</v>
      </c>
      <c r="D637" s="1"/>
      <c r="E637" s="92" t="s">
        <v>14822</v>
      </c>
      <c r="F637" s="93" t="s">
        <v>17690</v>
      </c>
    </row>
    <row r="638" spans="1:10" ht="14.1" customHeight="1" x14ac:dyDescent="0.25">
      <c r="A638" s="1"/>
      <c r="B638" s="80" t="s">
        <v>13758</v>
      </c>
      <c r="C638" s="90">
        <v>43553</v>
      </c>
      <c r="D638" s="1"/>
      <c r="E638" s="92" t="s">
        <v>18636</v>
      </c>
      <c r="F638" s="93" t="s">
        <v>17690</v>
      </c>
    </row>
    <row r="639" spans="1:10" ht="14.1" customHeight="1" x14ac:dyDescent="0.25">
      <c r="A639" s="1"/>
      <c r="B639" s="80" t="s">
        <v>10788</v>
      </c>
      <c r="C639" s="91">
        <f>IF(C638="","",IF(AND(MONTH(C638)&gt;=1,MONTH(C638)&lt;=3),1,IF(AND(MONTH(C638)&gt;=4,MONTH(C638)&lt;=6),2,IF(AND(MONTH(C638)&gt;=7,MONTH(C638)&lt;=9),3,4))))</f>
        <v>1</v>
      </c>
      <c r="D639" s="1"/>
      <c r="E639" s="92" t="s">
        <v>15990</v>
      </c>
      <c r="F639" s="93"/>
    </row>
    <row r="641" spans="1:10" ht="14.1" customHeight="1" x14ac:dyDescent="0.25">
      <c r="A641" s="85" t="s">
        <v>15474</v>
      </c>
      <c r="B641" s="85" t="s">
        <v>5027</v>
      </c>
      <c r="C641" s="85" t="s">
        <v>17461</v>
      </c>
      <c r="D641" s="85" t="s">
        <v>3935</v>
      </c>
      <c r="E641" s="85" t="s">
        <v>10722</v>
      </c>
      <c r="F641" s="85" t="s">
        <v>18237</v>
      </c>
    </row>
    <row r="642" spans="1:10" ht="14.1" customHeight="1" x14ac:dyDescent="0.25">
      <c r="A642" s="94" t="s">
        <v>15821</v>
      </c>
      <c r="B642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42" s="95" t="str">
        <f>IFERROR(VLOOKUP("MES",'Informacion '!P:Q,2,FALSE),"")</f>
        <v>Mes</v>
      </c>
      <c r="D642" s="94">
        <v>3</v>
      </c>
      <c r="E642" s="84">
        <v>60000</v>
      </c>
      <c r="F642" s="83">
        <f ca="1">INDIRECT(ADDRESS(ROW(),COLUMN()-2,4))*INDIRECT(ADDRESS(ROW(),COLUMN()-1,4))</f>
        <v>180000</v>
      </c>
    </row>
    <row r="643" spans="1:10" ht="14.1" customHeight="1" x14ac:dyDescent="0.25">
      <c r="A643" s="94" t="s">
        <v>15821</v>
      </c>
      <c r="B643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43" s="95" t="str">
        <f>IFERROR(VLOOKUP("MES",'Informacion '!P:Q,2,FALSE),"")</f>
        <v>Mes</v>
      </c>
      <c r="D643" s="94">
        <v>3</v>
      </c>
      <c r="E643" s="84">
        <v>31348</v>
      </c>
      <c r="F643" s="83">
        <f ca="1">INDIRECT(ADDRESS(ROW(),COLUMN()-2,4))*INDIRECT(ADDRESS(ROW(),COLUMN()-1,4))</f>
        <v>94044</v>
      </c>
    </row>
    <row r="644" spans="1:10" ht="14.1" customHeight="1" x14ac:dyDescent="0.25">
      <c r="A644" s="94" t="s">
        <v>15821</v>
      </c>
      <c r="B644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44" s="95" t="str">
        <f>IFERROR(VLOOKUP("MES",'Informacion '!P:Q,2,FALSE),"")</f>
        <v>Mes</v>
      </c>
      <c r="D644" s="94">
        <v>3</v>
      </c>
      <c r="E644" s="84">
        <v>28141</v>
      </c>
      <c r="F644" s="83">
        <f ca="1">INDIRECT(ADDRESS(ROW(),COLUMN()-2,4))*INDIRECT(ADDRESS(ROW(),COLUMN()-1,4))</f>
        <v>84423</v>
      </c>
    </row>
    <row r="645" spans="1:10" ht="14.1" customHeight="1" x14ac:dyDescent="0.25">
      <c r="E645" s="96" t="s">
        <v>7213</v>
      </c>
      <c r="F645" s="87">
        <f ca="1">SUM(Table25[MONTO TOTAL ESTIMADO])</f>
        <v>358467</v>
      </c>
      <c r="H645" s="39" t="str">
        <f>C635</f>
        <v>Servicios</v>
      </c>
      <c r="I645" s="39" t="str">
        <f>E635</f>
        <v>No</v>
      </c>
      <c r="J645" s="39" t="str">
        <f>D635</f>
        <v>Compras Menores</v>
      </c>
    </row>
    <row r="647" spans="1:10" ht="33.950000000000003" customHeight="1" x14ac:dyDescent="0.25">
      <c r="A647" s="77" t="s">
        <v>17233</v>
      </c>
      <c r="B647" s="77" t="s">
        <v>4237</v>
      </c>
      <c r="C647" s="77" t="s">
        <v>4743</v>
      </c>
      <c r="D647" s="77" t="s">
        <v>9891</v>
      </c>
      <c r="E647" s="77" t="s">
        <v>3089</v>
      </c>
      <c r="F647" s="77" t="s">
        <v>18141</v>
      </c>
    </row>
    <row r="648" spans="1:10" ht="14.1" customHeight="1" x14ac:dyDescent="0.25">
      <c r="A648" s="79" t="s">
        <v>19202</v>
      </c>
      <c r="B648" s="79" t="s">
        <v>5079</v>
      </c>
      <c r="C648" s="79" t="s">
        <v>19629</v>
      </c>
      <c r="D648" s="79" t="s">
        <v>17798</v>
      </c>
      <c r="E648" s="79" t="s">
        <v>18247</v>
      </c>
      <c r="F648" s="79"/>
    </row>
    <row r="649" spans="1:10" ht="14.1" customHeight="1" x14ac:dyDescent="0.25">
      <c r="A649" s="2" t="s">
        <v>6643</v>
      </c>
      <c r="B649" s="80" t="s">
        <v>1046</v>
      </c>
      <c r="C649" s="90">
        <v>43558</v>
      </c>
      <c r="D649" s="2" t="s">
        <v>59</v>
      </c>
      <c r="E649" s="92" t="s">
        <v>20066</v>
      </c>
      <c r="F649" s="93"/>
    </row>
    <row r="650" spans="1:10" ht="14.1" customHeight="1" x14ac:dyDescent="0.25">
      <c r="A650" s="1"/>
      <c r="B650" s="80" t="s">
        <v>10788</v>
      </c>
      <c r="C650" s="91">
        <f>IF(C649="","",IF(AND(MONTH(C649)&gt;=1,MONTH(C649)&lt;=3),1,IF(AND(MONTH(C649)&gt;=4,MONTH(C649)&lt;=6),2,IF(AND(MONTH(C649)&gt;=7,MONTH(C649)&lt;=9),3,4))))</f>
        <v>2</v>
      </c>
      <c r="D650" s="1"/>
      <c r="E650" s="92" t="s">
        <v>14822</v>
      </c>
      <c r="F650" s="93"/>
    </row>
    <row r="651" spans="1:10" ht="14.1" customHeight="1" x14ac:dyDescent="0.25">
      <c r="A651" s="1"/>
      <c r="B651" s="80" t="s">
        <v>13758</v>
      </c>
      <c r="C651" s="90">
        <v>43616</v>
      </c>
      <c r="D651" s="1"/>
      <c r="E651" s="92" t="s">
        <v>18636</v>
      </c>
      <c r="F651" s="93"/>
    </row>
    <row r="652" spans="1:10" ht="14.1" customHeight="1" x14ac:dyDescent="0.25">
      <c r="A652" s="1"/>
      <c r="B652" s="80" t="s">
        <v>10788</v>
      </c>
      <c r="C652" s="91">
        <f>IF(C651="","",IF(AND(MONTH(C651)&gt;=1,MONTH(C651)&lt;=3),1,IF(AND(MONTH(C651)&gt;=4,MONTH(C651)&lt;=6),2,IF(AND(MONTH(C651)&gt;=7,MONTH(C651)&lt;=9),3,4))))</f>
        <v>2</v>
      </c>
      <c r="D652" s="1"/>
      <c r="E652" s="92" t="s">
        <v>15990</v>
      </c>
      <c r="F652" s="93"/>
    </row>
    <row r="654" spans="1:10" ht="14.1" customHeight="1" x14ac:dyDescent="0.25">
      <c r="A654" s="85" t="s">
        <v>15474</v>
      </c>
      <c r="B654" s="85" t="s">
        <v>5027</v>
      </c>
      <c r="C654" s="85" t="s">
        <v>17461</v>
      </c>
      <c r="D654" s="85" t="s">
        <v>3935</v>
      </c>
      <c r="E654" s="85" t="s">
        <v>10722</v>
      </c>
      <c r="F654" s="85" t="s">
        <v>18237</v>
      </c>
    </row>
    <row r="655" spans="1:10" ht="14.1" customHeight="1" x14ac:dyDescent="0.25">
      <c r="A655" s="94" t="s">
        <v>15821</v>
      </c>
      <c r="B655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55" s="95" t="str">
        <f>IFERROR(VLOOKUP("MES",'Informacion '!P:Q,2,FALSE),"")</f>
        <v>Mes</v>
      </c>
      <c r="D655" s="94">
        <v>3</v>
      </c>
      <c r="E655" s="84">
        <v>60000</v>
      </c>
      <c r="F655" s="83">
        <f ca="1">INDIRECT(ADDRESS(ROW(),COLUMN()-2,4))*INDIRECT(ADDRESS(ROW(),COLUMN()-1,4))</f>
        <v>180000</v>
      </c>
    </row>
    <row r="656" spans="1:10" ht="14.1" customHeight="1" x14ac:dyDescent="0.25">
      <c r="A656" s="94" t="s">
        <v>15821</v>
      </c>
      <c r="B656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56" s="95" t="str">
        <f>IFERROR(VLOOKUP("MES",'Informacion '!P:Q,2,FALSE),"")</f>
        <v>Mes</v>
      </c>
      <c r="D656" s="94">
        <v>3</v>
      </c>
      <c r="E656" s="84">
        <v>31348</v>
      </c>
      <c r="F656" s="83">
        <f ca="1">INDIRECT(ADDRESS(ROW(),COLUMN()-2,4))*INDIRECT(ADDRESS(ROW(),COLUMN()-1,4))</f>
        <v>94044</v>
      </c>
    </row>
    <row r="657" spans="1:10" ht="14.1" customHeight="1" x14ac:dyDescent="0.25">
      <c r="A657" s="94" t="s">
        <v>15821</v>
      </c>
      <c r="B657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57" s="95" t="str">
        <f>IFERROR(VLOOKUP("MES",'Informacion '!P:Q,2,FALSE),"")</f>
        <v>Mes</v>
      </c>
      <c r="D657" s="94">
        <v>3</v>
      </c>
      <c r="E657" s="84">
        <v>28141</v>
      </c>
      <c r="F657" s="83">
        <f ca="1">INDIRECT(ADDRESS(ROW(),COLUMN()-2,4))*INDIRECT(ADDRESS(ROW(),COLUMN()-1,4))</f>
        <v>84423</v>
      </c>
    </row>
    <row r="658" spans="1:10" ht="14.1" customHeight="1" x14ac:dyDescent="0.25">
      <c r="E658" s="96" t="s">
        <v>7213</v>
      </c>
      <c r="F658" s="87">
        <f ca="1">SUM(Table26[MONTO TOTAL ESTIMADO])</f>
        <v>358467</v>
      </c>
      <c r="H658" s="39" t="str">
        <f>C648</f>
        <v>Servicios</v>
      </c>
      <c r="I658" s="39" t="str">
        <f>E648</f>
        <v>No</v>
      </c>
      <c r="J658" s="39" t="str">
        <f>D648</f>
        <v>Compras Menores</v>
      </c>
    </row>
    <row r="660" spans="1:10" ht="33.950000000000003" customHeight="1" x14ac:dyDescent="0.25">
      <c r="A660" s="77" t="s">
        <v>17233</v>
      </c>
      <c r="B660" s="77" t="s">
        <v>4237</v>
      </c>
      <c r="C660" s="77" t="s">
        <v>4743</v>
      </c>
      <c r="D660" s="77" t="s">
        <v>9891</v>
      </c>
      <c r="E660" s="77" t="s">
        <v>3089</v>
      </c>
      <c r="F660" s="77" t="s">
        <v>18141</v>
      </c>
    </row>
    <row r="661" spans="1:10" ht="14.1" customHeight="1" x14ac:dyDescent="0.25">
      <c r="A661" s="79" t="s">
        <v>19203</v>
      </c>
      <c r="B661" s="79" t="s">
        <v>8867</v>
      </c>
      <c r="C661" s="79" t="s">
        <v>19629</v>
      </c>
      <c r="D661" s="79" t="s">
        <v>17798</v>
      </c>
      <c r="E661" s="79" t="s">
        <v>18247</v>
      </c>
      <c r="F661" s="79"/>
    </row>
    <row r="662" spans="1:10" ht="14.1" customHeight="1" x14ac:dyDescent="0.25">
      <c r="A662" s="2" t="s">
        <v>6643</v>
      </c>
      <c r="B662" s="80" t="s">
        <v>1046</v>
      </c>
      <c r="C662" s="90">
        <v>43647</v>
      </c>
      <c r="D662" s="2" t="s">
        <v>59</v>
      </c>
      <c r="E662" s="92" t="s">
        <v>20066</v>
      </c>
      <c r="F662" s="93"/>
    </row>
    <row r="663" spans="1:10" ht="14.1" customHeight="1" x14ac:dyDescent="0.25">
      <c r="A663" s="1"/>
      <c r="B663" s="80" t="s">
        <v>10788</v>
      </c>
      <c r="C663" s="91">
        <f>IF(C662="","",IF(AND(MONTH(C662)&gt;=1,MONTH(C662)&lt;=3),1,IF(AND(MONTH(C662)&gt;=4,MONTH(C662)&lt;=6),2,IF(AND(MONTH(C662)&gt;=7,MONTH(C662)&lt;=9),3,4))))</f>
        <v>3</v>
      </c>
      <c r="D663" s="1"/>
      <c r="E663" s="92" t="s">
        <v>14822</v>
      </c>
      <c r="F663" s="93"/>
    </row>
    <row r="664" spans="1:10" ht="14.1" customHeight="1" x14ac:dyDescent="0.25">
      <c r="A664" s="1"/>
      <c r="B664" s="80" t="s">
        <v>13758</v>
      </c>
      <c r="C664" s="90">
        <v>43738</v>
      </c>
      <c r="D664" s="1"/>
      <c r="E664" s="92" t="s">
        <v>18636</v>
      </c>
      <c r="F664" s="93"/>
    </row>
    <row r="665" spans="1:10" ht="14.1" customHeight="1" x14ac:dyDescent="0.25">
      <c r="A665" s="1"/>
      <c r="B665" s="80" t="s">
        <v>10788</v>
      </c>
      <c r="C665" s="91">
        <f>IF(C664="","",IF(AND(MONTH(C664)&gt;=1,MONTH(C664)&lt;=3),1,IF(AND(MONTH(C664)&gt;=4,MONTH(C664)&lt;=6),2,IF(AND(MONTH(C664)&gt;=7,MONTH(C664)&lt;=9),3,4))))</f>
        <v>3</v>
      </c>
      <c r="D665" s="1"/>
      <c r="E665" s="92" t="s">
        <v>15990</v>
      </c>
      <c r="F665" s="93"/>
    </row>
    <row r="667" spans="1:10" ht="14.1" customHeight="1" x14ac:dyDescent="0.25">
      <c r="A667" s="85" t="s">
        <v>15474</v>
      </c>
      <c r="B667" s="85" t="s">
        <v>5027</v>
      </c>
      <c r="C667" s="85" t="s">
        <v>17461</v>
      </c>
      <c r="D667" s="85" t="s">
        <v>3935</v>
      </c>
      <c r="E667" s="85" t="s">
        <v>10722</v>
      </c>
      <c r="F667" s="85" t="s">
        <v>18237</v>
      </c>
    </row>
    <row r="668" spans="1:10" ht="14.1" customHeight="1" x14ac:dyDescent="0.25">
      <c r="A668" s="94" t="s">
        <v>15821</v>
      </c>
      <c r="B668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68" s="95" t="str">
        <f>IFERROR(VLOOKUP("MES",'Informacion '!P:Q,2,FALSE),"")</f>
        <v>Mes</v>
      </c>
      <c r="D668" s="94">
        <v>3</v>
      </c>
      <c r="E668" s="84">
        <v>60000</v>
      </c>
      <c r="F668" s="83">
        <f ca="1">INDIRECT(ADDRESS(ROW(),COLUMN()-2,4))*INDIRECT(ADDRESS(ROW(),COLUMN()-1,4))</f>
        <v>180000</v>
      </c>
    </row>
    <row r="669" spans="1:10" ht="14.1" customHeight="1" x14ac:dyDescent="0.25">
      <c r="A669" s="94" t="s">
        <v>15821</v>
      </c>
      <c r="B669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69" s="95" t="str">
        <f>IFERROR(VLOOKUP("MES",'Informacion '!P:Q,2,FALSE),"")</f>
        <v>Mes</v>
      </c>
      <c r="D669" s="94">
        <v>3</v>
      </c>
      <c r="E669" s="84">
        <v>31348</v>
      </c>
      <c r="F669" s="83">
        <f ca="1">INDIRECT(ADDRESS(ROW(),COLUMN()-2,4))*INDIRECT(ADDRESS(ROW(),COLUMN()-1,4))</f>
        <v>94044</v>
      </c>
    </row>
    <row r="670" spans="1:10" ht="14.1" customHeight="1" x14ac:dyDescent="0.25">
      <c r="A670" s="94" t="s">
        <v>15821</v>
      </c>
      <c r="B670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70" s="95" t="str">
        <f>IFERROR(VLOOKUP("MES",'Informacion '!P:Q,2,FALSE),"")</f>
        <v>Mes</v>
      </c>
      <c r="D670" s="94">
        <v>3</v>
      </c>
      <c r="E670" s="84">
        <v>28141</v>
      </c>
      <c r="F670" s="83">
        <f ca="1">INDIRECT(ADDRESS(ROW(),COLUMN()-2,4))*INDIRECT(ADDRESS(ROW(),COLUMN()-1,4))</f>
        <v>84423</v>
      </c>
    </row>
    <row r="671" spans="1:10" ht="14.1" customHeight="1" x14ac:dyDescent="0.25">
      <c r="E671" s="96" t="s">
        <v>7213</v>
      </c>
      <c r="F671" s="87">
        <f ca="1">SUM(Table27[MONTO TOTAL ESTIMADO])</f>
        <v>358467</v>
      </c>
      <c r="H671" s="39" t="str">
        <f>C661</f>
        <v>Servicios</v>
      </c>
      <c r="I671" s="39" t="str">
        <f>E661</f>
        <v>No</v>
      </c>
      <c r="J671" s="39" t="str">
        <f>D661</f>
        <v>Compras Menores</v>
      </c>
    </row>
    <row r="673" spans="1:10" ht="33.950000000000003" customHeight="1" x14ac:dyDescent="0.25">
      <c r="A673" s="77" t="s">
        <v>17233</v>
      </c>
      <c r="B673" s="77" t="s">
        <v>4237</v>
      </c>
      <c r="C673" s="77" t="s">
        <v>4743</v>
      </c>
      <c r="D673" s="77" t="s">
        <v>9891</v>
      </c>
      <c r="E673" s="77" t="s">
        <v>3089</v>
      </c>
      <c r="F673" s="77" t="s">
        <v>18141</v>
      </c>
    </row>
    <row r="674" spans="1:10" ht="14.1" customHeight="1" x14ac:dyDescent="0.25">
      <c r="A674" s="79" t="s">
        <v>11135</v>
      </c>
      <c r="B674" s="79" t="s">
        <v>8867</v>
      </c>
      <c r="C674" s="79" t="s">
        <v>19629</v>
      </c>
      <c r="D674" s="79" t="s">
        <v>17798</v>
      </c>
      <c r="E674" s="79" t="s">
        <v>18247</v>
      </c>
      <c r="F674" s="79"/>
    </row>
    <row r="675" spans="1:10" ht="14.1" customHeight="1" x14ac:dyDescent="0.25">
      <c r="A675" s="2" t="s">
        <v>6643</v>
      </c>
      <c r="B675" s="80" t="s">
        <v>1046</v>
      </c>
      <c r="C675" s="90">
        <v>43739</v>
      </c>
      <c r="D675" s="2" t="s">
        <v>59</v>
      </c>
      <c r="E675" s="92" t="s">
        <v>20066</v>
      </c>
      <c r="F675" s="93"/>
    </row>
    <row r="676" spans="1:10" ht="14.1" customHeight="1" x14ac:dyDescent="0.25">
      <c r="A676" s="1"/>
      <c r="B676" s="80" t="s">
        <v>10788</v>
      </c>
      <c r="C676" s="91">
        <f>IF(C675="","",IF(AND(MONTH(C675)&gt;=1,MONTH(C675)&lt;=3),1,IF(AND(MONTH(C675)&gt;=4,MONTH(C675)&lt;=6),2,IF(AND(MONTH(C675)&gt;=7,MONTH(C675)&lt;=9),3,4))))</f>
        <v>4</v>
      </c>
      <c r="D676" s="1"/>
      <c r="E676" s="92" t="s">
        <v>14822</v>
      </c>
      <c r="F676" s="93"/>
    </row>
    <row r="677" spans="1:10" ht="14.1" customHeight="1" x14ac:dyDescent="0.25">
      <c r="A677" s="1"/>
      <c r="B677" s="80" t="s">
        <v>13758</v>
      </c>
      <c r="C677" s="90">
        <v>43826</v>
      </c>
      <c r="D677" s="1"/>
      <c r="E677" s="92" t="s">
        <v>18636</v>
      </c>
      <c r="F677" s="93"/>
    </row>
    <row r="678" spans="1:10" ht="14.1" customHeight="1" x14ac:dyDescent="0.25">
      <c r="A678" s="1"/>
      <c r="B678" s="80" t="s">
        <v>10788</v>
      </c>
      <c r="C678" s="91">
        <f>IF(C677="","",IF(AND(MONTH(C677)&gt;=1,MONTH(C677)&lt;=3),1,IF(AND(MONTH(C677)&gt;=4,MONTH(C677)&lt;=6),2,IF(AND(MONTH(C677)&gt;=7,MONTH(C677)&lt;=9),3,4))))</f>
        <v>4</v>
      </c>
      <c r="D678" s="1"/>
      <c r="E678" s="92" t="s">
        <v>15990</v>
      </c>
      <c r="F678" s="93"/>
    </row>
    <row r="680" spans="1:10" ht="14.1" customHeight="1" x14ac:dyDescent="0.25">
      <c r="A680" s="85" t="s">
        <v>15474</v>
      </c>
      <c r="B680" s="85" t="s">
        <v>5027</v>
      </c>
      <c r="C680" s="85" t="s">
        <v>17461</v>
      </c>
      <c r="D680" s="85" t="s">
        <v>3935</v>
      </c>
      <c r="E680" s="85" t="s">
        <v>10722</v>
      </c>
      <c r="F680" s="85" t="s">
        <v>18237</v>
      </c>
    </row>
    <row r="681" spans="1:10" ht="14.1" customHeight="1" x14ac:dyDescent="0.25">
      <c r="A681" s="94" t="s">
        <v>15821</v>
      </c>
      <c r="B681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81" s="95" t="str">
        <f>IFERROR(VLOOKUP("MES",'Informacion '!P:Q,2,FALSE),"")</f>
        <v>Mes</v>
      </c>
      <c r="D681" s="94">
        <v>3</v>
      </c>
      <c r="E681" s="84">
        <v>60000</v>
      </c>
      <c r="F681" s="83">
        <f ca="1">INDIRECT(ADDRESS(ROW(),COLUMN()-2,4))*INDIRECT(ADDRESS(ROW(),COLUMN()-1,4))</f>
        <v>180000</v>
      </c>
    </row>
    <row r="682" spans="1:10" ht="14.1" customHeight="1" x14ac:dyDescent="0.25">
      <c r="A682" s="94" t="s">
        <v>15821</v>
      </c>
      <c r="B682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82" s="95" t="str">
        <f>IFERROR(VLOOKUP("MES",'Informacion '!P:Q,2,FALSE),"")</f>
        <v>Mes</v>
      </c>
      <c r="D682" s="94">
        <v>3</v>
      </c>
      <c r="E682" s="84">
        <v>31348</v>
      </c>
      <c r="F682" s="83">
        <f ca="1">INDIRECT(ADDRESS(ROW(),COLUMN()-2,4))*INDIRECT(ADDRESS(ROW(),COLUMN()-1,4))</f>
        <v>94044</v>
      </c>
    </row>
    <row r="683" spans="1:10" ht="14.1" customHeight="1" x14ac:dyDescent="0.25">
      <c r="A683" s="94" t="s">
        <v>15821</v>
      </c>
      <c r="B683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683" s="95" t="str">
        <f>IFERROR(VLOOKUP("MES",'Informacion '!P:Q,2,FALSE),"")</f>
        <v>Mes</v>
      </c>
      <c r="D683" s="94">
        <v>3</v>
      </c>
      <c r="E683" s="84">
        <v>28141</v>
      </c>
      <c r="F683" s="83">
        <f ca="1">INDIRECT(ADDRESS(ROW(),COLUMN()-2,4))*INDIRECT(ADDRESS(ROW(),COLUMN()-1,4))</f>
        <v>84423</v>
      </c>
    </row>
    <row r="684" spans="1:10" ht="14.1" customHeight="1" x14ac:dyDescent="0.25">
      <c r="E684" s="96" t="s">
        <v>7213</v>
      </c>
      <c r="F684" s="87">
        <f ca="1">SUM(Table28[MONTO TOTAL ESTIMADO])</f>
        <v>358467</v>
      </c>
      <c r="H684" s="39" t="str">
        <f>C674</f>
        <v>Servicios</v>
      </c>
      <c r="I684" s="39" t="str">
        <f>E674</f>
        <v>No</v>
      </c>
      <c r="J684" s="39" t="str">
        <f>D674</f>
        <v>Compras Menores</v>
      </c>
    </row>
    <row r="686" spans="1:10" ht="33.950000000000003" customHeight="1" x14ac:dyDescent="0.25">
      <c r="A686" s="77" t="s">
        <v>17233</v>
      </c>
      <c r="B686" s="77" t="s">
        <v>4237</v>
      </c>
      <c r="C686" s="77" t="s">
        <v>4743</v>
      </c>
      <c r="D686" s="77" t="s">
        <v>9891</v>
      </c>
      <c r="E686" s="77" t="s">
        <v>3089</v>
      </c>
      <c r="F686" s="77" t="s">
        <v>18141</v>
      </c>
    </row>
    <row r="687" spans="1:10" ht="14.1" customHeight="1" x14ac:dyDescent="0.25">
      <c r="A687" s="79" t="s">
        <v>1108</v>
      </c>
      <c r="B687" s="79" t="s">
        <v>17142</v>
      </c>
      <c r="C687" s="79" t="s">
        <v>17215</v>
      </c>
      <c r="D687" s="79" t="s">
        <v>15249</v>
      </c>
      <c r="E687" s="79" t="s">
        <v>18247</v>
      </c>
      <c r="F687" s="79"/>
    </row>
    <row r="688" spans="1:10" ht="14.1" customHeight="1" x14ac:dyDescent="0.25">
      <c r="A688" s="2" t="s">
        <v>6643</v>
      </c>
      <c r="B688" s="80" t="s">
        <v>1046</v>
      </c>
      <c r="C688" s="90">
        <v>43467</v>
      </c>
      <c r="D688" s="2" t="s">
        <v>59</v>
      </c>
      <c r="E688" s="92" t="s">
        <v>20066</v>
      </c>
      <c r="F688" s="93" t="s">
        <v>5684</v>
      </c>
    </row>
    <row r="689" spans="1:10" ht="14.1" customHeight="1" x14ac:dyDescent="0.25">
      <c r="A689" s="1"/>
      <c r="B689" s="80" t="s">
        <v>10788</v>
      </c>
      <c r="C689" s="91">
        <f>IF(C688="","",IF(AND(MONTH(C688)&gt;=1,MONTH(C688)&lt;=3),1,IF(AND(MONTH(C688)&gt;=4,MONTH(C688)&lt;=6),2,IF(AND(MONTH(C688)&gt;=7,MONTH(C688)&lt;=9),3,4))))</f>
        <v>1</v>
      </c>
      <c r="D689" s="1"/>
      <c r="E689" s="92" t="s">
        <v>14822</v>
      </c>
      <c r="F689" s="93"/>
    </row>
    <row r="690" spans="1:10" ht="14.1" customHeight="1" x14ac:dyDescent="0.25">
      <c r="A690" s="1"/>
      <c r="B690" s="80" t="s">
        <v>13758</v>
      </c>
      <c r="C690" s="90">
        <v>43553</v>
      </c>
      <c r="D690" s="1"/>
      <c r="E690" s="92" t="s">
        <v>18636</v>
      </c>
      <c r="F690" s="93"/>
    </row>
    <row r="691" spans="1:10" ht="14.1" customHeight="1" x14ac:dyDescent="0.25">
      <c r="A691" s="1"/>
      <c r="B691" s="80" t="s">
        <v>10788</v>
      </c>
      <c r="C691" s="91">
        <f>IF(C690="","",IF(AND(MONTH(C690)&gt;=1,MONTH(C690)&lt;=3),1,IF(AND(MONTH(C690)&gt;=4,MONTH(C690)&lt;=6),2,IF(AND(MONTH(C690)&gt;=7,MONTH(C690)&lt;=9),3,4))))</f>
        <v>1</v>
      </c>
      <c r="D691" s="1"/>
      <c r="E691" s="92" t="s">
        <v>15990</v>
      </c>
      <c r="F691" s="93"/>
    </row>
    <row r="693" spans="1:10" ht="14.1" customHeight="1" x14ac:dyDescent="0.25">
      <c r="A693" s="85" t="s">
        <v>15474</v>
      </c>
      <c r="B693" s="85" t="s">
        <v>5027</v>
      </c>
      <c r="C693" s="85" t="s">
        <v>17461</v>
      </c>
      <c r="D693" s="85" t="s">
        <v>3935</v>
      </c>
      <c r="E693" s="85" t="s">
        <v>10722</v>
      </c>
      <c r="F693" s="85" t="s">
        <v>18237</v>
      </c>
    </row>
    <row r="694" spans="1:10" ht="14.1" customHeight="1" x14ac:dyDescent="0.25">
      <c r="A694" s="94" t="s">
        <v>5102</v>
      </c>
      <c r="B694" s="82" t="str">
        <f ca="1">IFERROR(INDEX(UNSPSCDes,MATCH(INDIRECT(ADDRESS(ROW(),COLUMN()-1,4)),UNSPSCCode,0)),IF(INDIRECT(ADDRESS(ROW(),COLUMN()-1,4))="51111904","Paclitaxel",""))</f>
        <v>Paclitaxel</v>
      </c>
      <c r="C694" s="95" t="str">
        <f>IFERROR(VLOOKUP("UD",'Informacion '!P:Q,2,FALSE),"")</f>
        <v>Unidad</v>
      </c>
      <c r="D694" s="94">
        <v>606</v>
      </c>
      <c r="E694" s="84">
        <v>1687.33</v>
      </c>
      <c r="F694" s="83">
        <f t="shared" ref="F694:F699" ca="1" si="18">INDIRECT(ADDRESS(ROW(),COLUMN()-2,4))*INDIRECT(ADDRESS(ROW(),COLUMN()-1,4))</f>
        <v>1022521.98</v>
      </c>
    </row>
    <row r="695" spans="1:10" ht="14.1" customHeight="1" x14ac:dyDescent="0.25">
      <c r="A695" s="94" t="s">
        <v>10585</v>
      </c>
      <c r="B695" s="82" t="str">
        <f ca="1">IFERROR(INDEX(UNSPSCDes,MATCH(INDIRECT(ADDRESS(ROW(),COLUMN()-1,4)),UNSPSCCode,0)),IF(INDIRECT(ADDRESS(ROW(),COLUMN()-1,4))="51111506","Cisplatino",""))</f>
        <v>Cisplatino</v>
      </c>
      <c r="C695" s="95" t="str">
        <f>IFERROR(VLOOKUP("UD",'Informacion '!P:Q,2,FALSE),"")</f>
        <v>Unidad</v>
      </c>
      <c r="D695" s="94">
        <v>158</v>
      </c>
      <c r="E695" s="84">
        <v>2420.6</v>
      </c>
      <c r="F695" s="83">
        <f t="shared" ca="1" si="18"/>
        <v>382454.8</v>
      </c>
    </row>
    <row r="696" spans="1:10" ht="14.1" customHeight="1" x14ac:dyDescent="0.25">
      <c r="A696" s="94" t="s">
        <v>1883</v>
      </c>
      <c r="B696" s="82" t="str">
        <f ca="1">IFERROR(INDEX(UNSPSCDes,MATCH(INDIRECT(ADDRESS(ROW(),COLUMN()-1,4)),UNSPSCCode,0)),IF(INDIRECT(ADDRESS(ROW(),COLUMN()-1,4))="51111711","Clorhidrato de doxorubicina",""))</f>
        <v>Clorhidrato de doxorubicina</v>
      </c>
      <c r="C696" s="95" t="str">
        <f>IFERROR(VLOOKUP("UD",'Informacion '!P:Q,2,FALSE),"")</f>
        <v>Unidad</v>
      </c>
      <c r="D696" s="94">
        <v>426</v>
      </c>
      <c r="E696" s="84">
        <v>1615.36</v>
      </c>
      <c r="F696" s="83">
        <f t="shared" ca="1" si="18"/>
        <v>688143.35999999999</v>
      </c>
    </row>
    <row r="697" spans="1:10" ht="14.1" customHeight="1" x14ac:dyDescent="0.25">
      <c r="A697" s="94" t="s">
        <v>9538</v>
      </c>
      <c r="B697" s="82" t="str">
        <f ca="1">IFERROR(INDEX(UNSPSCDes,MATCH(INDIRECT(ADDRESS(ROW(),COLUMN()-1,4)),UNSPSCCode,0)),IF(INDIRECT(ADDRESS(ROW(),COLUMN()-1,4))="51171802","Clorhidrato de granisetrón",""))</f>
        <v>Clorhidrato de granisetrón</v>
      </c>
      <c r="C697" s="95" t="str">
        <f>IFERROR(VLOOKUP("UD",'Informacion '!P:Q,2,FALSE),"")</f>
        <v>Unidad</v>
      </c>
      <c r="D697" s="94">
        <v>788</v>
      </c>
      <c r="E697" s="84">
        <v>551.63</v>
      </c>
      <c r="F697" s="83">
        <f t="shared" ca="1" si="18"/>
        <v>434684.44</v>
      </c>
    </row>
    <row r="698" spans="1:10" ht="14.1" customHeight="1" x14ac:dyDescent="0.25">
      <c r="A698" s="94" t="s">
        <v>14143</v>
      </c>
      <c r="B698" s="82" t="str">
        <f ca="1">IFERROR(INDEX(UNSPSCDes,MATCH(INDIRECT(ADDRESS(ROW(),COLUMN()-1,4)),UNSPSCCode,0)),IF(INDIRECT(ADDRESS(ROW(),COLUMN()-1,4))="51111617","Clorhidrato de gemcitabina",""))</f>
        <v>Clorhidrato de gemcitabina</v>
      </c>
      <c r="C698" s="95" t="str">
        <f>IFERROR(VLOOKUP("UD",'Informacion '!P:Q,2,FALSE),"")</f>
        <v>Unidad</v>
      </c>
      <c r="D698" s="94">
        <v>201</v>
      </c>
      <c r="E698" s="84">
        <v>2203.16</v>
      </c>
      <c r="F698" s="83">
        <f t="shared" ca="1" si="18"/>
        <v>442835.16</v>
      </c>
    </row>
    <row r="699" spans="1:10" ht="14.1" customHeight="1" x14ac:dyDescent="0.25">
      <c r="A699" s="94" t="s">
        <v>983</v>
      </c>
      <c r="B699" s="82" t="str">
        <f ca="1">IFERROR(INDEX(UNSPSCDes,MATCH(INDIRECT(ADDRESS(ROW(),COLUMN()-1,4)),UNSPSCCode,0)),IF(INDIRECT(ADDRESS(ROW(),COLUMN()-1,4))="51111902","Docetaxel",""))</f>
        <v>Docetaxel</v>
      </c>
      <c r="C699" s="95" t="str">
        <f>IFERROR(VLOOKUP("UD",'Informacion '!P:Q,2,FALSE),"")</f>
        <v>Unidad</v>
      </c>
      <c r="D699" s="94">
        <v>299</v>
      </c>
      <c r="E699" s="84">
        <v>2155.89</v>
      </c>
      <c r="F699" s="83">
        <f t="shared" ca="1" si="18"/>
        <v>644611.11</v>
      </c>
    </row>
    <row r="700" spans="1:10" ht="14.1" customHeight="1" x14ac:dyDescent="0.25">
      <c r="E700" s="96" t="s">
        <v>7213</v>
      </c>
      <c r="F700" s="87">
        <f ca="1">SUM(Table29[MONTO TOTAL ESTIMADO])</f>
        <v>3615250.85</v>
      </c>
      <c r="H700" s="39" t="str">
        <f>C687</f>
        <v>Bienes</v>
      </c>
      <c r="I700" s="39" t="str">
        <f>E687</f>
        <v>No</v>
      </c>
      <c r="J700" s="39" t="str">
        <f>D687</f>
        <v>Comparacion de Precios</v>
      </c>
    </row>
    <row r="702" spans="1:10" ht="33.950000000000003" customHeight="1" x14ac:dyDescent="0.25">
      <c r="A702" s="77" t="s">
        <v>17233</v>
      </c>
      <c r="B702" s="77" t="s">
        <v>4237</v>
      </c>
      <c r="C702" s="77" t="s">
        <v>4743</v>
      </c>
      <c r="D702" s="77" t="s">
        <v>9891</v>
      </c>
      <c r="E702" s="77" t="s">
        <v>3089</v>
      </c>
      <c r="F702" s="77" t="s">
        <v>18141</v>
      </c>
    </row>
    <row r="703" spans="1:10" ht="14.1" customHeight="1" x14ac:dyDescent="0.25">
      <c r="A703" s="79" t="s">
        <v>6741</v>
      </c>
      <c r="B703" s="79" t="s">
        <v>5189</v>
      </c>
      <c r="C703" s="79" t="s">
        <v>17215</v>
      </c>
      <c r="D703" s="79" t="s">
        <v>17798</v>
      </c>
      <c r="E703" s="79" t="s">
        <v>18247</v>
      </c>
      <c r="F703" s="79"/>
    </row>
    <row r="704" spans="1:10" ht="14.1" customHeight="1" x14ac:dyDescent="0.25">
      <c r="A704" s="2" t="s">
        <v>6643</v>
      </c>
      <c r="B704" s="80" t="s">
        <v>1046</v>
      </c>
      <c r="C704" s="90">
        <v>43467</v>
      </c>
      <c r="D704" s="2" t="s">
        <v>59</v>
      </c>
      <c r="E704" s="92" t="s">
        <v>20066</v>
      </c>
      <c r="F704" s="93"/>
    </row>
    <row r="705" spans="1:10" ht="14.1" customHeight="1" x14ac:dyDescent="0.25">
      <c r="A705" s="1"/>
      <c r="B705" s="80" t="s">
        <v>10788</v>
      </c>
      <c r="C705" s="91">
        <f>IF(C704="","",IF(AND(MONTH(C704)&gt;=1,MONTH(C704)&lt;=3),1,IF(AND(MONTH(C704)&gt;=4,MONTH(C704)&lt;=6),2,IF(AND(MONTH(C704)&gt;=7,MONTH(C704)&lt;=9),3,4))))</f>
        <v>1</v>
      </c>
      <c r="D705" s="1"/>
      <c r="E705" s="92" t="s">
        <v>14822</v>
      </c>
      <c r="F705" s="93"/>
    </row>
    <row r="706" spans="1:10" ht="14.1" customHeight="1" x14ac:dyDescent="0.25">
      <c r="A706" s="1"/>
      <c r="B706" s="80" t="s">
        <v>13758</v>
      </c>
      <c r="C706" s="90">
        <v>43553</v>
      </c>
      <c r="D706" s="1"/>
      <c r="E706" s="92" t="s">
        <v>18636</v>
      </c>
      <c r="F706" s="93"/>
    </row>
    <row r="707" spans="1:10" ht="14.1" customHeight="1" x14ac:dyDescent="0.25">
      <c r="A707" s="1"/>
      <c r="B707" s="80" t="s">
        <v>10788</v>
      </c>
      <c r="C707" s="91">
        <f>IF(C706="","",IF(AND(MONTH(C706)&gt;=1,MONTH(C706)&lt;=3),1,IF(AND(MONTH(C706)&gt;=4,MONTH(C706)&lt;=6),2,IF(AND(MONTH(C706)&gt;=7,MONTH(C706)&lt;=9),3,4))))</f>
        <v>1</v>
      </c>
      <c r="D707" s="1"/>
      <c r="E707" s="92" t="s">
        <v>15990</v>
      </c>
      <c r="F707" s="93"/>
    </row>
    <row r="709" spans="1:10" ht="14.1" customHeight="1" x14ac:dyDescent="0.25">
      <c r="A709" s="85" t="s">
        <v>15474</v>
      </c>
      <c r="B709" s="85" t="s">
        <v>5027</v>
      </c>
      <c r="C709" s="85" t="s">
        <v>17461</v>
      </c>
      <c r="D709" s="85" t="s">
        <v>3935</v>
      </c>
      <c r="E709" s="85" t="s">
        <v>10722</v>
      </c>
      <c r="F709" s="85" t="s">
        <v>18237</v>
      </c>
    </row>
    <row r="710" spans="1:10" ht="14.1" customHeight="1" x14ac:dyDescent="0.25">
      <c r="A710" s="94" t="s">
        <v>17540</v>
      </c>
      <c r="B710" s="82" t="str">
        <f ca="1">IFERROR(INDEX(UNSPSCDes,MATCH(INDIRECT(ADDRESS(ROW(),COLUMN()-1,4)),UNSPSCCode,0)),IF(INDIRECT(ADDRESS(ROW(),COLUMN()-1,4))="10191703","Trampas para el control de insectos voladores",""))</f>
        <v>Trampas para el control de insectos voladores</v>
      </c>
      <c r="C710" s="95" t="str">
        <f>IFERROR(VLOOKUP("UD",'Informacion '!P:Q,2,FALSE),"")</f>
        <v>Unidad</v>
      </c>
      <c r="D710" s="94">
        <v>20</v>
      </c>
      <c r="E710" s="84">
        <v>1100</v>
      </c>
      <c r="F710" s="83">
        <f t="shared" ref="F710:F717" ca="1" si="19">INDIRECT(ADDRESS(ROW(),COLUMN()-2,4))*INDIRECT(ADDRESS(ROW(),COLUMN()-1,4))</f>
        <v>22000</v>
      </c>
    </row>
    <row r="711" spans="1:10" ht="14.1" customHeight="1" x14ac:dyDescent="0.25">
      <c r="A711" s="94" t="s">
        <v>20024</v>
      </c>
      <c r="B711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711" s="95" t="str">
        <f>IFERROR(VLOOKUP("UD",'Informacion '!P:Q,2,FALSE),"")</f>
        <v>Unidad</v>
      </c>
      <c r="D711" s="94">
        <v>6</v>
      </c>
      <c r="E711" s="84">
        <v>9205</v>
      </c>
      <c r="F711" s="83">
        <f t="shared" ca="1" si="19"/>
        <v>55230</v>
      </c>
    </row>
    <row r="712" spans="1:10" ht="14.1" customHeight="1" x14ac:dyDescent="0.25">
      <c r="A712" s="94" t="s">
        <v>20024</v>
      </c>
      <c r="B712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712" s="95" t="str">
        <f>IFERROR(VLOOKUP("UD",'Informacion '!P:Q,2,FALSE),"")</f>
        <v>Unidad</v>
      </c>
      <c r="D712" s="94">
        <v>30</v>
      </c>
      <c r="E712" s="84">
        <v>700</v>
      </c>
      <c r="F712" s="83">
        <f t="shared" ca="1" si="19"/>
        <v>21000</v>
      </c>
    </row>
    <row r="713" spans="1:10" ht="14.1" customHeight="1" x14ac:dyDescent="0.25">
      <c r="A713" s="94" t="s">
        <v>10572</v>
      </c>
      <c r="B713" s="82" t="str">
        <f ca="1">IFERROR(INDEX(UNSPSCDes,MATCH(INDIRECT(ADDRESS(ROW(),COLUMN()-1,4)),UNSPSCCode,0)),IF(INDIRECT(ADDRESS(ROW(),COLUMN()-1,4))="10191509","Insecticidas",""))</f>
        <v>Insecticidas</v>
      </c>
      <c r="C713" s="95" t="str">
        <f>IFERROR(VLOOKUP("UD",'Informacion '!P:Q,2,FALSE),"")</f>
        <v>Unidad</v>
      </c>
      <c r="D713" s="94">
        <v>10</v>
      </c>
      <c r="E713" s="84">
        <v>1350</v>
      </c>
      <c r="F713" s="83">
        <f t="shared" ca="1" si="19"/>
        <v>13500</v>
      </c>
    </row>
    <row r="714" spans="1:10" ht="14.1" customHeight="1" x14ac:dyDescent="0.25">
      <c r="A714" s="94" t="s">
        <v>10572</v>
      </c>
      <c r="B714" s="82" t="str">
        <f ca="1">IFERROR(INDEX(UNSPSCDes,MATCH(INDIRECT(ADDRESS(ROW(),COLUMN()-1,4)),UNSPSCCode,0)),IF(INDIRECT(ADDRESS(ROW(),COLUMN()-1,4))="10191509","Insecticidas",""))</f>
        <v>Insecticidas</v>
      </c>
      <c r="C714" s="95" t="str">
        <f>IFERROR(VLOOKUP("UD",'Informacion '!P:Q,2,FALSE),"")</f>
        <v>Unidad</v>
      </c>
      <c r="D714" s="94">
        <v>10</v>
      </c>
      <c r="E714" s="84">
        <v>1150</v>
      </c>
      <c r="F714" s="83">
        <f t="shared" ca="1" si="19"/>
        <v>11500</v>
      </c>
    </row>
    <row r="715" spans="1:10" ht="14.1" customHeight="1" x14ac:dyDescent="0.25">
      <c r="A715" s="94" t="s">
        <v>10572</v>
      </c>
      <c r="B715" s="82" t="str">
        <f ca="1">IFERROR(INDEX(UNSPSCDes,MATCH(INDIRECT(ADDRESS(ROW(),COLUMN()-1,4)),UNSPSCCode,0)),IF(INDIRECT(ADDRESS(ROW(),COLUMN()-1,4))="10191509","Insecticidas",""))</f>
        <v>Insecticidas</v>
      </c>
      <c r="C715" s="95" t="str">
        <f>IFERROR(VLOOKUP("UD",'Informacion '!P:Q,2,FALSE),"")</f>
        <v>Unidad</v>
      </c>
      <c r="D715" s="94">
        <v>12</v>
      </c>
      <c r="E715" s="84">
        <v>250</v>
      </c>
      <c r="F715" s="83">
        <f t="shared" ca="1" si="19"/>
        <v>3000</v>
      </c>
    </row>
    <row r="716" spans="1:10" ht="14.1" customHeight="1" x14ac:dyDescent="0.25">
      <c r="A716" s="94" t="s">
        <v>10572</v>
      </c>
      <c r="B716" s="82" t="str">
        <f ca="1">IFERROR(INDEX(UNSPSCDes,MATCH(INDIRECT(ADDRESS(ROW(),COLUMN()-1,4)),UNSPSCCode,0)),IF(INDIRECT(ADDRESS(ROW(),COLUMN()-1,4))="10191509","Insecticidas",""))</f>
        <v>Insecticidas</v>
      </c>
      <c r="C716" s="95" t="str">
        <f>IFERROR(VLOOKUP("UD",'Informacion '!P:Q,2,FALSE),"")</f>
        <v>Unidad</v>
      </c>
      <c r="D716" s="94">
        <v>1</v>
      </c>
      <c r="E716" s="84">
        <v>3500</v>
      </c>
      <c r="F716" s="83">
        <f t="shared" ca="1" si="19"/>
        <v>3500</v>
      </c>
    </row>
    <row r="717" spans="1:10" ht="14.1" customHeight="1" x14ac:dyDescent="0.25">
      <c r="A717" s="94" t="s">
        <v>12842</v>
      </c>
      <c r="B717" s="82" t="str">
        <f ca="1">IFERROR(INDEX(UNSPSCDes,MATCH(INDIRECT(ADDRESS(ROW(),COLUMN()-1,4)),UNSPSCCode,0)),IF(INDIRECT(ADDRESS(ROW(),COLUMN()-1,4))="49131505","Carnadas",""))</f>
        <v>Carnadas</v>
      </c>
      <c r="C717" s="95" t="str">
        <f>IFERROR(VLOOKUP("UD",'Informacion '!P:Q,2,FALSE),"")</f>
        <v>Unidad</v>
      </c>
      <c r="D717" s="94">
        <v>7</v>
      </c>
      <c r="E717" s="84">
        <v>500</v>
      </c>
      <c r="F717" s="83">
        <f t="shared" ca="1" si="19"/>
        <v>3500</v>
      </c>
    </row>
    <row r="718" spans="1:10" ht="14.1" customHeight="1" x14ac:dyDescent="0.25">
      <c r="E718" s="96" t="s">
        <v>7213</v>
      </c>
      <c r="F718" s="87">
        <f ca="1">SUM(Table30[MONTO TOTAL ESTIMADO])</f>
        <v>133230</v>
      </c>
      <c r="H718" s="39" t="str">
        <f>C703</f>
        <v>Bienes</v>
      </c>
      <c r="I718" s="39" t="str">
        <f>E703</f>
        <v>No</v>
      </c>
      <c r="J718" s="39" t="str">
        <f>D703</f>
        <v>Compras Menores</v>
      </c>
    </row>
    <row r="720" spans="1:10" ht="33.950000000000003" customHeight="1" x14ac:dyDescent="0.25">
      <c r="A720" s="77" t="s">
        <v>17233</v>
      </c>
      <c r="B720" s="77" t="s">
        <v>4237</v>
      </c>
      <c r="C720" s="77" t="s">
        <v>4743</v>
      </c>
      <c r="D720" s="77" t="s">
        <v>9891</v>
      </c>
      <c r="E720" s="77" t="s">
        <v>3089</v>
      </c>
      <c r="F720" s="77" t="s">
        <v>18141</v>
      </c>
    </row>
    <row r="721" spans="1:10" ht="14.1" customHeight="1" x14ac:dyDescent="0.25">
      <c r="A721" s="79" t="s">
        <v>2708</v>
      </c>
      <c r="B721" s="79" t="s">
        <v>9879</v>
      </c>
      <c r="C721" s="79" t="s">
        <v>17215</v>
      </c>
      <c r="D721" s="79" t="s">
        <v>17798</v>
      </c>
      <c r="E721" s="79" t="s">
        <v>18247</v>
      </c>
      <c r="F721" s="79"/>
    </row>
    <row r="722" spans="1:10" ht="14.1" customHeight="1" x14ac:dyDescent="0.25">
      <c r="A722" s="2" t="s">
        <v>6643</v>
      </c>
      <c r="B722" s="80" t="s">
        <v>1046</v>
      </c>
      <c r="C722" s="90">
        <v>43558</v>
      </c>
      <c r="D722" s="2" t="s">
        <v>59</v>
      </c>
      <c r="E722" s="92" t="s">
        <v>20066</v>
      </c>
      <c r="F722" s="93"/>
    </row>
    <row r="723" spans="1:10" ht="14.1" customHeight="1" x14ac:dyDescent="0.25">
      <c r="A723" s="1"/>
      <c r="B723" s="80" t="s">
        <v>10788</v>
      </c>
      <c r="C723" s="91">
        <f>IF(C722="","",IF(AND(MONTH(C722)&gt;=1,MONTH(C722)&lt;=3),1,IF(AND(MONTH(C722)&gt;=4,MONTH(C722)&lt;=6),2,IF(AND(MONTH(C722)&gt;=7,MONTH(C722)&lt;=9),3,4))))</f>
        <v>2</v>
      </c>
      <c r="D723" s="1"/>
      <c r="E723" s="92" t="s">
        <v>14822</v>
      </c>
      <c r="F723" s="93"/>
    </row>
    <row r="724" spans="1:10" ht="14.1" customHeight="1" x14ac:dyDescent="0.25">
      <c r="A724" s="1"/>
      <c r="B724" s="80" t="s">
        <v>13758</v>
      </c>
      <c r="C724" s="90">
        <v>43644</v>
      </c>
      <c r="D724" s="1"/>
      <c r="E724" s="92" t="s">
        <v>18636</v>
      </c>
      <c r="F724" s="93"/>
    </row>
    <row r="725" spans="1:10" ht="14.1" customHeight="1" x14ac:dyDescent="0.25">
      <c r="A725" s="1"/>
      <c r="B725" s="80" t="s">
        <v>10788</v>
      </c>
      <c r="C725" s="91">
        <f>IF(C724="","",IF(AND(MONTH(C724)&gt;=1,MONTH(C724)&lt;=3),1,IF(AND(MONTH(C724)&gt;=4,MONTH(C724)&lt;=6),2,IF(AND(MONTH(C724)&gt;=7,MONTH(C724)&lt;=9),3,4))))</f>
        <v>2</v>
      </c>
      <c r="D725" s="1"/>
      <c r="E725" s="92" t="s">
        <v>15990</v>
      </c>
      <c r="F725" s="93"/>
    </row>
    <row r="727" spans="1:10" ht="14.1" customHeight="1" x14ac:dyDescent="0.25">
      <c r="A727" s="85" t="s">
        <v>15474</v>
      </c>
      <c r="B727" s="85" t="s">
        <v>5027</v>
      </c>
      <c r="C727" s="85" t="s">
        <v>17461</v>
      </c>
      <c r="D727" s="85" t="s">
        <v>3935</v>
      </c>
      <c r="E727" s="85" t="s">
        <v>10722</v>
      </c>
      <c r="F727" s="85" t="s">
        <v>18237</v>
      </c>
    </row>
    <row r="728" spans="1:10" ht="14.1" customHeight="1" x14ac:dyDescent="0.25">
      <c r="A728" s="94" t="s">
        <v>17540</v>
      </c>
      <c r="B728" s="82" t="str">
        <f ca="1">IFERROR(INDEX(UNSPSCDes,MATCH(INDIRECT(ADDRESS(ROW(),COLUMN()-1,4)),UNSPSCCode,0)),IF(INDIRECT(ADDRESS(ROW(),COLUMN()-1,4))="10191703","Trampas para el control de insectos voladores",""))</f>
        <v>Trampas para el control de insectos voladores</v>
      </c>
      <c r="C728" s="95" t="str">
        <f>IFERROR(VLOOKUP("CAJ",'Informacion '!P:Q,2,FALSE),"")</f>
        <v>Caja</v>
      </c>
      <c r="D728" s="94">
        <v>20</v>
      </c>
      <c r="E728" s="84">
        <v>1100</v>
      </c>
      <c r="F728" s="83">
        <f t="shared" ref="F728:F735" ca="1" si="20">INDIRECT(ADDRESS(ROW(),COLUMN()-2,4))*INDIRECT(ADDRESS(ROW(),COLUMN()-1,4))</f>
        <v>22000</v>
      </c>
    </row>
    <row r="729" spans="1:10" ht="14.1" customHeight="1" x14ac:dyDescent="0.25">
      <c r="A729" s="94" t="s">
        <v>20024</v>
      </c>
      <c r="B729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729" s="95" t="str">
        <f>IFERROR(VLOOKUP("UD",'Informacion '!P:Q,2,FALSE),"")</f>
        <v>Unidad</v>
      </c>
      <c r="D729" s="94">
        <v>6</v>
      </c>
      <c r="E729" s="84">
        <v>9205</v>
      </c>
      <c r="F729" s="83">
        <f t="shared" ca="1" si="20"/>
        <v>55230</v>
      </c>
    </row>
    <row r="730" spans="1:10" ht="14.1" customHeight="1" x14ac:dyDescent="0.25">
      <c r="A730" s="94" t="s">
        <v>20024</v>
      </c>
      <c r="B730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730" s="95" t="str">
        <f>IFERROR(VLOOKUP("UD",'Informacion '!P:Q,2,FALSE),"")</f>
        <v>Unidad</v>
      </c>
      <c r="D730" s="94">
        <v>30</v>
      </c>
      <c r="E730" s="84">
        <v>700</v>
      </c>
      <c r="F730" s="83">
        <f t="shared" ca="1" si="20"/>
        <v>21000</v>
      </c>
    </row>
    <row r="731" spans="1:10" ht="14.1" customHeight="1" x14ac:dyDescent="0.25">
      <c r="A731" s="94" t="s">
        <v>10572</v>
      </c>
      <c r="B731" s="82" t="str">
        <f ca="1">IFERROR(INDEX(UNSPSCDes,MATCH(INDIRECT(ADDRESS(ROW(),COLUMN()-1,4)),UNSPSCCode,0)),IF(INDIRECT(ADDRESS(ROW(),COLUMN()-1,4))="10191509","Insecticidas",""))</f>
        <v>Insecticidas</v>
      </c>
      <c r="C731" s="95" t="str">
        <f>IFERROR(VLOOKUP("L",'Informacion '!P:Q,2,FALSE),"")</f>
        <v>Litro</v>
      </c>
      <c r="D731" s="94">
        <v>10</v>
      </c>
      <c r="E731" s="84">
        <v>1350</v>
      </c>
      <c r="F731" s="83">
        <f t="shared" ca="1" si="20"/>
        <v>13500</v>
      </c>
    </row>
    <row r="732" spans="1:10" ht="14.1" customHeight="1" x14ac:dyDescent="0.25">
      <c r="A732" s="94" t="s">
        <v>10572</v>
      </c>
      <c r="B732" s="82" t="str">
        <f ca="1">IFERROR(INDEX(UNSPSCDes,MATCH(INDIRECT(ADDRESS(ROW(),COLUMN()-1,4)),UNSPSCCode,0)),IF(INDIRECT(ADDRESS(ROW(),COLUMN()-1,4))="10191509","Insecticidas",""))</f>
        <v>Insecticidas</v>
      </c>
      <c r="C732" s="95" t="str">
        <f>IFERROR(VLOOKUP("L",'Informacion '!P:Q,2,FALSE),"")</f>
        <v>Litro</v>
      </c>
      <c r="D732" s="94">
        <v>10</v>
      </c>
      <c r="E732" s="84">
        <v>1150</v>
      </c>
      <c r="F732" s="83">
        <f t="shared" ca="1" si="20"/>
        <v>11500</v>
      </c>
    </row>
    <row r="733" spans="1:10" ht="14.1" customHeight="1" x14ac:dyDescent="0.25">
      <c r="A733" s="94" t="s">
        <v>10572</v>
      </c>
      <c r="B733" s="82" t="str">
        <f ca="1">IFERROR(INDEX(UNSPSCDes,MATCH(INDIRECT(ADDRESS(ROW(),COLUMN()-1,4)),UNSPSCCode,0)),IF(INDIRECT(ADDRESS(ROW(),COLUMN()-1,4))="10191509","Insecticidas",""))</f>
        <v>Insecticidas</v>
      </c>
      <c r="C733" s="95" t="str">
        <f>IFERROR(VLOOKUP("UD",'Informacion '!P:Q,2,FALSE),"")</f>
        <v>Unidad</v>
      </c>
      <c r="D733" s="94">
        <v>12</v>
      </c>
      <c r="E733" s="84">
        <v>250</v>
      </c>
      <c r="F733" s="83">
        <f t="shared" ca="1" si="20"/>
        <v>3000</v>
      </c>
    </row>
    <row r="734" spans="1:10" ht="14.1" customHeight="1" x14ac:dyDescent="0.25">
      <c r="A734" s="94" t="s">
        <v>10572</v>
      </c>
      <c r="B734" s="82" t="str">
        <f ca="1">IFERROR(INDEX(UNSPSCDes,MATCH(INDIRECT(ADDRESS(ROW(),COLUMN()-1,4)),UNSPSCCode,0)),IF(INDIRECT(ADDRESS(ROW(),COLUMN()-1,4))="10191509","Insecticidas",""))</f>
        <v>Insecticidas</v>
      </c>
      <c r="C734" s="95" t="str">
        <f>IFERROR(VLOOKUP("PAQ",'Informacion '!P:Q,2,FALSE),"")</f>
        <v>Paquete</v>
      </c>
      <c r="D734" s="94">
        <v>1</v>
      </c>
      <c r="E734" s="84">
        <v>3500</v>
      </c>
      <c r="F734" s="83">
        <f t="shared" ca="1" si="20"/>
        <v>3500</v>
      </c>
    </row>
    <row r="735" spans="1:10" ht="14.1" customHeight="1" x14ac:dyDescent="0.25">
      <c r="A735" s="94" t="s">
        <v>12842</v>
      </c>
      <c r="B735" s="82" t="str">
        <f ca="1">IFERROR(INDEX(UNSPSCDes,MATCH(INDIRECT(ADDRESS(ROW(),COLUMN()-1,4)),UNSPSCCode,0)),IF(INDIRECT(ADDRESS(ROW(),COLUMN()-1,4))="49131505","Carnadas",""))</f>
        <v>Carnadas</v>
      </c>
      <c r="C735" s="95" t="str">
        <f>IFERROR(VLOOKUP("UD",'Informacion '!P:Q,2,FALSE),"")</f>
        <v>Unidad</v>
      </c>
      <c r="D735" s="94">
        <v>7</v>
      </c>
      <c r="E735" s="84">
        <v>500</v>
      </c>
      <c r="F735" s="83">
        <f t="shared" ca="1" si="20"/>
        <v>3500</v>
      </c>
    </row>
    <row r="736" spans="1:10" ht="14.1" customHeight="1" x14ac:dyDescent="0.25">
      <c r="E736" s="96" t="s">
        <v>7213</v>
      </c>
      <c r="F736" s="87">
        <f ca="1">SUM(Table31[MONTO TOTAL ESTIMADO])</f>
        <v>133230</v>
      </c>
      <c r="H736" s="39" t="str">
        <f>C721</f>
        <v>Bienes</v>
      </c>
      <c r="I736" s="39" t="str">
        <f>E721</f>
        <v>No</v>
      </c>
      <c r="J736" s="39" t="str">
        <f>D721</f>
        <v>Compras Menores</v>
      </c>
    </row>
    <row r="738" spans="1:6" ht="33.950000000000003" customHeight="1" x14ac:dyDescent="0.25">
      <c r="A738" s="77" t="s">
        <v>17233</v>
      </c>
      <c r="B738" s="77" t="s">
        <v>4237</v>
      </c>
      <c r="C738" s="77" t="s">
        <v>4743</v>
      </c>
      <c r="D738" s="77" t="s">
        <v>9891</v>
      </c>
      <c r="E738" s="77" t="s">
        <v>3089</v>
      </c>
      <c r="F738" s="77" t="s">
        <v>18141</v>
      </c>
    </row>
    <row r="739" spans="1:6" ht="14.1" customHeight="1" x14ac:dyDescent="0.25">
      <c r="A739" s="79" t="s">
        <v>8243</v>
      </c>
      <c r="B739" s="79" t="s">
        <v>13301</v>
      </c>
      <c r="C739" s="79" t="s">
        <v>17215</v>
      </c>
      <c r="D739" s="79" t="s">
        <v>17798</v>
      </c>
      <c r="E739" s="79" t="s">
        <v>18247</v>
      </c>
      <c r="F739" s="79"/>
    </row>
    <row r="740" spans="1:6" ht="14.1" customHeight="1" x14ac:dyDescent="0.25">
      <c r="A740" s="2" t="s">
        <v>6643</v>
      </c>
      <c r="B740" s="80" t="s">
        <v>1046</v>
      </c>
      <c r="C740" s="90">
        <v>43647</v>
      </c>
      <c r="D740" s="2" t="s">
        <v>59</v>
      </c>
      <c r="E740" s="92" t="s">
        <v>20066</v>
      </c>
      <c r="F740" s="93"/>
    </row>
    <row r="741" spans="1:6" ht="14.1" customHeight="1" x14ac:dyDescent="0.25">
      <c r="A741" s="1"/>
      <c r="B741" s="80" t="s">
        <v>10788</v>
      </c>
      <c r="C741" s="91">
        <f>IF(C740="","",IF(AND(MONTH(C740)&gt;=1,MONTH(C740)&lt;=3),1,IF(AND(MONTH(C740)&gt;=4,MONTH(C740)&lt;=6),2,IF(AND(MONTH(C740)&gt;=7,MONTH(C740)&lt;=9),3,4))))</f>
        <v>3</v>
      </c>
      <c r="D741" s="1"/>
      <c r="E741" s="92" t="s">
        <v>14822</v>
      </c>
      <c r="F741" s="93"/>
    </row>
    <row r="742" spans="1:6" ht="14.1" customHeight="1" x14ac:dyDescent="0.25">
      <c r="A742" s="1"/>
      <c r="B742" s="80" t="s">
        <v>13758</v>
      </c>
      <c r="C742" s="90">
        <v>43738</v>
      </c>
      <c r="D742" s="1"/>
      <c r="E742" s="92" t="s">
        <v>18636</v>
      </c>
      <c r="F742" s="93"/>
    </row>
    <row r="743" spans="1:6" ht="14.1" customHeight="1" x14ac:dyDescent="0.25">
      <c r="A743" s="1"/>
      <c r="B743" s="80" t="s">
        <v>10788</v>
      </c>
      <c r="C743" s="91">
        <f>IF(C742="","",IF(AND(MONTH(C742)&gt;=1,MONTH(C742)&lt;=3),1,IF(AND(MONTH(C742)&gt;=4,MONTH(C742)&lt;=6),2,IF(AND(MONTH(C742)&gt;=7,MONTH(C742)&lt;=9),3,4))))</f>
        <v>3</v>
      </c>
      <c r="D743" s="1"/>
      <c r="E743" s="92" t="s">
        <v>15990</v>
      </c>
      <c r="F743" s="93"/>
    </row>
    <row r="745" spans="1:6" ht="14.1" customHeight="1" x14ac:dyDescent="0.25">
      <c r="A745" s="85" t="s">
        <v>15474</v>
      </c>
      <c r="B745" s="85" t="s">
        <v>5027</v>
      </c>
      <c r="C745" s="85" t="s">
        <v>17461</v>
      </c>
      <c r="D745" s="85" t="s">
        <v>3935</v>
      </c>
      <c r="E745" s="85" t="s">
        <v>10722</v>
      </c>
      <c r="F745" s="85" t="s">
        <v>18237</v>
      </c>
    </row>
    <row r="746" spans="1:6" ht="14.1" customHeight="1" x14ac:dyDescent="0.25">
      <c r="A746" s="94" t="s">
        <v>17540</v>
      </c>
      <c r="B746" s="82" t="str">
        <f ca="1">IFERROR(INDEX(UNSPSCDes,MATCH(INDIRECT(ADDRESS(ROW(),COLUMN()-1,4)),UNSPSCCode,0)),IF(INDIRECT(ADDRESS(ROW(),COLUMN()-1,4))="10191703","Trampas para el control de insectos voladores",""))</f>
        <v>Trampas para el control de insectos voladores</v>
      </c>
      <c r="C746" s="95" t="str">
        <f>IFERROR(VLOOKUP("CAJ",'Informacion '!P:Q,2,FALSE),"")</f>
        <v>Caja</v>
      </c>
      <c r="D746" s="94">
        <v>20</v>
      </c>
      <c r="E746" s="84">
        <v>1100</v>
      </c>
      <c r="F746" s="83">
        <f t="shared" ref="F746:F753" ca="1" si="21">INDIRECT(ADDRESS(ROW(),COLUMN()-2,4))*INDIRECT(ADDRESS(ROW(),COLUMN()-1,4))</f>
        <v>22000</v>
      </c>
    </row>
    <row r="747" spans="1:6" ht="14.1" customHeight="1" x14ac:dyDescent="0.25">
      <c r="A747" s="94" t="s">
        <v>20024</v>
      </c>
      <c r="B747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747" s="95" t="str">
        <f>IFERROR(VLOOKUP("UD",'Informacion '!P:Q,2,FALSE),"")</f>
        <v>Unidad</v>
      </c>
      <c r="D747" s="94">
        <v>6</v>
      </c>
      <c r="E747" s="84">
        <v>9205</v>
      </c>
      <c r="F747" s="83">
        <f t="shared" ca="1" si="21"/>
        <v>55230</v>
      </c>
    </row>
    <row r="748" spans="1:6" ht="14.1" customHeight="1" x14ac:dyDescent="0.25">
      <c r="A748" s="94" t="s">
        <v>20024</v>
      </c>
      <c r="B748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748" s="95" t="str">
        <f>IFERROR(VLOOKUP("UD",'Informacion '!P:Q,2,FALSE),"")</f>
        <v>Unidad</v>
      </c>
      <c r="D748" s="94">
        <v>30</v>
      </c>
      <c r="E748" s="84">
        <v>700</v>
      </c>
      <c r="F748" s="83">
        <f t="shared" ca="1" si="21"/>
        <v>21000</v>
      </c>
    </row>
    <row r="749" spans="1:6" ht="14.1" customHeight="1" x14ac:dyDescent="0.25">
      <c r="A749" s="94" t="s">
        <v>10572</v>
      </c>
      <c r="B749" s="82" t="str">
        <f ca="1">IFERROR(INDEX(UNSPSCDes,MATCH(INDIRECT(ADDRESS(ROW(),COLUMN()-1,4)),UNSPSCCode,0)),IF(INDIRECT(ADDRESS(ROW(),COLUMN()-1,4))="10191509","Insecticidas",""))</f>
        <v>Insecticidas</v>
      </c>
      <c r="C749" s="95" t="str">
        <f>IFERROR(VLOOKUP("L",'Informacion '!P:Q,2,FALSE),"")</f>
        <v>Litro</v>
      </c>
      <c r="D749" s="94">
        <v>10</v>
      </c>
      <c r="E749" s="84">
        <v>1350</v>
      </c>
      <c r="F749" s="83">
        <f t="shared" ca="1" si="21"/>
        <v>13500</v>
      </c>
    </row>
    <row r="750" spans="1:6" ht="14.1" customHeight="1" x14ac:dyDescent="0.25">
      <c r="A750" s="94" t="s">
        <v>10572</v>
      </c>
      <c r="B750" s="82" t="str">
        <f ca="1">IFERROR(INDEX(UNSPSCDes,MATCH(INDIRECT(ADDRESS(ROW(),COLUMN()-1,4)),UNSPSCCode,0)),IF(INDIRECT(ADDRESS(ROW(),COLUMN()-1,4))="10191509","Insecticidas",""))</f>
        <v>Insecticidas</v>
      </c>
      <c r="C750" s="95" t="str">
        <f>IFERROR(VLOOKUP("L",'Informacion '!P:Q,2,FALSE),"")</f>
        <v>Litro</v>
      </c>
      <c r="D750" s="94">
        <v>10</v>
      </c>
      <c r="E750" s="84">
        <v>1150</v>
      </c>
      <c r="F750" s="83">
        <f t="shared" ca="1" si="21"/>
        <v>11500</v>
      </c>
    </row>
    <row r="751" spans="1:6" ht="14.1" customHeight="1" x14ac:dyDescent="0.25">
      <c r="A751" s="94" t="s">
        <v>10572</v>
      </c>
      <c r="B751" s="82" t="str">
        <f ca="1">IFERROR(INDEX(UNSPSCDes,MATCH(INDIRECT(ADDRESS(ROW(),COLUMN()-1,4)),UNSPSCCode,0)),IF(INDIRECT(ADDRESS(ROW(),COLUMN()-1,4))="10191509","Insecticidas",""))</f>
        <v>Insecticidas</v>
      </c>
      <c r="C751" s="95" t="str">
        <f>IFERROR(VLOOKUP("UD",'Informacion '!P:Q,2,FALSE),"")</f>
        <v>Unidad</v>
      </c>
      <c r="D751" s="94">
        <v>12</v>
      </c>
      <c r="E751" s="84">
        <v>250</v>
      </c>
      <c r="F751" s="83">
        <f t="shared" ca="1" si="21"/>
        <v>3000</v>
      </c>
    </row>
    <row r="752" spans="1:6" ht="14.1" customHeight="1" x14ac:dyDescent="0.25">
      <c r="A752" s="94" t="s">
        <v>10572</v>
      </c>
      <c r="B752" s="82" t="str">
        <f ca="1">IFERROR(INDEX(UNSPSCDes,MATCH(INDIRECT(ADDRESS(ROW(),COLUMN()-1,4)),UNSPSCCode,0)),IF(INDIRECT(ADDRESS(ROW(),COLUMN()-1,4))="10191509","Insecticidas",""))</f>
        <v>Insecticidas</v>
      </c>
      <c r="C752" s="95" t="str">
        <f>IFERROR(VLOOKUP("PAQ",'Informacion '!P:Q,2,FALSE),"")</f>
        <v>Paquete</v>
      </c>
      <c r="D752" s="94">
        <v>1</v>
      </c>
      <c r="E752" s="84">
        <v>3500</v>
      </c>
      <c r="F752" s="83">
        <f t="shared" ca="1" si="21"/>
        <v>3500</v>
      </c>
    </row>
    <row r="753" spans="1:10" ht="14.1" customHeight="1" x14ac:dyDescent="0.25">
      <c r="A753" s="94" t="s">
        <v>12842</v>
      </c>
      <c r="B753" s="82" t="str">
        <f ca="1">IFERROR(INDEX(UNSPSCDes,MATCH(INDIRECT(ADDRESS(ROW(),COLUMN()-1,4)),UNSPSCCode,0)),IF(INDIRECT(ADDRESS(ROW(),COLUMN()-1,4))="49131505","Carnadas",""))</f>
        <v>Carnadas</v>
      </c>
      <c r="C753" s="95" t="str">
        <f>IFERROR(VLOOKUP("UD",'Informacion '!P:Q,2,FALSE),"")</f>
        <v>Unidad</v>
      </c>
      <c r="D753" s="94">
        <v>7</v>
      </c>
      <c r="E753" s="84">
        <v>500</v>
      </c>
      <c r="F753" s="83">
        <f t="shared" ca="1" si="21"/>
        <v>3500</v>
      </c>
    </row>
    <row r="754" spans="1:10" ht="14.1" customHeight="1" x14ac:dyDescent="0.25">
      <c r="E754" s="96" t="s">
        <v>7213</v>
      </c>
      <c r="F754" s="87">
        <f ca="1">SUM(Table32[MONTO TOTAL ESTIMADO])</f>
        <v>133230</v>
      </c>
      <c r="H754" s="39" t="str">
        <f>C739</f>
        <v>Bienes</v>
      </c>
      <c r="I754" s="39" t="str">
        <f>E739</f>
        <v>No</v>
      </c>
      <c r="J754" s="39" t="str">
        <f>D739</f>
        <v>Compras Menores</v>
      </c>
    </row>
    <row r="756" spans="1:10" ht="33.950000000000003" customHeight="1" x14ac:dyDescent="0.25">
      <c r="A756" s="77" t="s">
        <v>17233</v>
      </c>
      <c r="B756" s="77" t="s">
        <v>4237</v>
      </c>
      <c r="C756" s="77" t="s">
        <v>4743</v>
      </c>
      <c r="D756" s="77" t="s">
        <v>9891</v>
      </c>
      <c r="E756" s="77" t="s">
        <v>3089</v>
      </c>
      <c r="F756" s="77" t="s">
        <v>18141</v>
      </c>
    </row>
    <row r="757" spans="1:10" ht="14.1" customHeight="1" x14ac:dyDescent="0.25">
      <c r="A757" s="79" t="s">
        <v>1206</v>
      </c>
      <c r="B757" s="79" t="s">
        <v>8823</v>
      </c>
      <c r="C757" s="79" t="s">
        <v>17215</v>
      </c>
      <c r="D757" s="79" t="s">
        <v>17798</v>
      </c>
      <c r="E757" s="79" t="s">
        <v>18247</v>
      </c>
      <c r="F757" s="79"/>
    </row>
    <row r="758" spans="1:10" ht="14.1" customHeight="1" x14ac:dyDescent="0.25">
      <c r="A758" s="2" t="s">
        <v>6643</v>
      </c>
      <c r="B758" s="80" t="s">
        <v>1046</v>
      </c>
      <c r="C758" s="90">
        <v>43739</v>
      </c>
      <c r="D758" s="2" t="s">
        <v>59</v>
      </c>
      <c r="E758" s="92" t="s">
        <v>20066</v>
      </c>
      <c r="F758" s="93"/>
    </row>
    <row r="759" spans="1:10" ht="14.1" customHeight="1" x14ac:dyDescent="0.25">
      <c r="A759" s="1"/>
      <c r="B759" s="80" t="s">
        <v>10788</v>
      </c>
      <c r="C759" s="91">
        <f>IF(C758="","",IF(AND(MONTH(C758)&gt;=1,MONTH(C758)&lt;=3),1,IF(AND(MONTH(C758)&gt;=4,MONTH(C758)&lt;=6),2,IF(AND(MONTH(C758)&gt;=7,MONTH(C758)&lt;=9),3,4))))</f>
        <v>4</v>
      </c>
      <c r="D759" s="1"/>
      <c r="E759" s="92" t="s">
        <v>14822</v>
      </c>
      <c r="F759" s="93"/>
    </row>
    <row r="760" spans="1:10" ht="14.1" customHeight="1" x14ac:dyDescent="0.25">
      <c r="A760" s="1"/>
      <c r="B760" s="80" t="s">
        <v>13758</v>
      </c>
      <c r="C760" s="90">
        <v>43826</v>
      </c>
      <c r="D760" s="1"/>
      <c r="E760" s="92" t="s">
        <v>18636</v>
      </c>
      <c r="F760" s="93"/>
    </row>
    <row r="761" spans="1:10" ht="14.1" customHeight="1" x14ac:dyDescent="0.25">
      <c r="A761" s="1"/>
      <c r="B761" s="80" t="s">
        <v>10788</v>
      </c>
      <c r="C761" s="91">
        <f>IF(C760="","",IF(AND(MONTH(C760)&gt;=1,MONTH(C760)&lt;=3),1,IF(AND(MONTH(C760)&gt;=4,MONTH(C760)&lt;=6),2,IF(AND(MONTH(C760)&gt;=7,MONTH(C760)&lt;=9),3,4))))</f>
        <v>4</v>
      </c>
      <c r="D761" s="1"/>
      <c r="E761" s="92" t="s">
        <v>15990</v>
      </c>
      <c r="F761" s="93"/>
    </row>
    <row r="763" spans="1:10" ht="14.1" customHeight="1" x14ac:dyDescent="0.25">
      <c r="A763" s="85" t="s">
        <v>15474</v>
      </c>
      <c r="B763" s="85" t="s">
        <v>5027</v>
      </c>
      <c r="C763" s="85" t="s">
        <v>17461</v>
      </c>
      <c r="D763" s="85" t="s">
        <v>3935</v>
      </c>
      <c r="E763" s="85" t="s">
        <v>10722</v>
      </c>
      <c r="F763" s="85" t="s">
        <v>18237</v>
      </c>
    </row>
    <row r="764" spans="1:10" ht="14.1" customHeight="1" x14ac:dyDescent="0.25">
      <c r="A764" s="94" t="s">
        <v>17540</v>
      </c>
      <c r="B764" s="82" t="str">
        <f ca="1">IFERROR(INDEX(UNSPSCDes,MATCH(INDIRECT(ADDRESS(ROW(),COLUMN()-1,4)),UNSPSCCode,0)),IF(INDIRECT(ADDRESS(ROW(),COLUMN()-1,4))="10191703","Trampas para el control de insectos voladores",""))</f>
        <v>Trampas para el control de insectos voladores</v>
      </c>
      <c r="C764" s="95" t="str">
        <f>IFERROR(VLOOKUP("UD",'Informacion '!P:Q,2,FALSE),"")</f>
        <v>Unidad</v>
      </c>
      <c r="D764" s="94">
        <v>20</v>
      </c>
      <c r="E764" s="84">
        <v>1100</v>
      </c>
      <c r="F764" s="83">
        <f t="shared" ref="F764:F771" ca="1" si="22">INDIRECT(ADDRESS(ROW(),COLUMN()-2,4))*INDIRECT(ADDRESS(ROW(),COLUMN()-1,4))</f>
        <v>22000</v>
      </c>
    </row>
    <row r="765" spans="1:10" ht="14.1" customHeight="1" x14ac:dyDescent="0.25">
      <c r="A765" s="94" t="s">
        <v>20024</v>
      </c>
      <c r="B765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765" s="95" t="str">
        <f>IFERROR(VLOOKUP("UD",'Informacion '!P:Q,2,FALSE),"")</f>
        <v>Unidad</v>
      </c>
      <c r="D765" s="94">
        <v>6</v>
      </c>
      <c r="E765" s="84">
        <v>9205</v>
      </c>
      <c r="F765" s="83">
        <f t="shared" ca="1" si="22"/>
        <v>55230</v>
      </c>
    </row>
    <row r="766" spans="1:10" ht="14.1" customHeight="1" x14ac:dyDescent="0.25">
      <c r="A766" s="94" t="s">
        <v>20024</v>
      </c>
      <c r="B766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766" s="95" t="str">
        <f>IFERROR(VLOOKUP("UD",'Informacion '!P:Q,2,FALSE),"")</f>
        <v>Unidad</v>
      </c>
      <c r="D766" s="94">
        <v>30</v>
      </c>
      <c r="E766" s="84">
        <v>700</v>
      </c>
      <c r="F766" s="83">
        <f t="shared" ca="1" si="22"/>
        <v>21000</v>
      </c>
    </row>
    <row r="767" spans="1:10" ht="14.1" customHeight="1" x14ac:dyDescent="0.25">
      <c r="A767" s="94" t="s">
        <v>10572</v>
      </c>
      <c r="B767" s="82" t="str">
        <f ca="1">IFERROR(INDEX(UNSPSCDes,MATCH(INDIRECT(ADDRESS(ROW(),COLUMN()-1,4)),UNSPSCCode,0)),IF(INDIRECT(ADDRESS(ROW(),COLUMN()-1,4))="10191509","Insecticidas",""))</f>
        <v>Insecticidas</v>
      </c>
      <c r="C767" s="95" t="str">
        <f>IFERROR(VLOOKUP("UD",'Informacion '!P:Q,2,FALSE),"")</f>
        <v>Unidad</v>
      </c>
      <c r="D767" s="94">
        <v>10</v>
      </c>
      <c r="E767" s="84">
        <v>1350</v>
      </c>
      <c r="F767" s="83">
        <f t="shared" ca="1" si="22"/>
        <v>13500</v>
      </c>
    </row>
    <row r="768" spans="1:10" ht="14.1" customHeight="1" x14ac:dyDescent="0.25">
      <c r="A768" s="94" t="s">
        <v>10572</v>
      </c>
      <c r="B768" s="82" t="str">
        <f ca="1">IFERROR(INDEX(UNSPSCDes,MATCH(INDIRECT(ADDRESS(ROW(),COLUMN()-1,4)),UNSPSCCode,0)),IF(INDIRECT(ADDRESS(ROW(),COLUMN()-1,4))="10191509","Insecticidas",""))</f>
        <v>Insecticidas</v>
      </c>
      <c r="C768" s="95" t="str">
        <f>IFERROR(VLOOKUP("UD",'Informacion '!P:Q,2,FALSE),"")</f>
        <v>Unidad</v>
      </c>
      <c r="D768" s="94">
        <v>10</v>
      </c>
      <c r="E768" s="84">
        <v>1150</v>
      </c>
      <c r="F768" s="83">
        <f t="shared" ca="1" si="22"/>
        <v>11500</v>
      </c>
    </row>
    <row r="769" spans="1:10" ht="14.1" customHeight="1" x14ac:dyDescent="0.25">
      <c r="A769" s="94" t="s">
        <v>10572</v>
      </c>
      <c r="B769" s="82" t="str">
        <f ca="1">IFERROR(INDEX(UNSPSCDes,MATCH(INDIRECT(ADDRESS(ROW(),COLUMN()-1,4)),UNSPSCCode,0)),IF(INDIRECT(ADDRESS(ROW(),COLUMN()-1,4))="10191509","Insecticidas",""))</f>
        <v>Insecticidas</v>
      </c>
      <c r="C769" s="95" t="str">
        <f>IFERROR(VLOOKUP("UD",'Informacion '!P:Q,2,FALSE),"")</f>
        <v>Unidad</v>
      </c>
      <c r="D769" s="94">
        <v>12</v>
      </c>
      <c r="E769" s="84">
        <v>250</v>
      </c>
      <c r="F769" s="83">
        <f t="shared" ca="1" si="22"/>
        <v>3000</v>
      </c>
    </row>
    <row r="770" spans="1:10" ht="14.1" customHeight="1" x14ac:dyDescent="0.25">
      <c r="A770" s="94" t="s">
        <v>10572</v>
      </c>
      <c r="B770" s="82" t="str">
        <f ca="1">IFERROR(INDEX(UNSPSCDes,MATCH(INDIRECT(ADDRESS(ROW(),COLUMN()-1,4)),UNSPSCCode,0)),IF(INDIRECT(ADDRESS(ROW(),COLUMN()-1,4))="10191509","Insecticidas",""))</f>
        <v>Insecticidas</v>
      </c>
      <c r="C770" s="95" t="str">
        <f>IFERROR(VLOOKUP("UD",'Informacion '!P:Q,2,FALSE),"")</f>
        <v>Unidad</v>
      </c>
      <c r="D770" s="94">
        <v>1</v>
      </c>
      <c r="E770" s="84">
        <v>3500</v>
      </c>
      <c r="F770" s="83">
        <f t="shared" ca="1" si="22"/>
        <v>3500</v>
      </c>
    </row>
    <row r="771" spans="1:10" ht="14.1" customHeight="1" x14ac:dyDescent="0.25">
      <c r="A771" s="94" t="s">
        <v>12842</v>
      </c>
      <c r="B771" s="82" t="str">
        <f ca="1">IFERROR(INDEX(UNSPSCDes,MATCH(INDIRECT(ADDRESS(ROW(),COLUMN()-1,4)),UNSPSCCode,0)),IF(INDIRECT(ADDRESS(ROW(),COLUMN()-1,4))="49131505","Carnadas",""))</f>
        <v>Carnadas</v>
      </c>
      <c r="C771" s="95" t="str">
        <f>IFERROR(VLOOKUP("UD",'Informacion '!P:Q,2,FALSE),"")</f>
        <v>Unidad</v>
      </c>
      <c r="D771" s="94">
        <v>7</v>
      </c>
      <c r="E771" s="84">
        <v>500</v>
      </c>
      <c r="F771" s="83">
        <f t="shared" ca="1" si="22"/>
        <v>3500</v>
      </c>
    </row>
    <row r="772" spans="1:10" ht="14.1" customHeight="1" x14ac:dyDescent="0.25">
      <c r="E772" s="96" t="s">
        <v>7213</v>
      </c>
      <c r="F772" s="87">
        <f ca="1">SUM(Table33[MONTO TOTAL ESTIMADO])</f>
        <v>133230</v>
      </c>
      <c r="H772" s="39" t="str">
        <f>C757</f>
        <v>Bienes</v>
      </c>
      <c r="I772" s="39" t="str">
        <f>E757</f>
        <v>No</v>
      </c>
      <c r="J772" s="39" t="str">
        <f>D757</f>
        <v>Compras Menores</v>
      </c>
    </row>
    <row r="774" spans="1:10" ht="33.950000000000003" customHeight="1" x14ac:dyDescent="0.25">
      <c r="A774" s="77" t="s">
        <v>17233</v>
      </c>
      <c r="B774" s="77" t="s">
        <v>4237</v>
      </c>
      <c r="C774" s="77" t="s">
        <v>4743</v>
      </c>
      <c r="D774" s="77" t="s">
        <v>9891</v>
      </c>
      <c r="E774" s="77" t="s">
        <v>3089</v>
      </c>
      <c r="F774" s="77" t="s">
        <v>18141</v>
      </c>
    </row>
    <row r="775" spans="1:10" ht="14.1" customHeight="1" x14ac:dyDescent="0.25">
      <c r="A775" s="79" t="s">
        <v>7691</v>
      </c>
      <c r="B775" s="79" t="s">
        <v>9782</v>
      </c>
      <c r="C775" s="79" t="s">
        <v>17215</v>
      </c>
      <c r="D775" s="79" t="s">
        <v>15249</v>
      </c>
      <c r="E775" s="79" t="s">
        <v>18247</v>
      </c>
      <c r="F775" s="79"/>
    </row>
    <row r="776" spans="1:10" ht="14.1" customHeight="1" x14ac:dyDescent="0.25">
      <c r="A776" s="2" t="s">
        <v>6643</v>
      </c>
      <c r="B776" s="80" t="s">
        <v>1046</v>
      </c>
      <c r="C776" s="90">
        <v>43556</v>
      </c>
      <c r="D776" s="2" t="s">
        <v>59</v>
      </c>
      <c r="E776" s="92" t="s">
        <v>20066</v>
      </c>
      <c r="F776" s="93" t="s">
        <v>5684</v>
      </c>
    </row>
    <row r="777" spans="1:10" ht="14.1" customHeight="1" x14ac:dyDescent="0.25">
      <c r="A777" s="1"/>
      <c r="B777" s="80" t="s">
        <v>10788</v>
      </c>
      <c r="C777" s="91">
        <f>IF(C776="","",IF(AND(MONTH(C776)&gt;=1,MONTH(C776)&lt;=3),1,IF(AND(MONTH(C776)&gt;=4,MONTH(C776)&lt;=6),2,IF(AND(MONTH(C776)&gt;=7,MONTH(C776)&lt;=9),3,4))))</f>
        <v>2</v>
      </c>
      <c r="D777" s="1"/>
      <c r="E777" s="92" t="s">
        <v>14822</v>
      </c>
      <c r="F777" s="93"/>
    </row>
    <row r="778" spans="1:10" ht="14.1" customHeight="1" x14ac:dyDescent="0.25">
      <c r="A778" s="1"/>
      <c r="B778" s="80" t="s">
        <v>13758</v>
      </c>
      <c r="C778" s="90">
        <v>43645</v>
      </c>
      <c r="D778" s="1"/>
      <c r="E778" s="92" t="s">
        <v>18636</v>
      </c>
      <c r="F778" s="93"/>
    </row>
    <row r="779" spans="1:10" ht="14.1" customHeight="1" x14ac:dyDescent="0.25">
      <c r="A779" s="1"/>
      <c r="B779" s="80" t="s">
        <v>10788</v>
      </c>
      <c r="C779" s="91">
        <f>IF(C778="","",IF(AND(MONTH(C778)&gt;=1,MONTH(C778)&lt;=3),1,IF(AND(MONTH(C778)&gt;=4,MONTH(C778)&lt;=6),2,IF(AND(MONTH(C778)&gt;=7,MONTH(C778)&lt;=9),3,4))))</f>
        <v>2</v>
      </c>
      <c r="D779" s="1"/>
      <c r="E779" s="92" t="s">
        <v>15990</v>
      </c>
      <c r="F779" s="93"/>
    </row>
    <row r="781" spans="1:10" ht="14.1" customHeight="1" x14ac:dyDescent="0.25">
      <c r="A781" s="85" t="s">
        <v>15474</v>
      </c>
      <c r="B781" s="85" t="s">
        <v>5027</v>
      </c>
      <c r="C781" s="85" t="s">
        <v>17461</v>
      </c>
      <c r="D781" s="85" t="s">
        <v>3935</v>
      </c>
      <c r="E781" s="85" t="s">
        <v>10722</v>
      </c>
      <c r="F781" s="85" t="s">
        <v>18237</v>
      </c>
    </row>
    <row r="782" spans="1:10" ht="14.1" customHeight="1" x14ac:dyDescent="0.25">
      <c r="A782" s="94" t="s">
        <v>5102</v>
      </c>
      <c r="B782" s="82" t="str">
        <f ca="1">IFERROR(INDEX(UNSPSCDes,MATCH(INDIRECT(ADDRESS(ROW(),COLUMN()-1,4)),UNSPSCCode,0)),IF(INDIRECT(ADDRESS(ROW(),COLUMN()-1,4))="51111904","Paclitaxel",""))</f>
        <v>Paclitaxel</v>
      </c>
      <c r="C782" s="95" t="str">
        <f>IFERROR(VLOOKUP("UD",'Informacion '!P:Q,2,FALSE),"")</f>
        <v>Unidad</v>
      </c>
      <c r="D782" s="94">
        <v>619</v>
      </c>
      <c r="E782" s="84">
        <v>1687.33</v>
      </c>
      <c r="F782" s="83">
        <f t="shared" ref="F782:F787" ca="1" si="23">INDIRECT(ADDRESS(ROW(),COLUMN()-2,4))*INDIRECT(ADDRESS(ROW(),COLUMN()-1,4))</f>
        <v>1044457.2699999999</v>
      </c>
    </row>
    <row r="783" spans="1:10" ht="14.1" customHeight="1" x14ac:dyDescent="0.25">
      <c r="A783" s="94" t="s">
        <v>10585</v>
      </c>
      <c r="B783" s="82" t="str">
        <f ca="1">IFERROR(INDEX(UNSPSCDes,MATCH(INDIRECT(ADDRESS(ROW(),COLUMN()-1,4)),UNSPSCCode,0)),IF(INDIRECT(ADDRESS(ROW(),COLUMN()-1,4))="51111506","Cisplatino",""))</f>
        <v>Cisplatino</v>
      </c>
      <c r="C783" s="95" t="str">
        <f>IFERROR(VLOOKUP("UD",'Informacion '!P:Q,2,FALSE),"")</f>
        <v>Unidad</v>
      </c>
      <c r="D783" s="94">
        <v>162</v>
      </c>
      <c r="E783" s="84">
        <v>2420.6</v>
      </c>
      <c r="F783" s="83">
        <f t="shared" ca="1" si="23"/>
        <v>392137.2</v>
      </c>
    </row>
    <row r="784" spans="1:10" ht="14.1" customHeight="1" x14ac:dyDescent="0.25">
      <c r="A784" s="94" t="s">
        <v>1883</v>
      </c>
      <c r="B784" s="82" t="str">
        <f ca="1">IFERROR(INDEX(UNSPSCDes,MATCH(INDIRECT(ADDRESS(ROW(),COLUMN()-1,4)),UNSPSCCode,0)),IF(INDIRECT(ADDRESS(ROW(),COLUMN()-1,4))="51111711","Clorhidrato de doxorubicina",""))</f>
        <v>Clorhidrato de doxorubicina</v>
      </c>
      <c r="C784" s="95" t="str">
        <f>IFERROR(VLOOKUP("UD",'Informacion '!P:Q,2,FALSE),"")</f>
        <v>Unidad</v>
      </c>
      <c r="D784" s="94">
        <v>435</v>
      </c>
      <c r="E784" s="84">
        <v>1615.36</v>
      </c>
      <c r="F784" s="83">
        <f t="shared" ca="1" si="23"/>
        <v>702681.59999999998</v>
      </c>
    </row>
    <row r="785" spans="1:10" ht="14.1" customHeight="1" x14ac:dyDescent="0.25">
      <c r="A785" s="94" t="s">
        <v>9538</v>
      </c>
      <c r="B785" s="82" t="str">
        <f ca="1">IFERROR(INDEX(UNSPSCDes,MATCH(INDIRECT(ADDRESS(ROW(),COLUMN()-1,4)),UNSPSCCode,0)),IF(INDIRECT(ADDRESS(ROW(),COLUMN()-1,4))="51171802","Clorhidrato de granisetrón",""))</f>
        <v>Clorhidrato de granisetrón</v>
      </c>
      <c r="C785" s="95" t="str">
        <f>IFERROR(VLOOKUP("UD",'Informacion '!P:Q,2,FALSE),"")</f>
        <v>Unidad</v>
      </c>
      <c r="D785" s="94">
        <v>804</v>
      </c>
      <c r="E785" s="84">
        <v>551.63</v>
      </c>
      <c r="F785" s="83">
        <f t="shared" ca="1" si="23"/>
        <v>443510.52</v>
      </c>
    </row>
    <row r="786" spans="1:10" ht="14.1" customHeight="1" x14ac:dyDescent="0.25">
      <c r="A786" s="94" t="s">
        <v>14143</v>
      </c>
      <c r="B786" s="82" t="str">
        <f ca="1">IFERROR(INDEX(UNSPSCDes,MATCH(INDIRECT(ADDRESS(ROW(),COLUMN()-1,4)),UNSPSCCode,0)),IF(INDIRECT(ADDRESS(ROW(),COLUMN()-1,4))="51111617","Clorhidrato de gemcitabina",""))</f>
        <v>Clorhidrato de gemcitabina</v>
      </c>
      <c r="C786" s="95" t="str">
        <f>IFERROR(VLOOKUP("UD",'Informacion '!P:Q,2,FALSE),"")</f>
        <v>Unidad</v>
      </c>
      <c r="D786" s="94">
        <v>206</v>
      </c>
      <c r="E786" s="84">
        <v>2203.16</v>
      </c>
      <c r="F786" s="83">
        <f t="shared" ca="1" si="23"/>
        <v>453850.95999999996</v>
      </c>
    </row>
    <row r="787" spans="1:10" ht="14.1" customHeight="1" x14ac:dyDescent="0.25">
      <c r="A787" s="94" t="s">
        <v>983</v>
      </c>
      <c r="B787" s="82" t="str">
        <f ca="1">IFERROR(INDEX(UNSPSCDes,MATCH(INDIRECT(ADDRESS(ROW(),COLUMN()-1,4)),UNSPSCCode,0)),IF(INDIRECT(ADDRESS(ROW(),COLUMN()-1,4))="51111902","Docetaxel",""))</f>
        <v>Docetaxel</v>
      </c>
      <c r="C787" s="95" t="str">
        <f>IFERROR(VLOOKUP("UD",'Informacion '!P:Q,2,FALSE),"")</f>
        <v>Unidad</v>
      </c>
      <c r="D787" s="94">
        <v>305</v>
      </c>
      <c r="E787" s="84">
        <v>2155.89</v>
      </c>
      <c r="F787" s="83">
        <f t="shared" ca="1" si="23"/>
        <v>657546.44999999995</v>
      </c>
    </row>
    <row r="788" spans="1:10" ht="14.1" customHeight="1" x14ac:dyDescent="0.25">
      <c r="E788" s="96" t="s">
        <v>7213</v>
      </c>
      <c r="F788" s="87">
        <f ca="1">SUM(Table34[MONTO TOTAL ESTIMADO])</f>
        <v>3694184</v>
      </c>
      <c r="H788" s="39" t="str">
        <f>C775</f>
        <v>Bienes</v>
      </c>
      <c r="I788" s="39" t="str">
        <f>E775</f>
        <v>No</v>
      </c>
      <c r="J788" s="39" t="str">
        <f>D775</f>
        <v>Comparacion de Precios</v>
      </c>
    </row>
    <row r="790" spans="1:10" ht="33.950000000000003" customHeight="1" x14ac:dyDescent="0.25">
      <c r="A790" s="77" t="s">
        <v>17233</v>
      </c>
      <c r="B790" s="77" t="s">
        <v>4237</v>
      </c>
      <c r="C790" s="77" t="s">
        <v>4743</v>
      </c>
      <c r="D790" s="77" t="s">
        <v>9891</v>
      </c>
      <c r="E790" s="77" t="s">
        <v>3089</v>
      </c>
      <c r="F790" s="77" t="s">
        <v>18141</v>
      </c>
    </row>
    <row r="791" spans="1:10" ht="14.1" customHeight="1" x14ac:dyDescent="0.25">
      <c r="A791" s="79" t="s">
        <v>14969</v>
      </c>
      <c r="B791" s="79" t="s">
        <v>4693</v>
      </c>
      <c r="C791" s="79" t="s">
        <v>17215</v>
      </c>
      <c r="D791" s="79" t="s">
        <v>17798</v>
      </c>
      <c r="E791" s="79" t="s">
        <v>18247</v>
      </c>
      <c r="F791" s="79"/>
    </row>
    <row r="792" spans="1:10" ht="14.1" customHeight="1" x14ac:dyDescent="0.25">
      <c r="A792" s="2" t="s">
        <v>6643</v>
      </c>
      <c r="B792" s="80" t="s">
        <v>1046</v>
      </c>
      <c r="C792" s="90">
        <v>43467</v>
      </c>
      <c r="D792" s="2" t="s">
        <v>59</v>
      </c>
      <c r="E792" s="92" t="s">
        <v>20066</v>
      </c>
      <c r="F792" s="93" t="s">
        <v>5684</v>
      </c>
    </row>
    <row r="793" spans="1:10" ht="14.1" customHeight="1" x14ac:dyDescent="0.25">
      <c r="A793" s="1"/>
      <c r="B793" s="80" t="s">
        <v>10788</v>
      </c>
      <c r="C793" s="91">
        <f>IF(C792="","",IF(AND(MONTH(C792)&gt;=1,MONTH(C792)&lt;=3),1,IF(AND(MONTH(C792)&gt;=4,MONTH(C792)&lt;=6),2,IF(AND(MONTH(C792)&gt;=7,MONTH(C792)&lt;=9),3,4))))</f>
        <v>1</v>
      </c>
      <c r="D793" s="1"/>
      <c r="E793" s="92" t="s">
        <v>14822</v>
      </c>
      <c r="F793" s="93" t="s">
        <v>17690</v>
      </c>
    </row>
    <row r="794" spans="1:10" ht="14.1" customHeight="1" x14ac:dyDescent="0.25">
      <c r="A794" s="1"/>
      <c r="B794" s="80" t="s">
        <v>13758</v>
      </c>
      <c r="C794" s="90">
        <v>43553</v>
      </c>
      <c r="D794" s="1"/>
      <c r="E794" s="92" t="s">
        <v>18636</v>
      </c>
      <c r="F794" s="93" t="s">
        <v>17690</v>
      </c>
    </row>
    <row r="795" spans="1:10" ht="14.1" customHeight="1" x14ac:dyDescent="0.25">
      <c r="A795" s="1"/>
      <c r="B795" s="80" t="s">
        <v>10788</v>
      </c>
      <c r="C795" s="91">
        <f>IF(C794="","",IF(AND(MONTH(C794)&gt;=1,MONTH(C794)&lt;=3),1,IF(AND(MONTH(C794)&gt;=4,MONTH(C794)&lt;=6),2,IF(AND(MONTH(C794)&gt;=7,MONTH(C794)&lt;=9),3,4))))</f>
        <v>1</v>
      </c>
      <c r="D795" s="1"/>
      <c r="E795" s="92" t="s">
        <v>15990</v>
      </c>
      <c r="F795" s="93"/>
    </row>
    <row r="797" spans="1:10" ht="14.1" customHeight="1" x14ac:dyDescent="0.25">
      <c r="A797" s="85" t="s">
        <v>15474</v>
      </c>
      <c r="B797" s="85" t="s">
        <v>5027</v>
      </c>
      <c r="C797" s="85" t="s">
        <v>17461</v>
      </c>
      <c r="D797" s="85" t="s">
        <v>3935</v>
      </c>
      <c r="E797" s="85" t="s">
        <v>10722</v>
      </c>
      <c r="F797" s="85" t="s">
        <v>18237</v>
      </c>
    </row>
    <row r="798" spans="1:10" ht="14.1" customHeight="1" x14ac:dyDescent="0.25">
      <c r="A798" s="94" t="s">
        <v>12036</v>
      </c>
      <c r="B798" s="82" t="str">
        <f ca="1">IFERROR(INDEX(UNSPSCDes,MATCH(INDIRECT(ADDRESS(ROW(),COLUMN()-1,4)),UNSPSCCode,0)),IF(INDIRECT(ADDRESS(ROW(),COLUMN()-1,4))="46181704","Cascos de seguridad",""))</f>
        <v>Cascos de seguridad</v>
      </c>
      <c r="C798" s="95" t="str">
        <f>IFERROR(VLOOKUP("UD",'Informacion '!P:Q,2,FALSE),"")</f>
        <v>Unidad</v>
      </c>
      <c r="D798" s="94">
        <v>12</v>
      </c>
      <c r="E798" s="84">
        <v>325</v>
      </c>
      <c r="F798" s="83">
        <f t="shared" ref="F798:F814" ca="1" si="24">INDIRECT(ADDRESS(ROW(),COLUMN()-2,4))*INDIRECT(ADDRESS(ROW(),COLUMN()-1,4))</f>
        <v>3900</v>
      </c>
    </row>
    <row r="799" spans="1:10" ht="14.1" customHeight="1" x14ac:dyDescent="0.25">
      <c r="A799" s="94" t="s">
        <v>4318</v>
      </c>
      <c r="B799" s="82" t="str">
        <f ca="1">IFERROR(INDEX(UNSPSCDes,MATCH(INDIRECT(ADDRESS(ROW(),COLUMN()-1,4)),UNSPSCCode,0)),IF(INDIRECT(ADDRESS(ROW(),COLUMN()-1,4))="24112403","Cinturón para herramientas",""))</f>
        <v>Cinturón para herramientas</v>
      </c>
      <c r="C799" s="95" t="str">
        <f>IFERROR(VLOOKUP("UD",'Informacion '!P:Q,2,FALSE),"")</f>
        <v>Unidad</v>
      </c>
      <c r="D799" s="94">
        <v>8</v>
      </c>
      <c r="E799" s="84">
        <v>1000</v>
      </c>
      <c r="F799" s="83">
        <f t="shared" ca="1" si="24"/>
        <v>8000</v>
      </c>
    </row>
    <row r="800" spans="1:10" ht="14.1" customHeight="1" x14ac:dyDescent="0.25">
      <c r="A800" s="94" t="s">
        <v>9554</v>
      </c>
      <c r="B800" s="82" t="str">
        <f ca="1">IFERROR(INDEX(UNSPSCDes,MATCH(INDIRECT(ADDRESS(ROW(),COLUMN()-1,4)),UNSPSCCode,0)),IF(INDIRECT(ADDRESS(ROW(),COLUMN()-1,4))="31241501","Lentes",""))</f>
        <v>Lentes</v>
      </c>
      <c r="C800" s="95" t="str">
        <f>IFERROR(VLOOKUP("UD",'Informacion '!P:Q,2,FALSE),"")</f>
        <v>Unidad</v>
      </c>
      <c r="D800" s="94">
        <v>15</v>
      </c>
      <c r="E800" s="84">
        <v>300</v>
      </c>
      <c r="F800" s="83">
        <f t="shared" ca="1" si="24"/>
        <v>4500</v>
      </c>
    </row>
    <row r="801" spans="1:10" ht="14.1" customHeight="1" x14ac:dyDescent="0.25">
      <c r="A801" s="94" t="s">
        <v>8625</v>
      </c>
      <c r="B801" s="82" t="str">
        <f ca="1">IFERROR(INDEX(UNSPSCDes,MATCH(INDIRECT(ADDRESS(ROW(),COLUMN()-1,4)),UNSPSCCode,0)),IF(INDIRECT(ADDRESS(ROW(),COLUMN()-1,4))="23153023","Arnés del alimentador",""))</f>
        <v>Arnés del alimentador</v>
      </c>
      <c r="C801" s="95" t="str">
        <f>IFERROR(VLOOKUP("UD",'Informacion '!P:Q,2,FALSE),"")</f>
        <v>Unidad</v>
      </c>
      <c r="D801" s="94">
        <v>1</v>
      </c>
      <c r="E801" s="84">
        <v>3950</v>
      </c>
      <c r="F801" s="83">
        <f t="shared" ca="1" si="24"/>
        <v>3950</v>
      </c>
    </row>
    <row r="802" spans="1:10" ht="14.1" customHeight="1" x14ac:dyDescent="0.25">
      <c r="A802" s="94" t="s">
        <v>5006</v>
      </c>
      <c r="B802" s="82" t="str">
        <f ca="1">IFERROR(INDEX(UNSPSCDes,MATCH(INDIRECT(ADDRESS(ROW(),COLUMN()-1,4)),UNSPSCCode,0)),IF(INDIRECT(ADDRESS(ROW(),COLUMN()-1,4))="27113101","Cinta guía",""))</f>
        <v>Cinta guía</v>
      </c>
      <c r="C802" s="95" t="str">
        <f>IFERROR(VLOOKUP("UD",'Informacion '!P:Q,2,FALSE),"")</f>
        <v>Unidad</v>
      </c>
      <c r="D802" s="94">
        <v>1</v>
      </c>
      <c r="E802" s="84">
        <v>785</v>
      </c>
      <c r="F802" s="83">
        <f t="shared" ca="1" si="24"/>
        <v>785</v>
      </c>
    </row>
    <row r="803" spans="1:10" ht="14.1" customHeight="1" x14ac:dyDescent="0.25">
      <c r="A803" s="94" t="s">
        <v>6133</v>
      </c>
      <c r="B803" s="82" t="str">
        <f ca="1">IFERROR(INDEX(UNSPSCDes,MATCH(INDIRECT(ADDRESS(ROW(),COLUMN()-1,4)),UNSPSCCode,0)),IF(INDIRECT(ADDRESS(ROW(),COLUMN()-1,4))="31211903","Equipo para protección",""))</f>
        <v>Equipo para protección</v>
      </c>
      <c r="C803" s="95" t="str">
        <f>IFERROR(VLOOKUP("UD",'Informacion '!P:Q,2,FALSE),"")</f>
        <v>Unidad</v>
      </c>
      <c r="D803" s="94">
        <v>15</v>
      </c>
      <c r="E803" s="84">
        <v>559</v>
      </c>
      <c r="F803" s="83">
        <f t="shared" ca="1" si="24"/>
        <v>8385</v>
      </c>
    </row>
    <row r="804" spans="1:10" ht="14.1" customHeight="1" x14ac:dyDescent="0.25">
      <c r="A804" s="94" t="s">
        <v>6133</v>
      </c>
      <c r="B804" s="82" t="str">
        <f ca="1">IFERROR(INDEX(UNSPSCDes,MATCH(INDIRECT(ADDRESS(ROW(),COLUMN()-1,4)),UNSPSCCode,0)),IF(INDIRECT(ADDRESS(ROW(),COLUMN()-1,4))="31211903","Equipo para protección",""))</f>
        <v>Equipo para protección</v>
      </c>
      <c r="C804" s="95" t="str">
        <f>IFERROR(VLOOKUP("UD",'Informacion '!P:Q,2,FALSE),"")</f>
        <v>Unidad</v>
      </c>
      <c r="D804" s="94">
        <v>10</v>
      </c>
      <c r="E804" s="84">
        <v>900</v>
      </c>
      <c r="F804" s="83">
        <f t="shared" ca="1" si="24"/>
        <v>9000</v>
      </c>
    </row>
    <row r="805" spans="1:10" ht="14.1" customHeight="1" x14ac:dyDescent="0.25">
      <c r="A805" s="94" t="s">
        <v>4929</v>
      </c>
      <c r="B805" s="82" t="str">
        <f ca="1">IFERROR(INDEX(UNSPSCDes,MATCH(INDIRECT(ADDRESS(ROW(),COLUMN()-1,4)),UNSPSCCode,0)),IF(INDIRECT(ADDRESS(ROW(),COLUMN()-1,4))="49141506","Trajes isotérmicos",""))</f>
        <v>Trajes isotérmicos</v>
      </c>
      <c r="C805" s="95" t="str">
        <f>IFERROR(VLOOKUP("UD",'Informacion '!P:Q,2,FALSE),"")</f>
        <v>Unidad</v>
      </c>
      <c r="D805" s="94">
        <v>8</v>
      </c>
      <c r="E805" s="84">
        <v>1400</v>
      </c>
      <c r="F805" s="83">
        <f t="shared" ca="1" si="24"/>
        <v>11200</v>
      </c>
    </row>
    <row r="806" spans="1:10" ht="14.1" customHeight="1" x14ac:dyDescent="0.25">
      <c r="A806" s="94" t="s">
        <v>1637</v>
      </c>
      <c r="B806" s="82" t="str">
        <f ca="1">IFERROR(INDEX(UNSPSCDes,MATCH(INDIRECT(ADDRESS(ROW(),COLUMN()-1,4)),UNSPSCCode,0)),IF(INDIRECT(ADDRESS(ROW(),COLUMN()-1,4))="53111501","Botas para hombre",""))</f>
        <v>Botas para hombre</v>
      </c>
      <c r="C806" s="95" t="str">
        <f>IFERROR(VLOOKUP("UD",'Informacion '!P:Q,2,FALSE),"")</f>
        <v>Unidad</v>
      </c>
      <c r="D806" s="94">
        <v>15</v>
      </c>
      <c r="E806" s="84">
        <v>390</v>
      </c>
      <c r="F806" s="83">
        <f t="shared" ca="1" si="24"/>
        <v>5850</v>
      </c>
    </row>
    <row r="807" spans="1:10" ht="14.1" customHeight="1" x14ac:dyDescent="0.25">
      <c r="A807" s="94" t="s">
        <v>10418</v>
      </c>
      <c r="B807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07" s="95" t="str">
        <f>IFERROR(VLOOKUP("UD",'Informacion '!P:Q,2,FALSE),"")</f>
        <v>Unidad</v>
      </c>
      <c r="D807" s="94">
        <v>15</v>
      </c>
      <c r="E807" s="84">
        <v>165.2</v>
      </c>
      <c r="F807" s="83">
        <f t="shared" ca="1" si="24"/>
        <v>2478</v>
      </c>
    </row>
    <row r="808" spans="1:10" ht="14.1" customHeight="1" x14ac:dyDescent="0.25">
      <c r="A808" s="94" t="s">
        <v>10418</v>
      </c>
      <c r="B808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08" s="95" t="str">
        <f>IFERROR(VLOOKUP("UD",'Informacion '!P:Q,2,FALSE),"")</f>
        <v>Unidad</v>
      </c>
      <c r="D808" s="94">
        <v>18</v>
      </c>
      <c r="E808" s="84">
        <v>800</v>
      </c>
      <c r="F808" s="83">
        <f t="shared" ca="1" si="24"/>
        <v>14400</v>
      </c>
    </row>
    <row r="809" spans="1:10" ht="14.1" customHeight="1" x14ac:dyDescent="0.25">
      <c r="A809" s="94" t="s">
        <v>6133</v>
      </c>
      <c r="B809" s="82" t="str">
        <f ca="1">IFERROR(INDEX(UNSPSCDes,MATCH(INDIRECT(ADDRESS(ROW(),COLUMN()-1,4)),UNSPSCCode,0)),IF(INDIRECT(ADDRESS(ROW(),COLUMN()-1,4))="31211903","Equipo para protección",""))</f>
        <v>Equipo para protección</v>
      </c>
      <c r="C809" s="95" t="str">
        <f>IFERROR(VLOOKUP("UD",'Informacion '!P:Q,2,FALSE),"")</f>
        <v>Unidad</v>
      </c>
      <c r="D809" s="94">
        <v>90</v>
      </c>
      <c r="E809" s="84">
        <v>300</v>
      </c>
      <c r="F809" s="83">
        <f t="shared" ca="1" si="24"/>
        <v>27000</v>
      </c>
    </row>
    <row r="810" spans="1:10" ht="14.1" customHeight="1" x14ac:dyDescent="0.25">
      <c r="A810" s="94" t="s">
        <v>16369</v>
      </c>
      <c r="B810" s="82" t="str">
        <f ca="1">IFERROR(INDEX(UNSPSCDes,MATCH(INDIRECT(ADDRESS(ROW(),COLUMN()-1,4)),UNSPSCCode,0)),IF(INDIRECT(ADDRESS(ROW(),COLUMN()-1,4))="42131611","Gorros o capuchas para cirujano",""))</f>
        <v>Gorros o capuchas para cirujano</v>
      </c>
      <c r="C810" s="95" t="str">
        <f>IFERROR(VLOOKUP("UD",'Informacion '!P:Q,2,FALSE),"")</f>
        <v>Unidad</v>
      </c>
      <c r="D810" s="94">
        <v>350</v>
      </c>
      <c r="E810" s="84">
        <v>300</v>
      </c>
      <c r="F810" s="83">
        <f t="shared" ca="1" si="24"/>
        <v>105000</v>
      </c>
    </row>
    <row r="811" spans="1:10" ht="14.1" customHeight="1" x14ac:dyDescent="0.25">
      <c r="A811" s="94" t="s">
        <v>7717</v>
      </c>
      <c r="B811" s="82" t="str">
        <f ca="1">IFERROR(INDEX(UNSPSCDes,MATCH(INDIRECT(ADDRESS(ROW(),COLUMN()-1,4)),UNSPSCCode,0)),IF(INDIRECT(ADDRESS(ROW(),COLUMN()-1,4))="42131509","Batas de hospital",""))</f>
        <v>Batas de hospital</v>
      </c>
      <c r="C811" s="95" t="str">
        <f>IFERROR(VLOOKUP("UD",'Informacion '!P:Q,2,FALSE),"")</f>
        <v>Unidad</v>
      </c>
      <c r="D811" s="94">
        <v>60</v>
      </c>
      <c r="E811" s="84">
        <v>2200</v>
      </c>
      <c r="F811" s="83">
        <f t="shared" ca="1" si="24"/>
        <v>132000</v>
      </c>
    </row>
    <row r="812" spans="1:10" ht="14.1" customHeight="1" x14ac:dyDescent="0.25">
      <c r="A812" s="94" t="s">
        <v>10418</v>
      </c>
      <c r="B812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12" s="95" t="str">
        <f>IFERROR(VLOOKUP("UD",'Informacion '!P:Q,2,FALSE),"")</f>
        <v>Unidad</v>
      </c>
      <c r="D812" s="94">
        <v>200</v>
      </c>
      <c r="E812" s="84">
        <v>85</v>
      </c>
      <c r="F812" s="83">
        <f t="shared" ca="1" si="24"/>
        <v>17000</v>
      </c>
    </row>
    <row r="813" spans="1:10" ht="14.1" customHeight="1" x14ac:dyDescent="0.25">
      <c r="A813" s="94" t="s">
        <v>5703</v>
      </c>
      <c r="B813" s="82" t="str">
        <f ca="1">IFERROR(INDEX(UNSPSCDes,MATCH(INDIRECT(ADDRESS(ROW(),COLUMN()-1,4)),UNSPSCCode,0)),IF(INDIRECT(ADDRESS(ROW(),COLUMN()-1,4))="42131601","Delantales o petos para personal médico",""))</f>
        <v>Delantales o petos para personal médico</v>
      </c>
      <c r="C813" s="95" t="str">
        <f>IFERROR(VLOOKUP("UD",'Informacion '!P:Q,2,FALSE),"")</f>
        <v>Unidad</v>
      </c>
      <c r="D813" s="94">
        <v>12</v>
      </c>
      <c r="E813" s="84">
        <v>500</v>
      </c>
      <c r="F813" s="83">
        <f t="shared" ca="1" si="24"/>
        <v>6000</v>
      </c>
    </row>
    <row r="814" spans="1:10" ht="14.1" customHeight="1" x14ac:dyDescent="0.25">
      <c r="A814" s="94" t="s">
        <v>6133</v>
      </c>
      <c r="B814" s="82" t="str">
        <f ca="1">IFERROR(INDEX(UNSPSCDes,MATCH(INDIRECT(ADDRESS(ROW(),COLUMN()-1,4)),UNSPSCCode,0)),IF(INDIRECT(ADDRESS(ROW(),COLUMN()-1,4))="31211903","Equipo para protección",""))</f>
        <v>Equipo para protección</v>
      </c>
      <c r="C814" s="95" t="str">
        <f>IFERROR(VLOOKUP("UD",'Informacion '!P:Q,2,FALSE),"")</f>
        <v>Unidad</v>
      </c>
      <c r="D814" s="94">
        <v>30</v>
      </c>
      <c r="E814" s="84">
        <v>2825</v>
      </c>
      <c r="F814" s="83">
        <f t="shared" ca="1" si="24"/>
        <v>84750</v>
      </c>
    </row>
    <row r="815" spans="1:10" ht="14.1" customHeight="1" x14ac:dyDescent="0.25">
      <c r="E815" s="96" t="s">
        <v>7213</v>
      </c>
      <c r="F815" s="87">
        <f ca="1">SUM(Table35[MONTO TOTAL ESTIMADO])</f>
        <v>444198</v>
      </c>
      <c r="H815" s="39" t="str">
        <f>C791</f>
        <v>Bienes</v>
      </c>
      <c r="I815" s="39" t="str">
        <f>E791</f>
        <v>No</v>
      </c>
      <c r="J815" s="39" t="str">
        <f>D791</f>
        <v>Compras Menores</v>
      </c>
    </row>
    <row r="817" spans="1:6" ht="33.950000000000003" customHeight="1" x14ac:dyDescent="0.25">
      <c r="A817" s="77" t="s">
        <v>17233</v>
      </c>
      <c r="B817" s="77" t="s">
        <v>4237</v>
      </c>
      <c r="C817" s="77" t="s">
        <v>4743</v>
      </c>
      <c r="D817" s="77" t="s">
        <v>9891</v>
      </c>
      <c r="E817" s="77" t="s">
        <v>3089</v>
      </c>
      <c r="F817" s="77" t="s">
        <v>18141</v>
      </c>
    </row>
    <row r="818" spans="1:6" ht="14.1" customHeight="1" x14ac:dyDescent="0.25">
      <c r="A818" s="79" t="s">
        <v>19674</v>
      </c>
      <c r="B818" s="79" t="s">
        <v>19674</v>
      </c>
      <c r="C818" s="79" t="s">
        <v>17215</v>
      </c>
      <c r="D818" s="79" t="s">
        <v>17798</v>
      </c>
      <c r="E818" s="79" t="s">
        <v>18247</v>
      </c>
      <c r="F818" s="79"/>
    </row>
    <row r="819" spans="1:6" ht="14.1" customHeight="1" x14ac:dyDescent="0.25">
      <c r="A819" s="2" t="s">
        <v>6643</v>
      </c>
      <c r="B819" s="80" t="s">
        <v>1046</v>
      </c>
      <c r="C819" s="90">
        <v>43556</v>
      </c>
      <c r="D819" s="2" t="s">
        <v>59</v>
      </c>
      <c r="E819" s="92" t="s">
        <v>20066</v>
      </c>
      <c r="F819" s="93"/>
    </row>
    <row r="820" spans="1:6" ht="14.1" customHeight="1" x14ac:dyDescent="0.25">
      <c r="A820" s="1"/>
      <c r="B820" s="80" t="s">
        <v>10788</v>
      </c>
      <c r="C820" s="91">
        <f>IF(C819="","",IF(AND(MONTH(C819)&gt;=1,MONTH(C819)&lt;=3),1,IF(AND(MONTH(C819)&gt;=4,MONTH(C819)&lt;=6),2,IF(AND(MONTH(C819)&gt;=7,MONTH(C819)&lt;=9),3,4))))</f>
        <v>2</v>
      </c>
      <c r="D820" s="1"/>
      <c r="E820" s="92" t="s">
        <v>14822</v>
      </c>
      <c r="F820" s="93"/>
    </row>
    <row r="821" spans="1:6" ht="14.1" customHeight="1" x14ac:dyDescent="0.25">
      <c r="A821" s="1"/>
      <c r="B821" s="80" t="s">
        <v>13758</v>
      </c>
      <c r="C821" s="90">
        <v>43644</v>
      </c>
      <c r="D821" s="1"/>
      <c r="E821" s="92" t="s">
        <v>18636</v>
      </c>
      <c r="F821" s="93"/>
    </row>
    <row r="822" spans="1:6" ht="14.1" customHeight="1" x14ac:dyDescent="0.25">
      <c r="A822" s="1"/>
      <c r="B822" s="80" t="s">
        <v>10788</v>
      </c>
      <c r="C822" s="91">
        <f>IF(C821="","",IF(AND(MONTH(C821)&gt;=1,MONTH(C821)&lt;=3),1,IF(AND(MONTH(C821)&gt;=4,MONTH(C821)&lt;=6),2,IF(AND(MONTH(C821)&gt;=7,MONTH(C821)&lt;=9),3,4))))</f>
        <v>2</v>
      </c>
      <c r="D822" s="1"/>
      <c r="E822" s="92" t="s">
        <v>15990</v>
      </c>
      <c r="F822" s="93"/>
    </row>
    <row r="824" spans="1:6" ht="14.1" customHeight="1" x14ac:dyDescent="0.25">
      <c r="A824" s="85" t="s">
        <v>15474</v>
      </c>
      <c r="B824" s="85" t="s">
        <v>5027</v>
      </c>
      <c r="C824" s="85" t="s">
        <v>17461</v>
      </c>
      <c r="D824" s="85" t="s">
        <v>3935</v>
      </c>
      <c r="E824" s="85" t="s">
        <v>10722</v>
      </c>
      <c r="F824" s="85" t="s">
        <v>18237</v>
      </c>
    </row>
    <row r="825" spans="1:6" ht="14.1" customHeight="1" x14ac:dyDescent="0.25">
      <c r="A825" s="94" t="s">
        <v>8625</v>
      </c>
      <c r="B825" s="82" t="str">
        <f ca="1">IFERROR(INDEX(UNSPSCDes,MATCH(INDIRECT(ADDRESS(ROW(),COLUMN()-1,4)),UNSPSCCode,0)),IF(INDIRECT(ADDRESS(ROW(),COLUMN()-1,4))="23153023","Arnés del alimentador",""))</f>
        <v>Arnés del alimentador</v>
      </c>
      <c r="C825" s="95" t="str">
        <f>IFERROR(VLOOKUP("UD",'Informacion '!P:Q,2,FALSE),"")</f>
        <v>Unidad</v>
      </c>
      <c r="D825" s="94">
        <v>1</v>
      </c>
      <c r="E825" s="84">
        <v>3950</v>
      </c>
      <c r="F825" s="83">
        <f t="shared" ref="F825:F832" ca="1" si="25">INDIRECT(ADDRESS(ROW(),COLUMN()-2,4))*INDIRECT(ADDRESS(ROW(),COLUMN()-1,4))</f>
        <v>3950</v>
      </c>
    </row>
    <row r="826" spans="1:6" ht="14.1" customHeight="1" x14ac:dyDescent="0.25">
      <c r="A826" s="94" t="s">
        <v>10418</v>
      </c>
      <c r="B826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26" s="95" t="str">
        <f>IFERROR(VLOOKUP("UD",'Informacion '!P:Q,2,FALSE),"")</f>
        <v>Unidad</v>
      </c>
      <c r="D826" s="94">
        <v>15</v>
      </c>
      <c r="E826" s="84">
        <v>165</v>
      </c>
      <c r="F826" s="83">
        <f t="shared" ca="1" si="25"/>
        <v>2475</v>
      </c>
    </row>
    <row r="827" spans="1:6" ht="14.1" customHeight="1" x14ac:dyDescent="0.25">
      <c r="A827" s="94" t="s">
        <v>10418</v>
      </c>
      <c r="B827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27" s="95" t="str">
        <f>IFERROR(VLOOKUP("UD",'Informacion '!P:Q,2,FALSE),"")</f>
        <v>Unidad</v>
      </c>
      <c r="D827" s="94">
        <v>18</v>
      </c>
      <c r="E827" s="84">
        <v>800</v>
      </c>
      <c r="F827" s="83">
        <f t="shared" ca="1" si="25"/>
        <v>14400</v>
      </c>
    </row>
    <row r="828" spans="1:6" ht="14.1" customHeight="1" x14ac:dyDescent="0.25">
      <c r="A828" s="94" t="s">
        <v>6133</v>
      </c>
      <c r="B828" s="82" t="str">
        <f ca="1">IFERROR(INDEX(UNSPSCDes,MATCH(INDIRECT(ADDRESS(ROW(),COLUMN()-1,4)),UNSPSCCode,0)),IF(INDIRECT(ADDRESS(ROW(),COLUMN()-1,4))="31211903","Equipo para protección",""))</f>
        <v>Equipo para protección</v>
      </c>
      <c r="C828" s="95" t="str">
        <f>IFERROR(VLOOKUP("UD",'Informacion '!P:Q,2,FALSE),"")</f>
        <v>Unidad</v>
      </c>
      <c r="D828" s="94">
        <v>90</v>
      </c>
      <c r="E828" s="84">
        <v>300</v>
      </c>
      <c r="F828" s="83">
        <f t="shared" ca="1" si="25"/>
        <v>27000</v>
      </c>
    </row>
    <row r="829" spans="1:6" ht="14.1" customHeight="1" x14ac:dyDescent="0.25">
      <c r="A829" s="94" t="s">
        <v>16369</v>
      </c>
      <c r="B829" s="82" t="str">
        <f ca="1">IFERROR(INDEX(UNSPSCDes,MATCH(INDIRECT(ADDRESS(ROW(),COLUMN()-1,4)),UNSPSCCode,0)),IF(INDIRECT(ADDRESS(ROW(),COLUMN()-1,4))="42131611","Gorros o capuchas para cirujano",""))</f>
        <v>Gorros o capuchas para cirujano</v>
      </c>
      <c r="C829" s="95" t="str">
        <f>IFERROR(VLOOKUP("UD",'Informacion '!P:Q,2,FALSE),"")</f>
        <v>Unidad</v>
      </c>
      <c r="D829" s="94">
        <v>350</v>
      </c>
      <c r="E829" s="84">
        <v>300</v>
      </c>
      <c r="F829" s="83">
        <f t="shared" ca="1" si="25"/>
        <v>105000</v>
      </c>
    </row>
    <row r="830" spans="1:6" ht="14.1" customHeight="1" x14ac:dyDescent="0.25">
      <c r="A830" s="94" t="s">
        <v>7717</v>
      </c>
      <c r="B830" s="82" t="str">
        <f ca="1">IFERROR(INDEX(UNSPSCDes,MATCH(INDIRECT(ADDRESS(ROW(),COLUMN()-1,4)),UNSPSCCode,0)),IF(INDIRECT(ADDRESS(ROW(),COLUMN()-1,4))="42131509","Batas de hospital",""))</f>
        <v>Batas de hospital</v>
      </c>
      <c r="C830" s="95" t="str">
        <f>IFERROR(VLOOKUP("UD",'Informacion '!P:Q,2,FALSE),"")</f>
        <v>Unidad</v>
      </c>
      <c r="D830" s="94">
        <v>60</v>
      </c>
      <c r="E830" s="84">
        <v>2200</v>
      </c>
      <c r="F830" s="83">
        <f t="shared" ca="1" si="25"/>
        <v>132000</v>
      </c>
    </row>
    <row r="831" spans="1:6" ht="14.1" customHeight="1" x14ac:dyDescent="0.25">
      <c r="A831" s="94" t="s">
        <v>10418</v>
      </c>
      <c r="B831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31" s="95" t="str">
        <f>IFERROR(VLOOKUP("UD",'Informacion '!P:Q,2,FALSE),"")</f>
        <v>Unidad</v>
      </c>
      <c r="D831" s="94">
        <v>200</v>
      </c>
      <c r="E831" s="84">
        <v>85</v>
      </c>
      <c r="F831" s="83">
        <f t="shared" ca="1" si="25"/>
        <v>17000</v>
      </c>
    </row>
    <row r="832" spans="1:6" ht="14.1" customHeight="1" x14ac:dyDescent="0.25">
      <c r="A832" s="94" t="s">
        <v>6133</v>
      </c>
      <c r="B832" s="82" t="str">
        <f ca="1">IFERROR(INDEX(UNSPSCDes,MATCH(INDIRECT(ADDRESS(ROW(),COLUMN()-1,4)),UNSPSCCode,0)),IF(INDIRECT(ADDRESS(ROW(),COLUMN()-1,4))="31211903","Equipo para protección",""))</f>
        <v>Equipo para protección</v>
      </c>
      <c r="C832" s="95" t="str">
        <f>IFERROR(VLOOKUP("UD",'Informacion '!P:Q,2,FALSE),"")</f>
        <v>Unidad</v>
      </c>
      <c r="D832" s="94">
        <v>30</v>
      </c>
      <c r="E832" s="84">
        <v>2825</v>
      </c>
      <c r="F832" s="83">
        <f t="shared" ca="1" si="25"/>
        <v>84750</v>
      </c>
    </row>
    <row r="833" spans="1:10" ht="14.1" customHeight="1" x14ac:dyDescent="0.25">
      <c r="E833" s="96" t="s">
        <v>7213</v>
      </c>
      <c r="F833" s="87">
        <f ca="1">SUM(Table36[MONTO TOTAL ESTIMADO])</f>
        <v>386575</v>
      </c>
      <c r="H833" s="39" t="str">
        <f>C818</f>
        <v>Bienes</v>
      </c>
      <c r="I833" s="39" t="str">
        <f>E818</f>
        <v>No</v>
      </c>
      <c r="J833" s="39" t="str">
        <f>D818</f>
        <v>Compras Menores</v>
      </c>
    </row>
    <row r="835" spans="1:10" ht="33.950000000000003" customHeight="1" x14ac:dyDescent="0.25">
      <c r="A835" s="77" t="s">
        <v>17233</v>
      </c>
      <c r="B835" s="77" t="s">
        <v>4237</v>
      </c>
      <c r="C835" s="77" t="s">
        <v>4743</v>
      </c>
      <c r="D835" s="77" t="s">
        <v>9891</v>
      </c>
      <c r="E835" s="77" t="s">
        <v>3089</v>
      </c>
      <c r="F835" s="77" t="s">
        <v>18141</v>
      </c>
    </row>
    <row r="836" spans="1:10" ht="14.1" customHeight="1" x14ac:dyDescent="0.25">
      <c r="A836" s="79" t="s">
        <v>11776</v>
      </c>
      <c r="B836" s="79" t="s">
        <v>5672</v>
      </c>
      <c r="C836" s="79" t="s">
        <v>17215</v>
      </c>
      <c r="D836" s="79" t="s">
        <v>17798</v>
      </c>
      <c r="E836" s="79" t="s">
        <v>18247</v>
      </c>
      <c r="F836" s="79"/>
    </row>
    <row r="837" spans="1:10" ht="14.1" customHeight="1" x14ac:dyDescent="0.25">
      <c r="A837" s="2" t="s">
        <v>6643</v>
      </c>
      <c r="B837" s="80" t="s">
        <v>1046</v>
      </c>
      <c r="C837" s="90">
        <v>43647</v>
      </c>
      <c r="D837" s="2" t="s">
        <v>59</v>
      </c>
      <c r="E837" s="92" t="s">
        <v>20066</v>
      </c>
      <c r="F837" s="93"/>
    </row>
    <row r="838" spans="1:10" ht="14.1" customHeight="1" x14ac:dyDescent="0.25">
      <c r="A838" s="1"/>
      <c r="B838" s="80" t="s">
        <v>10788</v>
      </c>
      <c r="C838" s="91">
        <f>IF(C837="","",IF(AND(MONTH(C837)&gt;=1,MONTH(C837)&lt;=3),1,IF(AND(MONTH(C837)&gt;=4,MONTH(C837)&lt;=6),2,IF(AND(MONTH(C837)&gt;=7,MONTH(C837)&lt;=9),3,4))))</f>
        <v>3</v>
      </c>
      <c r="D838" s="1"/>
      <c r="E838" s="92" t="s">
        <v>14822</v>
      </c>
      <c r="F838" s="93"/>
    </row>
    <row r="839" spans="1:10" ht="14.1" customHeight="1" x14ac:dyDescent="0.25">
      <c r="A839" s="1"/>
      <c r="B839" s="80" t="s">
        <v>13758</v>
      </c>
      <c r="C839" s="90">
        <v>43738</v>
      </c>
      <c r="D839" s="1"/>
      <c r="E839" s="92" t="s">
        <v>18636</v>
      </c>
      <c r="F839" s="93"/>
    </row>
    <row r="840" spans="1:10" ht="14.1" customHeight="1" x14ac:dyDescent="0.25">
      <c r="A840" s="1"/>
      <c r="B840" s="80" t="s">
        <v>10788</v>
      </c>
      <c r="C840" s="91">
        <f>IF(C839="","",IF(AND(MONTH(C839)&gt;=1,MONTH(C839)&lt;=3),1,IF(AND(MONTH(C839)&gt;=4,MONTH(C839)&lt;=6),2,IF(AND(MONTH(C839)&gt;=7,MONTH(C839)&lt;=9),3,4))))</f>
        <v>3</v>
      </c>
      <c r="D840" s="1"/>
      <c r="E840" s="92" t="s">
        <v>15990</v>
      </c>
      <c r="F840" s="93"/>
    </row>
    <row r="842" spans="1:10" ht="14.1" customHeight="1" x14ac:dyDescent="0.25">
      <c r="A842" s="85" t="s">
        <v>15474</v>
      </c>
      <c r="B842" s="85" t="s">
        <v>5027</v>
      </c>
      <c r="C842" s="85" t="s">
        <v>17461</v>
      </c>
      <c r="D842" s="85" t="s">
        <v>3935</v>
      </c>
      <c r="E842" s="85" t="s">
        <v>10722</v>
      </c>
      <c r="F842" s="85" t="s">
        <v>18237</v>
      </c>
    </row>
    <row r="843" spans="1:10" ht="14.1" customHeight="1" x14ac:dyDescent="0.25">
      <c r="A843" s="94" t="s">
        <v>9554</v>
      </c>
      <c r="B843" s="82" t="str">
        <f ca="1">IFERROR(INDEX(UNSPSCDes,MATCH(INDIRECT(ADDRESS(ROW(),COLUMN()-1,4)),UNSPSCCode,0)),IF(INDIRECT(ADDRESS(ROW(),COLUMN()-1,4))="31241501","Lentes",""))</f>
        <v>Lentes</v>
      </c>
      <c r="C843" s="95" t="str">
        <f>IFERROR(VLOOKUP("UD",'Informacion '!P:Q,2,FALSE),"")</f>
        <v>Unidad</v>
      </c>
      <c r="D843" s="94">
        <v>8</v>
      </c>
      <c r="E843" s="84">
        <v>300</v>
      </c>
      <c r="F843" s="83">
        <f t="shared" ref="F843:F853" ca="1" si="26">INDIRECT(ADDRESS(ROW(),COLUMN()-2,4))*INDIRECT(ADDRESS(ROW(),COLUMN()-1,4))</f>
        <v>2400</v>
      </c>
    </row>
    <row r="844" spans="1:10" ht="14.1" customHeight="1" x14ac:dyDescent="0.25">
      <c r="A844" s="94" t="s">
        <v>5006</v>
      </c>
      <c r="B844" s="82" t="str">
        <f ca="1">IFERROR(INDEX(UNSPSCDes,MATCH(INDIRECT(ADDRESS(ROW(),COLUMN()-1,4)),UNSPSCCode,0)),IF(INDIRECT(ADDRESS(ROW(),COLUMN()-1,4))="27113101","Cinta guía",""))</f>
        <v>Cinta guía</v>
      </c>
      <c r="C844" s="95" t="str">
        <f>IFERROR(VLOOKUP("UD",'Informacion '!P:Q,2,FALSE),"")</f>
        <v>Unidad</v>
      </c>
      <c r="D844" s="94">
        <v>1</v>
      </c>
      <c r="E844" s="84">
        <v>785</v>
      </c>
      <c r="F844" s="83">
        <f t="shared" ca="1" si="26"/>
        <v>785</v>
      </c>
    </row>
    <row r="845" spans="1:10" ht="14.1" customHeight="1" x14ac:dyDescent="0.25">
      <c r="A845" s="94" t="s">
        <v>4929</v>
      </c>
      <c r="B845" s="82" t="str">
        <f ca="1">IFERROR(INDEX(UNSPSCDes,MATCH(INDIRECT(ADDRESS(ROW(),COLUMN()-1,4)),UNSPSCCode,0)),IF(INDIRECT(ADDRESS(ROW(),COLUMN()-1,4))="49141506","Trajes isotérmicos",""))</f>
        <v>Trajes isotérmicos</v>
      </c>
      <c r="C845" s="95" t="str">
        <f>IFERROR(VLOOKUP("UD",'Informacion '!P:Q,2,FALSE),"")</f>
        <v>Unidad</v>
      </c>
      <c r="D845" s="94">
        <v>8</v>
      </c>
      <c r="E845" s="84">
        <v>1400</v>
      </c>
      <c r="F845" s="83">
        <f t="shared" ca="1" si="26"/>
        <v>11200</v>
      </c>
    </row>
    <row r="846" spans="1:10" ht="14.1" customHeight="1" x14ac:dyDescent="0.25">
      <c r="A846" s="94" t="s">
        <v>1637</v>
      </c>
      <c r="B846" s="82" t="str">
        <f ca="1">IFERROR(INDEX(UNSPSCDes,MATCH(INDIRECT(ADDRESS(ROW(),COLUMN()-1,4)),UNSPSCCode,0)),IF(INDIRECT(ADDRESS(ROW(),COLUMN()-1,4))="53111501","Botas para hombre",""))</f>
        <v>Botas para hombre</v>
      </c>
      <c r="C846" s="95" t="str">
        <f>IFERROR(VLOOKUP("UD",'Informacion '!P:Q,2,FALSE),"")</f>
        <v>Unidad</v>
      </c>
      <c r="D846" s="94">
        <v>5</v>
      </c>
      <c r="E846" s="84">
        <v>390</v>
      </c>
      <c r="F846" s="83">
        <f t="shared" ca="1" si="26"/>
        <v>1950</v>
      </c>
    </row>
    <row r="847" spans="1:10" ht="14.1" customHeight="1" x14ac:dyDescent="0.25">
      <c r="A847" s="94" t="s">
        <v>10418</v>
      </c>
      <c r="B847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47" s="95" t="str">
        <f>IFERROR(VLOOKUP("UD",'Informacion '!P:Q,2,FALSE),"")</f>
        <v>Unidad</v>
      </c>
      <c r="D847" s="94">
        <v>15</v>
      </c>
      <c r="E847" s="84">
        <v>165.2</v>
      </c>
      <c r="F847" s="83">
        <f t="shared" ca="1" si="26"/>
        <v>2478</v>
      </c>
    </row>
    <row r="848" spans="1:10" ht="14.1" customHeight="1" x14ac:dyDescent="0.25">
      <c r="A848" s="94" t="s">
        <v>10418</v>
      </c>
      <c r="B848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48" s="95" t="str">
        <f>IFERROR(VLOOKUP("CAJ",'Informacion '!P:Q,2,FALSE),"")</f>
        <v>Caja</v>
      </c>
      <c r="D848" s="94">
        <v>18</v>
      </c>
      <c r="E848" s="84">
        <v>800</v>
      </c>
      <c r="F848" s="83">
        <f t="shared" ca="1" si="26"/>
        <v>14400</v>
      </c>
    </row>
    <row r="849" spans="1:10" ht="14.1" customHeight="1" x14ac:dyDescent="0.25">
      <c r="A849" s="94" t="s">
        <v>6133</v>
      </c>
      <c r="B849" s="82" t="str">
        <f ca="1">IFERROR(INDEX(UNSPSCDes,MATCH(INDIRECT(ADDRESS(ROW(),COLUMN()-1,4)),UNSPSCCode,0)),IF(INDIRECT(ADDRESS(ROW(),COLUMN()-1,4))="31211903","Equipo para protección",""))</f>
        <v>Equipo para protección</v>
      </c>
      <c r="C849" s="95" t="str">
        <f>IFERROR(VLOOKUP("CAJ",'Informacion '!P:Q,2,FALSE),"")</f>
        <v>Caja</v>
      </c>
      <c r="D849" s="94">
        <v>90</v>
      </c>
      <c r="E849" s="84">
        <v>300</v>
      </c>
      <c r="F849" s="83">
        <f t="shared" ca="1" si="26"/>
        <v>27000</v>
      </c>
    </row>
    <row r="850" spans="1:10" ht="14.1" customHeight="1" x14ac:dyDescent="0.25">
      <c r="A850" s="94" t="s">
        <v>16369</v>
      </c>
      <c r="B850" s="82" t="str">
        <f ca="1">IFERROR(INDEX(UNSPSCDes,MATCH(INDIRECT(ADDRESS(ROW(),COLUMN()-1,4)),UNSPSCCode,0)),IF(INDIRECT(ADDRESS(ROW(),COLUMN()-1,4))="42131611","Gorros o capuchas para cirujano",""))</f>
        <v>Gorros o capuchas para cirujano</v>
      </c>
      <c r="C850" s="95" t="str">
        <f>IFERROR(VLOOKUP("CAJ",'Informacion '!P:Q,2,FALSE),"")</f>
        <v>Caja</v>
      </c>
      <c r="D850" s="94">
        <v>350</v>
      </c>
      <c r="E850" s="84">
        <v>300</v>
      </c>
      <c r="F850" s="83">
        <f t="shared" ca="1" si="26"/>
        <v>105000</v>
      </c>
    </row>
    <row r="851" spans="1:10" ht="14.1" customHeight="1" x14ac:dyDescent="0.25">
      <c r="A851" s="94" t="s">
        <v>7717</v>
      </c>
      <c r="B851" s="82" t="str">
        <f ca="1">IFERROR(INDEX(UNSPSCDes,MATCH(INDIRECT(ADDRESS(ROW(),COLUMN()-1,4)),UNSPSCCode,0)),IF(INDIRECT(ADDRESS(ROW(),COLUMN()-1,4))="42131509","Batas de hospital",""))</f>
        <v>Batas de hospital</v>
      </c>
      <c r="C851" s="95" t="str">
        <f>IFERROR(VLOOKUP("CAJ",'Informacion '!P:Q,2,FALSE),"")</f>
        <v>Caja</v>
      </c>
      <c r="D851" s="94">
        <v>60</v>
      </c>
      <c r="E851" s="84">
        <v>2200</v>
      </c>
      <c r="F851" s="83">
        <f t="shared" ca="1" si="26"/>
        <v>132000</v>
      </c>
    </row>
    <row r="852" spans="1:10" ht="14.1" customHeight="1" x14ac:dyDescent="0.25">
      <c r="A852" s="94" t="s">
        <v>10418</v>
      </c>
      <c r="B852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52" s="95" t="str">
        <f>IFERROR(VLOOKUP("UD",'Informacion '!P:Q,2,FALSE),"")</f>
        <v>Unidad</v>
      </c>
      <c r="D852" s="94">
        <v>200</v>
      </c>
      <c r="E852" s="84">
        <v>85</v>
      </c>
      <c r="F852" s="83">
        <f t="shared" ca="1" si="26"/>
        <v>17000</v>
      </c>
    </row>
    <row r="853" spans="1:10" ht="14.1" customHeight="1" x14ac:dyDescent="0.25">
      <c r="A853" s="94" t="s">
        <v>6133</v>
      </c>
      <c r="B853" s="82" t="str">
        <f ca="1">IFERROR(INDEX(UNSPSCDes,MATCH(INDIRECT(ADDRESS(ROW(),COLUMN()-1,4)),UNSPSCCode,0)),IF(INDIRECT(ADDRESS(ROW(),COLUMN()-1,4))="31211903","Equipo para protección",""))</f>
        <v>Equipo para protección</v>
      </c>
      <c r="C853" s="95" t="str">
        <f>IFERROR(VLOOKUP("CAJ",'Informacion '!P:Q,2,FALSE),"")</f>
        <v>Caja</v>
      </c>
      <c r="D853" s="94">
        <v>30</v>
      </c>
      <c r="E853" s="84">
        <v>2825</v>
      </c>
      <c r="F853" s="83">
        <f t="shared" ca="1" si="26"/>
        <v>84750</v>
      </c>
    </row>
    <row r="854" spans="1:10" ht="14.1" customHeight="1" x14ac:dyDescent="0.25">
      <c r="E854" s="96" t="s">
        <v>7213</v>
      </c>
      <c r="F854" s="87">
        <f ca="1">SUM(Table37[MONTO TOTAL ESTIMADO])</f>
        <v>398963</v>
      </c>
      <c r="H854" s="39" t="str">
        <f>C836</f>
        <v>Bienes</v>
      </c>
      <c r="I854" s="39" t="str">
        <f>E836</f>
        <v>No</v>
      </c>
      <c r="J854" s="39" t="str">
        <f>D836</f>
        <v>Compras Menores</v>
      </c>
    </row>
    <row r="856" spans="1:10" ht="33.950000000000003" customHeight="1" x14ac:dyDescent="0.25">
      <c r="A856" s="77" t="s">
        <v>17233</v>
      </c>
      <c r="B856" s="77" t="s">
        <v>4237</v>
      </c>
      <c r="C856" s="77" t="s">
        <v>4743</v>
      </c>
      <c r="D856" s="77" t="s">
        <v>9891</v>
      </c>
      <c r="E856" s="77" t="s">
        <v>3089</v>
      </c>
      <c r="F856" s="77" t="s">
        <v>18141</v>
      </c>
    </row>
    <row r="857" spans="1:10" ht="14.1" customHeight="1" x14ac:dyDescent="0.25">
      <c r="A857" s="79" t="s">
        <v>4901</v>
      </c>
      <c r="B857" s="79" t="s">
        <v>17468</v>
      </c>
      <c r="C857" s="79" t="s">
        <v>17215</v>
      </c>
      <c r="D857" s="79" t="s">
        <v>17798</v>
      </c>
      <c r="E857" s="79" t="s">
        <v>18247</v>
      </c>
      <c r="F857" s="79"/>
    </row>
    <row r="858" spans="1:10" ht="14.1" customHeight="1" x14ac:dyDescent="0.25">
      <c r="A858" s="2" t="s">
        <v>6643</v>
      </c>
      <c r="B858" s="80" t="s">
        <v>1046</v>
      </c>
      <c r="C858" s="90">
        <v>43739</v>
      </c>
      <c r="D858" s="2" t="s">
        <v>59</v>
      </c>
      <c r="E858" s="92" t="s">
        <v>20066</v>
      </c>
      <c r="F858" s="93"/>
    </row>
    <row r="859" spans="1:10" ht="14.1" customHeight="1" x14ac:dyDescent="0.25">
      <c r="A859" s="1"/>
      <c r="B859" s="80" t="s">
        <v>10788</v>
      </c>
      <c r="C859" s="91">
        <f>IF(C858="","",IF(AND(MONTH(C858)&gt;=1,MONTH(C858)&lt;=3),1,IF(AND(MONTH(C858)&gt;=4,MONTH(C858)&lt;=6),2,IF(AND(MONTH(C858)&gt;=7,MONTH(C858)&lt;=9),3,4))))</f>
        <v>4</v>
      </c>
      <c r="D859" s="1"/>
      <c r="E859" s="92" t="s">
        <v>14822</v>
      </c>
      <c r="F859" s="93"/>
    </row>
    <row r="860" spans="1:10" ht="14.1" customHeight="1" x14ac:dyDescent="0.25">
      <c r="A860" s="1"/>
      <c r="B860" s="80" t="s">
        <v>13758</v>
      </c>
      <c r="C860" s="90">
        <v>43829</v>
      </c>
      <c r="D860" s="1"/>
      <c r="E860" s="92" t="s">
        <v>18636</v>
      </c>
      <c r="F860" s="93"/>
    </row>
    <row r="861" spans="1:10" ht="14.1" customHeight="1" x14ac:dyDescent="0.25">
      <c r="A861" s="1"/>
      <c r="B861" s="80" t="s">
        <v>10788</v>
      </c>
      <c r="C861" s="91">
        <f>IF(C860="","",IF(AND(MONTH(C860)&gt;=1,MONTH(C860)&lt;=3),1,IF(AND(MONTH(C860)&gt;=4,MONTH(C860)&lt;=6),2,IF(AND(MONTH(C860)&gt;=7,MONTH(C860)&lt;=9),3,4))))</f>
        <v>4</v>
      </c>
      <c r="D861" s="1"/>
      <c r="E861" s="92" t="s">
        <v>15990</v>
      </c>
      <c r="F861" s="93"/>
    </row>
    <row r="863" spans="1:10" ht="14.1" customHeight="1" x14ac:dyDescent="0.25">
      <c r="A863" s="85" t="s">
        <v>15474</v>
      </c>
      <c r="B863" s="85" t="s">
        <v>5027</v>
      </c>
      <c r="C863" s="85" t="s">
        <v>17461</v>
      </c>
      <c r="D863" s="85" t="s">
        <v>3935</v>
      </c>
      <c r="E863" s="85" t="s">
        <v>10722</v>
      </c>
      <c r="F863" s="85" t="s">
        <v>18237</v>
      </c>
    </row>
    <row r="864" spans="1:10" ht="14.1" customHeight="1" x14ac:dyDescent="0.25">
      <c r="A864" s="94" t="s">
        <v>10418</v>
      </c>
      <c r="B864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64" s="95" t="str">
        <f>IFERROR(VLOOKUP("UD",'Informacion '!P:Q,2,FALSE),"")</f>
        <v>Unidad</v>
      </c>
      <c r="D864" s="94">
        <v>15</v>
      </c>
      <c r="E864" s="84">
        <v>165.2</v>
      </c>
      <c r="F864" s="83">
        <f t="shared" ref="F864:F870" ca="1" si="27">INDIRECT(ADDRESS(ROW(),COLUMN()-2,4))*INDIRECT(ADDRESS(ROW(),COLUMN()-1,4))</f>
        <v>2478</v>
      </c>
    </row>
    <row r="865" spans="1:10" ht="14.1" customHeight="1" x14ac:dyDescent="0.25">
      <c r="A865" s="94" t="s">
        <v>10418</v>
      </c>
      <c r="B865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65" s="95" t="str">
        <f>IFERROR(VLOOKUP("CAJ",'Informacion '!P:Q,2,FALSE),"")</f>
        <v>Caja</v>
      </c>
      <c r="D865" s="94">
        <v>18</v>
      </c>
      <c r="E865" s="84">
        <v>800</v>
      </c>
      <c r="F865" s="83">
        <f t="shared" ca="1" si="27"/>
        <v>14400</v>
      </c>
    </row>
    <row r="866" spans="1:10" ht="14.1" customHeight="1" x14ac:dyDescent="0.25">
      <c r="A866" s="94" t="s">
        <v>6133</v>
      </c>
      <c r="B866" s="82" t="str">
        <f ca="1">IFERROR(INDEX(UNSPSCDes,MATCH(INDIRECT(ADDRESS(ROW(),COLUMN()-1,4)),UNSPSCCode,0)),IF(INDIRECT(ADDRESS(ROW(),COLUMN()-1,4))="31211903","Equipo para protección",""))</f>
        <v>Equipo para protección</v>
      </c>
      <c r="C866" s="95" t="str">
        <f>IFERROR(VLOOKUP("CAJ",'Informacion '!P:Q,2,FALSE),"")</f>
        <v>Caja</v>
      </c>
      <c r="D866" s="94">
        <v>90</v>
      </c>
      <c r="E866" s="84">
        <v>300</v>
      </c>
      <c r="F866" s="83">
        <f t="shared" ca="1" si="27"/>
        <v>27000</v>
      </c>
    </row>
    <row r="867" spans="1:10" ht="14.1" customHeight="1" x14ac:dyDescent="0.25">
      <c r="A867" s="94" t="s">
        <v>16369</v>
      </c>
      <c r="B867" s="82" t="str">
        <f ca="1">IFERROR(INDEX(UNSPSCDes,MATCH(INDIRECT(ADDRESS(ROW(),COLUMN()-1,4)),UNSPSCCode,0)),IF(INDIRECT(ADDRESS(ROW(),COLUMN()-1,4))="42131611","Gorros o capuchas para cirujano",""))</f>
        <v>Gorros o capuchas para cirujano</v>
      </c>
      <c r="C867" s="95" t="str">
        <f>IFERROR(VLOOKUP("CAJ",'Informacion '!P:Q,2,FALSE),"")</f>
        <v>Caja</v>
      </c>
      <c r="D867" s="94">
        <v>350</v>
      </c>
      <c r="E867" s="84">
        <v>300</v>
      </c>
      <c r="F867" s="83">
        <f t="shared" ca="1" si="27"/>
        <v>105000</v>
      </c>
    </row>
    <row r="868" spans="1:10" ht="14.1" customHeight="1" x14ac:dyDescent="0.25">
      <c r="A868" s="94" t="s">
        <v>7717</v>
      </c>
      <c r="B868" s="82" t="str">
        <f ca="1">IFERROR(INDEX(UNSPSCDes,MATCH(INDIRECT(ADDRESS(ROW(),COLUMN()-1,4)),UNSPSCCode,0)),IF(INDIRECT(ADDRESS(ROW(),COLUMN()-1,4))="42131509","Batas de hospital",""))</f>
        <v>Batas de hospital</v>
      </c>
      <c r="C868" s="95" t="str">
        <f>IFERROR(VLOOKUP("CAJ",'Informacion '!P:Q,2,FALSE),"")</f>
        <v>Caja</v>
      </c>
      <c r="D868" s="94">
        <v>60</v>
      </c>
      <c r="E868" s="84">
        <v>2200</v>
      </c>
      <c r="F868" s="83">
        <f t="shared" ca="1" si="27"/>
        <v>132000</v>
      </c>
    </row>
    <row r="869" spans="1:10" ht="14.1" customHeight="1" x14ac:dyDescent="0.25">
      <c r="A869" s="94" t="s">
        <v>10418</v>
      </c>
      <c r="B869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869" s="95" t="str">
        <f>IFERROR(VLOOKUP("UD",'Informacion '!P:Q,2,FALSE),"")</f>
        <v>Unidad</v>
      </c>
      <c r="D869" s="94">
        <v>200</v>
      </c>
      <c r="E869" s="84">
        <v>85</v>
      </c>
      <c r="F869" s="83">
        <f t="shared" ca="1" si="27"/>
        <v>17000</v>
      </c>
    </row>
    <row r="870" spans="1:10" ht="14.1" customHeight="1" x14ac:dyDescent="0.25">
      <c r="A870" s="94" t="s">
        <v>6133</v>
      </c>
      <c r="B870" s="82" t="str">
        <f ca="1">IFERROR(INDEX(UNSPSCDes,MATCH(INDIRECT(ADDRESS(ROW(),COLUMN()-1,4)),UNSPSCCode,0)),IF(INDIRECT(ADDRESS(ROW(),COLUMN()-1,4))="31211903","Equipo para protección",""))</f>
        <v>Equipo para protección</v>
      </c>
      <c r="C870" s="95" t="str">
        <f>IFERROR(VLOOKUP("CAJ",'Informacion '!P:Q,2,FALSE),"")</f>
        <v>Caja</v>
      </c>
      <c r="D870" s="94">
        <v>30</v>
      </c>
      <c r="E870" s="84">
        <v>2825</v>
      </c>
      <c r="F870" s="83">
        <f t="shared" ca="1" si="27"/>
        <v>84750</v>
      </c>
    </row>
    <row r="871" spans="1:10" ht="14.1" customHeight="1" x14ac:dyDescent="0.25">
      <c r="E871" s="96" t="s">
        <v>7213</v>
      </c>
      <c r="F871" s="87">
        <f ca="1">SUM(Table38[MONTO TOTAL ESTIMADO])</f>
        <v>382628</v>
      </c>
      <c r="H871" s="39" t="str">
        <f>C857</f>
        <v>Bienes</v>
      </c>
      <c r="I871" s="39" t="str">
        <f>E857</f>
        <v>No</v>
      </c>
      <c r="J871" s="39" t="str">
        <f>D857</f>
        <v>Compras Menores</v>
      </c>
    </row>
    <row r="873" spans="1:10" ht="33.950000000000003" customHeight="1" x14ac:dyDescent="0.25">
      <c r="A873" s="77" t="s">
        <v>17233</v>
      </c>
      <c r="B873" s="77" t="s">
        <v>4237</v>
      </c>
      <c r="C873" s="77" t="s">
        <v>4743</v>
      </c>
      <c r="D873" s="77" t="s">
        <v>9891</v>
      </c>
      <c r="E873" s="77" t="s">
        <v>3089</v>
      </c>
      <c r="F873" s="77" t="s">
        <v>18141</v>
      </c>
    </row>
    <row r="874" spans="1:10" ht="14.1" customHeight="1" x14ac:dyDescent="0.25">
      <c r="A874" s="79" t="s">
        <v>13233</v>
      </c>
      <c r="B874" s="79" t="s">
        <v>14727</v>
      </c>
      <c r="C874" s="79" t="s">
        <v>17215</v>
      </c>
      <c r="D874" s="79" t="s">
        <v>17798</v>
      </c>
      <c r="E874" s="79" t="s">
        <v>18247</v>
      </c>
      <c r="F874" s="79"/>
    </row>
    <row r="875" spans="1:10" ht="14.1" customHeight="1" x14ac:dyDescent="0.25">
      <c r="A875" s="2" t="s">
        <v>6643</v>
      </c>
      <c r="B875" s="80" t="s">
        <v>1046</v>
      </c>
      <c r="C875" s="90">
        <v>43467</v>
      </c>
      <c r="D875" s="2" t="s">
        <v>59</v>
      </c>
      <c r="E875" s="92" t="s">
        <v>20066</v>
      </c>
      <c r="F875" s="93" t="s">
        <v>5684</v>
      </c>
    </row>
    <row r="876" spans="1:10" ht="14.1" customHeight="1" x14ac:dyDescent="0.25">
      <c r="A876" s="1"/>
      <c r="B876" s="80" t="s">
        <v>10788</v>
      </c>
      <c r="C876" s="91">
        <f>IF(C875="","",IF(AND(MONTH(C875)&gt;=1,MONTH(C875)&lt;=3),1,IF(AND(MONTH(C875)&gt;=4,MONTH(C875)&lt;=6),2,IF(AND(MONTH(C875)&gt;=7,MONTH(C875)&lt;=9),3,4))))</f>
        <v>1</v>
      </c>
      <c r="D876" s="1"/>
      <c r="E876" s="92" t="s">
        <v>14822</v>
      </c>
      <c r="F876" s="93"/>
    </row>
    <row r="877" spans="1:10" ht="14.1" customHeight="1" x14ac:dyDescent="0.25">
      <c r="A877" s="1"/>
      <c r="B877" s="80" t="s">
        <v>13758</v>
      </c>
      <c r="C877" s="90">
        <v>43553</v>
      </c>
      <c r="D877" s="1"/>
      <c r="E877" s="92" t="s">
        <v>18636</v>
      </c>
      <c r="F877" s="93"/>
    </row>
    <row r="878" spans="1:10" ht="14.1" customHeight="1" x14ac:dyDescent="0.25">
      <c r="A878" s="1"/>
      <c r="B878" s="80" t="s">
        <v>10788</v>
      </c>
      <c r="C878" s="91">
        <f>IF(C877="","",IF(AND(MONTH(C877)&gt;=1,MONTH(C877)&lt;=3),1,IF(AND(MONTH(C877)&gt;=4,MONTH(C877)&lt;=6),2,IF(AND(MONTH(C877)&gt;=7,MONTH(C877)&lt;=9),3,4))))</f>
        <v>1</v>
      </c>
      <c r="D878" s="1"/>
      <c r="E878" s="92" t="s">
        <v>15990</v>
      </c>
      <c r="F878" s="93"/>
    </row>
    <row r="880" spans="1:10" ht="14.1" customHeight="1" x14ac:dyDescent="0.25">
      <c r="A880" s="85" t="s">
        <v>15474</v>
      </c>
      <c r="B880" s="85" t="s">
        <v>5027</v>
      </c>
      <c r="C880" s="85" t="s">
        <v>17461</v>
      </c>
      <c r="D880" s="85" t="s">
        <v>3935</v>
      </c>
      <c r="E880" s="85" t="s">
        <v>10722</v>
      </c>
      <c r="F880" s="85" t="s">
        <v>18237</v>
      </c>
    </row>
    <row r="881" spans="1:10" ht="14.1" customHeight="1" x14ac:dyDescent="0.25">
      <c r="A881" s="94" t="s">
        <v>13911</v>
      </c>
      <c r="B881" s="82" t="str">
        <f t="shared" ref="B881:B895" ca="1" si="28">IFERROR(INDEX(UNSPSCDes,MATCH(INDIRECT(ADDRESS(ROW(),COLUMN()-1,4)),UNSPSCCode,0)),IF(INDIRECT(ADDRESS(ROW(),COLUMN()-1,4))="42292904","Suturas quirúrgicas o pasadores de alambre o productos relacionados",""))</f>
        <v>Suturas quirúrgicas o pasadores de alambre o productos relacionados</v>
      </c>
      <c r="C881" s="95" t="str">
        <f>IFERROR(VLOOKUP("CAJ",'Informacion '!P:Q,2,FALSE),"")</f>
        <v>Caja</v>
      </c>
      <c r="D881" s="94">
        <v>4</v>
      </c>
      <c r="E881" s="84">
        <v>4253.74</v>
      </c>
      <c r="F881" s="83">
        <f t="shared" ref="F881:F895" ca="1" si="29">INDIRECT(ADDRESS(ROW(),COLUMN()-2,4))*INDIRECT(ADDRESS(ROW(),COLUMN()-1,4))</f>
        <v>17014.96</v>
      </c>
    </row>
    <row r="882" spans="1:10" ht="14.1" customHeight="1" x14ac:dyDescent="0.25">
      <c r="A882" s="94" t="s">
        <v>13911</v>
      </c>
      <c r="B882" s="82" t="str">
        <f t="shared" ca="1" si="28"/>
        <v>Suturas quirúrgicas o pasadores de alambre o productos relacionados</v>
      </c>
      <c r="C882" s="95" t="str">
        <f>IFERROR(VLOOKUP("CAJ",'Informacion '!P:Q,2,FALSE),"")</f>
        <v>Caja</v>
      </c>
      <c r="D882" s="94">
        <v>6</v>
      </c>
      <c r="E882" s="84">
        <v>2675.35</v>
      </c>
      <c r="F882" s="83">
        <f t="shared" ca="1" si="29"/>
        <v>16052.099999999999</v>
      </c>
    </row>
    <row r="883" spans="1:10" ht="14.1" customHeight="1" x14ac:dyDescent="0.25">
      <c r="A883" s="94" t="s">
        <v>13911</v>
      </c>
      <c r="B883" s="82" t="str">
        <f t="shared" ca="1" si="28"/>
        <v>Suturas quirúrgicas o pasadores de alambre o productos relacionados</v>
      </c>
      <c r="C883" s="95" t="str">
        <f>IFERROR(VLOOKUP("CAJ",'Informacion '!P:Q,2,FALSE),"")</f>
        <v>Caja</v>
      </c>
      <c r="D883" s="94">
        <v>15</v>
      </c>
      <c r="E883" s="84">
        <v>1821.6</v>
      </c>
      <c r="F883" s="83">
        <f t="shared" ca="1" si="29"/>
        <v>27324</v>
      </c>
    </row>
    <row r="884" spans="1:10" ht="14.1" customHeight="1" x14ac:dyDescent="0.25">
      <c r="A884" s="94" t="s">
        <v>13911</v>
      </c>
      <c r="B884" s="82" t="str">
        <f t="shared" ca="1" si="28"/>
        <v>Suturas quirúrgicas o pasadores de alambre o productos relacionados</v>
      </c>
      <c r="C884" s="95" t="str">
        <f>IFERROR(VLOOKUP("CAJ",'Informacion '!P:Q,2,FALSE),"")</f>
        <v>Caja</v>
      </c>
      <c r="D884" s="94">
        <v>4</v>
      </c>
      <c r="E884" s="84">
        <v>1970.64</v>
      </c>
      <c r="F884" s="83">
        <f t="shared" ca="1" si="29"/>
        <v>7882.56</v>
      </c>
    </row>
    <row r="885" spans="1:10" ht="14.1" customHeight="1" x14ac:dyDescent="0.25">
      <c r="A885" s="94" t="s">
        <v>13911</v>
      </c>
      <c r="B885" s="82" t="str">
        <f t="shared" ca="1" si="28"/>
        <v>Suturas quirúrgicas o pasadores de alambre o productos relacionados</v>
      </c>
      <c r="C885" s="95" t="str">
        <f>IFERROR(VLOOKUP("CAJ",'Informacion '!P:Q,2,FALSE),"")</f>
        <v>Caja</v>
      </c>
      <c r="D885" s="94">
        <v>3</v>
      </c>
      <c r="E885" s="84">
        <v>1970.64</v>
      </c>
      <c r="F885" s="83">
        <f t="shared" ca="1" si="29"/>
        <v>5911.92</v>
      </c>
    </row>
    <row r="886" spans="1:10" ht="14.1" customHeight="1" x14ac:dyDescent="0.25">
      <c r="A886" s="94" t="s">
        <v>13911</v>
      </c>
      <c r="B886" s="82" t="str">
        <f t="shared" ca="1" si="28"/>
        <v>Suturas quirúrgicas o pasadores de alambre o productos relacionados</v>
      </c>
      <c r="C886" s="95" t="str">
        <f>IFERROR(VLOOKUP("CAJ",'Informacion '!P:Q,2,FALSE),"")</f>
        <v>Caja</v>
      </c>
      <c r="D886" s="94">
        <v>5</v>
      </c>
      <c r="E886" s="84">
        <v>2400.2399999999998</v>
      </c>
      <c r="F886" s="83">
        <f t="shared" ca="1" si="29"/>
        <v>12001.199999999999</v>
      </c>
    </row>
    <row r="887" spans="1:10" ht="14.1" customHeight="1" x14ac:dyDescent="0.25">
      <c r="A887" s="94" t="s">
        <v>13911</v>
      </c>
      <c r="B887" s="82" t="str">
        <f t="shared" ca="1" si="28"/>
        <v>Suturas quirúrgicas o pasadores de alambre o productos relacionados</v>
      </c>
      <c r="C887" s="95" t="str">
        <f>IFERROR(VLOOKUP("CAJ",'Informacion '!P:Q,2,FALSE),"")</f>
        <v>Caja</v>
      </c>
      <c r="D887" s="94">
        <v>2</v>
      </c>
      <c r="E887" s="84">
        <v>2712.96</v>
      </c>
      <c r="F887" s="83">
        <f t="shared" ca="1" si="29"/>
        <v>5425.92</v>
      </c>
    </row>
    <row r="888" spans="1:10" ht="14.1" customHeight="1" x14ac:dyDescent="0.25">
      <c r="A888" s="94" t="s">
        <v>13911</v>
      </c>
      <c r="B888" s="82" t="str">
        <f t="shared" ca="1" si="28"/>
        <v>Suturas quirúrgicas o pasadores de alambre o productos relacionados</v>
      </c>
      <c r="C888" s="95" t="str">
        <f>IFERROR(VLOOKUP("CAJ",'Informacion '!P:Q,2,FALSE),"")</f>
        <v>Caja</v>
      </c>
      <c r="D888" s="94">
        <v>12</v>
      </c>
      <c r="E888" s="84">
        <v>3681.61</v>
      </c>
      <c r="F888" s="83">
        <f t="shared" ca="1" si="29"/>
        <v>44179.32</v>
      </c>
    </row>
    <row r="889" spans="1:10" ht="14.1" customHeight="1" x14ac:dyDescent="0.25">
      <c r="A889" s="94" t="s">
        <v>13911</v>
      </c>
      <c r="B889" s="82" t="str">
        <f t="shared" ca="1" si="28"/>
        <v>Suturas quirúrgicas o pasadores de alambre o productos relacionados</v>
      </c>
      <c r="C889" s="95" t="str">
        <f>IFERROR(VLOOKUP("CAJ",'Informacion '!P:Q,2,FALSE),"")</f>
        <v>Caja</v>
      </c>
      <c r="D889" s="94">
        <v>15</v>
      </c>
      <c r="E889" s="84">
        <v>2977.47</v>
      </c>
      <c r="F889" s="83">
        <f t="shared" ca="1" si="29"/>
        <v>44662.049999999996</v>
      </c>
    </row>
    <row r="890" spans="1:10" ht="14.1" customHeight="1" x14ac:dyDescent="0.25">
      <c r="A890" s="94" t="s">
        <v>13911</v>
      </c>
      <c r="B890" s="82" t="str">
        <f t="shared" ca="1" si="28"/>
        <v>Suturas quirúrgicas o pasadores de alambre o productos relacionados</v>
      </c>
      <c r="C890" s="95" t="str">
        <f>IFERROR(VLOOKUP("CAJ",'Informacion '!P:Q,2,FALSE),"")</f>
        <v>Caja</v>
      </c>
      <c r="D890" s="94">
        <v>30</v>
      </c>
      <c r="E890" s="84">
        <v>2280.96</v>
      </c>
      <c r="F890" s="83">
        <f t="shared" ca="1" si="29"/>
        <v>68428.800000000003</v>
      </c>
    </row>
    <row r="891" spans="1:10" ht="14.1" customHeight="1" x14ac:dyDescent="0.25">
      <c r="A891" s="94" t="s">
        <v>13911</v>
      </c>
      <c r="B891" s="82" t="str">
        <f t="shared" ca="1" si="28"/>
        <v>Suturas quirúrgicas o pasadores de alambre o productos relacionados</v>
      </c>
      <c r="C891" s="95" t="str">
        <f>IFERROR(VLOOKUP("CAJ",'Informacion '!P:Q,2,FALSE),"")</f>
        <v>Caja</v>
      </c>
      <c r="D891" s="94">
        <v>2</v>
      </c>
      <c r="E891" s="84">
        <v>4290.38</v>
      </c>
      <c r="F891" s="83">
        <f t="shared" ca="1" si="29"/>
        <v>8580.76</v>
      </c>
    </row>
    <row r="892" spans="1:10" ht="14.1" customHeight="1" x14ac:dyDescent="0.25">
      <c r="A892" s="94" t="s">
        <v>13911</v>
      </c>
      <c r="B892" s="82" t="str">
        <f t="shared" ca="1" si="28"/>
        <v>Suturas quirúrgicas o pasadores de alambre o productos relacionados</v>
      </c>
      <c r="C892" s="95" t="str">
        <f>IFERROR(VLOOKUP("CAJ",'Informacion '!P:Q,2,FALSE),"")</f>
        <v>Caja</v>
      </c>
      <c r="D892" s="94">
        <v>1</v>
      </c>
      <c r="E892" s="84">
        <v>7004.89</v>
      </c>
      <c r="F892" s="83">
        <f t="shared" ca="1" si="29"/>
        <v>7004.89</v>
      </c>
    </row>
    <row r="893" spans="1:10" ht="14.1" customHeight="1" x14ac:dyDescent="0.25">
      <c r="A893" s="94" t="s">
        <v>13911</v>
      </c>
      <c r="B893" s="82" t="str">
        <f t="shared" ca="1" si="28"/>
        <v>Suturas quirúrgicas o pasadores de alambre o productos relacionados</v>
      </c>
      <c r="C893" s="95" t="str">
        <f>IFERROR(VLOOKUP("CAJ",'Informacion '!P:Q,2,FALSE),"")</f>
        <v>Caja</v>
      </c>
      <c r="D893" s="94">
        <v>1</v>
      </c>
      <c r="E893" s="84">
        <v>4425.2700000000004</v>
      </c>
      <c r="F893" s="83">
        <f t="shared" ca="1" si="29"/>
        <v>4425.2700000000004</v>
      </c>
    </row>
    <row r="894" spans="1:10" ht="14.1" customHeight="1" x14ac:dyDescent="0.25">
      <c r="A894" s="94" t="s">
        <v>13911</v>
      </c>
      <c r="B894" s="82" t="str">
        <f t="shared" ca="1" si="28"/>
        <v>Suturas quirúrgicas o pasadores de alambre o productos relacionados</v>
      </c>
      <c r="C894" s="95" t="str">
        <f>IFERROR(VLOOKUP("CAJ",'Informacion '!P:Q,2,FALSE),"")</f>
        <v>Caja</v>
      </c>
      <c r="D894" s="94">
        <v>2</v>
      </c>
      <c r="E894" s="84">
        <v>3456.24</v>
      </c>
      <c r="F894" s="83">
        <f t="shared" ca="1" si="29"/>
        <v>6912.48</v>
      </c>
    </row>
    <row r="895" spans="1:10" ht="14.1" customHeight="1" x14ac:dyDescent="0.25">
      <c r="A895" s="94" t="s">
        <v>13911</v>
      </c>
      <c r="B895" s="82" t="str">
        <f t="shared" ca="1" si="28"/>
        <v>Suturas quirúrgicas o pasadores de alambre o productos relacionados</v>
      </c>
      <c r="C895" s="95" t="str">
        <f>IFERROR(VLOOKUP("CAJ",'Informacion '!P:Q,2,FALSE),"")</f>
        <v>Caja</v>
      </c>
      <c r="D895" s="94">
        <v>1</v>
      </c>
      <c r="E895" s="84">
        <v>3499.92</v>
      </c>
      <c r="F895" s="83">
        <f t="shared" ca="1" si="29"/>
        <v>3499.92</v>
      </c>
    </row>
    <row r="896" spans="1:10" ht="14.1" customHeight="1" x14ac:dyDescent="0.25">
      <c r="E896" s="96" t="s">
        <v>7213</v>
      </c>
      <c r="F896" s="87">
        <f ca="1">SUM(Table39[MONTO TOTAL ESTIMADO])</f>
        <v>279306.14999999997</v>
      </c>
      <c r="H896" s="39" t="str">
        <f>C874</f>
        <v>Bienes</v>
      </c>
      <c r="I896" s="39" t="str">
        <f>E874</f>
        <v>No</v>
      </c>
      <c r="J896" s="39" t="str">
        <f>D874</f>
        <v>Compras Menores</v>
      </c>
    </row>
    <row r="898" spans="1:6" ht="33.950000000000003" customHeight="1" x14ac:dyDescent="0.25">
      <c r="A898" s="77" t="s">
        <v>17233</v>
      </c>
      <c r="B898" s="77" t="s">
        <v>4237</v>
      </c>
      <c r="C898" s="77" t="s">
        <v>4743</v>
      </c>
      <c r="D898" s="77" t="s">
        <v>9891</v>
      </c>
      <c r="E898" s="77" t="s">
        <v>3089</v>
      </c>
      <c r="F898" s="77" t="s">
        <v>18141</v>
      </c>
    </row>
    <row r="899" spans="1:6" ht="14.1" customHeight="1" x14ac:dyDescent="0.25">
      <c r="A899" s="79" t="s">
        <v>1594</v>
      </c>
      <c r="B899" s="79" t="s">
        <v>16709</v>
      </c>
      <c r="C899" s="79" t="s">
        <v>17215</v>
      </c>
      <c r="D899" s="79" t="s">
        <v>17798</v>
      </c>
      <c r="E899" s="79" t="s">
        <v>18247</v>
      </c>
      <c r="F899" s="79"/>
    </row>
    <row r="900" spans="1:6" ht="14.1" customHeight="1" x14ac:dyDescent="0.25">
      <c r="A900" s="2" t="s">
        <v>6643</v>
      </c>
      <c r="B900" s="80" t="s">
        <v>1046</v>
      </c>
      <c r="C900" s="90">
        <v>43556</v>
      </c>
      <c r="D900" s="2" t="s">
        <v>59</v>
      </c>
      <c r="E900" s="92" t="s">
        <v>20066</v>
      </c>
      <c r="F900" s="93" t="s">
        <v>5684</v>
      </c>
    </row>
    <row r="901" spans="1:6" ht="14.1" customHeight="1" x14ac:dyDescent="0.25">
      <c r="A901" s="1"/>
      <c r="B901" s="80" t="s">
        <v>10788</v>
      </c>
      <c r="C901" s="91">
        <f>IF(C900="","",IF(AND(MONTH(C900)&gt;=1,MONTH(C900)&lt;=3),1,IF(AND(MONTH(C900)&gt;=4,MONTH(C900)&lt;=6),2,IF(AND(MONTH(C900)&gt;=7,MONTH(C900)&lt;=9),3,4))))</f>
        <v>2</v>
      </c>
      <c r="D901" s="1"/>
      <c r="E901" s="92" t="s">
        <v>14822</v>
      </c>
      <c r="F901" s="93"/>
    </row>
    <row r="902" spans="1:6" ht="14.1" customHeight="1" x14ac:dyDescent="0.25">
      <c r="A902" s="1"/>
      <c r="B902" s="80" t="s">
        <v>13758</v>
      </c>
      <c r="C902" s="90">
        <v>43644</v>
      </c>
      <c r="D902" s="1"/>
      <c r="E902" s="92" t="s">
        <v>18636</v>
      </c>
      <c r="F902" s="93"/>
    </row>
    <row r="903" spans="1:6" ht="14.1" customHeight="1" x14ac:dyDescent="0.25">
      <c r="A903" s="1"/>
      <c r="B903" s="80" t="s">
        <v>10788</v>
      </c>
      <c r="C903" s="91">
        <f>IF(C902="","",IF(AND(MONTH(C902)&gt;=1,MONTH(C902)&lt;=3),1,IF(AND(MONTH(C902)&gt;=4,MONTH(C902)&lt;=6),2,IF(AND(MONTH(C902)&gt;=7,MONTH(C902)&lt;=9),3,4))))</f>
        <v>2</v>
      </c>
      <c r="D903" s="1"/>
      <c r="E903" s="92" t="s">
        <v>15990</v>
      </c>
      <c r="F903" s="93"/>
    </row>
    <row r="905" spans="1:6" ht="14.1" customHeight="1" x14ac:dyDescent="0.25">
      <c r="A905" s="85" t="s">
        <v>15474</v>
      </c>
      <c r="B905" s="85" t="s">
        <v>5027</v>
      </c>
      <c r="C905" s="85" t="s">
        <v>17461</v>
      </c>
      <c r="D905" s="85" t="s">
        <v>3935</v>
      </c>
      <c r="E905" s="85" t="s">
        <v>10722</v>
      </c>
      <c r="F905" s="85" t="s">
        <v>18237</v>
      </c>
    </row>
    <row r="906" spans="1:6" ht="14.1" customHeight="1" x14ac:dyDescent="0.25">
      <c r="A906" s="94" t="s">
        <v>13911</v>
      </c>
      <c r="B906" s="82" t="str">
        <f t="shared" ref="B906:B920" ca="1" si="30">IFERROR(INDEX(UNSPSCDes,MATCH(INDIRECT(ADDRESS(ROW(),COLUMN()-1,4)),UNSPSCCode,0)),IF(INDIRECT(ADDRESS(ROW(),COLUMN()-1,4))="42292904","Suturas quirúrgicas o pasadores de alambre o productos relacionados",""))</f>
        <v>Suturas quirúrgicas o pasadores de alambre o productos relacionados</v>
      </c>
      <c r="C906" s="95" t="str">
        <f>IFERROR(VLOOKUP("CAJ",'Informacion '!P:Q,2,FALSE),"")</f>
        <v>Caja</v>
      </c>
      <c r="D906" s="94">
        <v>6</v>
      </c>
      <c r="E906" s="84">
        <v>4253.74</v>
      </c>
      <c r="F906" s="83">
        <f t="shared" ref="F906:F920" ca="1" si="31">INDIRECT(ADDRESS(ROW(),COLUMN()-2,4))*INDIRECT(ADDRESS(ROW(),COLUMN()-1,4))</f>
        <v>25522.44</v>
      </c>
    </row>
    <row r="907" spans="1:6" ht="14.1" customHeight="1" x14ac:dyDescent="0.25">
      <c r="A907" s="94" t="s">
        <v>13911</v>
      </c>
      <c r="B907" s="82" t="str">
        <f t="shared" ca="1" si="30"/>
        <v>Suturas quirúrgicas o pasadores de alambre o productos relacionados</v>
      </c>
      <c r="C907" s="95" t="str">
        <f>IFERROR(VLOOKUP("CAJ",'Informacion '!P:Q,2,FALSE),"")</f>
        <v>Caja</v>
      </c>
      <c r="D907" s="94">
        <v>9</v>
      </c>
      <c r="E907" s="84">
        <v>2675.35</v>
      </c>
      <c r="F907" s="83">
        <f t="shared" ca="1" si="31"/>
        <v>24078.149999999998</v>
      </c>
    </row>
    <row r="908" spans="1:6" ht="14.1" customHeight="1" x14ac:dyDescent="0.25">
      <c r="A908" s="94" t="s">
        <v>13911</v>
      </c>
      <c r="B908" s="82" t="str">
        <f t="shared" ca="1" si="30"/>
        <v>Suturas quirúrgicas o pasadores de alambre o productos relacionados</v>
      </c>
      <c r="C908" s="95" t="str">
        <f>IFERROR(VLOOKUP("CAJ",'Informacion '!P:Q,2,FALSE),"")</f>
        <v>Caja</v>
      </c>
      <c r="D908" s="94">
        <v>18</v>
      </c>
      <c r="E908" s="84">
        <v>1821.6</v>
      </c>
      <c r="F908" s="83">
        <f t="shared" ca="1" si="31"/>
        <v>32788.799999999996</v>
      </c>
    </row>
    <row r="909" spans="1:6" ht="14.1" customHeight="1" x14ac:dyDescent="0.25">
      <c r="A909" s="94" t="s">
        <v>13911</v>
      </c>
      <c r="B909" s="82" t="str">
        <f t="shared" ca="1" si="30"/>
        <v>Suturas quirúrgicas o pasadores de alambre o productos relacionados</v>
      </c>
      <c r="C909" s="95" t="str">
        <f>IFERROR(VLOOKUP("CAJ",'Informacion '!P:Q,2,FALSE),"")</f>
        <v>Caja</v>
      </c>
      <c r="D909" s="94">
        <v>6</v>
      </c>
      <c r="E909" s="84">
        <v>1970.64</v>
      </c>
      <c r="F909" s="83">
        <f t="shared" ca="1" si="31"/>
        <v>11823.84</v>
      </c>
    </row>
    <row r="910" spans="1:6" ht="14.1" customHeight="1" x14ac:dyDescent="0.25">
      <c r="A910" s="94" t="s">
        <v>13911</v>
      </c>
      <c r="B910" s="82" t="str">
        <f t="shared" ca="1" si="30"/>
        <v>Suturas quirúrgicas o pasadores de alambre o productos relacionados</v>
      </c>
      <c r="C910" s="95" t="str">
        <f>IFERROR(VLOOKUP("CAJ",'Informacion '!P:Q,2,FALSE),"")</f>
        <v>Caja</v>
      </c>
      <c r="D910" s="94">
        <v>5</v>
      </c>
      <c r="E910" s="84">
        <v>1970.64</v>
      </c>
      <c r="F910" s="83">
        <f t="shared" ca="1" si="31"/>
        <v>9853.2000000000007</v>
      </c>
    </row>
    <row r="911" spans="1:6" ht="14.1" customHeight="1" x14ac:dyDescent="0.25">
      <c r="A911" s="94" t="s">
        <v>13911</v>
      </c>
      <c r="B911" s="82" t="str">
        <f t="shared" ca="1" si="30"/>
        <v>Suturas quirúrgicas o pasadores de alambre o productos relacionados</v>
      </c>
      <c r="C911" s="95" t="str">
        <f>IFERROR(VLOOKUP("CAJ",'Informacion '!P:Q,2,FALSE),"")</f>
        <v>Caja</v>
      </c>
      <c r="D911" s="94">
        <v>7</v>
      </c>
      <c r="E911" s="84">
        <v>2400.2399999999998</v>
      </c>
      <c r="F911" s="83">
        <f t="shared" ca="1" si="31"/>
        <v>16801.68</v>
      </c>
    </row>
    <row r="912" spans="1:6" ht="14.1" customHeight="1" x14ac:dyDescent="0.25">
      <c r="A912" s="94" t="s">
        <v>13911</v>
      </c>
      <c r="B912" s="82" t="str">
        <f t="shared" ca="1" si="30"/>
        <v>Suturas quirúrgicas o pasadores de alambre o productos relacionados</v>
      </c>
      <c r="C912" s="95" t="str">
        <f>IFERROR(VLOOKUP("CAJ",'Informacion '!P:Q,2,FALSE),"")</f>
        <v>Caja</v>
      </c>
      <c r="D912" s="94">
        <v>3</v>
      </c>
      <c r="E912" s="84">
        <v>2712.96</v>
      </c>
      <c r="F912" s="83">
        <f t="shared" ca="1" si="31"/>
        <v>8138.88</v>
      </c>
    </row>
    <row r="913" spans="1:10" ht="14.1" customHeight="1" x14ac:dyDescent="0.25">
      <c r="A913" s="94" t="s">
        <v>13911</v>
      </c>
      <c r="B913" s="82" t="str">
        <f t="shared" ca="1" si="30"/>
        <v>Suturas quirúrgicas o pasadores de alambre o productos relacionados</v>
      </c>
      <c r="C913" s="95" t="str">
        <f>IFERROR(VLOOKUP("CAJ",'Informacion '!P:Q,2,FALSE),"")</f>
        <v>Caja</v>
      </c>
      <c r="D913" s="94">
        <v>14</v>
      </c>
      <c r="E913" s="84">
        <v>3681.61</v>
      </c>
      <c r="F913" s="83">
        <f t="shared" ca="1" si="31"/>
        <v>51542.54</v>
      </c>
    </row>
    <row r="914" spans="1:10" ht="14.1" customHeight="1" x14ac:dyDescent="0.25">
      <c r="A914" s="94" t="s">
        <v>13911</v>
      </c>
      <c r="B914" s="82" t="str">
        <f t="shared" ca="1" si="30"/>
        <v>Suturas quirúrgicas o pasadores de alambre o productos relacionados</v>
      </c>
      <c r="C914" s="95" t="str">
        <f>IFERROR(VLOOKUP("CAJ",'Informacion '!P:Q,2,FALSE),"")</f>
        <v>Caja</v>
      </c>
      <c r="D914" s="94">
        <v>20</v>
      </c>
      <c r="E914" s="84">
        <v>2977.47</v>
      </c>
      <c r="F914" s="83">
        <f t="shared" ca="1" si="31"/>
        <v>59549.399999999994</v>
      </c>
    </row>
    <row r="915" spans="1:10" ht="14.1" customHeight="1" x14ac:dyDescent="0.25">
      <c r="A915" s="94" t="s">
        <v>13911</v>
      </c>
      <c r="B915" s="82" t="str">
        <f t="shared" ca="1" si="30"/>
        <v>Suturas quirúrgicas o pasadores de alambre o productos relacionados</v>
      </c>
      <c r="C915" s="95" t="str">
        <f>IFERROR(VLOOKUP("CAJ",'Informacion '!P:Q,2,FALSE),"")</f>
        <v>Caja</v>
      </c>
      <c r="D915" s="94">
        <v>33</v>
      </c>
      <c r="E915" s="84">
        <v>2280.96</v>
      </c>
      <c r="F915" s="83">
        <f t="shared" ca="1" si="31"/>
        <v>75271.680000000008</v>
      </c>
    </row>
    <row r="916" spans="1:10" ht="14.1" customHeight="1" x14ac:dyDescent="0.25">
      <c r="A916" s="94" t="s">
        <v>13911</v>
      </c>
      <c r="B916" s="82" t="str">
        <f t="shared" ca="1" si="30"/>
        <v>Suturas quirúrgicas o pasadores de alambre o productos relacionados</v>
      </c>
      <c r="C916" s="95" t="str">
        <f>IFERROR(VLOOKUP("CAJ",'Informacion '!P:Q,2,FALSE),"")</f>
        <v>Caja</v>
      </c>
      <c r="D916" s="94">
        <v>3</v>
      </c>
      <c r="E916" s="84">
        <v>4290.38</v>
      </c>
      <c r="F916" s="83">
        <f t="shared" ca="1" si="31"/>
        <v>12871.14</v>
      </c>
    </row>
    <row r="917" spans="1:10" ht="14.1" customHeight="1" x14ac:dyDescent="0.25">
      <c r="A917" s="94" t="s">
        <v>13911</v>
      </c>
      <c r="B917" s="82" t="str">
        <f t="shared" ca="1" si="30"/>
        <v>Suturas quirúrgicas o pasadores de alambre o productos relacionados</v>
      </c>
      <c r="C917" s="95" t="str">
        <f>IFERROR(VLOOKUP("CAJ",'Informacion '!P:Q,2,FALSE),"")</f>
        <v>Caja</v>
      </c>
      <c r="D917" s="94">
        <v>2</v>
      </c>
      <c r="E917" s="84">
        <v>7004.89</v>
      </c>
      <c r="F917" s="83">
        <f t="shared" ca="1" si="31"/>
        <v>14009.78</v>
      </c>
    </row>
    <row r="918" spans="1:10" ht="14.1" customHeight="1" x14ac:dyDescent="0.25">
      <c r="A918" s="94" t="s">
        <v>13911</v>
      </c>
      <c r="B918" s="82" t="str">
        <f t="shared" ca="1" si="30"/>
        <v>Suturas quirúrgicas o pasadores de alambre o productos relacionados</v>
      </c>
      <c r="C918" s="95" t="str">
        <f>IFERROR(VLOOKUP("CAJ",'Informacion '!P:Q,2,FALSE),"")</f>
        <v>Caja</v>
      </c>
      <c r="D918" s="94">
        <v>2</v>
      </c>
      <c r="E918" s="84">
        <v>4425.2700000000004</v>
      </c>
      <c r="F918" s="83">
        <f t="shared" ca="1" si="31"/>
        <v>8850.5400000000009</v>
      </c>
    </row>
    <row r="919" spans="1:10" ht="14.1" customHeight="1" x14ac:dyDescent="0.25">
      <c r="A919" s="94" t="s">
        <v>13911</v>
      </c>
      <c r="B919" s="82" t="str">
        <f t="shared" ca="1" si="30"/>
        <v>Suturas quirúrgicas o pasadores de alambre o productos relacionados</v>
      </c>
      <c r="C919" s="95" t="str">
        <f>IFERROR(VLOOKUP("CAJ",'Informacion '!P:Q,2,FALSE),"")</f>
        <v>Caja</v>
      </c>
      <c r="D919" s="94">
        <v>4</v>
      </c>
      <c r="E919" s="84">
        <v>3456.24</v>
      </c>
      <c r="F919" s="83">
        <f t="shared" ca="1" si="31"/>
        <v>13824.96</v>
      </c>
    </row>
    <row r="920" spans="1:10" ht="14.1" customHeight="1" x14ac:dyDescent="0.25">
      <c r="A920" s="94" t="s">
        <v>13911</v>
      </c>
      <c r="B920" s="82" t="str">
        <f t="shared" ca="1" si="30"/>
        <v>Suturas quirúrgicas o pasadores de alambre o productos relacionados</v>
      </c>
      <c r="C920" s="95" t="str">
        <f>IFERROR(VLOOKUP("CAJ",'Informacion '!P:Q,2,FALSE),"")</f>
        <v>Caja</v>
      </c>
      <c r="D920" s="94">
        <v>2</v>
      </c>
      <c r="E920" s="84">
        <v>3499.92</v>
      </c>
      <c r="F920" s="83">
        <f t="shared" ca="1" si="31"/>
        <v>6999.84</v>
      </c>
    </row>
    <row r="921" spans="1:10" ht="14.1" customHeight="1" x14ac:dyDescent="0.25">
      <c r="E921" s="96" t="s">
        <v>7213</v>
      </c>
      <c r="F921" s="87">
        <f ca="1">SUM(Table40[MONTO TOTAL ESTIMADO])</f>
        <v>371926.87000000005</v>
      </c>
      <c r="H921" s="39" t="str">
        <f>C899</f>
        <v>Bienes</v>
      </c>
      <c r="I921" s="39" t="str">
        <f>E899</f>
        <v>No</v>
      </c>
      <c r="J921" s="39" t="str">
        <f>D899</f>
        <v>Compras Menores</v>
      </c>
    </row>
    <row r="923" spans="1:10" ht="33.950000000000003" customHeight="1" x14ac:dyDescent="0.25">
      <c r="A923" s="77" t="s">
        <v>17233</v>
      </c>
      <c r="B923" s="77" t="s">
        <v>4237</v>
      </c>
      <c r="C923" s="77" t="s">
        <v>4743</v>
      </c>
      <c r="D923" s="77" t="s">
        <v>9891</v>
      </c>
      <c r="E923" s="77" t="s">
        <v>3089</v>
      </c>
      <c r="F923" s="77" t="s">
        <v>18141</v>
      </c>
    </row>
    <row r="924" spans="1:10" ht="14.1" customHeight="1" x14ac:dyDescent="0.25">
      <c r="A924" s="79" t="s">
        <v>15739</v>
      </c>
      <c r="B924" s="79" t="s">
        <v>3556</v>
      </c>
      <c r="C924" s="79" t="s">
        <v>17215</v>
      </c>
      <c r="D924" s="79" t="s">
        <v>17798</v>
      </c>
      <c r="E924" s="79" t="s">
        <v>18247</v>
      </c>
      <c r="F924" s="79"/>
    </row>
    <row r="925" spans="1:10" ht="14.1" customHeight="1" x14ac:dyDescent="0.25">
      <c r="A925" s="2" t="s">
        <v>6643</v>
      </c>
      <c r="B925" s="80" t="s">
        <v>1046</v>
      </c>
      <c r="C925" s="90">
        <v>43467</v>
      </c>
      <c r="D925" s="2" t="s">
        <v>59</v>
      </c>
      <c r="E925" s="92" t="s">
        <v>20066</v>
      </c>
      <c r="F925" s="93" t="s">
        <v>5684</v>
      </c>
    </row>
    <row r="926" spans="1:10" ht="14.1" customHeight="1" x14ac:dyDescent="0.25">
      <c r="A926" s="1"/>
      <c r="B926" s="80" t="s">
        <v>10788</v>
      </c>
      <c r="C926" s="91">
        <f>IF(C925="","",IF(AND(MONTH(C925)&gt;=1,MONTH(C925)&lt;=3),1,IF(AND(MONTH(C925)&gt;=4,MONTH(C925)&lt;=6),2,IF(AND(MONTH(C925)&gt;=7,MONTH(C925)&lt;=9),3,4))))</f>
        <v>1</v>
      </c>
      <c r="D926" s="1"/>
      <c r="E926" s="92" t="s">
        <v>14822</v>
      </c>
      <c r="F926" s="93"/>
    </row>
    <row r="927" spans="1:10" ht="14.1" customHeight="1" x14ac:dyDescent="0.25">
      <c r="A927" s="1"/>
      <c r="B927" s="80" t="s">
        <v>13758</v>
      </c>
      <c r="C927" s="90">
        <v>43553</v>
      </c>
      <c r="D927" s="1"/>
      <c r="E927" s="92" t="s">
        <v>18636</v>
      </c>
      <c r="F927" s="93"/>
    </row>
    <row r="928" spans="1:10" ht="14.1" customHeight="1" x14ac:dyDescent="0.25">
      <c r="A928" s="1"/>
      <c r="B928" s="80" t="s">
        <v>10788</v>
      </c>
      <c r="C928" s="91">
        <f>IF(C927="","",IF(AND(MONTH(C927)&gt;=1,MONTH(C927)&lt;=3),1,IF(AND(MONTH(C927)&gt;=4,MONTH(C927)&lt;=6),2,IF(AND(MONTH(C927)&gt;=7,MONTH(C927)&lt;=9),3,4))))</f>
        <v>1</v>
      </c>
      <c r="D928" s="1"/>
      <c r="E928" s="92" t="s">
        <v>15990</v>
      </c>
      <c r="F928" s="93"/>
    </row>
    <row r="930" spans="1:10" ht="14.1" customHeight="1" x14ac:dyDescent="0.25">
      <c r="A930" s="85" t="s">
        <v>15474</v>
      </c>
      <c r="B930" s="85" t="s">
        <v>5027</v>
      </c>
      <c r="C930" s="85" t="s">
        <v>17461</v>
      </c>
      <c r="D930" s="85" t="s">
        <v>3935</v>
      </c>
      <c r="E930" s="85" t="s">
        <v>10722</v>
      </c>
      <c r="F930" s="85" t="s">
        <v>18237</v>
      </c>
    </row>
    <row r="931" spans="1:10" ht="14.1" customHeight="1" x14ac:dyDescent="0.25">
      <c r="A931" s="94" t="s">
        <v>8061</v>
      </c>
      <c r="B931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931" s="95" t="str">
        <f>IFERROR(VLOOKUP("UD",'Informacion '!P:Q,2,FALSE),"")</f>
        <v>Unidad</v>
      </c>
      <c r="D931" s="94">
        <v>34</v>
      </c>
      <c r="E931" s="84">
        <v>28.68</v>
      </c>
      <c r="F931" s="83">
        <f t="shared" ref="F931:F943" ca="1" si="32">INDIRECT(ADDRESS(ROW(),COLUMN()-2,4))*INDIRECT(ADDRESS(ROW(),COLUMN()-1,4))</f>
        <v>975.12</v>
      </c>
    </row>
    <row r="932" spans="1:10" ht="14.1" customHeight="1" x14ac:dyDescent="0.25">
      <c r="A932" s="94" t="s">
        <v>8061</v>
      </c>
      <c r="B932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932" s="95" t="str">
        <f>IFERROR(VLOOKUP("UD",'Informacion '!P:Q,2,FALSE),"")</f>
        <v>Unidad</v>
      </c>
      <c r="D932" s="94">
        <v>1</v>
      </c>
      <c r="E932" s="84">
        <v>47.82</v>
      </c>
      <c r="F932" s="83">
        <f t="shared" ca="1" si="32"/>
        <v>47.82</v>
      </c>
    </row>
    <row r="933" spans="1:10" ht="14.1" customHeight="1" x14ac:dyDescent="0.25">
      <c r="A933" s="94" t="s">
        <v>8061</v>
      </c>
      <c r="B933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933" s="95" t="str">
        <f>IFERROR(VLOOKUP("UD",'Informacion '!P:Q,2,FALSE),"")</f>
        <v>Unidad</v>
      </c>
      <c r="D933" s="94">
        <v>20</v>
      </c>
      <c r="E933" s="84">
        <v>2.98</v>
      </c>
      <c r="F933" s="83">
        <f t="shared" ca="1" si="32"/>
        <v>59.6</v>
      </c>
    </row>
    <row r="934" spans="1:10" ht="14.1" customHeight="1" x14ac:dyDescent="0.25">
      <c r="A934" s="94" t="s">
        <v>8061</v>
      </c>
      <c r="B934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934" s="95" t="str">
        <f>IFERROR(VLOOKUP("UD",'Informacion '!P:Q,2,FALSE),"")</f>
        <v>Unidad</v>
      </c>
      <c r="D934" s="94">
        <v>72</v>
      </c>
      <c r="E934" s="84">
        <v>42.48</v>
      </c>
      <c r="F934" s="83">
        <f t="shared" ca="1" si="32"/>
        <v>3058.56</v>
      </c>
    </row>
    <row r="935" spans="1:10" ht="14.1" customHeight="1" x14ac:dyDescent="0.25">
      <c r="A935" s="94" t="s">
        <v>8061</v>
      </c>
      <c r="B935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935" s="95" t="str">
        <f>IFERROR(VLOOKUP("UD",'Informacion '!P:Q,2,FALSE),"")</f>
        <v>Unidad</v>
      </c>
      <c r="D935" s="94">
        <v>2</v>
      </c>
      <c r="E935" s="84">
        <v>96</v>
      </c>
      <c r="F935" s="83">
        <f t="shared" ca="1" si="32"/>
        <v>192</v>
      </c>
    </row>
    <row r="936" spans="1:10" ht="14.1" customHeight="1" x14ac:dyDescent="0.25">
      <c r="A936" s="94" t="s">
        <v>3831</v>
      </c>
      <c r="B936" s="82" t="str">
        <f ca="1">IFERROR(INDEX(UNSPSCDes,MATCH(INDIRECT(ADDRESS(ROW(),COLUMN()-1,4)),UNSPSCCode,0)),IF(INDIRECT(ADDRESS(ROW(),COLUMN()-1,4))="42132105","Sábanas para hospital",""))</f>
        <v>Sábanas para hospital</v>
      </c>
      <c r="C936" s="95" t="str">
        <f>IFERROR(VLOOKUP("UD",'Informacion '!P:Q,2,FALSE),"")</f>
        <v>Unidad</v>
      </c>
      <c r="D936" s="94">
        <v>2575</v>
      </c>
      <c r="E936" s="84">
        <v>16.399999999999999</v>
      </c>
      <c r="F936" s="83">
        <f t="shared" ca="1" si="32"/>
        <v>42229.999999999993</v>
      </c>
    </row>
    <row r="937" spans="1:10" ht="14.1" customHeight="1" x14ac:dyDescent="0.25">
      <c r="A937" s="94" t="s">
        <v>8061</v>
      </c>
      <c r="B937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937" s="95" t="str">
        <f>IFERROR(VLOOKUP("UD",'Informacion '!P:Q,2,FALSE),"")</f>
        <v>Unidad</v>
      </c>
      <c r="D937" s="94">
        <v>45</v>
      </c>
      <c r="E937" s="84">
        <v>66.42</v>
      </c>
      <c r="F937" s="83">
        <f t="shared" ca="1" si="32"/>
        <v>2988.9</v>
      </c>
    </row>
    <row r="938" spans="1:10" ht="14.1" customHeight="1" x14ac:dyDescent="0.25">
      <c r="A938" s="94" t="s">
        <v>8061</v>
      </c>
      <c r="B938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938" s="95" t="str">
        <f>IFERROR(VLOOKUP("UD",'Informacion '!P:Q,2,FALSE),"")</f>
        <v>Unidad</v>
      </c>
      <c r="D938" s="94">
        <v>679</v>
      </c>
      <c r="E938" s="84">
        <v>1.8</v>
      </c>
      <c r="F938" s="83">
        <f t="shared" ca="1" si="32"/>
        <v>1222.2</v>
      </c>
    </row>
    <row r="939" spans="1:10" ht="14.1" customHeight="1" x14ac:dyDescent="0.25">
      <c r="A939" s="94" t="s">
        <v>17014</v>
      </c>
      <c r="B939" s="82" t="str">
        <f ca="1">IFERROR(INDEX(UNSPSCDes,MATCH(INDIRECT(ADDRESS(ROW(),COLUMN()-1,4)),UNSPSCCode,0)),IF(INDIRECT(ADDRESS(ROW(),COLUMN()-1,4))="53102306","Pañales para adulto",""))</f>
        <v>Pañales para adulto</v>
      </c>
      <c r="C939" s="95" t="str">
        <f>IFERROR(VLOOKUP("PAQ",'Informacion '!P:Q,2,FALSE),"")</f>
        <v>Paquete</v>
      </c>
      <c r="D939" s="94">
        <v>569</v>
      </c>
      <c r="E939" s="84">
        <v>26.55</v>
      </c>
      <c r="F939" s="83">
        <f t="shared" ca="1" si="32"/>
        <v>15106.95</v>
      </c>
    </row>
    <row r="940" spans="1:10" ht="14.1" customHeight="1" x14ac:dyDescent="0.25">
      <c r="A940" s="94" t="s">
        <v>3151</v>
      </c>
      <c r="B940" s="82" t="str">
        <f ca="1">IFERROR(INDEX(UNSPSCDes,MATCH(INDIRECT(ADDRESS(ROW(),COLUMN()-1,4)),UNSPSCCode,0)),IF(INDIRECT(ADDRESS(ROW(),COLUMN()-1,4))="42131702","Batas de cirugía",""))</f>
        <v>Batas de cirugía</v>
      </c>
      <c r="C940" s="95" t="str">
        <f>IFERROR(VLOOKUP("UD",'Informacion '!P:Q,2,FALSE),"")</f>
        <v>Unidad</v>
      </c>
      <c r="D940" s="94">
        <v>2109</v>
      </c>
      <c r="E940" s="84">
        <v>158.72999999999999</v>
      </c>
      <c r="F940" s="83">
        <f t="shared" ca="1" si="32"/>
        <v>334761.57</v>
      </c>
    </row>
    <row r="941" spans="1:10" ht="14.1" customHeight="1" x14ac:dyDescent="0.25">
      <c r="A941" s="94" t="s">
        <v>8339</v>
      </c>
      <c r="B941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41" s="95" t="str">
        <f>IFERROR(VLOOKUP("UD",'Informacion '!P:Q,2,FALSE),"")</f>
        <v>Unidad</v>
      </c>
      <c r="D941" s="94">
        <v>109605</v>
      </c>
      <c r="E941" s="84">
        <v>2.62</v>
      </c>
      <c r="F941" s="83">
        <f t="shared" ca="1" si="32"/>
        <v>287165.10000000003</v>
      </c>
    </row>
    <row r="942" spans="1:10" ht="14.1" customHeight="1" x14ac:dyDescent="0.25">
      <c r="A942" s="94" t="s">
        <v>13127</v>
      </c>
      <c r="B942" s="82" t="str">
        <f ca="1">IFERROR(INDEX(UNSPSCDes,MATCH(INDIRECT(ADDRESS(ROW(),COLUMN()-1,4)),UNSPSCCode,0)),IF(INDIRECT(ADDRESS(ROW(),COLUMN()-1,4))="42132205","Guantes de cirugía",""))</f>
        <v>Guantes de cirugía</v>
      </c>
      <c r="C942" s="95" t="str">
        <f>IFERROR(VLOOKUP("UD",'Informacion '!P:Q,2,FALSE),"")</f>
        <v>Unidad</v>
      </c>
      <c r="D942" s="94">
        <v>2157</v>
      </c>
      <c r="E942" s="84">
        <v>11.97</v>
      </c>
      <c r="F942" s="83">
        <f t="shared" ca="1" si="32"/>
        <v>25819.29</v>
      </c>
    </row>
    <row r="943" spans="1:10" ht="14.1" customHeight="1" x14ac:dyDescent="0.25">
      <c r="A943" s="94" t="s">
        <v>3506</v>
      </c>
      <c r="B943" s="82" t="str">
        <f ca="1">IFERROR(INDEX(UNSPSCDes,MATCH(INDIRECT(ADDRESS(ROW(),COLUMN()-1,4)),UNSPSCCode,0)),IF(INDIRECT(ADDRESS(ROW(),COLUMN()-1,4))="42142802","Prendas o soporte para compresión o vasculares",""))</f>
        <v>Prendas o soporte para compresión o vasculares</v>
      </c>
      <c r="C943" s="95" t="str">
        <f>IFERROR(VLOOKUP("UD",'Informacion '!P:Q,2,FALSE),"")</f>
        <v>Unidad</v>
      </c>
      <c r="D943" s="94">
        <v>5</v>
      </c>
      <c r="E943" s="84">
        <v>3014.25</v>
      </c>
      <c r="F943" s="83">
        <f t="shared" ca="1" si="32"/>
        <v>15071.25</v>
      </c>
    </row>
    <row r="944" spans="1:10" ht="14.1" customHeight="1" x14ac:dyDescent="0.25">
      <c r="E944" s="96" t="s">
        <v>7213</v>
      </c>
      <c r="F944" s="87">
        <f ca="1">SUM(Table41[MONTO TOTAL ESTIMADO])</f>
        <v>728698.3600000001</v>
      </c>
      <c r="H944" s="39" t="str">
        <f>C924</f>
        <v>Bienes</v>
      </c>
      <c r="I944" s="39" t="str">
        <f>E924</f>
        <v>No</v>
      </c>
      <c r="J944" s="39" t="str">
        <f>D924</f>
        <v>Compras Menores</v>
      </c>
    </row>
    <row r="946" spans="1:6" ht="33.950000000000003" customHeight="1" x14ac:dyDescent="0.25">
      <c r="A946" s="77" t="s">
        <v>17233</v>
      </c>
      <c r="B946" s="77" t="s">
        <v>4237</v>
      </c>
      <c r="C946" s="77" t="s">
        <v>4743</v>
      </c>
      <c r="D946" s="77" t="s">
        <v>9891</v>
      </c>
      <c r="E946" s="77" t="s">
        <v>3089</v>
      </c>
      <c r="F946" s="77" t="s">
        <v>18141</v>
      </c>
    </row>
    <row r="947" spans="1:6" ht="14.1" customHeight="1" x14ac:dyDescent="0.25">
      <c r="A947" s="79" t="s">
        <v>8078</v>
      </c>
      <c r="B947" s="79" t="s">
        <v>8866</v>
      </c>
      <c r="C947" s="79" t="s">
        <v>17215</v>
      </c>
      <c r="D947" s="79" t="s">
        <v>15249</v>
      </c>
      <c r="E947" s="79" t="s">
        <v>18247</v>
      </c>
      <c r="F947" s="79"/>
    </row>
    <row r="948" spans="1:6" ht="14.1" customHeight="1" x14ac:dyDescent="0.25">
      <c r="A948" s="2" t="s">
        <v>6643</v>
      </c>
      <c r="B948" s="80" t="s">
        <v>1046</v>
      </c>
      <c r="C948" s="90">
        <v>43467</v>
      </c>
      <c r="D948" s="2" t="s">
        <v>59</v>
      </c>
      <c r="E948" s="92" t="s">
        <v>20066</v>
      </c>
      <c r="F948" s="93" t="s">
        <v>5684</v>
      </c>
    </row>
    <row r="949" spans="1:6" ht="14.1" customHeight="1" x14ac:dyDescent="0.25">
      <c r="A949" s="1"/>
      <c r="B949" s="80" t="s">
        <v>10788</v>
      </c>
      <c r="C949" s="91">
        <f>IF(C948="","",IF(AND(MONTH(C948)&gt;=1,MONTH(C948)&lt;=3),1,IF(AND(MONTH(C948)&gt;=4,MONTH(C948)&lt;=6),2,IF(AND(MONTH(C948)&gt;=7,MONTH(C948)&lt;=9),3,4))))</f>
        <v>1</v>
      </c>
      <c r="D949" s="1"/>
      <c r="E949" s="92" t="s">
        <v>14822</v>
      </c>
      <c r="F949" s="93" t="s">
        <v>17690</v>
      </c>
    </row>
    <row r="950" spans="1:6" ht="14.1" customHeight="1" x14ac:dyDescent="0.25">
      <c r="A950" s="1"/>
      <c r="B950" s="80" t="s">
        <v>13758</v>
      </c>
      <c r="C950" s="90">
        <v>43553</v>
      </c>
      <c r="D950" s="1"/>
      <c r="E950" s="92" t="s">
        <v>18636</v>
      </c>
      <c r="F950" s="93"/>
    </row>
    <row r="951" spans="1:6" ht="14.1" customHeight="1" x14ac:dyDescent="0.25">
      <c r="A951" s="1"/>
      <c r="B951" s="80" t="s">
        <v>10788</v>
      </c>
      <c r="C951" s="91">
        <f>IF(C950="","",IF(AND(MONTH(C950)&gt;=1,MONTH(C950)&lt;=3),1,IF(AND(MONTH(C950)&gt;=4,MONTH(C950)&lt;=6),2,IF(AND(MONTH(C950)&gt;=7,MONTH(C950)&lt;=9),3,4))))</f>
        <v>1</v>
      </c>
      <c r="D951" s="1"/>
      <c r="E951" s="92" t="s">
        <v>15990</v>
      </c>
      <c r="F951" s="93"/>
    </row>
    <row r="953" spans="1:6" ht="14.1" customHeight="1" x14ac:dyDescent="0.25">
      <c r="A953" s="85" t="s">
        <v>15474</v>
      </c>
      <c r="B953" s="85" t="s">
        <v>5027</v>
      </c>
      <c r="C953" s="85" t="s">
        <v>17461</v>
      </c>
      <c r="D953" s="85" t="s">
        <v>3935</v>
      </c>
      <c r="E953" s="85" t="s">
        <v>10722</v>
      </c>
      <c r="F953" s="85" t="s">
        <v>18237</v>
      </c>
    </row>
    <row r="954" spans="1:6" ht="14.1" customHeight="1" x14ac:dyDescent="0.25">
      <c r="A954" s="94" t="s">
        <v>5290</v>
      </c>
      <c r="B954" s="82" t="str">
        <f t="shared" ref="B954:B974" ca="1" si="33">IFERROR(INDEX(UNSPSCDes,MATCH(INDIRECT(ADDRESS(ROW(),COLUMN()-1,4)),UNSPSCCode,0)),IF(INDIRECT(ADDRESS(ROW(),COLUMN()-1,4))="50101538","Verduras frescas",""))</f>
        <v>Verduras frescas</v>
      </c>
      <c r="C954" s="95" t="str">
        <f>IFERROR(VLOOKUP("LB",'Informacion '!P:Q,2,FALSE),"")</f>
        <v>Libra </v>
      </c>
      <c r="D954" s="94">
        <v>190</v>
      </c>
      <c r="E954" s="84">
        <v>35</v>
      </c>
      <c r="F954" s="83">
        <f t="shared" ref="F954:F990" ca="1" si="34">INDIRECT(ADDRESS(ROW(),COLUMN()-2,4))*INDIRECT(ADDRESS(ROW(),COLUMN()-1,4))</f>
        <v>6650</v>
      </c>
    </row>
    <row r="955" spans="1:6" ht="14.1" customHeight="1" x14ac:dyDescent="0.25">
      <c r="A955" s="94" t="s">
        <v>5290</v>
      </c>
      <c r="B955" s="82" t="str">
        <f t="shared" ca="1" si="33"/>
        <v>Verduras frescas</v>
      </c>
      <c r="C955" s="95" t="str">
        <f>IFERROR(VLOOKUP("LB",'Informacion '!P:Q,2,FALSE),"")</f>
        <v>Libra </v>
      </c>
      <c r="D955" s="94">
        <v>26</v>
      </c>
      <c r="E955" s="84">
        <v>50</v>
      </c>
      <c r="F955" s="83">
        <f t="shared" ca="1" si="34"/>
        <v>1300</v>
      </c>
    </row>
    <row r="956" spans="1:6" ht="14.1" customHeight="1" x14ac:dyDescent="0.25">
      <c r="A956" s="94" t="s">
        <v>5290</v>
      </c>
      <c r="B956" s="82" t="str">
        <f t="shared" ca="1" si="33"/>
        <v>Verduras frescas</v>
      </c>
      <c r="C956" s="95" t="str">
        <f>IFERROR(VLOOKUP("LB",'Informacion '!P:Q,2,FALSE),"")</f>
        <v>Libra </v>
      </c>
      <c r="D956" s="94">
        <v>35</v>
      </c>
      <c r="E956" s="84">
        <v>75</v>
      </c>
      <c r="F956" s="83">
        <f t="shared" ca="1" si="34"/>
        <v>2625</v>
      </c>
    </row>
    <row r="957" spans="1:6" ht="14.1" customHeight="1" x14ac:dyDescent="0.25">
      <c r="A957" s="94" t="s">
        <v>5290</v>
      </c>
      <c r="B957" s="82" t="str">
        <f t="shared" ca="1" si="33"/>
        <v>Verduras frescas</v>
      </c>
      <c r="C957" s="95" t="str">
        <f>IFERROR(VLOOKUP("LB",'Informacion '!P:Q,2,FALSE),"")</f>
        <v>Libra </v>
      </c>
      <c r="D957" s="94">
        <v>265</v>
      </c>
      <c r="E957" s="84">
        <v>23</v>
      </c>
      <c r="F957" s="83">
        <f t="shared" ca="1" si="34"/>
        <v>6095</v>
      </c>
    </row>
    <row r="958" spans="1:6" ht="14.1" customHeight="1" x14ac:dyDescent="0.25">
      <c r="A958" s="94" t="s">
        <v>5290</v>
      </c>
      <c r="B958" s="82" t="str">
        <f t="shared" ca="1" si="33"/>
        <v>Verduras frescas</v>
      </c>
      <c r="C958" s="95" t="str">
        <f>IFERROR(VLOOKUP("LB",'Informacion '!P:Q,2,FALSE),"")</f>
        <v>Libra </v>
      </c>
      <c r="D958" s="94">
        <v>265</v>
      </c>
      <c r="E958" s="84">
        <v>30</v>
      </c>
      <c r="F958" s="83">
        <f t="shared" ca="1" si="34"/>
        <v>7950</v>
      </c>
    </row>
    <row r="959" spans="1:6" ht="14.1" customHeight="1" x14ac:dyDescent="0.25">
      <c r="A959" s="94" t="s">
        <v>5290</v>
      </c>
      <c r="B959" s="82" t="str">
        <f t="shared" ca="1" si="33"/>
        <v>Verduras frescas</v>
      </c>
      <c r="C959" s="95" t="str">
        <f>IFERROR(VLOOKUP("LB",'Informacion '!P:Q,2,FALSE),"")</f>
        <v>Libra </v>
      </c>
      <c r="D959" s="94">
        <v>70</v>
      </c>
      <c r="E959" s="84">
        <v>80</v>
      </c>
      <c r="F959" s="83">
        <f t="shared" ca="1" si="34"/>
        <v>5600</v>
      </c>
    </row>
    <row r="960" spans="1:6" ht="14.1" customHeight="1" x14ac:dyDescent="0.25">
      <c r="A960" s="94" t="s">
        <v>5290</v>
      </c>
      <c r="B960" s="82" t="str">
        <f t="shared" ca="1" si="33"/>
        <v>Verduras frescas</v>
      </c>
      <c r="C960" s="95" t="str">
        <f>IFERROR(VLOOKUP("LB",'Informacion '!P:Q,2,FALSE),"")</f>
        <v>Libra </v>
      </c>
      <c r="D960" s="94">
        <v>70</v>
      </c>
      <c r="E960" s="84">
        <v>35</v>
      </c>
      <c r="F960" s="83">
        <f t="shared" ca="1" si="34"/>
        <v>2450</v>
      </c>
    </row>
    <row r="961" spans="1:6" ht="14.1" customHeight="1" x14ac:dyDescent="0.25">
      <c r="A961" s="94" t="s">
        <v>5290</v>
      </c>
      <c r="B961" s="82" t="str">
        <f t="shared" ca="1" si="33"/>
        <v>Verduras frescas</v>
      </c>
      <c r="C961" s="95" t="str">
        <f>IFERROR(VLOOKUP("LB",'Informacion '!P:Q,2,FALSE),"")</f>
        <v>Libra </v>
      </c>
      <c r="D961" s="94">
        <v>80</v>
      </c>
      <c r="E961" s="84">
        <v>39</v>
      </c>
      <c r="F961" s="83">
        <f t="shared" ca="1" si="34"/>
        <v>3120</v>
      </c>
    </row>
    <row r="962" spans="1:6" ht="14.1" customHeight="1" x14ac:dyDescent="0.25">
      <c r="A962" s="94" t="s">
        <v>5290</v>
      </c>
      <c r="B962" s="82" t="str">
        <f t="shared" ca="1" si="33"/>
        <v>Verduras frescas</v>
      </c>
      <c r="C962" s="95" t="str">
        <f>IFERROR(VLOOKUP("LB",'Informacion '!P:Q,2,FALSE),"")</f>
        <v>Libra </v>
      </c>
      <c r="D962" s="94">
        <v>190</v>
      </c>
      <c r="E962" s="84">
        <v>48</v>
      </c>
      <c r="F962" s="83">
        <f t="shared" ca="1" si="34"/>
        <v>9120</v>
      </c>
    </row>
    <row r="963" spans="1:6" ht="14.1" customHeight="1" x14ac:dyDescent="0.25">
      <c r="A963" s="94" t="s">
        <v>5290</v>
      </c>
      <c r="B963" s="82" t="str">
        <f t="shared" ca="1" si="33"/>
        <v>Verduras frescas</v>
      </c>
      <c r="C963" s="95" t="str">
        <f>IFERROR(VLOOKUP("LB",'Informacion '!P:Q,2,FALSE),"")</f>
        <v>Libra </v>
      </c>
      <c r="D963" s="94">
        <v>90</v>
      </c>
      <c r="E963" s="84">
        <v>32</v>
      </c>
      <c r="F963" s="83">
        <f t="shared" ca="1" si="34"/>
        <v>2880</v>
      </c>
    </row>
    <row r="964" spans="1:6" ht="14.1" customHeight="1" x14ac:dyDescent="0.25">
      <c r="A964" s="94" t="s">
        <v>5290</v>
      </c>
      <c r="B964" s="82" t="str">
        <f t="shared" ca="1" si="33"/>
        <v>Verduras frescas</v>
      </c>
      <c r="C964" s="95" t="str">
        <f>IFERROR(VLOOKUP("LB",'Informacion '!P:Q,2,FALSE),"")</f>
        <v>Libra </v>
      </c>
      <c r="D964" s="94">
        <v>265</v>
      </c>
      <c r="E964" s="84">
        <v>48</v>
      </c>
      <c r="F964" s="83">
        <f t="shared" ca="1" si="34"/>
        <v>12720</v>
      </c>
    </row>
    <row r="965" spans="1:6" ht="14.1" customHeight="1" x14ac:dyDescent="0.25">
      <c r="A965" s="94" t="s">
        <v>5290</v>
      </c>
      <c r="B965" s="82" t="str">
        <f t="shared" ca="1" si="33"/>
        <v>Verduras frescas</v>
      </c>
      <c r="C965" s="95" t="str">
        <f>IFERROR(VLOOKUP("LB",'Informacion '!P:Q,2,FALSE),"")</f>
        <v>Libra </v>
      </c>
      <c r="D965" s="94">
        <v>320</v>
      </c>
      <c r="E965" s="84">
        <v>80</v>
      </c>
      <c r="F965" s="83">
        <f t="shared" ca="1" si="34"/>
        <v>25600</v>
      </c>
    </row>
    <row r="966" spans="1:6" ht="14.1" customHeight="1" x14ac:dyDescent="0.25">
      <c r="A966" s="94" t="s">
        <v>5290</v>
      </c>
      <c r="B966" s="82" t="str">
        <f t="shared" ca="1" si="33"/>
        <v>Verduras frescas</v>
      </c>
      <c r="C966" s="95" t="str">
        <f>IFERROR(VLOOKUP("LB",'Informacion '!P:Q,2,FALSE),"")</f>
        <v>Libra </v>
      </c>
      <c r="D966" s="94">
        <v>135</v>
      </c>
      <c r="E966" s="84">
        <v>6.5</v>
      </c>
      <c r="F966" s="83">
        <f t="shared" ca="1" si="34"/>
        <v>877.5</v>
      </c>
    </row>
    <row r="967" spans="1:6" ht="14.1" customHeight="1" x14ac:dyDescent="0.25">
      <c r="A967" s="94" t="s">
        <v>5290</v>
      </c>
      <c r="B967" s="82" t="str">
        <f t="shared" ca="1" si="33"/>
        <v>Verduras frescas</v>
      </c>
      <c r="C967" s="95" t="str">
        <f>IFERROR(VLOOKUP("LB",'Informacion '!P:Q,2,FALSE),"")</f>
        <v>Libra </v>
      </c>
      <c r="D967" s="94">
        <v>135</v>
      </c>
      <c r="E967" s="84">
        <v>12</v>
      </c>
      <c r="F967" s="83">
        <f t="shared" ca="1" si="34"/>
        <v>1620</v>
      </c>
    </row>
    <row r="968" spans="1:6" ht="14.1" customHeight="1" x14ac:dyDescent="0.25">
      <c r="A968" s="94" t="s">
        <v>5290</v>
      </c>
      <c r="B968" s="82" t="str">
        <f t="shared" ca="1" si="33"/>
        <v>Verduras frescas</v>
      </c>
      <c r="C968" s="95" t="str">
        <f>IFERROR(VLOOKUP("LB",'Informacion '!P:Q,2,FALSE),"")</f>
        <v>Libra </v>
      </c>
      <c r="D968" s="94">
        <v>25</v>
      </c>
      <c r="E968" s="84">
        <v>80</v>
      </c>
      <c r="F968" s="83">
        <f t="shared" ca="1" si="34"/>
        <v>2000</v>
      </c>
    </row>
    <row r="969" spans="1:6" ht="14.1" customHeight="1" x14ac:dyDescent="0.25">
      <c r="A969" s="94" t="s">
        <v>5290</v>
      </c>
      <c r="B969" s="82" t="str">
        <f t="shared" ca="1" si="33"/>
        <v>Verduras frescas</v>
      </c>
      <c r="C969" s="95" t="str">
        <f>IFERROR(VLOOKUP("LB",'Informacion '!P:Q,2,FALSE),"")</f>
        <v>Libra </v>
      </c>
      <c r="D969" s="94">
        <v>26</v>
      </c>
      <c r="E969" s="84">
        <v>60</v>
      </c>
      <c r="F969" s="83">
        <f t="shared" ca="1" si="34"/>
        <v>1560</v>
      </c>
    </row>
    <row r="970" spans="1:6" ht="14.1" customHeight="1" x14ac:dyDescent="0.25">
      <c r="A970" s="94" t="s">
        <v>5290</v>
      </c>
      <c r="B970" s="82" t="str">
        <f t="shared" ca="1" si="33"/>
        <v>Verduras frescas</v>
      </c>
      <c r="C970" s="95" t="str">
        <f>IFERROR(VLOOKUP("LB",'Informacion '!P:Q,2,FALSE),"")</f>
        <v>Libra </v>
      </c>
      <c r="D970" s="94">
        <v>265</v>
      </c>
      <c r="E970" s="84">
        <v>49</v>
      </c>
      <c r="F970" s="83">
        <f t="shared" ca="1" si="34"/>
        <v>12985</v>
      </c>
    </row>
    <row r="971" spans="1:6" ht="14.1" customHeight="1" x14ac:dyDescent="0.25">
      <c r="A971" s="94" t="s">
        <v>5290</v>
      </c>
      <c r="B971" s="82" t="str">
        <f t="shared" ca="1" si="33"/>
        <v>Verduras frescas</v>
      </c>
      <c r="C971" s="95" t="str">
        <f>IFERROR(VLOOKUP("LB",'Informacion '!P:Q,2,FALSE),"")</f>
        <v>Libra </v>
      </c>
      <c r="D971" s="94">
        <v>265</v>
      </c>
      <c r="E971" s="84">
        <v>35</v>
      </c>
      <c r="F971" s="83">
        <f t="shared" ca="1" si="34"/>
        <v>9275</v>
      </c>
    </row>
    <row r="972" spans="1:6" ht="14.1" customHeight="1" x14ac:dyDescent="0.25">
      <c r="A972" s="94" t="s">
        <v>5290</v>
      </c>
      <c r="B972" s="82" t="str">
        <f t="shared" ca="1" si="33"/>
        <v>Verduras frescas</v>
      </c>
      <c r="C972" s="95" t="str">
        <f>IFERROR(VLOOKUP("LB",'Informacion '!P:Q,2,FALSE),"")</f>
        <v>Libra </v>
      </c>
      <c r="D972" s="94">
        <v>135</v>
      </c>
      <c r="E972" s="84">
        <v>45</v>
      </c>
      <c r="F972" s="83">
        <f t="shared" ca="1" si="34"/>
        <v>6075</v>
      </c>
    </row>
    <row r="973" spans="1:6" ht="14.1" customHeight="1" x14ac:dyDescent="0.25">
      <c r="A973" s="94" t="s">
        <v>5290</v>
      </c>
      <c r="B973" s="82" t="str">
        <f t="shared" ca="1" si="33"/>
        <v>Verduras frescas</v>
      </c>
      <c r="C973" s="95" t="str">
        <f>IFERROR(VLOOKUP("LB",'Informacion '!P:Q,2,FALSE),"")</f>
        <v>Libra </v>
      </c>
      <c r="D973" s="94">
        <v>20</v>
      </c>
      <c r="E973" s="84">
        <v>50</v>
      </c>
      <c r="F973" s="83">
        <f t="shared" ca="1" si="34"/>
        <v>1000</v>
      </c>
    </row>
    <row r="974" spans="1:6" ht="14.1" customHeight="1" x14ac:dyDescent="0.25">
      <c r="A974" s="94" t="s">
        <v>5290</v>
      </c>
      <c r="B974" s="82" t="str">
        <f t="shared" ca="1" si="33"/>
        <v>Verduras frescas</v>
      </c>
      <c r="C974" s="95" t="str">
        <f>IFERROR(VLOOKUP("LB",'Informacion '!P:Q,2,FALSE),"")</f>
        <v>Libra </v>
      </c>
      <c r="D974" s="94">
        <v>220</v>
      </c>
      <c r="E974" s="84">
        <v>27</v>
      </c>
      <c r="F974" s="83">
        <f t="shared" ca="1" si="34"/>
        <v>5940</v>
      </c>
    </row>
    <row r="975" spans="1:6" ht="14.1" customHeight="1" x14ac:dyDescent="0.25">
      <c r="A975" s="94" t="s">
        <v>1039</v>
      </c>
      <c r="B975" s="82" t="str">
        <f t="shared" ref="B975:B990" ca="1" si="35">IFERROR(INDEX(UNSPSCDes,MATCH(INDIRECT(ADDRESS(ROW(),COLUMN()-1,4)),UNSPSCCode,0)),IF(INDIRECT(ADDRESS(ROW(),COLUMN()-1,4))="50101634","Fruta fresca",""))</f>
        <v>Fruta fresca</v>
      </c>
      <c r="C975" s="95" t="str">
        <f>IFERROR(VLOOKUP("UD",'Informacion '!P:Q,2,FALSE),"")</f>
        <v>Unidad</v>
      </c>
      <c r="D975" s="94">
        <v>200</v>
      </c>
      <c r="E975" s="84">
        <v>60</v>
      </c>
      <c r="F975" s="83">
        <f t="shared" ca="1" si="34"/>
        <v>12000</v>
      </c>
    </row>
    <row r="976" spans="1:6" ht="14.1" customHeight="1" x14ac:dyDescent="0.25">
      <c r="A976" s="94" t="s">
        <v>1039</v>
      </c>
      <c r="B976" s="82" t="str">
        <f t="shared" ca="1" si="35"/>
        <v>Fruta fresca</v>
      </c>
      <c r="C976" s="95" t="str">
        <f>IFERROR(VLOOKUP("LB",'Informacion '!P:Q,2,FALSE),"")</f>
        <v>Libra </v>
      </c>
      <c r="D976" s="94">
        <v>70</v>
      </c>
      <c r="E976" s="84">
        <v>40</v>
      </c>
      <c r="F976" s="83">
        <f t="shared" ca="1" si="34"/>
        <v>2800</v>
      </c>
    </row>
    <row r="977" spans="1:10" ht="14.1" customHeight="1" x14ac:dyDescent="0.25">
      <c r="A977" s="94" t="s">
        <v>1039</v>
      </c>
      <c r="B977" s="82" t="str">
        <f t="shared" ca="1" si="35"/>
        <v>Fruta fresca</v>
      </c>
      <c r="C977" s="95" t="str">
        <f>IFERROR(VLOOKUP("UD",'Informacion '!P:Q,2,FALSE),"")</f>
        <v>Unidad</v>
      </c>
      <c r="D977" s="94">
        <v>530</v>
      </c>
      <c r="E977" s="84">
        <v>65</v>
      </c>
      <c r="F977" s="83">
        <f t="shared" ca="1" si="34"/>
        <v>34450</v>
      </c>
    </row>
    <row r="978" spans="1:10" ht="14.1" customHeight="1" x14ac:dyDescent="0.25">
      <c r="A978" s="94" t="s">
        <v>1039</v>
      </c>
      <c r="B978" s="82" t="str">
        <f t="shared" ca="1" si="35"/>
        <v>Fruta fresca</v>
      </c>
      <c r="C978" s="95" t="str">
        <f>IFERROR(VLOOKUP("UD",'Informacion '!P:Q,2,FALSE),"")</f>
        <v>Unidad</v>
      </c>
      <c r="D978" s="94">
        <v>530</v>
      </c>
      <c r="E978" s="84">
        <v>30</v>
      </c>
      <c r="F978" s="83">
        <f t="shared" ca="1" si="34"/>
        <v>15900</v>
      </c>
    </row>
    <row r="979" spans="1:10" ht="14.1" customHeight="1" x14ac:dyDescent="0.25">
      <c r="A979" s="94" t="s">
        <v>1039</v>
      </c>
      <c r="B979" s="82" t="str">
        <f t="shared" ca="1" si="35"/>
        <v>Fruta fresca</v>
      </c>
      <c r="C979" s="95" t="str">
        <f>IFERROR(VLOOKUP("LB",'Informacion '!P:Q,2,FALSE),"")</f>
        <v>Libra </v>
      </c>
      <c r="D979" s="94">
        <v>70</v>
      </c>
      <c r="E979" s="84">
        <v>100</v>
      </c>
      <c r="F979" s="83">
        <f t="shared" ca="1" si="34"/>
        <v>7000</v>
      </c>
    </row>
    <row r="980" spans="1:10" ht="14.1" customHeight="1" x14ac:dyDescent="0.25">
      <c r="A980" s="94" t="s">
        <v>1039</v>
      </c>
      <c r="B980" s="82" t="str">
        <f t="shared" ca="1" si="35"/>
        <v>Fruta fresca</v>
      </c>
      <c r="C980" s="95" t="str">
        <f>IFERROR(VLOOKUP("UD",'Informacion '!P:Q,2,FALSE),"")</f>
        <v>Unidad</v>
      </c>
      <c r="D980" s="94">
        <v>265</v>
      </c>
      <c r="E980" s="84">
        <v>25</v>
      </c>
      <c r="F980" s="83">
        <f t="shared" ca="1" si="34"/>
        <v>6625</v>
      </c>
    </row>
    <row r="981" spans="1:10" ht="14.1" customHeight="1" x14ac:dyDescent="0.25">
      <c r="A981" s="94" t="s">
        <v>1039</v>
      </c>
      <c r="B981" s="82" t="str">
        <f t="shared" ca="1" si="35"/>
        <v>Fruta fresca</v>
      </c>
      <c r="C981" s="95" t="str">
        <f>IFERROR(VLOOKUP("LB",'Informacion '!P:Q,2,FALSE),"")</f>
        <v>Libra </v>
      </c>
      <c r="D981" s="94">
        <v>530</v>
      </c>
      <c r="E981" s="84">
        <v>53</v>
      </c>
      <c r="F981" s="83">
        <f t="shared" ca="1" si="34"/>
        <v>28090</v>
      </c>
    </row>
    <row r="982" spans="1:10" ht="14.1" customHeight="1" x14ac:dyDescent="0.25">
      <c r="A982" s="94" t="s">
        <v>1039</v>
      </c>
      <c r="B982" s="82" t="str">
        <f t="shared" ca="1" si="35"/>
        <v>Fruta fresca</v>
      </c>
      <c r="C982" s="95" t="str">
        <f>IFERROR(VLOOKUP("UD",'Informacion '!P:Q,2,FALSE),"")</f>
        <v>Unidad</v>
      </c>
      <c r="D982" s="94">
        <v>530</v>
      </c>
      <c r="E982" s="84">
        <v>133</v>
      </c>
      <c r="F982" s="83">
        <f t="shared" ca="1" si="34"/>
        <v>70490</v>
      </c>
    </row>
    <row r="983" spans="1:10" ht="14.1" customHeight="1" x14ac:dyDescent="0.25">
      <c r="A983" s="94" t="s">
        <v>1039</v>
      </c>
      <c r="B983" s="82" t="str">
        <f t="shared" ca="1" si="35"/>
        <v>Fruta fresca</v>
      </c>
      <c r="C983" s="95" t="str">
        <f>IFERROR(VLOOKUP("UD",'Informacion '!P:Q,2,FALSE),"")</f>
        <v>Unidad</v>
      </c>
      <c r="D983" s="94">
        <v>160</v>
      </c>
      <c r="E983" s="84">
        <v>67</v>
      </c>
      <c r="F983" s="83">
        <f t="shared" ca="1" si="34"/>
        <v>10720</v>
      </c>
    </row>
    <row r="984" spans="1:10" ht="14.1" customHeight="1" x14ac:dyDescent="0.25">
      <c r="A984" s="94" t="s">
        <v>1039</v>
      </c>
      <c r="B984" s="82" t="str">
        <f t="shared" ca="1" si="35"/>
        <v>Fruta fresca</v>
      </c>
      <c r="C984" s="95" t="str">
        <f>IFERROR(VLOOKUP("LB",'Informacion '!P:Q,2,FALSE),"")</f>
        <v>Libra </v>
      </c>
      <c r="D984" s="94">
        <v>330</v>
      </c>
      <c r="E984" s="84">
        <v>85</v>
      </c>
      <c r="F984" s="83">
        <f t="shared" ca="1" si="34"/>
        <v>28050</v>
      </c>
    </row>
    <row r="985" spans="1:10" ht="14.1" customHeight="1" x14ac:dyDescent="0.25">
      <c r="A985" s="94" t="s">
        <v>1039</v>
      </c>
      <c r="B985" s="82" t="str">
        <f t="shared" ca="1" si="35"/>
        <v>Fruta fresca</v>
      </c>
      <c r="C985" s="95" t="str">
        <f>IFERROR(VLOOKUP("UD",'Informacion '!P:Q,2,FALSE),"")</f>
        <v>Unidad</v>
      </c>
      <c r="D985" s="94">
        <v>530</v>
      </c>
      <c r="E985" s="84">
        <v>16</v>
      </c>
      <c r="F985" s="83">
        <f t="shared" ca="1" si="34"/>
        <v>8480</v>
      </c>
    </row>
    <row r="986" spans="1:10" ht="14.1" customHeight="1" x14ac:dyDescent="0.25">
      <c r="A986" s="94" t="s">
        <v>1039</v>
      </c>
      <c r="B986" s="82" t="str">
        <f t="shared" ca="1" si="35"/>
        <v>Fruta fresca</v>
      </c>
      <c r="C986" s="95" t="str">
        <f>IFERROR(VLOOKUP("UD",'Informacion '!P:Q,2,FALSE),"")</f>
        <v>Unidad</v>
      </c>
      <c r="D986" s="94">
        <v>400</v>
      </c>
      <c r="E986" s="84">
        <v>42</v>
      </c>
      <c r="F986" s="83">
        <f t="shared" ca="1" si="34"/>
        <v>16800</v>
      </c>
    </row>
    <row r="987" spans="1:10" ht="14.1" customHeight="1" x14ac:dyDescent="0.25">
      <c r="A987" s="94" t="s">
        <v>1039</v>
      </c>
      <c r="B987" s="82" t="str">
        <f t="shared" ca="1" si="35"/>
        <v>Fruta fresca</v>
      </c>
      <c r="C987" s="95" t="str">
        <f>IFERROR(VLOOKUP("LB",'Informacion '!P:Q,2,FALSE),"")</f>
        <v>Libra </v>
      </c>
      <c r="D987" s="94">
        <v>330</v>
      </c>
      <c r="E987" s="84">
        <v>38</v>
      </c>
      <c r="F987" s="83">
        <f t="shared" ca="1" si="34"/>
        <v>12540</v>
      </c>
    </row>
    <row r="988" spans="1:10" ht="14.1" customHeight="1" x14ac:dyDescent="0.25">
      <c r="A988" s="94" t="s">
        <v>1039</v>
      </c>
      <c r="B988" s="82" t="str">
        <f t="shared" ca="1" si="35"/>
        <v>Fruta fresca</v>
      </c>
      <c r="C988" s="95" t="str">
        <f>IFERROR(VLOOKUP("LB",'Informacion '!P:Q,2,FALSE),"")</f>
        <v>Libra </v>
      </c>
      <c r="D988" s="94">
        <v>200</v>
      </c>
      <c r="E988" s="84">
        <v>43</v>
      </c>
      <c r="F988" s="83">
        <f t="shared" ca="1" si="34"/>
        <v>8600</v>
      </c>
    </row>
    <row r="989" spans="1:10" ht="14.1" customHeight="1" x14ac:dyDescent="0.25">
      <c r="A989" s="94" t="s">
        <v>1039</v>
      </c>
      <c r="B989" s="82" t="str">
        <f t="shared" ca="1" si="35"/>
        <v>Fruta fresca</v>
      </c>
      <c r="C989" s="95" t="str">
        <f>IFERROR(VLOOKUP("UD",'Informacion '!P:Q,2,FALSE),"")</f>
        <v>Unidad</v>
      </c>
      <c r="D989" s="94">
        <v>70</v>
      </c>
      <c r="E989" s="84">
        <v>120</v>
      </c>
      <c r="F989" s="83">
        <f t="shared" ca="1" si="34"/>
        <v>8400</v>
      </c>
    </row>
    <row r="990" spans="1:10" ht="14.1" customHeight="1" x14ac:dyDescent="0.25">
      <c r="A990" s="94" t="s">
        <v>1039</v>
      </c>
      <c r="B990" s="82" t="str">
        <f t="shared" ca="1" si="35"/>
        <v>Fruta fresca</v>
      </c>
      <c r="C990" s="95" t="str">
        <f>IFERROR(VLOOKUP("UD",'Informacion '!P:Q,2,FALSE),"")</f>
        <v>Unidad</v>
      </c>
      <c r="D990" s="94">
        <v>530</v>
      </c>
      <c r="E990" s="84">
        <v>65</v>
      </c>
      <c r="F990" s="83">
        <f t="shared" ca="1" si="34"/>
        <v>34450</v>
      </c>
    </row>
    <row r="991" spans="1:10" ht="14.1" customHeight="1" x14ac:dyDescent="0.25">
      <c r="E991" s="96" t="s">
        <v>7213</v>
      </c>
      <c r="F991" s="87">
        <f ca="1">SUM(Table42[MONTO TOTAL ESTIMADO])</f>
        <v>432837.5</v>
      </c>
      <c r="H991" s="39" t="str">
        <f>C947</f>
        <v>Bienes</v>
      </c>
      <c r="I991" s="39" t="str">
        <f>E947</f>
        <v>No</v>
      </c>
      <c r="J991" s="39" t="str">
        <f>D947</f>
        <v>Comparacion de Precios</v>
      </c>
    </row>
    <row r="993" spans="1:6" ht="33.950000000000003" customHeight="1" x14ac:dyDescent="0.25">
      <c r="A993" s="77" t="s">
        <v>17233</v>
      </c>
      <c r="B993" s="77" t="s">
        <v>4237</v>
      </c>
      <c r="C993" s="77" t="s">
        <v>4743</v>
      </c>
      <c r="D993" s="77" t="s">
        <v>9891</v>
      </c>
      <c r="E993" s="77" t="s">
        <v>3089</v>
      </c>
      <c r="F993" s="77" t="s">
        <v>18141</v>
      </c>
    </row>
    <row r="994" spans="1:6" ht="14.1" customHeight="1" x14ac:dyDescent="0.25">
      <c r="A994" s="79" t="s">
        <v>1758</v>
      </c>
      <c r="B994" s="79" t="s">
        <v>3481</v>
      </c>
      <c r="C994" s="79" t="s">
        <v>17215</v>
      </c>
      <c r="D994" s="79" t="s">
        <v>15249</v>
      </c>
      <c r="E994" s="79" t="s">
        <v>18247</v>
      </c>
      <c r="F994" s="79"/>
    </row>
    <row r="995" spans="1:6" ht="14.1" customHeight="1" x14ac:dyDescent="0.25">
      <c r="A995" s="2" t="s">
        <v>6643</v>
      </c>
      <c r="B995" s="80" t="s">
        <v>1046</v>
      </c>
      <c r="C995" s="90">
        <v>43557</v>
      </c>
      <c r="D995" s="2" t="s">
        <v>59</v>
      </c>
      <c r="E995" s="92" t="s">
        <v>20066</v>
      </c>
      <c r="F995" s="93"/>
    </row>
    <row r="996" spans="1:6" ht="14.1" customHeight="1" x14ac:dyDescent="0.25">
      <c r="A996" s="1"/>
      <c r="B996" s="80" t="s">
        <v>10788</v>
      </c>
      <c r="C996" s="91">
        <f>IF(C995="","",IF(AND(MONTH(C995)&gt;=1,MONTH(C995)&lt;=3),1,IF(AND(MONTH(C995)&gt;=4,MONTH(C995)&lt;=6),2,IF(AND(MONTH(C995)&gt;=7,MONTH(C995)&lt;=9),3,4))))</f>
        <v>2</v>
      </c>
      <c r="D996" s="1"/>
      <c r="E996" s="92" t="s">
        <v>14822</v>
      </c>
      <c r="F996" s="93"/>
    </row>
    <row r="997" spans="1:6" ht="14.1" customHeight="1" x14ac:dyDescent="0.25">
      <c r="A997" s="1"/>
      <c r="B997" s="80" t="s">
        <v>13758</v>
      </c>
      <c r="C997" s="90">
        <v>43644</v>
      </c>
      <c r="D997" s="1"/>
      <c r="E997" s="92" t="s">
        <v>18636</v>
      </c>
      <c r="F997" s="93"/>
    </row>
    <row r="998" spans="1:6" ht="14.1" customHeight="1" x14ac:dyDescent="0.25">
      <c r="A998" s="1"/>
      <c r="B998" s="80" t="s">
        <v>10788</v>
      </c>
      <c r="C998" s="91">
        <f>IF(C997="","",IF(AND(MONTH(C997)&gt;=1,MONTH(C997)&lt;=3),1,IF(AND(MONTH(C997)&gt;=4,MONTH(C997)&lt;=6),2,IF(AND(MONTH(C997)&gt;=7,MONTH(C997)&lt;=9),3,4))))</f>
        <v>2</v>
      </c>
      <c r="D998" s="1"/>
      <c r="E998" s="92" t="s">
        <v>15990</v>
      </c>
      <c r="F998" s="93"/>
    </row>
    <row r="1000" spans="1:6" ht="14.1" customHeight="1" x14ac:dyDescent="0.25">
      <c r="A1000" s="85" t="s">
        <v>15474</v>
      </c>
      <c r="B1000" s="85" t="s">
        <v>5027</v>
      </c>
      <c r="C1000" s="85" t="s">
        <v>17461</v>
      </c>
      <c r="D1000" s="85" t="s">
        <v>3935</v>
      </c>
      <c r="E1000" s="85" t="s">
        <v>10722</v>
      </c>
      <c r="F1000" s="85" t="s">
        <v>18237</v>
      </c>
    </row>
    <row r="1001" spans="1:6" ht="14.1" customHeight="1" x14ac:dyDescent="0.25">
      <c r="A1001" s="94" t="s">
        <v>5290</v>
      </c>
      <c r="B1001" s="82" t="str">
        <f t="shared" ref="B1001:B1021" ca="1" si="36">IFERROR(INDEX(UNSPSCDes,MATCH(INDIRECT(ADDRESS(ROW(),COLUMN()-1,4)),UNSPSCCode,0)),IF(INDIRECT(ADDRESS(ROW(),COLUMN()-1,4))="50101538","Verduras frescas",""))</f>
        <v>Verduras frescas</v>
      </c>
      <c r="C1001" s="95" t="str">
        <f>IFERROR(VLOOKUP("LB",'Informacion '!P:Q,2,FALSE),"")</f>
        <v>Libra </v>
      </c>
      <c r="D1001" s="94">
        <v>190</v>
      </c>
      <c r="E1001" s="84">
        <v>35</v>
      </c>
      <c r="F1001" s="83">
        <f t="shared" ref="F1001:F1037" ca="1" si="37">INDIRECT(ADDRESS(ROW(),COLUMN()-2,4))*INDIRECT(ADDRESS(ROW(),COLUMN()-1,4))</f>
        <v>6650</v>
      </c>
    </row>
    <row r="1002" spans="1:6" ht="14.1" customHeight="1" x14ac:dyDescent="0.25">
      <c r="A1002" s="94" t="s">
        <v>5290</v>
      </c>
      <c r="B1002" s="82" t="str">
        <f t="shared" ca="1" si="36"/>
        <v>Verduras frescas</v>
      </c>
      <c r="C1002" s="95" t="str">
        <f>IFERROR(VLOOKUP("LB",'Informacion '!P:Q,2,FALSE),"")</f>
        <v>Libra </v>
      </c>
      <c r="D1002" s="94">
        <v>26</v>
      </c>
      <c r="E1002" s="84">
        <v>50</v>
      </c>
      <c r="F1002" s="83">
        <f t="shared" ca="1" si="37"/>
        <v>1300</v>
      </c>
    </row>
    <row r="1003" spans="1:6" ht="14.1" customHeight="1" x14ac:dyDescent="0.25">
      <c r="A1003" s="94" t="s">
        <v>5290</v>
      </c>
      <c r="B1003" s="82" t="str">
        <f t="shared" ca="1" si="36"/>
        <v>Verduras frescas</v>
      </c>
      <c r="C1003" s="95" t="str">
        <f>IFERROR(VLOOKUP("LB",'Informacion '!P:Q,2,FALSE),"")</f>
        <v>Libra </v>
      </c>
      <c r="D1003" s="94">
        <v>35</v>
      </c>
      <c r="E1003" s="84">
        <v>75</v>
      </c>
      <c r="F1003" s="83">
        <f t="shared" ca="1" si="37"/>
        <v>2625</v>
      </c>
    </row>
    <row r="1004" spans="1:6" ht="14.1" customHeight="1" x14ac:dyDescent="0.25">
      <c r="A1004" s="94" t="s">
        <v>5290</v>
      </c>
      <c r="B1004" s="82" t="str">
        <f t="shared" ca="1" si="36"/>
        <v>Verduras frescas</v>
      </c>
      <c r="C1004" s="95" t="str">
        <f>IFERROR(VLOOKUP("LB",'Informacion '!P:Q,2,FALSE),"")</f>
        <v>Libra </v>
      </c>
      <c r="D1004" s="94">
        <v>265</v>
      </c>
      <c r="E1004" s="84">
        <v>23</v>
      </c>
      <c r="F1004" s="83">
        <f t="shared" ca="1" si="37"/>
        <v>6095</v>
      </c>
    </row>
    <row r="1005" spans="1:6" ht="14.1" customHeight="1" x14ac:dyDescent="0.25">
      <c r="A1005" s="94" t="s">
        <v>5290</v>
      </c>
      <c r="B1005" s="82" t="str">
        <f t="shared" ca="1" si="36"/>
        <v>Verduras frescas</v>
      </c>
      <c r="C1005" s="95" t="str">
        <f>IFERROR(VLOOKUP("LB",'Informacion '!P:Q,2,FALSE),"")</f>
        <v>Libra </v>
      </c>
      <c r="D1005" s="94">
        <v>265</v>
      </c>
      <c r="E1005" s="84">
        <v>30</v>
      </c>
      <c r="F1005" s="83">
        <f t="shared" ca="1" si="37"/>
        <v>7950</v>
      </c>
    </row>
    <row r="1006" spans="1:6" ht="14.1" customHeight="1" x14ac:dyDescent="0.25">
      <c r="A1006" s="94" t="s">
        <v>5290</v>
      </c>
      <c r="B1006" s="82" t="str">
        <f t="shared" ca="1" si="36"/>
        <v>Verduras frescas</v>
      </c>
      <c r="C1006" s="95" t="str">
        <f>IFERROR(VLOOKUP("LB",'Informacion '!P:Q,2,FALSE),"")</f>
        <v>Libra </v>
      </c>
      <c r="D1006" s="94">
        <v>70</v>
      </c>
      <c r="E1006" s="84">
        <v>80</v>
      </c>
      <c r="F1006" s="83">
        <f t="shared" ca="1" si="37"/>
        <v>5600</v>
      </c>
    </row>
    <row r="1007" spans="1:6" ht="14.1" customHeight="1" x14ac:dyDescent="0.25">
      <c r="A1007" s="94" t="s">
        <v>5290</v>
      </c>
      <c r="B1007" s="82" t="str">
        <f t="shared" ca="1" si="36"/>
        <v>Verduras frescas</v>
      </c>
      <c r="C1007" s="95" t="str">
        <f>IFERROR(VLOOKUP("LB",'Informacion '!P:Q,2,FALSE),"")</f>
        <v>Libra </v>
      </c>
      <c r="D1007" s="94">
        <v>70</v>
      </c>
      <c r="E1007" s="84">
        <v>35</v>
      </c>
      <c r="F1007" s="83">
        <f t="shared" ca="1" si="37"/>
        <v>2450</v>
      </c>
    </row>
    <row r="1008" spans="1:6" ht="14.1" customHeight="1" x14ac:dyDescent="0.25">
      <c r="A1008" s="94" t="s">
        <v>5290</v>
      </c>
      <c r="B1008" s="82" t="str">
        <f t="shared" ca="1" si="36"/>
        <v>Verduras frescas</v>
      </c>
      <c r="C1008" s="95" t="str">
        <f>IFERROR(VLOOKUP("LB",'Informacion '!P:Q,2,FALSE),"")</f>
        <v>Libra </v>
      </c>
      <c r="D1008" s="94">
        <v>80</v>
      </c>
      <c r="E1008" s="84">
        <v>39</v>
      </c>
      <c r="F1008" s="83">
        <f t="shared" ca="1" si="37"/>
        <v>3120</v>
      </c>
    </row>
    <row r="1009" spans="1:6" ht="14.1" customHeight="1" x14ac:dyDescent="0.25">
      <c r="A1009" s="94" t="s">
        <v>5290</v>
      </c>
      <c r="B1009" s="82" t="str">
        <f t="shared" ca="1" si="36"/>
        <v>Verduras frescas</v>
      </c>
      <c r="C1009" s="95" t="str">
        <f>IFERROR(VLOOKUP("LB",'Informacion '!P:Q,2,FALSE),"")</f>
        <v>Libra </v>
      </c>
      <c r="D1009" s="94">
        <v>190</v>
      </c>
      <c r="E1009" s="84">
        <v>48</v>
      </c>
      <c r="F1009" s="83">
        <f t="shared" ca="1" si="37"/>
        <v>9120</v>
      </c>
    </row>
    <row r="1010" spans="1:6" ht="14.1" customHeight="1" x14ac:dyDescent="0.25">
      <c r="A1010" s="94" t="s">
        <v>5290</v>
      </c>
      <c r="B1010" s="82" t="str">
        <f t="shared" ca="1" si="36"/>
        <v>Verduras frescas</v>
      </c>
      <c r="C1010" s="95" t="str">
        <f>IFERROR(VLOOKUP("LB",'Informacion '!P:Q,2,FALSE),"")</f>
        <v>Libra </v>
      </c>
      <c r="D1010" s="94">
        <v>90</v>
      </c>
      <c r="E1010" s="84">
        <v>32</v>
      </c>
      <c r="F1010" s="83">
        <f t="shared" ca="1" si="37"/>
        <v>2880</v>
      </c>
    </row>
    <row r="1011" spans="1:6" ht="14.1" customHeight="1" x14ac:dyDescent="0.25">
      <c r="A1011" s="94" t="s">
        <v>5290</v>
      </c>
      <c r="B1011" s="82" t="str">
        <f t="shared" ca="1" si="36"/>
        <v>Verduras frescas</v>
      </c>
      <c r="C1011" s="95" t="str">
        <f>IFERROR(VLOOKUP("LB",'Informacion '!P:Q,2,FALSE),"")</f>
        <v>Libra </v>
      </c>
      <c r="D1011" s="94">
        <v>265</v>
      </c>
      <c r="E1011" s="84">
        <v>48</v>
      </c>
      <c r="F1011" s="83">
        <f t="shared" ca="1" si="37"/>
        <v>12720</v>
      </c>
    </row>
    <row r="1012" spans="1:6" ht="14.1" customHeight="1" x14ac:dyDescent="0.25">
      <c r="A1012" s="94" t="s">
        <v>5290</v>
      </c>
      <c r="B1012" s="82" t="str">
        <f t="shared" ca="1" si="36"/>
        <v>Verduras frescas</v>
      </c>
      <c r="C1012" s="95" t="str">
        <f>IFERROR(VLOOKUP("LB",'Informacion '!P:Q,2,FALSE),"")</f>
        <v>Libra </v>
      </c>
      <c r="D1012" s="94">
        <v>320</v>
      </c>
      <c r="E1012" s="84">
        <v>80</v>
      </c>
      <c r="F1012" s="83">
        <f t="shared" ca="1" si="37"/>
        <v>25600</v>
      </c>
    </row>
    <row r="1013" spans="1:6" ht="14.1" customHeight="1" x14ac:dyDescent="0.25">
      <c r="A1013" s="94" t="s">
        <v>5290</v>
      </c>
      <c r="B1013" s="82" t="str">
        <f t="shared" ca="1" si="36"/>
        <v>Verduras frescas</v>
      </c>
      <c r="C1013" s="95" t="str">
        <f>IFERROR(VLOOKUP("LB",'Informacion '!P:Q,2,FALSE),"")</f>
        <v>Libra </v>
      </c>
      <c r="D1013" s="94">
        <v>135</v>
      </c>
      <c r="E1013" s="84">
        <v>6.5</v>
      </c>
      <c r="F1013" s="83">
        <f t="shared" ca="1" si="37"/>
        <v>877.5</v>
      </c>
    </row>
    <row r="1014" spans="1:6" ht="14.1" customHeight="1" x14ac:dyDescent="0.25">
      <c r="A1014" s="94" t="s">
        <v>5290</v>
      </c>
      <c r="B1014" s="82" t="str">
        <f t="shared" ca="1" si="36"/>
        <v>Verduras frescas</v>
      </c>
      <c r="C1014" s="95" t="str">
        <f>IFERROR(VLOOKUP("LB",'Informacion '!P:Q,2,FALSE),"")</f>
        <v>Libra </v>
      </c>
      <c r="D1014" s="94">
        <v>135</v>
      </c>
      <c r="E1014" s="84">
        <v>12</v>
      </c>
      <c r="F1014" s="83">
        <f t="shared" ca="1" si="37"/>
        <v>1620</v>
      </c>
    </row>
    <row r="1015" spans="1:6" ht="14.1" customHeight="1" x14ac:dyDescent="0.25">
      <c r="A1015" s="94" t="s">
        <v>5290</v>
      </c>
      <c r="B1015" s="82" t="str">
        <f t="shared" ca="1" si="36"/>
        <v>Verduras frescas</v>
      </c>
      <c r="C1015" s="95" t="str">
        <f>IFERROR(VLOOKUP("UD",'Informacion '!P:Q,2,FALSE),"")</f>
        <v>Unidad</v>
      </c>
      <c r="D1015" s="94">
        <v>25</v>
      </c>
      <c r="E1015" s="84">
        <v>80</v>
      </c>
      <c r="F1015" s="83">
        <f t="shared" ca="1" si="37"/>
        <v>2000</v>
      </c>
    </row>
    <row r="1016" spans="1:6" ht="14.1" customHeight="1" x14ac:dyDescent="0.25">
      <c r="A1016" s="94" t="s">
        <v>5290</v>
      </c>
      <c r="B1016" s="82" t="str">
        <f t="shared" ca="1" si="36"/>
        <v>Verduras frescas</v>
      </c>
      <c r="C1016" s="95" t="str">
        <f>IFERROR(VLOOKUP("UD",'Informacion '!P:Q,2,FALSE),"")</f>
        <v>Unidad</v>
      </c>
      <c r="D1016" s="94">
        <v>26</v>
      </c>
      <c r="E1016" s="84">
        <v>60</v>
      </c>
      <c r="F1016" s="83">
        <f t="shared" ca="1" si="37"/>
        <v>1560</v>
      </c>
    </row>
    <row r="1017" spans="1:6" ht="14.1" customHeight="1" x14ac:dyDescent="0.25">
      <c r="A1017" s="94" t="s">
        <v>5290</v>
      </c>
      <c r="B1017" s="82" t="str">
        <f t="shared" ca="1" si="36"/>
        <v>Verduras frescas</v>
      </c>
      <c r="C1017" s="95" t="str">
        <f>IFERROR(VLOOKUP("LB",'Informacion '!P:Q,2,FALSE),"")</f>
        <v>Libra </v>
      </c>
      <c r="D1017" s="94">
        <v>265</v>
      </c>
      <c r="E1017" s="84">
        <v>49</v>
      </c>
      <c r="F1017" s="83">
        <f t="shared" ca="1" si="37"/>
        <v>12985</v>
      </c>
    </row>
    <row r="1018" spans="1:6" ht="14.1" customHeight="1" x14ac:dyDescent="0.25">
      <c r="A1018" s="94" t="s">
        <v>5290</v>
      </c>
      <c r="B1018" s="82" t="str">
        <f t="shared" ca="1" si="36"/>
        <v>Verduras frescas</v>
      </c>
      <c r="C1018" s="95" t="str">
        <f>IFERROR(VLOOKUP("LB",'Informacion '!P:Q,2,FALSE),"")</f>
        <v>Libra </v>
      </c>
      <c r="D1018" s="94">
        <v>265</v>
      </c>
      <c r="E1018" s="84">
        <v>35</v>
      </c>
      <c r="F1018" s="83">
        <f t="shared" ca="1" si="37"/>
        <v>9275</v>
      </c>
    </row>
    <row r="1019" spans="1:6" ht="14.1" customHeight="1" x14ac:dyDescent="0.25">
      <c r="A1019" s="94" t="s">
        <v>5290</v>
      </c>
      <c r="B1019" s="82" t="str">
        <f t="shared" ca="1" si="36"/>
        <v>Verduras frescas</v>
      </c>
      <c r="C1019" s="95" t="str">
        <f>IFERROR(VLOOKUP("LB",'Informacion '!P:Q,2,FALSE),"")</f>
        <v>Libra </v>
      </c>
      <c r="D1019" s="94">
        <v>135</v>
      </c>
      <c r="E1019" s="84">
        <v>45</v>
      </c>
      <c r="F1019" s="83">
        <f t="shared" ca="1" si="37"/>
        <v>6075</v>
      </c>
    </row>
    <row r="1020" spans="1:6" ht="14.1" customHeight="1" x14ac:dyDescent="0.25">
      <c r="A1020" s="94" t="s">
        <v>5290</v>
      </c>
      <c r="B1020" s="82" t="str">
        <f t="shared" ca="1" si="36"/>
        <v>Verduras frescas</v>
      </c>
      <c r="C1020" s="95" t="str">
        <f>IFERROR(VLOOKUP("LB",'Informacion '!P:Q,2,FALSE),"")</f>
        <v>Libra </v>
      </c>
      <c r="D1020" s="94">
        <v>20</v>
      </c>
      <c r="E1020" s="84">
        <v>50</v>
      </c>
      <c r="F1020" s="83">
        <f t="shared" ca="1" si="37"/>
        <v>1000</v>
      </c>
    </row>
    <row r="1021" spans="1:6" ht="14.1" customHeight="1" x14ac:dyDescent="0.25">
      <c r="A1021" s="94" t="s">
        <v>5290</v>
      </c>
      <c r="B1021" s="82" t="str">
        <f t="shared" ca="1" si="36"/>
        <v>Verduras frescas</v>
      </c>
      <c r="C1021" s="95" t="str">
        <f>IFERROR(VLOOKUP("LB",'Informacion '!P:Q,2,FALSE),"")</f>
        <v>Libra </v>
      </c>
      <c r="D1021" s="94">
        <v>220</v>
      </c>
      <c r="E1021" s="84">
        <v>27</v>
      </c>
      <c r="F1021" s="83">
        <f t="shared" ca="1" si="37"/>
        <v>5940</v>
      </c>
    </row>
    <row r="1022" spans="1:6" ht="14.1" customHeight="1" x14ac:dyDescent="0.25">
      <c r="A1022" s="94" t="s">
        <v>1039</v>
      </c>
      <c r="B1022" s="82" t="str">
        <f t="shared" ref="B1022:B1037" ca="1" si="38">IFERROR(INDEX(UNSPSCDes,MATCH(INDIRECT(ADDRESS(ROW(),COLUMN()-1,4)),UNSPSCCode,0)),IF(INDIRECT(ADDRESS(ROW(),COLUMN()-1,4))="50101634","Fruta fresca",""))</f>
        <v>Fruta fresca</v>
      </c>
      <c r="C1022" s="95" t="str">
        <f>IFERROR(VLOOKUP("UD",'Informacion '!P:Q,2,FALSE),"")</f>
        <v>Unidad</v>
      </c>
      <c r="D1022" s="94">
        <v>200</v>
      </c>
      <c r="E1022" s="84">
        <v>60</v>
      </c>
      <c r="F1022" s="83">
        <f t="shared" ca="1" si="37"/>
        <v>12000</v>
      </c>
    </row>
    <row r="1023" spans="1:6" ht="14.1" customHeight="1" x14ac:dyDescent="0.25">
      <c r="A1023" s="94" t="s">
        <v>1039</v>
      </c>
      <c r="B1023" s="82" t="str">
        <f t="shared" ca="1" si="38"/>
        <v>Fruta fresca</v>
      </c>
      <c r="C1023" s="95" t="str">
        <f>IFERROR(VLOOKUP("LB",'Informacion '!P:Q,2,FALSE),"")</f>
        <v>Libra </v>
      </c>
      <c r="D1023" s="94">
        <v>70</v>
      </c>
      <c r="E1023" s="84">
        <v>40</v>
      </c>
      <c r="F1023" s="83">
        <f t="shared" ca="1" si="37"/>
        <v>2800</v>
      </c>
    </row>
    <row r="1024" spans="1:6" ht="14.1" customHeight="1" x14ac:dyDescent="0.25">
      <c r="A1024" s="94" t="s">
        <v>1039</v>
      </c>
      <c r="B1024" s="82" t="str">
        <f t="shared" ca="1" si="38"/>
        <v>Fruta fresca</v>
      </c>
      <c r="C1024" s="95" t="str">
        <f>IFERROR(VLOOKUP("UD",'Informacion '!P:Q,2,FALSE),"")</f>
        <v>Unidad</v>
      </c>
      <c r="D1024" s="94">
        <v>530</v>
      </c>
      <c r="E1024" s="84">
        <v>65</v>
      </c>
      <c r="F1024" s="83">
        <f t="shared" ca="1" si="37"/>
        <v>34450</v>
      </c>
    </row>
    <row r="1025" spans="1:10" ht="14.1" customHeight="1" x14ac:dyDescent="0.25">
      <c r="A1025" s="94" t="s">
        <v>1039</v>
      </c>
      <c r="B1025" s="82" t="str">
        <f t="shared" ca="1" si="38"/>
        <v>Fruta fresca</v>
      </c>
      <c r="C1025" s="95" t="str">
        <f>IFERROR(VLOOKUP("UD",'Informacion '!P:Q,2,FALSE),"")</f>
        <v>Unidad</v>
      </c>
      <c r="D1025" s="94">
        <v>530</v>
      </c>
      <c r="E1025" s="84">
        <v>30</v>
      </c>
      <c r="F1025" s="83">
        <f t="shared" ca="1" si="37"/>
        <v>15900</v>
      </c>
    </row>
    <row r="1026" spans="1:10" ht="14.1" customHeight="1" x14ac:dyDescent="0.25">
      <c r="A1026" s="94" t="s">
        <v>1039</v>
      </c>
      <c r="B1026" s="82" t="str">
        <f t="shared" ca="1" si="38"/>
        <v>Fruta fresca</v>
      </c>
      <c r="C1026" s="95" t="str">
        <f>IFERROR(VLOOKUP("LB",'Informacion '!P:Q,2,FALSE),"")</f>
        <v>Libra </v>
      </c>
      <c r="D1026" s="94">
        <v>70</v>
      </c>
      <c r="E1026" s="84">
        <v>100</v>
      </c>
      <c r="F1026" s="83">
        <f t="shared" ca="1" si="37"/>
        <v>7000</v>
      </c>
    </row>
    <row r="1027" spans="1:10" ht="14.1" customHeight="1" x14ac:dyDescent="0.25">
      <c r="A1027" s="94" t="s">
        <v>1039</v>
      </c>
      <c r="B1027" s="82" t="str">
        <f t="shared" ca="1" si="38"/>
        <v>Fruta fresca</v>
      </c>
      <c r="C1027" s="95" t="str">
        <f>IFERROR(VLOOKUP("UD",'Informacion '!P:Q,2,FALSE),"")</f>
        <v>Unidad</v>
      </c>
      <c r="D1027" s="94">
        <v>265</v>
      </c>
      <c r="E1027" s="84">
        <v>25</v>
      </c>
      <c r="F1027" s="83">
        <f t="shared" ca="1" si="37"/>
        <v>6625</v>
      </c>
    </row>
    <row r="1028" spans="1:10" ht="14.1" customHeight="1" x14ac:dyDescent="0.25">
      <c r="A1028" s="94" t="s">
        <v>1039</v>
      </c>
      <c r="B1028" s="82" t="str">
        <f t="shared" ca="1" si="38"/>
        <v>Fruta fresca</v>
      </c>
      <c r="C1028" s="95" t="str">
        <f>IFERROR(VLOOKUP("UD",'Informacion '!P:Q,2,FALSE),"")</f>
        <v>Unidad</v>
      </c>
      <c r="D1028" s="94">
        <v>530</v>
      </c>
      <c r="E1028" s="84">
        <v>53</v>
      </c>
      <c r="F1028" s="83">
        <f t="shared" ca="1" si="37"/>
        <v>28090</v>
      </c>
    </row>
    <row r="1029" spans="1:10" ht="14.1" customHeight="1" x14ac:dyDescent="0.25">
      <c r="A1029" s="94" t="s">
        <v>1039</v>
      </c>
      <c r="B1029" s="82" t="str">
        <f t="shared" ca="1" si="38"/>
        <v>Fruta fresca</v>
      </c>
      <c r="C1029" s="95" t="str">
        <f>IFERROR(VLOOKUP("LB",'Informacion '!P:Q,2,FALSE),"")</f>
        <v>Libra </v>
      </c>
      <c r="D1029" s="94">
        <v>530</v>
      </c>
      <c r="E1029" s="84">
        <v>133</v>
      </c>
      <c r="F1029" s="83">
        <f t="shared" ca="1" si="37"/>
        <v>70490</v>
      </c>
    </row>
    <row r="1030" spans="1:10" ht="14.1" customHeight="1" x14ac:dyDescent="0.25">
      <c r="A1030" s="94" t="s">
        <v>1039</v>
      </c>
      <c r="B1030" s="82" t="str">
        <f t="shared" ca="1" si="38"/>
        <v>Fruta fresca</v>
      </c>
      <c r="C1030" s="95" t="str">
        <f>IFERROR(VLOOKUP("UD",'Informacion '!P:Q,2,FALSE),"")</f>
        <v>Unidad</v>
      </c>
      <c r="D1030" s="94">
        <v>160</v>
      </c>
      <c r="E1030" s="84">
        <v>67</v>
      </c>
      <c r="F1030" s="83">
        <f t="shared" ca="1" si="37"/>
        <v>10720</v>
      </c>
    </row>
    <row r="1031" spans="1:10" ht="14.1" customHeight="1" x14ac:dyDescent="0.25">
      <c r="A1031" s="94" t="s">
        <v>1039</v>
      </c>
      <c r="B1031" s="82" t="str">
        <f t="shared" ca="1" si="38"/>
        <v>Fruta fresca</v>
      </c>
      <c r="C1031" s="95" t="str">
        <f>IFERROR(VLOOKUP("LB",'Informacion '!P:Q,2,FALSE),"")</f>
        <v>Libra </v>
      </c>
      <c r="D1031" s="94">
        <v>330</v>
      </c>
      <c r="E1031" s="84">
        <v>85</v>
      </c>
      <c r="F1031" s="83">
        <f t="shared" ca="1" si="37"/>
        <v>28050</v>
      </c>
    </row>
    <row r="1032" spans="1:10" ht="14.1" customHeight="1" x14ac:dyDescent="0.25">
      <c r="A1032" s="94" t="s">
        <v>1039</v>
      </c>
      <c r="B1032" s="82" t="str">
        <f t="shared" ca="1" si="38"/>
        <v>Fruta fresca</v>
      </c>
      <c r="C1032" s="95" t="str">
        <f>IFERROR(VLOOKUP("UD",'Informacion '!P:Q,2,FALSE),"")</f>
        <v>Unidad</v>
      </c>
      <c r="D1032" s="94">
        <v>530</v>
      </c>
      <c r="E1032" s="84">
        <v>16</v>
      </c>
      <c r="F1032" s="83">
        <f t="shared" ca="1" si="37"/>
        <v>8480</v>
      </c>
    </row>
    <row r="1033" spans="1:10" ht="14.1" customHeight="1" x14ac:dyDescent="0.25">
      <c r="A1033" s="94" t="s">
        <v>1039</v>
      </c>
      <c r="B1033" s="82" t="str">
        <f t="shared" ca="1" si="38"/>
        <v>Fruta fresca</v>
      </c>
      <c r="C1033" s="95" t="str">
        <f>IFERROR(VLOOKUP("UD",'Informacion '!P:Q,2,FALSE),"")</f>
        <v>Unidad</v>
      </c>
      <c r="D1033" s="94">
        <v>400</v>
      </c>
      <c r="E1033" s="84">
        <v>42</v>
      </c>
      <c r="F1033" s="83">
        <f t="shared" ca="1" si="37"/>
        <v>16800</v>
      </c>
    </row>
    <row r="1034" spans="1:10" ht="14.1" customHeight="1" x14ac:dyDescent="0.25">
      <c r="A1034" s="94" t="s">
        <v>1039</v>
      </c>
      <c r="B1034" s="82" t="str">
        <f t="shared" ca="1" si="38"/>
        <v>Fruta fresca</v>
      </c>
      <c r="C1034" s="95" t="str">
        <f>IFERROR(VLOOKUP("LB",'Informacion '!P:Q,2,FALSE),"")</f>
        <v>Libra </v>
      </c>
      <c r="D1034" s="94">
        <v>330</v>
      </c>
      <c r="E1034" s="84">
        <v>38</v>
      </c>
      <c r="F1034" s="83">
        <f t="shared" ca="1" si="37"/>
        <v>12540</v>
      </c>
    </row>
    <row r="1035" spans="1:10" ht="14.1" customHeight="1" x14ac:dyDescent="0.25">
      <c r="A1035" s="94" t="s">
        <v>1039</v>
      </c>
      <c r="B1035" s="82" t="str">
        <f t="shared" ca="1" si="38"/>
        <v>Fruta fresca</v>
      </c>
      <c r="C1035" s="95" t="str">
        <f>IFERROR(VLOOKUP("LB",'Informacion '!P:Q,2,FALSE),"")</f>
        <v>Libra </v>
      </c>
      <c r="D1035" s="94">
        <v>200</v>
      </c>
      <c r="E1035" s="84">
        <v>43</v>
      </c>
      <c r="F1035" s="83">
        <f t="shared" ca="1" si="37"/>
        <v>8600</v>
      </c>
    </row>
    <row r="1036" spans="1:10" ht="14.1" customHeight="1" x14ac:dyDescent="0.25">
      <c r="A1036" s="94" t="s">
        <v>1039</v>
      </c>
      <c r="B1036" s="82" t="str">
        <f t="shared" ca="1" si="38"/>
        <v>Fruta fresca</v>
      </c>
      <c r="C1036" s="95" t="str">
        <f>IFERROR(VLOOKUP("UD",'Informacion '!P:Q,2,FALSE),"")</f>
        <v>Unidad</v>
      </c>
      <c r="D1036" s="94">
        <v>70</v>
      </c>
      <c r="E1036" s="84">
        <v>120</v>
      </c>
      <c r="F1036" s="83">
        <f t="shared" ca="1" si="37"/>
        <v>8400</v>
      </c>
    </row>
    <row r="1037" spans="1:10" ht="14.1" customHeight="1" x14ac:dyDescent="0.25">
      <c r="A1037" s="94" t="s">
        <v>1039</v>
      </c>
      <c r="B1037" s="82" t="str">
        <f t="shared" ca="1" si="38"/>
        <v>Fruta fresca</v>
      </c>
      <c r="C1037" s="95" t="str">
        <f>IFERROR(VLOOKUP("UD",'Informacion '!P:Q,2,FALSE),"")</f>
        <v>Unidad</v>
      </c>
      <c r="D1037" s="94">
        <v>530</v>
      </c>
      <c r="E1037" s="84">
        <v>65</v>
      </c>
      <c r="F1037" s="83">
        <f t="shared" ca="1" si="37"/>
        <v>34450</v>
      </c>
    </row>
    <row r="1038" spans="1:10" ht="14.1" customHeight="1" x14ac:dyDescent="0.25">
      <c r="E1038" s="96" t="s">
        <v>7213</v>
      </c>
      <c r="F1038" s="87">
        <f ca="1">SUM(Table43[MONTO TOTAL ESTIMADO])</f>
        <v>432837.5</v>
      </c>
      <c r="H1038" s="39" t="str">
        <f>C994</f>
        <v>Bienes</v>
      </c>
      <c r="I1038" s="39" t="str">
        <f>E994</f>
        <v>No</v>
      </c>
      <c r="J1038" s="39" t="str">
        <f>D994</f>
        <v>Comparacion de Precios</v>
      </c>
    </row>
    <row r="1040" spans="1:10" ht="33.950000000000003" customHeight="1" x14ac:dyDescent="0.25">
      <c r="A1040" s="77" t="s">
        <v>17233</v>
      </c>
      <c r="B1040" s="77" t="s">
        <v>4237</v>
      </c>
      <c r="C1040" s="77" t="s">
        <v>4743</v>
      </c>
      <c r="D1040" s="77" t="s">
        <v>9891</v>
      </c>
      <c r="E1040" s="77" t="s">
        <v>3089</v>
      </c>
      <c r="F1040" s="77" t="s">
        <v>18141</v>
      </c>
    </row>
    <row r="1041" spans="1:6" ht="14.1" customHeight="1" x14ac:dyDescent="0.25">
      <c r="A1041" s="79" t="s">
        <v>12053</v>
      </c>
      <c r="B1041" s="79" t="s">
        <v>10992</v>
      </c>
      <c r="C1041" s="79" t="s">
        <v>17215</v>
      </c>
      <c r="D1041" s="79" t="s">
        <v>15249</v>
      </c>
      <c r="E1041" s="79" t="s">
        <v>18247</v>
      </c>
      <c r="F1041" s="79"/>
    </row>
    <row r="1042" spans="1:6" ht="14.1" customHeight="1" x14ac:dyDescent="0.25">
      <c r="A1042" s="2" t="s">
        <v>6643</v>
      </c>
      <c r="B1042" s="80" t="s">
        <v>1046</v>
      </c>
      <c r="C1042" s="90">
        <v>43647</v>
      </c>
      <c r="D1042" s="2" t="s">
        <v>59</v>
      </c>
      <c r="E1042" s="92" t="s">
        <v>20066</v>
      </c>
      <c r="F1042" s="93"/>
    </row>
    <row r="1043" spans="1:6" ht="14.1" customHeight="1" x14ac:dyDescent="0.25">
      <c r="A1043" s="1"/>
      <c r="B1043" s="80" t="s">
        <v>10788</v>
      </c>
      <c r="C1043" s="91">
        <f>IF(C1042="","",IF(AND(MONTH(C1042)&gt;=1,MONTH(C1042)&lt;=3),1,IF(AND(MONTH(C1042)&gt;=4,MONTH(C1042)&lt;=6),2,IF(AND(MONTH(C1042)&gt;=7,MONTH(C1042)&lt;=9),3,4))))</f>
        <v>3</v>
      </c>
      <c r="D1043" s="1"/>
      <c r="E1043" s="92" t="s">
        <v>14822</v>
      </c>
      <c r="F1043" s="93"/>
    </row>
    <row r="1044" spans="1:6" ht="14.1" customHeight="1" x14ac:dyDescent="0.25">
      <c r="A1044" s="1"/>
      <c r="B1044" s="80" t="s">
        <v>13758</v>
      </c>
      <c r="C1044" s="90">
        <v>43738</v>
      </c>
      <c r="D1044" s="1"/>
      <c r="E1044" s="92" t="s">
        <v>18636</v>
      </c>
      <c r="F1044" s="93"/>
    </row>
    <row r="1045" spans="1:6" ht="14.1" customHeight="1" x14ac:dyDescent="0.25">
      <c r="A1045" s="1"/>
      <c r="B1045" s="80" t="s">
        <v>10788</v>
      </c>
      <c r="C1045" s="91">
        <f>IF(C1044="","",IF(AND(MONTH(C1044)&gt;=1,MONTH(C1044)&lt;=3),1,IF(AND(MONTH(C1044)&gt;=4,MONTH(C1044)&lt;=6),2,IF(AND(MONTH(C1044)&gt;=7,MONTH(C1044)&lt;=9),3,4))))</f>
        <v>3</v>
      </c>
      <c r="D1045" s="1"/>
      <c r="E1045" s="92" t="s">
        <v>15990</v>
      </c>
      <c r="F1045" s="93"/>
    </row>
    <row r="1047" spans="1:6" ht="14.1" customHeight="1" x14ac:dyDescent="0.25">
      <c r="A1047" s="85" t="s">
        <v>15474</v>
      </c>
      <c r="B1047" s="85" t="s">
        <v>5027</v>
      </c>
      <c r="C1047" s="85" t="s">
        <v>17461</v>
      </c>
      <c r="D1047" s="85" t="s">
        <v>3935</v>
      </c>
      <c r="E1047" s="85" t="s">
        <v>10722</v>
      </c>
      <c r="F1047" s="85" t="s">
        <v>18237</v>
      </c>
    </row>
    <row r="1048" spans="1:6" ht="14.1" customHeight="1" x14ac:dyDescent="0.25">
      <c r="A1048" s="94" t="s">
        <v>5290</v>
      </c>
      <c r="B1048" s="82" t="str">
        <f t="shared" ref="B1048:B1068" ca="1" si="39">IFERROR(INDEX(UNSPSCDes,MATCH(INDIRECT(ADDRESS(ROW(),COLUMN()-1,4)),UNSPSCCode,0)),IF(INDIRECT(ADDRESS(ROW(),COLUMN()-1,4))="50101538","Verduras frescas",""))</f>
        <v>Verduras frescas</v>
      </c>
      <c r="C1048" s="95" t="str">
        <f>IFERROR(VLOOKUP("LB",'Informacion '!P:Q,2,FALSE),"")</f>
        <v>Libra </v>
      </c>
      <c r="D1048" s="94">
        <v>190</v>
      </c>
      <c r="E1048" s="84">
        <v>35</v>
      </c>
      <c r="F1048" s="83">
        <f t="shared" ref="F1048:F1084" ca="1" si="40">INDIRECT(ADDRESS(ROW(),COLUMN()-2,4))*INDIRECT(ADDRESS(ROW(),COLUMN()-1,4))</f>
        <v>6650</v>
      </c>
    </row>
    <row r="1049" spans="1:6" ht="14.1" customHeight="1" x14ac:dyDescent="0.25">
      <c r="A1049" s="94" t="s">
        <v>5290</v>
      </c>
      <c r="B1049" s="82" t="str">
        <f t="shared" ca="1" si="39"/>
        <v>Verduras frescas</v>
      </c>
      <c r="C1049" s="95" t="str">
        <f>IFERROR(VLOOKUP("LB",'Informacion '!P:Q,2,FALSE),"")</f>
        <v>Libra </v>
      </c>
      <c r="D1049" s="94">
        <v>26</v>
      </c>
      <c r="E1049" s="84">
        <v>50</v>
      </c>
      <c r="F1049" s="83">
        <f t="shared" ca="1" si="40"/>
        <v>1300</v>
      </c>
    </row>
    <row r="1050" spans="1:6" ht="14.1" customHeight="1" x14ac:dyDescent="0.25">
      <c r="A1050" s="94" t="s">
        <v>5290</v>
      </c>
      <c r="B1050" s="82" t="str">
        <f t="shared" ca="1" si="39"/>
        <v>Verduras frescas</v>
      </c>
      <c r="C1050" s="95" t="str">
        <f>IFERROR(VLOOKUP("LB",'Informacion '!P:Q,2,FALSE),"")</f>
        <v>Libra </v>
      </c>
      <c r="D1050" s="94">
        <v>35</v>
      </c>
      <c r="E1050" s="84">
        <v>75</v>
      </c>
      <c r="F1050" s="83">
        <f t="shared" ca="1" si="40"/>
        <v>2625</v>
      </c>
    </row>
    <row r="1051" spans="1:6" ht="14.1" customHeight="1" x14ac:dyDescent="0.25">
      <c r="A1051" s="94" t="s">
        <v>5290</v>
      </c>
      <c r="B1051" s="82" t="str">
        <f t="shared" ca="1" si="39"/>
        <v>Verduras frescas</v>
      </c>
      <c r="C1051" s="95" t="str">
        <f>IFERROR(VLOOKUP("LB",'Informacion '!P:Q,2,FALSE),"")</f>
        <v>Libra </v>
      </c>
      <c r="D1051" s="94">
        <v>265</v>
      </c>
      <c r="E1051" s="84">
        <v>23</v>
      </c>
      <c r="F1051" s="83">
        <f t="shared" ca="1" si="40"/>
        <v>6095</v>
      </c>
    </row>
    <row r="1052" spans="1:6" ht="14.1" customHeight="1" x14ac:dyDescent="0.25">
      <c r="A1052" s="94" t="s">
        <v>5290</v>
      </c>
      <c r="B1052" s="82" t="str">
        <f t="shared" ca="1" si="39"/>
        <v>Verduras frescas</v>
      </c>
      <c r="C1052" s="95" t="str">
        <f>IFERROR(VLOOKUP("LB",'Informacion '!P:Q,2,FALSE),"")</f>
        <v>Libra </v>
      </c>
      <c r="D1052" s="94">
        <v>265</v>
      </c>
      <c r="E1052" s="84">
        <v>30</v>
      </c>
      <c r="F1052" s="83">
        <f t="shared" ca="1" si="40"/>
        <v>7950</v>
      </c>
    </row>
    <row r="1053" spans="1:6" ht="14.1" customHeight="1" x14ac:dyDescent="0.25">
      <c r="A1053" s="94" t="s">
        <v>5290</v>
      </c>
      <c r="B1053" s="82" t="str">
        <f t="shared" ca="1" si="39"/>
        <v>Verduras frescas</v>
      </c>
      <c r="C1053" s="95" t="str">
        <f>IFERROR(VLOOKUP("LB",'Informacion '!P:Q,2,FALSE),"")</f>
        <v>Libra </v>
      </c>
      <c r="D1053" s="94">
        <v>70</v>
      </c>
      <c r="E1053" s="84">
        <v>80</v>
      </c>
      <c r="F1053" s="83">
        <f t="shared" ca="1" si="40"/>
        <v>5600</v>
      </c>
    </row>
    <row r="1054" spans="1:6" ht="14.1" customHeight="1" x14ac:dyDescent="0.25">
      <c r="A1054" s="94" t="s">
        <v>5290</v>
      </c>
      <c r="B1054" s="82" t="str">
        <f t="shared" ca="1" si="39"/>
        <v>Verduras frescas</v>
      </c>
      <c r="C1054" s="95" t="str">
        <f>IFERROR(VLOOKUP("LB",'Informacion '!P:Q,2,FALSE),"")</f>
        <v>Libra </v>
      </c>
      <c r="D1054" s="94">
        <v>70</v>
      </c>
      <c r="E1054" s="84">
        <v>35</v>
      </c>
      <c r="F1054" s="83">
        <f t="shared" ca="1" si="40"/>
        <v>2450</v>
      </c>
    </row>
    <row r="1055" spans="1:6" ht="14.1" customHeight="1" x14ac:dyDescent="0.25">
      <c r="A1055" s="94" t="s">
        <v>5290</v>
      </c>
      <c r="B1055" s="82" t="str">
        <f t="shared" ca="1" si="39"/>
        <v>Verduras frescas</v>
      </c>
      <c r="C1055" s="95" t="str">
        <f>IFERROR(VLOOKUP("LB",'Informacion '!P:Q,2,FALSE),"")</f>
        <v>Libra </v>
      </c>
      <c r="D1055" s="94">
        <v>80</v>
      </c>
      <c r="E1055" s="84">
        <v>39</v>
      </c>
      <c r="F1055" s="83">
        <f t="shared" ca="1" si="40"/>
        <v>3120</v>
      </c>
    </row>
    <row r="1056" spans="1:6" ht="14.1" customHeight="1" x14ac:dyDescent="0.25">
      <c r="A1056" s="94" t="s">
        <v>5290</v>
      </c>
      <c r="B1056" s="82" t="str">
        <f t="shared" ca="1" si="39"/>
        <v>Verduras frescas</v>
      </c>
      <c r="C1056" s="95" t="str">
        <f>IFERROR(VLOOKUP("LB",'Informacion '!P:Q,2,FALSE),"")</f>
        <v>Libra </v>
      </c>
      <c r="D1056" s="94">
        <v>190</v>
      </c>
      <c r="E1056" s="84">
        <v>48</v>
      </c>
      <c r="F1056" s="83">
        <f t="shared" ca="1" si="40"/>
        <v>9120</v>
      </c>
    </row>
    <row r="1057" spans="1:6" ht="14.1" customHeight="1" x14ac:dyDescent="0.25">
      <c r="A1057" s="94" t="s">
        <v>5290</v>
      </c>
      <c r="B1057" s="82" t="str">
        <f t="shared" ca="1" si="39"/>
        <v>Verduras frescas</v>
      </c>
      <c r="C1057" s="95" t="str">
        <f>IFERROR(VLOOKUP("LB",'Informacion '!P:Q,2,FALSE),"")</f>
        <v>Libra </v>
      </c>
      <c r="D1057" s="94">
        <v>90</v>
      </c>
      <c r="E1057" s="84">
        <v>32</v>
      </c>
      <c r="F1057" s="83">
        <f t="shared" ca="1" si="40"/>
        <v>2880</v>
      </c>
    </row>
    <row r="1058" spans="1:6" ht="14.1" customHeight="1" x14ac:dyDescent="0.25">
      <c r="A1058" s="94" t="s">
        <v>5290</v>
      </c>
      <c r="B1058" s="82" t="str">
        <f t="shared" ca="1" si="39"/>
        <v>Verduras frescas</v>
      </c>
      <c r="C1058" s="95" t="str">
        <f>IFERROR(VLOOKUP("LB",'Informacion '!P:Q,2,FALSE),"")</f>
        <v>Libra </v>
      </c>
      <c r="D1058" s="94">
        <v>265</v>
      </c>
      <c r="E1058" s="84">
        <v>48</v>
      </c>
      <c r="F1058" s="83">
        <f t="shared" ca="1" si="40"/>
        <v>12720</v>
      </c>
    </row>
    <row r="1059" spans="1:6" ht="14.1" customHeight="1" x14ac:dyDescent="0.25">
      <c r="A1059" s="94" t="s">
        <v>5290</v>
      </c>
      <c r="B1059" s="82" t="str">
        <f t="shared" ca="1" si="39"/>
        <v>Verduras frescas</v>
      </c>
      <c r="C1059" s="95" t="str">
        <f>IFERROR(VLOOKUP("LB",'Informacion '!P:Q,2,FALSE),"")</f>
        <v>Libra </v>
      </c>
      <c r="D1059" s="94">
        <v>320</v>
      </c>
      <c r="E1059" s="84">
        <v>80</v>
      </c>
      <c r="F1059" s="83">
        <f t="shared" ca="1" si="40"/>
        <v>25600</v>
      </c>
    </row>
    <row r="1060" spans="1:6" ht="14.1" customHeight="1" x14ac:dyDescent="0.25">
      <c r="A1060" s="94" t="s">
        <v>5290</v>
      </c>
      <c r="B1060" s="82" t="str">
        <f t="shared" ca="1" si="39"/>
        <v>Verduras frescas</v>
      </c>
      <c r="C1060" s="95" t="str">
        <f>IFERROR(VLOOKUP("LB",'Informacion '!P:Q,2,FALSE),"")</f>
        <v>Libra </v>
      </c>
      <c r="D1060" s="94">
        <v>135</v>
      </c>
      <c r="E1060" s="84">
        <v>6.5</v>
      </c>
      <c r="F1060" s="83">
        <f t="shared" ca="1" si="40"/>
        <v>877.5</v>
      </c>
    </row>
    <row r="1061" spans="1:6" ht="14.1" customHeight="1" x14ac:dyDescent="0.25">
      <c r="A1061" s="94" t="s">
        <v>5290</v>
      </c>
      <c r="B1061" s="82" t="str">
        <f t="shared" ca="1" si="39"/>
        <v>Verduras frescas</v>
      </c>
      <c r="C1061" s="95" t="str">
        <f>IFERROR(VLOOKUP("LB",'Informacion '!P:Q,2,FALSE),"")</f>
        <v>Libra </v>
      </c>
      <c r="D1061" s="94">
        <v>135</v>
      </c>
      <c r="E1061" s="84">
        <v>12</v>
      </c>
      <c r="F1061" s="83">
        <f t="shared" ca="1" si="40"/>
        <v>1620</v>
      </c>
    </row>
    <row r="1062" spans="1:6" ht="14.1" customHeight="1" x14ac:dyDescent="0.25">
      <c r="A1062" s="94" t="s">
        <v>5290</v>
      </c>
      <c r="B1062" s="82" t="str">
        <f t="shared" ca="1" si="39"/>
        <v>Verduras frescas</v>
      </c>
      <c r="C1062" s="95" t="str">
        <f>IFERROR(VLOOKUP("UD",'Informacion '!P:Q,2,FALSE),"")</f>
        <v>Unidad</v>
      </c>
      <c r="D1062" s="94">
        <v>25</v>
      </c>
      <c r="E1062" s="84">
        <v>80</v>
      </c>
      <c r="F1062" s="83">
        <f t="shared" ca="1" si="40"/>
        <v>2000</v>
      </c>
    </row>
    <row r="1063" spans="1:6" ht="14.1" customHeight="1" x14ac:dyDescent="0.25">
      <c r="A1063" s="94" t="s">
        <v>5290</v>
      </c>
      <c r="B1063" s="82" t="str">
        <f t="shared" ca="1" si="39"/>
        <v>Verduras frescas</v>
      </c>
      <c r="C1063" s="95" t="str">
        <f>IFERROR(VLOOKUP("UD",'Informacion '!P:Q,2,FALSE),"")</f>
        <v>Unidad</v>
      </c>
      <c r="D1063" s="94">
        <v>26</v>
      </c>
      <c r="E1063" s="84">
        <v>60</v>
      </c>
      <c r="F1063" s="83">
        <f t="shared" ca="1" si="40"/>
        <v>1560</v>
      </c>
    </row>
    <row r="1064" spans="1:6" ht="14.1" customHeight="1" x14ac:dyDescent="0.25">
      <c r="A1064" s="94" t="s">
        <v>5290</v>
      </c>
      <c r="B1064" s="82" t="str">
        <f t="shared" ca="1" si="39"/>
        <v>Verduras frescas</v>
      </c>
      <c r="C1064" s="95" t="str">
        <f>IFERROR(VLOOKUP("LB",'Informacion '!P:Q,2,FALSE),"")</f>
        <v>Libra </v>
      </c>
      <c r="D1064" s="94">
        <v>265</v>
      </c>
      <c r="E1064" s="84">
        <v>49</v>
      </c>
      <c r="F1064" s="83">
        <f t="shared" ca="1" si="40"/>
        <v>12985</v>
      </c>
    </row>
    <row r="1065" spans="1:6" ht="14.1" customHeight="1" x14ac:dyDescent="0.25">
      <c r="A1065" s="94" t="s">
        <v>5290</v>
      </c>
      <c r="B1065" s="82" t="str">
        <f t="shared" ca="1" si="39"/>
        <v>Verduras frescas</v>
      </c>
      <c r="C1065" s="95" t="str">
        <f>IFERROR(VLOOKUP("LB",'Informacion '!P:Q,2,FALSE),"")</f>
        <v>Libra </v>
      </c>
      <c r="D1065" s="94">
        <v>265</v>
      </c>
      <c r="E1065" s="84">
        <v>35</v>
      </c>
      <c r="F1065" s="83">
        <f t="shared" ca="1" si="40"/>
        <v>9275</v>
      </c>
    </row>
    <row r="1066" spans="1:6" ht="14.1" customHeight="1" x14ac:dyDescent="0.25">
      <c r="A1066" s="94" t="s">
        <v>5290</v>
      </c>
      <c r="B1066" s="82" t="str">
        <f t="shared" ca="1" si="39"/>
        <v>Verduras frescas</v>
      </c>
      <c r="C1066" s="95" t="str">
        <f>IFERROR(VLOOKUP("LB",'Informacion '!P:Q,2,FALSE),"")</f>
        <v>Libra </v>
      </c>
      <c r="D1066" s="94">
        <v>135</v>
      </c>
      <c r="E1066" s="84">
        <v>45</v>
      </c>
      <c r="F1066" s="83">
        <f t="shared" ca="1" si="40"/>
        <v>6075</v>
      </c>
    </row>
    <row r="1067" spans="1:6" ht="14.1" customHeight="1" x14ac:dyDescent="0.25">
      <c r="A1067" s="94" t="s">
        <v>5290</v>
      </c>
      <c r="B1067" s="82" t="str">
        <f t="shared" ca="1" si="39"/>
        <v>Verduras frescas</v>
      </c>
      <c r="C1067" s="95" t="str">
        <f>IFERROR(VLOOKUP("LB",'Informacion '!P:Q,2,FALSE),"")</f>
        <v>Libra </v>
      </c>
      <c r="D1067" s="94">
        <v>20</v>
      </c>
      <c r="E1067" s="84">
        <v>50</v>
      </c>
      <c r="F1067" s="83">
        <f t="shared" ca="1" si="40"/>
        <v>1000</v>
      </c>
    </row>
    <row r="1068" spans="1:6" ht="14.1" customHeight="1" x14ac:dyDescent="0.25">
      <c r="A1068" s="94" t="s">
        <v>5290</v>
      </c>
      <c r="B1068" s="82" t="str">
        <f t="shared" ca="1" si="39"/>
        <v>Verduras frescas</v>
      </c>
      <c r="C1068" s="95" t="str">
        <f>IFERROR(VLOOKUP("LB",'Informacion '!P:Q,2,FALSE),"")</f>
        <v>Libra </v>
      </c>
      <c r="D1068" s="94">
        <v>220</v>
      </c>
      <c r="E1068" s="84">
        <v>27</v>
      </c>
      <c r="F1068" s="83">
        <f t="shared" ca="1" si="40"/>
        <v>5940</v>
      </c>
    </row>
    <row r="1069" spans="1:6" ht="14.1" customHeight="1" x14ac:dyDescent="0.25">
      <c r="A1069" s="94" t="s">
        <v>1039</v>
      </c>
      <c r="B1069" s="82" t="str">
        <f t="shared" ref="B1069:B1084" ca="1" si="41">IFERROR(INDEX(UNSPSCDes,MATCH(INDIRECT(ADDRESS(ROW(),COLUMN()-1,4)),UNSPSCCode,0)),IF(INDIRECT(ADDRESS(ROW(),COLUMN()-1,4))="50101634","Fruta fresca",""))</f>
        <v>Fruta fresca</v>
      </c>
      <c r="C1069" s="95" t="str">
        <f>IFERROR(VLOOKUP("UD",'Informacion '!P:Q,2,FALSE),"")</f>
        <v>Unidad</v>
      </c>
      <c r="D1069" s="94">
        <v>200</v>
      </c>
      <c r="E1069" s="84">
        <v>60</v>
      </c>
      <c r="F1069" s="83">
        <f t="shared" ca="1" si="40"/>
        <v>12000</v>
      </c>
    </row>
    <row r="1070" spans="1:6" ht="14.1" customHeight="1" x14ac:dyDescent="0.25">
      <c r="A1070" s="94" t="s">
        <v>1039</v>
      </c>
      <c r="B1070" s="82" t="str">
        <f t="shared" ca="1" si="41"/>
        <v>Fruta fresca</v>
      </c>
      <c r="C1070" s="95" t="str">
        <f>IFERROR(VLOOKUP("LB",'Informacion '!P:Q,2,FALSE),"")</f>
        <v>Libra </v>
      </c>
      <c r="D1070" s="94">
        <v>70</v>
      </c>
      <c r="E1070" s="84">
        <v>40</v>
      </c>
      <c r="F1070" s="83">
        <f t="shared" ca="1" si="40"/>
        <v>2800</v>
      </c>
    </row>
    <row r="1071" spans="1:6" ht="14.1" customHeight="1" x14ac:dyDescent="0.25">
      <c r="A1071" s="94" t="s">
        <v>1039</v>
      </c>
      <c r="B1071" s="82" t="str">
        <f t="shared" ca="1" si="41"/>
        <v>Fruta fresca</v>
      </c>
      <c r="C1071" s="95" t="str">
        <f>IFERROR(VLOOKUP("UD",'Informacion '!P:Q,2,FALSE),"")</f>
        <v>Unidad</v>
      </c>
      <c r="D1071" s="94">
        <v>530</v>
      </c>
      <c r="E1071" s="84">
        <v>65</v>
      </c>
      <c r="F1071" s="83">
        <f t="shared" ca="1" si="40"/>
        <v>34450</v>
      </c>
    </row>
    <row r="1072" spans="1:6" ht="14.1" customHeight="1" x14ac:dyDescent="0.25">
      <c r="A1072" s="94" t="s">
        <v>1039</v>
      </c>
      <c r="B1072" s="82" t="str">
        <f t="shared" ca="1" si="41"/>
        <v>Fruta fresca</v>
      </c>
      <c r="C1072" s="95" t="str">
        <f>IFERROR(VLOOKUP("UD",'Informacion '!P:Q,2,FALSE),"")</f>
        <v>Unidad</v>
      </c>
      <c r="D1072" s="94">
        <v>530</v>
      </c>
      <c r="E1072" s="84">
        <v>30</v>
      </c>
      <c r="F1072" s="83">
        <f t="shared" ca="1" si="40"/>
        <v>15900</v>
      </c>
    </row>
    <row r="1073" spans="1:10" ht="14.1" customHeight="1" x14ac:dyDescent="0.25">
      <c r="A1073" s="94" t="s">
        <v>1039</v>
      </c>
      <c r="B1073" s="82" t="str">
        <f t="shared" ca="1" si="41"/>
        <v>Fruta fresca</v>
      </c>
      <c r="C1073" s="95" t="str">
        <f>IFERROR(VLOOKUP("LB",'Informacion '!P:Q,2,FALSE),"")</f>
        <v>Libra </v>
      </c>
      <c r="D1073" s="94">
        <v>70</v>
      </c>
      <c r="E1073" s="84">
        <v>100</v>
      </c>
      <c r="F1073" s="83">
        <f t="shared" ca="1" si="40"/>
        <v>7000</v>
      </c>
    </row>
    <row r="1074" spans="1:10" ht="14.1" customHeight="1" x14ac:dyDescent="0.25">
      <c r="A1074" s="94" t="s">
        <v>1039</v>
      </c>
      <c r="B1074" s="82" t="str">
        <f t="shared" ca="1" si="41"/>
        <v>Fruta fresca</v>
      </c>
      <c r="C1074" s="95" t="str">
        <f>IFERROR(VLOOKUP("UD",'Informacion '!P:Q,2,FALSE),"")</f>
        <v>Unidad</v>
      </c>
      <c r="D1074" s="94">
        <v>265</v>
      </c>
      <c r="E1074" s="84">
        <v>25</v>
      </c>
      <c r="F1074" s="83">
        <f t="shared" ca="1" si="40"/>
        <v>6625</v>
      </c>
    </row>
    <row r="1075" spans="1:10" ht="14.1" customHeight="1" x14ac:dyDescent="0.25">
      <c r="A1075" s="94" t="s">
        <v>1039</v>
      </c>
      <c r="B1075" s="82" t="str">
        <f t="shared" ca="1" si="41"/>
        <v>Fruta fresca</v>
      </c>
      <c r="C1075" s="95" t="str">
        <f>IFERROR(VLOOKUP("UD",'Informacion '!P:Q,2,FALSE),"")</f>
        <v>Unidad</v>
      </c>
      <c r="D1075" s="94">
        <v>530</v>
      </c>
      <c r="E1075" s="84">
        <v>53</v>
      </c>
      <c r="F1075" s="83">
        <f t="shared" ca="1" si="40"/>
        <v>28090</v>
      </c>
    </row>
    <row r="1076" spans="1:10" ht="14.1" customHeight="1" x14ac:dyDescent="0.25">
      <c r="A1076" s="94" t="s">
        <v>1039</v>
      </c>
      <c r="B1076" s="82" t="str">
        <f t="shared" ca="1" si="41"/>
        <v>Fruta fresca</v>
      </c>
      <c r="C1076" s="95" t="str">
        <f>IFERROR(VLOOKUP("LB",'Informacion '!P:Q,2,FALSE),"")</f>
        <v>Libra </v>
      </c>
      <c r="D1076" s="94">
        <v>530</v>
      </c>
      <c r="E1076" s="84">
        <v>133</v>
      </c>
      <c r="F1076" s="83">
        <f t="shared" ca="1" si="40"/>
        <v>70490</v>
      </c>
    </row>
    <row r="1077" spans="1:10" ht="14.1" customHeight="1" x14ac:dyDescent="0.25">
      <c r="A1077" s="94" t="s">
        <v>1039</v>
      </c>
      <c r="B1077" s="82" t="str">
        <f t="shared" ca="1" si="41"/>
        <v>Fruta fresca</v>
      </c>
      <c r="C1077" s="95" t="str">
        <f>IFERROR(VLOOKUP("UD",'Informacion '!P:Q,2,FALSE),"")</f>
        <v>Unidad</v>
      </c>
      <c r="D1077" s="94">
        <v>160</v>
      </c>
      <c r="E1077" s="84">
        <v>67</v>
      </c>
      <c r="F1077" s="83">
        <f t="shared" ca="1" si="40"/>
        <v>10720</v>
      </c>
    </row>
    <row r="1078" spans="1:10" ht="14.1" customHeight="1" x14ac:dyDescent="0.25">
      <c r="A1078" s="94" t="s">
        <v>1039</v>
      </c>
      <c r="B1078" s="82" t="str">
        <f t="shared" ca="1" si="41"/>
        <v>Fruta fresca</v>
      </c>
      <c r="C1078" s="95" t="str">
        <f>IFERROR(VLOOKUP("LB",'Informacion '!P:Q,2,FALSE),"")</f>
        <v>Libra </v>
      </c>
      <c r="D1078" s="94">
        <v>330</v>
      </c>
      <c r="E1078" s="84">
        <v>85</v>
      </c>
      <c r="F1078" s="83">
        <f t="shared" ca="1" si="40"/>
        <v>28050</v>
      </c>
    </row>
    <row r="1079" spans="1:10" ht="14.1" customHeight="1" x14ac:dyDescent="0.25">
      <c r="A1079" s="94" t="s">
        <v>1039</v>
      </c>
      <c r="B1079" s="82" t="str">
        <f t="shared" ca="1" si="41"/>
        <v>Fruta fresca</v>
      </c>
      <c r="C1079" s="95" t="str">
        <f>IFERROR(VLOOKUP("UD",'Informacion '!P:Q,2,FALSE),"")</f>
        <v>Unidad</v>
      </c>
      <c r="D1079" s="94">
        <v>530</v>
      </c>
      <c r="E1079" s="84">
        <v>16</v>
      </c>
      <c r="F1079" s="83">
        <f t="shared" ca="1" si="40"/>
        <v>8480</v>
      </c>
    </row>
    <row r="1080" spans="1:10" ht="14.1" customHeight="1" x14ac:dyDescent="0.25">
      <c r="A1080" s="94" t="s">
        <v>1039</v>
      </c>
      <c r="B1080" s="82" t="str">
        <f t="shared" ca="1" si="41"/>
        <v>Fruta fresca</v>
      </c>
      <c r="C1080" s="95" t="str">
        <f>IFERROR(VLOOKUP("UD",'Informacion '!P:Q,2,FALSE),"")</f>
        <v>Unidad</v>
      </c>
      <c r="D1080" s="94">
        <v>400</v>
      </c>
      <c r="E1080" s="84">
        <v>42</v>
      </c>
      <c r="F1080" s="83">
        <f t="shared" ca="1" si="40"/>
        <v>16800</v>
      </c>
    </row>
    <row r="1081" spans="1:10" ht="14.1" customHeight="1" x14ac:dyDescent="0.25">
      <c r="A1081" s="94" t="s">
        <v>1039</v>
      </c>
      <c r="B1081" s="82" t="str">
        <f t="shared" ca="1" si="41"/>
        <v>Fruta fresca</v>
      </c>
      <c r="C1081" s="95" t="str">
        <f>IFERROR(VLOOKUP("LB",'Informacion '!P:Q,2,FALSE),"")</f>
        <v>Libra </v>
      </c>
      <c r="D1081" s="94">
        <v>330</v>
      </c>
      <c r="E1081" s="84">
        <v>38</v>
      </c>
      <c r="F1081" s="83">
        <f t="shared" ca="1" si="40"/>
        <v>12540</v>
      </c>
    </row>
    <row r="1082" spans="1:10" ht="14.1" customHeight="1" x14ac:dyDescent="0.25">
      <c r="A1082" s="94" t="s">
        <v>1039</v>
      </c>
      <c r="B1082" s="82" t="str">
        <f t="shared" ca="1" si="41"/>
        <v>Fruta fresca</v>
      </c>
      <c r="C1082" s="95" t="str">
        <f>IFERROR(VLOOKUP("LB",'Informacion '!P:Q,2,FALSE),"")</f>
        <v>Libra </v>
      </c>
      <c r="D1082" s="94">
        <v>200</v>
      </c>
      <c r="E1082" s="84">
        <v>43</v>
      </c>
      <c r="F1082" s="83">
        <f t="shared" ca="1" si="40"/>
        <v>8600</v>
      </c>
    </row>
    <row r="1083" spans="1:10" ht="14.1" customHeight="1" x14ac:dyDescent="0.25">
      <c r="A1083" s="94" t="s">
        <v>1039</v>
      </c>
      <c r="B1083" s="82" t="str">
        <f t="shared" ca="1" si="41"/>
        <v>Fruta fresca</v>
      </c>
      <c r="C1083" s="95" t="str">
        <f>IFERROR(VLOOKUP("UD",'Informacion '!P:Q,2,FALSE),"")</f>
        <v>Unidad</v>
      </c>
      <c r="D1083" s="94">
        <v>70</v>
      </c>
      <c r="E1083" s="84">
        <v>120</v>
      </c>
      <c r="F1083" s="83">
        <f t="shared" ca="1" si="40"/>
        <v>8400</v>
      </c>
    </row>
    <row r="1084" spans="1:10" ht="14.1" customHeight="1" x14ac:dyDescent="0.25">
      <c r="A1084" s="94" t="s">
        <v>1039</v>
      </c>
      <c r="B1084" s="82" t="str">
        <f t="shared" ca="1" si="41"/>
        <v>Fruta fresca</v>
      </c>
      <c r="C1084" s="95" t="str">
        <f>IFERROR(VLOOKUP("UD",'Informacion '!P:Q,2,FALSE),"")</f>
        <v>Unidad</v>
      </c>
      <c r="D1084" s="94">
        <v>530</v>
      </c>
      <c r="E1084" s="84">
        <v>65</v>
      </c>
      <c r="F1084" s="83">
        <f t="shared" ca="1" si="40"/>
        <v>34450</v>
      </c>
    </row>
    <row r="1085" spans="1:10" ht="14.1" customHeight="1" x14ac:dyDescent="0.25">
      <c r="E1085" s="96" t="s">
        <v>7213</v>
      </c>
      <c r="F1085" s="87">
        <f ca="1">SUM(Table44[MONTO TOTAL ESTIMADO])</f>
        <v>432837.5</v>
      </c>
      <c r="H1085" s="39" t="str">
        <f>C1041</f>
        <v>Bienes</v>
      </c>
      <c r="I1085" s="39" t="str">
        <f>E1041</f>
        <v>No</v>
      </c>
      <c r="J1085" s="39" t="str">
        <f>D1041</f>
        <v>Comparacion de Precios</v>
      </c>
    </row>
    <row r="1087" spans="1:10" ht="33.950000000000003" customHeight="1" x14ac:dyDescent="0.25">
      <c r="A1087" s="77" t="s">
        <v>17233</v>
      </c>
      <c r="B1087" s="77" t="s">
        <v>4237</v>
      </c>
      <c r="C1087" s="77" t="s">
        <v>4743</v>
      </c>
      <c r="D1087" s="77" t="s">
        <v>9891</v>
      </c>
      <c r="E1087" s="77" t="s">
        <v>3089</v>
      </c>
      <c r="F1087" s="77" t="s">
        <v>18141</v>
      </c>
    </row>
    <row r="1088" spans="1:10" ht="14.1" customHeight="1" x14ac:dyDescent="0.25">
      <c r="A1088" s="79" t="s">
        <v>10439</v>
      </c>
      <c r="B1088" s="79" t="s">
        <v>15526</v>
      </c>
      <c r="C1088" s="79" t="s">
        <v>17215</v>
      </c>
      <c r="D1088" s="79" t="s">
        <v>15249</v>
      </c>
      <c r="E1088" s="79" t="s">
        <v>18247</v>
      </c>
      <c r="F1088" s="79"/>
    </row>
    <row r="1089" spans="1:6" ht="14.1" customHeight="1" x14ac:dyDescent="0.25">
      <c r="A1089" s="2" t="s">
        <v>6643</v>
      </c>
      <c r="B1089" s="80" t="s">
        <v>1046</v>
      </c>
      <c r="C1089" s="90">
        <v>43739</v>
      </c>
      <c r="D1089" s="2" t="s">
        <v>59</v>
      </c>
      <c r="E1089" s="92" t="s">
        <v>20066</v>
      </c>
      <c r="F1089" s="93"/>
    </row>
    <row r="1090" spans="1:6" ht="14.1" customHeight="1" x14ac:dyDescent="0.25">
      <c r="A1090" s="1"/>
      <c r="B1090" s="80" t="s">
        <v>10788</v>
      </c>
      <c r="C1090" s="91">
        <f>IF(C1089="","",IF(AND(MONTH(C1089)&gt;=1,MONTH(C1089)&lt;=3),1,IF(AND(MONTH(C1089)&gt;=4,MONTH(C1089)&lt;=6),2,IF(AND(MONTH(C1089)&gt;=7,MONTH(C1089)&lt;=9),3,4))))</f>
        <v>4</v>
      </c>
      <c r="D1090" s="1"/>
      <c r="E1090" s="92" t="s">
        <v>14822</v>
      </c>
      <c r="F1090" s="93"/>
    </row>
    <row r="1091" spans="1:6" ht="14.1" customHeight="1" x14ac:dyDescent="0.25">
      <c r="A1091" s="1"/>
      <c r="B1091" s="80" t="s">
        <v>13758</v>
      </c>
      <c r="C1091" s="90">
        <v>43829</v>
      </c>
      <c r="D1091" s="1"/>
      <c r="E1091" s="92" t="s">
        <v>18636</v>
      </c>
      <c r="F1091" s="93"/>
    </row>
    <row r="1092" spans="1:6" ht="14.1" customHeight="1" x14ac:dyDescent="0.25">
      <c r="A1092" s="1"/>
      <c r="B1092" s="80" t="s">
        <v>10788</v>
      </c>
      <c r="C1092" s="91">
        <f>IF(C1091="","",IF(AND(MONTH(C1091)&gt;=1,MONTH(C1091)&lt;=3),1,IF(AND(MONTH(C1091)&gt;=4,MONTH(C1091)&lt;=6),2,IF(AND(MONTH(C1091)&gt;=7,MONTH(C1091)&lt;=9),3,4))))</f>
        <v>4</v>
      </c>
      <c r="D1092" s="1"/>
      <c r="E1092" s="92" t="s">
        <v>15990</v>
      </c>
      <c r="F1092" s="93"/>
    </row>
    <row r="1094" spans="1:6" ht="14.1" customHeight="1" x14ac:dyDescent="0.25">
      <c r="A1094" s="85" t="s">
        <v>15474</v>
      </c>
      <c r="B1094" s="85" t="s">
        <v>5027</v>
      </c>
      <c r="C1094" s="85" t="s">
        <v>17461</v>
      </c>
      <c r="D1094" s="85" t="s">
        <v>3935</v>
      </c>
      <c r="E1094" s="85" t="s">
        <v>10722</v>
      </c>
      <c r="F1094" s="85" t="s">
        <v>18237</v>
      </c>
    </row>
    <row r="1095" spans="1:6" ht="14.1" customHeight="1" x14ac:dyDescent="0.25">
      <c r="A1095" s="94" t="s">
        <v>5290</v>
      </c>
      <c r="B1095" s="82" t="str">
        <f t="shared" ref="B1095:B1115" ca="1" si="42">IFERROR(INDEX(UNSPSCDes,MATCH(INDIRECT(ADDRESS(ROW(),COLUMN()-1,4)),UNSPSCCode,0)),IF(INDIRECT(ADDRESS(ROW(),COLUMN()-1,4))="50101538","Verduras frescas",""))</f>
        <v>Verduras frescas</v>
      </c>
      <c r="C1095" s="95" t="str">
        <f>IFERROR(VLOOKUP("LB",'Informacion '!P:Q,2,FALSE),"")</f>
        <v>Libra </v>
      </c>
      <c r="D1095" s="94">
        <v>190</v>
      </c>
      <c r="E1095" s="84">
        <v>35</v>
      </c>
      <c r="F1095" s="83">
        <f t="shared" ref="F1095:F1131" ca="1" si="43">INDIRECT(ADDRESS(ROW(),COLUMN()-2,4))*INDIRECT(ADDRESS(ROW(),COLUMN()-1,4))</f>
        <v>6650</v>
      </c>
    </row>
    <row r="1096" spans="1:6" ht="14.1" customHeight="1" x14ac:dyDescent="0.25">
      <c r="A1096" s="94" t="s">
        <v>5290</v>
      </c>
      <c r="B1096" s="82" t="str">
        <f t="shared" ca="1" si="42"/>
        <v>Verduras frescas</v>
      </c>
      <c r="C1096" s="95" t="str">
        <f>IFERROR(VLOOKUP("LB",'Informacion '!P:Q,2,FALSE),"")</f>
        <v>Libra </v>
      </c>
      <c r="D1096" s="94">
        <v>26</v>
      </c>
      <c r="E1096" s="84">
        <v>50</v>
      </c>
      <c r="F1096" s="83">
        <f t="shared" ca="1" si="43"/>
        <v>1300</v>
      </c>
    </row>
    <row r="1097" spans="1:6" ht="14.1" customHeight="1" x14ac:dyDescent="0.25">
      <c r="A1097" s="94" t="s">
        <v>5290</v>
      </c>
      <c r="B1097" s="82" t="str">
        <f t="shared" ca="1" si="42"/>
        <v>Verduras frescas</v>
      </c>
      <c r="C1097" s="95" t="str">
        <f>IFERROR(VLOOKUP("LB",'Informacion '!P:Q,2,FALSE),"")</f>
        <v>Libra </v>
      </c>
      <c r="D1097" s="94">
        <v>35</v>
      </c>
      <c r="E1097" s="84">
        <v>75</v>
      </c>
      <c r="F1097" s="83">
        <f t="shared" ca="1" si="43"/>
        <v>2625</v>
      </c>
    </row>
    <row r="1098" spans="1:6" ht="14.1" customHeight="1" x14ac:dyDescent="0.25">
      <c r="A1098" s="94" t="s">
        <v>5290</v>
      </c>
      <c r="B1098" s="82" t="str">
        <f t="shared" ca="1" si="42"/>
        <v>Verduras frescas</v>
      </c>
      <c r="C1098" s="95" t="str">
        <f>IFERROR(VLOOKUP("LB",'Informacion '!P:Q,2,FALSE),"")</f>
        <v>Libra </v>
      </c>
      <c r="D1098" s="94">
        <v>265</v>
      </c>
      <c r="E1098" s="84">
        <v>23</v>
      </c>
      <c r="F1098" s="83">
        <f t="shared" ca="1" si="43"/>
        <v>6095</v>
      </c>
    </row>
    <row r="1099" spans="1:6" ht="14.1" customHeight="1" x14ac:dyDescent="0.25">
      <c r="A1099" s="94" t="s">
        <v>5290</v>
      </c>
      <c r="B1099" s="82" t="str">
        <f t="shared" ca="1" si="42"/>
        <v>Verduras frescas</v>
      </c>
      <c r="C1099" s="95" t="str">
        <f>IFERROR(VLOOKUP("LB",'Informacion '!P:Q,2,FALSE),"")</f>
        <v>Libra </v>
      </c>
      <c r="D1099" s="94">
        <v>265</v>
      </c>
      <c r="E1099" s="84">
        <v>30</v>
      </c>
      <c r="F1099" s="83">
        <f t="shared" ca="1" si="43"/>
        <v>7950</v>
      </c>
    </row>
    <row r="1100" spans="1:6" ht="14.1" customHeight="1" x14ac:dyDescent="0.25">
      <c r="A1100" s="94" t="s">
        <v>5290</v>
      </c>
      <c r="B1100" s="82" t="str">
        <f t="shared" ca="1" si="42"/>
        <v>Verduras frescas</v>
      </c>
      <c r="C1100" s="95" t="str">
        <f>IFERROR(VLOOKUP("LB",'Informacion '!P:Q,2,FALSE),"")</f>
        <v>Libra </v>
      </c>
      <c r="D1100" s="94">
        <v>70</v>
      </c>
      <c r="E1100" s="84">
        <v>80</v>
      </c>
      <c r="F1100" s="83">
        <f t="shared" ca="1" si="43"/>
        <v>5600</v>
      </c>
    </row>
    <row r="1101" spans="1:6" ht="14.1" customHeight="1" x14ac:dyDescent="0.25">
      <c r="A1101" s="94" t="s">
        <v>5290</v>
      </c>
      <c r="B1101" s="82" t="str">
        <f t="shared" ca="1" si="42"/>
        <v>Verduras frescas</v>
      </c>
      <c r="C1101" s="95" t="str">
        <f>IFERROR(VLOOKUP("LB",'Informacion '!P:Q,2,FALSE),"")</f>
        <v>Libra </v>
      </c>
      <c r="D1101" s="94">
        <v>70</v>
      </c>
      <c r="E1101" s="84">
        <v>35</v>
      </c>
      <c r="F1101" s="83">
        <f t="shared" ca="1" si="43"/>
        <v>2450</v>
      </c>
    </row>
    <row r="1102" spans="1:6" ht="14.1" customHeight="1" x14ac:dyDescent="0.25">
      <c r="A1102" s="94" t="s">
        <v>5290</v>
      </c>
      <c r="B1102" s="82" t="str">
        <f t="shared" ca="1" si="42"/>
        <v>Verduras frescas</v>
      </c>
      <c r="C1102" s="95" t="str">
        <f>IFERROR(VLOOKUP("LB",'Informacion '!P:Q,2,FALSE),"")</f>
        <v>Libra </v>
      </c>
      <c r="D1102" s="94">
        <v>80</v>
      </c>
      <c r="E1102" s="84">
        <v>39</v>
      </c>
      <c r="F1102" s="83">
        <f t="shared" ca="1" si="43"/>
        <v>3120</v>
      </c>
    </row>
    <row r="1103" spans="1:6" ht="14.1" customHeight="1" x14ac:dyDescent="0.25">
      <c r="A1103" s="94" t="s">
        <v>5290</v>
      </c>
      <c r="B1103" s="82" t="str">
        <f t="shared" ca="1" si="42"/>
        <v>Verduras frescas</v>
      </c>
      <c r="C1103" s="95" t="str">
        <f>IFERROR(VLOOKUP("LB",'Informacion '!P:Q,2,FALSE),"")</f>
        <v>Libra </v>
      </c>
      <c r="D1103" s="94">
        <v>190</v>
      </c>
      <c r="E1103" s="84">
        <v>48</v>
      </c>
      <c r="F1103" s="83">
        <f t="shared" ca="1" si="43"/>
        <v>9120</v>
      </c>
    </row>
    <row r="1104" spans="1:6" ht="14.1" customHeight="1" x14ac:dyDescent="0.25">
      <c r="A1104" s="94" t="s">
        <v>5290</v>
      </c>
      <c r="B1104" s="82" t="str">
        <f t="shared" ca="1" si="42"/>
        <v>Verduras frescas</v>
      </c>
      <c r="C1104" s="95" t="str">
        <f>IFERROR(VLOOKUP("LB",'Informacion '!P:Q,2,FALSE),"")</f>
        <v>Libra </v>
      </c>
      <c r="D1104" s="94">
        <v>90</v>
      </c>
      <c r="E1104" s="84">
        <v>32</v>
      </c>
      <c r="F1104" s="83">
        <f t="shared" ca="1" si="43"/>
        <v>2880</v>
      </c>
    </row>
    <row r="1105" spans="1:6" ht="14.1" customHeight="1" x14ac:dyDescent="0.25">
      <c r="A1105" s="94" t="s">
        <v>5290</v>
      </c>
      <c r="B1105" s="82" t="str">
        <f t="shared" ca="1" si="42"/>
        <v>Verduras frescas</v>
      </c>
      <c r="C1105" s="95" t="str">
        <f>IFERROR(VLOOKUP("LB",'Informacion '!P:Q,2,FALSE),"")</f>
        <v>Libra </v>
      </c>
      <c r="D1105" s="94">
        <v>265</v>
      </c>
      <c r="E1105" s="84">
        <v>48</v>
      </c>
      <c r="F1105" s="83">
        <f t="shared" ca="1" si="43"/>
        <v>12720</v>
      </c>
    </row>
    <row r="1106" spans="1:6" ht="14.1" customHeight="1" x14ac:dyDescent="0.25">
      <c r="A1106" s="94" t="s">
        <v>5290</v>
      </c>
      <c r="B1106" s="82" t="str">
        <f t="shared" ca="1" si="42"/>
        <v>Verduras frescas</v>
      </c>
      <c r="C1106" s="95" t="str">
        <f>IFERROR(VLOOKUP("LB",'Informacion '!P:Q,2,FALSE),"")</f>
        <v>Libra </v>
      </c>
      <c r="D1106" s="94">
        <v>320</v>
      </c>
      <c r="E1106" s="84">
        <v>80</v>
      </c>
      <c r="F1106" s="83">
        <f t="shared" ca="1" si="43"/>
        <v>25600</v>
      </c>
    </row>
    <row r="1107" spans="1:6" ht="14.1" customHeight="1" x14ac:dyDescent="0.25">
      <c r="A1107" s="94" t="s">
        <v>5290</v>
      </c>
      <c r="B1107" s="82" t="str">
        <f t="shared" ca="1" si="42"/>
        <v>Verduras frescas</v>
      </c>
      <c r="C1107" s="95" t="str">
        <f>IFERROR(VLOOKUP("LB",'Informacion '!P:Q,2,FALSE),"")</f>
        <v>Libra </v>
      </c>
      <c r="D1107" s="94">
        <v>135</v>
      </c>
      <c r="E1107" s="84">
        <v>6.5</v>
      </c>
      <c r="F1107" s="83">
        <f t="shared" ca="1" si="43"/>
        <v>877.5</v>
      </c>
    </row>
    <row r="1108" spans="1:6" ht="14.1" customHeight="1" x14ac:dyDescent="0.25">
      <c r="A1108" s="94" t="s">
        <v>5290</v>
      </c>
      <c r="B1108" s="82" t="str">
        <f t="shared" ca="1" si="42"/>
        <v>Verduras frescas</v>
      </c>
      <c r="C1108" s="95" t="str">
        <f>IFERROR(VLOOKUP("LB",'Informacion '!P:Q,2,FALSE),"")</f>
        <v>Libra </v>
      </c>
      <c r="D1108" s="94">
        <v>135</v>
      </c>
      <c r="E1108" s="84">
        <v>12</v>
      </c>
      <c r="F1108" s="83">
        <f t="shared" ca="1" si="43"/>
        <v>1620</v>
      </c>
    </row>
    <row r="1109" spans="1:6" ht="14.1" customHeight="1" x14ac:dyDescent="0.25">
      <c r="A1109" s="94" t="s">
        <v>5290</v>
      </c>
      <c r="B1109" s="82" t="str">
        <f t="shared" ca="1" si="42"/>
        <v>Verduras frescas</v>
      </c>
      <c r="C1109" s="95" t="str">
        <f>IFERROR(VLOOKUP("UD",'Informacion '!P:Q,2,FALSE),"")</f>
        <v>Unidad</v>
      </c>
      <c r="D1109" s="94">
        <v>25</v>
      </c>
      <c r="E1109" s="84">
        <v>80</v>
      </c>
      <c r="F1109" s="83">
        <f t="shared" ca="1" si="43"/>
        <v>2000</v>
      </c>
    </row>
    <row r="1110" spans="1:6" ht="14.1" customHeight="1" x14ac:dyDescent="0.25">
      <c r="A1110" s="94" t="s">
        <v>5290</v>
      </c>
      <c r="B1110" s="82" t="str">
        <f t="shared" ca="1" si="42"/>
        <v>Verduras frescas</v>
      </c>
      <c r="C1110" s="95" t="str">
        <f>IFERROR(VLOOKUP("UD",'Informacion '!P:Q,2,FALSE),"")</f>
        <v>Unidad</v>
      </c>
      <c r="D1110" s="94">
        <v>26</v>
      </c>
      <c r="E1110" s="84">
        <v>60</v>
      </c>
      <c r="F1110" s="83">
        <f t="shared" ca="1" si="43"/>
        <v>1560</v>
      </c>
    </row>
    <row r="1111" spans="1:6" ht="14.1" customHeight="1" x14ac:dyDescent="0.25">
      <c r="A1111" s="94" t="s">
        <v>5290</v>
      </c>
      <c r="B1111" s="82" t="str">
        <f t="shared" ca="1" si="42"/>
        <v>Verduras frescas</v>
      </c>
      <c r="C1111" s="95" t="str">
        <f>IFERROR(VLOOKUP("LB",'Informacion '!P:Q,2,FALSE),"")</f>
        <v>Libra </v>
      </c>
      <c r="D1111" s="94">
        <v>265</v>
      </c>
      <c r="E1111" s="84">
        <v>49</v>
      </c>
      <c r="F1111" s="83">
        <f t="shared" ca="1" si="43"/>
        <v>12985</v>
      </c>
    </row>
    <row r="1112" spans="1:6" ht="14.1" customHeight="1" x14ac:dyDescent="0.25">
      <c r="A1112" s="94" t="s">
        <v>5290</v>
      </c>
      <c r="B1112" s="82" t="str">
        <f t="shared" ca="1" si="42"/>
        <v>Verduras frescas</v>
      </c>
      <c r="C1112" s="95" t="str">
        <f>IFERROR(VLOOKUP("LB",'Informacion '!P:Q,2,FALSE),"")</f>
        <v>Libra </v>
      </c>
      <c r="D1112" s="94">
        <v>265</v>
      </c>
      <c r="E1112" s="84">
        <v>35</v>
      </c>
      <c r="F1112" s="83">
        <f t="shared" ca="1" si="43"/>
        <v>9275</v>
      </c>
    </row>
    <row r="1113" spans="1:6" ht="14.1" customHeight="1" x14ac:dyDescent="0.25">
      <c r="A1113" s="94" t="s">
        <v>5290</v>
      </c>
      <c r="B1113" s="82" t="str">
        <f t="shared" ca="1" si="42"/>
        <v>Verduras frescas</v>
      </c>
      <c r="C1113" s="95" t="str">
        <f>IFERROR(VLOOKUP("LB",'Informacion '!P:Q,2,FALSE),"")</f>
        <v>Libra </v>
      </c>
      <c r="D1113" s="94">
        <v>135</v>
      </c>
      <c r="E1113" s="84">
        <v>45</v>
      </c>
      <c r="F1113" s="83">
        <f t="shared" ca="1" si="43"/>
        <v>6075</v>
      </c>
    </row>
    <row r="1114" spans="1:6" ht="14.1" customHeight="1" x14ac:dyDescent="0.25">
      <c r="A1114" s="94" t="s">
        <v>5290</v>
      </c>
      <c r="B1114" s="82" t="str">
        <f t="shared" ca="1" si="42"/>
        <v>Verduras frescas</v>
      </c>
      <c r="C1114" s="95" t="str">
        <f>IFERROR(VLOOKUP("LB",'Informacion '!P:Q,2,FALSE),"")</f>
        <v>Libra </v>
      </c>
      <c r="D1114" s="94">
        <v>20</v>
      </c>
      <c r="E1114" s="84">
        <v>50</v>
      </c>
      <c r="F1114" s="83">
        <f t="shared" ca="1" si="43"/>
        <v>1000</v>
      </c>
    </row>
    <row r="1115" spans="1:6" ht="14.1" customHeight="1" x14ac:dyDescent="0.25">
      <c r="A1115" s="94" t="s">
        <v>5290</v>
      </c>
      <c r="B1115" s="82" t="str">
        <f t="shared" ca="1" si="42"/>
        <v>Verduras frescas</v>
      </c>
      <c r="C1115" s="95" t="str">
        <f>IFERROR(VLOOKUP("LB",'Informacion '!P:Q,2,FALSE),"")</f>
        <v>Libra </v>
      </c>
      <c r="D1115" s="94">
        <v>220</v>
      </c>
      <c r="E1115" s="84">
        <v>27</v>
      </c>
      <c r="F1115" s="83">
        <f t="shared" ca="1" si="43"/>
        <v>5940</v>
      </c>
    </row>
    <row r="1116" spans="1:6" ht="14.1" customHeight="1" x14ac:dyDescent="0.25">
      <c r="A1116" s="94" t="s">
        <v>1039</v>
      </c>
      <c r="B1116" s="82" t="str">
        <f t="shared" ref="B1116:B1131" ca="1" si="44">IFERROR(INDEX(UNSPSCDes,MATCH(INDIRECT(ADDRESS(ROW(),COLUMN()-1,4)),UNSPSCCode,0)),IF(INDIRECT(ADDRESS(ROW(),COLUMN()-1,4))="50101634","Fruta fresca",""))</f>
        <v>Fruta fresca</v>
      </c>
      <c r="C1116" s="95" t="str">
        <f>IFERROR(VLOOKUP("UD",'Informacion '!P:Q,2,FALSE),"")</f>
        <v>Unidad</v>
      </c>
      <c r="D1116" s="94">
        <v>200</v>
      </c>
      <c r="E1116" s="84">
        <v>60</v>
      </c>
      <c r="F1116" s="83">
        <f t="shared" ca="1" si="43"/>
        <v>12000</v>
      </c>
    </row>
    <row r="1117" spans="1:6" ht="14.1" customHeight="1" x14ac:dyDescent="0.25">
      <c r="A1117" s="94" t="s">
        <v>1039</v>
      </c>
      <c r="B1117" s="82" t="str">
        <f t="shared" ca="1" si="44"/>
        <v>Fruta fresca</v>
      </c>
      <c r="C1117" s="95" t="str">
        <f>IFERROR(VLOOKUP("LB",'Informacion '!P:Q,2,FALSE),"")</f>
        <v>Libra </v>
      </c>
      <c r="D1117" s="94">
        <v>70</v>
      </c>
      <c r="E1117" s="84">
        <v>40</v>
      </c>
      <c r="F1117" s="83">
        <f t="shared" ca="1" si="43"/>
        <v>2800</v>
      </c>
    </row>
    <row r="1118" spans="1:6" ht="14.1" customHeight="1" x14ac:dyDescent="0.25">
      <c r="A1118" s="94" t="s">
        <v>1039</v>
      </c>
      <c r="B1118" s="82" t="str">
        <f t="shared" ca="1" si="44"/>
        <v>Fruta fresca</v>
      </c>
      <c r="C1118" s="95" t="str">
        <f>IFERROR(VLOOKUP("UD",'Informacion '!P:Q,2,FALSE),"")</f>
        <v>Unidad</v>
      </c>
      <c r="D1118" s="94">
        <v>530</v>
      </c>
      <c r="E1118" s="84">
        <v>65</v>
      </c>
      <c r="F1118" s="83">
        <f t="shared" ca="1" si="43"/>
        <v>34450</v>
      </c>
    </row>
    <row r="1119" spans="1:6" ht="14.1" customHeight="1" x14ac:dyDescent="0.25">
      <c r="A1119" s="94" t="s">
        <v>1039</v>
      </c>
      <c r="B1119" s="82" t="str">
        <f t="shared" ca="1" si="44"/>
        <v>Fruta fresca</v>
      </c>
      <c r="C1119" s="95" t="str">
        <f>IFERROR(VLOOKUP("UD",'Informacion '!P:Q,2,FALSE),"")</f>
        <v>Unidad</v>
      </c>
      <c r="D1119" s="94">
        <v>530</v>
      </c>
      <c r="E1119" s="84">
        <v>30</v>
      </c>
      <c r="F1119" s="83">
        <f t="shared" ca="1" si="43"/>
        <v>15900</v>
      </c>
    </row>
    <row r="1120" spans="1:6" ht="14.1" customHeight="1" x14ac:dyDescent="0.25">
      <c r="A1120" s="94" t="s">
        <v>1039</v>
      </c>
      <c r="B1120" s="82" t="str">
        <f t="shared" ca="1" si="44"/>
        <v>Fruta fresca</v>
      </c>
      <c r="C1120" s="95" t="str">
        <f>IFERROR(VLOOKUP("LB",'Informacion '!P:Q,2,FALSE),"")</f>
        <v>Libra </v>
      </c>
      <c r="D1120" s="94">
        <v>70</v>
      </c>
      <c r="E1120" s="84">
        <v>100</v>
      </c>
      <c r="F1120" s="83">
        <f t="shared" ca="1" si="43"/>
        <v>7000</v>
      </c>
    </row>
    <row r="1121" spans="1:10" ht="14.1" customHeight="1" x14ac:dyDescent="0.25">
      <c r="A1121" s="94" t="s">
        <v>1039</v>
      </c>
      <c r="B1121" s="82" t="str">
        <f t="shared" ca="1" si="44"/>
        <v>Fruta fresca</v>
      </c>
      <c r="C1121" s="95" t="str">
        <f>IFERROR(VLOOKUP("UD",'Informacion '!P:Q,2,FALSE),"")</f>
        <v>Unidad</v>
      </c>
      <c r="D1121" s="94">
        <v>265</v>
      </c>
      <c r="E1121" s="84">
        <v>25</v>
      </c>
      <c r="F1121" s="83">
        <f t="shared" ca="1" si="43"/>
        <v>6625</v>
      </c>
    </row>
    <row r="1122" spans="1:10" ht="14.1" customHeight="1" x14ac:dyDescent="0.25">
      <c r="A1122" s="94" t="s">
        <v>1039</v>
      </c>
      <c r="B1122" s="82" t="str">
        <f t="shared" ca="1" si="44"/>
        <v>Fruta fresca</v>
      </c>
      <c r="C1122" s="95" t="str">
        <f>IFERROR(VLOOKUP("UD",'Informacion '!P:Q,2,FALSE),"")</f>
        <v>Unidad</v>
      </c>
      <c r="D1122" s="94">
        <v>530</v>
      </c>
      <c r="E1122" s="84">
        <v>53</v>
      </c>
      <c r="F1122" s="83">
        <f t="shared" ca="1" si="43"/>
        <v>28090</v>
      </c>
    </row>
    <row r="1123" spans="1:10" ht="14.1" customHeight="1" x14ac:dyDescent="0.25">
      <c r="A1123" s="94" t="s">
        <v>1039</v>
      </c>
      <c r="B1123" s="82" t="str">
        <f t="shared" ca="1" si="44"/>
        <v>Fruta fresca</v>
      </c>
      <c r="C1123" s="95" t="str">
        <f>IFERROR(VLOOKUP("LB",'Informacion '!P:Q,2,FALSE),"")</f>
        <v>Libra </v>
      </c>
      <c r="D1123" s="94">
        <v>530</v>
      </c>
      <c r="E1123" s="84">
        <v>133</v>
      </c>
      <c r="F1123" s="83">
        <f t="shared" ca="1" si="43"/>
        <v>70490</v>
      </c>
    </row>
    <row r="1124" spans="1:10" ht="14.1" customHeight="1" x14ac:dyDescent="0.25">
      <c r="A1124" s="94" t="s">
        <v>1039</v>
      </c>
      <c r="B1124" s="82" t="str">
        <f t="shared" ca="1" si="44"/>
        <v>Fruta fresca</v>
      </c>
      <c r="C1124" s="95" t="str">
        <f>IFERROR(VLOOKUP("UD",'Informacion '!P:Q,2,FALSE),"")</f>
        <v>Unidad</v>
      </c>
      <c r="D1124" s="94">
        <v>160</v>
      </c>
      <c r="E1124" s="84">
        <v>67</v>
      </c>
      <c r="F1124" s="83">
        <f t="shared" ca="1" si="43"/>
        <v>10720</v>
      </c>
    </row>
    <row r="1125" spans="1:10" ht="14.1" customHeight="1" x14ac:dyDescent="0.25">
      <c r="A1125" s="94" t="s">
        <v>1039</v>
      </c>
      <c r="B1125" s="82" t="str">
        <f t="shared" ca="1" si="44"/>
        <v>Fruta fresca</v>
      </c>
      <c r="C1125" s="95" t="str">
        <f>IFERROR(VLOOKUP("LB",'Informacion '!P:Q,2,FALSE),"")</f>
        <v>Libra </v>
      </c>
      <c r="D1125" s="94">
        <v>330</v>
      </c>
      <c r="E1125" s="84">
        <v>85</v>
      </c>
      <c r="F1125" s="83">
        <f t="shared" ca="1" si="43"/>
        <v>28050</v>
      </c>
    </row>
    <row r="1126" spans="1:10" ht="14.1" customHeight="1" x14ac:dyDescent="0.25">
      <c r="A1126" s="94" t="s">
        <v>1039</v>
      </c>
      <c r="B1126" s="82" t="str">
        <f t="shared" ca="1" si="44"/>
        <v>Fruta fresca</v>
      </c>
      <c r="C1126" s="95" t="str">
        <f>IFERROR(VLOOKUP("UD",'Informacion '!P:Q,2,FALSE),"")</f>
        <v>Unidad</v>
      </c>
      <c r="D1126" s="94">
        <v>530</v>
      </c>
      <c r="E1126" s="84">
        <v>16</v>
      </c>
      <c r="F1126" s="83">
        <f t="shared" ca="1" si="43"/>
        <v>8480</v>
      </c>
    </row>
    <row r="1127" spans="1:10" ht="14.1" customHeight="1" x14ac:dyDescent="0.25">
      <c r="A1127" s="94" t="s">
        <v>1039</v>
      </c>
      <c r="B1127" s="82" t="str">
        <f t="shared" ca="1" si="44"/>
        <v>Fruta fresca</v>
      </c>
      <c r="C1127" s="95" t="str">
        <f>IFERROR(VLOOKUP("UD",'Informacion '!P:Q,2,FALSE),"")</f>
        <v>Unidad</v>
      </c>
      <c r="D1127" s="94">
        <v>400</v>
      </c>
      <c r="E1127" s="84">
        <v>42</v>
      </c>
      <c r="F1127" s="83">
        <f t="shared" ca="1" si="43"/>
        <v>16800</v>
      </c>
    </row>
    <row r="1128" spans="1:10" ht="14.1" customHeight="1" x14ac:dyDescent="0.25">
      <c r="A1128" s="94" t="s">
        <v>1039</v>
      </c>
      <c r="B1128" s="82" t="str">
        <f t="shared" ca="1" si="44"/>
        <v>Fruta fresca</v>
      </c>
      <c r="C1128" s="95" t="str">
        <f>IFERROR(VLOOKUP("LB",'Informacion '!P:Q,2,FALSE),"")</f>
        <v>Libra </v>
      </c>
      <c r="D1128" s="94">
        <v>330</v>
      </c>
      <c r="E1128" s="84">
        <v>38</v>
      </c>
      <c r="F1128" s="83">
        <f t="shared" ca="1" si="43"/>
        <v>12540</v>
      </c>
    </row>
    <row r="1129" spans="1:10" ht="14.1" customHeight="1" x14ac:dyDescent="0.25">
      <c r="A1129" s="94" t="s">
        <v>1039</v>
      </c>
      <c r="B1129" s="82" t="str">
        <f t="shared" ca="1" si="44"/>
        <v>Fruta fresca</v>
      </c>
      <c r="C1129" s="95" t="str">
        <f>IFERROR(VLOOKUP("LB",'Informacion '!P:Q,2,FALSE),"")</f>
        <v>Libra </v>
      </c>
      <c r="D1129" s="94">
        <v>200</v>
      </c>
      <c r="E1129" s="84">
        <v>43</v>
      </c>
      <c r="F1129" s="83">
        <f t="shared" ca="1" si="43"/>
        <v>8600</v>
      </c>
    </row>
    <row r="1130" spans="1:10" ht="14.1" customHeight="1" x14ac:dyDescent="0.25">
      <c r="A1130" s="94" t="s">
        <v>1039</v>
      </c>
      <c r="B1130" s="82" t="str">
        <f t="shared" ca="1" si="44"/>
        <v>Fruta fresca</v>
      </c>
      <c r="C1130" s="95" t="str">
        <f>IFERROR(VLOOKUP("UD",'Informacion '!P:Q,2,FALSE),"")</f>
        <v>Unidad</v>
      </c>
      <c r="D1130" s="94">
        <v>70</v>
      </c>
      <c r="E1130" s="84">
        <v>120</v>
      </c>
      <c r="F1130" s="83">
        <f t="shared" ca="1" si="43"/>
        <v>8400</v>
      </c>
    </row>
    <row r="1131" spans="1:10" ht="14.1" customHeight="1" x14ac:dyDescent="0.25">
      <c r="A1131" s="94" t="s">
        <v>1039</v>
      </c>
      <c r="B1131" s="82" t="str">
        <f t="shared" ca="1" si="44"/>
        <v>Fruta fresca</v>
      </c>
      <c r="C1131" s="95" t="str">
        <f>IFERROR(VLOOKUP("UD",'Informacion '!P:Q,2,FALSE),"")</f>
        <v>Unidad</v>
      </c>
      <c r="D1131" s="94">
        <v>530</v>
      </c>
      <c r="E1131" s="84">
        <v>65</v>
      </c>
      <c r="F1131" s="83">
        <f t="shared" ca="1" si="43"/>
        <v>34450</v>
      </c>
    </row>
    <row r="1132" spans="1:10" ht="14.1" customHeight="1" x14ac:dyDescent="0.25">
      <c r="E1132" s="96" t="s">
        <v>7213</v>
      </c>
      <c r="F1132" s="87">
        <f ca="1">SUM(Table45[MONTO TOTAL ESTIMADO])</f>
        <v>432837.5</v>
      </c>
      <c r="H1132" s="39" t="str">
        <f>C1088</f>
        <v>Bienes</v>
      </c>
      <c r="I1132" s="39" t="str">
        <f>E1088</f>
        <v>No</v>
      </c>
      <c r="J1132" s="39" t="str">
        <f>D1088</f>
        <v>Comparacion de Precios</v>
      </c>
    </row>
    <row r="1134" spans="1:10" ht="33.950000000000003" customHeight="1" x14ac:dyDescent="0.25">
      <c r="A1134" s="77" t="s">
        <v>17233</v>
      </c>
      <c r="B1134" s="77" t="s">
        <v>4237</v>
      </c>
      <c r="C1134" s="77" t="s">
        <v>4743</v>
      </c>
      <c r="D1134" s="77" t="s">
        <v>9891</v>
      </c>
      <c r="E1134" s="77" t="s">
        <v>3089</v>
      </c>
      <c r="F1134" s="77" t="s">
        <v>18141</v>
      </c>
    </row>
    <row r="1135" spans="1:10" ht="14.1" customHeight="1" x14ac:dyDescent="0.25">
      <c r="A1135" s="79" t="s">
        <v>3766</v>
      </c>
      <c r="B1135" s="79" t="s">
        <v>2400</v>
      </c>
      <c r="C1135" s="79" t="s">
        <v>17215</v>
      </c>
      <c r="D1135" s="79" t="s">
        <v>17798</v>
      </c>
      <c r="E1135" s="79" t="s">
        <v>18247</v>
      </c>
      <c r="F1135" s="79"/>
    </row>
    <row r="1136" spans="1:10" ht="14.1" customHeight="1" x14ac:dyDescent="0.25">
      <c r="A1136" s="2" t="s">
        <v>6643</v>
      </c>
      <c r="B1136" s="80" t="s">
        <v>1046</v>
      </c>
      <c r="C1136" s="90">
        <v>43648</v>
      </c>
      <c r="D1136" s="2" t="s">
        <v>59</v>
      </c>
      <c r="E1136" s="92" t="s">
        <v>20066</v>
      </c>
      <c r="F1136" s="93" t="s">
        <v>5684</v>
      </c>
    </row>
    <row r="1137" spans="1:6" ht="14.1" customHeight="1" x14ac:dyDescent="0.25">
      <c r="A1137" s="1"/>
      <c r="B1137" s="80" t="s">
        <v>10788</v>
      </c>
      <c r="C1137" s="91">
        <f>IF(C1136="","",IF(AND(MONTH(C1136)&gt;=1,MONTH(C1136)&lt;=3),1,IF(AND(MONTH(C1136)&gt;=4,MONTH(C1136)&lt;=6),2,IF(AND(MONTH(C1136)&gt;=7,MONTH(C1136)&lt;=9),3,4))))</f>
        <v>3</v>
      </c>
      <c r="D1137" s="1"/>
      <c r="E1137" s="92" t="s">
        <v>14822</v>
      </c>
      <c r="F1137" s="93"/>
    </row>
    <row r="1138" spans="1:6" ht="14.1" customHeight="1" x14ac:dyDescent="0.25">
      <c r="A1138" s="1"/>
      <c r="B1138" s="80" t="s">
        <v>13758</v>
      </c>
      <c r="C1138" s="90">
        <v>43736</v>
      </c>
      <c r="D1138" s="1"/>
      <c r="E1138" s="92" t="s">
        <v>18636</v>
      </c>
      <c r="F1138" s="93"/>
    </row>
    <row r="1139" spans="1:6" ht="14.1" customHeight="1" x14ac:dyDescent="0.25">
      <c r="A1139" s="1"/>
      <c r="B1139" s="80" t="s">
        <v>10788</v>
      </c>
      <c r="C1139" s="91">
        <f>IF(C1138="","",IF(AND(MONTH(C1138)&gt;=1,MONTH(C1138)&lt;=3),1,IF(AND(MONTH(C1138)&gt;=4,MONTH(C1138)&lt;=6),2,IF(AND(MONTH(C1138)&gt;=7,MONTH(C1138)&lt;=9),3,4))))</f>
        <v>3</v>
      </c>
      <c r="D1139" s="1"/>
      <c r="E1139" s="92" t="s">
        <v>15990</v>
      </c>
      <c r="F1139" s="93"/>
    </row>
    <row r="1141" spans="1:6" ht="14.1" customHeight="1" x14ac:dyDescent="0.25">
      <c r="A1141" s="85" t="s">
        <v>15474</v>
      </c>
      <c r="B1141" s="85" t="s">
        <v>5027</v>
      </c>
      <c r="C1141" s="85" t="s">
        <v>17461</v>
      </c>
      <c r="D1141" s="85" t="s">
        <v>3935</v>
      </c>
      <c r="E1141" s="85" t="s">
        <v>10722</v>
      </c>
      <c r="F1141" s="85" t="s">
        <v>18237</v>
      </c>
    </row>
    <row r="1142" spans="1:6" ht="14.1" customHeight="1" x14ac:dyDescent="0.25">
      <c r="A1142" s="94" t="s">
        <v>13911</v>
      </c>
      <c r="B1142" s="82" t="str">
        <f t="shared" ref="B1142:B1156" ca="1" si="45">IFERROR(INDEX(UNSPSCDes,MATCH(INDIRECT(ADDRESS(ROW(),COLUMN()-1,4)),UNSPSCCode,0)),IF(INDIRECT(ADDRESS(ROW(),COLUMN()-1,4))="42292904","Suturas quirúrgicas o pasadores de alambre o productos relacionados",""))</f>
        <v>Suturas quirúrgicas o pasadores de alambre o productos relacionados</v>
      </c>
      <c r="C1142" s="95" t="str">
        <f>IFERROR(VLOOKUP("CAJ",'Informacion '!P:Q,2,FALSE),"")</f>
        <v>Caja</v>
      </c>
      <c r="D1142" s="94">
        <v>8</v>
      </c>
      <c r="E1142" s="84">
        <v>4253.74</v>
      </c>
      <c r="F1142" s="83">
        <f t="shared" ref="F1142:F1156" ca="1" si="46">INDIRECT(ADDRESS(ROW(),COLUMN()-2,4))*INDIRECT(ADDRESS(ROW(),COLUMN()-1,4))</f>
        <v>34029.919999999998</v>
      </c>
    </row>
    <row r="1143" spans="1:6" ht="14.1" customHeight="1" x14ac:dyDescent="0.25">
      <c r="A1143" s="94" t="s">
        <v>13911</v>
      </c>
      <c r="B1143" s="82" t="str">
        <f t="shared" ca="1" si="45"/>
        <v>Suturas quirúrgicas o pasadores de alambre o productos relacionados</v>
      </c>
      <c r="C1143" s="95" t="str">
        <f>IFERROR(VLOOKUP("CAJ",'Informacion '!P:Q,2,FALSE),"")</f>
        <v>Caja</v>
      </c>
      <c r="D1143" s="94">
        <v>12</v>
      </c>
      <c r="E1143" s="84">
        <v>2675.35</v>
      </c>
      <c r="F1143" s="83">
        <f t="shared" ca="1" si="46"/>
        <v>32104.199999999997</v>
      </c>
    </row>
    <row r="1144" spans="1:6" ht="14.1" customHeight="1" x14ac:dyDescent="0.25">
      <c r="A1144" s="94" t="s">
        <v>13911</v>
      </c>
      <c r="B1144" s="82" t="str">
        <f t="shared" ca="1" si="45"/>
        <v>Suturas quirúrgicas o pasadores de alambre o productos relacionados</v>
      </c>
      <c r="C1144" s="95" t="str">
        <f>IFERROR(VLOOKUP("CAJ",'Informacion '!P:Q,2,FALSE),"")</f>
        <v>Caja</v>
      </c>
      <c r="D1144" s="94">
        <v>21</v>
      </c>
      <c r="E1144" s="84">
        <v>1821.6</v>
      </c>
      <c r="F1144" s="83">
        <f t="shared" ca="1" si="46"/>
        <v>38253.599999999999</v>
      </c>
    </row>
    <row r="1145" spans="1:6" ht="14.1" customHeight="1" x14ac:dyDescent="0.25">
      <c r="A1145" s="94" t="s">
        <v>13911</v>
      </c>
      <c r="B1145" s="82" t="str">
        <f t="shared" ca="1" si="45"/>
        <v>Suturas quirúrgicas o pasadores de alambre o productos relacionados</v>
      </c>
      <c r="C1145" s="95" t="str">
        <f>IFERROR(VLOOKUP("CAJ",'Informacion '!P:Q,2,FALSE),"")</f>
        <v>Caja</v>
      </c>
      <c r="D1145" s="94">
        <v>8</v>
      </c>
      <c r="E1145" s="84">
        <v>1970.64</v>
      </c>
      <c r="F1145" s="83">
        <f t="shared" ca="1" si="46"/>
        <v>15765.12</v>
      </c>
    </row>
    <row r="1146" spans="1:6" ht="14.1" customHeight="1" x14ac:dyDescent="0.25">
      <c r="A1146" s="94" t="s">
        <v>13911</v>
      </c>
      <c r="B1146" s="82" t="str">
        <f t="shared" ca="1" si="45"/>
        <v>Suturas quirúrgicas o pasadores de alambre o productos relacionados</v>
      </c>
      <c r="C1146" s="95" t="str">
        <f>IFERROR(VLOOKUP("CAJ",'Informacion '!P:Q,2,FALSE),"")</f>
        <v>Caja</v>
      </c>
      <c r="D1146" s="94">
        <v>7</v>
      </c>
      <c r="E1146" s="84">
        <v>1970.64</v>
      </c>
      <c r="F1146" s="83">
        <f t="shared" ca="1" si="46"/>
        <v>13794.480000000001</v>
      </c>
    </row>
    <row r="1147" spans="1:6" ht="14.1" customHeight="1" x14ac:dyDescent="0.25">
      <c r="A1147" s="94" t="s">
        <v>13911</v>
      </c>
      <c r="B1147" s="82" t="str">
        <f t="shared" ca="1" si="45"/>
        <v>Suturas quirúrgicas o pasadores de alambre o productos relacionados</v>
      </c>
      <c r="C1147" s="95" t="str">
        <f>IFERROR(VLOOKUP("CAJ",'Informacion '!P:Q,2,FALSE),"")</f>
        <v>Caja</v>
      </c>
      <c r="D1147" s="94">
        <v>9</v>
      </c>
      <c r="E1147" s="84">
        <v>2400.2399999999998</v>
      </c>
      <c r="F1147" s="83">
        <f t="shared" ca="1" si="46"/>
        <v>21602.159999999996</v>
      </c>
    </row>
    <row r="1148" spans="1:6" ht="14.1" customHeight="1" x14ac:dyDescent="0.25">
      <c r="A1148" s="94" t="s">
        <v>13911</v>
      </c>
      <c r="B1148" s="82" t="str">
        <f t="shared" ca="1" si="45"/>
        <v>Suturas quirúrgicas o pasadores de alambre o productos relacionados</v>
      </c>
      <c r="C1148" s="95" t="str">
        <f>IFERROR(VLOOKUP("CAJ",'Informacion '!P:Q,2,FALSE),"")</f>
        <v>Caja</v>
      </c>
      <c r="D1148" s="94">
        <v>4</v>
      </c>
      <c r="E1148" s="84">
        <v>2712.96</v>
      </c>
      <c r="F1148" s="83">
        <f t="shared" ca="1" si="46"/>
        <v>10851.84</v>
      </c>
    </row>
    <row r="1149" spans="1:6" ht="14.1" customHeight="1" x14ac:dyDescent="0.25">
      <c r="A1149" s="94" t="s">
        <v>13911</v>
      </c>
      <c r="B1149" s="82" t="str">
        <f t="shared" ca="1" si="45"/>
        <v>Suturas quirúrgicas o pasadores de alambre o productos relacionados</v>
      </c>
      <c r="C1149" s="95" t="str">
        <f>IFERROR(VLOOKUP("CAJ",'Informacion '!P:Q,2,FALSE),"")</f>
        <v>Caja</v>
      </c>
      <c r="D1149" s="94">
        <v>16</v>
      </c>
      <c r="E1149" s="84">
        <v>3681.61</v>
      </c>
      <c r="F1149" s="83">
        <f t="shared" ca="1" si="46"/>
        <v>58905.760000000002</v>
      </c>
    </row>
    <row r="1150" spans="1:6" ht="14.1" customHeight="1" x14ac:dyDescent="0.25">
      <c r="A1150" s="94" t="s">
        <v>13911</v>
      </c>
      <c r="B1150" s="82" t="str">
        <f t="shared" ca="1" si="45"/>
        <v>Suturas quirúrgicas o pasadores de alambre o productos relacionados</v>
      </c>
      <c r="C1150" s="95" t="str">
        <f>IFERROR(VLOOKUP("CAJ",'Informacion '!P:Q,2,FALSE),"")</f>
        <v>Caja</v>
      </c>
      <c r="D1150" s="94">
        <v>25</v>
      </c>
      <c r="E1150" s="84">
        <v>2977.47</v>
      </c>
      <c r="F1150" s="83">
        <f t="shared" ca="1" si="46"/>
        <v>74436.75</v>
      </c>
    </row>
    <row r="1151" spans="1:6" ht="14.1" customHeight="1" x14ac:dyDescent="0.25">
      <c r="A1151" s="94" t="s">
        <v>13911</v>
      </c>
      <c r="B1151" s="82" t="str">
        <f t="shared" ca="1" si="45"/>
        <v>Suturas quirúrgicas o pasadores de alambre o productos relacionados</v>
      </c>
      <c r="C1151" s="95" t="str">
        <f>IFERROR(VLOOKUP("CAJ",'Informacion '!P:Q,2,FALSE),"")</f>
        <v>Caja</v>
      </c>
      <c r="D1151" s="94">
        <v>36</v>
      </c>
      <c r="E1151" s="84">
        <v>2280.96</v>
      </c>
      <c r="F1151" s="83">
        <f t="shared" ca="1" si="46"/>
        <v>82114.559999999998</v>
      </c>
    </row>
    <row r="1152" spans="1:6" ht="14.1" customHeight="1" x14ac:dyDescent="0.25">
      <c r="A1152" s="94" t="s">
        <v>13911</v>
      </c>
      <c r="B1152" s="82" t="str">
        <f t="shared" ca="1" si="45"/>
        <v>Suturas quirúrgicas o pasadores de alambre o productos relacionados</v>
      </c>
      <c r="C1152" s="95" t="str">
        <f>IFERROR(VLOOKUP("CAJ",'Informacion '!P:Q,2,FALSE),"")</f>
        <v>Caja</v>
      </c>
      <c r="D1152" s="94">
        <v>4</v>
      </c>
      <c r="E1152" s="84">
        <v>4290.38</v>
      </c>
      <c r="F1152" s="83">
        <f t="shared" ca="1" si="46"/>
        <v>17161.52</v>
      </c>
    </row>
    <row r="1153" spans="1:10" ht="14.1" customHeight="1" x14ac:dyDescent="0.25">
      <c r="A1153" s="94" t="s">
        <v>13911</v>
      </c>
      <c r="B1153" s="82" t="str">
        <f t="shared" ca="1" si="45"/>
        <v>Suturas quirúrgicas o pasadores de alambre o productos relacionados</v>
      </c>
      <c r="C1153" s="95" t="str">
        <f>IFERROR(VLOOKUP("CAJ",'Informacion '!P:Q,2,FALSE),"")</f>
        <v>Caja</v>
      </c>
      <c r="D1153" s="94">
        <v>3</v>
      </c>
      <c r="E1153" s="84">
        <v>7004.89</v>
      </c>
      <c r="F1153" s="83">
        <f t="shared" ca="1" si="46"/>
        <v>21014.670000000002</v>
      </c>
    </row>
    <row r="1154" spans="1:10" ht="14.1" customHeight="1" x14ac:dyDescent="0.25">
      <c r="A1154" s="94" t="s">
        <v>13911</v>
      </c>
      <c r="B1154" s="82" t="str">
        <f t="shared" ca="1" si="45"/>
        <v>Suturas quirúrgicas o pasadores de alambre o productos relacionados</v>
      </c>
      <c r="C1154" s="95" t="str">
        <f>IFERROR(VLOOKUP("CAJ",'Informacion '!P:Q,2,FALSE),"")</f>
        <v>Caja</v>
      </c>
      <c r="D1154" s="94">
        <v>3</v>
      </c>
      <c r="E1154" s="84">
        <v>4425.2700000000004</v>
      </c>
      <c r="F1154" s="83">
        <f t="shared" ca="1" si="46"/>
        <v>13275.810000000001</v>
      </c>
    </row>
    <row r="1155" spans="1:10" ht="14.1" customHeight="1" x14ac:dyDescent="0.25">
      <c r="A1155" s="94" t="s">
        <v>13911</v>
      </c>
      <c r="B1155" s="82" t="str">
        <f t="shared" ca="1" si="45"/>
        <v>Suturas quirúrgicas o pasadores de alambre o productos relacionados</v>
      </c>
      <c r="C1155" s="95" t="str">
        <f>IFERROR(VLOOKUP("CAJ",'Informacion '!P:Q,2,FALSE),"")</f>
        <v>Caja</v>
      </c>
      <c r="D1155" s="94">
        <v>6</v>
      </c>
      <c r="E1155" s="84">
        <v>3456.24</v>
      </c>
      <c r="F1155" s="83">
        <f t="shared" ca="1" si="46"/>
        <v>20737.439999999999</v>
      </c>
    </row>
    <row r="1156" spans="1:10" ht="14.1" customHeight="1" x14ac:dyDescent="0.25">
      <c r="A1156" s="94" t="s">
        <v>13911</v>
      </c>
      <c r="B1156" s="82" t="str">
        <f t="shared" ca="1" si="45"/>
        <v>Suturas quirúrgicas o pasadores de alambre o productos relacionados</v>
      </c>
      <c r="C1156" s="95" t="str">
        <f>IFERROR(VLOOKUP("CAJ",'Informacion '!P:Q,2,FALSE),"")</f>
        <v>Caja</v>
      </c>
      <c r="D1156" s="94">
        <v>3</v>
      </c>
      <c r="E1156" s="84">
        <v>3499.92</v>
      </c>
      <c r="F1156" s="83">
        <f t="shared" ca="1" si="46"/>
        <v>10499.76</v>
      </c>
    </row>
    <row r="1157" spans="1:10" ht="14.1" customHeight="1" x14ac:dyDescent="0.25">
      <c r="E1157" s="96" t="s">
        <v>7213</v>
      </c>
      <c r="F1157" s="87">
        <f ca="1">SUM(Table46[MONTO TOTAL ESTIMADO])</f>
        <v>464547.59</v>
      </c>
      <c r="H1157" s="39" t="str">
        <f>C1135</f>
        <v>Bienes</v>
      </c>
      <c r="I1157" s="39" t="str">
        <f>E1135</f>
        <v>No</v>
      </c>
      <c r="J1157" s="39" t="str">
        <f>D1135</f>
        <v>Compras Menores</v>
      </c>
    </row>
    <row r="1159" spans="1:10" ht="33.950000000000003" customHeight="1" x14ac:dyDescent="0.25">
      <c r="A1159" s="77" t="s">
        <v>17233</v>
      </c>
      <c r="B1159" s="77" t="s">
        <v>4237</v>
      </c>
      <c r="C1159" s="77" t="s">
        <v>4743</v>
      </c>
      <c r="D1159" s="77" t="s">
        <v>9891</v>
      </c>
      <c r="E1159" s="77" t="s">
        <v>3089</v>
      </c>
      <c r="F1159" s="77" t="s">
        <v>18141</v>
      </c>
    </row>
    <row r="1160" spans="1:10" ht="14.1" customHeight="1" x14ac:dyDescent="0.25">
      <c r="A1160" s="79" t="s">
        <v>4638</v>
      </c>
      <c r="B1160" s="79" t="s">
        <v>2400</v>
      </c>
      <c r="C1160" s="79" t="s">
        <v>17215</v>
      </c>
      <c r="D1160" s="79" t="s">
        <v>17798</v>
      </c>
      <c r="E1160" s="79" t="s">
        <v>18247</v>
      </c>
      <c r="F1160" s="79"/>
    </row>
    <row r="1161" spans="1:10" ht="14.1" customHeight="1" x14ac:dyDescent="0.25">
      <c r="A1161" s="2" t="s">
        <v>6643</v>
      </c>
      <c r="B1161" s="80" t="s">
        <v>1046</v>
      </c>
      <c r="C1161" s="90">
        <v>43739</v>
      </c>
      <c r="D1161" s="2" t="s">
        <v>59</v>
      </c>
      <c r="E1161" s="92" t="s">
        <v>20066</v>
      </c>
      <c r="F1161" s="93"/>
    </row>
    <row r="1162" spans="1:10" ht="14.1" customHeight="1" x14ac:dyDescent="0.25">
      <c r="A1162" s="1"/>
      <c r="B1162" s="80" t="s">
        <v>10788</v>
      </c>
      <c r="C1162" s="91">
        <f>IF(C1161="","",IF(AND(MONTH(C1161)&gt;=1,MONTH(C1161)&lt;=3),1,IF(AND(MONTH(C1161)&gt;=4,MONTH(C1161)&lt;=6),2,IF(AND(MONTH(C1161)&gt;=7,MONTH(C1161)&lt;=9),3,4))))</f>
        <v>4</v>
      </c>
      <c r="D1162" s="1"/>
      <c r="E1162" s="92" t="s">
        <v>14822</v>
      </c>
      <c r="F1162" s="93"/>
    </row>
    <row r="1163" spans="1:10" ht="14.1" customHeight="1" x14ac:dyDescent="0.25">
      <c r="A1163" s="1"/>
      <c r="B1163" s="80" t="s">
        <v>13758</v>
      </c>
      <c r="C1163" s="90">
        <v>43829</v>
      </c>
      <c r="D1163" s="1"/>
      <c r="E1163" s="92" t="s">
        <v>18636</v>
      </c>
      <c r="F1163" s="93"/>
    </row>
    <row r="1164" spans="1:10" ht="14.1" customHeight="1" x14ac:dyDescent="0.25">
      <c r="A1164" s="1"/>
      <c r="B1164" s="80" t="s">
        <v>10788</v>
      </c>
      <c r="C1164" s="91">
        <f>IF(C1163="","",IF(AND(MONTH(C1163)&gt;=1,MONTH(C1163)&lt;=3),1,IF(AND(MONTH(C1163)&gt;=4,MONTH(C1163)&lt;=6),2,IF(AND(MONTH(C1163)&gt;=7,MONTH(C1163)&lt;=9),3,4))))</f>
        <v>4</v>
      </c>
      <c r="D1164" s="1"/>
      <c r="E1164" s="92" t="s">
        <v>15990</v>
      </c>
      <c r="F1164" s="93"/>
    </row>
    <row r="1166" spans="1:10" ht="14.1" customHeight="1" x14ac:dyDescent="0.25">
      <c r="A1166" s="85" t="s">
        <v>15474</v>
      </c>
      <c r="B1166" s="85" t="s">
        <v>5027</v>
      </c>
      <c r="C1166" s="85" t="s">
        <v>17461</v>
      </c>
      <c r="D1166" s="85" t="s">
        <v>3935</v>
      </c>
      <c r="E1166" s="85" t="s">
        <v>10722</v>
      </c>
      <c r="F1166" s="85" t="s">
        <v>18237</v>
      </c>
    </row>
    <row r="1167" spans="1:10" ht="14.1" customHeight="1" x14ac:dyDescent="0.25">
      <c r="A1167" s="94" t="s">
        <v>13911</v>
      </c>
      <c r="B1167" s="82" t="str">
        <f t="shared" ref="B1167:B1181" ca="1" si="47">IFERROR(INDEX(UNSPSCDes,MATCH(INDIRECT(ADDRESS(ROW(),COLUMN()-1,4)),UNSPSCCode,0)),IF(INDIRECT(ADDRESS(ROW(),COLUMN()-1,4))="42292904","Suturas quirúrgicas o pasadores de alambre o productos relacionados",""))</f>
        <v>Suturas quirúrgicas o pasadores de alambre o productos relacionados</v>
      </c>
      <c r="C1167" s="95" t="str">
        <f>IFERROR(VLOOKUP("CAJ",'Informacion '!P:Q,2,FALSE),"")</f>
        <v>Caja</v>
      </c>
      <c r="D1167" s="94">
        <v>16</v>
      </c>
      <c r="E1167" s="84">
        <v>101.4</v>
      </c>
      <c r="F1167" s="83">
        <f t="shared" ref="F1167:F1181" ca="1" si="48">INDIRECT(ADDRESS(ROW(),COLUMN()-2,4))*INDIRECT(ADDRESS(ROW(),COLUMN()-1,4))</f>
        <v>1622.4</v>
      </c>
    </row>
    <row r="1168" spans="1:10" ht="14.1" customHeight="1" x14ac:dyDescent="0.25">
      <c r="A1168" s="94" t="s">
        <v>13911</v>
      </c>
      <c r="B1168" s="82" t="str">
        <f t="shared" ca="1" si="47"/>
        <v>Suturas quirúrgicas o pasadores de alambre o productos relacionados</v>
      </c>
      <c r="C1168" s="95" t="str">
        <f>IFERROR(VLOOKUP("CAJ",'Informacion '!P:Q,2,FALSE),"")</f>
        <v>Caja</v>
      </c>
      <c r="D1168" s="94">
        <v>15</v>
      </c>
      <c r="E1168" s="84">
        <v>2675.35</v>
      </c>
      <c r="F1168" s="83">
        <f t="shared" ca="1" si="48"/>
        <v>40130.25</v>
      </c>
    </row>
    <row r="1169" spans="1:10" ht="14.1" customHeight="1" x14ac:dyDescent="0.25">
      <c r="A1169" s="94" t="s">
        <v>13911</v>
      </c>
      <c r="B1169" s="82" t="str">
        <f t="shared" ca="1" si="47"/>
        <v>Suturas quirúrgicas o pasadores de alambre o productos relacionados</v>
      </c>
      <c r="C1169" s="95" t="str">
        <f>IFERROR(VLOOKUP("CAJ",'Informacion '!P:Q,2,FALSE),"")</f>
        <v>Caja</v>
      </c>
      <c r="D1169" s="94">
        <v>24</v>
      </c>
      <c r="E1169" s="84">
        <v>1821.6</v>
      </c>
      <c r="F1169" s="83">
        <f t="shared" ca="1" si="48"/>
        <v>43718.399999999994</v>
      </c>
    </row>
    <row r="1170" spans="1:10" ht="14.1" customHeight="1" x14ac:dyDescent="0.25">
      <c r="A1170" s="94" t="s">
        <v>13911</v>
      </c>
      <c r="B1170" s="82" t="str">
        <f t="shared" ca="1" si="47"/>
        <v>Suturas quirúrgicas o pasadores de alambre o productos relacionados</v>
      </c>
      <c r="C1170" s="95" t="str">
        <f>IFERROR(VLOOKUP("CAJ",'Informacion '!P:Q,2,FALSE),"")</f>
        <v>Caja</v>
      </c>
      <c r="D1170" s="94">
        <v>10</v>
      </c>
      <c r="E1170" s="84">
        <v>1970.64</v>
      </c>
      <c r="F1170" s="83">
        <f t="shared" ca="1" si="48"/>
        <v>19706.400000000001</v>
      </c>
    </row>
    <row r="1171" spans="1:10" ht="14.1" customHeight="1" x14ac:dyDescent="0.25">
      <c r="A1171" s="94" t="s">
        <v>13911</v>
      </c>
      <c r="B1171" s="82" t="str">
        <f t="shared" ca="1" si="47"/>
        <v>Suturas quirúrgicas o pasadores de alambre o productos relacionados</v>
      </c>
      <c r="C1171" s="95" t="str">
        <f>IFERROR(VLOOKUP("CAJ",'Informacion '!P:Q,2,FALSE),"")</f>
        <v>Caja</v>
      </c>
      <c r="D1171" s="94">
        <v>9</v>
      </c>
      <c r="E1171" s="84">
        <v>1970.64</v>
      </c>
      <c r="F1171" s="83">
        <f t="shared" ca="1" si="48"/>
        <v>17735.760000000002</v>
      </c>
    </row>
    <row r="1172" spans="1:10" ht="14.1" customHeight="1" x14ac:dyDescent="0.25">
      <c r="A1172" s="94" t="s">
        <v>13911</v>
      </c>
      <c r="B1172" s="82" t="str">
        <f t="shared" ca="1" si="47"/>
        <v>Suturas quirúrgicas o pasadores de alambre o productos relacionados</v>
      </c>
      <c r="C1172" s="95" t="str">
        <f>IFERROR(VLOOKUP("CAJ",'Informacion '!P:Q,2,FALSE),"")</f>
        <v>Caja</v>
      </c>
      <c r="D1172" s="94">
        <v>11</v>
      </c>
      <c r="E1172" s="84">
        <v>2400.2399999999998</v>
      </c>
      <c r="F1172" s="83">
        <f t="shared" ca="1" si="48"/>
        <v>26402.639999999999</v>
      </c>
    </row>
    <row r="1173" spans="1:10" ht="14.1" customHeight="1" x14ac:dyDescent="0.25">
      <c r="A1173" s="94" t="s">
        <v>13911</v>
      </c>
      <c r="B1173" s="82" t="str">
        <f t="shared" ca="1" si="47"/>
        <v>Suturas quirúrgicas o pasadores de alambre o productos relacionados</v>
      </c>
      <c r="C1173" s="95" t="str">
        <f>IFERROR(VLOOKUP("CAJ",'Informacion '!P:Q,2,FALSE),"")</f>
        <v>Caja</v>
      </c>
      <c r="D1173" s="94">
        <v>5</v>
      </c>
      <c r="E1173" s="84">
        <v>2712.96</v>
      </c>
      <c r="F1173" s="83">
        <f t="shared" ca="1" si="48"/>
        <v>13564.8</v>
      </c>
    </row>
    <row r="1174" spans="1:10" ht="14.1" customHeight="1" x14ac:dyDescent="0.25">
      <c r="A1174" s="94" t="s">
        <v>13911</v>
      </c>
      <c r="B1174" s="82" t="str">
        <f t="shared" ca="1" si="47"/>
        <v>Suturas quirúrgicas o pasadores de alambre o productos relacionados</v>
      </c>
      <c r="C1174" s="95" t="str">
        <f>IFERROR(VLOOKUP("CAJ",'Informacion '!P:Q,2,FALSE),"")</f>
        <v>Caja</v>
      </c>
      <c r="D1174" s="94">
        <v>18</v>
      </c>
      <c r="E1174" s="84">
        <v>3681.61</v>
      </c>
      <c r="F1174" s="83">
        <f t="shared" ca="1" si="48"/>
        <v>66268.98</v>
      </c>
    </row>
    <row r="1175" spans="1:10" ht="14.1" customHeight="1" x14ac:dyDescent="0.25">
      <c r="A1175" s="94" t="s">
        <v>13911</v>
      </c>
      <c r="B1175" s="82" t="str">
        <f t="shared" ca="1" si="47"/>
        <v>Suturas quirúrgicas o pasadores de alambre o productos relacionados</v>
      </c>
      <c r="C1175" s="95" t="str">
        <f>IFERROR(VLOOKUP("CAJ",'Informacion '!P:Q,2,FALSE),"")</f>
        <v>Caja</v>
      </c>
      <c r="D1175" s="94">
        <v>30</v>
      </c>
      <c r="E1175" s="84">
        <v>2977.47</v>
      </c>
      <c r="F1175" s="83">
        <f t="shared" ca="1" si="48"/>
        <v>89324.099999999991</v>
      </c>
    </row>
    <row r="1176" spans="1:10" ht="14.1" customHeight="1" x14ac:dyDescent="0.25">
      <c r="A1176" s="94" t="s">
        <v>13911</v>
      </c>
      <c r="B1176" s="82" t="str">
        <f t="shared" ca="1" si="47"/>
        <v>Suturas quirúrgicas o pasadores de alambre o productos relacionados</v>
      </c>
      <c r="C1176" s="95" t="str">
        <f>IFERROR(VLOOKUP("CAJ",'Informacion '!P:Q,2,FALSE),"")</f>
        <v>Caja</v>
      </c>
      <c r="D1176" s="94">
        <v>39</v>
      </c>
      <c r="E1176" s="84">
        <v>2280.96</v>
      </c>
      <c r="F1176" s="83">
        <f t="shared" ca="1" si="48"/>
        <v>88957.440000000002</v>
      </c>
    </row>
    <row r="1177" spans="1:10" ht="14.1" customHeight="1" x14ac:dyDescent="0.25">
      <c r="A1177" s="94" t="s">
        <v>13911</v>
      </c>
      <c r="B1177" s="82" t="str">
        <f t="shared" ca="1" si="47"/>
        <v>Suturas quirúrgicas o pasadores de alambre o productos relacionados</v>
      </c>
      <c r="C1177" s="95" t="str">
        <f>IFERROR(VLOOKUP("CAJ",'Informacion '!P:Q,2,FALSE),"")</f>
        <v>Caja</v>
      </c>
      <c r="D1177" s="94">
        <v>5</v>
      </c>
      <c r="E1177" s="84">
        <v>4290.38</v>
      </c>
      <c r="F1177" s="83">
        <f t="shared" ca="1" si="48"/>
        <v>21451.9</v>
      </c>
    </row>
    <row r="1178" spans="1:10" ht="14.1" customHeight="1" x14ac:dyDescent="0.25">
      <c r="A1178" s="94" t="s">
        <v>13911</v>
      </c>
      <c r="B1178" s="82" t="str">
        <f t="shared" ca="1" si="47"/>
        <v>Suturas quirúrgicas o pasadores de alambre o productos relacionados</v>
      </c>
      <c r="C1178" s="95" t="str">
        <f>IFERROR(VLOOKUP("CAJ",'Informacion '!P:Q,2,FALSE),"")</f>
        <v>Caja</v>
      </c>
      <c r="D1178" s="94">
        <v>4</v>
      </c>
      <c r="E1178" s="84">
        <v>7004.89</v>
      </c>
      <c r="F1178" s="83">
        <f t="shared" ca="1" si="48"/>
        <v>28019.56</v>
      </c>
    </row>
    <row r="1179" spans="1:10" ht="14.1" customHeight="1" x14ac:dyDescent="0.25">
      <c r="A1179" s="94" t="s">
        <v>13911</v>
      </c>
      <c r="B1179" s="82" t="str">
        <f t="shared" ca="1" si="47"/>
        <v>Suturas quirúrgicas o pasadores de alambre o productos relacionados</v>
      </c>
      <c r="C1179" s="95" t="str">
        <f>IFERROR(VLOOKUP("CAJ",'Informacion '!P:Q,2,FALSE),"")</f>
        <v>Caja</v>
      </c>
      <c r="D1179" s="94">
        <v>8</v>
      </c>
      <c r="E1179" s="84">
        <v>4425.2700000000004</v>
      </c>
      <c r="F1179" s="83">
        <f t="shared" ca="1" si="48"/>
        <v>35402.160000000003</v>
      </c>
    </row>
    <row r="1180" spans="1:10" ht="14.1" customHeight="1" x14ac:dyDescent="0.25">
      <c r="A1180" s="94" t="s">
        <v>13911</v>
      </c>
      <c r="B1180" s="82" t="str">
        <f t="shared" ca="1" si="47"/>
        <v>Suturas quirúrgicas o pasadores de alambre o productos relacionados</v>
      </c>
      <c r="C1180" s="95" t="str">
        <f>IFERROR(VLOOKUP("CAJ",'Informacion '!P:Q,2,FALSE),"")</f>
        <v>Caja</v>
      </c>
      <c r="D1180" s="94">
        <v>4</v>
      </c>
      <c r="E1180" s="84">
        <v>3456.24</v>
      </c>
      <c r="F1180" s="83">
        <f t="shared" ca="1" si="48"/>
        <v>13824.96</v>
      </c>
    </row>
    <row r="1181" spans="1:10" ht="14.1" customHeight="1" x14ac:dyDescent="0.25">
      <c r="A1181" s="94" t="s">
        <v>13911</v>
      </c>
      <c r="B1181" s="82" t="str">
        <f t="shared" ca="1" si="47"/>
        <v>Suturas quirúrgicas o pasadores de alambre o productos relacionados</v>
      </c>
      <c r="C1181" s="95" t="str">
        <f>IFERROR(VLOOKUP("CAJ",'Informacion '!P:Q,2,FALSE),"")</f>
        <v>Caja</v>
      </c>
      <c r="D1181" s="94">
        <v>2</v>
      </c>
      <c r="E1181" s="84">
        <v>3499.92</v>
      </c>
      <c r="F1181" s="83">
        <f t="shared" ca="1" si="48"/>
        <v>6999.84</v>
      </c>
    </row>
    <row r="1182" spans="1:10" ht="14.1" customHeight="1" x14ac:dyDescent="0.25">
      <c r="E1182" s="96" t="s">
        <v>7213</v>
      </c>
      <c r="F1182" s="87">
        <f ca="1">SUM(Table47[MONTO TOTAL ESTIMADO])</f>
        <v>513129.58999999997</v>
      </c>
      <c r="H1182" s="39" t="str">
        <f>C1160</f>
        <v>Bienes</v>
      </c>
      <c r="I1182" s="39" t="str">
        <f>E1160</f>
        <v>No</v>
      </c>
      <c r="J1182" s="39" t="str">
        <f>D1160</f>
        <v>Compras Menores</v>
      </c>
    </row>
    <row r="1184" spans="1:10" ht="33.950000000000003" customHeight="1" x14ac:dyDescent="0.25">
      <c r="A1184" s="77" t="s">
        <v>17233</v>
      </c>
      <c r="B1184" s="77" t="s">
        <v>4237</v>
      </c>
      <c r="C1184" s="77" t="s">
        <v>4743</v>
      </c>
      <c r="D1184" s="77" t="s">
        <v>9891</v>
      </c>
      <c r="E1184" s="77" t="s">
        <v>3089</v>
      </c>
      <c r="F1184" s="77" t="s">
        <v>18141</v>
      </c>
    </row>
    <row r="1185" spans="1:6" ht="14.1" customHeight="1" x14ac:dyDescent="0.25">
      <c r="A1185" s="79" t="s">
        <v>1302</v>
      </c>
      <c r="B1185" s="79" t="s">
        <v>41</v>
      </c>
      <c r="C1185" s="79" t="s">
        <v>17215</v>
      </c>
      <c r="D1185" s="79" t="s">
        <v>17798</v>
      </c>
      <c r="E1185" s="79" t="s">
        <v>18247</v>
      </c>
      <c r="F1185" s="79"/>
    </row>
    <row r="1186" spans="1:6" ht="14.1" customHeight="1" x14ac:dyDescent="0.25">
      <c r="A1186" s="2" t="s">
        <v>6643</v>
      </c>
      <c r="B1186" s="80" t="s">
        <v>1046</v>
      </c>
      <c r="C1186" s="90">
        <v>43467</v>
      </c>
      <c r="D1186" s="2" t="s">
        <v>59</v>
      </c>
      <c r="E1186" s="92" t="s">
        <v>20066</v>
      </c>
      <c r="F1186" s="93" t="s">
        <v>5684</v>
      </c>
    </row>
    <row r="1187" spans="1:6" ht="14.1" customHeight="1" x14ac:dyDescent="0.25">
      <c r="A1187" s="1"/>
      <c r="B1187" s="80" t="s">
        <v>10788</v>
      </c>
      <c r="C1187" s="91">
        <f>IF(C1186="","",IF(AND(MONTH(C1186)&gt;=1,MONTH(C1186)&lt;=3),1,IF(AND(MONTH(C1186)&gt;=4,MONTH(C1186)&lt;=6),2,IF(AND(MONTH(C1186)&gt;=7,MONTH(C1186)&lt;=9),3,4))))</f>
        <v>1</v>
      </c>
      <c r="D1187" s="1"/>
      <c r="E1187" s="92" t="s">
        <v>14822</v>
      </c>
      <c r="F1187" s="93" t="s">
        <v>17690</v>
      </c>
    </row>
    <row r="1188" spans="1:6" ht="14.1" customHeight="1" x14ac:dyDescent="0.25">
      <c r="A1188" s="1"/>
      <c r="B1188" s="80" t="s">
        <v>13758</v>
      </c>
      <c r="C1188" s="90">
        <v>43553</v>
      </c>
      <c r="D1188" s="1"/>
      <c r="E1188" s="92" t="s">
        <v>18636</v>
      </c>
      <c r="F1188" s="93" t="s">
        <v>17690</v>
      </c>
    </row>
    <row r="1189" spans="1:6" ht="14.1" customHeight="1" x14ac:dyDescent="0.25">
      <c r="A1189" s="1"/>
      <c r="B1189" s="80" t="s">
        <v>10788</v>
      </c>
      <c r="C1189" s="91">
        <f>IF(C1188="","",IF(AND(MONTH(C1188)&gt;=1,MONTH(C1188)&lt;=3),1,IF(AND(MONTH(C1188)&gt;=4,MONTH(C1188)&lt;=6),2,IF(AND(MONTH(C1188)&gt;=7,MONTH(C1188)&lt;=9),3,4))))</f>
        <v>1</v>
      </c>
      <c r="D1189" s="1"/>
      <c r="E1189" s="92" t="s">
        <v>15990</v>
      </c>
      <c r="F1189" s="93"/>
    </row>
    <row r="1191" spans="1:6" ht="14.1" customHeight="1" x14ac:dyDescent="0.25">
      <c r="A1191" s="85" t="s">
        <v>15474</v>
      </c>
      <c r="B1191" s="85" t="s">
        <v>5027</v>
      </c>
      <c r="C1191" s="85" t="s">
        <v>17461</v>
      </c>
      <c r="D1191" s="85" t="s">
        <v>3935</v>
      </c>
      <c r="E1191" s="85" t="s">
        <v>10722</v>
      </c>
      <c r="F1191" s="85" t="s">
        <v>18237</v>
      </c>
    </row>
    <row r="1192" spans="1:6" ht="14.1" customHeight="1" x14ac:dyDescent="0.25">
      <c r="A1192" s="94" t="s">
        <v>10296</v>
      </c>
      <c r="B1192" s="82" t="str">
        <f t="shared" ref="B1192:B1201" ca="1" si="49">IFERROR(INDEX(UNSPSCDes,MATCH(INDIRECT(ADDRESS(ROW(),COLUMN()-1,4)),UNSPSCCode,0)),IF(INDIRECT(ADDRESS(ROW(),COLUMN()-1,4))="50192701","Comidas combinadas frescas",""))</f>
        <v>Comidas combinadas frescas</v>
      </c>
      <c r="C1192" s="95" t="str">
        <f>IFERROR(VLOOKUP("UD",'Informacion '!P:Q,2,FALSE),"")</f>
        <v>Unidad</v>
      </c>
      <c r="D1192" s="94">
        <v>1650</v>
      </c>
      <c r="E1192" s="84">
        <v>18</v>
      </c>
      <c r="F1192" s="83">
        <f t="shared" ref="F1192:F1201" ca="1" si="50">INDIRECT(ADDRESS(ROW(),COLUMN()-2,4))*INDIRECT(ADDRESS(ROW(),COLUMN()-1,4))</f>
        <v>29700</v>
      </c>
    </row>
    <row r="1193" spans="1:6" ht="14.1" customHeight="1" x14ac:dyDescent="0.25">
      <c r="A1193" s="94" t="s">
        <v>10296</v>
      </c>
      <c r="B1193" s="82" t="str">
        <f t="shared" ca="1" si="49"/>
        <v>Comidas combinadas frescas</v>
      </c>
      <c r="C1193" s="95" t="str">
        <f>IFERROR(VLOOKUP("UD",'Informacion '!P:Q,2,FALSE),"")</f>
        <v>Unidad</v>
      </c>
      <c r="D1193" s="94">
        <v>5300</v>
      </c>
      <c r="E1193" s="84">
        <v>5</v>
      </c>
      <c r="F1193" s="83">
        <f t="shared" ca="1" si="50"/>
        <v>26500</v>
      </c>
    </row>
    <row r="1194" spans="1:6" ht="14.1" customHeight="1" x14ac:dyDescent="0.25">
      <c r="A1194" s="94" t="s">
        <v>10296</v>
      </c>
      <c r="B1194" s="82" t="str">
        <f t="shared" ca="1" si="49"/>
        <v>Comidas combinadas frescas</v>
      </c>
      <c r="C1194" s="95" t="str">
        <f>IFERROR(VLOOKUP("LB",'Informacion '!P:Q,2,FALSE),"")</f>
        <v>Libra </v>
      </c>
      <c r="D1194" s="94">
        <v>1060</v>
      </c>
      <c r="E1194" s="84">
        <v>18</v>
      </c>
      <c r="F1194" s="83">
        <f t="shared" ca="1" si="50"/>
        <v>19080</v>
      </c>
    </row>
    <row r="1195" spans="1:6" ht="14.1" customHeight="1" x14ac:dyDescent="0.25">
      <c r="A1195" s="94" t="s">
        <v>10296</v>
      </c>
      <c r="B1195" s="82" t="str">
        <f t="shared" ca="1" si="49"/>
        <v>Comidas combinadas frescas</v>
      </c>
      <c r="C1195" s="95" t="str">
        <f>IFERROR(VLOOKUP("LB",'Informacion '!P:Q,2,FALSE),"")</f>
        <v>Libra </v>
      </c>
      <c r="D1195" s="94">
        <v>660</v>
      </c>
      <c r="E1195" s="84">
        <v>18</v>
      </c>
      <c r="F1195" s="83">
        <f t="shared" ca="1" si="50"/>
        <v>11880</v>
      </c>
    </row>
    <row r="1196" spans="1:6" ht="14.1" customHeight="1" x14ac:dyDescent="0.25">
      <c r="A1196" s="94" t="s">
        <v>10296</v>
      </c>
      <c r="B1196" s="82" t="str">
        <f t="shared" ca="1" si="49"/>
        <v>Comidas combinadas frescas</v>
      </c>
      <c r="C1196" s="95" t="str">
        <f>IFERROR(VLOOKUP("LB",'Informacion '!P:Q,2,FALSE),"")</f>
        <v>Libra </v>
      </c>
      <c r="D1196" s="94">
        <v>860</v>
      </c>
      <c r="E1196" s="84">
        <v>21</v>
      </c>
      <c r="F1196" s="83">
        <f t="shared" ca="1" si="50"/>
        <v>18060</v>
      </c>
    </row>
    <row r="1197" spans="1:6" ht="14.1" customHeight="1" x14ac:dyDescent="0.25">
      <c r="A1197" s="94" t="s">
        <v>10296</v>
      </c>
      <c r="B1197" s="82" t="str">
        <f t="shared" ca="1" si="49"/>
        <v>Comidas combinadas frescas</v>
      </c>
      <c r="C1197" s="95" t="str">
        <f>IFERROR(VLOOKUP("LB",'Informacion '!P:Q,2,FALSE),"")</f>
        <v>Libra </v>
      </c>
      <c r="D1197" s="94">
        <v>660</v>
      </c>
      <c r="E1197" s="84">
        <v>55</v>
      </c>
      <c r="F1197" s="83">
        <f t="shared" ca="1" si="50"/>
        <v>36300</v>
      </c>
    </row>
    <row r="1198" spans="1:6" ht="14.1" customHeight="1" x14ac:dyDescent="0.25">
      <c r="A1198" s="94" t="s">
        <v>10296</v>
      </c>
      <c r="B1198" s="82" t="str">
        <f t="shared" ca="1" si="49"/>
        <v>Comidas combinadas frescas</v>
      </c>
      <c r="C1198" s="95" t="str">
        <f>IFERROR(VLOOKUP("LB",'Informacion '!P:Q,2,FALSE),"")</f>
        <v>Libra </v>
      </c>
      <c r="D1198" s="94">
        <v>660</v>
      </c>
      <c r="E1198" s="84">
        <v>52</v>
      </c>
      <c r="F1198" s="83">
        <f t="shared" ca="1" si="50"/>
        <v>34320</v>
      </c>
    </row>
    <row r="1199" spans="1:6" ht="14.1" customHeight="1" x14ac:dyDescent="0.25">
      <c r="A1199" s="94" t="s">
        <v>10296</v>
      </c>
      <c r="B1199" s="82" t="str">
        <f t="shared" ca="1" si="49"/>
        <v>Comidas combinadas frescas</v>
      </c>
      <c r="C1199" s="95" t="str">
        <f>IFERROR(VLOOKUP("LB",'Informacion '!P:Q,2,FALSE),"")</f>
        <v>Libra </v>
      </c>
      <c r="D1199" s="94">
        <v>660</v>
      </c>
      <c r="E1199" s="84">
        <v>50</v>
      </c>
      <c r="F1199" s="83">
        <f t="shared" ca="1" si="50"/>
        <v>33000</v>
      </c>
    </row>
    <row r="1200" spans="1:6" ht="14.1" customHeight="1" x14ac:dyDescent="0.25">
      <c r="A1200" s="94" t="s">
        <v>10296</v>
      </c>
      <c r="B1200" s="82" t="str">
        <f t="shared" ca="1" si="49"/>
        <v>Comidas combinadas frescas</v>
      </c>
      <c r="C1200" s="95" t="str">
        <f>IFERROR(VLOOKUP("LB",'Informacion '!P:Q,2,FALSE),"")</f>
        <v>Libra </v>
      </c>
      <c r="D1200" s="94">
        <v>600</v>
      </c>
      <c r="E1200" s="84">
        <v>30</v>
      </c>
      <c r="F1200" s="83">
        <f t="shared" ca="1" si="50"/>
        <v>18000</v>
      </c>
    </row>
    <row r="1201" spans="1:10" ht="14.1" customHeight="1" x14ac:dyDescent="0.25">
      <c r="A1201" s="94" t="s">
        <v>10296</v>
      </c>
      <c r="B1201" s="82" t="str">
        <f t="shared" ca="1" si="49"/>
        <v>Comidas combinadas frescas</v>
      </c>
      <c r="C1201" s="95" t="str">
        <f>IFERROR(VLOOKUP("LB",'Informacion '!P:Q,2,FALSE),"")</f>
        <v>Libra </v>
      </c>
      <c r="D1201" s="94">
        <v>2120</v>
      </c>
      <c r="E1201" s="84">
        <v>10</v>
      </c>
      <c r="F1201" s="83">
        <f t="shared" ca="1" si="50"/>
        <v>21200</v>
      </c>
    </row>
    <row r="1202" spans="1:10" ht="14.1" customHeight="1" x14ac:dyDescent="0.25">
      <c r="E1202" s="96" t="s">
        <v>7213</v>
      </c>
      <c r="F1202" s="87">
        <f ca="1">SUM(Table48[MONTO TOTAL ESTIMADO])</f>
        <v>248040</v>
      </c>
      <c r="H1202" s="39" t="str">
        <f>C1185</f>
        <v>Bienes</v>
      </c>
      <c r="I1202" s="39" t="str">
        <f>E1185</f>
        <v>No</v>
      </c>
      <c r="J1202" s="39" t="str">
        <f>D1185</f>
        <v>Compras Menores</v>
      </c>
    </row>
    <row r="1204" spans="1:10" ht="33.950000000000003" customHeight="1" x14ac:dyDescent="0.25">
      <c r="A1204" s="77" t="s">
        <v>17233</v>
      </c>
      <c r="B1204" s="77" t="s">
        <v>4237</v>
      </c>
      <c r="C1204" s="77" t="s">
        <v>4743</v>
      </c>
      <c r="D1204" s="77" t="s">
        <v>9891</v>
      </c>
      <c r="E1204" s="77" t="s">
        <v>3089</v>
      </c>
      <c r="F1204" s="77" t="s">
        <v>18141</v>
      </c>
    </row>
    <row r="1205" spans="1:10" ht="14.1" customHeight="1" x14ac:dyDescent="0.25">
      <c r="A1205" s="79" t="s">
        <v>14715</v>
      </c>
      <c r="B1205" s="79" t="s">
        <v>12637</v>
      </c>
      <c r="C1205" s="79" t="s">
        <v>17215</v>
      </c>
      <c r="D1205" s="79" t="s">
        <v>17798</v>
      </c>
      <c r="E1205" s="79" t="s">
        <v>18247</v>
      </c>
      <c r="F1205" s="79"/>
    </row>
    <row r="1206" spans="1:10" ht="14.1" customHeight="1" x14ac:dyDescent="0.25">
      <c r="A1206" s="2" t="s">
        <v>6643</v>
      </c>
      <c r="B1206" s="80" t="s">
        <v>1046</v>
      </c>
      <c r="C1206" s="90">
        <v>43557</v>
      </c>
      <c r="D1206" s="2" t="s">
        <v>59</v>
      </c>
      <c r="E1206" s="92" t="s">
        <v>20066</v>
      </c>
      <c r="F1206" s="93"/>
    </row>
    <row r="1207" spans="1:10" ht="14.1" customHeight="1" x14ac:dyDescent="0.25">
      <c r="A1207" s="1"/>
      <c r="B1207" s="80" t="s">
        <v>10788</v>
      </c>
      <c r="C1207" s="91">
        <f>IF(C1206="","",IF(AND(MONTH(C1206)&gt;=1,MONTH(C1206)&lt;=3),1,IF(AND(MONTH(C1206)&gt;=4,MONTH(C1206)&lt;=6),2,IF(AND(MONTH(C1206)&gt;=7,MONTH(C1206)&lt;=9),3,4))))</f>
        <v>2</v>
      </c>
      <c r="D1207" s="1"/>
      <c r="E1207" s="92" t="s">
        <v>14822</v>
      </c>
      <c r="F1207" s="93"/>
    </row>
    <row r="1208" spans="1:10" ht="14.1" customHeight="1" x14ac:dyDescent="0.25">
      <c r="A1208" s="1"/>
      <c r="B1208" s="80" t="s">
        <v>13758</v>
      </c>
      <c r="C1208" s="90">
        <v>43644</v>
      </c>
      <c r="D1208" s="1"/>
      <c r="E1208" s="92" t="s">
        <v>18636</v>
      </c>
      <c r="F1208" s="93"/>
    </row>
    <row r="1209" spans="1:10" ht="14.1" customHeight="1" x14ac:dyDescent="0.25">
      <c r="A1209" s="1"/>
      <c r="B1209" s="80" t="s">
        <v>10788</v>
      </c>
      <c r="C1209" s="91">
        <f>IF(C1208="","",IF(AND(MONTH(C1208)&gt;=1,MONTH(C1208)&lt;=3),1,IF(AND(MONTH(C1208)&gt;=4,MONTH(C1208)&lt;=6),2,IF(AND(MONTH(C1208)&gt;=7,MONTH(C1208)&lt;=9),3,4))))</f>
        <v>2</v>
      </c>
      <c r="D1209" s="1"/>
      <c r="E1209" s="92" t="s">
        <v>15990</v>
      </c>
      <c r="F1209" s="93"/>
    </row>
    <row r="1211" spans="1:10" ht="14.1" customHeight="1" x14ac:dyDescent="0.25">
      <c r="A1211" s="85" t="s">
        <v>15474</v>
      </c>
      <c r="B1211" s="85" t="s">
        <v>5027</v>
      </c>
      <c r="C1211" s="85" t="s">
        <v>17461</v>
      </c>
      <c r="D1211" s="85" t="s">
        <v>3935</v>
      </c>
      <c r="E1211" s="85" t="s">
        <v>10722</v>
      </c>
      <c r="F1211" s="85" t="s">
        <v>18237</v>
      </c>
    </row>
    <row r="1212" spans="1:10" ht="14.1" customHeight="1" x14ac:dyDescent="0.25">
      <c r="A1212" s="94" t="s">
        <v>10296</v>
      </c>
      <c r="B1212" s="82" t="str">
        <f t="shared" ref="B1212:B1221" ca="1" si="51">IFERROR(INDEX(UNSPSCDes,MATCH(INDIRECT(ADDRESS(ROW(),COLUMN()-1,4)),UNSPSCCode,0)),IF(INDIRECT(ADDRESS(ROW(),COLUMN()-1,4))="50192701","Comidas combinadas frescas",""))</f>
        <v>Comidas combinadas frescas</v>
      </c>
      <c r="C1212" s="95" t="str">
        <f>IFERROR(VLOOKUP("UD",'Informacion '!P:Q,2,FALSE),"")</f>
        <v>Unidad</v>
      </c>
      <c r="D1212" s="94">
        <v>1650</v>
      </c>
      <c r="E1212" s="84">
        <v>18</v>
      </c>
      <c r="F1212" s="83">
        <f t="shared" ref="F1212:F1221" ca="1" si="52">INDIRECT(ADDRESS(ROW(),COLUMN()-2,4))*INDIRECT(ADDRESS(ROW(),COLUMN()-1,4))</f>
        <v>29700</v>
      </c>
    </row>
    <row r="1213" spans="1:10" ht="14.1" customHeight="1" x14ac:dyDescent="0.25">
      <c r="A1213" s="94" t="s">
        <v>10296</v>
      </c>
      <c r="B1213" s="82" t="str">
        <f t="shared" ca="1" si="51"/>
        <v>Comidas combinadas frescas</v>
      </c>
      <c r="C1213" s="95" t="str">
        <f>IFERROR(VLOOKUP("UD",'Informacion '!P:Q,2,FALSE),"")</f>
        <v>Unidad</v>
      </c>
      <c r="D1213" s="94">
        <v>5300</v>
      </c>
      <c r="E1213" s="84">
        <v>5</v>
      </c>
      <c r="F1213" s="83">
        <f t="shared" ca="1" si="52"/>
        <v>26500</v>
      </c>
    </row>
    <row r="1214" spans="1:10" ht="14.1" customHeight="1" x14ac:dyDescent="0.25">
      <c r="A1214" s="94" t="s">
        <v>10296</v>
      </c>
      <c r="B1214" s="82" t="str">
        <f t="shared" ca="1" si="51"/>
        <v>Comidas combinadas frescas</v>
      </c>
      <c r="C1214" s="95" t="str">
        <f>IFERROR(VLOOKUP("LB",'Informacion '!P:Q,2,FALSE),"")</f>
        <v>Libra </v>
      </c>
      <c r="D1214" s="94">
        <v>1060</v>
      </c>
      <c r="E1214" s="84">
        <v>18</v>
      </c>
      <c r="F1214" s="83">
        <f t="shared" ca="1" si="52"/>
        <v>19080</v>
      </c>
    </row>
    <row r="1215" spans="1:10" ht="14.1" customHeight="1" x14ac:dyDescent="0.25">
      <c r="A1215" s="94" t="s">
        <v>10296</v>
      </c>
      <c r="B1215" s="82" t="str">
        <f t="shared" ca="1" si="51"/>
        <v>Comidas combinadas frescas</v>
      </c>
      <c r="C1215" s="95" t="str">
        <f>IFERROR(VLOOKUP("LB",'Informacion '!P:Q,2,FALSE),"")</f>
        <v>Libra </v>
      </c>
      <c r="D1215" s="94">
        <v>660</v>
      </c>
      <c r="E1215" s="84">
        <v>18</v>
      </c>
      <c r="F1215" s="83">
        <f t="shared" ca="1" si="52"/>
        <v>11880</v>
      </c>
    </row>
    <row r="1216" spans="1:10" ht="14.1" customHeight="1" x14ac:dyDescent="0.25">
      <c r="A1216" s="94" t="s">
        <v>10296</v>
      </c>
      <c r="B1216" s="82" t="str">
        <f t="shared" ca="1" si="51"/>
        <v>Comidas combinadas frescas</v>
      </c>
      <c r="C1216" s="95" t="str">
        <f>IFERROR(VLOOKUP("LB",'Informacion '!P:Q,2,FALSE),"")</f>
        <v>Libra </v>
      </c>
      <c r="D1216" s="94">
        <v>860</v>
      </c>
      <c r="E1216" s="84">
        <v>21</v>
      </c>
      <c r="F1216" s="83">
        <f t="shared" ca="1" si="52"/>
        <v>18060</v>
      </c>
    </row>
    <row r="1217" spans="1:10" ht="14.1" customHeight="1" x14ac:dyDescent="0.25">
      <c r="A1217" s="94" t="s">
        <v>10296</v>
      </c>
      <c r="B1217" s="82" t="str">
        <f t="shared" ca="1" si="51"/>
        <v>Comidas combinadas frescas</v>
      </c>
      <c r="C1217" s="95" t="str">
        <f>IFERROR(VLOOKUP("LB",'Informacion '!P:Q,2,FALSE),"")</f>
        <v>Libra </v>
      </c>
      <c r="D1217" s="94">
        <v>660</v>
      </c>
      <c r="E1217" s="84">
        <v>55</v>
      </c>
      <c r="F1217" s="83">
        <f t="shared" ca="1" si="52"/>
        <v>36300</v>
      </c>
    </row>
    <row r="1218" spans="1:10" ht="14.1" customHeight="1" x14ac:dyDescent="0.25">
      <c r="A1218" s="94" t="s">
        <v>10296</v>
      </c>
      <c r="B1218" s="82" t="str">
        <f t="shared" ca="1" si="51"/>
        <v>Comidas combinadas frescas</v>
      </c>
      <c r="C1218" s="95" t="str">
        <f>IFERROR(VLOOKUP("LB",'Informacion '!P:Q,2,FALSE),"")</f>
        <v>Libra </v>
      </c>
      <c r="D1218" s="94">
        <v>660</v>
      </c>
      <c r="E1218" s="84">
        <v>52</v>
      </c>
      <c r="F1218" s="83">
        <f t="shared" ca="1" si="52"/>
        <v>34320</v>
      </c>
    </row>
    <row r="1219" spans="1:10" ht="14.1" customHeight="1" x14ac:dyDescent="0.25">
      <c r="A1219" s="94" t="s">
        <v>10296</v>
      </c>
      <c r="B1219" s="82" t="str">
        <f t="shared" ca="1" si="51"/>
        <v>Comidas combinadas frescas</v>
      </c>
      <c r="C1219" s="95" t="str">
        <f>IFERROR(VLOOKUP("LB",'Informacion '!P:Q,2,FALSE),"")</f>
        <v>Libra </v>
      </c>
      <c r="D1219" s="94">
        <v>660</v>
      </c>
      <c r="E1219" s="84">
        <v>50</v>
      </c>
      <c r="F1219" s="83">
        <f t="shared" ca="1" si="52"/>
        <v>33000</v>
      </c>
    </row>
    <row r="1220" spans="1:10" ht="14.1" customHeight="1" x14ac:dyDescent="0.25">
      <c r="A1220" s="94" t="s">
        <v>10296</v>
      </c>
      <c r="B1220" s="82" t="str">
        <f t="shared" ca="1" si="51"/>
        <v>Comidas combinadas frescas</v>
      </c>
      <c r="C1220" s="95" t="str">
        <f>IFERROR(VLOOKUP("LB",'Informacion '!P:Q,2,FALSE),"")</f>
        <v>Libra </v>
      </c>
      <c r="D1220" s="94">
        <v>600</v>
      </c>
      <c r="E1220" s="84">
        <v>30</v>
      </c>
      <c r="F1220" s="83">
        <f t="shared" ca="1" si="52"/>
        <v>18000</v>
      </c>
    </row>
    <row r="1221" spans="1:10" ht="14.1" customHeight="1" x14ac:dyDescent="0.25">
      <c r="A1221" s="94" t="s">
        <v>10296</v>
      </c>
      <c r="B1221" s="82" t="str">
        <f t="shared" ca="1" si="51"/>
        <v>Comidas combinadas frescas</v>
      </c>
      <c r="C1221" s="95" t="str">
        <f>IFERROR(VLOOKUP("LB",'Informacion '!P:Q,2,FALSE),"")</f>
        <v>Libra </v>
      </c>
      <c r="D1221" s="94">
        <v>2120</v>
      </c>
      <c r="E1221" s="84">
        <v>10</v>
      </c>
      <c r="F1221" s="83">
        <f t="shared" ca="1" si="52"/>
        <v>21200</v>
      </c>
    </row>
    <row r="1222" spans="1:10" ht="14.1" customHeight="1" x14ac:dyDescent="0.25">
      <c r="E1222" s="96" t="s">
        <v>7213</v>
      </c>
      <c r="F1222" s="87">
        <f ca="1">SUM(Table49[MONTO TOTAL ESTIMADO])</f>
        <v>248040</v>
      </c>
      <c r="H1222" s="39" t="str">
        <f>C1205</f>
        <v>Bienes</v>
      </c>
      <c r="I1222" s="39" t="str">
        <f>E1205</f>
        <v>No</v>
      </c>
      <c r="J1222" s="39" t="str">
        <f>D1205</f>
        <v>Compras Menores</v>
      </c>
    </row>
    <row r="1224" spans="1:10" ht="33.950000000000003" customHeight="1" x14ac:dyDescent="0.25">
      <c r="A1224" s="77" t="s">
        <v>17233</v>
      </c>
      <c r="B1224" s="77" t="s">
        <v>4237</v>
      </c>
      <c r="C1224" s="77" t="s">
        <v>4743</v>
      </c>
      <c r="D1224" s="77" t="s">
        <v>9891</v>
      </c>
      <c r="E1224" s="77" t="s">
        <v>3089</v>
      </c>
      <c r="F1224" s="77" t="s">
        <v>18141</v>
      </c>
    </row>
    <row r="1225" spans="1:10" ht="14.1" customHeight="1" x14ac:dyDescent="0.25">
      <c r="A1225" s="79" t="s">
        <v>11961</v>
      </c>
      <c r="B1225" s="79" t="s">
        <v>487</v>
      </c>
      <c r="C1225" s="79" t="s">
        <v>17215</v>
      </c>
      <c r="D1225" s="79" t="s">
        <v>17798</v>
      </c>
      <c r="E1225" s="79" t="s">
        <v>18247</v>
      </c>
      <c r="F1225" s="79"/>
    </row>
    <row r="1226" spans="1:10" ht="14.1" customHeight="1" x14ac:dyDescent="0.25">
      <c r="A1226" s="2" t="s">
        <v>6643</v>
      </c>
      <c r="B1226" s="80" t="s">
        <v>1046</v>
      </c>
      <c r="C1226" s="90">
        <v>43648</v>
      </c>
      <c r="D1226" s="2" t="s">
        <v>59</v>
      </c>
      <c r="E1226" s="92" t="s">
        <v>20066</v>
      </c>
      <c r="F1226" s="93"/>
    </row>
    <row r="1227" spans="1:10" ht="14.1" customHeight="1" x14ac:dyDescent="0.25">
      <c r="A1227" s="1"/>
      <c r="B1227" s="80" t="s">
        <v>10788</v>
      </c>
      <c r="C1227" s="91">
        <f>IF(C1226="","",IF(AND(MONTH(C1226)&gt;=1,MONTH(C1226)&lt;=3),1,IF(AND(MONTH(C1226)&gt;=4,MONTH(C1226)&lt;=6),2,IF(AND(MONTH(C1226)&gt;=7,MONTH(C1226)&lt;=9),3,4))))</f>
        <v>3</v>
      </c>
      <c r="D1227" s="1"/>
      <c r="E1227" s="92" t="s">
        <v>14822</v>
      </c>
      <c r="F1227" s="93"/>
    </row>
    <row r="1228" spans="1:10" ht="14.1" customHeight="1" x14ac:dyDescent="0.25">
      <c r="A1228" s="1"/>
      <c r="B1228" s="80" t="s">
        <v>13758</v>
      </c>
      <c r="C1228" s="90">
        <v>43738</v>
      </c>
      <c r="D1228" s="1"/>
      <c r="E1228" s="92" t="s">
        <v>18636</v>
      </c>
      <c r="F1228" s="93"/>
    </row>
    <row r="1229" spans="1:10" ht="14.1" customHeight="1" x14ac:dyDescent="0.25">
      <c r="A1229" s="1"/>
      <c r="B1229" s="80" t="s">
        <v>10788</v>
      </c>
      <c r="C1229" s="91">
        <f>IF(C1228="","",IF(AND(MONTH(C1228)&gt;=1,MONTH(C1228)&lt;=3),1,IF(AND(MONTH(C1228)&gt;=4,MONTH(C1228)&lt;=6),2,IF(AND(MONTH(C1228)&gt;=7,MONTH(C1228)&lt;=9),3,4))))</f>
        <v>3</v>
      </c>
      <c r="D1229" s="1"/>
      <c r="E1229" s="92" t="s">
        <v>15990</v>
      </c>
      <c r="F1229" s="93"/>
    </row>
    <row r="1231" spans="1:10" ht="14.1" customHeight="1" x14ac:dyDescent="0.25">
      <c r="A1231" s="85" t="s">
        <v>15474</v>
      </c>
      <c r="B1231" s="85" t="s">
        <v>5027</v>
      </c>
      <c r="C1231" s="85" t="s">
        <v>17461</v>
      </c>
      <c r="D1231" s="85" t="s">
        <v>3935</v>
      </c>
      <c r="E1231" s="85" t="s">
        <v>10722</v>
      </c>
      <c r="F1231" s="85" t="s">
        <v>18237</v>
      </c>
    </row>
    <row r="1232" spans="1:10" ht="14.1" customHeight="1" x14ac:dyDescent="0.25">
      <c r="A1232" s="94" t="s">
        <v>10296</v>
      </c>
      <c r="B1232" s="82" t="str">
        <f t="shared" ref="B1232:B1241" ca="1" si="53">IFERROR(INDEX(UNSPSCDes,MATCH(INDIRECT(ADDRESS(ROW(),COLUMN()-1,4)),UNSPSCCode,0)),IF(INDIRECT(ADDRESS(ROW(),COLUMN()-1,4))="50192701","Comidas combinadas frescas",""))</f>
        <v>Comidas combinadas frescas</v>
      </c>
      <c r="C1232" s="95" t="str">
        <f>IFERROR(VLOOKUP("UD",'Informacion '!P:Q,2,FALSE),"")</f>
        <v>Unidad</v>
      </c>
      <c r="D1232" s="94">
        <v>1650</v>
      </c>
      <c r="E1232" s="84">
        <v>18</v>
      </c>
      <c r="F1232" s="83">
        <f t="shared" ref="F1232:F1241" ca="1" si="54">INDIRECT(ADDRESS(ROW(),COLUMN()-2,4))*INDIRECT(ADDRESS(ROW(),COLUMN()-1,4))</f>
        <v>29700</v>
      </c>
    </row>
    <row r="1233" spans="1:10" ht="14.1" customHeight="1" x14ac:dyDescent="0.25">
      <c r="A1233" s="94" t="s">
        <v>10296</v>
      </c>
      <c r="B1233" s="82" t="str">
        <f t="shared" ca="1" si="53"/>
        <v>Comidas combinadas frescas</v>
      </c>
      <c r="C1233" s="95" t="str">
        <f>IFERROR(VLOOKUP("UD",'Informacion '!P:Q,2,FALSE),"")</f>
        <v>Unidad</v>
      </c>
      <c r="D1233" s="94">
        <v>5300</v>
      </c>
      <c r="E1233" s="84">
        <v>5</v>
      </c>
      <c r="F1233" s="83">
        <f t="shared" ca="1" si="54"/>
        <v>26500</v>
      </c>
    </row>
    <row r="1234" spans="1:10" ht="14.1" customHeight="1" x14ac:dyDescent="0.25">
      <c r="A1234" s="94" t="s">
        <v>10296</v>
      </c>
      <c r="B1234" s="82" t="str">
        <f t="shared" ca="1" si="53"/>
        <v>Comidas combinadas frescas</v>
      </c>
      <c r="C1234" s="95" t="str">
        <f>IFERROR(VLOOKUP("LB",'Informacion '!P:Q,2,FALSE),"")</f>
        <v>Libra </v>
      </c>
      <c r="D1234" s="94">
        <v>1060</v>
      </c>
      <c r="E1234" s="84">
        <v>18</v>
      </c>
      <c r="F1234" s="83">
        <f t="shared" ca="1" si="54"/>
        <v>19080</v>
      </c>
    </row>
    <row r="1235" spans="1:10" ht="14.1" customHeight="1" x14ac:dyDescent="0.25">
      <c r="A1235" s="94" t="s">
        <v>10296</v>
      </c>
      <c r="B1235" s="82" t="str">
        <f t="shared" ca="1" si="53"/>
        <v>Comidas combinadas frescas</v>
      </c>
      <c r="C1235" s="95" t="str">
        <f>IFERROR(VLOOKUP("LB",'Informacion '!P:Q,2,FALSE),"")</f>
        <v>Libra </v>
      </c>
      <c r="D1235" s="94">
        <v>660</v>
      </c>
      <c r="E1235" s="84">
        <v>18</v>
      </c>
      <c r="F1235" s="83">
        <f t="shared" ca="1" si="54"/>
        <v>11880</v>
      </c>
    </row>
    <row r="1236" spans="1:10" ht="14.1" customHeight="1" x14ac:dyDescent="0.25">
      <c r="A1236" s="94" t="s">
        <v>10296</v>
      </c>
      <c r="B1236" s="82" t="str">
        <f t="shared" ca="1" si="53"/>
        <v>Comidas combinadas frescas</v>
      </c>
      <c r="C1236" s="95" t="str">
        <f>IFERROR(VLOOKUP("LB",'Informacion '!P:Q,2,FALSE),"")</f>
        <v>Libra </v>
      </c>
      <c r="D1236" s="94">
        <v>860</v>
      </c>
      <c r="E1236" s="84">
        <v>21</v>
      </c>
      <c r="F1236" s="83">
        <f t="shared" ca="1" si="54"/>
        <v>18060</v>
      </c>
    </row>
    <row r="1237" spans="1:10" ht="14.1" customHeight="1" x14ac:dyDescent="0.25">
      <c r="A1237" s="94" t="s">
        <v>10296</v>
      </c>
      <c r="B1237" s="82" t="str">
        <f t="shared" ca="1" si="53"/>
        <v>Comidas combinadas frescas</v>
      </c>
      <c r="C1237" s="95" t="str">
        <f>IFERROR(VLOOKUP("LB",'Informacion '!P:Q,2,FALSE),"")</f>
        <v>Libra </v>
      </c>
      <c r="D1237" s="94">
        <v>660</v>
      </c>
      <c r="E1237" s="84">
        <v>55</v>
      </c>
      <c r="F1237" s="83">
        <f t="shared" ca="1" si="54"/>
        <v>36300</v>
      </c>
    </row>
    <row r="1238" spans="1:10" ht="14.1" customHeight="1" x14ac:dyDescent="0.25">
      <c r="A1238" s="94" t="s">
        <v>10296</v>
      </c>
      <c r="B1238" s="82" t="str">
        <f t="shared" ca="1" si="53"/>
        <v>Comidas combinadas frescas</v>
      </c>
      <c r="C1238" s="95" t="str">
        <f>IFERROR(VLOOKUP("LB",'Informacion '!P:Q,2,FALSE),"")</f>
        <v>Libra </v>
      </c>
      <c r="D1238" s="94">
        <v>660</v>
      </c>
      <c r="E1238" s="84">
        <v>52</v>
      </c>
      <c r="F1238" s="83">
        <f t="shared" ca="1" si="54"/>
        <v>34320</v>
      </c>
    </row>
    <row r="1239" spans="1:10" ht="14.1" customHeight="1" x14ac:dyDescent="0.25">
      <c r="A1239" s="94" t="s">
        <v>10296</v>
      </c>
      <c r="B1239" s="82" t="str">
        <f t="shared" ca="1" si="53"/>
        <v>Comidas combinadas frescas</v>
      </c>
      <c r="C1239" s="95" t="str">
        <f>IFERROR(VLOOKUP("LB",'Informacion '!P:Q,2,FALSE),"")</f>
        <v>Libra </v>
      </c>
      <c r="D1239" s="94">
        <v>660</v>
      </c>
      <c r="E1239" s="84">
        <v>50</v>
      </c>
      <c r="F1239" s="83">
        <f t="shared" ca="1" si="54"/>
        <v>33000</v>
      </c>
    </row>
    <row r="1240" spans="1:10" ht="14.1" customHeight="1" x14ac:dyDescent="0.25">
      <c r="A1240" s="94" t="s">
        <v>10296</v>
      </c>
      <c r="B1240" s="82" t="str">
        <f t="shared" ca="1" si="53"/>
        <v>Comidas combinadas frescas</v>
      </c>
      <c r="C1240" s="95" t="str">
        <f>IFERROR(VLOOKUP("LB",'Informacion '!P:Q,2,FALSE),"")</f>
        <v>Libra </v>
      </c>
      <c r="D1240" s="94">
        <v>600</v>
      </c>
      <c r="E1240" s="84">
        <v>30</v>
      </c>
      <c r="F1240" s="83">
        <f t="shared" ca="1" si="54"/>
        <v>18000</v>
      </c>
    </row>
    <row r="1241" spans="1:10" ht="14.1" customHeight="1" x14ac:dyDescent="0.25">
      <c r="A1241" s="94" t="s">
        <v>10296</v>
      </c>
      <c r="B1241" s="82" t="str">
        <f t="shared" ca="1" si="53"/>
        <v>Comidas combinadas frescas</v>
      </c>
      <c r="C1241" s="95" t="str">
        <f>IFERROR(VLOOKUP("LB",'Informacion '!P:Q,2,FALSE),"")</f>
        <v>Libra </v>
      </c>
      <c r="D1241" s="94">
        <v>2120</v>
      </c>
      <c r="E1241" s="84">
        <v>10</v>
      </c>
      <c r="F1241" s="83">
        <f t="shared" ca="1" si="54"/>
        <v>21200</v>
      </c>
    </row>
    <row r="1242" spans="1:10" ht="14.1" customHeight="1" x14ac:dyDescent="0.25">
      <c r="E1242" s="96" t="s">
        <v>7213</v>
      </c>
      <c r="F1242" s="87">
        <f ca="1">SUM(Table50[MONTO TOTAL ESTIMADO])</f>
        <v>248040</v>
      </c>
      <c r="H1242" s="39" t="str">
        <f>C1225</f>
        <v>Bienes</v>
      </c>
      <c r="I1242" s="39" t="str">
        <f>E1225</f>
        <v>No</v>
      </c>
      <c r="J1242" s="39" t="str">
        <f>D1225</f>
        <v>Compras Menores</v>
      </c>
    </row>
    <row r="1244" spans="1:10" ht="33.950000000000003" customHeight="1" x14ac:dyDescent="0.25">
      <c r="A1244" s="77" t="s">
        <v>17233</v>
      </c>
      <c r="B1244" s="77" t="s">
        <v>4237</v>
      </c>
      <c r="C1244" s="77" t="s">
        <v>4743</v>
      </c>
      <c r="D1244" s="77" t="s">
        <v>9891</v>
      </c>
      <c r="E1244" s="77" t="s">
        <v>3089</v>
      </c>
      <c r="F1244" s="77" t="s">
        <v>18141</v>
      </c>
    </row>
    <row r="1245" spans="1:10" ht="14.1" customHeight="1" x14ac:dyDescent="0.25">
      <c r="A1245" s="79" t="s">
        <v>11737</v>
      </c>
      <c r="B1245" s="79" t="s">
        <v>5449</v>
      </c>
      <c r="C1245" s="79" t="s">
        <v>17215</v>
      </c>
      <c r="D1245" s="79" t="s">
        <v>17798</v>
      </c>
      <c r="E1245" s="79" t="s">
        <v>18247</v>
      </c>
      <c r="F1245" s="79"/>
    </row>
    <row r="1246" spans="1:10" ht="14.1" customHeight="1" x14ac:dyDescent="0.25">
      <c r="A1246" s="2" t="s">
        <v>6643</v>
      </c>
      <c r="B1246" s="80" t="s">
        <v>1046</v>
      </c>
      <c r="C1246" s="90">
        <v>43740</v>
      </c>
      <c r="D1246" s="2" t="s">
        <v>59</v>
      </c>
      <c r="E1246" s="92" t="s">
        <v>20066</v>
      </c>
      <c r="F1246" s="93"/>
    </row>
    <row r="1247" spans="1:10" ht="14.1" customHeight="1" x14ac:dyDescent="0.25">
      <c r="A1247" s="1"/>
      <c r="B1247" s="80" t="s">
        <v>10788</v>
      </c>
      <c r="C1247" s="91">
        <f>IF(C1246="","",IF(AND(MONTH(C1246)&gt;=1,MONTH(C1246)&lt;=3),1,IF(AND(MONTH(C1246)&gt;=4,MONTH(C1246)&lt;=6),2,IF(AND(MONTH(C1246)&gt;=7,MONTH(C1246)&lt;=9),3,4))))</f>
        <v>4</v>
      </c>
      <c r="D1247" s="1"/>
      <c r="E1247" s="92" t="s">
        <v>14822</v>
      </c>
      <c r="F1247" s="93"/>
    </row>
    <row r="1248" spans="1:10" ht="14.1" customHeight="1" x14ac:dyDescent="0.25">
      <c r="A1248" s="1"/>
      <c r="B1248" s="80" t="s">
        <v>13758</v>
      </c>
      <c r="C1248" s="90">
        <v>43829</v>
      </c>
      <c r="D1248" s="1"/>
      <c r="E1248" s="92" t="s">
        <v>18636</v>
      </c>
      <c r="F1248" s="93"/>
    </row>
    <row r="1249" spans="1:10" ht="14.1" customHeight="1" x14ac:dyDescent="0.25">
      <c r="A1249" s="1"/>
      <c r="B1249" s="80" t="s">
        <v>10788</v>
      </c>
      <c r="C1249" s="91">
        <f>IF(C1248="","",IF(AND(MONTH(C1248)&gt;=1,MONTH(C1248)&lt;=3),1,IF(AND(MONTH(C1248)&gt;=4,MONTH(C1248)&lt;=6),2,IF(AND(MONTH(C1248)&gt;=7,MONTH(C1248)&lt;=9),3,4))))</f>
        <v>4</v>
      </c>
      <c r="D1249" s="1"/>
      <c r="E1249" s="92" t="s">
        <v>15990</v>
      </c>
      <c r="F1249" s="93"/>
    </row>
    <row r="1251" spans="1:10" ht="14.1" customHeight="1" x14ac:dyDescent="0.25">
      <c r="A1251" s="85" t="s">
        <v>15474</v>
      </c>
      <c r="B1251" s="85" t="s">
        <v>5027</v>
      </c>
      <c r="C1251" s="85" t="s">
        <v>17461</v>
      </c>
      <c r="D1251" s="85" t="s">
        <v>3935</v>
      </c>
      <c r="E1251" s="85" t="s">
        <v>10722</v>
      </c>
      <c r="F1251" s="85" t="s">
        <v>18237</v>
      </c>
    </row>
    <row r="1252" spans="1:10" ht="14.1" customHeight="1" x14ac:dyDescent="0.25">
      <c r="A1252" s="94" t="s">
        <v>10296</v>
      </c>
      <c r="B1252" s="82" t="str">
        <f t="shared" ref="B1252:B1261" ca="1" si="55">IFERROR(INDEX(UNSPSCDes,MATCH(INDIRECT(ADDRESS(ROW(),COLUMN()-1,4)),UNSPSCCode,0)),IF(INDIRECT(ADDRESS(ROW(),COLUMN()-1,4))="50192701","Comidas combinadas frescas",""))</f>
        <v>Comidas combinadas frescas</v>
      </c>
      <c r="C1252" s="95" t="str">
        <f>IFERROR(VLOOKUP("UD",'Informacion '!P:Q,2,FALSE),"")</f>
        <v>Unidad</v>
      </c>
      <c r="D1252" s="94">
        <v>1650</v>
      </c>
      <c r="E1252" s="84">
        <v>18</v>
      </c>
      <c r="F1252" s="83">
        <f t="shared" ref="F1252:F1261" ca="1" si="56">INDIRECT(ADDRESS(ROW(),COLUMN()-2,4))*INDIRECT(ADDRESS(ROW(),COLUMN()-1,4))</f>
        <v>29700</v>
      </c>
    </row>
    <row r="1253" spans="1:10" ht="14.1" customHeight="1" x14ac:dyDescent="0.25">
      <c r="A1253" s="94" t="s">
        <v>10296</v>
      </c>
      <c r="B1253" s="82" t="str">
        <f t="shared" ca="1" si="55"/>
        <v>Comidas combinadas frescas</v>
      </c>
      <c r="C1253" s="95" t="str">
        <f>IFERROR(VLOOKUP("UD",'Informacion '!P:Q,2,FALSE),"")</f>
        <v>Unidad</v>
      </c>
      <c r="D1253" s="94">
        <v>5300</v>
      </c>
      <c r="E1253" s="84">
        <v>5</v>
      </c>
      <c r="F1253" s="83">
        <f t="shared" ca="1" si="56"/>
        <v>26500</v>
      </c>
    </row>
    <row r="1254" spans="1:10" ht="14.1" customHeight="1" x14ac:dyDescent="0.25">
      <c r="A1254" s="94" t="s">
        <v>10296</v>
      </c>
      <c r="B1254" s="82" t="str">
        <f t="shared" ca="1" si="55"/>
        <v>Comidas combinadas frescas</v>
      </c>
      <c r="C1254" s="95" t="str">
        <f>IFERROR(VLOOKUP("LB",'Informacion '!P:Q,2,FALSE),"")</f>
        <v>Libra </v>
      </c>
      <c r="D1254" s="94">
        <v>1060</v>
      </c>
      <c r="E1254" s="84">
        <v>18</v>
      </c>
      <c r="F1254" s="83">
        <f t="shared" ca="1" si="56"/>
        <v>19080</v>
      </c>
    </row>
    <row r="1255" spans="1:10" ht="14.1" customHeight="1" x14ac:dyDescent="0.25">
      <c r="A1255" s="94" t="s">
        <v>10296</v>
      </c>
      <c r="B1255" s="82" t="str">
        <f t="shared" ca="1" si="55"/>
        <v>Comidas combinadas frescas</v>
      </c>
      <c r="C1255" s="95" t="str">
        <f>IFERROR(VLOOKUP("LB",'Informacion '!P:Q,2,FALSE),"")</f>
        <v>Libra </v>
      </c>
      <c r="D1255" s="94">
        <v>660</v>
      </c>
      <c r="E1255" s="84">
        <v>18</v>
      </c>
      <c r="F1255" s="83">
        <f t="shared" ca="1" si="56"/>
        <v>11880</v>
      </c>
    </row>
    <row r="1256" spans="1:10" ht="14.1" customHeight="1" x14ac:dyDescent="0.25">
      <c r="A1256" s="94" t="s">
        <v>10296</v>
      </c>
      <c r="B1256" s="82" t="str">
        <f t="shared" ca="1" si="55"/>
        <v>Comidas combinadas frescas</v>
      </c>
      <c r="C1256" s="95" t="str">
        <f>IFERROR(VLOOKUP("LB",'Informacion '!P:Q,2,FALSE),"")</f>
        <v>Libra </v>
      </c>
      <c r="D1256" s="94">
        <v>860</v>
      </c>
      <c r="E1256" s="84">
        <v>21</v>
      </c>
      <c r="F1256" s="83">
        <f t="shared" ca="1" si="56"/>
        <v>18060</v>
      </c>
    </row>
    <row r="1257" spans="1:10" ht="14.1" customHeight="1" x14ac:dyDescent="0.25">
      <c r="A1257" s="94" t="s">
        <v>10296</v>
      </c>
      <c r="B1257" s="82" t="str">
        <f t="shared" ca="1" si="55"/>
        <v>Comidas combinadas frescas</v>
      </c>
      <c r="C1257" s="95" t="str">
        <f>IFERROR(VLOOKUP("LB",'Informacion '!P:Q,2,FALSE),"")</f>
        <v>Libra </v>
      </c>
      <c r="D1257" s="94">
        <v>660</v>
      </c>
      <c r="E1257" s="84">
        <v>55</v>
      </c>
      <c r="F1257" s="83">
        <f t="shared" ca="1" si="56"/>
        <v>36300</v>
      </c>
    </row>
    <row r="1258" spans="1:10" ht="14.1" customHeight="1" x14ac:dyDescent="0.25">
      <c r="A1258" s="94" t="s">
        <v>10296</v>
      </c>
      <c r="B1258" s="82" t="str">
        <f t="shared" ca="1" si="55"/>
        <v>Comidas combinadas frescas</v>
      </c>
      <c r="C1258" s="95" t="str">
        <f>IFERROR(VLOOKUP("LB",'Informacion '!P:Q,2,FALSE),"")</f>
        <v>Libra </v>
      </c>
      <c r="D1258" s="94">
        <v>660</v>
      </c>
      <c r="E1258" s="84">
        <v>52</v>
      </c>
      <c r="F1258" s="83">
        <f t="shared" ca="1" si="56"/>
        <v>34320</v>
      </c>
    </row>
    <row r="1259" spans="1:10" ht="14.1" customHeight="1" x14ac:dyDescent="0.25">
      <c r="A1259" s="94" t="s">
        <v>10296</v>
      </c>
      <c r="B1259" s="82" t="str">
        <f t="shared" ca="1" si="55"/>
        <v>Comidas combinadas frescas</v>
      </c>
      <c r="C1259" s="95" t="str">
        <f>IFERROR(VLOOKUP("LB",'Informacion '!P:Q,2,FALSE),"")</f>
        <v>Libra </v>
      </c>
      <c r="D1259" s="94">
        <v>660</v>
      </c>
      <c r="E1259" s="84">
        <v>50</v>
      </c>
      <c r="F1259" s="83">
        <f t="shared" ca="1" si="56"/>
        <v>33000</v>
      </c>
    </row>
    <row r="1260" spans="1:10" ht="14.1" customHeight="1" x14ac:dyDescent="0.25">
      <c r="A1260" s="94" t="s">
        <v>10296</v>
      </c>
      <c r="B1260" s="82" t="str">
        <f t="shared" ca="1" si="55"/>
        <v>Comidas combinadas frescas</v>
      </c>
      <c r="C1260" s="95" t="str">
        <f>IFERROR(VLOOKUP("LB",'Informacion '!P:Q,2,FALSE),"")</f>
        <v>Libra </v>
      </c>
      <c r="D1260" s="94">
        <v>600</v>
      </c>
      <c r="E1260" s="84">
        <v>30</v>
      </c>
      <c r="F1260" s="83">
        <f t="shared" ca="1" si="56"/>
        <v>18000</v>
      </c>
    </row>
    <row r="1261" spans="1:10" ht="14.1" customHeight="1" x14ac:dyDescent="0.25">
      <c r="A1261" s="94" t="s">
        <v>10296</v>
      </c>
      <c r="B1261" s="82" t="str">
        <f t="shared" ca="1" si="55"/>
        <v>Comidas combinadas frescas</v>
      </c>
      <c r="C1261" s="95" t="str">
        <f>IFERROR(VLOOKUP("LB",'Informacion '!P:Q,2,FALSE),"")</f>
        <v>Libra </v>
      </c>
      <c r="D1261" s="94">
        <v>2120</v>
      </c>
      <c r="E1261" s="84">
        <v>10</v>
      </c>
      <c r="F1261" s="83">
        <f t="shared" ca="1" si="56"/>
        <v>21200</v>
      </c>
    </row>
    <row r="1262" spans="1:10" ht="14.1" customHeight="1" x14ac:dyDescent="0.25">
      <c r="E1262" s="96" t="s">
        <v>7213</v>
      </c>
      <c r="F1262" s="87">
        <f ca="1">SUM(Table51[MONTO TOTAL ESTIMADO])</f>
        <v>248040</v>
      </c>
      <c r="H1262" s="39" t="str">
        <f>C1245</f>
        <v>Bienes</v>
      </c>
      <c r="I1262" s="39" t="str">
        <f>E1245</f>
        <v>No</v>
      </c>
      <c r="J1262" s="39" t="str">
        <f>D1245</f>
        <v>Compras Menores</v>
      </c>
    </row>
    <row r="1264" spans="1:10" ht="33.950000000000003" customHeight="1" x14ac:dyDescent="0.25">
      <c r="A1264" s="77" t="s">
        <v>17233</v>
      </c>
      <c r="B1264" s="77" t="s">
        <v>4237</v>
      </c>
      <c r="C1264" s="77" t="s">
        <v>4743</v>
      </c>
      <c r="D1264" s="77" t="s">
        <v>9891</v>
      </c>
      <c r="E1264" s="77" t="s">
        <v>3089</v>
      </c>
      <c r="F1264" s="77" t="s">
        <v>18141</v>
      </c>
    </row>
    <row r="1265" spans="1:6" ht="14.1" customHeight="1" x14ac:dyDescent="0.25">
      <c r="A1265" s="79" t="s">
        <v>7740</v>
      </c>
      <c r="B1265" s="79" t="s">
        <v>19169</v>
      </c>
      <c r="C1265" s="79" t="s">
        <v>17215</v>
      </c>
      <c r="D1265" s="79" t="s">
        <v>13474</v>
      </c>
      <c r="E1265" s="79" t="s">
        <v>18247</v>
      </c>
      <c r="F1265" s="79"/>
    </row>
    <row r="1266" spans="1:6" ht="14.1" customHeight="1" x14ac:dyDescent="0.25">
      <c r="A1266" s="2" t="s">
        <v>6643</v>
      </c>
      <c r="B1266" s="80" t="s">
        <v>1046</v>
      </c>
      <c r="C1266" s="90">
        <v>43467</v>
      </c>
      <c r="D1266" s="2" t="s">
        <v>59</v>
      </c>
      <c r="E1266" s="92" t="s">
        <v>20066</v>
      </c>
      <c r="F1266" s="93" t="s">
        <v>5684</v>
      </c>
    </row>
    <row r="1267" spans="1:6" ht="14.1" customHeight="1" x14ac:dyDescent="0.25">
      <c r="A1267" s="1"/>
      <c r="B1267" s="80" t="s">
        <v>10788</v>
      </c>
      <c r="C1267" s="91">
        <f>IF(C1266="","",IF(AND(MONTH(C1266)&gt;=1,MONTH(C1266)&lt;=3),1,IF(AND(MONTH(C1266)&gt;=4,MONTH(C1266)&lt;=6),2,IF(AND(MONTH(C1266)&gt;=7,MONTH(C1266)&lt;=9),3,4))))</f>
        <v>1</v>
      </c>
      <c r="D1267" s="1"/>
      <c r="E1267" s="92" t="s">
        <v>14822</v>
      </c>
      <c r="F1267" s="93" t="s">
        <v>17690</v>
      </c>
    </row>
    <row r="1268" spans="1:6" ht="14.1" customHeight="1" x14ac:dyDescent="0.25">
      <c r="A1268" s="1"/>
      <c r="B1268" s="80" t="s">
        <v>13758</v>
      </c>
      <c r="C1268" s="90">
        <v>43553</v>
      </c>
      <c r="D1268" s="1"/>
      <c r="E1268" s="92" t="s">
        <v>18636</v>
      </c>
      <c r="F1268" s="93" t="s">
        <v>17690</v>
      </c>
    </row>
    <row r="1269" spans="1:6" ht="14.1" customHeight="1" x14ac:dyDescent="0.25">
      <c r="A1269" s="1"/>
      <c r="B1269" s="80" t="s">
        <v>10788</v>
      </c>
      <c r="C1269" s="91">
        <f>IF(C1268="","",IF(AND(MONTH(C1268)&gt;=1,MONTH(C1268)&lt;=3),1,IF(AND(MONTH(C1268)&gt;=4,MONTH(C1268)&lt;=6),2,IF(AND(MONTH(C1268)&gt;=7,MONTH(C1268)&lt;=9),3,4))))</f>
        <v>1</v>
      </c>
      <c r="D1269" s="1"/>
      <c r="E1269" s="92" t="s">
        <v>15990</v>
      </c>
      <c r="F1269" s="93"/>
    </row>
    <row r="1271" spans="1:6" ht="14.1" customHeight="1" x14ac:dyDescent="0.25">
      <c r="A1271" s="85" t="s">
        <v>15474</v>
      </c>
      <c r="B1271" s="85" t="s">
        <v>5027</v>
      </c>
      <c r="C1271" s="85" t="s">
        <v>17461</v>
      </c>
      <c r="D1271" s="85" t="s">
        <v>3935</v>
      </c>
      <c r="E1271" s="85" t="s">
        <v>10722</v>
      </c>
      <c r="F1271" s="85" t="s">
        <v>18237</v>
      </c>
    </row>
    <row r="1272" spans="1:6" ht="14.1" customHeight="1" x14ac:dyDescent="0.25">
      <c r="A1272" s="94" t="s">
        <v>15707</v>
      </c>
      <c r="B1272" s="82" t="str">
        <f t="shared" ref="B1272:B1287" ca="1" si="57">IFERROR(INDEX(UNSPSCDes,MATCH(INDIRECT(ADDRESS(ROW(),COLUMN()-1,4)),UNSPSCCode,0)),IF(INDIRECT(ADDRESS(ROW(),COLUMN()-1,4))="50171550","Especies o extractos",""))</f>
        <v>Especies o extractos</v>
      </c>
      <c r="C1272" s="95" t="str">
        <f>IFERROR(VLOOKUP("LB",'Informacion '!P:Q,2,FALSE),"")</f>
        <v>Libra </v>
      </c>
      <c r="D1272" s="94">
        <v>400</v>
      </c>
      <c r="E1272" s="84">
        <v>50</v>
      </c>
      <c r="F1272" s="83">
        <f t="shared" ref="F1272:F1287" ca="1" si="58">INDIRECT(ADDRESS(ROW(),COLUMN()-2,4))*INDIRECT(ADDRESS(ROW(),COLUMN()-1,4))</f>
        <v>20000</v>
      </c>
    </row>
    <row r="1273" spans="1:6" ht="14.1" customHeight="1" x14ac:dyDescent="0.25">
      <c r="A1273" s="94" t="s">
        <v>15707</v>
      </c>
      <c r="B1273" s="82" t="str">
        <f t="shared" ca="1" si="57"/>
        <v>Especies o extractos</v>
      </c>
      <c r="C1273" s="95" t="str">
        <f>IFERROR(VLOOKUP("LB",'Informacion '!P:Q,2,FALSE),"")</f>
        <v>Libra </v>
      </c>
      <c r="D1273" s="94">
        <v>26</v>
      </c>
      <c r="E1273" s="84">
        <v>104</v>
      </c>
      <c r="F1273" s="83">
        <f t="shared" ca="1" si="58"/>
        <v>2704</v>
      </c>
    </row>
    <row r="1274" spans="1:6" ht="14.1" customHeight="1" x14ac:dyDescent="0.25">
      <c r="A1274" s="94" t="s">
        <v>15707</v>
      </c>
      <c r="B1274" s="82" t="str">
        <f t="shared" ca="1" si="57"/>
        <v>Especies o extractos</v>
      </c>
      <c r="C1274" s="95" t="str">
        <f>IFERROR(VLOOKUP("LB",'Informacion '!P:Q,2,FALSE),"")</f>
        <v>Libra </v>
      </c>
      <c r="D1274" s="94">
        <v>80</v>
      </c>
      <c r="E1274" s="84">
        <v>190</v>
      </c>
      <c r="F1274" s="83">
        <f t="shared" ca="1" si="58"/>
        <v>15200</v>
      </c>
    </row>
    <row r="1275" spans="1:6" ht="14.1" customHeight="1" x14ac:dyDescent="0.25">
      <c r="A1275" s="94" t="s">
        <v>15707</v>
      </c>
      <c r="B1275" s="82" t="str">
        <f t="shared" ca="1" si="57"/>
        <v>Especies o extractos</v>
      </c>
      <c r="C1275" s="95" t="str">
        <f>IFERROR(VLOOKUP("LB",'Informacion '!P:Q,2,FALSE),"")</f>
        <v>Libra </v>
      </c>
      <c r="D1275" s="94">
        <v>10</v>
      </c>
      <c r="E1275" s="84">
        <v>250</v>
      </c>
      <c r="F1275" s="83">
        <f t="shared" ca="1" si="58"/>
        <v>2500</v>
      </c>
    </row>
    <row r="1276" spans="1:6" ht="14.1" customHeight="1" x14ac:dyDescent="0.25">
      <c r="A1276" s="94" t="s">
        <v>15707</v>
      </c>
      <c r="B1276" s="82" t="str">
        <f t="shared" ca="1" si="57"/>
        <v>Especies o extractos</v>
      </c>
      <c r="C1276" s="95" t="str">
        <f>IFERROR(VLOOKUP("LB",'Informacion '!P:Q,2,FALSE),"")</f>
        <v>Libra </v>
      </c>
      <c r="D1276" s="94">
        <v>135</v>
      </c>
      <c r="E1276" s="84">
        <v>67</v>
      </c>
      <c r="F1276" s="83">
        <f t="shared" ca="1" si="58"/>
        <v>9045</v>
      </c>
    </row>
    <row r="1277" spans="1:6" ht="14.1" customHeight="1" x14ac:dyDescent="0.25">
      <c r="A1277" s="94" t="s">
        <v>15707</v>
      </c>
      <c r="B1277" s="82" t="str">
        <f t="shared" ca="1" si="57"/>
        <v>Especies o extractos</v>
      </c>
      <c r="C1277" s="95" t="str">
        <f>IFERROR(VLOOKUP("LB",'Informacion '!P:Q,2,FALSE),"")</f>
        <v>Libra </v>
      </c>
      <c r="D1277" s="94">
        <v>80</v>
      </c>
      <c r="E1277" s="84">
        <v>90</v>
      </c>
      <c r="F1277" s="83">
        <f t="shared" ca="1" si="58"/>
        <v>7200</v>
      </c>
    </row>
    <row r="1278" spans="1:6" ht="14.1" customHeight="1" x14ac:dyDescent="0.25">
      <c r="A1278" s="94" t="s">
        <v>15707</v>
      </c>
      <c r="B1278" s="82" t="str">
        <f t="shared" ca="1" si="57"/>
        <v>Especies o extractos</v>
      </c>
      <c r="C1278" s="95" t="str">
        <f>IFERROR(VLOOKUP("LB",'Informacion '!P:Q,2,FALSE),"")</f>
        <v>Libra </v>
      </c>
      <c r="D1278" s="94">
        <v>26</v>
      </c>
      <c r="E1278" s="84">
        <v>314</v>
      </c>
      <c r="F1278" s="83">
        <f t="shared" ca="1" si="58"/>
        <v>8164</v>
      </c>
    </row>
    <row r="1279" spans="1:6" ht="14.1" customHeight="1" x14ac:dyDescent="0.25">
      <c r="A1279" s="94" t="s">
        <v>15707</v>
      </c>
      <c r="B1279" s="82" t="str">
        <f t="shared" ca="1" si="57"/>
        <v>Especies o extractos</v>
      </c>
      <c r="C1279" s="95" t="str">
        <f>IFERROR(VLOOKUP("LB",'Informacion '!P:Q,2,FALSE),"")</f>
        <v>Libra </v>
      </c>
      <c r="D1279" s="94">
        <v>26</v>
      </c>
      <c r="E1279" s="84">
        <v>160</v>
      </c>
      <c r="F1279" s="83">
        <f t="shared" ca="1" si="58"/>
        <v>4160</v>
      </c>
    </row>
    <row r="1280" spans="1:6" ht="14.1" customHeight="1" x14ac:dyDescent="0.25">
      <c r="A1280" s="94" t="s">
        <v>15707</v>
      </c>
      <c r="B1280" s="82" t="str">
        <f t="shared" ca="1" si="57"/>
        <v>Especies o extractos</v>
      </c>
      <c r="C1280" s="95" t="str">
        <f>IFERROR(VLOOKUP("LB",'Informacion '!P:Q,2,FALSE),"")</f>
        <v>Libra </v>
      </c>
      <c r="D1280" s="94">
        <v>80</v>
      </c>
      <c r="E1280" s="84">
        <v>177</v>
      </c>
      <c r="F1280" s="83">
        <f t="shared" ca="1" si="58"/>
        <v>14160</v>
      </c>
    </row>
    <row r="1281" spans="1:10" ht="14.1" customHeight="1" x14ac:dyDescent="0.25">
      <c r="A1281" s="94" t="s">
        <v>15707</v>
      </c>
      <c r="B1281" s="82" t="str">
        <f t="shared" ca="1" si="57"/>
        <v>Especies o extractos</v>
      </c>
      <c r="C1281" s="95" t="str">
        <f>IFERROR(VLOOKUP("LB",'Informacion '!P:Q,2,FALSE),"")</f>
        <v>Libra </v>
      </c>
      <c r="D1281" s="94">
        <v>26</v>
      </c>
      <c r="E1281" s="84">
        <v>403</v>
      </c>
      <c r="F1281" s="83">
        <f t="shared" ca="1" si="58"/>
        <v>10478</v>
      </c>
    </row>
    <row r="1282" spans="1:10" ht="14.1" customHeight="1" x14ac:dyDescent="0.25">
      <c r="A1282" s="94" t="s">
        <v>15707</v>
      </c>
      <c r="B1282" s="82" t="str">
        <f t="shared" ca="1" si="57"/>
        <v>Especies o extractos</v>
      </c>
      <c r="C1282" s="95" t="str">
        <f>IFERROR(VLOOKUP("LB",'Informacion '!P:Q,2,FALSE),"")</f>
        <v>Libra </v>
      </c>
      <c r="D1282" s="94">
        <v>26</v>
      </c>
      <c r="E1282" s="84">
        <v>130</v>
      </c>
      <c r="F1282" s="83">
        <f t="shared" ca="1" si="58"/>
        <v>3380</v>
      </c>
    </row>
    <row r="1283" spans="1:10" ht="14.1" customHeight="1" x14ac:dyDescent="0.25">
      <c r="A1283" s="94" t="s">
        <v>15707</v>
      </c>
      <c r="B1283" s="82" t="str">
        <f t="shared" ca="1" si="57"/>
        <v>Especies o extractos</v>
      </c>
      <c r="C1283" s="95" t="str">
        <f>IFERROR(VLOOKUP("LB",'Informacion '!P:Q,2,FALSE),"")</f>
        <v>Libra </v>
      </c>
      <c r="D1283" s="94">
        <v>55</v>
      </c>
      <c r="E1283" s="84">
        <v>260</v>
      </c>
      <c r="F1283" s="83">
        <f t="shared" ca="1" si="58"/>
        <v>14300</v>
      </c>
    </row>
    <row r="1284" spans="1:10" ht="14.1" customHeight="1" x14ac:dyDescent="0.25">
      <c r="A1284" s="94" t="s">
        <v>15707</v>
      </c>
      <c r="B1284" s="82" t="str">
        <f t="shared" ca="1" si="57"/>
        <v>Especies o extractos</v>
      </c>
      <c r="C1284" s="95" t="str">
        <f>IFERROR(VLOOKUP("LB",'Informacion '!P:Q,2,FALSE),"")</f>
        <v>Libra </v>
      </c>
      <c r="D1284" s="94">
        <v>70</v>
      </c>
      <c r="E1284" s="84">
        <v>50</v>
      </c>
      <c r="F1284" s="83">
        <f t="shared" ca="1" si="58"/>
        <v>3500</v>
      </c>
    </row>
    <row r="1285" spans="1:10" ht="14.1" customHeight="1" x14ac:dyDescent="0.25">
      <c r="A1285" s="94" t="s">
        <v>15707</v>
      </c>
      <c r="B1285" s="82" t="str">
        <f t="shared" ca="1" si="57"/>
        <v>Especies o extractos</v>
      </c>
      <c r="C1285" s="95" t="str">
        <f>IFERROR(VLOOKUP("LB",'Informacion '!P:Q,2,FALSE),"")</f>
        <v>Libra </v>
      </c>
      <c r="D1285" s="94">
        <v>7</v>
      </c>
      <c r="E1285" s="84">
        <v>570</v>
      </c>
      <c r="F1285" s="83">
        <f t="shared" ca="1" si="58"/>
        <v>3990</v>
      </c>
    </row>
    <row r="1286" spans="1:10" ht="14.1" customHeight="1" x14ac:dyDescent="0.25">
      <c r="A1286" s="94" t="s">
        <v>15707</v>
      </c>
      <c r="B1286" s="82" t="str">
        <f t="shared" ca="1" si="57"/>
        <v>Especies o extractos</v>
      </c>
      <c r="C1286" s="95" t="str">
        <f>IFERROR(VLOOKUP("LB",'Informacion '!P:Q,2,FALSE),"")</f>
        <v>Libra </v>
      </c>
      <c r="D1286" s="94">
        <v>26</v>
      </c>
      <c r="E1286" s="84">
        <v>80</v>
      </c>
      <c r="F1286" s="83">
        <f t="shared" ca="1" si="58"/>
        <v>2080</v>
      </c>
    </row>
    <row r="1287" spans="1:10" ht="14.1" customHeight="1" x14ac:dyDescent="0.25">
      <c r="A1287" s="94" t="s">
        <v>15707</v>
      </c>
      <c r="B1287" s="82" t="str">
        <f t="shared" ca="1" si="57"/>
        <v>Especies o extractos</v>
      </c>
      <c r="C1287" s="95" t="str">
        <f>IFERROR(VLOOKUP("LB",'Informacion '!P:Q,2,FALSE),"")</f>
        <v>Libra </v>
      </c>
      <c r="D1287" s="94">
        <v>3</v>
      </c>
      <c r="E1287" s="84">
        <v>60</v>
      </c>
      <c r="F1287" s="83">
        <f t="shared" ca="1" si="58"/>
        <v>180</v>
      </c>
    </row>
    <row r="1288" spans="1:10" ht="14.1" customHeight="1" x14ac:dyDescent="0.25">
      <c r="E1288" s="96" t="s">
        <v>7213</v>
      </c>
      <c r="F1288" s="87">
        <f ca="1">SUM(Table52[MONTO TOTAL ESTIMADO])</f>
        <v>121041</v>
      </c>
      <c r="H1288" s="39" t="str">
        <f>C1265</f>
        <v>Bienes</v>
      </c>
      <c r="I1288" s="39" t="str">
        <f>E1265</f>
        <v>No</v>
      </c>
      <c r="J1288" s="39" t="str">
        <f>D1265</f>
        <v>Compras por debajo del Umbral</v>
      </c>
    </row>
    <row r="1290" spans="1:10" ht="33.950000000000003" customHeight="1" x14ac:dyDescent="0.25">
      <c r="A1290" s="77" t="s">
        <v>17233</v>
      </c>
      <c r="B1290" s="77" t="s">
        <v>4237</v>
      </c>
      <c r="C1290" s="77" t="s">
        <v>4743</v>
      </c>
      <c r="D1290" s="77" t="s">
        <v>9891</v>
      </c>
      <c r="E1290" s="77" t="s">
        <v>3089</v>
      </c>
      <c r="F1290" s="77" t="s">
        <v>18141</v>
      </c>
    </row>
    <row r="1291" spans="1:10" ht="14.1" customHeight="1" x14ac:dyDescent="0.25">
      <c r="A1291" s="79" t="s">
        <v>4673</v>
      </c>
      <c r="B1291" s="79" t="s">
        <v>7270</v>
      </c>
      <c r="C1291" s="79" t="s">
        <v>17215</v>
      </c>
      <c r="D1291" s="79" t="s">
        <v>13474</v>
      </c>
      <c r="E1291" s="79" t="s">
        <v>18247</v>
      </c>
      <c r="F1291" s="79"/>
    </row>
    <row r="1292" spans="1:10" ht="14.1" customHeight="1" x14ac:dyDescent="0.25">
      <c r="A1292" s="2" t="s">
        <v>6643</v>
      </c>
      <c r="B1292" s="80" t="s">
        <v>1046</v>
      </c>
      <c r="C1292" s="90">
        <v>43557</v>
      </c>
      <c r="D1292" s="2" t="s">
        <v>59</v>
      </c>
      <c r="E1292" s="92" t="s">
        <v>20066</v>
      </c>
      <c r="F1292" s="93"/>
    </row>
    <row r="1293" spans="1:10" ht="14.1" customHeight="1" x14ac:dyDescent="0.25">
      <c r="A1293" s="1"/>
      <c r="B1293" s="80" t="s">
        <v>10788</v>
      </c>
      <c r="C1293" s="91">
        <f>IF(C1292="","",IF(AND(MONTH(C1292)&gt;=1,MONTH(C1292)&lt;=3),1,IF(AND(MONTH(C1292)&gt;=4,MONTH(C1292)&lt;=6),2,IF(AND(MONTH(C1292)&gt;=7,MONTH(C1292)&lt;=9),3,4))))</f>
        <v>2</v>
      </c>
      <c r="D1293" s="1"/>
      <c r="E1293" s="92" t="s">
        <v>14822</v>
      </c>
      <c r="F1293" s="93"/>
    </row>
    <row r="1294" spans="1:10" ht="14.1" customHeight="1" x14ac:dyDescent="0.25">
      <c r="A1294" s="1"/>
      <c r="B1294" s="80" t="s">
        <v>13758</v>
      </c>
      <c r="C1294" s="90">
        <v>43644</v>
      </c>
      <c r="D1294" s="1"/>
      <c r="E1294" s="92" t="s">
        <v>18636</v>
      </c>
      <c r="F1294" s="93"/>
    </row>
    <row r="1295" spans="1:10" ht="14.1" customHeight="1" x14ac:dyDescent="0.25">
      <c r="A1295" s="1"/>
      <c r="B1295" s="80" t="s">
        <v>10788</v>
      </c>
      <c r="C1295" s="91">
        <f>IF(C1294="","",IF(AND(MONTH(C1294)&gt;=1,MONTH(C1294)&lt;=3),1,IF(AND(MONTH(C1294)&gt;=4,MONTH(C1294)&lt;=6),2,IF(AND(MONTH(C1294)&gt;=7,MONTH(C1294)&lt;=9),3,4))))</f>
        <v>2</v>
      </c>
      <c r="D1295" s="1"/>
      <c r="E1295" s="92" t="s">
        <v>15990</v>
      </c>
      <c r="F1295" s="93"/>
    </row>
    <row r="1297" spans="1:6" ht="14.1" customHeight="1" x14ac:dyDescent="0.25">
      <c r="A1297" s="85" t="s">
        <v>15474</v>
      </c>
      <c r="B1297" s="85" t="s">
        <v>5027</v>
      </c>
      <c r="C1297" s="85" t="s">
        <v>17461</v>
      </c>
      <c r="D1297" s="85" t="s">
        <v>3935</v>
      </c>
      <c r="E1297" s="85" t="s">
        <v>10722</v>
      </c>
      <c r="F1297" s="85" t="s">
        <v>18237</v>
      </c>
    </row>
    <row r="1298" spans="1:6" ht="14.1" customHeight="1" x14ac:dyDescent="0.25">
      <c r="A1298" s="94" t="s">
        <v>15707</v>
      </c>
      <c r="B1298" s="82" t="str">
        <f t="shared" ref="B1298:B1313" ca="1" si="59">IFERROR(INDEX(UNSPSCDes,MATCH(INDIRECT(ADDRESS(ROW(),COLUMN()-1,4)),UNSPSCCode,0)),IF(INDIRECT(ADDRESS(ROW(),COLUMN()-1,4))="50171550","Especies o extractos",""))</f>
        <v>Especies o extractos</v>
      </c>
      <c r="C1298" s="95" t="str">
        <f>IFERROR(VLOOKUP("LB",'Informacion '!P:Q,2,FALSE),"")</f>
        <v>Libra </v>
      </c>
      <c r="D1298" s="94">
        <v>400</v>
      </c>
      <c r="E1298" s="84">
        <v>50</v>
      </c>
      <c r="F1298" s="83">
        <f t="shared" ref="F1298:F1313" ca="1" si="60">INDIRECT(ADDRESS(ROW(),COLUMN()-2,4))*INDIRECT(ADDRESS(ROW(),COLUMN()-1,4))</f>
        <v>20000</v>
      </c>
    </row>
    <row r="1299" spans="1:6" ht="14.1" customHeight="1" x14ac:dyDescent="0.25">
      <c r="A1299" s="94" t="s">
        <v>15707</v>
      </c>
      <c r="B1299" s="82" t="str">
        <f t="shared" ca="1" si="59"/>
        <v>Especies o extractos</v>
      </c>
      <c r="C1299" s="95" t="str">
        <f>IFERROR(VLOOKUP("LB",'Informacion '!P:Q,2,FALSE),"")</f>
        <v>Libra </v>
      </c>
      <c r="D1299" s="94">
        <v>26</v>
      </c>
      <c r="E1299" s="84">
        <v>104</v>
      </c>
      <c r="F1299" s="83">
        <f t="shared" ca="1" si="60"/>
        <v>2704</v>
      </c>
    </row>
    <row r="1300" spans="1:6" ht="14.1" customHeight="1" x14ac:dyDescent="0.25">
      <c r="A1300" s="94" t="s">
        <v>15707</v>
      </c>
      <c r="B1300" s="82" t="str">
        <f t="shared" ca="1" si="59"/>
        <v>Especies o extractos</v>
      </c>
      <c r="C1300" s="95" t="str">
        <f>IFERROR(VLOOKUP("LB",'Informacion '!P:Q,2,FALSE),"")</f>
        <v>Libra </v>
      </c>
      <c r="D1300" s="94">
        <v>80</v>
      </c>
      <c r="E1300" s="84">
        <v>190</v>
      </c>
      <c r="F1300" s="83">
        <f t="shared" ca="1" si="60"/>
        <v>15200</v>
      </c>
    </row>
    <row r="1301" spans="1:6" ht="14.1" customHeight="1" x14ac:dyDescent="0.25">
      <c r="A1301" s="94" t="s">
        <v>15707</v>
      </c>
      <c r="B1301" s="82" t="str">
        <f t="shared" ca="1" si="59"/>
        <v>Especies o extractos</v>
      </c>
      <c r="C1301" s="95" t="str">
        <f>IFERROR(VLOOKUP("LB",'Informacion '!P:Q,2,FALSE),"")</f>
        <v>Libra </v>
      </c>
      <c r="D1301" s="94">
        <v>10</v>
      </c>
      <c r="E1301" s="84">
        <v>250</v>
      </c>
      <c r="F1301" s="83">
        <f t="shared" ca="1" si="60"/>
        <v>2500</v>
      </c>
    </row>
    <row r="1302" spans="1:6" ht="14.1" customHeight="1" x14ac:dyDescent="0.25">
      <c r="A1302" s="94" t="s">
        <v>15707</v>
      </c>
      <c r="B1302" s="82" t="str">
        <f t="shared" ca="1" si="59"/>
        <v>Especies o extractos</v>
      </c>
      <c r="C1302" s="95" t="str">
        <f>IFERROR(VLOOKUP("LB",'Informacion '!P:Q,2,FALSE),"")</f>
        <v>Libra </v>
      </c>
      <c r="D1302" s="94">
        <v>135</v>
      </c>
      <c r="E1302" s="84">
        <v>67</v>
      </c>
      <c r="F1302" s="83">
        <f t="shared" ca="1" si="60"/>
        <v>9045</v>
      </c>
    </row>
    <row r="1303" spans="1:6" ht="14.1" customHeight="1" x14ac:dyDescent="0.25">
      <c r="A1303" s="94" t="s">
        <v>15707</v>
      </c>
      <c r="B1303" s="82" t="str">
        <f t="shared" ca="1" si="59"/>
        <v>Especies o extractos</v>
      </c>
      <c r="C1303" s="95" t="str">
        <f>IFERROR(VLOOKUP("LB",'Informacion '!P:Q,2,FALSE),"")</f>
        <v>Libra </v>
      </c>
      <c r="D1303" s="94">
        <v>80</v>
      </c>
      <c r="E1303" s="84">
        <v>90</v>
      </c>
      <c r="F1303" s="83">
        <f t="shared" ca="1" si="60"/>
        <v>7200</v>
      </c>
    </row>
    <row r="1304" spans="1:6" ht="14.1" customHeight="1" x14ac:dyDescent="0.25">
      <c r="A1304" s="94" t="s">
        <v>15707</v>
      </c>
      <c r="B1304" s="82" t="str">
        <f t="shared" ca="1" si="59"/>
        <v>Especies o extractos</v>
      </c>
      <c r="C1304" s="95" t="str">
        <f>IFERROR(VLOOKUP("LB",'Informacion '!P:Q,2,FALSE),"")</f>
        <v>Libra </v>
      </c>
      <c r="D1304" s="94">
        <v>26</v>
      </c>
      <c r="E1304" s="84">
        <v>314</v>
      </c>
      <c r="F1304" s="83">
        <f t="shared" ca="1" si="60"/>
        <v>8164</v>
      </c>
    </row>
    <row r="1305" spans="1:6" ht="14.1" customHeight="1" x14ac:dyDescent="0.25">
      <c r="A1305" s="94" t="s">
        <v>15707</v>
      </c>
      <c r="B1305" s="82" t="str">
        <f t="shared" ca="1" si="59"/>
        <v>Especies o extractos</v>
      </c>
      <c r="C1305" s="95" t="str">
        <f>IFERROR(VLOOKUP("LB",'Informacion '!P:Q,2,FALSE),"")</f>
        <v>Libra </v>
      </c>
      <c r="D1305" s="94">
        <v>26</v>
      </c>
      <c r="E1305" s="84">
        <v>160</v>
      </c>
      <c r="F1305" s="83">
        <f t="shared" ca="1" si="60"/>
        <v>4160</v>
      </c>
    </row>
    <row r="1306" spans="1:6" ht="14.1" customHeight="1" x14ac:dyDescent="0.25">
      <c r="A1306" s="94" t="s">
        <v>15707</v>
      </c>
      <c r="B1306" s="82" t="str">
        <f t="shared" ca="1" si="59"/>
        <v>Especies o extractos</v>
      </c>
      <c r="C1306" s="95" t="str">
        <f>IFERROR(VLOOKUP("LB",'Informacion '!P:Q,2,FALSE),"")</f>
        <v>Libra </v>
      </c>
      <c r="D1306" s="94">
        <v>80</v>
      </c>
      <c r="E1306" s="84">
        <v>177</v>
      </c>
      <c r="F1306" s="83">
        <f t="shared" ca="1" si="60"/>
        <v>14160</v>
      </c>
    </row>
    <row r="1307" spans="1:6" ht="14.1" customHeight="1" x14ac:dyDescent="0.25">
      <c r="A1307" s="94" t="s">
        <v>15707</v>
      </c>
      <c r="B1307" s="82" t="str">
        <f t="shared" ca="1" si="59"/>
        <v>Especies o extractos</v>
      </c>
      <c r="C1307" s="95" t="str">
        <f>IFERROR(VLOOKUP("LB",'Informacion '!P:Q,2,FALSE),"")</f>
        <v>Libra </v>
      </c>
      <c r="D1307" s="94">
        <v>26</v>
      </c>
      <c r="E1307" s="84">
        <v>403</v>
      </c>
      <c r="F1307" s="83">
        <f t="shared" ca="1" si="60"/>
        <v>10478</v>
      </c>
    </row>
    <row r="1308" spans="1:6" ht="14.1" customHeight="1" x14ac:dyDescent="0.25">
      <c r="A1308" s="94" t="s">
        <v>15707</v>
      </c>
      <c r="B1308" s="82" t="str">
        <f t="shared" ca="1" si="59"/>
        <v>Especies o extractos</v>
      </c>
      <c r="C1308" s="95" t="str">
        <f>IFERROR(VLOOKUP("LB",'Informacion '!P:Q,2,FALSE),"")</f>
        <v>Libra </v>
      </c>
      <c r="D1308" s="94">
        <v>26</v>
      </c>
      <c r="E1308" s="84">
        <v>130</v>
      </c>
      <c r="F1308" s="83">
        <f t="shared" ca="1" si="60"/>
        <v>3380</v>
      </c>
    </row>
    <row r="1309" spans="1:6" ht="14.1" customHeight="1" x14ac:dyDescent="0.25">
      <c r="A1309" s="94" t="s">
        <v>15707</v>
      </c>
      <c r="B1309" s="82" t="str">
        <f t="shared" ca="1" si="59"/>
        <v>Especies o extractos</v>
      </c>
      <c r="C1309" s="95" t="str">
        <f>IFERROR(VLOOKUP("LB",'Informacion '!P:Q,2,FALSE),"")</f>
        <v>Libra </v>
      </c>
      <c r="D1309" s="94">
        <v>55</v>
      </c>
      <c r="E1309" s="84">
        <v>260</v>
      </c>
      <c r="F1309" s="83">
        <f t="shared" ca="1" si="60"/>
        <v>14300</v>
      </c>
    </row>
    <row r="1310" spans="1:6" ht="14.1" customHeight="1" x14ac:dyDescent="0.25">
      <c r="A1310" s="94" t="s">
        <v>15707</v>
      </c>
      <c r="B1310" s="82" t="str">
        <f t="shared" ca="1" si="59"/>
        <v>Especies o extractos</v>
      </c>
      <c r="C1310" s="95" t="str">
        <f>IFERROR(VLOOKUP("LB",'Informacion '!P:Q,2,FALSE),"")</f>
        <v>Libra </v>
      </c>
      <c r="D1310" s="94">
        <v>70</v>
      </c>
      <c r="E1310" s="84">
        <v>50</v>
      </c>
      <c r="F1310" s="83">
        <f t="shared" ca="1" si="60"/>
        <v>3500</v>
      </c>
    </row>
    <row r="1311" spans="1:6" ht="14.1" customHeight="1" x14ac:dyDescent="0.25">
      <c r="A1311" s="94" t="s">
        <v>15707</v>
      </c>
      <c r="B1311" s="82" t="str">
        <f t="shared" ca="1" si="59"/>
        <v>Especies o extractos</v>
      </c>
      <c r="C1311" s="95" t="str">
        <f>IFERROR(VLOOKUP("LB",'Informacion '!P:Q,2,FALSE),"")</f>
        <v>Libra </v>
      </c>
      <c r="D1311" s="94">
        <v>7</v>
      </c>
      <c r="E1311" s="84">
        <v>570</v>
      </c>
      <c r="F1311" s="83">
        <f t="shared" ca="1" si="60"/>
        <v>3990</v>
      </c>
    </row>
    <row r="1312" spans="1:6" ht="14.1" customHeight="1" x14ac:dyDescent="0.25">
      <c r="A1312" s="94" t="s">
        <v>15707</v>
      </c>
      <c r="B1312" s="82" t="str">
        <f t="shared" ca="1" si="59"/>
        <v>Especies o extractos</v>
      </c>
      <c r="C1312" s="95" t="str">
        <f>IFERROR(VLOOKUP("LB",'Informacion '!P:Q,2,FALSE),"")</f>
        <v>Libra </v>
      </c>
      <c r="D1312" s="94">
        <v>26</v>
      </c>
      <c r="E1312" s="84">
        <v>80</v>
      </c>
      <c r="F1312" s="83">
        <f t="shared" ca="1" si="60"/>
        <v>2080</v>
      </c>
    </row>
    <row r="1313" spans="1:10" ht="14.1" customHeight="1" x14ac:dyDescent="0.25">
      <c r="A1313" s="94" t="s">
        <v>15707</v>
      </c>
      <c r="B1313" s="82" t="str">
        <f t="shared" ca="1" si="59"/>
        <v>Especies o extractos</v>
      </c>
      <c r="C1313" s="95" t="str">
        <f>IFERROR(VLOOKUP("LB",'Informacion '!P:Q,2,FALSE),"")</f>
        <v>Libra </v>
      </c>
      <c r="D1313" s="94">
        <v>3</v>
      </c>
      <c r="E1313" s="84">
        <v>60</v>
      </c>
      <c r="F1313" s="83">
        <f t="shared" ca="1" si="60"/>
        <v>180</v>
      </c>
    </row>
    <row r="1314" spans="1:10" ht="14.1" customHeight="1" x14ac:dyDescent="0.25">
      <c r="E1314" s="96" t="s">
        <v>7213</v>
      </c>
      <c r="F1314" s="87">
        <f ca="1">SUM(Table53[MONTO TOTAL ESTIMADO])</f>
        <v>121041</v>
      </c>
      <c r="H1314" s="39" t="str">
        <f>C1291</f>
        <v>Bienes</v>
      </c>
      <c r="I1314" s="39" t="str">
        <f>E1291</f>
        <v>No</v>
      </c>
      <c r="J1314" s="39" t="str">
        <f>D1291</f>
        <v>Compras por debajo del Umbral</v>
      </c>
    </row>
    <row r="1316" spans="1:10" ht="33.950000000000003" customHeight="1" x14ac:dyDescent="0.25">
      <c r="A1316" s="77" t="s">
        <v>17233</v>
      </c>
      <c r="B1316" s="77" t="s">
        <v>4237</v>
      </c>
      <c r="C1316" s="77" t="s">
        <v>4743</v>
      </c>
      <c r="D1316" s="77" t="s">
        <v>9891</v>
      </c>
      <c r="E1316" s="77" t="s">
        <v>3089</v>
      </c>
      <c r="F1316" s="77" t="s">
        <v>18141</v>
      </c>
    </row>
    <row r="1317" spans="1:10" ht="14.1" customHeight="1" x14ac:dyDescent="0.25">
      <c r="A1317" s="79" t="s">
        <v>2801</v>
      </c>
      <c r="B1317" s="79" t="s">
        <v>17952</v>
      </c>
      <c r="C1317" s="79" t="s">
        <v>17215</v>
      </c>
      <c r="D1317" s="79" t="s">
        <v>13474</v>
      </c>
      <c r="E1317" s="79" t="s">
        <v>18247</v>
      </c>
      <c r="F1317" s="79"/>
    </row>
    <row r="1318" spans="1:10" ht="14.1" customHeight="1" x14ac:dyDescent="0.25">
      <c r="A1318" s="2" t="s">
        <v>6643</v>
      </c>
      <c r="B1318" s="80" t="s">
        <v>1046</v>
      </c>
      <c r="C1318" s="90">
        <v>43647</v>
      </c>
      <c r="D1318" s="2" t="s">
        <v>59</v>
      </c>
      <c r="E1318" s="92" t="s">
        <v>20066</v>
      </c>
      <c r="F1318" s="93"/>
    </row>
    <row r="1319" spans="1:10" ht="14.1" customHeight="1" x14ac:dyDescent="0.25">
      <c r="A1319" s="1"/>
      <c r="B1319" s="80" t="s">
        <v>10788</v>
      </c>
      <c r="C1319" s="91">
        <f>IF(C1318="","",IF(AND(MONTH(C1318)&gt;=1,MONTH(C1318)&lt;=3),1,IF(AND(MONTH(C1318)&gt;=4,MONTH(C1318)&lt;=6),2,IF(AND(MONTH(C1318)&gt;=7,MONTH(C1318)&lt;=9),3,4))))</f>
        <v>3</v>
      </c>
      <c r="D1319" s="1"/>
      <c r="E1319" s="92" t="s">
        <v>14822</v>
      </c>
      <c r="F1319" s="93"/>
    </row>
    <row r="1320" spans="1:10" ht="14.1" customHeight="1" x14ac:dyDescent="0.25">
      <c r="A1320" s="1"/>
      <c r="B1320" s="80" t="s">
        <v>13758</v>
      </c>
      <c r="C1320" s="90">
        <v>43738</v>
      </c>
      <c r="D1320" s="1"/>
      <c r="E1320" s="92" t="s">
        <v>18636</v>
      </c>
      <c r="F1320" s="93"/>
    </row>
    <row r="1321" spans="1:10" ht="14.1" customHeight="1" x14ac:dyDescent="0.25">
      <c r="A1321" s="1"/>
      <c r="B1321" s="80" t="s">
        <v>10788</v>
      </c>
      <c r="C1321" s="91">
        <f>IF(C1320="","",IF(AND(MONTH(C1320)&gt;=1,MONTH(C1320)&lt;=3),1,IF(AND(MONTH(C1320)&gt;=4,MONTH(C1320)&lt;=6),2,IF(AND(MONTH(C1320)&gt;=7,MONTH(C1320)&lt;=9),3,4))))</f>
        <v>3</v>
      </c>
      <c r="D1321" s="1"/>
      <c r="E1321" s="92" t="s">
        <v>15990</v>
      </c>
      <c r="F1321" s="93"/>
    </row>
    <row r="1323" spans="1:10" ht="14.1" customHeight="1" x14ac:dyDescent="0.25">
      <c r="A1323" s="85" t="s">
        <v>15474</v>
      </c>
      <c r="B1323" s="85" t="s">
        <v>5027</v>
      </c>
      <c r="C1323" s="85" t="s">
        <v>17461</v>
      </c>
      <c r="D1323" s="85" t="s">
        <v>3935</v>
      </c>
      <c r="E1323" s="85" t="s">
        <v>10722</v>
      </c>
      <c r="F1323" s="85" t="s">
        <v>18237</v>
      </c>
    </row>
    <row r="1324" spans="1:10" ht="14.1" customHeight="1" x14ac:dyDescent="0.25">
      <c r="A1324" s="94" t="s">
        <v>15707</v>
      </c>
      <c r="B1324" s="82" t="str">
        <f t="shared" ref="B1324:B1339" ca="1" si="61">IFERROR(INDEX(UNSPSCDes,MATCH(INDIRECT(ADDRESS(ROW(),COLUMN()-1,4)),UNSPSCCode,0)),IF(INDIRECT(ADDRESS(ROW(),COLUMN()-1,4))="50171550","Especies o extractos",""))</f>
        <v>Especies o extractos</v>
      </c>
      <c r="C1324" s="95" t="str">
        <f>IFERROR(VLOOKUP("LB",'Informacion '!P:Q,2,FALSE),"")</f>
        <v>Libra </v>
      </c>
      <c r="D1324" s="94">
        <v>400</v>
      </c>
      <c r="E1324" s="84">
        <v>50</v>
      </c>
      <c r="F1324" s="83">
        <f t="shared" ref="F1324:F1339" ca="1" si="62">INDIRECT(ADDRESS(ROW(),COLUMN()-2,4))*INDIRECT(ADDRESS(ROW(),COLUMN()-1,4))</f>
        <v>20000</v>
      </c>
    </row>
    <row r="1325" spans="1:10" ht="14.1" customHeight="1" x14ac:dyDescent="0.25">
      <c r="A1325" s="94" t="s">
        <v>15707</v>
      </c>
      <c r="B1325" s="82" t="str">
        <f t="shared" ca="1" si="61"/>
        <v>Especies o extractos</v>
      </c>
      <c r="C1325" s="95" t="str">
        <f>IFERROR(VLOOKUP("LB",'Informacion '!P:Q,2,FALSE),"")</f>
        <v>Libra </v>
      </c>
      <c r="D1325" s="94">
        <v>26</v>
      </c>
      <c r="E1325" s="84">
        <v>104</v>
      </c>
      <c r="F1325" s="83">
        <f t="shared" ca="1" si="62"/>
        <v>2704</v>
      </c>
    </row>
    <row r="1326" spans="1:10" ht="14.1" customHeight="1" x14ac:dyDescent="0.25">
      <c r="A1326" s="94" t="s">
        <v>15707</v>
      </c>
      <c r="B1326" s="82" t="str">
        <f t="shared" ca="1" si="61"/>
        <v>Especies o extractos</v>
      </c>
      <c r="C1326" s="95" t="str">
        <f>IFERROR(VLOOKUP("LB",'Informacion '!P:Q,2,FALSE),"")</f>
        <v>Libra </v>
      </c>
      <c r="D1326" s="94">
        <v>80</v>
      </c>
      <c r="E1326" s="84">
        <v>190</v>
      </c>
      <c r="F1326" s="83">
        <f t="shared" ca="1" si="62"/>
        <v>15200</v>
      </c>
    </row>
    <row r="1327" spans="1:10" ht="14.1" customHeight="1" x14ac:dyDescent="0.25">
      <c r="A1327" s="94" t="s">
        <v>15707</v>
      </c>
      <c r="B1327" s="82" t="str">
        <f t="shared" ca="1" si="61"/>
        <v>Especies o extractos</v>
      </c>
      <c r="C1327" s="95" t="str">
        <f>IFERROR(VLOOKUP("LB",'Informacion '!P:Q,2,FALSE),"")</f>
        <v>Libra </v>
      </c>
      <c r="D1327" s="94">
        <v>10</v>
      </c>
      <c r="E1327" s="84">
        <v>250</v>
      </c>
      <c r="F1327" s="83">
        <f t="shared" ca="1" si="62"/>
        <v>2500</v>
      </c>
    </row>
    <row r="1328" spans="1:10" ht="14.1" customHeight="1" x14ac:dyDescent="0.25">
      <c r="A1328" s="94" t="s">
        <v>15707</v>
      </c>
      <c r="B1328" s="82" t="str">
        <f t="shared" ca="1" si="61"/>
        <v>Especies o extractos</v>
      </c>
      <c r="C1328" s="95" t="str">
        <f>IFERROR(VLOOKUP("LB",'Informacion '!P:Q,2,FALSE),"")</f>
        <v>Libra </v>
      </c>
      <c r="D1328" s="94">
        <v>135</v>
      </c>
      <c r="E1328" s="84">
        <v>67</v>
      </c>
      <c r="F1328" s="83">
        <f t="shared" ca="1" si="62"/>
        <v>9045</v>
      </c>
    </row>
    <row r="1329" spans="1:10" ht="14.1" customHeight="1" x14ac:dyDescent="0.25">
      <c r="A1329" s="94" t="s">
        <v>15707</v>
      </c>
      <c r="B1329" s="82" t="str">
        <f t="shared" ca="1" si="61"/>
        <v>Especies o extractos</v>
      </c>
      <c r="C1329" s="95" t="str">
        <f>IFERROR(VLOOKUP("LB",'Informacion '!P:Q,2,FALSE),"")</f>
        <v>Libra </v>
      </c>
      <c r="D1329" s="94">
        <v>80</v>
      </c>
      <c r="E1329" s="84">
        <v>90</v>
      </c>
      <c r="F1329" s="83">
        <f t="shared" ca="1" si="62"/>
        <v>7200</v>
      </c>
    </row>
    <row r="1330" spans="1:10" ht="14.1" customHeight="1" x14ac:dyDescent="0.25">
      <c r="A1330" s="94" t="s">
        <v>15707</v>
      </c>
      <c r="B1330" s="82" t="str">
        <f t="shared" ca="1" si="61"/>
        <v>Especies o extractos</v>
      </c>
      <c r="C1330" s="95" t="str">
        <f>IFERROR(VLOOKUP("LB",'Informacion '!P:Q,2,FALSE),"")</f>
        <v>Libra </v>
      </c>
      <c r="D1330" s="94">
        <v>26</v>
      </c>
      <c r="E1330" s="84">
        <v>314</v>
      </c>
      <c r="F1330" s="83">
        <f t="shared" ca="1" si="62"/>
        <v>8164</v>
      </c>
    </row>
    <row r="1331" spans="1:10" ht="14.1" customHeight="1" x14ac:dyDescent="0.25">
      <c r="A1331" s="94" t="s">
        <v>15707</v>
      </c>
      <c r="B1331" s="82" t="str">
        <f t="shared" ca="1" si="61"/>
        <v>Especies o extractos</v>
      </c>
      <c r="C1331" s="95" t="str">
        <f>IFERROR(VLOOKUP("LB",'Informacion '!P:Q,2,FALSE),"")</f>
        <v>Libra </v>
      </c>
      <c r="D1331" s="94">
        <v>26</v>
      </c>
      <c r="E1331" s="84">
        <v>160</v>
      </c>
      <c r="F1331" s="83">
        <f t="shared" ca="1" si="62"/>
        <v>4160</v>
      </c>
    </row>
    <row r="1332" spans="1:10" ht="14.1" customHeight="1" x14ac:dyDescent="0.25">
      <c r="A1332" s="94" t="s">
        <v>15707</v>
      </c>
      <c r="B1332" s="82" t="str">
        <f t="shared" ca="1" si="61"/>
        <v>Especies o extractos</v>
      </c>
      <c r="C1332" s="95" t="str">
        <f>IFERROR(VLOOKUP("LB",'Informacion '!P:Q,2,FALSE),"")</f>
        <v>Libra </v>
      </c>
      <c r="D1332" s="94">
        <v>80</v>
      </c>
      <c r="E1332" s="84">
        <v>177</v>
      </c>
      <c r="F1332" s="83">
        <f t="shared" ca="1" si="62"/>
        <v>14160</v>
      </c>
    </row>
    <row r="1333" spans="1:10" ht="14.1" customHeight="1" x14ac:dyDescent="0.25">
      <c r="A1333" s="94" t="s">
        <v>15707</v>
      </c>
      <c r="B1333" s="82" t="str">
        <f t="shared" ca="1" si="61"/>
        <v>Especies o extractos</v>
      </c>
      <c r="C1333" s="95" t="str">
        <f>IFERROR(VLOOKUP("LB",'Informacion '!P:Q,2,FALSE),"")</f>
        <v>Libra </v>
      </c>
      <c r="D1333" s="94">
        <v>26</v>
      </c>
      <c r="E1333" s="84">
        <v>403</v>
      </c>
      <c r="F1333" s="83">
        <f t="shared" ca="1" si="62"/>
        <v>10478</v>
      </c>
    </row>
    <row r="1334" spans="1:10" ht="14.1" customHeight="1" x14ac:dyDescent="0.25">
      <c r="A1334" s="94" t="s">
        <v>15707</v>
      </c>
      <c r="B1334" s="82" t="str">
        <f t="shared" ca="1" si="61"/>
        <v>Especies o extractos</v>
      </c>
      <c r="C1334" s="95" t="str">
        <f>IFERROR(VLOOKUP("LB",'Informacion '!P:Q,2,FALSE),"")</f>
        <v>Libra </v>
      </c>
      <c r="D1334" s="94">
        <v>26</v>
      </c>
      <c r="E1334" s="84">
        <v>130</v>
      </c>
      <c r="F1334" s="83">
        <f t="shared" ca="1" si="62"/>
        <v>3380</v>
      </c>
    </row>
    <row r="1335" spans="1:10" ht="14.1" customHeight="1" x14ac:dyDescent="0.25">
      <c r="A1335" s="94" t="s">
        <v>15707</v>
      </c>
      <c r="B1335" s="82" t="str">
        <f t="shared" ca="1" si="61"/>
        <v>Especies o extractos</v>
      </c>
      <c r="C1335" s="95" t="str">
        <f>IFERROR(VLOOKUP("LB",'Informacion '!P:Q,2,FALSE),"")</f>
        <v>Libra </v>
      </c>
      <c r="D1335" s="94">
        <v>55</v>
      </c>
      <c r="E1335" s="84">
        <v>260</v>
      </c>
      <c r="F1335" s="83">
        <f t="shared" ca="1" si="62"/>
        <v>14300</v>
      </c>
    </row>
    <row r="1336" spans="1:10" ht="14.1" customHeight="1" x14ac:dyDescent="0.25">
      <c r="A1336" s="94" t="s">
        <v>15707</v>
      </c>
      <c r="B1336" s="82" t="str">
        <f t="shared" ca="1" si="61"/>
        <v>Especies o extractos</v>
      </c>
      <c r="C1336" s="95" t="str">
        <f>IFERROR(VLOOKUP("LB",'Informacion '!P:Q,2,FALSE),"")</f>
        <v>Libra </v>
      </c>
      <c r="D1336" s="94">
        <v>70</v>
      </c>
      <c r="E1336" s="84">
        <v>50</v>
      </c>
      <c r="F1336" s="83">
        <f t="shared" ca="1" si="62"/>
        <v>3500</v>
      </c>
    </row>
    <row r="1337" spans="1:10" ht="14.1" customHeight="1" x14ac:dyDescent="0.25">
      <c r="A1337" s="94" t="s">
        <v>15707</v>
      </c>
      <c r="B1337" s="82" t="str">
        <f t="shared" ca="1" si="61"/>
        <v>Especies o extractos</v>
      </c>
      <c r="C1337" s="95" t="str">
        <f>IFERROR(VLOOKUP("LB",'Informacion '!P:Q,2,FALSE),"")</f>
        <v>Libra </v>
      </c>
      <c r="D1337" s="94">
        <v>7</v>
      </c>
      <c r="E1337" s="84">
        <v>570</v>
      </c>
      <c r="F1337" s="83">
        <f t="shared" ca="1" si="62"/>
        <v>3990</v>
      </c>
    </row>
    <row r="1338" spans="1:10" ht="14.1" customHeight="1" x14ac:dyDescent="0.25">
      <c r="A1338" s="94" t="s">
        <v>15707</v>
      </c>
      <c r="B1338" s="82" t="str">
        <f t="shared" ca="1" si="61"/>
        <v>Especies o extractos</v>
      </c>
      <c r="C1338" s="95" t="str">
        <f>IFERROR(VLOOKUP("LB",'Informacion '!P:Q,2,FALSE),"")</f>
        <v>Libra </v>
      </c>
      <c r="D1338" s="94">
        <v>26</v>
      </c>
      <c r="E1338" s="84">
        <v>80</v>
      </c>
      <c r="F1338" s="83">
        <f t="shared" ca="1" si="62"/>
        <v>2080</v>
      </c>
    </row>
    <row r="1339" spans="1:10" ht="14.1" customHeight="1" x14ac:dyDescent="0.25">
      <c r="A1339" s="94" t="s">
        <v>15707</v>
      </c>
      <c r="B1339" s="82" t="str">
        <f t="shared" ca="1" si="61"/>
        <v>Especies o extractos</v>
      </c>
      <c r="C1339" s="95" t="str">
        <f>IFERROR(VLOOKUP("LB",'Informacion '!P:Q,2,FALSE),"")</f>
        <v>Libra </v>
      </c>
      <c r="D1339" s="94">
        <v>3</v>
      </c>
      <c r="E1339" s="84">
        <v>60</v>
      </c>
      <c r="F1339" s="83">
        <f t="shared" ca="1" si="62"/>
        <v>180</v>
      </c>
    </row>
    <row r="1340" spans="1:10" ht="14.1" customHeight="1" x14ac:dyDescent="0.25">
      <c r="E1340" s="96" t="s">
        <v>7213</v>
      </c>
      <c r="F1340" s="87">
        <f ca="1">SUM(Table54[MONTO TOTAL ESTIMADO])</f>
        <v>121041</v>
      </c>
      <c r="H1340" s="39" t="str">
        <f>C1317</f>
        <v>Bienes</v>
      </c>
      <c r="I1340" s="39" t="str">
        <f>E1317</f>
        <v>No</v>
      </c>
      <c r="J1340" s="39" t="str">
        <f>D1317</f>
        <v>Compras por debajo del Umbral</v>
      </c>
    </row>
    <row r="1342" spans="1:10" ht="33.950000000000003" customHeight="1" x14ac:dyDescent="0.25">
      <c r="A1342" s="77" t="s">
        <v>17233</v>
      </c>
      <c r="B1342" s="77" t="s">
        <v>4237</v>
      </c>
      <c r="C1342" s="77" t="s">
        <v>4743</v>
      </c>
      <c r="D1342" s="77" t="s">
        <v>9891</v>
      </c>
      <c r="E1342" s="77" t="s">
        <v>3089</v>
      </c>
      <c r="F1342" s="77" t="s">
        <v>18141</v>
      </c>
    </row>
    <row r="1343" spans="1:10" ht="14.1" customHeight="1" x14ac:dyDescent="0.25">
      <c r="A1343" s="79" t="s">
        <v>6194</v>
      </c>
      <c r="B1343" s="79" t="s">
        <v>6894</v>
      </c>
      <c r="C1343" s="79" t="s">
        <v>17215</v>
      </c>
      <c r="D1343" s="79" t="s">
        <v>13474</v>
      </c>
      <c r="E1343" s="79" t="s">
        <v>18247</v>
      </c>
      <c r="F1343" s="79"/>
    </row>
    <row r="1344" spans="1:10" ht="14.1" customHeight="1" x14ac:dyDescent="0.25">
      <c r="A1344" s="2" t="s">
        <v>6643</v>
      </c>
      <c r="B1344" s="80" t="s">
        <v>1046</v>
      </c>
      <c r="C1344" s="90">
        <v>43739</v>
      </c>
      <c r="D1344" s="2" t="s">
        <v>59</v>
      </c>
      <c r="E1344" s="92" t="s">
        <v>20066</v>
      </c>
      <c r="F1344" s="93"/>
    </row>
    <row r="1345" spans="1:6" ht="14.1" customHeight="1" x14ac:dyDescent="0.25">
      <c r="A1345" s="1"/>
      <c r="B1345" s="80" t="s">
        <v>10788</v>
      </c>
      <c r="C1345" s="91">
        <f>IF(C1344="","",IF(AND(MONTH(C1344)&gt;=1,MONTH(C1344)&lt;=3),1,IF(AND(MONTH(C1344)&gt;=4,MONTH(C1344)&lt;=6),2,IF(AND(MONTH(C1344)&gt;=7,MONTH(C1344)&lt;=9),3,4))))</f>
        <v>4</v>
      </c>
      <c r="D1345" s="1"/>
      <c r="E1345" s="92" t="s">
        <v>14822</v>
      </c>
      <c r="F1345" s="93"/>
    </row>
    <row r="1346" spans="1:6" ht="14.1" customHeight="1" x14ac:dyDescent="0.25">
      <c r="A1346" s="1"/>
      <c r="B1346" s="80" t="s">
        <v>13758</v>
      </c>
      <c r="C1346" s="90">
        <v>43829</v>
      </c>
      <c r="D1346" s="1"/>
      <c r="E1346" s="92" t="s">
        <v>18636</v>
      </c>
      <c r="F1346" s="93"/>
    </row>
    <row r="1347" spans="1:6" ht="14.1" customHeight="1" x14ac:dyDescent="0.25">
      <c r="A1347" s="1"/>
      <c r="B1347" s="80" t="s">
        <v>10788</v>
      </c>
      <c r="C1347" s="91">
        <f>IF(C1346="","",IF(AND(MONTH(C1346)&gt;=1,MONTH(C1346)&lt;=3),1,IF(AND(MONTH(C1346)&gt;=4,MONTH(C1346)&lt;=6),2,IF(AND(MONTH(C1346)&gt;=7,MONTH(C1346)&lt;=9),3,4))))</f>
        <v>4</v>
      </c>
      <c r="D1347" s="1"/>
      <c r="E1347" s="92" t="s">
        <v>15990</v>
      </c>
      <c r="F1347" s="93"/>
    </row>
    <row r="1349" spans="1:6" ht="14.1" customHeight="1" x14ac:dyDescent="0.25">
      <c r="A1349" s="85" t="s">
        <v>15474</v>
      </c>
      <c r="B1349" s="85" t="s">
        <v>5027</v>
      </c>
      <c r="C1349" s="85" t="s">
        <v>17461</v>
      </c>
      <c r="D1349" s="85" t="s">
        <v>3935</v>
      </c>
      <c r="E1349" s="85" t="s">
        <v>10722</v>
      </c>
      <c r="F1349" s="85" t="s">
        <v>18237</v>
      </c>
    </row>
    <row r="1350" spans="1:6" ht="14.1" customHeight="1" x14ac:dyDescent="0.25">
      <c r="A1350" s="94" t="s">
        <v>15707</v>
      </c>
      <c r="B1350" s="82" t="str">
        <f t="shared" ref="B1350:B1365" ca="1" si="63">IFERROR(INDEX(UNSPSCDes,MATCH(INDIRECT(ADDRESS(ROW(),COLUMN()-1,4)),UNSPSCCode,0)),IF(INDIRECT(ADDRESS(ROW(),COLUMN()-1,4))="50171550","Especies o extractos",""))</f>
        <v>Especies o extractos</v>
      </c>
      <c r="C1350" s="95" t="str">
        <f>IFERROR(VLOOKUP("LB",'Informacion '!P:Q,2,FALSE),"")</f>
        <v>Libra </v>
      </c>
      <c r="D1350" s="94">
        <v>400</v>
      </c>
      <c r="E1350" s="84">
        <v>50</v>
      </c>
      <c r="F1350" s="83">
        <f t="shared" ref="F1350:F1365" ca="1" si="64">INDIRECT(ADDRESS(ROW(),COLUMN()-2,4))*INDIRECT(ADDRESS(ROW(),COLUMN()-1,4))</f>
        <v>20000</v>
      </c>
    </row>
    <row r="1351" spans="1:6" ht="14.1" customHeight="1" x14ac:dyDescent="0.25">
      <c r="A1351" s="94" t="s">
        <v>15707</v>
      </c>
      <c r="B1351" s="82" t="str">
        <f t="shared" ca="1" si="63"/>
        <v>Especies o extractos</v>
      </c>
      <c r="C1351" s="95" t="str">
        <f>IFERROR(VLOOKUP("LB",'Informacion '!P:Q,2,FALSE),"")</f>
        <v>Libra </v>
      </c>
      <c r="D1351" s="94">
        <v>26</v>
      </c>
      <c r="E1351" s="84">
        <v>104</v>
      </c>
      <c r="F1351" s="83">
        <f t="shared" ca="1" si="64"/>
        <v>2704</v>
      </c>
    </row>
    <row r="1352" spans="1:6" ht="14.1" customHeight="1" x14ac:dyDescent="0.25">
      <c r="A1352" s="94" t="s">
        <v>15707</v>
      </c>
      <c r="B1352" s="82" t="str">
        <f t="shared" ca="1" si="63"/>
        <v>Especies o extractos</v>
      </c>
      <c r="C1352" s="95" t="str">
        <f>IFERROR(VLOOKUP("LB",'Informacion '!P:Q,2,FALSE),"")</f>
        <v>Libra </v>
      </c>
      <c r="D1352" s="94">
        <v>80</v>
      </c>
      <c r="E1352" s="84">
        <v>190</v>
      </c>
      <c r="F1352" s="83">
        <f t="shared" ca="1" si="64"/>
        <v>15200</v>
      </c>
    </row>
    <row r="1353" spans="1:6" ht="14.1" customHeight="1" x14ac:dyDescent="0.25">
      <c r="A1353" s="94" t="s">
        <v>15707</v>
      </c>
      <c r="B1353" s="82" t="str">
        <f t="shared" ca="1" si="63"/>
        <v>Especies o extractos</v>
      </c>
      <c r="C1353" s="95" t="str">
        <f>IFERROR(VLOOKUP("LB",'Informacion '!P:Q,2,FALSE),"")</f>
        <v>Libra </v>
      </c>
      <c r="D1353" s="94">
        <v>10</v>
      </c>
      <c r="E1353" s="84">
        <v>250</v>
      </c>
      <c r="F1353" s="83">
        <f t="shared" ca="1" si="64"/>
        <v>2500</v>
      </c>
    </row>
    <row r="1354" spans="1:6" ht="14.1" customHeight="1" x14ac:dyDescent="0.25">
      <c r="A1354" s="94" t="s">
        <v>15707</v>
      </c>
      <c r="B1354" s="82" t="str">
        <f t="shared" ca="1" si="63"/>
        <v>Especies o extractos</v>
      </c>
      <c r="C1354" s="95" t="str">
        <f>IFERROR(VLOOKUP("LB",'Informacion '!P:Q,2,FALSE),"")</f>
        <v>Libra </v>
      </c>
      <c r="D1354" s="94">
        <v>135</v>
      </c>
      <c r="E1354" s="84">
        <v>67</v>
      </c>
      <c r="F1354" s="83">
        <f t="shared" ca="1" si="64"/>
        <v>9045</v>
      </c>
    </row>
    <row r="1355" spans="1:6" ht="14.1" customHeight="1" x14ac:dyDescent="0.25">
      <c r="A1355" s="94" t="s">
        <v>15707</v>
      </c>
      <c r="B1355" s="82" t="str">
        <f t="shared" ca="1" si="63"/>
        <v>Especies o extractos</v>
      </c>
      <c r="C1355" s="95" t="str">
        <f>IFERROR(VLOOKUP("LB",'Informacion '!P:Q,2,FALSE),"")</f>
        <v>Libra </v>
      </c>
      <c r="D1355" s="94">
        <v>80</v>
      </c>
      <c r="E1355" s="84">
        <v>90</v>
      </c>
      <c r="F1355" s="83">
        <f t="shared" ca="1" si="64"/>
        <v>7200</v>
      </c>
    </row>
    <row r="1356" spans="1:6" ht="14.1" customHeight="1" x14ac:dyDescent="0.25">
      <c r="A1356" s="94" t="s">
        <v>15707</v>
      </c>
      <c r="B1356" s="82" t="str">
        <f t="shared" ca="1" si="63"/>
        <v>Especies o extractos</v>
      </c>
      <c r="C1356" s="95" t="str">
        <f>IFERROR(VLOOKUP("LB",'Informacion '!P:Q,2,FALSE),"")</f>
        <v>Libra </v>
      </c>
      <c r="D1356" s="94">
        <v>26</v>
      </c>
      <c r="E1356" s="84">
        <v>314</v>
      </c>
      <c r="F1356" s="83">
        <f t="shared" ca="1" si="64"/>
        <v>8164</v>
      </c>
    </row>
    <row r="1357" spans="1:6" ht="14.1" customHeight="1" x14ac:dyDescent="0.25">
      <c r="A1357" s="94" t="s">
        <v>15707</v>
      </c>
      <c r="B1357" s="82" t="str">
        <f t="shared" ca="1" si="63"/>
        <v>Especies o extractos</v>
      </c>
      <c r="C1357" s="95" t="str">
        <f>IFERROR(VLOOKUP("LB",'Informacion '!P:Q,2,FALSE),"")</f>
        <v>Libra </v>
      </c>
      <c r="D1357" s="94">
        <v>26</v>
      </c>
      <c r="E1357" s="84">
        <v>160</v>
      </c>
      <c r="F1357" s="83">
        <f t="shared" ca="1" si="64"/>
        <v>4160</v>
      </c>
    </row>
    <row r="1358" spans="1:6" ht="14.1" customHeight="1" x14ac:dyDescent="0.25">
      <c r="A1358" s="94" t="s">
        <v>15707</v>
      </c>
      <c r="B1358" s="82" t="str">
        <f t="shared" ca="1" si="63"/>
        <v>Especies o extractos</v>
      </c>
      <c r="C1358" s="95" t="str">
        <f>IFERROR(VLOOKUP("LB",'Informacion '!P:Q,2,FALSE),"")</f>
        <v>Libra </v>
      </c>
      <c r="D1358" s="94">
        <v>80</v>
      </c>
      <c r="E1358" s="84">
        <v>177</v>
      </c>
      <c r="F1358" s="83">
        <f t="shared" ca="1" si="64"/>
        <v>14160</v>
      </c>
    </row>
    <row r="1359" spans="1:6" ht="14.1" customHeight="1" x14ac:dyDescent="0.25">
      <c r="A1359" s="94" t="s">
        <v>15707</v>
      </c>
      <c r="B1359" s="82" t="str">
        <f t="shared" ca="1" si="63"/>
        <v>Especies o extractos</v>
      </c>
      <c r="C1359" s="95" t="str">
        <f>IFERROR(VLOOKUP("LB",'Informacion '!P:Q,2,FALSE),"")</f>
        <v>Libra </v>
      </c>
      <c r="D1359" s="94">
        <v>26</v>
      </c>
      <c r="E1359" s="84">
        <v>403</v>
      </c>
      <c r="F1359" s="83">
        <f t="shared" ca="1" si="64"/>
        <v>10478</v>
      </c>
    </row>
    <row r="1360" spans="1:6" ht="14.1" customHeight="1" x14ac:dyDescent="0.25">
      <c r="A1360" s="94" t="s">
        <v>15707</v>
      </c>
      <c r="B1360" s="82" t="str">
        <f t="shared" ca="1" si="63"/>
        <v>Especies o extractos</v>
      </c>
      <c r="C1360" s="95" t="str">
        <f>IFERROR(VLOOKUP("LB",'Informacion '!P:Q,2,FALSE),"")</f>
        <v>Libra </v>
      </c>
      <c r="D1360" s="94">
        <v>26</v>
      </c>
      <c r="E1360" s="84">
        <v>130</v>
      </c>
      <c r="F1360" s="83">
        <f t="shared" ca="1" si="64"/>
        <v>3380</v>
      </c>
    </row>
    <row r="1361" spans="1:10" ht="14.1" customHeight="1" x14ac:dyDescent="0.25">
      <c r="A1361" s="94" t="s">
        <v>15707</v>
      </c>
      <c r="B1361" s="82" t="str">
        <f t="shared" ca="1" si="63"/>
        <v>Especies o extractos</v>
      </c>
      <c r="C1361" s="95" t="str">
        <f>IFERROR(VLOOKUP("LB",'Informacion '!P:Q,2,FALSE),"")</f>
        <v>Libra </v>
      </c>
      <c r="D1361" s="94">
        <v>55</v>
      </c>
      <c r="E1361" s="84">
        <v>260</v>
      </c>
      <c r="F1361" s="83">
        <f t="shared" ca="1" si="64"/>
        <v>14300</v>
      </c>
    </row>
    <row r="1362" spans="1:10" ht="14.1" customHeight="1" x14ac:dyDescent="0.25">
      <c r="A1362" s="94" t="s">
        <v>15707</v>
      </c>
      <c r="B1362" s="82" t="str">
        <f t="shared" ca="1" si="63"/>
        <v>Especies o extractos</v>
      </c>
      <c r="C1362" s="95" t="str">
        <f>IFERROR(VLOOKUP("LB",'Informacion '!P:Q,2,FALSE),"")</f>
        <v>Libra </v>
      </c>
      <c r="D1362" s="94">
        <v>70</v>
      </c>
      <c r="E1362" s="84">
        <v>50</v>
      </c>
      <c r="F1362" s="83">
        <f t="shared" ca="1" si="64"/>
        <v>3500</v>
      </c>
    </row>
    <row r="1363" spans="1:10" ht="14.1" customHeight="1" x14ac:dyDescent="0.25">
      <c r="A1363" s="94" t="s">
        <v>15707</v>
      </c>
      <c r="B1363" s="82" t="str">
        <f t="shared" ca="1" si="63"/>
        <v>Especies o extractos</v>
      </c>
      <c r="C1363" s="95" t="str">
        <f>IFERROR(VLOOKUP("LB",'Informacion '!P:Q,2,FALSE),"")</f>
        <v>Libra </v>
      </c>
      <c r="D1363" s="94">
        <v>7</v>
      </c>
      <c r="E1363" s="84">
        <v>570</v>
      </c>
      <c r="F1363" s="83">
        <f t="shared" ca="1" si="64"/>
        <v>3990</v>
      </c>
    </row>
    <row r="1364" spans="1:10" ht="14.1" customHeight="1" x14ac:dyDescent="0.25">
      <c r="A1364" s="94" t="s">
        <v>15707</v>
      </c>
      <c r="B1364" s="82" t="str">
        <f t="shared" ca="1" si="63"/>
        <v>Especies o extractos</v>
      </c>
      <c r="C1364" s="95" t="str">
        <f>IFERROR(VLOOKUP("LB",'Informacion '!P:Q,2,FALSE),"")</f>
        <v>Libra </v>
      </c>
      <c r="D1364" s="94">
        <v>26</v>
      </c>
      <c r="E1364" s="84">
        <v>80</v>
      </c>
      <c r="F1364" s="83">
        <f t="shared" ca="1" si="64"/>
        <v>2080</v>
      </c>
    </row>
    <row r="1365" spans="1:10" ht="14.1" customHeight="1" x14ac:dyDescent="0.25">
      <c r="A1365" s="94" t="s">
        <v>15707</v>
      </c>
      <c r="B1365" s="82" t="str">
        <f t="shared" ca="1" si="63"/>
        <v>Especies o extractos</v>
      </c>
      <c r="C1365" s="95" t="str">
        <f>IFERROR(VLOOKUP("LB",'Informacion '!P:Q,2,FALSE),"")</f>
        <v>Libra </v>
      </c>
      <c r="D1365" s="94">
        <v>3</v>
      </c>
      <c r="E1365" s="84">
        <v>60</v>
      </c>
      <c r="F1365" s="83">
        <f t="shared" ca="1" si="64"/>
        <v>180</v>
      </c>
    </row>
    <row r="1366" spans="1:10" ht="14.1" customHeight="1" x14ac:dyDescent="0.25">
      <c r="E1366" s="96" t="s">
        <v>7213</v>
      </c>
      <c r="F1366" s="87">
        <f ca="1">SUM(Table55[MONTO TOTAL ESTIMADO])</f>
        <v>121041</v>
      </c>
      <c r="H1366" s="39" t="str">
        <f>C1343</f>
        <v>Bienes</v>
      </c>
      <c r="I1366" s="39" t="str">
        <f>E1343</f>
        <v>No</v>
      </c>
      <c r="J1366" s="39" t="str">
        <f>D1343</f>
        <v>Compras por debajo del Umbral</v>
      </c>
    </row>
    <row r="1368" spans="1:10" ht="33.950000000000003" customHeight="1" x14ac:dyDescent="0.25">
      <c r="A1368" s="77" t="s">
        <v>17233</v>
      </c>
      <c r="B1368" s="77" t="s">
        <v>4237</v>
      </c>
      <c r="C1368" s="77" t="s">
        <v>4743</v>
      </c>
      <c r="D1368" s="77" t="s">
        <v>9891</v>
      </c>
      <c r="E1368" s="77" t="s">
        <v>3089</v>
      </c>
      <c r="F1368" s="77" t="s">
        <v>18141</v>
      </c>
    </row>
    <row r="1369" spans="1:10" ht="14.1" customHeight="1" x14ac:dyDescent="0.25">
      <c r="A1369" s="79" t="s">
        <v>16567</v>
      </c>
      <c r="B1369" s="79" t="s">
        <v>5866</v>
      </c>
      <c r="C1369" s="79" t="s">
        <v>17215</v>
      </c>
      <c r="D1369" s="79" t="s">
        <v>15249</v>
      </c>
      <c r="E1369" s="79" t="s">
        <v>18247</v>
      </c>
      <c r="F1369" s="79"/>
    </row>
    <row r="1370" spans="1:10" ht="14.1" customHeight="1" x14ac:dyDescent="0.25">
      <c r="A1370" s="2" t="s">
        <v>6643</v>
      </c>
      <c r="B1370" s="80" t="s">
        <v>1046</v>
      </c>
      <c r="C1370" s="90">
        <v>43648</v>
      </c>
      <c r="D1370" s="2" t="s">
        <v>59</v>
      </c>
      <c r="E1370" s="92" t="s">
        <v>20066</v>
      </c>
      <c r="F1370" s="93"/>
    </row>
    <row r="1371" spans="1:10" ht="14.1" customHeight="1" x14ac:dyDescent="0.25">
      <c r="A1371" s="1"/>
      <c r="B1371" s="80" t="s">
        <v>10788</v>
      </c>
      <c r="C1371" s="91">
        <f>IF(C1370="","",IF(AND(MONTH(C1370)&gt;=1,MONTH(C1370)&lt;=3),1,IF(AND(MONTH(C1370)&gt;=4,MONTH(C1370)&lt;=6),2,IF(AND(MONTH(C1370)&gt;=7,MONTH(C1370)&lt;=9),3,4))))</f>
        <v>3</v>
      </c>
      <c r="D1371" s="1"/>
      <c r="E1371" s="92" t="s">
        <v>14822</v>
      </c>
      <c r="F1371" s="93"/>
    </row>
    <row r="1372" spans="1:10" ht="14.1" customHeight="1" x14ac:dyDescent="0.25">
      <c r="A1372" s="1"/>
      <c r="B1372" s="80" t="s">
        <v>13758</v>
      </c>
      <c r="C1372" s="90">
        <v>43738</v>
      </c>
      <c r="D1372" s="1"/>
      <c r="E1372" s="92" t="s">
        <v>18636</v>
      </c>
      <c r="F1372" s="93"/>
    </row>
    <row r="1373" spans="1:10" ht="14.1" customHeight="1" x14ac:dyDescent="0.25">
      <c r="A1373" s="1"/>
      <c r="B1373" s="80" t="s">
        <v>10788</v>
      </c>
      <c r="C1373" s="91">
        <f>IF(C1372="","",IF(AND(MONTH(C1372)&gt;=1,MONTH(C1372)&lt;=3),1,IF(AND(MONTH(C1372)&gt;=4,MONTH(C1372)&lt;=6),2,IF(AND(MONTH(C1372)&gt;=7,MONTH(C1372)&lt;=9),3,4))))</f>
        <v>3</v>
      </c>
      <c r="D1373" s="1"/>
      <c r="E1373" s="92" t="s">
        <v>15990</v>
      </c>
      <c r="F1373" s="93"/>
    </row>
    <row r="1375" spans="1:10" ht="14.1" customHeight="1" x14ac:dyDescent="0.25">
      <c r="A1375" s="85" t="s">
        <v>15474</v>
      </c>
      <c r="B1375" s="85" t="s">
        <v>5027</v>
      </c>
      <c r="C1375" s="85" t="s">
        <v>17461</v>
      </c>
      <c r="D1375" s="85" t="s">
        <v>3935</v>
      </c>
      <c r="E1375" s="85" t="s">
        <v>10722</v>
      </c>
      <c r="F1375" s="85" t="s">
        <v>18237</v>
      </c>
    </row>
    <row r="1376" spans="1:10" ht="14.1" customHeight="1" x14ac:dyDescent="0.25">
      <c r="A1376" s="94" t="s">
        <v>5102</v>
      </c>
      <c r="B1376" s="82" t="str">
        <f ca="1">IFERROR(INDEX(UNSPSCDes,MATCH(INDIRECT(ADDRESS(ROW(),COLUMN()-1,4)),UNSPSCCode,0)),IF(INDIRECT(ADDRESS(ROW(),COLUMN()-1,4))="51111904","Paclitaxel",""))</f>
        <v>Paclitaxel</v>
      </c>
      <c r="C1376" s="95" t="str">
        <f>IFERROR(VLOOKUP("UD",'Informacion '!P:Q,2,FALSE),"")</f>
        <v>Unidad</v>
      </c>
      <c r="D1376" s="94">
        <v>630</v>
      </c>
      <c r="E1376" s="84">
        <v>1687.33</v>
      </c>
      <c r="F1376" s="83">
        <f t="shared" ref="F1376:F1381" ca="1" si="65">INDIRECT(ADDRESS(ROW(),COLUMN()-2,4))*INDIRECT(ADDRESS(ROW(),COLUMN()-1,4))</f>
        <v>1063017.8999999999</v>
      </c>
    </row>
    <row r="1377" spans="1:10" ht="14.1" customHeight="1" x14ac:dyDescent="0.25">
      <c r="A1377" s="94" t="s">
        <v>10585</v>
      </c>
      <c r="B1377" s="82" t="str">
        <f ca="1">IFERROR(INDEX(UNSPSCDes,MATCH(INDIRECT(ADDRESS(ROW(),COLUMN()-1,4)),UNSPSCCode,0)),IF(INDIRECT(ADDRESS(ROW(),COLUMN()-1,4))="51111506","Cisplatino",""))</f>
        <v>Cisplatino</v>
      </c>
      <c r="C1377" s="95" t="str">
        <f>IFERROR(VLOOKUP("UD",'Informacion '!P:Q,2,FALSE),"")</f>
        <v>Unidad</v>
      </c>
      <c r="D1377" s="94">
        <v>165</v>
      </c>
      <c r="E1377" s="84">
        <v>2420.6</v>
      </c>
      <c r="F1377" s="83">
        <f t="shared" ca="1" si="65"/>
        <v>399399</v>
      </c>
    </row>
    <row r="1378" spans="1:10" ht="14.1" customHeight="1" x14ac:dyDescent="0.25">
      <c r="A1378" s="94" t="s">
        <v>1883</v>
      </c>
      <c r="B1378" s="82" t="str">
        <f ca="1">IFERROR(INDEX(UNSPSCDes,MATCH(INDIRECT(ADDRESS(ROW(),COLUMN()-1,4)),UNSPSCCode,0)),IF(INDIRECT(ADDRESS(ROW(),COLUMN()-1,4))="51111711","Clorhidrato de doxorubicina",""))</f>
        <v>Clorhidrato de doxorubicina</v>
      </c>
      <c r="C1378" s="95" t="str">
        <f>IFERROR(VLOOKUP("UD",'Informacion '!P:Q,2,FALSE),"")</f>
        <v>Unidad</v>
      </c>
      <c r="D1378" s="94">
        <v>450</v>
      </c>
      <c r="E1378" s="84">
        <v>1615.36</v>
      </c>
      <c r="F1378" s="83">
        <f t="shared" ca="1" si="65"/>
        <v>726912</v>
      </c>
    </row>
    <row r="1379" spans="1:10" ht="14.1" customHeight="1" x14ac:dyDescent="0.25">
      <c r="A1379" s="94" t="s">
        <v>9538</v>
      </c>
      <c r="B1379" s="82" t="str">
        <f ca="1">IFERROR(INDEX(UNSPSCDes,MATCH(INDIRECT(ADDRESS(ROW(),COLUMN()-1,4)),UNSPSCCode,0)),IF(INDIRECT(ADDRESS(ROW(),COLUMN()-1,4))="51171802","Clorhidrato de granisetrón",""))</f>
        <v>Clorhidrato de granisetrón</v>
      </c>
      <c r="C1379" s="95" t="str">
        <f>IFERROR(VLOOKUP("UD",'Informacion '!P:Q,2,FALSE),"")</f>
        <v>Unidad</v>
      </c>
      <c r="D1379" s="94">
        <v>838</v>
      </c>
      <c r="E1379" s="84">
        <v>551.63</v>
      </c>
      <c r="F1379" s="83">
        <f t="shared" ca="1" si="65"/>
        <v>462265.94</v>
      </c>
    </row>
    <row r="1380" spans="1:10" ht="14.1" customHeight="1" x14ac:dyDescent="0.25">
      <c r="A1380" s="94" t="s">
        <v>14143</v>
      </c>
      <c r="B1380" s="82" t="str">
        <f ca="1">IFERROR(INDEX(UNSPSCDes,MATCH(INDIRECT(ADDRESS(ROW(),COLUMN()-1,4)),UNSPSCCode,0)),IF(INDIRECT(ADDRESS(ROW(),COLUMN()-1,4))="51111617","Clorhidrato de gemcitabina",""))</f>
        <v>Clorhidrato de gemcitabina</v>
      </c>
      <c r="C1380" s="95" t="str">
        <f>IFERROR(VLOOKUP("UD",'Informacion '!P:Q,2,FALSE),"")</f>
        <v>Unidad</v>
      </c>
      <c r="D1380" s="94">
        <v>216</v>
      </c>
      <c r="E1380" s="84">
        <v>2203.16</v>
      </c>
      <c r="F1380" s="83">
        <f t="shared" ca="1" si="65"/>
        <v>475882.55999999994</v>
      </c>
    </row>
    <row r="1381" spans="1:10" ht="14.1" customHeight="1" x14ac:dyDescent="0.25">
      <c r="A1381" s="94" t="s">
        <v>983</v>
      </c>
      <c r="B1381" s="82" t="str">
        <f ca="1">IFERROR(INDEX(UNSPSCDes,MATCH(INDIRECT(ADDRESS(ROW(),COLUMN()-1,4)),UNSPSCCode,0)),IF(INDIRECT(ADDRESS(ROW(),COLUMN()-1,4))="51111902","Docetaxel",""))</f>
        <v>Docetaxel</v>
      </c>
      <c r="C1381" s="95" t="str">
        <f>IFERROR(VLOOKUP("UD",'Informacion '!P:Q,2,FALSE),"")</f>
        <v>Unidad</v>
      </c>
      <c r="D1381" s="94">
        <v>319</v>
      </c>
      <c r="E1381" s="84">
        <v>2155.89</v>
      </c>
      <c r="F1381" s="83">
        <f t="shared" ca="1" si="65"/>
        <v>687728.90999999992</v>
      </c>
    </row>
    <row r="1382" spans="1:10" ht="14.1" customHeight="1" x14ac:dyDescent="0.25">
      <c r="E1382" s="96" t="s">
        <v>7213</v>
      </c>
      <c r="F1382" s="87">
        <f ca="1">SUM(Table56[MONTO TOTAL ESTIMADO])</f>
        <v>3815206.3099999996</v>
      </c>
      <c r="H1382" s="39" t="str">
        <f>C1369</f>
        <v>Bienes</v>
      </c>
      <c r="I1382" s="39" t="str">
        <f>E1369</f>
        <v>No</v>
      </c>
      <c r="J1382" s="39" t="str">
        <f>D1369</f>
        <v>Comparacion de Precios</v>
      </c>
    </row>
    <row r="1384" spans="1:10" ht="33.950000000000003" customHeight="1" x14ac:dyDescent="0.25">
      <c r="A1384" s="77" t="s">
        <v>17233</v>
      </c>
      <c r="B1384" s="77" t="s">
        <v>4237</v>
      </c>
      <c r="C1384" s="77" t="s">
        <v>4743</v>
      </c>
      <c r="D1384" s="77" t="s">
        <v>9891</v>
      </c>
      <c r="E1384" s="77" t="s">
        <v>3089</v>
      </c>
      <c r="F1384" s="77" t="s">
        <v>18141</v>
      </c>
    </row>
    <row r="1385" spans="1:10" ht="14.1" customHeight="1" x14ac:dyDescent="0.25">
      <c r="A1385" s="79" t="s">
        <v>8792</v>
      </c>
      <c r="B1385" s="79" t="s">
        <v>5866</v>
      </c>
      <c r="C1385" s="79" t="s">
        <v>17215</v>
      </c>
      <c r="D1385" s="79" t="s">
        <v>15249</v>
      </c>
      <c r="E1385" s="79" t="s">
        <v>18247</v>
      </c>
      <c r="F1385" s="79"/>
    </row>
    <row r="1386" spans="1:10" ht="14.1" customHeight="1" x14ac:dyDescent="0.25">
      <c r="A1386" s="2" t="s">
        <v>6643</v>
      </c>
      <c r="B1386" s="80" t="s">
        <v>1046</v>
      </c>
      <c r="C1386" s="90">
        <v>43739</v>
      </c>
      <c r="D1386" s="2" t="s">
        <v>59</v>
      </c>
      <c r="E1386" s="92" t="s">
        <v>20066</v>
      </c>
      <c r="F1386" s="93" t="s">
        <v>5684</v>
      </c>
    </row>
    <row r="1387" spans="1:10" ht="14.1" customHeight="1" x14ac:dyDescent="0.25">
      <c r="A1387" s="1"/>
      <c r="B1387" s="80" t="s">
        <v>10788</v>
      </c>
      <c r="C1387" s="91">
        <f>IF(C1386="","",IF(AND(MONTH(C1386)&gt;=1,MONTH(C1386)&lt;=3),1,IF(AND(MONTH(C1386)&gt;=4,MONTH(C1386)&lt;=6),2,IF(AND(MONTH(C1386)&gt;=7,MONTH(C1386)&lt;=9),3,4))))</f>
        <v>4</v>
      </c>
      <c r="D1387" s="1"/>
      <c r="E1387" s="92" t="s">
        <v>14822</v>
      </c>
      <c r="F1387" s="93"/>
    </row>
    <row r="1388" spans="1:10" ht="14.1" customHeight="1" x14ac:dyDescent="0.25">
      <c r="A1388" s="1"/>
      <c r="B1388" s="80" t="s">
        <v>13758</v>
      </c>
      <c r="C1388" s="90">
        <v>43829</v>
      </c>
      <c r="D1388" s="1"/>
      <c r="E1388" s="92" t="s">
        <v>18636</v>
      </c>
      <c r="F1388" s="93"/>
    </row>
    <row r="1389" spans="1:10" ht="14.1" customHeight="1" x14ac:dyDescent="0.25">
      <c r="A1389" s="1"/>
      <c r="B1389" s="80" t="s">
        <v>10788</v>
      </c>
      <c r="C1389" s="91">
        <f>IF(C1388="","",IF(AND(MONTH(C1388)&gt;=1,MONTH(C1388)&lt;=3),1,IF(AND(MONTH(C1388)&gt;=4,MONTH(C1388)&lt;=6),2,IF(AND(MONTH(C1388)&gt;=7,MONTH(C1388)&lt;=9),3,4))))</f>
        <v>4</v>
      </c>
      <c r="D1389" s="1"/>
      <c r="E1389" s="92" t="s">
        <v>15990</v>
      </c>
      <c r="F1389" s="93"/>
    </row>
    <row r="1391" spans="1:10" ht="14.1" customHeight="1" x14ac:dyDescent="0.25">
      <c r="A1391" s="85" t="s">
        <v>15474</v>
      </c>
      <c r="B1391" s="85" t="s">
        <v>5027</v>
      </c>
      <c r="C1391" s="85" t="s">
        <v>17461</v>
      </c>
      <c r="D1391" s="85" t="s">
        <v>3935</v>
      </c>
      <c r="E1391" s="85" t="s">
        <v>10722</v>
      </c>
      <c r="F1391" s="85" t="s">
        <v>18237</v>
      </c>
    </row>
    <row r="1392" spans="1:10" ht="14.1" customHeight="1" x14ac:dyDescent="0.25">
      <c r="A1392" s="94" t="s">
        <v>5102</v>
      </c>
      <c r="B1392" s="82" t="str">
        <f ca="1">IFERROR(INDEX(UNSPSCDes,MATCH(INDIRECT(ADDRESS(ROW(),COLUMN()-1,4)),UNSPSCCode,0)),IF(INDIRECT(ADDRESS(ROW(),COLUMN()-1,4))="51111904","Paclitaxel",""))</f>
        <v>Paclitaxel</v>
      </c>
      <c r="C1392" s="95" t="str">
        <f>IFERROR(VLOOKUP("UD",'Informacion '!P:Q,2,FALSE),"")</f>
        <v>Unidad</v>
      </c>
      <c r="D1392" s="94">
        <v>640</v>
      </c>
      <c r="E1392" s="84">
        <v>1687.33</v>
      </c>
      <c r="F1392" s="83">
        <f t="shared" ref="F1392:F1397" ca="1" si="66">INDIRECT(ADDRESS(ROW(),COLUMN()-2,4))*INDIRECT(ADDRESS(ROW(),COLUMN()-1,4))</f>
        <v>1079891.2</v>
      </c>
    </row>
    <row r="1393" spans="1:10" ht="14.1" customHeight="1" x14ac:dyDescent="0.25">
      <c r="A1393" s="94" t="s">
        <v>10585</v>
      </c>
      <c r="B1393" s="82" t="str">
        <f ca="1">IFERROR(INDEX(UNSPSCDes,MATCH(INDIRECT(ADDRESS(ROW(),COLUMN()-1,4)),UNSPSCCode,0)),IF(INDIRECT(ADDRESS(ROW(),COLUMN()-1,4))="51111506","Cisplatino",""))</f>
        <v>Cisplatino</v>
      </c>
      <c r="C1393" s="95" t="str">
        <f>IFERROR(VLOOKUP("UD",'Informacion '!P:Q,2,FALSE),"")</f>
        <v>Unidad</v>
      </c>
      <c r="D1393" s="94">
        <v>170</v>
      </c>
      <c r="E1393" s="84">
        <v>2420.6</v>
      </c>
      <c r="F1393" s="83">
        <f t="shared" ca="1" si="66"/>
        <v>411502</v>
      </c>
    </row>
    <row r="1394" spans="1:10" ht="14.1" customHeight="1" x14ac:dyDescent="0.25">
      <c r="A1394" s="94" t="s">
        <v>1883</v>
      </c>
      <c r="B1394" s="82" t="str">
        <f ca="1">IFERROR(INDEX(UNSPSCDes,MATCH(INDIRECT(ADDRESS(ROW(),COLUMN()-1,4)),UNSPSCCode,0)),IF(INDIRECT(ADDRESS(ROW(),COLUMN()-1,4))="51111711","Clorhidrato de doxorubicina",""))</f>
        <v>Clorhidrato de doxorubicina</v>
      </c>
      <c r="C1394" s="95" t="str">
        <f>IFERROR(VLOOKUP("UD",'Informacion '!P:Q,2,FALSE),"")</f>
        <v>Unidad</v>
      </c>
      <c r="D1394" s="94">
        <v>450</v>
      </c>
      <c r="E1394" s="84">
        <v>1615.36</v>
      </c>
      <c r="F1394" s="83">
        <f t="shared" ca="1" si="66"/>
        <v>726912</v>
      </c>
    </row>
    <row r="1395" spans="1:10" ht="14.1" customHeight="1" x14ac:dyDescent="0.25">
      <c r="A1395" s="94" t="s">
        <v>9538</v>
      </c>
      <c r="B1395" s="82" t="str">
        <f ca="1">IFERROR(INDEX(UNSPSCDes,MATCH(INDIRECT(ADDRESS(ROW(),COLUMN()-1,4)),UNSPSCCode,0)),IF(INDIRECT(ADDRESS(ROW(),COLUMN()-1,4))="51171802","Clorhidrato de granisetrón",""))</f>
        <v>Clorhidrato de granisetrón</v>
      </c>
      <c r="C1395" s="95" t="str">
        <f>IFERROR(VLOOKUP("UD",'Informacion '!P:Q,2,FALSE),"")</f>
        <v>Unidad</v>
      </c>
      <c r="D1395" s="94">
        <v>830</v>
      </c>
      <c r="E1395" s="84">
        <v>551.63</v>
      </c>
      <c r="F1395" s="83">
        <f t="shared" ca="1" si="66"/>
        <v>457852.9</v>
      </c>
    </row>
    <row r="1396" spans="1:10" ht="14.1" customHeight="1" x14ac:dyDescent="0.25">
      <c r="A1396" s="94" t="s">
        <v>14143</v>
      </c>
      <c r="B1396" s="82" t="str">
        <f ca="1">IFERROR(INDEX(UNSPSCDes,MATCH(INDIRECT(ADDRESS(ROW(),COLUMN()-1,4)),UNSPSCCode,0)),IF(INDIRECT(ADDRESS(ROW(),COLUMN()-1,4))="51111617","Clorhidrato de gemcitabina",""))</f>
        <v>Clorhidrato de gemcitabina</v>
      </c>
      <c r="C1396" s="95" t="str">
        <f>IFERROR(VLOOKUP("UD",'Informacion '!P:Q,2,FALSE),"")</f>
        <v>Unidad</v>
      </c>
      <c r="D1396" s="94">
        <v>210</v>
      </c>
      <c r="E1396" s="84">
        <v>2203.16</v>
      </c>
      <c r="F1396" s="83">
        <f t="shared" ca="1" si="66"/>
        <v>462663.6</v>
      </c>
    </row>
    <row r="1397" spans="1:10" ht="14.1" customHeight="1" x14ac:dyDescent="0.25">
      <c r="A1397" s="94" t="s">
        <v>983</v>
      </c>
      <c r="B1397" s="82" t="str">
        <f ca="1">IFERROR(INDEX(UNSPSCDes,MATCH(INDIRECT(ADDRESS(ROW(),COLUMN()-1,4)),UNSPSCCode,0)),IF(INDIRECT(ADDRESS(ROW(),COLUMN()-1,4))="51111902","Docetaxel",""))</f>
        <v>Docetaxel</v>
      </c>
      <c r="C1397" s="95" t="str">
        <f>IFERROR(VLOOKUP("UD",'Informacion '!P:Q,2,FALSE),"")</f>
        <v>Unidad</v>
      </c>
      <c r="D1397" s="94">
        <v>315</v>
      </c>
      <c r="E1397" s="84">
        <v>2155.89</v>
      </c>
      <c r="F1397" s="83">
        <f t="shared" ca="1" si="66"/>
        <v>679105.35</v>
      </c>
    </row>
    <row r="1398" spans="1:10" ht="14.1" customHeight="1" x14ac:dyDescent="0.25">
      <c r="E1398" s="96" t="s">
        <v>7213</v>
      </c>
      <c r="F1398" s="87">
        <f ca="1">SUM(Table57[MONTO TOTAL ESTIMADO])</f>
        <v>3817927.0500000003</v>
      </c>
      <c r="H1398" s="39" t="str">
        <f>C1385</f>
        <v>Bienes</v>
      </c>
      <c r="I1398" s="39" t="str">
        <f>E1385</f>
        <v>No</v>
      </c>
      <c r="J1398" s="39" t="str">
        <f>D1385</f>
        <v>Comparacion de Precios</v>
      </c>
    </row>
    <row r="1400" spans="1:10" ht="33.950000000000003" customHeight="1" x14ac:dyDescent="0.25">
      <c r="A1400" s="77" t="s">
        <v>17233</v>
      </c>
      <c r="B1400" s="77" t="s">
        <v>4237</v>
      </c>
      <c r="C1400" s="77" t="s">
        <v>4743</v>
      </c>
      <c r="D1400" s="77" t="s">
        <v>9891</v>
      </c>
      <c r="E1400" s="77" t="s">
        <v>3089</v>
      </c>
      <c r="F1400" s="77" t="s">
        <v>18141</v>
      </c>
    </row>
    <row r="1401" spans="1:10" ht="14.1" customHeight="1" x14ac:dyDescent="0.25">
      <c r="A1401" s="79" t="s">
        <v>15759</v>
      </c>
      <c r="B1401" s="79" t="s">
        <v>2663</v>
      </c>
      <c r="C1401" s="79" t="s">
        <v>17215</v>
      </c>
      <c r="D1401" s="79" t="s">
        <v>17798</v>
      </c>
      <c r="E1401" s="79" t="s">
        <v>18247</v>
      </c>
      <c r="F1401" s="79"/>
    </row>
    <row r="1402" spans="1:10" ht="14.1" customHeight="1" x14ac:dyDescent="0.25">
      <c r="A1402" s="2" t="s">
        <v>6643</v>
      </c>
      <c r="B1402" s="80" t="s">
        <v>1046</v>
      </c>
      <c r="C1402" s="90">
        <v>43467</v>
      </c>
      <c r="D1402" s="2" t="s">
        <v>59</v>
      </c>
      <c r="E1402" s="92" t="s">
        <v>20066</v>
      </c>
      <c r="F1402" s="93"/>
    </row>
    <row r="1403" spans="1:10" ht="14.1" customHeight="1" x14ac:dyDescent="0.25">
      <c r="A1403" s="1"/>
      <c r="B1403" s="80" t="s">
        <v>10788</v>
      </c>
      <c r="C1403" s="91">
        <f>IF(C1402="","",IF(AND(MONTH(C1402)&gt;=1,MONTH(C1402)&lt;=3),1,IF(AND(MONTH(C1402)&gt;=4,MONTH(C1402)&lt;=6),2,IF(AND(MONTH(C1402)&gt;=7,MONTH(C1402)&lt;=9),3,4))))</f>
        <v>1</v>
      </c>
      <c r="D1403" s="1"/>
      <c r="E1403" s="92" t="s">
        <v>14822</v>
      </c>
      <c r="F1403" s="93"/>
    </row>
    <row r="1404" spans="1:10" ht="14.1" customHeight="1" x14ac:dyDescent="0.25">
      <c r="A1404" s="1"/>
      <c r="B1404" s="80" t="s">
        <v>13758</v>
      </c>
      <c r="C1404" s="90">
        <v>43553</v>
      </c>
      <c r="D1404" s="1"/>
      <c r="E1404" s="92" t="s">
        <v>18636</v>
      </c>
      <c r="F1404" s="93"/>
    </row>
    <row r="1405" spans="1:10" ht="14.1" customHeight="1" x14ac:dyDescent="0.25">
      <c r="A1405" s="1"/>
      <c r="B1405" s="80" t="s">
        <v>10788</v>
      </c>
      <c r="C1405" s="91">
        <f>IF(C1404="","",IF(AND(MONTH(C1404)&gt;=1,MONTH(C1404)&lt;=3),1,IF(AND(MONTH(C1404)&gt;=4,MONTH(C1404)&lt;=6),2,IF(AND(MONTH(C1404)&gt;=7,MONTH(C1404)&lt;=9),3,4))))</f>
        <v>1</v>
      </c>
      <c r="D1405" s="1"/>
      <c r="E1405" s="92" t="s">
        <v>15990</v>
      </c>
      <c r="F1405" s="93"/>
    </row>
    <row r="1407" spans="1:10" ht="14.1" customHeight="1" x14ac:dyDescent="0.25">
      <c r="A1407" s="85" t="s">
        <v>15474</v>
      </c>
      <c r="B1407" s="85" t="s">
        <v>5027</v>
      </c>
      <c r="C1407" s="85" t="s">
        <v>17461</v>
      </c>
      <c r="D1407" s="85" t="s">
        <v>3935</v>
      </c>
      <c r="E1407" s="85" t="s">
        <v>10722</v>
      </c>
      <c r="F1407" s="85" t="s">
        <v>18237</v>
      </c>
    </row>
    <row r="1408" spans="1:10" ht="14.1" customHeight="1" x14ac:dyDescent="0.25">
      <c r="A1408" s="94" t="s">
        <v>12504</v>
      </c>
      <c r="B1408" s="82" t="str">
        <f ca="1">IFERROR(INDEX(UNSPSCDes,MATCH(INDIRECT(ADDRESS(ROW(),COLUMN()-1,4)),UNSPSCCode,0)),IF(INDIRECT(ADDRESS(ROW(),COLUMN()-1,4))="51191604","Solución ringer lactato",""))</f>
        <v>Solución ringer lactato</v>
      </c>
      <c r="C1408" s="95" t="str">
        <f>IFERROR(VLOOKUP("UD",'Informacion '!P:Q,2,FALSE),"")</f>
        <v>Unidad</v>
      </c>
      <c r="D1408" s="94">
        <v>18</v>
      </c>
      <c r="E1408" s="84">
        <v>142.15</v>
      </c>
      <c r="F1408" s="83">
        <f t="shared" ref="F1408:F1419" ca="1" si="67">INDIRECT(ADDRESS(ROW(),COLUMN()-2,4))*INDIRECT(ADDRESS(ROW(),COLUMN()-1,4))</f>
        <v>2558.7000000000003</v>
      </c>
    </row>
    <row r="1409" spans="1:10" ht="14.1" customHeight="1" x14ac:dyDescent="0.25">
      <c r="A1409" s="94" t="s">
        <v>6559</v>
      </c>
      <c r="B1409" s="82" t="str">
        <f ca="1">IFERROR(INDEX(UNSPSCDes,MATCH(INDIRECT(ADDRESS(ROW(),COLUMN()-1,4)),UNSPSCCode,0)),IF(INDIRECT(ADDRESS(ROW(),COLUMN()-1,4))="51191601","Dextrosa",""))</f>
        <v>Dextrosa</v>
      </c>
      <c r="C1409" s="95" t="str">
        <f>IFERROR(VLOOKUP("UD",'Informacion '!P:Q,2,FALSE),"")</f>
        <v>Unidad</v>
      </c>
      <c r="D1409" s="94">
        <v>185</v>
      </c>
      <c r="E1409" s="84">
        <v>44.86</v>
      </c>
      <c r="F1409" s="83">
        <f t="shared" ca="1" si="67"/>
        <v>8299.1</v>
      </c>
    </row>
    <row r="1410" spans="1:10" ht="14.1" customHeight="1" x14ac:dyDescent="0.25">
      <c r="A1410" s="94" t="s">
        <v>6559</v>
      </c>
      <c r="B1410" s="82" t="str">
        <f ca="1">IFERROR(INDEX(UNSPSCDes,MATCH(INDIRECT(ADDRESS(ROW(),COLUMN()-1,4)),UNSPSCCode,0)),IF(INDIRECT(ADDRESS(ROW(),COLUMN()-1,4))="51191601","Dextrosa",""))</f>
        <v>Dextrosa</v>
      </c>
      <c r="C1410" s="95" t="str">
        <f>IFERROR(VLOOKUP("UD",'Informacion '!P:Q,2,FALSE),"")</f>
        <v>Unidad</v>
      </c>
      <c r="D1410" s="94">
        <v>346</v>
      </c>
      <c r="E1410" s="84">
        <v>39.17</v>
      </c>
      <c r="F1410" s="83">
        <f t="shared" ca="1" si="67"/>
        <v>13552.82</v>
      </c>
    </row>
    <row r="1411" spans="1:10" ht="14.1" customHeight="1" x14ac:dyDescent="0.25">
      <c r="A1411" s="94" t="s">
        <v>6559</v>
      </c>
      <c r="B1411" s="82" t="str">
        <f ca="1">IFERROR(INDEX(UNSPSCDes,MATCH(INDIRECT(ADDRESS(ROW(),COLUMN()-1,4)),UNSPSCCode,0)),IF(INDIRECT(ADDRESS(ROW(),COLUMN()-1,4))="51191601","Dextrosa",""))</f>
        <v>Dextrosa</v>
      </c>
      <c r="C1411" s="95" t="str">
        <f>IFERROR(VLOOKUP("UD",'Informacion '!P:Q,2,FALSE),"")</f>
        <v>Unidad</v>
      </c>
      <c r="D1411" s="94">
        <v>83</v>
      </c>
      <c r="E1411" s="84">
        <v>34.97</v>
      </c>
      <c r="F1411" s="83">
        <f t="shared" ca="1" si="67"/>
        <v>2902.5099999999998</v>
      </c>
    </row>
    <row r="1412" spans="1:10" ht="14.1" customHeight="1" x14ac:dyDescent="0.25">
      <c r="A1412" s="94" t="s">
        <v>9830</v>
      </c>
      <c r="B1412" s="82" t="str">
        <f ca="1">IFERROR(INDEX(UNSPSCDes,MATCH(INDIRECT(ADDRESS(ROW(),COLUMN()-1,4)),UNSPSCCode,0)),IF(INDIRECT(ADDRESS(ROW(),COLUMN()-1,4))="41113308","Analizadores de electrolitos",""))</f>
        <v>Analizadores de electrolitos</v>
      </c>
      <c r="C1412" s="95" t="str">
        <f>IFERROR(VLOOKUP("UD",'Informacion '!P:Q,2,FALSE),"")</f>
        <v>Unidad</v>
      </c>
      <c r="D1412" s="94">
        <v>3</v>
      </c>
      <c r="E1412" s="84">
        <v>620</v>
      </c>
      <c r="F1412" s="83">
        <f t="shared" ca="1" si="67"/>
        <v>1860</v>
      </c>
    </row>
    <row r="1413" spans="1:10" ht="14.1" customHeight="1" x14ac:dyDescent="0.25">
      <c r="A1413" s="94" t="s">
        <v>10112</v>
      </c>
      <c r="B1413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413" s="95" t="str">
        <f>IFERROR(VLOOKUP("UD",'Informacion '!P:Q,2,FALSE),"")</f>
        <v>Unidad</v>
      </c>
      <c r="D1413" s="94">
        <v>9950</v>
      </c>
      <c r="E1413" s="84">
        <v>60.32</v>
      </c>
      <c r="F1413" s="83">
        <f t="shared" ca="1" si="67"/>
        <v>600184</v>
      </c>
    </row>
    <row r="1414" spans="1:10" ht="14.1" customHeight="1" x14ac:dyDescent="0.25">
      <c r="A1414" s="94" t="s">
        <v>12504</v>
      </c>
      <c r="B1414" s="82" t="str">
        <f ca="1">IFERROR(INDEX(UNSPSCDes,MATCH(INDIRECT(ADDRESS(ROW(),COLUMN()-1,4)),UNSPSCCode,0)),IF(INDIRECT(ADDRESS(ROW(),COLUMN()-1,4))="51191604","Solución ringer lactato",""))</f>
        <v>Solución ringer lactato</v>
      </c>
      <c r="C1414" s="95" t="str">
        <f>IFERROR(VLOOKUP("UD",'Informacion '!P:Q,2,FALSE),"")</f>
        <v>Unidad</v>
      </c>
      <c r="D1414" s="94">
        <v>1</v>
      </c>
      <c r="E1414" s="84">
        <v>151.61000000000001</v>
      </c>
      <c r="F1414" s="83">
        <f t="shared" ca="1" si="67"/>
        <v>151.61000000000001</v>
      </c>
    </row>
    <row r="1415" spans="1:10" ht="14.1" customHeight="1" x14ac:dyDescent="0.25">
      <c r="A1415" s="94" t="s">
        <v>12748</v>
      </c>
      <c r="B1415" s="82" t="str">
        <f ca="1">IFERROR(INDEX(UNSPSCDes,MATCH(INDIRECT(ADDRESS(ROW(),COLUMN()-1,4)),UNSPSCCode,0)),IF(INDIRECT(ADDRESS(ROW(),COLUMN()-1,4))="51191805","Suplemento de potasio",""))</f>
        <v>Suplemento de potasio</v>
      </c>
      <c r="C1415" s="95" t="str">
        <f>IFERROR(VLOOKUP("UD",'Informacion '!P:Q,2,FALSE),"")</f>
        <v>Unidad</v>
      </c>
      <c r="D1415" s="94">
        <v>567</v>
      </c>
      <c r="E1415" s="84">
        <v>36.270000000000003</v>
      </c>
      <c r="F1415" s="83">
        <f t="shared" ca="1" si="67"/>
        <v>20565.09</v>
      </c>
    </row>
    <row r="1416" spans="1:10" ht="14.1" customHeight="1" x14ac:dyDescent="0.25">
      <c r="A1416" s="94" t="s">
        <v>9317</v>
      </c>
      <c r="B1416" s="82" t="str">
        <f ca="1">IFERROR(INDEX(UNSPSCDes,MATCH(INDIRECT(ADDRESS(ROW(),COLUMN()-1,4)),UNSPSCCode,0)),IF(INDIRECT(ADDRESS(ROW(),COLUMN()-1,4))="12352209","Aminoácidos o sus derivados",""))</f>
        <v>Aminoácidos o sus derivados</v>
      </c>
      <c r="C1416" s="95" t="str">
        <f>IFERROR(VLOOKUP("UD",'Informacion '!P:Q,2,FALSE),"")</f>
        <v>Unidad</v>
      </c>
      <c r="D1416" s="94">
        <v>23</v>
      </c>
      <c r="E1416" s="84">
        <v>590</v>
      </c>
      <c r="F1416" s="83">
        <f t="shared" ca="1" si="67"/>
        <v>13570</v>
      </c>
    </row>
    <row r="1417" spans="1:10" ht="14.1" customHeight="1" x14ac:dyDescent="0.25">
      <c r="A1417" s="94" t="s">
        <v>4122</v>
      </c>
      <c r="B1417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1417" s="95" t="str">
        <f>IFERROR(VLOOKUP("UD",'Informacion '!P:Q,2,FALSE),"")</f>
        <v>Unidad</v>
      </c>
      <c r="D1417" s="94">
        <v>19</v>
      </c>
      <c r="E1417" s="84">
        <v>1975.06</v>
      </c>
      <c r="F1417" s="83">
        <f t="shared" ca="1" si="67"/>
        <v>37526.14</v>
      </c>
    </row>
    <row r="1418" spans="1:10" ht="14.1" customHeight="1" x14ac:dyDescent="0.25">
      <c r="A1418" s="94" t="s">
        <v>4122</v>
      </c>
      <c r="B1418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1418" s="95" t="str">
        <f>IFERROR(VLOOKUP("UD",'Informacion '!P:Q,2,FALSE),"")</f>
        <v>Unidad</v>
      </c>
      <c r="D1418" s="94">
        <v>13</v>
      </c>
      <c r="E1418" s="84">
        <v>2010.96</v>
      </c>
      <c r="F1418" s="83">
        <f t="shared" ca="1" si="67"/>
        <v>26142.48</v>
      </c>
    </row>
    <row r="1419" spans="1:10" ht="14.1" customHeight="1" x14ac:dyDescent="0.25">
      <c r="A1419" s="94" t="s">
        <v>12504</v>
      </c>
      <c r="B1419" s="82" t="str">
        <f ca="1">IFERROR(INDEX(UNSPSCDes,MATCH(INDIRECT(ADDRESS(ROW(),COLUMN()-1,4)),UNSPSCCode,0)),IF(INDIRECT(ADDRESS(ROW(),COLUMN()-1,4))="51191604","Solución ringer lactato",""))</f>
        <v>Solución ringer lactato</v>
      </c>
      <c r="C1419" s="95" t="str">
        <f>IFERROR(VLOOKUP("UD",'Informacion '!P:Q,2,FALSE),"")</f>
        <v>Unidad</v>
      </c>
      <c r="D1419" s="94">
        <v>338</v>
      </c>
      <c r="E1419" s="84">
        <v>34.299999999999997</v>
      </c>
      <c r="F1419" s="83">
        <f t="shared" ca="1" si="67"/>
        <v>11593.4</v>
      </c>
    </row>
    <row r="1420" spans="1:10" ht="14.1" customHeight="1" x14ac:dyDescent="0.25">
      <c r="E1420" s="96" t="s">
        <v>7213</v>
      </c>
      <c r="F1420" s="87">
        <f ca="1">SUM(Table58[MONTO TOTAL ESTIMADO])</f>
        <v>738905.85</v>
      </c>
      <c r="H1420" s="39" t="str">
        <f>C1401</f>
        <v>Bienes</v>
      </c>
      <c r="I1420" s="39" t="str">
        <f>E1401</f>
        <v>No</v>
      </c>
      <c r="J1420" s="39" t="str">
        <f>D1401</f>
        <v>Compras Menores</v>
      </c>
    </row>
    <row r="1422" spans="1:10" ht="33.950000000000003" customHeight="1" x14ac:dyDescent="0.25">
      <c r="A1422" s="77" t="s">
        <v>17233</v>
      </c>
      <c r="B1422" s="77" t="s">
        <v>4237</v>
      </c>
      <c r="C1422" s="77" t="s">
        <v>4743</v>
      </c>
      <c r="D1422" s="77" t="s">
        <v>9891</v>
      </c>
      <c r="E1422" s="77" t="s">
        <v>3089</v>
      </c>
      <c r="F1422" s="77" t="s">
        <v>18141</v>
      </c>
    </row>
    <row r="1423" spans="1:10" ht="14.1" customHeight="1" x14ac:dyDescent="0.25">
      <c r="A1423" s="79" t="s">
        <v>16432</v>
      </c>
      <c r="B1423" s="79" t="s">
        <v>5309</v>
      </c>
      <c r="C1423" s="79" t="s">
        <v>17215</v>
      </c>
      <c r="D1423" s="79" t="s">
        <v>17798</v>
      </c>
      <c r="E1423" s="79" t="s">
        <v>18247</v>
      </c>
      <c r="F1423" s="79"/>
    </row>
    <row r="1424" spans="1:10" ht="14.1" customHeight="1" x14ac:dyDescent="0.25">
      <c r="A1424" s="2" t="s">
        <v>6643</v>
      </c>
      <c r="B1424" s="80" t="s">
        <v>1046</v>
      </c>
      <c r="C1424" s="90">
        <v>43557</v>
      </c>
      <c r="D1424" s="2" t="s">
        <v>59</v>
      </c>
      <c r="E1424" s="92" t="s">
        <v>20066</v>
      </c>
      <c r="F1424" s="93"/>
    </row>
    <row r="1425" spans="1:6" ht="14.1" customHeight="1" x14ac:dyDescent="0.25">
      <c r="A1425" s="1"/>
      <c r="B1425" s="80" t="s">
        <v>10788</v>
      </c>
      <c r="C1425" s="91">
        <f>IF(C1424="","",IF(AND(MONTH(C1424)&gt;=1,MONTH(C1424)&lt;=3),1,IF(AND(MONTH(C1424)&gt;=4,MONTH(C1424)&lt;=6),2,IF(AND(MONTH(C1424)&gt;=7,MONTH(C1424)&lt;=9),3,4))))</f>
        <v>2</v>
      </c>
      <c r="D1425" s="1"/>
      <c r="E1425" s="92" t="s">
        <v>14822</v>
      </c>
      <c r="F1425" s="93"/>
    </row>
    <row r="1426" spans="1:6" ht="14.1" customHeight="1" x14ac:dyDescent="0.25">
      <c r="A1426" s="1"/>
      <c r="B1426" s="80" t="s">
        <v>13758</v>
      </c>
      <c r="C1426" s="90">
        <v>43644</v>
      </c>
      <c r="D1426" s="1"/>
      <c r="E1426" s="92" t="s">
        <v>18636</v>
      </c>
      <c r="F1426" s="93"/>
    </row>
    <row r="1427" spans="1:6" ht="14.1" customHeight="1" x14ac:dyDescent="0.25">
      <c r="A1427" s="1"/>
      <c r="B1427" s="80" t="s">
        <v>10788</v>
      </c>
      <c r="C1427" s="91">
        <f>IF(C1426="","",IF(AND(MONTH(C1426)&gt;=1,MONTH(C1426)&lt;=3),1,IF(AND(MONTH(C1426)&gt;=4,MONTH(C1426)&lt;=6),2,IF(AND(MONTH(C1426)&gt;=7,MONTH(C1426)&lt;=9),3,4))))</f>
        <v>2</v>
      </c>
      <c r="D1427" s="1"/>
      <c r="E1427" s="92" t="s">
        <v>15990</v>
      </c>
      <c r="F1427" s="93"/>
    </row>
    <row r="1429" spans="1:6" ht="14.1" customHeight="1" x14ac:dyDescent="0.25">
      <c r="A1429" s="85" t="s">
        <v>15474</v>
      </c>
      <c r="B1429" s="85" t="s">
        <v>5027</v>
      </c>
      <c r="C1429" s="85" t="s">
        <v>17461</v>
      </c>
      <c r="D1429" s="85" t="s">
        <v>3935</v>
      </c>
      <c r="E1429" s="85" t="s">
        <v>10722</v>
      </c>
      <c r="F1429" s="85" t="s">
        <v>18237</v>
      </c>
    </row>
    <row r="1430" spans="1:6" ht="14.1" customHeight="1" x14ac:dyDescent="0.25">
      <c r="A1430" s="94" t="s">
        <v>12504</v>
      </c>
      <c r="B1430" s="82" t="str">
        <f ca="1">IFERROR(INDEX(UNSPSCDes,MATCH(INDIRECT(ADDRESS(ROW(),COLUMN()-1,4)),UNSPSCCode,0)),IF(INDIRECT(ADDRESS(ROW(),COLUMN()-1,4))="51191604","Solución ringer lactato",""))</f>
        <v>Solución ringer lactato</v>
      </c>
      <c r="C1430" s="95" t="str">
        <f>IFERROR(VLOOKUP("UD",'Informacion '!P:Q,2,FALSE),"")</f>
        <v>Unidad</v>
      </c>
      <c r="D1430" s="94">
        <v>19</v>
      </c>
      <c r="E1430" s="84">
        <v>142.15</v>
      </c>
      <c r="F1430" s="83">
        <f t="shared" ref="F1430:F1441" ca="1" si="68">INDIRECT(ADDRESS(ROW(),COLUMN()-2,4))*INDIRECT(ADDRESS(ROW(),COLUMN()-1,4))</f>
        <v>2700.85</v>
      </c>
    </row>
    <row r="1431" spans="1:6" ht="14.1" customHeight="1" x14ac:dyDescent="0.25">
      <c r="A1431" s="94" t="s">
        <v>6559</v>
      </c>
      <c r="B1431" s="82" t="str">
        <f ca="1">IFERROR(INDEX(UNSPSCDes,MATCH(INDIRECT(ADDRESS(ROW(),COLUMN()-1,4)),UNSPSCCode,0)),IF(INDIRECT(ADDRESS(ROW(),COLUMN()-1,4))="51191601","Dextrosa",""))</f>
        <v>Dextrosa</v>
      </c>
      <c r="C1431" s="95" t="str">
        <f>IFERROR(VLOOKUP("UD",'Informacion '!P:Q,2,FALSE),"")</f>
        <v>Unidad</v>
      </c>
      <c r="D1431" s="94">
        <v>189</v>
      </c>
      <c r="E1431" s="84">
        <v>44.86</v>
      </c>
      <c r="F1431" s="83">
        <f t="shared" ca="1" si="68"/>
        <v>8478.5399999999991</v>
      </c>
    </row>
    <row r="1432" spans="1:6" ht="14.1" customHeight="1" x14ac:dyDescent="0.25">
      <c r="A1432" s="94" t="s">
        <v>6559</v>
      </c>
      <c r="B1432" s="82" t="str">
        <f ca="1">IFERROR(INDEX(UNSPSCDes,MATCH(INDIRECT(ADDRESS(ROW(),COLUMN()-1,4)),UNSPSCCode,0)),IF(INDIRECT(ADDRESS(ROW(),COLUMN()-1,4))="51191601","Dextrosa",""))</f>
        <v>Dextrosa</v>
      </c>
      <c r="C1432" s="95" t="str">
        <f>IFERROR(VLOOKUP("UD",'Informacion '!P:Q,2,FALSE),"")</f>
        <v>Unidad</v>
      </c>
      <c r="D1432" s="94">
        <v>353</v>
      </c>
      <c r="E1432" s="84">
        <v>39.17</v>
      </c>
      <c r="F1432" s="83">
        <f t="shared" ca="1" si="68"/>
        <v>13827.01</v>
      </c>
    </row>
    <row r="1433" spans="1:6" ht="14.1" customHeight="1" x14ac:dyDescent="0.25">
      <c r="A1433" s="94" t="s">
        <v>6559</v>
      </c>
      <c r="B1433" s="82" t="str">
        <f ca="1">IFERROR(INDEX(UNSPSCDes,MATCH(INDIRECT(ADDRESS(ROW(),COLUMN()-1,4)),UNSPSCCode,0)),IF(INDIRECT(ADDRESS(ROW(),COLUMN()-1,4))="51191601","Dextrosa",""))</f>
        <v>Dextrosa</v>
      </c>
      <c r="C1433" s="95" t="str">
        <f>IFERROR(VLOOKUP("UD",'Informacion '!P:Q,2,FALSE),"")</f>
        <v>Unidad</v>
      </c>
      <c r="D1433" s="94">
        <v>85</v>
      </c>
      <c r="E1433" s="84">
        <v>34.97</v>
      </c>
      <c r="F1433" s="83">
        <f t="shared" ca="1" si="68"/>
        <v>2972.45</v>
      </c>
    </row>
    <row r="1434" spans="1:6" ht="14.1" customHeight="1" x14ac:dyDescent="0.25">
      <c r="A1434" s="94" t="s">
        <v>9830</v>
      </c>
      <c r="B1434" s="82" t="str">
        <f ca="1">IFERROR(INDEX(UNSPSCDes,MATCH(INDIRECT(ADDRESS(ROW(),COLUMN()-1,4)),UNSPSCCode,0)),IF(INDIRECT(ADDRESS(ROW(),COLUMN()-1,4))="41113308","Analizadores de electrolitos",""))</f>
        <v>Analizadores de electrolitos</v>
      </c>
      <c r="C1434" s="95" t="str">
        <f>IFERROR(VLOOKUP("UD",'Informacion '!P:Q,2,FALSE),"")</f>
        <v>Unidad</v>
      </c>
      <c r="D1434" s="94">
        <v>4</v>
      </c>
      <c r="E1434" s="84">
        <v>620</v>
      </c>
      <c r="F1434" s="83">
        <f t="shared" ca="1" si="68"/>
        <v>2480</v>
      </c>
    </row>
    <row r="1435" spans="1:6" ht="14.1" customHeight="1" x14ac:dyDescent="0.25">
      <c r="A1435" s="94" t="s">
        <v>10112</v>
      </c>
      <c r="B143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435" s="95" t="str">
        <f>IFERROR(VLOOKUP("UD",'Informacion '!P:Q,2,FALSE),"")</f>
        <v>Unidad</v>
      </c>
      <c r="D1435" s="94">
        <v>10149</v>
      </c>
      <c r="E1435" s="84">
        <v>60.32</v>
      </c>
      <c r="F1435" s="83">
        <f t="shared" ca="1" si="68"/>
        <v>612187.68000000005</v>
      </c>
    </row>
    <row r="1436" spans="1:6" ht="14.1" customHeight="1" x14ac:dyDescent="0.25">
      <c r="A1436" s="94" t="s">
        <v>12504</v>
      </c>
      <c r="B1436" s="82" t="str">
        <f ca="1">IFERROR(INDEX(UNSPSCDes,MATCH(INDIRECT(ADDRESS(ROW(),COLUMN()-1,4)),UNSPSCCode,0)),IF(INDIRECT(ADDRESS(ROW(),COLUMN()-1,4))="51191604","Solución ringer lactato",""))</f>
        <v>Solución ringer lactato</v>
      </c>
      <c r="C1436" s="95" t="str">
        <f>IFERROR(VLOOKUP("UD",'Informacion '!P:Q,2,FALSE),"")</f>
        <v>Unidad</v>
      </c>
      <c r="D1436" s="94">
        <v>2</v>
      </c>
      <c r="E1436" s="84">
        <v>151.61000000000001</v>
      </c>
      <c r="F1436" s="83">
        <f t="shared" ca="1" si="68"/>
        <v>303.22000000000003</v>
      </c>
    </row>
    <row r="1437" spans="1:6" ht="14.1" customHeight="1" x14ac:dyDescent="0.25">
      <c r="A1437" s="94" t="s">
        <v>12748</v>
      </c>
      <c r="B1437" s="82" t="str">
        <f ca="1">IFERROR(INDEX(UNSPSCDes,MATCH(INDIRECT(ADDRESS(ROW(),COLUMN()-1,4)),UNSPSCCode,0)),IF(INDIRECT(ADDRESS(ROW(),COLUMN()-1,4))="51191805","Suplemento de potasio",""))</f>
        <v>Suplemento de potasio</v>
      </c>
      <c r="C1437" s="95" t="str">
        <f>IFERROR(VLOOKUP("UD",'Informacion '!P:Q,2,FALSE),"")</f>
        <v>Unidad</v>
      </c>
      <c r="D1437" s="94">
        <v>579</v>
      </c>
      <c r="E1437" s="84">
        <v>36.270000000000003</v>
      </c>
      <c r="F1437" s="83">
        <f t="shared" ca="1" si="68"/>
        <v>21000.33</v>
      </c>
    </row>
    <row r="1438" spans="1:6" ht="14.1" customHeight="1" x14ac:dyDescent="0.25">
      <c r="A1438" s="94" t="s">
        <v>9317</v>
      </c>
      <c r="B1438" s="82" t="str">
        <f ca="1">IFERROR(INDEX(UNSPSCDes,MATCH(INDIRECT(ADDRESS(ROW(),COLUMN()-1,4)),UNSPSCCode,0)),IF(INDIRECT(ADDRESS(ROW(),COLUMN()-1,4))="12352209","Aminoácidos o sus derivados",""))</f>
        <v>Aminoácidos o sus derivados</v>
      </c>
      <c r="C1438" s="95" t="str">
        <f>IFERROR(VLOOKUP("UD",'Informacion '!P:Q,2,FALSE),"")</f>
        <v>Unidad</v>
      </c>
      <c r="D1438" s="94">
        <v>24</v>
      </c>
      <c r="E1438" s="84">
        <v>590</v>
      </c>
      <c r="F1438" s="83">
        <f t="shared" ca="1" si="68"/>
        <v>14160</v>
      </c>
    </row>
    <row r="1439" spans="1:6" ht="14.1" customHeight="1" x14ac:dyDescent="0.25">
      <c r="A1439" s="94" t="s">
        <v>4122</v>
      </c>
      <c r="B1439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1439" s="95" t="str">
        <f>IFERROR(VLOOKUP("UD",'Informacion '!P:Q,2,FALSE),"")</f>
        <v>Unidad</v>
      </c>
      <c r="D1439" s="94">
        <v>20</v>
      </c>
      <c r="E1439" s="84">
        <v>1975.06</v>
      </c>
      <c r="F1439" s="83">
        <f t="shared" ca="1" si="68"/>
        <v>39501.199999999997</v>
      </c>
    </row>
    <row r="1440" spans="1:6" ht="14.1" customHeight="1" x14ac:dyDescent="0.25">
      <c r="A1440" s="94" t="s">
        <v>4122</v>
      </c>
      <c r="B1440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1440" s="95" t="str">
        <f>IFERROR(VLOOKUP("UD",'Informacion '!P:Q,2,FALSE),"")</f>
        <v>Unidad</v>
      </c>
      <c r="D1440" s="94">
        <v>14</v>
      </c>
      <c r="E1440" s="84">
        <v>2010.96</v>
      </c>
      <c r="F1440" s="83">
        <f t="shared" ca="1" si="68"/>
        <v>28153.440000000002</v>
      </c>
    </row>
    <row r="1441" spans="1:10" ht="14.1" customHeight="1" x14ac:dyDescent="0.25">
      <c r="A1441" s="94" t="s">
        <v>12504</v>
      </c>
      <c r="B1441" s="82" t="str">
        <f ca="1">IFERROR(INDEX(UNSPSCDes,MATCH(INDIRECT(ADDRESS(ROW(),COLUMN()-1,4)),UNSPSCCode,0)),IF(INDIRECT(ADDRESS(ROW(),COLUMN()-1,4))="51191604","Solución ringer lactato",""))</f>
        <v>Solución ringer lactato</v>
      </c>
      <c r="C1441" s="95" t="str">
        <f>IFERROR(VLOOKUP("UD",'Informacion '!P:Q,2,FALSE),"")</f>
        <v>Unidad</v>
      </c>
      <c r="D1441" s="94">
        <v>345</v>
      </c>
      <c r="E1441" s="84">
        <v>34.299999999999997</v>
      </c>
      <c r="F1441" s="83">
        <f t="shared" ca="1" si="68"/>
        <v>11833.499999999998</v>
      </c>
    </row>
    <row r="1442" spans="1:10" ht="14.1" customHeight="1" x14ac:dyDescent="0.25">
      <c r="E1442" s="96" t="s">
        <v>7213</v>
      </c>
      <c r="F1442" s="87">
        <f ca="1">SUM(Table59[MONTO TOTAL ESTIMADO])</f>
        <v>757598.22</v>
      </c>
      <c r="H1442" s="39" t="str">
        <f>C1423</f>
        <v>Bienes</v>
      </c>
      <c r="I1442" s="39" t="str">
        <f>E1423</f>
        <v>No</v>
      </c>
      <c r="J1442" s="39" t="str">
        <f>D1423</f>
        <v>Compras Menores</v>
      </c>
    </row>
    <row r="1444" spans="1:10" ht="33.950000000000003" customHeight="1" x14ac:dyDescent="0.25">
      <c r="A1444" s="77" t="s">
        <v>17233</v>
      </c>
      <c r="B1444" s="77" t="s">
        <v>4237</v>
      </c>
      <c r="C1444" s="77" t="s">
        <v>4743</v>
      </c>
      <c r="D1444" s="77" t="s">
        <v>9891</v>
      </c>
      <c r="E1444" s="77" t="s">
        <v>3089</v>
      </c>
      <c r="F1444" s="77" t="s">
        <v>18141</v>
      </c>
    </row>
    <row r="1445" spans="1:10" ht="14.1" customHeight="1" x14ac:dyDescent="0.25">
      <c r="A1445" s="79" t="s">
        <v>6653</v>
      </c>
      <c r="B1445" s="79" t="s">
        <v>10037</v>
      </c>
      <c r="C1445" s="79" t="s">
        <v>17215</v>
      </c>
      <c r="D1445" s="79" t="s">
        <v>17798</v>
      </c>
      <c r="E1445" s="79" t="s">
        <v>18247</v>
      </c>
      <c r="F1445" s="79"/>
    </row>
    <row r="1446" spans="1:10" ht="14.1" customHeight="1" x14ac:dyDescent="0.25">
      <c r="A1446" s="2" t="s">
        <v>6643</v>
      </c>
      <c r="B1446" s="80" t="s">
        <v>1046</v>
      </c>
      <c r="C1446" s="90">
        <v>43648</v>
      </c>
      <c r="D1446" s="2" t="s">
        <v>59</v>
      </c>
      <c r="E1446" s="92" t="s">
        <v>20066</v>
      </c>
      <c r="F1446" s="93"/>
    </row>
    <row r="1447" spans="1:10" ht="14.1" customHeight="1" x14ac:dyDescent="0.25">
      <c r="A1447" s="1"/>
      <c r="B1447" s="80" t="s">
        <v>10788</v>
      </c>
      <c r="C1447" s="91">
        <f>IF(C1446="","",IF(AND(MONTH(C1446)&gt;=1,MONTH(C1446)&lt;=3),1,IF(AND(MONTH(C1446)&gt;=4,MONTH(C1446)&lt;=6),2,IF(AND(MONTH(C1446)&gt;=7,MONTH(C1446)&lt;=9),3,4))))</f>
        <v>3</v>
      </c>
      <c r="D1447" s="1"/>
      <c r="E1447" s="92" t="s">
        <v>14822</v>
      </c>
      <c r="F1447" s="93"/>
    </row>
    <row r="1448" spans="1:10" ht="14.1" customHeight="1" x14ac:dyDescent="0.25">
      <c r="A1448" s="1"/>
      <c r="B1448" s="80" t="s">
        <v>13758</v>
      </c>
      <c r="C1448" s="90">
        <v>43738</v>
      </c>
      <c r="D1448" s="1"/>
      <c r="E1448" s="92" t="s">
        <v>18636</v>
      </c>
      <c r="F1448" s="93"/>
    </row>
    <row r="1449" spans="1:10" ht="14.1" customHeight="1" x14ac:dyDescent="0.25">
      <c r="A1449" s="1"/>
      <c r="B1449" s="80" t="s">
        <v>10788</v>
      </c>
      <c r="C1449" s="91">
        <f>IF(C1448="","",IF(AND(MONTH(C1448)&gt;=1,MONTH(C1448)&lt;=3),1,IF(AND(MONTH(C1448)&gt;=4,MONTH(C1448)&lt;=6),2,IF(AND(MONTH(C1448)&gt;=7,MONTH(C1448)&lt;=9),3,4))))</f>
        <v>3</v>
      </c>
      <c r="D1449" s="1"/>
      <c r="E1449" s="92" t="s">
        <v>15990</v>
      </c>
      <c r="F1449" s="93"/>
    </row>
    <row r="1451" spans="1:10" ht="14.1" customHeight="1" x14ac:dyDescent="0.25">
      <c r="A1451" s="85" t="s">
        <v>15474</v>
      </c>
      <c r="B1451" s="85" t="s">
        <v>5027</v>
      </c>
      <c r="C1451" s="85" t="s">
        <v>17461</v>
      </c>
      <c r="D1451" s="85" t="s">
        <v>3935</v>
      </c>
      <c r="E1451" s="85" t="s">
        <v>10722</v>
      </c>
      <c r="F1451" s="85" t="s">
        <v>18237</v>
      </c>
    </row>
    <row r="1452" spans="1:10" ht="14.1" customHeight="1" x14ac:dyDescent="0.25">
      <c r="A1452" s="94" t="s">
        <v>12504</v>
      </c>
      <c r="B1452" s="82" t="str">
        <f ca="1">IFERROR(INDEX(UNSPSCDes,MATCH(INDIRECT(ADDRESS(ROW(),COLUMN()-1,4)),UNSPSCCode,0)),IF(INDIRECT(ADDRESS(ROW(),COLUMN()-1,4))="51191604","Solución ringer lactato",""))</f>
        <v>Solución ringer lactato</v>
      </c>
      <c r="C1452" s="95" t="str">
        <f>IFERROR(VLOOKUP("UD",'Informacion '!P:Q,2,FALSE),"")</f>
        <v>Unidad</v>
      </c>
      <c r="D1452" s="94">
        <v>20</v>
      </c>
      <c r="E1452" s="84">
        <v>142.15</v>
      </c>
      <c r="F1452" s="83">
        <f t="shared" ref="F1452:F1463" ca="1" si="69">INDIRECT(ADDRESS(ROW(),COLUMN()-2,4))*INDIRECT(ADDRESS(ROW(),COLUMN()-1,4))</f>
        <v>2843</v>
      </c>
    </row>
    <row r="1453" spans="1:10" ht="14.1" customHeight="1" x14ac:dyDescent="0.25">
      <c r="A1453" s="94" t="s">
        <v>6559</v>
      </c>
      <c r="B1453" s="82" t="str">
        <f ca="1">IFERROR(INDEX(UNSPSCDes,MATCH(INDIRECT(ADDRESS(ROW(),COLUMN()-1,4)),UNSPSCCode,0)),IF(INDIRECT(ADDRESS(ROW(),COLUMN()-1,4))="51191601","Dextrosa",""))</f>
        <v>Dextrosa</v>
      </c>
      <c r="C1453" s="95" t="str">
        <f>IFERROR(VLOOKUP("UD",'Informacion '!P:Q,2,FALSE),"")</f>
        <v>Unidad</v>
      </c>
      <c r="D1453" s="94">
        <v>193</v>
      </c>
      <c r="E1453" s="84">
        <v>44.86</v>
      </c>
      <c r="F1453" s="83">
        <f t="shared" ca="1" si="69"/>
        <v>8657.98</v>
      </c>
    </row>
    <row r="1454" spans="1:10" ht="14.1" customHeight="1" x14ac:dyDescent="0.25">
      <c r="A1454" s="94" t="s">
        <v>6559</v>
      </c>
      <c r="B1454" s="82" t="str">
        <f ca="1">IFERROR(INDEX(UNSPSCDes,MATCH(INDIRECT(ADDRESS(ROW(),COLUMN()-1,4)),UNSPSCCode,0)),IF(INDIRECT(ADDRESS(ROW(),COLUMN()-1,4))="51191601","Dextrosa",""))</f>
        <v>Dextrosa</v>
      </c>
      <c r="C1454" s="95" t="str">
        <f>IFERROR(VLOOKUP("UD",'Informacion '!P:Q,2,FALSE),"")</f>
        <v>Unidad</v>
      </c>
      <c r="D1454" s="94">
        <v>361</v>
      </c>
      <c r="E1454" s="84">
        <v>39.17</v>
      </c>
      <c r="F1454" s="83">
        <f t="shared" ca="1" si="69"/>
        <v>14140.37</v>
      </c>
    </row>
    <row r="1455" spans="1:10" ht="14.1" customHeight="1" x14ac:dyDescent="0.25">
      <c r="A1455" s="94" t="s">
        <v>6559</v>
      </c>
      <c r="B1455" s="82" t="str">
        <f ca="1">IFERROR(INDEX(UNSPSCDes,MATCH(INDIRECT(ADDRESS(ROW(),COLUMN()-1,4)),UNSPSCCode,0)),IF(INDIRECT(ADDRESS(ROW(),COLUMN()-1,4))="51191601","Dextrosa",""))</f>
        <v>Dextrosa</v>
      </c>
      <c r="C1455" s="95" t="str">
        <f>IFERROR(VLOOKUP("UD",'Informacion '!P:Q,2,FALSE),"")</f>
        <v>Unidad</v>
      </c>
      <c r="D1455" s="94">
        <v>87</v>
      </c>
      <c r="E1455" s="84">
        <v>34.97</v>
      </c>
      <c r="F1455" s="83">
        <f t="shared" ca="1" si="69"/>
        <v>3042.39</v>
      </c>
    </row>
    <row r="1456" spans="1:10" ht="14.1" customHeight="1" x14ac:dyDescent="0.25">
      <c r="A1456" s="94" t="s">
        <v>9830</v>
      </c>
      <c r="B1456" s="82" t="str">
        <f ca="1">IFERROR(INDEX(UNSPSCDes,MATCH(INDIRECT(ADDRESS(ROW(),COLUMN()-1,4)),UNSPSCCode,0)),IF(INDIRECT(ADDRESS(ROW(),COLUMN()-1,4))="41113308","Analizadores de electrolitos",""))</f>
        <v>Analizadores de electrolitos</v>
      </c>
      <c r="C1456" s="95" t="str">
        <f>IFERROR(VLOOKUP("UD",'Informacion '!P:Q,2,FALSE),"")</f>
        <v>Unidad</v>
      </c>
      <c r="D1456" s="94">
        <v>5</v>
      </c>
      <c r="E1456" s="84">
        <v>620</v>
      </c>
      <c r="F1456" s="83">
        <f t="shared" ca="1" si="69"/>
        <v>3100</v>
      </c>
    </row>
    <row r="1457" spans="1:10" ht="14.1" customHeight="1" x14ac:dyDescent="0.25">
      <c r="A1457" s="94" t="s">
        <v>10112</v>
      </c>
      <c r="B1457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457" s="95" t="str">
        <f>IFERROR(VLOOKUP("UD",'Informacion '!P:Q,2,FALSE),"")</f>
        <v>Unidad</v>
      </c>
      <c r="D1457" s="94">
        <v>10352</v>
      </c>
      <c r="E1457" s="84">
        <v>60.32</v>
      </c>
      <c r="F1457" s="83">
        <f t="shared" ca="1" si="69"/>
        <v>624432.64000000001</v>
      </c>
    </row>
    <row r="1458" spans="1:10" ht="14.1" customHeight="1" x14ac:dyDescent="0.25">
      <c r="A1458" s="94" t="s">
        <v>12504</v>
      </c>
      <c r="B1458" s="82" t="str">
        <f ca="1">IFERROR(INDEX(UNSPSCDes,MATCH(INDIRECT(ADDRESS(ROW(),COLUMN()-1,4)),UNSPSCCode,0)),IF(INDIRECT(ADDRESS(ROW(),COLUMN()-1,4))="51191604","Solución ringer lactato",""))</f>
        <v>Solución ringer lactato</v>
      </c>
      <c r="C1458" s="95" t="str">
        <f>IFERROR(VLOOKUP("UD",'Informacion '!P:Q,2,FALSE),"")</f>
        <v>Unidad</v>
      </c>
      <c r="D1458" s="94">
        <v>3</v>
      </c>
      <c r="E1458" s="84">
        <v>151.61000000000001</v>
      </c>
      <c r="F1458" s="83">
        <f t="shared" ca="1" si="69"/>
        <v>454.83000000000004</v>
      </c>
    </row>
    <row r="1459" spans="1:10" ht="14.1" customHeight="1" x14ac:dyDescent="0.25">
      <c r="A1459" s="94" t="s">
        <v>12748</v>
      </c>
      <c r="B1459" s="82" t="str">
        <f ca="1">IFERROR(INDEX(UNSPSCDes,MATCH(INDIRECT(ADDRESS(ROW(),COLUMN()-1,4)),UNSPSCCode,0)),IF(INDIRECT(ADDRESS(ROW(),COLUMN()-1,4))="51191805","Suplemento de potasio",""))</f>
        <v>Suplemento de potasio</v>
      </c>
      <c r="C1459" s="95" t="str">
        <f>IFERROR(VLOOKUP("UD",'Informacion '!P:Q,2,FALSE),"")</f>
        <v>Unidad</v>
      </c>
      <c r="D1459" s="94">
        <v>591</v>
      </c>
      <c r="E1459" s="84">
        <v>36.270000000000003</v>
      </c>
      <c r="F1459" s="83">
        <f t="shared" ca="1" si="69"/>
        <v>21435.570000000003</v>
      </c>
    </row>
    <row r="1460" spans="1:10" ht="14.1" customHeight="1" x14ac:dyDescent="0.25">
      <c r="A1460" s="94" t="s">
        <v>4122</v>
      </c>
      <c r="B1460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1460" s="95" t="str">
        <f>IFERROR(VLOOKUP("UD",'Informacion '!P:Q,2,FALSE),"")</f>
        <v>Unidad</v>
      </c>
      <c r="D1460" s="94">
        <v>21</v>
      </c>
      <c r="E1460" s="84">
        <v>1975.06</v>
      </c>
      <c r="F1460" s="83">
        <f t="shared" ca="1" si="69"/>
        <v>41476.26</v>
      </c>
    </row>
    <row r="1461" spans="1:10" ht="14.1" customHeight="1" x14ac:dyDescent="0.25">
      <c r="A1461" s="94" t="s">
        <v>9317</v>
      </c>
      <c r="B1461" s="82" t="str">
        <f ca="1">IFERROR(INDEX(UNSPSCDes,MATCH(INDIRECT(ADDRESS(ROW(),COLUMN()-1,4)),UNSPSCCode,0)),IF(INDIRECT(ADDRESS(ROW(),COLUMN()-1,4))="12352209","Aminoácidos o sus derivados",""))</f>
        <v>Aminoácidos o sus derivados</v>
      </c>
      <c r="C1461" s="95" t="str">
        <f>IFERROR(VLOOKUP("UD",'Informacion '!P:Q,2,FALSE),"")</f>
        <v>Unidad</v>
      </c>
      <c r="D1461" s="94">
        <v>25</v>
      </c>
      <c r="E1461" s="84">
        <v>590</v>
      </c>
      <c r="F1461" s="83">
        <f t="shared" ca="1" si="69"/>
        <v>14750</v>
      </c>
    </row>
    <row r="1462" spans="1:10" ht="14.1" customHeight="1" x14ac:dyDescent="0.25">
      <c r="A1462" s="94" t="s">
        <v>4122</v>
      </c>
      <c r="B1462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1462" s="95" t="str">
        <f>IFERROR(VLOOKUP("UD",'Informacion '!P:Q,2,FALSE),"")</f>
        <v>Unidad</v>
      </c>
      <c r="D1462" s="94">
        <v>15</v>
      </c>
      <c r="E1462" s="84">
        <v>2010.96</v>
      </c>
      <c r="F1462" s="83">
        <f t="shared" ca="1" si="69"/>
        <v>30164.400000000001</v>
      </c>
    </row>
    <row r="1463" spans="1:10" ht="14.1" customHeight="1" x14ac:dyDescent="0.25">
      <c r="A1463" s="94" t="s">
        <v>12504</v>
      </c>
      <c r="B1463" s="82" t="str">
        <f ca="1">IFERROR(INDEX(UNSPSCDes,MATCH(INDIRECT(ADDRESS(ROW(),COLUMN()-1,4)),UNSPSCCode,0)),IF(INDIRECT(ADDRESS(ROW(),COLUMN()-1,4))="51191604","Solución ringer lactato",""))</f>
        <v>Solución ringer lactato</v>
      </c>
      <c r="C1463" s="95" t="str">
        <f>IFERROR(VLOOKUP("UD",'Informacion '!P:Q,2,FALSE),"")</f>
        <v>Unidad</v>
      </c>
      <c r="D1463" s="94">
        <v>352</v>
      </c>
      <c r="E1463" s="84">
        <v>34.299999999999997</v>
      </c>
      <c r="F1463" s="83">
        <f t="shared" ca="1" si="69"/>
        <v>12073.599999999999</v>
      </c>
    </row>
    <row r="1464" spans="1:10" ht="14.1" customHeight="1" x14ac:dyDescent="0.25">
      <c r="E1464" s="96" t="s">
        <v>7213</v>
      </c>
      <c r="F1464" s="87">
        <f ca="1">SUM(Table60[MONTO TOTAL ESTIMADO])</f>
        <v>776571.03999999992</v>
      </c>
      <c r="H1464" s="39" t="str">
        <f>C1445</f>
        <v>Bienes</v>
      </c>
      <c r="I1464" s="39" t="str">
        <f>E1445</f>
        <v>No</v>
      </c>
      <c r="J1464" s="39" t="str">
        <f>D1445</f>
        <v>Compras Menores</v>
      </c>
    </row>
    <row r="1466" spans="1:10" ht="33.950000000000003" customHeight="1" x14ac:dyDescent="0.25">
      <c r="A1466" s="77" t="s">
        <v>17233</v>
      </c>
      <c r="B1466" s="77" t="s">
        <v>4237</v>
      </c>
      <c r="C1466" s="77" t="s">
        <v>4743</v>
      </c>
      <c r="D1466" s="77" t="s">
        <v>9891</v>
      </c>
      <c r="E1466" s="77" t="s">
        <v>3089</v>
      </c>
      <c r="F1466" s="77" t="s">
        <v>18141</v>
      </c>
    </row>
    <row r="1467" spans="1:10" ht="14.1" customHeight="1" x14ac:dyDescent="0.25">
      <c r="A1467" s="79" t="s">
        <v>2414</v>
      </c>
      <c r="B1467" s="79" t="s">
        <v>8343</v>
      </c>
      <c r="C1467" s="79" t="s">
        <v>17215</v>
      </c>
      <c r="D1467" s="79" t="s">
        <v>17798</v>
      </c>
      <c r="E1467" s="79" t="s">
        <v>18247</v>
      </c>
      <c r="F1467" s="79"/>
    </row>
    <row r="1468" spans="1:10" ht="14.1" customHeight="1" x14ac:dyDescent="0.25">
      <c r="A1468" s="2" t="s">
        <v>6643</v>
      </c>
      <c r="B1468" s="80" t="s">
        <v>1046</v>
      </c>
      <c r="C1468" s="90">
        <v>43466</v>
      </c>
      <c r="D1468" s="2" t="s">
        <v>59</v>
      </c>
      <c r="E1468" s="92" t="s">
        <v>20066</v>
      </c>
      <c r="F1468" s="93" t="s">
        <v>5684</v>
      </c>
    </row>
    <row r="1469" spans="1:10" ht="14.1" customHeight="1" x14ac:dyDescent="0.25">
      <c r="A1469" s="1"/>
      <c r="B1469" s="80" t="s">
        <v>10788</v>
      </c>
      <c r="C1469" s="91">
        <f>IF(C1468="","",IF(AND(MONTH(C1468)&gt;=1,MONTH(C1468)&lt;=3),1,IF(AND(MONTH(C1468)&gt;=4,MONTH(C1468)&lt;=6),2,IF(AND(MONTH(C1468)&gt;=7,MONTH(C1468)&lt;=9),3,4))))</f>
        <v>1</v>
      </c>
      <c r="D1469" s="1"/>
      <c r="E1469" s="92" t="s">
        <v>14822</v>
      </c>
      <c r="F1469" s="93" t="s">
        <v>17690</v>
      </c>
    </row>
    <row r="1470" spans="1:10" ht="14.1" customHeight="1" x14ac:dyDescent="0.25">
      <c r="A1470" s="1"/>
      <c r="B1470" s="80" t="s">
        <v>13758</v>
      </c>
      <c r="C1470" s="90">
        <v>43553</v>
      </c>
      <c r="D1470" s="1"/>
      <c r="E1470" s="92" t="s">
        <v>18636</v>
      </c>
      <c r="F1470" s="93" t="s">
        <v>17690</v>
      </c>
    </row>
    <row r="1471" spans="1:10" ht="14.1" customHeight="1" x14ac:dyDescent="0.25">
      <c r="A1471" s="1"/>
      <c r="B1471" s="80" t="s">
        <v>10788</v>
      </c>
      <c r="C1471" s="91">
        <f>IF(C1470="","",IF(AND(MONTH(C1470)&gt;=1,MONTH(C1470)&lt;=3),1,IF(AND(MONTH(C1470)&gt;=4,MONTH(C1470)&lt;=6),2,IF(AND(MONTH(C1470)&gt;=7,MONTH(C1470)&lt;=9),3,4))))</f>
        <v>1</v>
      </c>
      <c r="D1471" s="1"/>
      <c r="E1471" s="92" t="s">
        <v>15990</v>
      </c>
      <c r="F1471" s="93"/>
    </row>
    <row r="1473" spans="1:10" ht="14.1" customHeight="1" x14ac:dyDescent="0.25">
      <c r="A1473" s="85" t="s">
        <v>15474</v>
      </c>
      <c r="B1473" s="85" t="s">
        <v>5027</v>
      </c>
      <c r="C1473" s="85" t="s">
        <v>17461</v>
      </c>
      <c r="D1473" s="85" t="s">
        <v>3935</v>
      </c>
      <c r="E1473" s="85" t="s">
        <v>10722</v>
      </c>
      <c r="F1473" s="85" t="s">
        <v>18237</v>
      </c>
    </row>
    <row r="1474" spans="1:10" ht="14.1" customHeight="1" x14ac:dyDescent="0.25">
      <c r="A1474" s="94" t="s">
        <v>13151</v>
      </c>
      <c r="B1474" s="82" t="str">
        <f ca="1">IFERROR(INDEX(UNSPSCDes,MATCH(INDIRECT(ADDRESS(ROW(),COLUMN()-1,4)),UNSPSCCode,0)),IF(INDIRECT(ADDRESS(ROW(),COLUMN()-1,4))="50111510","Carne de ave o carne fresca",""))</f>
        <v>Carne de ave o carne fresca</v>
      </c>
      <c r="C1474" s="95" t="str">
        <f>IFERROR(VLOOKUP("LB",'Informacion '!P:Q,2,FALSE),"")</f>
        <v>Libra </v>
      </c>
      <c r="D1474" s="94">
        <v>60</v>
      </c>
      <c r="E1474" s="84">
        <v>80</v>
      </c>
      <c r="F1474" s="83">
        <f t="shared" ref="F1474:F1484" ca="1" si="70">INDIRECT(ADDRESS(ROW(),COLUMN()-2,4))*INDIRECT(ADDRESS(ROW(),COLUMN()-1,4))</f>
        <v>4800</v>
      </c>
    </row>
    <row r="1475" spans="1:10" ht="14.1" customHeight="1" x14ac:dyDescent="0.25">
      <c r="A1475" s="94" t="s">
        <v>13151</v>
      </c>
      <c r="B1475" s="82" t="str">
        <f ca="1">IFERROR(INDEX(UNSPSCDes,MATCH(INDIRECT(ADDRESS(ROW(),COLUMN()-1,4)),UNSPSCCode,0)),IF(INDIRECT(ADDRESS(ROW(),COLUMN()-1,4))="50111510","Carne de ave o carne fresca",""))</f>
        <v>Carne de ave o carne fresca</v>
      </c>
      <c r="C1475" s="95" t="str">
        <f>IFERROR(VLOOKUP("LB",'Informacion '!P:Q,2,FALSE),"")</f>
        <v>Libra </v>
      </c>
      <c r="D1475" s="94">
        <v>2970</v>
      </c>
      <c r="E1475" s="84">
        <v>45</v>
      </c>
      <c r="F1475" s="83">
        <f t="shared" ca="1" si="70"/>
        <v>133650</v>
      </c>
    </row>
    <row r="1476" spans="1:10" ht="14.1" customHeight="1" x14ac:dyDescent="0.25">
      <c r="A1476" s="94" t="s">
        <v>16044</v>
      </c>
      <c r="B1476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476" s="95" t="str">
        <f>IFERROR(VLOOKUP("LB",'Informacion '!P:Q,2,FALSE),"")</f>
        <v>Libra </v>
      </c>
      <c r="D1476" s="94">
        <v>1815</v>
      </c>
      <c r="E1476" s="84">
        <v>141</v>
      </c>
      <c r="F1476" s="83">
        <f t="shared" ca="1" si="70"/>
        <v>255915</v>
      </c>
    </row>
    <row r="1477" spans="1:10" ht="14.1" customHeight="1" x14ac:dyDescent="0.25">
      <c r="A1477" s="94" t="s">
        <v>16044</v>
      </c>
      <c r="B1477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477" s="95" t="str">
        <f>IFERROR(VLOOKUP("LB",'Informacion '!P:Q,2,FALSE),"")</f>
        <v>Libra </v>
      </c>
      <c r="D1477" s="94">
        <v>1710</v>
      </c>
      <c r="E1477" s="84">
        <v>105</v>
      </c>
      <c r="F1477" s="83">
        <f t="shared" ca="1" si="70"/>
        <v>179550</v>
      </c>
    </row>
    <row r="1478" spans="1:10" ht="14.1" customHeight="1" x14ac:dyDescent="0.25">
      <c r="A1478" s="94" t="s">
        <v>16044</v>
      </c>
      <c r="B1478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478" s="95" t="str">
        <f>IFERROR(VLOOKUP("LB",'Informacion '!P:Q,2,FALSE),"")</f>
        <v>Libra </v>
      </c>
      <c r="D1478" s="94">
        <v>1650</v>
      </c>
      <c r="E1478" s="84">
        <v>88</v>
      </c>
      <c r="F1478" s="83">
        <f t="shared" ca="1" si="70"/>
        <v>145200</v>
      </c>
    </row>
    <row r="1479" spans="1:10" ht="14.1" customHeight="1" x14ac:dyDescent="0.25">
      <c r="A1479" s="94" t="s">
        <v>16044</v>
      </c>
      <c r="B1479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479" s="95" t="str">
        <f>IFERROR(VLOOKUP("LB",'Informacion '!P:Q,2,FALSE),"")</f>
        <v>Libra </v>
      </c>
      <c r="D1479" s="94">
        <v>70</v>
      </c>
      <c r="E1479" s="84">
        <v>272</v>
      </c>
      <c r="F1479" s="83">
        <f t="shared" ca="1" si="70"/>
        <v>19040</v>
      </c>
    </row>
    <row r="1480" spans="1:10" ht="14.1" customHeight="1" x14ac:dyDescent="0.25">
      <c r="A1480" s="94" t="s">
        <v>16044</v>
      </c>
      <c r="B1480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480" s="95" t="str">
        <f>IFERROR(VLOOKUP("LB",'Informacion '!P:Q,2,FALSE),"")</f>
        <v>Libra </v>
      </c>
      <c r="D1480" s="94">
        <v>660</v>
      </c>
      <c r="E1480" s="84">
        <v>85</v>
      </c>
      <c r="F1480" s="83">
        <f t="shared" ca="1" si="70"/>
        <v>56100</v>
      </c>
    </row>
    <row r="1481" spans="1:10" ht="14.1" customHeight="1" x14ac:dyDescent="0.25">
      <c r="A1481" s="94" t="s">
        <v>15391</v>
      </c>
      <c r="B1481" s="82" t="str">
        <f ca="1">IFERROR(INDEX(UNSPSCDes,MATCH(INDIRECT(ADDRESS(ROW(),COLUMN()-1,4)),UNSPSCCode,0)),IF(INDIRECT(ADDRESS(ROW(),COLUMN()-1,4))="50121539","Pescado fresco",""))</f>
        <v>Pescado fresco</v>
      </c>
      <c r="C1481" s="95" t="str">
        <f>IFERROR(VLOOKUP("LB",'Informacion '!P:Q,2,FALSE),"")</f>
        <v>Libra </v>
      </c>
      <c r="D1481" s="94">
        <v>660</v>
      </c>
      <c r="E1481" s="84">
        <v>250</v>
      </c>
      <c r="F1481" s="83">
        <f t="shared" ca="1" si="70"/>
        <v>165000</v>
      </c>
    </row>
    <row r="1482" spans="1:10" ht="14.1" customHeight="1" x14ac:dyDescent="0.25">
      <c r="A1482" s="94" t="s">
        <v>15391</v>
      </c>
      <c r="B1482" s="82" t="str">
        <f ca="1">IFERROR(INDEX(UNSPSCDes,MATCH(INDIRECT(ADDRESS(ROW(),COLUMN()-1,4)),UNSPSCCode,0)),IF(INDIRECT(ADDRESS(ROW(),COLUMN()-1,4))="50121539","Pescado fresco",""))</f>
        <v>Pescado fresco</v>
      </c>
      <c r="C1482" s="95" t="str">
        <f>IFERROR(VLOOKUP("CAJ",'Informacion '!P:Q,2,FALSE),"")</f>
        <v>Caja</v>
      </c>
      <c r="D1482" s="94">
        <v>7</v>
      </c>
      <c r="E1482" s="84">
        <v>6785</v>
      </c>
      <c r="F1482" s="83">
        <f t="shared" ca="1" si="70"/>
        <v>47495</v>
      </c>
    </row>
    <row r="1483" spans="1:10" ht="14.1" customHeight="1" x14ac:dyDescent="0.25">
      <c r="A1483" s="94" t="s">
        <v>15391</v>
      </c>
      <c r="B1483" s="82" t="str">
        <f ca="1">IFERROR(INDEX(UNSPSCDes,MATCH(INDIRECT(ADDRESS(ROW(),COLUMN()-1,4)),UNSPSCCode,0)),IF(INDIRECT(ADDRESS(ROW(),COLUMN()-1,4))="50121539","Pescado fresco",""))</f>
        <v>Pescado fresco</v>
      </c>
      <c r="C1483" s="95" t="str">
        <f>IFERROR(VLOOKUP("LB",'Informacion '!P:Q,2,FALSE),"")</f>
        <v>Libra </v>
      </c>
      <c r="D1483" s="94">
        <v>660</v>
      </c>
      <c r="E1483" s="84">
        <v>74</v>
      </c>
      <c r="F1483" s="83">
        <f t="shared" ca="1" si="70"/>
        <v>48840</v>
      </c>
    </row>
    <row r="1484" spans="1:10" ht="14.1" customHeight="1" x14ac:dyDescent="0.25">
      <c r="A1484" s="94" t="s">
        <v>15391</v>
      </c>
      <c r="B1484" s="82" t="str">
        <f ca="1">IFERROR(INDEX(UNSPSCDes,MATCH(INDIRECT(ADDRESS(ROW(),COLUMN()-1,4)),UNSPSCCode,0)),IF(INDIRECT(ADDRESS(ROW(),COLUMN()-1,4))="50121539","Pescado fresco",""))</f>
        <v>Pescado fresco</v>
      </c>
      <c r="C1484" s="95" t="str">
        <f>IFERROR(VLOOKUP("UD",'Informacion '!P:Q,2,FALSE),"")</f>
        <v>Unidad</v>
      </c>
      <c r="D1484" s="94">
        <v>650</v>
      </c>
      <c r="E1484" s="84">
        <v>82</v>
      </c>
      <c r="F1484" s="83">
        <f t="shared" ca="1" si="70"/>
        <v>53300</v>
      </c>
    </row>
    <row r="1485" spans="1:10" ht="14.1" customHeight="1" x14ac:dyDescent="0.25">
      <c r="E1485" s="96" t="s">
        <v>7213</v>
      </c>
      <c r="F1485" s="87">
        <f ca="1">SUM(Table61[MONTO TOTAL ESTIMADO])</f>
        <v>1108890</v>
      </c>
      <c r="H1485" s="39" t="str">
        <f>C1467</f>
        <v>Bienes</v>
      </c>
      <c r="I1485" s="39" t="str">
        <f>E1467</f>
        <v>No</v>
      </c>
      <c r="J1485" s="39" t="str">
        <f>D1467</f>
        <v>Compras Menores</v>
      </c>
    </row>
    <row r="1487" spans="1:10" ht="33.950000000000003" customHeight="1" x14ac:dyDescent="0.25">
      <c r="A1487" s="77" t="s">
        <v>17233</v>
      </c>
      <c r="B1487" s="77" t="s">
        <v>4237</v>
      </c>
      <c r="C1487" s="77" t="s">
        <v>4743</v>
      </c>
      <c r="D1487" s="77" t="s">
        <v>9891</v>
      </c>
      <c r="E1487" s="77" t="s">
        <v>3089</v>
      </c>
      <c r="F1487" s="77" t="s">
        <v>18141</v>
      </c>
    </row>
    <row r="1488" spans="1:10" ht="14.1" customHeight="1" x14ac:dyDescent="0.25">
      <c r="A1488" s="79" t="s">
        <v>12806</v>
      </c>
      <c r="B1488" s="79" t="s">
        <v>18633</v>
      </c>
      <c r="C1488" s="79" t="s">
        <v>17215</v>
      </c>
      <c r="D1488" s="79" t="s">
        <v>17798</v>
      </c>
      <c r="E1488" s="79" t="s">
        <v>18247</v>
      </c>
      <c r="F1488" s="79"/>
    </row>
    <row r="1489" spans="1:6" ht="14.1" customHeight="1" x14ac:dyDescent="0.25">
      <c r="A1489" s="2" t="s">
        <v>6643</v>
      </c>
      <c r="B1489" s="80" t="s">
        <v>1046</v>
      </c>
      <c r="C1489" s="90">
        <v>43556</v>
      </c>
      <c r="D1489" s="2" t="s">
        <v>59</v>
      </c>
      <c r="E1489" s="92" t="s">
        <v>20066</v>
      </c>
      <c r="F1489" s="93"/>
    </row>
    <row r="1490" spans="1:6" ht="14.1" customHeight="1" x14ac:dyDescent="0.25">
      <c r="A1490" s="1"/>
      <c r="B1490" s="80" t="s">
        <v>10788</v>
      </c>
      <c r="C1490" s="91">
        <f>IF(C1489="","",IF(AND(MONTH(C1489)&gt;=1,MONTH(C1489)&lt;=3),1,IF(AND(MONTH(C1489)&gt;=4,MONTH(C1489)&lt;=6),2,IF(AND(MONTH(C1489)&gt;=7,MONTH(C1489)&lt;=9),3,4))))</f>
        <v>2</v>
      </c>
      <c r="D1490" s="1"/>
      <c r="E1490" s="92" t="s">
        <v>14822</v>
      </c>
      <c r="F1490" s="93"/>
    </row>
    <row r="1491" spans="1:6" ht="14.1" customHeight="1" x14ac:dyDescent="0.25">
      <c r="A1491" s="1"/>
      <c r="B1491" s="80" t="s">
        <v>13758</v>
      </c>
      <c r="C1491" s="90">
        <v>43644</v>
      </c>
      <c r="D1491" s="1"/>
      <c r="E1491" s="92" t="s">
        <v>18636</v>
      </c>
      <c r="F1491" s="93"/>
    </row>
    <row r="1492" spans="1:6" ht="14.1" customHeight="1" x14ac:dyDescent="0.25">
      <c r="A1492" s="1"/>
      <c r="B1492" s="80" t="s">
        <v>10788</v>
      </c>
      <c r="C1492" s="91">
        <f>IF(C1491="","",IF(AND(MONTH(C1491)&gt;=1,MONTH(C1491)&lt;=3),1,IF(AND(MONTH(C1491)&gt;=4,MONTH(C1491)&lt;=6),2,IF(AND(MONTH(C1491)&gt;=7,MONTH(C1491)&lt;=9),3,4))))</f>
        <v>2</v>
      </c>
      <c r="D1492" s="1"/>
      <c r="E1492" s="92" t="s">
        <v>15990</v>
      </c>
      <c r="F1492" s="93"/>
    </row>
    <row r="1494" spans="1:6" ht="14.1" customHeight="1" x14ac:dyDescent="0.25">
      <c r="A1494" s="85" t="s">
        <v>15474</v>
      </c>
      <c r="B1494" s="85" t="s">
        <v>5027</v>
      </c>
      <c r="C1494" s="85" t="s">
        <v>17461</v>
      </c>
      <c r="D1494" s="85" t="s">
        <v>3935</v>
      </c>
      <c r="E1494" s="85" t="s">
        <v>10722</v>
      </c>
      <c r="F1494" s="85" t="s">
        <v>18237</v>
      </c>
    </row>
    <row r="1495" spans="1:6" ht="14.1" customHeight="1" x14ac:dyDescent="0.25">
      <c r="A1495" s="94" t="s">
        <v>13151</v>
      </c>
      <c r="B1495" s="82" t="str">
        <f ca="1">IFERROR(INDEX(UNSPSCDes,MATCH(INDIRECT(ADDRESS(ROW(),COLUMN()-1,4)),UNSPSCCode,0)),IF(INDIRECT(ADDRESS(ROW(),COLUMN()-1,4))="50111510","Carne de ave o carne fresca",""))</f>
        <v>Carne de ave o carne fresca</v>
      </c>
      <c r="C1495" s="95" t="str">
        <f>IFERROR(VLOOKUP("LB",'Informacion '!P:Q,2,FALSE),"")</f>
        <v>Libra </v>
      </c>
      <c r="D1495" s="94">
        <v>60</v>
      </c>
      <c r="E1495" s="84">
        <v>80</v>
      </c>
      <c r="F1495" s="83">
        <f t="shared" ref="F1495:F1505" ca="1" si="71">INDIRECT(ADDRESS(ROW(),COLUMN()-2,4))*INDIRECT(ADDRESS(ROW(),COLUMN()-1,4))</f>
        <v>4800</v>
      </c>
    </row>
    <row r="1496" spans="1:6" ht="14.1" customHeight="1" x14ac:dyDescent="0.25">
      <c r="A1496" s="94" t="s">
        <v>13151</v>
      </c>
      <c r="B1496" s="82" t="str">
        <f ca="1">IFERROR(INDEX(UNSPSCDes,MATCH(INDIRECT(ADDRESS(ROW(),COLUMN()-1,4)),UNSPSCCode,0)),IF(INDIRECT(ADDRESS(ROW(),COLUMN()-1,4))="50111510","Carne de ave o carne fresca",""))</f>
        <v>Carne de ave o carne fresca</v>
      </c>
      <c r="C1496" s="95" t="str">
        <f>IFERROR(VLOOKUP("LB",'Informacion '!P:Q,2,FALSE),"")</f>
        <v>Libra </v>
      </c>
      <c r="D1496" s="94">
        <v>2970</v>
      </c>
      <c r="E1496" s="84">
        <v>45</v>
      </c>
      <c r="F1496" s="83">
        <f t="shared" ca="1" si="71"/>
        <v>133650</v>
      </c>
    </row>
    <row r="1497" spans="1:6" ht="14.1" customHeight="1" x14ac:dyDescent="0.25">
      <c r="A1497" s="94" t="s">
        <v>16044</v>
      </c>
      <c r="B1497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497" s="95" t="str">
        <f>IFERROR(VLOOKUP("LB",'Informacion '!P:Q,2,FALSE),"")</f>
        <v>Libra </v>
      </c>
      <c r="D1497" s="94">
        <v>1815</v>
      </c>
      <c r="E1497" s="84">
        <v>141</v>
      </c>
      <c r="F1497" s="83">
        <f t="shared" ca="1" si="71"/>
        <v>255915</v>
      </c>
    </row>
    <row r="1498" spans="1:6" ht="14.1" customHeight="1" x14ac:dyDescent="0.25">
      <c r="A1498" s="94" t="s">
        <v>16044</v>
      </c>
      <c r="B1498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498" s="95" t="str">
        <f>IFERROR(VLOOKUP("LB",'Informacion '!P:Q,2,FALSE),"")</f>
        <v>Libra </v>
      </c>
      <c r="D1498" s="94">
        <v>1710</v>
      </c>
      <c r="E1498" s="84">
        <v>105</v>
      </c>
      <c r="F1498" s="83">
        <f t="shared" ca="1" si="71"/>
        <v>179550</v>
      </c>
    </row>
    <row r="1499" spans="1:6" ht="14.1" customHeight="1" x14ac:dyDescent="0.25">
      <c r="A1499" s="94" t="s">
        <v>16044</v>
      </c>
      <c r="B1499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499" s="95" t="str">
        <f>IFERROR(VLOOKUP("LB",'Informacion '!P:Q,2,FALSE),"")</f>
        <v>Libra </v>
      </c>
      <c r="D1499" s="94">
        <v>1650</v>
      </c>
      <c r="E1499" s="84">
        <v>88</v>
      </c>
      <c r="F1499" s="83">
        <f t="shared" ca="1" si="71"/>
        <v>145200</v>
      </c>
    </row>
    <row r="1500" spans="1:6" ht="14.1" customHeight="1" x14ac:dyDescent="0.25">
      <c r="A1500" s="94" t="s">
        <v>10296</v>
      </c>
      <c r="B1500" s="82" t="str">
        <f ca="1">IFERROR(INDEX(UNSPSCDes,MATCH(INDIRECT(ADDRESS(ROW(),COLUMN()-1,4)),UNSPSCCode,0)),IF(INDIRECT(ADDRESS(ROW(),COLUMN()-1,4))="50192701","Comidas combinadas frescas",""))</f>
        <v>Comidas combinadas frescas</v>
      </c>
      <c r="C1500" s="95" t="str">
        <f>IFERROR(VLOOKUP("LB",'Informacion '!P:Q,2,FALSE),"")</f>
        <v>Libra </v>
      </c>
      <c r="D1500" s="94">
        <v>70</v>
      </c>
      <c r="E1500" s="84">
        <v>272</v>
      </c>
      <c r="F1500" s="83">
        <f t="shared" ca="1" si="71"/>
        <v>19040</v>
      </c>
    </row>
    <row r="1501" spans="1:6" ht="14.1" customHeight="1" x14ac:dyDescent="0.25">
      <c r="A1501" s="94" t="s">
        <v>10296</v>
      </c>
      <c r="B1501" s="82" t="str">
        <f ca="1">IFERROR(INDEX(UNSPSCDes,MATCH(INDIRECT(ADDRESS(ROW(),COLUMN()-1,4)),UNSPSCCode,0)),IF(INDIRECT(ADDRESS(ROW(),COLUMN()-1,4))="50192701","Comidas combinadas frescas",""))</f>
        <v>Comidas combinadas frescas</v>
      </c>
      <c r="C1501" s="95" t="str">
        <f>IFERROR(VLOOKUP("LB",'Informacion '!P:Q,2,FALSE),"")</f>
        <v>Libra </v>
      </c>
      <c r="D1501" s="94">
        <v>660</v>
      </c>
      <c r="E1501" s="84">
        <v>168</v>
      </c>
      <c r="F1501" s="83">
        <f t="shared" ca="1" si="71"/>
        <v>110880</v>
      </c>
    </row>
    <row r="1502" spans="1:6" ht="14.1" customHeight="1" x14ac:dyDescent="0.25">
      <c r="A1502" s="94" t="s">
        <v>15391</v>
      </c>
      <c r="B1502" s="82" t="str">
        <f ca="1">IFERROR(INDEX(UNSPSCDes,MATCH(INDIRECT(ADDRESS(ROW(),COLUMN()-1,4)),UNSPSCCode,0)),IF(INDIRECT(ADDRESS(ROW(),COLUMN()-1,4))="50121539","Pescado fresco",""))</f>
        <v>Pescado fresco</v>
      </c>
      <c r="C1502" s="95" t="str">
        <f>IFERROR(VLOOKUP("LB",'Informacion '!P:Q,2,FALSE),"")</f>
        <v>Libra </v>
      </c>
      <c r="D1502" s="94">
        <v>660</v>
      </c>
      <c r="E1502" s="84">
        <v>250</v>
      </c>
      <c r="F1502" s="83">
        <f t="shared" ca="1" si="71"/>
        <v>165000</v>
      </c>
    </row>
    <row r="1503" spans="1:6" ht="14.1" customHeight="1" x14ac:dyDescent="0.25">
      <c r="A1503" s="94" t="s">
        <v>15391</v>
      </c>
      <c r="B1503" s="82" t="str">
        <f ca="1">IFERROR(INDEX(UNSPSCDes,MATCH(INDIRECT(ADDRESS(ROW(),COLUMN()-1,4)),UNSPSCCode,0)),IF(INDIRECT(ADDRESS(ROW(),COLUMN()-1,4))="50121539","Pescado fresco",""))</f>
        <v>Pescado fresco</v>
      </c>
      <c r="C1503" s="95" t="str">
        <f>IFERROR(VLOOKUP("CAJ",'Informacion '!P:Q,2,FALSE),"")</f>
        <v>Caja</v>
      </c>
      <c r="D1503" s="94">
        <v>7</v>
      </c>
      <c r="E1503" s="84">
        <v>6785</v>
      </c>
      <c r="F1503" s="83">
        <f t="shared" ca="1" si="71"/>
        <v>47495</v>
      </c>
    </row>
    <row r="1504" spans="1:6" ht="14.1" customHeight="1" x14ac:dyDescent="0.25">
      <c r="A1504" s="94" t="s">
        <v>15391</v>
      </c>
      <c r="B1504" s="82" t="str">
        <f ca="1">IFERROR(INDEX(UNSPSCDes,MATCH(INDIRECT(ADDRESS(ROW(),COLUMN()-1,4)),UNSPSCCode,0)),IF(INDIRECT(ADDRESS(ROW(),COLUMN()-1,4))="50121539","Pescado fresco",""))</f>
        <v>Pescado fresco</v>
      </c>
      <c r="C1504" s="95" t="str">
        <f>IFERROR(VLOOKUP("LB",'Informacion '!P:Q,2,FALSE),"")</f>
        <v>Libra </v>
      </c>
      <c r="D1504" s="94">
        <v>660</v>
      </c>
      <c r="E1504" s="84">
        <v>74</v>
      </c>
      <c r="F1504" s="83">
        <f t="shared" ca="1" si="71"/>
        <v>48840</v>
      </c>
    </row>
    <row r="1505" spans="1:10" ht="14.1" customHeight="1" x14ac:dyDescent="0.25">
      <c r="A1505" s="94" t="s">
        <v>15391</v>
      </c>
      <c r="B1505" s="82" t="str">
        <f ca="1">IFERROR(INDEX(UNSPSCDes,MATCH(INDIRECT(ADDRESS(ROW(),COLUMN()-1,4)),UNSPSCCode,0)),IF(INDIRECT(ADDRESS(ROW(),COLUMN()-1,4))="50121539","Pescado fresco",""))</f>
        <v>Pescado fresco</v>
      </c>
      <c r="C1505" s="95" t="str">
        <f>IFERROR(VLOOKUP("UD",'Informacion '!P:Q,2,FALSE),"")</f>
        <v>Unidad</v>
      </c>
      <c r="D1505" s="94">
        <v>650</v>
      </c>
      <c r="E1505" s="84">
        <v>82</v>
      </c>
      <c r="F1505" s="83">
        <f t="shared" ca="1" si="71"/>
        <v>53300</v>
      </c>
    </row>
    <row r="1506" spans="1:10" ht="14.1" customHeight="1" x14ac:dyDescent="0.25">
      <c r="E1506" s="96" t="s">
        <v>7213</v>
      </c>
      <c r="F1506" s="87">
        <f ca="1">SUM(Table62[MONTO TOTAL ESTIMADO])</f>
        <v>1163670</v>
      </c>
      <c r="H1506" s="39" t="str">
        <f>C1488</f>
        <v>Bienes</v>
      </c>
      <c r="I1506" s="39" t="str">
        <f>E1488</f>
        <v>No</v>
      </c>
      <c r="J1506" s="39" t="str">
        <f>D1488</f>
        <v>Compras Menores</v>
      </c>
    </row>
    <row r="1508" spans="1:10" ht="33.950000000000003" customHeight="1" x14ac:dyDescent="0.25">
      <c r="A1508" s="77" t="s">
        <v>17233</v>
      </c>
      <c r="B1508" s="77" t="s">
        <v>4237</v>
      </c>
      <c r="C1508" s="77" t="s">
        <v>4743</v>
      </c>
      <c r="D1508" s="77" t="s">
        <v>9891</v>
      </c>
      <c r="E1508" s="77" t="s">
        <v>3089</v>
      </c>
      <c r="F1508" s="77" t="s">
        <v>18141</v>
      </c>
    </row>
    <row r="1509" spans="1:10" ht="14.1" customHeight="1" x14ac:dyDescent="0.25">
      <c r="A1509" s="79" t="s">
        <v>17126</v>
      </c>
      <c r="B1509" s="79" t="s">
        <v>15596</v>
      </c>
      <c r="C1509" s="79" t="s">
        <v>17215</v>
      </c>
      <c r="D1509" s="79" t="s">
        <v>17798</v>
      </c>
      <c r="E1509" s="79" t="s">
        <v>18247</v>
      </c>
      <c r="F1509" s="79"/>
    </row>
    <row r="1510" spans="1:10" ht="14.1" customHeight="1" x14ac:dyDescent="0.25">
      <c r="A1510" s="2" t="s">
        <v>6643</v>
      </c>
      <c r="B1510" s="80" t="s">
        <v>1046</v>
      </c>
      <c r="C1510" s="90">
        <v>43647</v>
      </c>
      <c r="D1510" s="2" t="s">
        <v>59</v>
      </c>
      <c r="E1510" s="92" t="s">
        <v>20066</v>
      </c>
      <c r="F1510" s="93"/>
    </row>
    <row r="1511" spans="1:10" ht="14.1" customHeight="1" x14ac:dyDescent="0.25">
      <c r="A1511" s="1"/>
      <c r="B1511" s="80" t="s">
        <v>10788</v>
      </c>
      <c r="C1511" s="91">
        <f>IF(C1510="","",IF(AND(MONTH(C1510)&gt;=1,MONTH(C1510)&lt;=3),1,IF(AND(MONTH(C1510)&gt;=4,MONTH(C1510)&lt;=6),2,IF(AND(MONTH(C1510)&gt;=7,MONTH(C1510)&lt;=9),3,4))))</f>
        <v>3</v>
      </c>
      <c r="D1511" s="1"/>
      <c r="E1511" s="92" t="s">
        <v>14822</v>
      </c>
      <c r="F1511" s="93"/>
    </row>
    <row r="1512" spans="1:10" ht="14.1" customHeight="1" x14ac:dyDescent="0.25">
      <c r="A1512" s="1"/>
      <c r="B1512" s="80" t="s">
        <v>13758</v>
      </c>
      <c r="C1512" s="90">
        <v>43738</v>
      </c>
      <c r="D1512" s="1"/>
      <c r="E1512" s="92" t="s">
        <v>18636</v>
      </c>
      <c r="F1512" s="93"/>
    </row>
    <row r="1513" spans="1:10" ht="14.1" customHeight="1" x14ac:dyDescent="0.25">
      <c r="A1513" s="1"/>
      <c r="B1513" s="80" t="s">
        <v>10788</v>
      </c>
      <c r="C1513" s="91">
        <f>IF(C1512="","",IF(AND(MONTH(C1512)&gt;=1,MONTH(C1512)&lt;=3),1,IF(AND(MONTH(C1512)&gt;=4,MONTH(C1512)&lt;=6),2,IF(AND(MONTH(C1512)&gt;=7,MONTH(C1512)&lt;=9),3,4))))</f>
        <v>3</v>
      </c>
      <c r="D1513" s="1"/>
      <c r="E1513" s="92" t="s">
        <v>15990</v>
      </c>
      <c r="F1513" s="93"/>
    </row>
    <row r="1515" spans="1:10" ht="14.1" customHeight="1" x14ac:dyDescent="0.25">
      <c r="A1515" s="85" t="s">
        <v>15474</v>
      </c>
      <c r="B1515" s="85" t="s">
        <v>5027</v>
      </c>
      <c r="C1515" s="85" t="s">
        <v>17461</v>
      </c>
      <c r="D1515" s="85" t="s">
        <v>3935</v>
      </c>
      <c r="E1515" s="85" t="s">
        <v>10722</v>
      </c>
      <c r="F1515" s="85" t="s">
        <v>18237</v>
      </c>
    </row>
    <row r="1516" spans="1:10" ht="14.1" customHeight="1" x14ac:dyDescent="0.25">
      <c r="A1516" s="94" t="s">
        <v>13151</v>
      </c>
      <c r="B1516" s="82" t="str">
        <f ca="1">IFERROR(INDEX(UNSPSCDes,MATCH(INDIRECT(ADDRESS(ROW(),COLUMN()-1,4)),UNSPSCCode,0)),IF(INDIRECT(ADDRESS(ROW(),COLUMN()-1,4))="50111510","Carne de ave o carne fresca",""))</f>
        <v>Carne de ave o carne fresca</v>
      </c>
      <c r="C1516" s="95" t="str">
        <f>IFERROR(VLOOKUP("LB",'Informacion '!P:Q,2,FALSE),"")</f>
        <v>Libra </v>
      </c>
      <c r="D1516" s="94">
        <v>60</v>
      </c>
      <c r="E1516" s="84">
        <v>80</v>
      </c>
      <c r="F1516" s="83">
        <f t="shared" ref="F1516:F1526" ca="1" si="72">INDIRECT(ADDRESS(ROW(),COLUMN()-2,4))*INDIRECT(ADDRESS(ROW(),COLUMN()-1,4))</f>
        <v>4800</v>
      </c>
    </row>
    <row r="1517" spans="1:10" ht="14.1" customHeight="1" x14ac:dyDescent="0.25">
      <c r="A1517" s="94" t="s">
        <v>13151</v>
      </c>
      <c r="B1517" s="82" t="str">
        <f ca="1">IFERROR(INDEX(UNSPSCDes,MATCH(INDIRECT(ADDRESS(ROW(),COLUMN()-1,4)),UNSPSCCode,0)),IF(INDIRECT(ADDRESS(ROW(),COLUMN()-1,4))="50111510","Carne de ave o carne fresca",""))</f>
        <v>Carne de ave o carne fresca</v>
      </c>
      <c r="C1517" s="95" t="str">
        <f>IFERROR(VLOOKUP("LB",'Informacion '!P:Q,2,FALSE),"")</f>
        <v>Libra </v>
      </c>
      <c r="D1517" s="94">
        <v>2970</v>
      </c>
      <c r="E1517" s="84">
        <v>45</v>
      </c>
      <c r="F1517" s="83">
        <f t="shared" ca="1" si="72"/>
        <v>133650</v>
      </c>
    </row>
    <row r="1518" spans="1:10" ht="14.1" customHeight="1" x14ac:dyDescent="0.25">
      <c r="A1518" s="94" t="s">
        <v>16044</v>
      </c>
      <c r="B1518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518" s="95" t="str">
        <f>IFERROR(VLOOKUP("LB",'Informacion '!P:Q,2,FALSE),"")</f>
        <v>Libra </v>
      </c>
      <c r="D1518" s="94">
        <v>1815</v>
      </c>
      <c r="E1518" s="84">
        <v>141</v>
      </c>
      <c r="F1518" s="83">
        <f t="shared" ca="1" si="72"/>
        <v>255915</v>
      </c>
    </row>
    <row r="1519" spans="1:10" ht="14.1" customHeight="1" x14ac:dyDescent="0.25">
      <c r="A1519" s="94" t="s">
        <v>16044</v>
      </c>
      <c r="B1519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519" s="95" t="str">
        <f>IFERROR(VLOOKUP("LB",'Informacion '!P:Q,2,FALSE),"")</f>
        <v>Libra </v>
      </c>
      <c r="D1519" s="94">
        <v>1710</v>
      </c>
      <c r="E1519" s="84">
        <v>105</v>
      </c>
      <c r="F1519" s="83">
        <f t="shared" ca="1" si="72"/>
        <v>179550</v>
      </c>
    </row>
    <row r="1520" spans="1:10" ht="14.1" customHeight="1" x14ac:dyDescent="0.25">
      <c r="A1520" s="94" t="s">
        <v>16044</v>
      </c>
      <c r="B1520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520" s="95" t="str">
        <f>IFERROR(VLOOKUP("LB",'Informacion '!P:Q,2,FALSE),"")</f>
        <v>Libra </v>
      </c>
      <c r="D1520" s="94">
        <v>1650</v>
      </c>
      <c r="E1520" s="84">
        <v>88</v>
      </c>
      <c r="F1520" s="83">
        <f t="shared" ca="1" si="72"/>
        <v>145200</v>
      </c>
    </row>
    <row r="1521" spans="1:10" ht="14.1" customHeight="1" x14ac:dyDescent="0.25">
      <c r="A1521" s="94" t="s">
        <v>10296</v>
      </c>
      <c r="B1521" s="82" t="str">
        <f ca="1">IFERROR(INDEX(UNSPSCDes,MATCH(INDIRECT(ADDRESS(ROW(),COLUMN()-1,4)),UNSPSCCode,0)),IF(INDIRECT(ADDRESS(ROW(),COLUMN()-1,4))="50192701","Comidas combinadas frescas",""))</f>
        <v>Comidas combinadas frescas</v>
      </c>
      <c r="C1521" s="95" t="str">
        <f>IFERROR(VLOOKUP("LB",'Informacion '!P:Q,2,FALSE),"")</f>
        <v>Libra </v>
      </c>
      <c r="D1521" s="94">
        <v>70</v>
      </c>
      <c r="E1521" s="84">
        <v>272</v>
      </c>
      <c r="F1521" s="83">
        <f t="shared" ca="1" si="72"/>
        <v>19040</v>
      </c>
    </row>
    <row r="1522" spans="1:10" ht="14.1" customHeight="1" x14ac:dyDescent="0.25">
      <c r="A1522" s="94" t="s">
        <v>10296</v>
      </c>
      <c r="B1522" s="82" t="str">
        <f ca="1">IFERROR(INDEX(UNSPSCDes,MATCH(INDIRECT(ADDRESS(ROW(),COLUMN()-1,4)),UNSPSCCode,0)),IF(INDIRECT(ADDRESS(ROW(),COLUMN()-1,4))="50192701","Comidas combinadas frescas",""))</f>
        <v>Comidas combinadas frescas</v>
      </c>
      <c r="C1522" s="95" t="str">
        <f>IFERROR(VLOOKUP("LB",'Informacion '!P:Q,2,FALSE),"")</f>
        <v>Libra </v>
      </c>
      <c r="D1522" s="94">
        <v>660</v>
      </c>
      <c r="E1522" s="84">
        <v>85</v>
      </c>
      <c r="F1522" s="83">
        <f t="shared" ca="1" si="72"/>
        <v>56100</v>
      </c>
    </row>
    <row r="1523" spans="1:10" ht="14.1" customHeight="1" x14ac:dyDescent="0.25">
      <c r="A1523" s="94" t="s">
        <v>15391</v>
      </c>
      <c r="B1523" s="82" t="str">
        <f ca="1">IFERROR(INDEX(UNSPSCDes,MATCH(INDIRECT(ADDRESS(ROW(),COLUMN()-1,4)),UNSPSCCode,0)),IF(INDIRECT(ADDRESS(ROW(),COLUMN()-1,4))="50121539","Pescado fresco",""))</f>
        <v>Pescado fresco</v>
      </c>
      <c r="C1523" s="95" t="str">
        <f>IFERROR(VLOOKUP("LB",'Informacion '!P:Q,2,FALSE),"")</f>
        <v>Libra </v>
      </c>
      <c r="D1523" s="94">
        <v>660</v>
      </c>
      <c r="E1523" s="84">
        <v>250</v>
      </c>
      <c r="F1523" s="83">
        <f t="shared" ca="1" si="72"/>
        <v>165000</v>
      </c>
    </row>
    <row r="1524" spans="1:10" ht="14.1" customHeight="1" x14ac:dyDescent="0.25">
      <c r="A1524" s="94" t="s">
        <v>15391</v>
      </c>
      <c r="B1524" s="82" t="str">
        <f ca="1">IFERROR(INDEX(UNSPSCDes,MATCH(INDIRECT(ADDRESS(ROW(),COLUMN()-1,4)),UNSPSCCode,0)),IF(INDIRECT(ADDRESS(ROW(),COLUMN()-1,4))="50121539","Pescado fresco",""))</f>
        <v>Pescado fresco</v>
      </c>
      <c r="C1524" s="95" t="str">
        <f>IFERROR(VLOOKUP("CAJ",'Informacion '!P:Q,2,FALSE),"")</f>
        <v>Caja</v>
      </c>
      <c r="D1524" s="94">
        <v>7</v>
      </c>
      <c r="E1524" s="84">
        <v>6785</v>
      </c>
      <c r="F1524" s="83">
        <f t="shared" ca="1" si="72"/>
        <v>47495</v>
      </c>
    </row>
    <row r="1525" spans="1:10" ht="14.1" customHeight="1" x14ac:dyDescent="0.25">
      <c r="A1525" s="94" t="s">
        <v>15391</v>
      </c>
      <c r="B1525" s="82" t="str">
        <f ca="1">IFERROR(INDEX(UNSPSCDes,MATCH(INDIRECT(ADDRESS(ROW(),COLUMN()-1,4)),UNSPSCCode,0)),IF(INDIRECT(ADDRESS(ROW(),COLUMN()-1,4))="50121539","Pescado fresco",""))</f>
        <v>Pescado fresco</v>
      </c>
      <c r="C1525" s="95" t="str">
        <f>IFERROR(VLOOKUP("LB",'Informacion '!P:Q,2,FALSE),"")</f>
        <v>Libra </v>
      </c>
      <c r="D1525" s="94">
        <v>660</v>
      </c>
      <c r="E1525" s="84">
        <v>74</v>
      </c>
      <c r="F1525" s="83">
        <f t="shared" ca="1" si="72"/>
        <v>48840</v>
      </c>
    </row>
    <row r="1526" spans="1:10" ht="14.1" customHeight="1" x14ac:dyDescent="0.25">
      <c r="A1526" s="94" t="s">
        <v>15391</v>
      </c>
      <c r="B1526" s="82" t="str">
        <f ca="1">IFERROR(INDEX(UNSPSCDes,MATCH(INDIRECT(ADDRESS(ROW(),COLUMN()-1,4)),UNSPSCCode,0)),IF(INDIRECT(ADDRESS(ROW(),COLUMN()-1,4))="50121539","Pescado fresco",""))</f>
        <v>Pescado fresco</v>
      </c>
      <c r="C1526" s="95" t="str">
        <f>IFERROR(VLOOKUP("UD",'Informacion '!P:Q,2,FALSE),"")</f>
        <v>Unidad</v>
      </c>
      <c r="D1526" s="94">
        <v>650</v>
      </c>
      <c r="E1526" s="84">
        <v>82</v>
      </c>
      <c r="F1526" s="83">
        <f t="shared" ca="1" si="72"/>
        <v>53300</v>
      </c>
    </row>
    <row r="1527" spans="1:10" ht="14.1" customHeight="1" x14ac:dyDescent="0.25">
      <c r="E1527" s="96" t="s">
        <v>7213</v>
      </c>
      <c r="F1527" s="87">
        <f ca="1">SUM(Table63[MONTO TOTAL ESTIMADO])</f>
        <v>1108890</v>
      </c>
      <c r="H1527" s="39" t="str">
        <f>C1509</f>
        <v>Bienes</v>
      </c>
      <c r="I1527" s="39" t="str">
        <f>E1509</f>
        <v>No</v>
      </c>
      <c r="J1527" s="39" t="str">
        <f>D1509</f>
        <v>Compras Menores</v>
      </c>
    </row>
    <row r="1529" spans="1:10" ht="33.950000000000003" customHeight="1" x14ac:dyDescent="0.25">
      <c r="A1529" s="77" t="s">
        <v>17233</v>
      </c>
      <c r="B1529" s="77" t="s">
        <v>4237</v>
      </c>
      <c r="C1529" s="77" t="s">
        <v>4743</v>
      </c>
      <c r="D1529" s="77" t="s">
        <v>9891</v>
      </c>
      <c r="E1529" s="77" t="s">
        <v>3089</v>
      </c>
      <c r="F1529" s="77" t="s">
        <v>18141</v>
      </c>
    </row>
    <row r="1530" spans="1:10" ht="14.1" customHeight="1" x14ac:dyDescent="0.25">
      <c r="A1530" s="79" t="s">
        <v>12626</v>
      </c>
      <c r="B1530" s="79" t="s">
        <v>8302</v>
      </c>
      <c r="C1530" s="79" t="s">
        <v>17215</v>
      </c>
      <c r="D1530" s="79" t="s">
        <v>17798</v>
      </c>
      <c r="E1530" s="79" t="s">
        <v>18247</v>
      </c>
      <c r="F1530" s="79"/>
    </row>
    <row r="1531" spans="1:10" ht="14.1" customHeight="1" x14ac:dyDescent="0.25">
      <c r="A1531" s="2" t="s">
        <v>6643</v>
      </c>
      <c r="B1531" s="80" t="s">
        <v>1046</v>
      </c>
      <c r="C1531" s="90">
        <v>43739</v>
      </c>
      <c r="D1531" s="2" t="s">
        <v>59</v>
      </c>
      <c r="E1531" s="92" t="s">
        <v>20066</v>
      </c>
      <c r="F1531" s="93"/>
    </row>
    <row r="1532" spans="1:10" ht="14.1" customHeight="1" x14ac:dyDescent="0.25">
      <c r="A1532" s="1"/>
      <c r="B1532" s="80" t="s">
        <v>10788</v>
      </c>
      <c r="C1532" s="91">
        <f>IF(C1531="","",IF(AND(MONTH(C1531)&gt;=1,MONTH(C1531)&lt;=3),1,IF(AND(MONTH(C1531)&gt;=4,MONTH(C1531)&lt;=6),2,IF(AND(MONTH(C1531)&gt;=7,MONTH(C1531)&lt;=9),3,4))))</f>
        <v>4</v>
      </c>
      <c r="D1532" s="1"/>
      <c r="E1532" s="92" t="s">
        <v>14822</v>
      </c>
      <c r="F1532" s="93"/>
    </row>
    <row r="1533" spans="1:10" ht="14.1" customHeight="1" x14ac:dyDescent="0.25">
      <c r="A1533" s="1"/>
      <c r="B1533" s="80" t="s">
        <v>13758</v>
      </c>
      <c r="C1533" s="90">
        <v>43829</v>
      </c>
      <c r="D1533" s="1"/>
      <c r="E1533" s="92" t="s">
        <v>18636</v>
      </c>
      <c r="F1533" s="93"/>
    </row>
    <row r="1534" spans="1:10" ht="14.1" customHeight="1" x14ac:dyDescent="0.25">
      <c r="A1534" s="1"/>
      <c r="B1534" s="80" t="s">
        <v>10788</v>
      </c>
      <c r="C1534" s="91">
        <f>IF(C1533="","",IF(AND(MONTH(C1533)&gt;=1,MONTH(C1533)&lt;=3),1,IF(AND(MONTH(C1533)&gt;=4,MONTH(C1533)&lt;=6),2,IF(AND(MONTH(C1533)&gt;=7,MONTH(C1533)&lt;=9),3,4))))</f>
        <v>4</v>
      </c>
      <c r="D1534" s="1"/>
      <c r="E1534" s="92" t="s">
        <v>15990</v>
      </c>
      <c r="F1534" s="93"/>
    </row>
    <row r="1536" spans="1:10" ht="14.1" customHeight="1" x14ac:dyDescent="0.25">
      <c r="A1536" s="85" t="s">
        <v>15474</v>
      </c>
      <c r="B1536" s="85" t="s">
        <v>5027</v>
      </c>
      <c r="C1536" s="85" t="s">
        <v>17461</v>
      </c>
      <c r="D1536" s="85" t="s">
        <v>3935</v>
      </c>
      <c r="E1536" s="85" t="s">
        <v>10722</v>
      </c>
      <c r="F1536" s="85" t="s">
        <v>18237</v>
      </c>
    </row>
    <row r="1537" spans="1:10" ht="14.1" customHeight="1" x14ac:dyDescent="0.25">
      <c r="A1537" s="94" t="s">
        <v>13151</v>
      </c>
      <c r="B1537" s="82" t="str">
        <f ca="1">IFERROR(INDEX(UNSPSCDes,MATCH(INDIRECT(ADDRESS(ROW(),COLUMN()-1,4)),UNSPSCCode,0)),IF(INDIRECT(ADDRESS(ROW(),COLUMN()-1,4))="50111510","Carne de ave o carne fresca",""))</f>
        <v>Carne de ave o carne fresca</v>
      </c>
      <c r="C1537" s="95" t="str">
        <f>IFERROR(VLOOKUP("LB",'Informacion '!P:Q,2,FALSE),"")</f>
        <v>Libra </v>
      </c>
      <c r="D1537" s="94">
        <v>60</v>
      </c>
      <c r="E1537" s="84">
        <v>80</v>
      </c>
      <c r="F1537" s="83">
        <f t="shared" ref="F1537:F1547" ca="1" si="73">INDIRECT(ADDRESS(ROW(),COLUMN()-2,4))*INDIRECT(ADDRESS(ROW(),COLUMN()-1,4))</f>
        <v>4800</v>
      </c>
    </row>
    <row r="1538" spans="1:10" ht="14.1" customHeight="1" x14ac:dyDescent="0.25">
      <c r="A1538" s="94" t="s">
        <v>13151</v>
      </c>
      <c r="B1538" s="82" t="str">
        <f ca="1">IFERROR(INDEX(UNSPSCDes,MATCH(INDIRECT(ADDRESS(ROW(),COLUMN()-1,4)),UNSPSCCode,0)),IF(INDIRECT(ADDRESS(ROW(),COLUMN()-1,4))="50111510","Carne de ave o carne fresca",""))</f>
        <v>Carne de ave o carne fresca</v>
      </c>
      <c r="C1538" s="95" t="str">
        <f>IFERROR(VLOOKUP("LB",'Informacion '!P:Q,2,FALSE),"")</f>
        <v>Libra </v>
      </c>
      <c r="D1538" s="94">
        <v>2970</v>
      </c>
      <c r="E1538" s="84">
        <v>45</v>
      </c>
      <c r="F1538" s="83">
        <f t="shared" ca="1" si="73"/>
        <v>133650</v>
      </c>
    </row>
    <row r="1539" spans="1:10" ht="14.1" customHeight="1" x14ac:dyDescent="0.25">
      <c r="A1539" s="94" t="s">
        <v>16044</v>
      </c>
      <c r="B1539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539" s="95" t="str">
        <f>IFERROR(VLOOKUP("LB",'Informacion '!P:Q,2,FALSE),"")</f>
        <v>Libra </v>
      </c>
      <c r="D1539" s="94">
        <v>1815</v>
      </c>
      <c r="E1539" s="84">
        <v>141</v>
      </c>
      <c r="F1539" s="83">
        <f t="shared" ca="1" si="73"/>
        <v>255915</v>
      </c>
    </row>
    <row r="1540" spans="1:10" ht="14.1" customHeight="1" x14ac:dyDescent="0.25">
      <c r="A1540" s="94" t="s">
        <v>16044</v>
      </c>
      <c r="B1540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540" s="95" t="str">
        <f>IFERROR(VLOOKUP("LB",'Informacion '!P:Q,2,FALSE),"")</f>
        <v>Libra </v>
      </c>
      <c r="D1540" s="94">
        <v>1710</v>
      </c>
      <c r="E1540" s="84">
        <v>105</v>
      </c>
      <c r="F1540" s="83">
        <f t="shared" ca="1" si="73"/>
        <v>179550</v>
      </c>
    </row>
    <row r="1541" spans="1:10" ht="14.1" customHeight="1" x14ac:dyDescent="0.25">
      <c r="A1541" s="94" t="s">
        <v>16044</v>
      </c>
      <c r="B1541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541" s="95" t="str">
        <f>IFERROR(VLOOKUP("LB",'Informacion '!P:Q,2,FALSE),"")</f>
        <v>Libra </v>
      </c>
      <c r="D1541" s="94">
        <v>1650</v>
      </c>
      <c r="E1541" s="84">
        <v>88</v>
      </c>
      <c r="F1541" s="83">
        <f t="shared" ca="1" si="73"/>
        <v>145200</v>
      </c>
    </row>
    <row r="1542" spans="1:10" ht="14.1" customHeight="1" x14ac:dyDescent="0.25">
      <c r="A1542" s="94" t="s">
        <v>16044</v>
      </c>
      <c r="B1542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542" s="95" t="str">
        <f>IFERROR(VLOOKUP("LB",'Informacion '!P:Q,2,FALSE),"")</f>
        <v>Libra </v>
      </c>
      <c r="D1542" s="94">
        <v>70</v>
      </c>
      <c r="E1542" s="84">
        <v>272</v>
      </c>
      <c r="F1542" s="83">
        <f t="shared" ca="1" si="73"/>
        <v>19040</v>
      </c>
    </row>
    <row r="1543" spans="1:10" ht="14.1" customHeight="1" x14ac:dyDescent="0.25">
      <c r="A1543" s="94" t="s">
        <v>16044</v>
      </c>
      <c r="B1543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543" s="95" t="str">
        <f>IFERROR(VLOOKUP("LB",'Informacion '!P:Q,2,FALSE),"")</f>
        <v>Libra </v>
      </c>
      <c r="D1543" s="94">
        <v>660</v>
      </c>
      <c r="E1543" s="84">
        <v>85</v>
      </c>
      <c r="F1543" s="83">
        <f t="shared" ca="1" si="73"/>
        <v>56100</v>
      </c>
    </row>
    <row r="1544" spans="1:10" ht="14.1" customHeight="1" x14ac:dyDescent="0.25">
      <c r="A1544" s="94" t="s">
        <v>15391</v>
      </c>
      <c r="B1544" s="82" t="str">
        <f ca="1">IFERROR(INDEX(UNSPSCDes,MATCH(INDIRECT(ADDRESS(ROW(),COLUMN()-1,4)),UNSPSCCode,0)),IF(INDIRECT(ADDRESS(ROW(),COLUMN()-1,4))="50121539","Pescado fresco",""))</f>
        <v>Pescado fresco</v>
      </c>
      <c r="C1544" s="95" t="str">
        <f>IFERROR(VLOOKUP("LB",'Informacion '!P:Q,2,FALSE),"")</f>
        <v>Libra </v>
      </c>
      <c r="D1544" s="94">
        <v>660</v>
      </c>
      <c r="E1544" s="84">
        <v>250</v>
      </c>
      <c r="F1544" s="83">
        <f t="shared" ca="1" si="73"/>
        <v>165000</v>
      </c>
    </row>
    <row r="1545" spans="1:10" ht="14.1" customHeight="1" x14ac:dyDescent="0.25">
      <c r="A1545" s="94" t="s">
        <v>15391</v>
      </c>
      <c r="B1545" s="82" t="str">
        <f ca="1">IFERROR(INDEX(UNSPSCDes,MATCH(INDIRECT(ADDRESS(ROW(),COLUMN()-1,4)),UNSPSCCode,0)),IF(INDIRECT(ADDRESS(ROW(),COLUMN()-1,4))="50121539","Pescado fresco",""))</f>
        <v>Pescado fresco</v>
      </c>
      <c r="C1545" s="95" t="str">
        <f>IFERROR(VLOOKUP("CAJ",'Informacion '!P:Q,2,FALSE),"")</f>
        <v>Caja</v>
      </c>
      <c r="D1545" s="94">
        <v>7</v>
      </c>
      <c r="E1545" s="84">
        <v>6785</v>
      </c>
      <c r="F1545" s="83">
        <f t="shared" ca="1" si="73"/>
        <v>47495</v>
      </c>
    </row>
    <row r="1546" spans="1:10" ht="14.1" customHeight="1" x14ac:dyDescent="0.25">
      <c r="A1546" s="94" t="s">
        <v>15391</v>
      </c>
      <c r="B1546" s="82" t="str">
        <f ca="1">IFERROR(INDEX(UNSPSCDes,MATCH(INDIRECT(ADDRESS(ROW(),COLUMN()-1,4)),UNSPSCCode,0)),IF(INDIRECT(ADDRESS(ROW(),COLUMN()-1,4))="50121539","Pescado fresco",""))</f>
        <v>Pescado fresco</v>
      </c>
      <c r="C1546" s="95" t="str">
        <f>IFERROR(VLOOKUP("LB",'Informacion '!P:Q,2,FALSE),"")</f>
        <v>Libra </v>
      </c>
      <c r="D1546" s="94">
        <v>660</v>
      </c>
      <c r="E1546" s="84">
        <v>74</v>
      </c>
      <c r="F1546" s="83">
        <f t="shared" ca="1" si="73"/>
        <v>48840</v>
      </c>
    </row>
    <row r="1547" spans="1:10" ht="14.1" customHeight="1" x14ac:dyDescent="0.25">
      <c r="A1547" s="94" t="s">
        <v>15391</v>
      </c>
      <c r="B1547" s="82" t="str">
        <f ca="1">IFERROR(INDEX(UNSPSCDes,MATCH(INDIRECT(ADDRESS(ROW(),COLUMN()-1,4)),UNSPSCCode,0)),IF(INDIRECT(ADDRESS(ROW(),COLUMN()-1,4))="50121539","Pescado fresco",""))</f>
        <v>Pescado fresco</v>
      </c>
      <c r="C1547" s="95" t="str">
        <f>IFERROR(VLOOKUP("UD",'Informacion '!P:Q,2,FALSE),"")</f>
        <v>Unidad</v>
      </c>
      <c r="D1547" s="94">
        <v>650</v>
      </c>
      <c r="E1547" s="84">
        <v>82</v>
      </c>
      <c r="F1547" s="83">
        <f t="shared" ca="1" si="73"/>
        <v>53300</v>
      </c>
    </row>
    <row r="1548" spans="1:10" ht="14.1" customHeight="1" x14ac:dyDescent="0.25">
      <c r="E1548" s="96" t="s">
        <v>7213</v>
      </c>
      <c r="F1548" s="87">
        <f ca="1">SUM(Table64[MONTO TOTAL ESTIMADO])</f>
        <v>1108890</v>
      </c>
      <c r="H1548" s="39" t="str">
        <f>C1530</f>
        <v>Bienes</v>
      </c>
      <c r="I1548" s="39" t="str">
        <f>E1530</f>
        <v>No</v>
      </c>
      <c r="J1548" s="39" t="str">
        <f>D1530</f>
        <v>Compras Menores</v>
      </c>
    </row>
    <row r="1550" spans="1:10" ht="33.950000000000003" customHeight="1" x14ac:dyDescent="0.25">
      <c r="A1550" s="77" t="s">
        <v>17233</v>
      </c>
      <c r="B1550" s="77" t="s">
        <v>4237</v>
      </c>
      <c r="C1550" s="77" t="s">
        <v>4743</v>
      </c>
      <c r="D1550" s="77" t="s">
        <v>9891</v>
      </c>
      <c r="E1550" s="77" t="s">
        <v>3089</v>
      </c>
      <c r="F1550" s="77" t="s">
        <v>18141</v>
      </c>
    </row>
    <row r="1551" spans="1:10" ht="14.1" customHeight="1" x14ac:dyDescent="0.25">
      <c r="A1551" s="79" t="s">
        <v>4327</v>
      </c>
      <c r="B1551" s="79" t="s">
        <v>10037</v>
      </c>
      <c r="C1551" s="79" t="s">
        <v>17215</v>
      </c>
      <c r="D1551" s="79" t="s">
        <v>17798</v>
      </c>
      <c r="E1551" s="79" t="s">
        <v>18247</v>
      </c>
      <c r="F1551" s="79"/>
    </row>
    <row r="1552" spans="1:10" ht="14.1" customHeight="1" x14ac:dyDescent="0.25">
      <c r="A1552" s="2" t="s">
        <v>6643</v>
      </c>
      <c r="B1552" s="80" t="s">
        <v>1046</v>
      </c>
      <c r="C1552" s="90">
        <v>43739</v>
      </c>
      <c r="D1552" s="2" t="s">
        <v>59</v>
      </c>
      <c r="E1552" s="92" t="s">
        <v>20066</v>
      </c>
      <c r="F1552" s="93"/>
    </row>
    <row r="1553" spans="1:6" ht="14.1" customHeight="1" x14ac:dyDescent="0.25">
      <c r="A1553" s="1"/>
      <c r="B1553" s="80" t="s">
        <v>10788</v>
      </c>
      <c r="C1553" s="91">
        <f>IF(C1552="","",IF(AND(MONTH(C1552)&gt;=1,MONTH(C1552)&lt;=3),1,IF(AND(MONTH(C1552)&gt;=4,MONTH(C1552)&lt;=6),2,IF(AND(MONTH(C1552)&gt;=7,MONTH(C1552)&lt;=9),3,4))))</f>
        <v>4</v>
      </c>
      <c r="D1553" s="1"/>
      <c r="E1553" s="92" t="s">
        <v>14822</v>
      </c>
      <c r="F1553" s="93"/>
    </row>
    <row r="1554" spans="1:6" ht="14.1" customHeight="1" x14ac:dyDescent="0.25">
      <c r="A1554" s="1"/>
      <c r="B1554" s="80" t="s">
        <v>13758</v>
      </c>
      <c r="C1554" s="90">
        <v>43829</v>
      </c>
      <c r="D1554" s="1"/>
      <c r="E1554" s="92" t="s">
        <v>18636</v>
      </c>
      <c r="F1554" s="93"/>
    </row>
    <row r="1555" spans="1:6" ht="14.1" customHeight="1" x14ac:dyDescent="0.25">
      <c r="A1555" s="1"/>
      <c r="B1555" s="80" t="s">
        <v>10788</v>
      </c>
      <c r="C1555" s="91">
        <f>IF(C1554="","",IF(AND(MONTH(C1554)&gt;=1,MONTH(C1554)&lt;=3),1,IF(AND(MONTH(C1554)&gt;=4,MONTH(C1554)&lt;=6),2,IF(AND(MONTH(C1554)&gt;=7,MONTH(C1554)&lt;=9),3,4))))</f>
        <v>4</v>
      </c>
      <c r="D1555" s="1"/>
      <c r="E1555" s="92" t="s">
        <v>15990</v>
      </c>
      <c r="F1555" s="93"/>
    </row>
    <row r="1557" spans="1:6" ht="14.1" customHeight="1" x14ac:dyDescent="0.25">
      <c r="A1557" s="85" t="s">
        <v>15474</v>
      </c>
      <c r="B1557" s="85" t="s">
        <v>5027</v>
      </c>
      <c r="C1557" s="85" t="s">
        <v>17461</v>
      </c>
      <c r="D1557" s="85" t="s">
        <v>3935</v>
      </c>
      <c r="E1557" s="85" t="s">
        <v>10722</v>
      </c>
      <c r="F1557" s="85" t="s">
        <v>18237</v>
      </c>
    </row>
    <row r="1558" spans="1:6" ht="14.1" customHeight="1" x14ac:dyDescent="0.25">
      <c r="A1558" s="94" t="s">
        <v>12504</v>
      </c>
      <c r="B1558" s="82" t="str">
        <f ca="1">IFERROR(INDEX(UNSPSCDes,MATCH(INDIRECT(ADDRESS(ROW(),COLUMN()-1,4)),UNSPSCCode,0)),IF(INDIRECT(ADDRESS(ROW(),COLUMN()-1,4))="51191604","Solución ringer lactato",""))</f>
        <v>Solución ringer lactato</v>
      </c>
      <c r="C1558" s="95" t="str">
        <f>IFERROR(VLOOKUP("UD",'Informacion '!P:Q,2,FALSE),"")</f>
        <v>Unidad</v>
      </c>
      <c r="D1558" s="94">
        <v>21</v>
      </c>
      <c r="E1558" s="84">
        <v>142.15</v>
      </c>
      <c r="F1558" s="83">
        <f t="shared" ref="F1558:F1569" ca="1" si="74">INDIRECT(ADDRESS(ROW(),COLUMN()-2,4))*INDIRECT(ADDRESS(ROW(),COLUMN()-1,4))</f>
        <v>2985.15</v>
      </c>
    </row>
    <row r="1559" spans="1:6" ht="14.1" customHeight="1" x14ac:dyDescent="0.25">
      <c r="A1559" s="94" t="s">
        <v>6559</v>
      </c>
      <c r="B1559" s="82" t="str">
        <f ca="1">IFERROR(INDEX(UNSPSCDes,MATCH(INDIRECT(ADDRESS(ROW(),COLUMN()-1,4)),UNSPSCCode,0)),IF(INDIRECT(ADDRESS(ROW(),COLUMN()-1,4))="51191601","Dextrosa",""))</f>
        <v>Dextrosa</v>
      </c>
      <c r="C1559" s="95" t="str">
        <f>IFERROR(VLOOKUP("UD",'Informacion '!P:Q,2,FALSE),"")</f>
        <v>Unidad</v>
      </c>
      <c r="D1559" s="94">
        <v>197</v>
      </c>
      <c r="E1559" s="84">
        <v>44.86</v>
      </c>
      <c r="F1559" s="83">
        <f t="shared" ca="1" si="74"/>
        <v>8837.42</v>
      </c>
    </row>
    <row r="1560" spans="1:6" ht="14.1" customHeight="1" x14ac:dyDescent="0.25">
      <c r="A1560" s="94" t="s">
        <v>6559</v>
      </c>
      <c r="B1560" s="82" t="str">
        <f ca="1">IFERROR(INDEX(UNSPSCDes,MATCH(INDIRECT(ADDRESS(ROW(),COLUMN()-1,4)),UNSPSCCode,0)),IF(INDIRECT(ADDRESS(ROW(),COLUMN()-1,4))="51191601","Dextrosa",""))</f>
        <v>Dextrosa</v>
      </c>
      <c r="C1560" s="95" t="str">
        <f>IFERROR(VLOOKUP("UD",'Informacion '!P:Q,2,FALSE),"")</f>
        <v>Unidad</v>
      </c>
      <c r="D1560" s="94">
        <v>369</v>
      </c>
      <c r="E1560" s="84">
        <v>39.17</v>
      </c>
      <c r="F1560" s="83">
        <f t="shared" ca="1" si="74"/>
        <v>14453.730000000001</v>
      </c>
    </row>
    <row r="1561" spans="1:6" ht="14.1" customHeight="1" x14ac:dyDescent="0.25">
      <c r="A1561" s="94" t="s">
        <v>6559</v>
      </c>
      <c r="B1561" s="82" t="str">
        <f ca="1">IFERROR(INDEX(UNSPSCDes,MATCH(INDIRECT(ADDRESS(ROW(),COLUMN()-1,4)),UNSPSCCode,0)),IF(INDIRECT(ADDRESS(ROW(),COLUMN()-1,4))="51191601","Dextrosa",""))</f>
        <v>Dextrosa</v>
      </c>
      <c r="C1561" s="95" t="str">
        <f>IFERROR(VLOOKUP("UD",'Informacion '!P:Q,2,FALSE),"")</f>
        <v>Unidad</v>
      </c>
      <c r="D1561" s="94">
        <v>89</v>
      </c>
      <c r="E1561" s="84">
        <v>34.97</v>
      </c>
      <c r="F1561" s="83">
        <f t="shared" ca="1" si="74"/>
        <v>3112.33</v>
      </c>
    </row>
    <row r="1562" spans="1:6" ht="14.1" customHeight="1" x14ac:dyDescent="0.25">
      <c r="A1562" s="94" t="s">
        <v>9830</v>
      </c>
      <c r="B1562" s="82" t="str">
        <f ca="1">IFERROR(INDEX(UNSPSCDes,MATCH(INDIRECT(ADDRESS(ROW(),COLUMN()-1,4)),UNSPSCCode,0)),IF(INDIRECT(ADDRESS(ROW(),COLUMN()-1,4))="41113308","Analizadores de electrolitos",""))</f>
        <v>Analizadores de electrolitos</v>
      </c>
      <c r="C1562" s="95" t="str">
        <f>IFERROR(VLOOKUP("UD",'Informacion '!P:Q,2,FALSE),"")</f>
        <v>Unidad</v>
      </c>
      <c r="D1562" s="94">
        <v>6</v>
      </c>
      <c r="E1562" s="84">
        <v>620</v>
      </c>
      <c r="F1562" s="83">
        <f t="shared" ca="1" si="74"/>
        <v>3720</v>
      </c>
    </row>
    <row r="1563" spans="1:6" ht="14.1" customHeight="1" x14ac:dyDescent="0.25">
      <c r="A1563" s="94" t="s">
        <v>10112</v>
      </c>
      <c r="B1563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563" s="95" t="str">
        <f>IFERROR(VLOOKUP("UD",'Informacion '!P:Q,2,FALSE),"")</f>
        <v>Unidad</v>
      </c>
      <c r="D1563" s="94">
        <v>10560</v>
      </c>
      <c r="E1563" s="84">
        <v>60.32</v>
      </c>
      <c r="F1563" s="83">
        <f t="shared" ca="1" si="74"/>
        <v>636979.19999999995</v>
      </c>
    </row>
    <row r="1564" spans="1:6" ht="14.1" customHeight="1" x14ac:dyDescent="0.25">
      <c r="A1564" s="94" t="s">
        <v>12504</v>
      </c>
      <c r="B1564" s="82" t="str">
        <f ca="1">IFERROR(INDEX(UNSPSCDes,MATCH(INDIRECT(ADDRESS(ROW(),COLUMN()-1,4)),UNSPSCCode,0)),IF(INDIRECT(ADDRESS(ROW(),COLUMN()-1,4))="51191604","Solución ringer lactato",""))</f>
        <v>Solución ringer lactato</v>
      </c>
      <c r="C1564" s="95" t="str">
        <f>IFERROR(VLOOKUP("UD",'Informacion '!P:Q,2,FALSE),"")</f>
        <v>Unidad</v>
      </c>
      <c r="D1564" s="94">
        <v>4</v>
      </c>
      <c r="E1564" s="84">
        <v>151.61000000000001</v>
      </c>
      <c r="F1564" s="83">
        <f t="shared" ca="1" si="74"/>
        <v>606.44000000000005</v>
      </c>
    </row>
    <row r="1565" spans="1:6" ht="14.1" customHeight="1" x14ac:dyDescent="0.25">
      <c r="A1565" s="94" t="s">
        <v>12748</v>
      </c>
      <c r="B1565" s="82" t="str">
        <f ca="1">IFERROR(INDEX(UNSPSCDes,MATCH(INDIRECT(ADDRESS(ROW(),COLUMN()-1,4)),UNSPSCCode,0)),IF(INDIRECT(ADDRESS(ROW(),COLUMN()-1,4))="51191805","Suplemento de potasio",""))</f>
        <v>Suplemento de potasio</v>
      </c>
      <c r="C1565" s="95" t="str">
        <f>IFERROR(VLOOKUP("UD",'Informacion '!P:Q,2,FALSE),"")</f>
        <v>Unidad</v>
      </c>
      <c r="D1565" s="94">
        <v>603</v>
      </c>
      <c r="E1565" s="84">
        <v>36.270000000000003</v>
      </c>
      <c r="F1565" s="83">
        <f t="shared" ca="1" si="74"/>
        <v>21870.81</v>
      </c>
    </row>
    <row r="1566" spans="1:6" ht="14.1" customHeight="1" x14ac:dyDescent="0.25">
      <c r="A1566" s="94" t="s">
        <v>9317</v>
      </c>
      <c r="B1566" s="82" t="str">
        <f ca="1">IFERROR(INDEX(UNSPSCDes,MATCH(INDIRECT(ADDRESS(ROW(),COLUMN()-1,4)),UNSPSCCode,0)),IF(INDIRECT(ADDRESS(ROW(),COLUMN()-1,4))="12352209","Aminoácidos o sus derivados",""))</f>
        <v>Aminoácidos o sus derivados</v>
      </c>
      <c r="C1566" s="95" t="str">
        <f>IFERROR(VLOOKUP("UD",'Informacion '!P:Q,2,FALSE),"")</f>
        <v>Unidad</v>
      </c>
      <c r="D1566" s="94">
        <v>26</v>
      </c>
      <c r="E1566" s="84">
        <v>590</v>
      </c>
      <c r="F1566" s="83">
        <f t="shared" ca="1" si="74"/>
        <v>15340</v>
      </c>
    </row>
    <row r="1567" spans="1:6" ht="14.1" customHeight="1" x14ac:dyDescent="0.25">
      <c r="A1567" s="94" t="s">
        <v>4122</v>
      </c>
      <c r="B1567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1567" s="95" t="str">
        <f>IFERROR(VLOOKUP("UD",'Informacion '!P:Q,2,FALSE),"")</f>
        <v>Unidad</v>
      </c>
      <c r="D1567" s="94">
        <v>22</v>
      </c>
      <c r="E1567" s="84">
        <v>1975.06</v>
      </c>
      <c r="F1567" s="83">
        <f t="shared" ca="1" si="74"/>
        <v>43451.32</v>
      </c>
    </row>
    <row r="1568" spans="1:6" ht="14.1" customHeight="1" x14ac:dyDescent="0.25">
      <c r="A1568" s="94" t="s">
        <v>4122</v>
      </c>
      <c r="B1568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1568" s="95" t="str">
        <f>IFERROR(VLOOKUP("UD",'Informacion '!P:Q,2,FALSE),"")</f>
        <v>Unidad</v>
      </c>
      <c r="D1568" s="94">
        <v>16</v>
      </c>
      <c r="E1568" s="84">
        <v>2010.96</v>
      </c>
      <c r="F1568" s="83">
        <f t="shared" ca="1" si="74"/>
        <v>32175.360000000001</v>
      </c>
    </row>
    <row r="1569" spans="1:10" ht="14.1" customHeight="1" x14ac:dyDescent="0.25">
      <c r="A1569" s="94" t="s">
        <v>12504</v>
      </c>
      <c r="B1569" s="82" t="str">
        <f ca="1">IFERROR(INDEX(UNSPSCDes,MATCH(INDIRECT(ADDRESS(ROW(),COLUMN()-1,4)),UNSPSCCode,0)),IF(INDIRECT(ADDRESS(ROW(),COLUMN()-1,4))="51191604","Solución ringer lactato",""))</f>
        <v>Solución ringer lactato</v>
      </c>
      <c r="C1569" s="95" t="str">
        <f>IFERROR(VLOOKUP("UD",'Informacion '!P:Q,2,FALSE),"")</f>
        <v>Unidad</v>
      </c>
      <c r="D1569" s="94">
        <v>360</v>
      </c>
      <c r="E1569" s="84">
        <v>34.299999999999997</v>
      </c>
      <c r="F1569" s="83">
        <f t="shared" ca="1" si="74"/>
        <v>12347.999999999998</v>
      </c>
    </row>
    <row r="1570" spans="1:10" ht="14.1" customHeight="1" x14ac:dyDescent="0.25">
      <c r="E1570" s="96" t="s">
        <v>7213</v>
      </c>
      <c r="F1570" s="87">
        <f ca="1">SUM(Table65[MONTO TOTAL ESTIMADO])</f>
        <v>795879.75999999989</v>
      </c>
      <c r="H1570" s="39" t="str">
        <f>C1551</f>
        <v>Bienes</v>
      </c>
      <c r="I1570" s="39" t="str">
        <f>E1551</f>
        <v>No</v>
      </c>
      <c r="J1570" s="39" t="str">
        <f>D1551</f>
        <v>Compras Menores</v>
      </c>
    </row>
    <row r="1572" spans="1:10" ht="33.950000000000003" customHeight="1" x14ac:dyDescent="0.25">
      <c r="A1572" s="77" t="s">
        <v>17233</v>
      </c>
      <c r="B1572" s="77" t="s">
        <v>4237</v>
      </c>
      <c r="C1572" s="77" t="s">
        <v>4743</v>
      </c>
      <c r="D1572" s="77" t="s">
        <v>9891</v>
      </c>
      <c r="E1572" s="77" t="s">
        <v>3089</v>
      </c>
      <c r="F1572" s="77" t="s">
        <v>18141</v>
      </c>
    </row>
    <row r="1573" spans="1:10" ht="14.1" customHeight="1" x14ac:dyDescent="0.25">
      <c r="A1573" s="79" t="s">
        <v>1019</v>
      </c>
      <c r="B1573" s="79" t="s">
        <v>9614</v>
      </c>
      <c r="C1573" s="79" t="s">
        <v>17215</v>
      </c>
      <c r="D1573" s="79" t="s">
        <v>13474</v>
      </c>
      <c r="E1573" s="79" t="s">
        <v>18247</v>
      </c>
      <c r="F1573" s="79"/>
    </row>
    <row r="1574" spans="1:10" ht="14.1" customHeight="1" x14ac:dyDescent="0.25">
      <c r="A1574" s="2" t="s">
        <v>6643</v>
      </c>
      <c r="B1574" s="80" t="s">
        <v>1046</v>
      </c>
      <c r="C1574" s="90">
        <v>43467</v>
      </c>
      <c r="D1574" s="2" t="s">
        <v>59</v>
      </c>
      <c r="E1574" s="92" t="s">
        <v>20066</v>
      </c>
      <c r="F1574" s="93"/>
    </row>
    <row r="1575" spans="1:10" ht="14.1" customHeight="1" x14ac:dyDescent="0.25">
      <c r="A1575" s="1"/>
      <c r="B1575" s="80" t="s">
        <v>10788</v>
      </c>
      <c r="C1575" s="91">
        <f>IF(C1574="","",IF(AND(MONTH(C1574)&gt;=1,MONTH(C1574)&lt;=3),1,IF(AND(MONTH(C1574)&gt;=4,MONTH(C1574)&lt;=6),2,IF(AND(MONTH(C1574)&gt;=7,MONTH(C1574)&lt;=9),3,4))))</f>
        <v>1</v>
      </c>
      <c r="D1575" s="1"/>
      <c r="E1575" s="92" t="s">
        <v>14822</v>
      </c>
      <c r="F1575" s="93"/>
    </row>
    <row r="1576" spans="1:10" ht="14.1" customHeight="1" x14ac:dyDescent="0.25">
      <c r="A1576" s="1"/>
      <c r="B1576" s="80" t="s">
        <v>13758</v>
      </c>
      <c r="C1576" s="90">
        <v>43553</v>
      </c>
      <c r="D1576" s="1"/>
      <c r="E1576" s="92" t="s">
        <v>18636</v>
      </c>
      <c r="F1576" s="93"/>
    </row>
    <row r="1577" spans="1:10" ht="14.1" customHeight="1" x14ac:dyDescent="0.25">
      <c r="A1577" s="1"/>
      <c r="B1577" s="80" t="s">
        <v>10788</v>
      </c>
      <c r="C1577" s="91">
        <f>IF(C1576="","",IF(AND(MONTH(C1576)&gt;=1,MONTH(C1576)&lt;=3),1,IF(AND(MONTH(C1576)&gt;=4,MONTH(C1576)&lt;=6),2,IF(AND(MONTH(C1576)&gt;=7,MONTH(C1576)&lt;=9),3,4))))</f>
        <v>1</v>
      </c>
      <c r="D1577" s="1"/>
      <c r="E1577" s="92" t="s">
        <v>15990</v>
      </c>
      <c r="F1577" s="93"/>
    </row>
    <row r="1579" spans="1:10" ht="14.1" customHeight="1" x14ac:dyDescent="0.25">
      <c r="A1579" s="85" t="s">
        <v>15474</v>
      </c>
      <c r="B1579" s="85" t="s">
        <v>5027</v>
      </c>
      <c r="C1579" s="85" t="s">
        <v>17461</v>
      </c>
      <c r="D1579" s="85" t="s">
        <v>3935</v>
      </c>
      <c r="E1579" s="85" t="s">
        <v>10722</v>
      </c>
      <c r="F1579" s="85" t="s">
        <v>18237</v>
      </c>
    </row>
    <row r="1580" spans="1:10" ht="14.1" customHeight="1" x14ac:dyDescent="0.25">
      <c r="A1580" s="94" t="s">
        <v>10296</v>
      </c>
      <c r="B1580" s="82" t="str">
        <f ca="1">IFERROR(INDEX(UNSPSCDes,MATCH(INDIRECT(ADDRESS(ROW(),COLUMN()-1,4)),UNSPSCCode,0)),IF(INDIRECT(ADDRESS(ROW(),COLUMN()-1,4))="50192701","Comidas combinadas frescas",""))</f>
        <v>Comidas combinadas frescas</v>
      </c>
      <c r="C1580" s="95" t="str">
        <f>IFERROR(VLOOKUP("LB",'Informacion '!P:Q,2,FALSE),"")</f>
        <v>Libra </v>
      </c>
      <c r="D1580" s="94">
        <v>330</v>
      </c>
      <c r="E1580" s="84">
        <v>116</v>
      </c>
      <c r="F1580" s="83">
        <f ca="1">INDIRECT(ADDRESS(ROW(),COLUMN()-2,4))*INDIRECT(ADDRESS(ROW(),COLUMN()-1,4))</f>
        <v>38280</v>
      </c>
    </row>
    <row r="1581" spans="1:10" ht="14.1" customHeight="1" x14ac:dyDescent="0.25">
      <c r="A1581" s="94" t="s">
        <v>10296</v>
      </c>
      <c r="B1581" s="82" t="str">
        <f ca="1">IFERROR(INDEX(UNSPSCDes,MATCH(INDIRECT(ADDRESS(ROW(),COLUMN()-1,4)),UNSPSCCode,0)),IF(INDIRECT(ADDRESS(ROW(),COLUMN()-1,4))="50192701","Comidas combinadas frescas",""))</f>
        <v>Comidas combinadas frescas</v>
      </c>
      <c r="C1581" s="95" t="str">
        <f>IFERROR(VLOOKUP("LB",'Informacion '!P:Q,2,FALSE),"")</f>
        <v>Libra </v>
      </c>
      <c r="D1581" s="94">
        <v>600</v>
      </c>
      <c r="E1581" s="84">
        <v>168</v>
      </c>
      <c r="F1581" s="83">
        <f ca="1">INDIRECT(ADDRESS(ROW(),COLUMN()-2,4))*INDIRECT(ADDRESS(ROW(),COLUMN()-1,4))</f>
        <v>100800</v>
      </c>
    </row>
    <row r="1582" spans="1:10" ht="14.1" customHeight="1" x14ac:dyDescent="0.25">
      <c r="A1582" s="94" t="s">
        <v>10296</v>
      </c>
      <c r="B1582" s="82" t="str">
        <f ca="1">IFERROR(INDEX(UNSPSCDes,MATCH(INDIRECT(ADDRESS(ROW(),COLUMN()-1,4)),UNSPSCCode,0)),IF(INDIRECT(ADDRESS(ROW(),COLUMN()-1,4))="50192701","Comidas combinadas frescas",""))</f>
        <v>Comidas combinadas frescas</v>
      </c>
      <c r="C1582" s="95" t="str">
        <f>IFERROR(VLOOKUP("PAQ",'Informacion '!P:Q,2,FALSE),"")</f>
        <v>Paquete</v>
      </c>
      <c r="D1582" s="94">
        <v>55</v>
      </c>
      <c r="E1582" s="84">
        <v>88</v>
      </c>
      <c r="F1582" s="83">
        <f ca="1">INDIRECT(ADDRESS(ROW(),COLUMN()-2,4))*INDIRECT(ADDRESS(ROW(),COLUMN()-1,4))</f>
        <v>4840</v>
      </c>
    </row>
    <row r="1583" spans="1:10" ht="14.1" customHeight="1" x14ac:dyDescent="0.25">
      <c r="A1583" s="94" t="s">
        <v>10296</v>
      </c>
      <c r="B1583" s="82" t="str">
        <f ca="1">IFERROR(INDEX(UNSPSCDes,MATCH(INDIRECT(ADDRESS(ROW(),COLUMN()-1,4)),UNSPSCCode,0)),IF(INDIRECT(ADDRESS(ROW(),COLUMN()-1,4))="50192701","Comidas combinadas frescas",""))</f>
        <v>Comidas combinadas frescas</v>
      </c>
      <c r="C1583" s="95" t="str">
        <f>IFERROR(VLOOKUP("LB",'Informacion '!P:Q,2,FALSE),"")</f>
        <v>Libra </v>
      </c>
      <c r="D1583" s="94">
        <v>264</v>
      </c>
      <c r="E1583" s="84">
        <v>75</v>
      </c>
      <c r="F1583" s="83">
        <f ca="1">INDIRECT(ADDRESS(ROW(),COLUMN()-2,4))*INDIRECT(ADDRESS(ROW(),COLUMN()-1,4))</f>
        <v>19800</v>
      </c>
    </row>
    <row r="1584" spans="1:10" ht="14.1" customHeight="1" x14ac:dyDescent="0.25">
      <c r="A1584" s="94" t="s">
        <v>10296</v>
      </c>
      <c r="B1584" s="82" t="str">
        <f ca="1">IFERROR(INDEX(UNSPSCDes,MATCH(INDIRECT(ADDRESS(ROW(),COLUMN()-1,4)),UNSPSCCode,0)),IF(INDIRECT(ADDRESS(ROW(),COLUMN()-1,4))="50192701","Comidas combinadas frescas",""))</f>
        <v>Comidas combinadas frescas</v>
      </c>
      <c r="C1584" s="95" t="str">
        <f>IFERROR(VLOOKUP("PAQ",'Informacion '!P:Q,2,FALSE),"")</f>
        <v>Paquete</v>
      </c>
      <c r="D1584" s="94">
        <v>55</v>
      </c>
      <c r="E1584" s="84">
        <v>232</v>
      </c>
      <c r="F1584" s="83">
        <f ca="1">INDIRECT(ADDRESS(ROW(),COLUMN()-2,4))*INDIRECT(ADDRESS(ROW(),COLUMN()-1,4))</f>
        <v>12760</v>
      </c>
    </row>
    <row r="1585" spans="1:10" ht="14.1" customHeight="1" x14ac:dyDescent="0.25">
      <c r="E1585" s="96" t="s">
        <v>7213</v>
      </c>
      <c r="F1585" s="87">
        <f ca="1">SUM(Table66[MONTO TOTAL ESTIMADO])</f>
        <v>176480</v>
      </c>
      <c r="H1585" s="39" t="str">
        <f>C1573</f>
        <v>Bienes</v>
      </c>
      <c r="I1585" s="39" t="str">
        <f>E1573</f>
        <v>No</v>
      </c>
      <c r="J1585" s="39" t="str">
        <f>D1573</f>
        <v>Compras por debajo del Umbral</v>
      </c>
    </row>
    <row r="1587" spans="1:10" ht="33.950000000000003" customHeight="1" x14ac:dyDescent="0.25">
      <c r="A1587" s="77" t="s">
        <v>17233</v>
      </c>
      <c r="B1587" s="77" t="s">
        <v>4237</v>
      </c>
      <c r="C1587" s="77" t="s">
        <v>4743</v>
      </c>
      <c r="D1587" s="77" t="s">
        <v>9891</v>
      </c>
      <c r="E1587" s="77" t="s">
        <v>3089</v>
      </c>
      <c r="F1587" s="77" t="s">
        <v>18141</v>
      </c>
    </row>
    <row r="1588" spans="1:10" ht="14.1" customHeight="1" x14ac:dyDescent="0.25">
      <c r="A1588" s="79" t="s">
        <v>2423</v>
      </c>
      <c r="B1588" s="79" t="s">
        <v>16474</v>
      </c>
      <c r="C1588" s="79" t="s">
        <v>17215</v>
      </c>
      <c r="D1588" s="79" t="s">
        <v>13474</v>
      </c>
      <c r="E1588" s="79" t="s">
        <v>18247</v>
      </c>
      <c r="F1588" s="79"/>
    </row>
    <row r="1589" spans="1:10" ht="14.1" customHeight="1" x14ac:dyDescent="0.25">
      <c r="A1589" s="2" t="s">
        <v>6643</v>
      </c>
      <c r="B1589" s="80" t="s">
        <v>1046</v>
      </c>
      <c r="C1589" s="90">
        <v>43556</v>
      </c>
      <c r="D1589" s="2" t="s">
        <v>59</v>
      </c>
      <c r="E1589" s="92" t="s">
        <v>20066</v>
      </c>
      <c r="F1589" s="93"/>
    </row>
    <row r="1590" spans="1:10" ht="14.1" customHeight="1" x14ac:dyDescent="0.25">
      <c r="A1590" s="1"/>
      <c r="B1590" s="80" t="s">
        <v>10788</v>
      </c>
      <c r="C1590" s="91">
        <f>IF(C1589="","",IF(AND(MONTH(C1589)&gt;=1,MONTH(C1589)&lt;=3),1,IF(AND(MONTH(C1589)&gt;=4,MONTH(C1589)&lt;=6),2,IF(AND(MONTH(C1589)&gt;=7,MONTH(C1589)&lt;=9),3,4))))</f>
        <v>2</v>
      </c>
      <c r="D1590" s="1"/>
      <c r="E1590" s="92" t="s">
        <v>14822</v>
      </c>
      <c r="F1590" s="93"/>
    </row>
    <row r="1591" spans="1:10" ht="14.1" customHeight="1" x14ac:dyDescent="0.25">
      <c r="A1591" s="1"/>
      <c r="B1591" s="80" t="s">
        <v>13758</v>
      </c>
      <c r="C1591" s="90">
        <v>43644</v>
      </c>
      <c r="D1591" s="1"/>
      <c r="E1591" s="92" t="s">
        <v>18636</v>
      </c>
      <c r="F1591" s="93"/>
    </row>
    <row r="1592" spans="1:10" ht="14.1" customHeight="1" x14ac:dyDescent="0.25">
      <c r="A1592" s="1"/>
      <c r="B1592" s="80" t="s">
        <v>10788</v>
      </c>
      <c r="C1592" s="91">
        <f>IF(C1591="","",IF(AND(MONTH(C1591)&gt;=1,MONTH(C1591)&lt;=3),1,IF(AND(MONTH(C1591)&gt;=4,MONTH(C1591)&lt;=6),2,IF(AND(MONTH(C1591)&gt;=7,MONTH(C1591)&lt;=9),3,4))))</f>
        <v>2</v>
      </c>
      <c r="D1592" s="1"/>
      <c r="E1592" s="92" t="s">
        <v>15990</v>
      </c>
      <c r="F1592" s="93"/>
    </row>
    <row r="1594" spans="1:10" ht="14.1" customHeight="1" x14ac:dyDescent="0.25">
      <c r="A1594" s="85" t="s">
        <v>15474</v>
      </c>
      <c r="B1594" s="85" t="s">
        <v>5027</v>
      </c>
      <c r="C1594" s="85" t="s">
        <v>17461</v>
      </c>
      <c r="D1594" s="85" t="s">
        <v>3935</v>
      </c>
      <c r="E1594" s="85" t="s">
        <v>10722</v>
      </c>
      <c r="F1594" s="85" t="s">
        <v>18237</v>
      </c>
    </row>
    <row r="1595" spans="1:10" ht="14.1" customHeight="1" x14ac:dyDescent="0.25">
      <c r="A1595" s="94" t="s">
        <v>10296</v>
      </c>
      <c r="B1595" s="82" t="str">
        <f ca="1">IFERROR(INDEX(UNSPSCDes,MATCH(INDIRECT(ADDRESS(ROW(),COLUMN()-1,4)),UNSPSCCode,0)),IF(INDIRECT(ADDRESS(ROW(),COLUMN()-1,4))="50192701","Comidas combinadas frescas",""))</f>
        <v>Comidas combinadas frescas</v>
      </c>
      <c r="C1595" s="95" t="str">
        <f>IFERROR(VLOOKUP("LB",'Informacion '!P:Q,2,FALSE),"")</f>
        <v>Libra </v>
      </c>
      <c r="D1595" s="94">
        <v>330</v>
      </c>
      <c r="E1595" s="84">
        <v>116</v>
      </c>
      <c r="F1595" s="83">
        <f ca="1">INDIRECT(ADDRESS(ROW(),COLUMN()-2,4))*INDIRECT(ADDRESS(ROW(),COLUMN()-1,4))</f>
        <v>38280</v>
      </c>
    </row>
    <row r="1596" spans="1:10" ht="14.1" customHeight="1" x14ac:dyDescent="0.25">
      <c r="A1596" s="94" t="s">
        <v>10296</v>
      </c>
      <c r="B1596" s="82" t="str">
        <f ca="1">IFERROR(INDEX(UNSPSCDes,MATCH(INDIRECT(ADDRESS(ROW(),COLUMN()-1,4)),UNSPSCCode,0)),IF(INDIRECT(ADDRESS(ROW(),COLUMN()-1,4))="50192701","Comidas combinadas frescas",""))</f>
        <v>Comidas combinadas frescas</v>
      </c>
      <c r="C1596" s="95" t="str">
        <f>IFERROR(VLOOKUP("LB",'Informacion '!P:Q,2,FALSE),"")</f>
        <v>Libra </v>
      </c>
      <c r="D1596" s="94">
        <v>600</v>
      </c>
      <c r="E1596" s="84">
        <v>168</v>
      </c>
      <c r="F1596" s="83">
        <f ca="1">INDIRECT(ADDRESS(ROW(),COLUMN()-2,4))*INDIRECT(ADDRESS(ROW(),COLUMN()-1,4))</f>
        <v>100800</v>
      </c>
    </row>
    <row r="1597" spans="1:10" ht="14.1" customHeight="1" x14ac:dyDescent="0.25">
      <c r="A1597" s="94" t="s">
        <v>10296</v>
      </c>
      <c r="B1597" s="82" t="str">
        <f ca="1">IFERROR(INDEX(UNSPSCDes,MATCH(INDIRECT(ADDRESS(ROW(),COLUMN()-1,4)),UNSPSCCode,0)),IF(INDIRECT(ADDRESS(ROW(),COLUMN()-1,4))="50192701","Comidas combinadas frescas",""))</f>
        <v>Comidas combinadas frescas</v>
      </c>
      <c r="C1597" s="95" t="str">
        <f>IFERROR(VLOOKUP("PAQ",'Informacion '!P:Q,2,FALSE),"")</f>
        <v>Paquete</v>
      </c>
      <c r="D1597" s="94">
        <v>55</v>
      </c>
      <c r="E1597" s="84">
        <v>88</v>
      </c>
      <c r="F1597" s="83">
        <f ca="1">INDIRECT(ADDRESS(ROW(),COLUMN()-2,4))*INDIRECT(ADDRESS(ROW(),COLUMN()-1,4))</f>
        <v>4840</v>
      </c>
    </row>
    <row r="1598" spans="1:10" ht="14.1" customHeight="1" x14ac:dyDescent="0.25">
      <c r="A1598" s="94" t="s">
        <v>10296</v>
      </c>
      <c r="B1598" s="82" t="str">
        <f ca="1">IFERROR(INDEX(UNSPSCDes,MATCH(INDIRECT(ADDRESS(ROW(),COLUMN()-1,4)),UNSPSCCode,0)),IF(INDIRECT(ADDRESS(ROW(),COLUMN()-1,4))="50192701","Comidas combinadas frescas",""))</f>
        <v>Comidas combinadas frescas</v>
      </c>
      <c r="C1598" s="95" t="str">
        <f>IFERROR(VLOOKUP("LB",'Informacion '!P:Q,2,FALSE),"")</f>
        <v>Libra </v>
      </c>
      <c r="D1598" s="94">
        <v>264</v>
      </c>
      <c r="E1598" s="84">
        <v>75</v>
      </c>
      <c r="F1598" s="83">
        <f ca="1">INDIRECT(ADDRESS(ROW(),COLUMN()-2,4))*INDIRECT(ADDRESS(ROW(),COLUMN()-1,4))</f>
        <v>19800</v>
      </c>
    </row>
    <row r="1599" spans="1:10" ht="14.1" customHeight="1" x14ac:dyDescent="0.25">
      <c r="A1599" s="94" t="s">
        <v>10296</v>
      </c>
      <c r="B1599" s="82" t="str">
        <f ca="1">IFERROR(INDEX(UNSPSCDes,MATCH(INDIRECT(ADDRESS(ROW(),COLUMN()-1,4)),UNSPSCCode,0)),IF(INDIRECT(ADDRESS(ROW(),COLUMN()-1,4))="50192701","Comidas combinadas frescas",""))</f>
        <v>Comidas combinadas frescas</v>
      </c>
      <c r="C1599" s="95" t="str">
        <f>IFERROR(VLOOKUP("PAQ",'Informacion '!P:Q,2,FALSE),"")</f>
        <v>Paquete</v>
      </c>
      <c r="D1599" s="94">
        <v>55</v>
      </c>
      <c r="E1599" s="84">
        <v>232</v>
      </c>
      <c r="F1599" s="83">
        <f ca="1">INDIRECT(ADDRESS(ROW(),COLUMN()-2,4))*INDIRECT(ADDRESS(ROW(),COLUMN()-1,4))</f>
        <v>12760</v>
      </c>
    </row>
    <row r="1600" spans="1:10" ht="14.1" customHeight="1" x14ac:dyDescent="0.25">
      <c r="E1600" s="96" t="s">
        <v>7213</v>
      </c>
      <c r="F1600" s="87">
        <f ca="1">SUM(Table67[MONTO TOTAL ESTIMADO])</f>
        <v>176480</v>
      </c>
      <c r="H1600" s="39" t="str">
        <f>C1588</f>
        <v>Bienes</v>
      </c>
      <c r="I1600" s="39" t="str">
        <f>E1588</f>
        <v>No</v>
      </c>
      <c r="J1600" s="39" t="str">
        <f>D1588</f>
        <v>Compras por debajo del Umbral</v>
      </c>
    </row>
    <row r="1602" spans="1:6" ht="33.950000000000003" customHeight="1" x14ac:dyDescent="0.25">
      <c r="A1602" s="77" t="s">
        <v>17233</v>
      </c>
      <c r="B1602" s="77" t="s">
        <v>4237</v>
      </c>
      <c r="C1602" s="77" t="s">
        <v>4743</v>
      </c>
      <c r="D1602" s="77" t="s">
        <v>9891</v>
      </c>
      <c r="E1602" s="77" t="s">
        <v>3089</v>
      </c>
      <c r="F1602" s="77" t="s">
        <v>18141</v>
      </c>
    </row>
    <row r="1603" spans="1:6" ht="14.1" customHeight="1" x14ac:dyDescent="0.25">
      <c r="A1603" s="79" t="s">
        <v>19466</v>
      </c>
      <c r="B1603" s="79" t="s">
        <v>6582</v>
      </c>
      <c r="C1603" s="79" t="s">
        <v>17215</v>
      </c>
      <c r="D1603" s="79" t="s">
        <v>15249</v>
      </c>
      <c r="E1603" s="79" t="s">
        <v>18247</v>
      </c>
      <c r="F1603" s="79"/>
    </row>
    <row r="1604" spans="1:6" ht="14.1" customHeight="1" x14ac:dyDescent="0.25">
      <c r="A1604" s="2" t="s">
        <v>6643</v>
      </c>
      <c r="B1604" s="80" t="s">
        <v>1046</v>
      </c>
      <c r="C1604" s="90">
        <v>43467</v>
      </c>
      <c r="D1604" s="2" t="s">
        <v>59</v>
      </c>
      <c r="E1604" s="92" t="s">
        <v>20066</v>
      </c>
      <c r="F1604" s="93"/>
    </row>
    <row r="1605" spans="1:6" ht="14.1" customHeight="1" x14ac:dyDescent="0.25">
      <c r="A1605" s="1"/>
      <c r="B1605" s="80" t="s">
        <v>10788</v>
      </c>
      <c r="C1605" s="91">
        <f>IF(C1604="","",IF(AND(MONTH(C1604)&gt;=1,MONTH(C1604)&lt;=3),1,IF(AND(MONTH(C1604)&gt;=4,MONTH(C1604)&lt;=6),2,IF(AND(MONTH(C1604)&gt;=7,MONTH(C1604)&lt;=9),3,4))))</f>
        <v>1</v>
      </c>
      <c r="D1605" s="1"/>
      <c r="E1605" s="92" t="s">
        <v>14822</v>
      </c>
      <c r="F1605" s="93"/>
    </row>
    <row r="1606" spans="1:6" ht="14.1" customHeight="1" x14ac:dyDescent="0.25">
      <c r="A1606" s="1"/>
      <c r="B1606" s="80" t="s">
        <v>13758</v>
      </c>
      <c r="C1606" s="90">
        <v>43553</v>
      </c>
      <c r="D1606" s="1"/>
      <c r="E1606" s="92" t="s">
        <v>18636</v>
      </c>
      <c r="F1606" s="93"/>
    </row>
    <row r="1607" spans="1:6" ht="14.1" customHeight="1" x14ac:dyDescent="0.25">
      <c r="A1607" s="1"/>
      <c r="B1607" s="80" t="s">
        <v>10788</v>
      </c>
      <c r="C1607" s="91">
        <f>IF(C1606="","",IF(AND(MONTH(C1606)&gt;=1,MONTH(C1606)&lt;=3),1,IF(AND(MONTH(C1606)&gt;=4,MONTH(C1606)&lt;=6),2,IF(AND(MONTH(C1606)&gt;=7,MONTH(C1606)&lt;=9),3,4))))</f>
        <v>1</v>
      </c>
      <c r="D1607" s="1"/>
      <c r="E1607" s="92" t="s">
        <v>15990</v>
      </c>
      <c r="F1607" s="93"/>
    </row>
    <row r="1609" spans="1:6" ht="14.1" customHeight="1" x14ac:dyDescent="0.25">
      <c r="A1609" s="85" t="s">
        <v>15474</v>
      </c>
      <c r="B1609" s="85" t="s">
        <v>5027</v>
      </c>
      <c r="C1609" s="85" t="s">
        <v>17461</v>
      </c>
      <c r="D1609" s="85" t="s">
        <v>3935</v>
      </c>
      <c r="E1609" s="85" t="s">
        <v>10722</v>
      </c>
      <c r="F1609" s="85" t="s">
        <v>18237</v>
      </c>
    </row>
    <row r="1610" spans="1:6" ht="14.1" customHeight="1" x14ac:dyDescent="0.25">
      <c r="A1610" s="94" t="s">
        <v>7809</v>
      </c>
      <c r="B1610" s="82" t="str">
        <f ca="1">IFERROR(INDEX(UNSPSCDes,MATCH(INDIRECT(ADDRESS(ROW(),COLUMN()-1,4)),UNSPSCCode,0)),IF(INDIRECT(ADDRESS(ROW(),COLUMN()-1,4))="51151715","Sulfato de efedrina",""))</f>
        <v>Sulfato de efedrina</v>
      </c>
      <c r="C1610" s="95" t="str">
        <f>IFERROR(VLOOKUP("UD",'Informacion '!P:Q,2,FALSE),"")</f>
        <v>Unidad</v>
      </c>
      <c r="D1610" s="94">
        <v>8</v>
      </c>
      <c r="E1610" s="84">
        <v>588.87</v>
      </c>
      <c r="F1610" s="83">
        <f t="shared" ref="F1610:F1655" ca="1" si="75">INDIRECT(ADDRESS(ROW(),COLUMN()-2,4))*INDIRECT(ADDRESS(ROW(),COLUMN()-1,4))</f>
        <v>4710.96</v>
      </c>
    </row>
    <row r="1611" spans="1:6" ht="14.1" customHeight="1" x14ac:dyDescent="0.25">
      <c r="A1611" s="94" t="s">
        <v>5157</v>
      </c>
      <c r="B1611" s="82" t="str">
        <f ca="1">IFERROR(INDEX(UNSPSCDes,MATCH(INDIRECT(ADDRESS(ROW(),COLUMN()-1,4)),UNSPSCCode,0)),IF(INDIRECT(ADDRESS(ROW(),COLUMN()-1,4))="51142934","Clorhidrato de ketamina",""))</f>
        <v>Clorhidrato de ketamina</v>
      </c>
      <c r="C1611" s="95" t="str">
        <f>IFERROR(VLOOKUP("UD",'Informacion '!P:Q,2,FALSE),"")</f>
        <v>Unidad</v>
      </c>
      <c r="D1611" s="94">
        <v>1461</v>
      </c>
      <c r="E1611" s="84">
        <v>30.61</v>
      </c>
      <c r="F1611" s="83">
        <f t="shared" ca="1" si="75"/>
        <v>44721.21</v>
      </c>
    </row>
    <row r="1612" spans="1:6" ht="14.1" customHeight="1" x14ac:dyDescent="0.25">
      <c r="A1612" s="94" t="s">
        <v>305</v>
      </c>
      <c r="B1612" s="82" t="str">
        <f ca="1">IFERROR(INDEX(UNSPSCDes,MATCH(INDIRECT(ADDRESS(ROW(),COLUMN()-1,4)),UNSPSCCode,0)),IF(INDIRECT(ADDRESS(ROW(),COLUMN()-1,4))="51142227","Clorhidrato de oxicodona",""))</f>
        <v>Clorhidrato de oxicodona</v>
      </c>
      <c r="C1612" s="95" t="str">
        <f>IFERROR(VLOOKUP("UD",'Informacion '!P:Q,2,FALSE),"")</f>
        <v>Unidad</v>
      </c>
      <c r="D1612" s="94">
        <v>4</v>
      </c>
      <c r="E1612" s="84">
        <v>55.05</v>
      </c>
      <c r="F1612" s="83">
        <f t="shared" ca="1" si="75"/>
        <v>220.2</v>
      </c>
    </row>
    <row r="1613" spans="1:6" ht="14.1" customHeight="1" x14ac:dyDescent="0.25">
      <c r="A1613" s="94" t="s">
        <v>2201</v>
      </c>
      <c r="B1613" s="82" t="str">
        <f ca="1">IFERROR(INDEX(UNSPSCDes,MATCH(INDIRECT(ADDRESS(ROW(),COLUMN()-1,4)),UNSPSCCode,0)),IF(INDIRECT(ADDRESS(ROW(),COLUMN()-1,4))="51141921","Clorhidrato de midazoloam",""))</f>
        <v>Clorhidrato de midazoloam</v>
      </c>
      <c r="C1613" s="95" t="str">
        <f>IFERROR(VLOOKUP("UD",'Informacion '!P:Q,2,FALSE),"")</f>
        <v>Unidad</v>
      </c>
      <c r="D1613" s="94">
        <v>745</v>
      </c>
      <c r="E1613" s="84">
        <v>227.48</v>
      </c>
      <c r="F1613" s="83">
        <f t="shared" ca="1" si="75"/>
        <v>169472.6</v>
      </c>
    </row>
    <row r="1614" spans="1:6" ht="14.1" customHeight="1" x14ac:dyDescent="0.25">
      <c r="A1614" s="94" t="s">
        <v>10377</v>
      </c>
      <c r="B1614" s="82" t="str">
        <f ca="1">IFERROR(INDEX(UNSPSCDes,MATCH(INDIRECT(ADDRESS(ROW(),COLUMN()-1,4)),UNSPSCCode,0)),IF(INDIRECT(ADDRESS(ROW(),COLUMN()-1,4))="51211606","Flumazenil",""))</f>
        <v>Flumazenil</v>
      </c>
      <c r="C1614" s="95" t="str">
        <f>IFERROR(VLOOKUP("UD",'Informacion '!P:Q,2,FALSE),"")</f>
        <v>Unidad</v>
      </c>
      <c r="D1614" s="94">
        <v>2</v>
      </c>
      <c r="E1614" s="84">
        <v>3550.54</v>
      </c>
      <c r="F1614" s="83">
        <f t="shared" ca="1" si="75"/>
        <v>7101.08</v>
      </c>
    </row>
    <row r="1615" spans="1:6" ht="14.1" customHeight="1" x14ac:dyDescent="0.25">
      <c r="A1615" s="94" t="s">
        <v>11517</v>
      </c>
      <c r="B1615" s="82" t="str">
        <f ca="1">IFERROR(INDEX(UNSPSCDes,MATCH(INDIRECT(ADDRESS(ROW(),COLUMN()-1,4)),UNSPSCCode,0)),IF(INDIRECT(ADDRESS(ROW(),COLUMN()-1,4))="51142304","Clorhidrato de nalbufina",""))</f>
        <v>Clorhidrato de nalbufina</v>
      </c>
      <c r="C1615" s="95" t="str">
        <f>IFERROR(VLOOKUP("UD",'Informacion '!P:Q,2,FALSE),"")</f>
        <v>Unidad</v>
      </c>
      <c r="D1615" s="94">
        <v>30</v>
      </c>
      <c r="E1615" s="84">
        <v>80.77</v>
      </c>
      <c r="F1615" s="83">
        <f t="shared" ca="1" si="75"/>
        <v>2423.1</v>
      </c>
    </row>
    <row r="1616" spans="1:6" ht="14.1" customHeight="1" x14ac:dyDescent="0.25">
      <c r="A1616" s="94" t="s">
        <v>6464</v>
      </c>
      <c r="B1616" s="82" t="str">
        <f ca="1">IFERROR(INDEX(UNSPSCDes,MATCH(INDIRECT(ADDRESS(ROW(),COLUMN()-1,4)),UNSPSCCode,0)),IF(INDIRECT(ADDRESS(ROW(),COLUMN()-1,4))="51141920","Diazepam",""))</f>
        <v>Diazepam</v>
      </c>
      <c r="C1616" s="95" t="str">
        <f>IFERROR(VLOOKUP("UD",'Informacion '!P:Q,2,FALSE),"")</f>
        <v>Unidad</v>
      </c>
      <c r="D1616" s="94">
        <v>87</v>
      </c>
      <c r="E1616" s="84">
        <v>24.93</v>
      </c>
      <c r="F1616" s="83">
        <f t="shared" ca="1" si="75"/>
        <v>2168.91</v>
      </c>
    </row>
    <row r="1617" spans="1:6" ht="14.1" customHeight="1" x14ac:dyDescent="0.25">
      <c r="A1617" s="94" t="s">
        <v>8501</v>
      </c>
      <c r="B1617" s="82" t="str">
        <f ca="1">IFERROR(INDEX(UNSPSCDes,MATCH(INDIRECT(ADDRESS(ROW(),COLUMN()-1,4)),UNSPSCCode,0)),IF(INDIRECT(ADDRESS(ROW(),COLUMN()-1,4))="51142302","Hidrocloruro de naloxona",""))</f>
        <v>Hidrocloruro de naloxona</v>
      </c>
      <c r="C1617" s="95" t="str">
        <f>IFERROR(VLOOKUP("UD",'Informacion '!P:Q,2,FALSE),"")</f>
        <v>Unidad</v>
      </c>
      <c r="D1617" s="94">
        <v>6</v>
      </c>
      <c r="E1617" s="84">
        <v>419.85</v>
      </c>
      <c r="F1617" s="83">
        <f t="shared" ca="1" si="75"/>
        <v>2519.1000000000004</v>
      </c>
    </row>
    <row r="1618" spans="1:6" ht="14.1" customHeight="1" x14ac:dyDescent="0.25">
      <c r="A1618" s="94" t="s">
        <v>7530</v>
      </c>
      <c r="B1618" s="82" t="str">
        <f ca="1">IFERROR(INDEX(UNSPSCDes,MATCH(INDIRECT(ADDRESS(ROW(),COLUMN()-1,4)),UNSPSCCode,0)),IF(INDIRECT(ADDRESS(ROW(),COLUMN()-1,4))="51142206","Sulfato de morfina",""))</f>
        <v>Sulfato de morfina</v>
      </c>
      <c r="C1618" s="95" t="str">
        <f>IFERROR(VLOOKUP("UD",'Informacion '!P:Q,2,FALSE),"")</f>
        <v>Unidad</v>
      </c>
      <c r="D1618" s="94">
        <v>42</v>
      </c>
      <c r="E1618" s="84">
        <v>300</v>
      </c>
      <c r="F1618" s="83">
        <f t="shared" ca="1" si="75"/>
        <v>12600</v>
      </c>
    </row>
    <row r="1619" spans="1:6" ht="14.1" customHeight="1" x14ac:dyDescent="0.25">
      <c r="A1619" s="94" t="s">
        <v>6739</v>
      </c>
      <c r="B1619" s="82" t="str">
        <f ca="1">IFERROR(INDEX(UNSPSCDes,MATCH(INDIRECT(ADDRESS(ROW(),COLUMN()-1,4)),UNSPSCCode,0)),IF(INDIRECT(ADDRESS(ROW(),COLUMN()-1,4))="51142232","Clorhidrato de remifentanilo",""))</f>
        <v>Clorhidrato de remifentanilo</v>
      </c>
      <c r="C1619" s="95" t="str">
        <f>IFERROR(VLOOKUP("UD",'Informacion '!P:Q,2,FALSE),"")</f>
        <v>Unidad</v>
      </c>
      <c r="D1619" s="94">
        <v>117</v>
      </c>
      <c r="E1619" s="84">
        <v>2278.6999999999998</v>
      </c>
      <c r="F1619" s="83">
        <f t="shared" ca="1" si="75"/>
        <v>266607.89999999997</v>
      </c>
    </row>
    <row r="1620" spans="1:6" ht="14.1" customHeight="1" x14ac:dyDescent="0.25">
      <c r="A1620" s="94" t="s">
        <v>17122</v>
      </c>
      <c r="B1620" s="82" t="str">
        <f ca="1">IFERROR(INDEX(UNSPSCDes,MATCH(INDIRECT(ADDRESS(ROW(),COLUMN()-1,4)),UNSPSCCode,0)),IF(INDIRECT(ADDRESS(ROW(),COLUMN()-1,4))="51142210","Clorhidrato etilmorfina",""))</f>
        <v>Clorhidrato etilmorfina</v>
      </c>
      <c r="C1620" s="95" t="str">
        <f>IFERROR(VLOOKUP("UD",'Informacion '!P:Q,2,FALSE),"")</f>
        <v>Unidad</v>
      </c>
      <c r="D1620" s="94">
        <v>592</v>
      </c>
      <c r="E1620" s="84">
        <v>335.4</v>
      </c>
      <c r="F1620" s="83">
        <f t="shared" ca="1" si="75"/>
        <v>198556.79999999999</v>
      </c>
    </row>
    <row r="1621" spans="1:6" ht="14.1" customHeight="1" x14ac:dyDescent="0.25">
      <c r="A1621" s="94" t="s">
        <v>6476</v>
      </c>
      <c r="B1621" s="82" t="str">
        <f ca="1">IFERROR(INDEX(UNSPSCDes,MATCH(INDIRECT(ADDRESS(ROW(),COLUMN()-1,4)),UNSPSCCode,0)),IF(INDIRECT(ADDRESS(ROW(),COLUMN()-1,4))="51141618","Clorhidrato de fluoxetina",""))</f>
        <v>Clorhidrato de fluoxetina</v>
      </c>
      <c r="C1621" s="95" t="str">
        <f>IFERROR(VLOOKUP("UD",'Informacion '!P:Q,2,FALSE),"")</f>
        <v>Unidad</v>
      </c>
      <c r="D1621" s="94">
        <v>11</v>
      </c>
      <c r="E1621" s="84">
        <v>589.72</v>
      </c>
      <c r="F1621" s="83">
        <f t="shared" ca="1" si="75"/>
        <v>6486.92</v>
      </c>
    </row>
    <row r="1622" spans="1:6" ht="14.1" customHeight="1" x14ac:dyDescent="0.25">
      <c r="A1622" s="94" t="s">
        <v>9528</v>
      </c>
      <c r="B1622" s="82" t="str">
        <f ca="1">IFERROR(INDEX(UNSPSCDes,MATCH(INDIRECT(ADDRESS(ROW(),COLUMN()-1,4)),UNSPSCCode,0)),IF(INDIRECT(ADDRESS(ROW(),COLUMN()-1,4))="51142219","Fentanilo",""))</f>
        <v>Fentanilo</v>
      </c>
      <c r="C1622" s="95" t="str">
        <f>IFERROR(VLOOKUP("UD",'Informacion '!P:Q,2,FALSE),"")</f>
        <v>Unidad</v>
      </c>
      <c r="D1622" s="94">
        <v>756</v>
      </c>
      <c r="E1622" s="84">
        <v>68.319999999999993</v>
      </c>
      <c r="F1622" s="83">
        <f t="shared" ca="1" si="75"/>
        <v>51649.919999999998</v>
      </c>
    </row>
    <row r="1623" spans="1:6" ht="14.1" customHeight="1" x14ac:dyDescent="0.25">
      <c r="A1623" s="94" t="s">
        <v>1979</v>
      </c>
      <c r="B1623" s="82" t="str">
        <f ca="1">IFERROR(INDEX(UNSPSCDes,MATCH(INDIRECT(ADDRESS(ROW(),COLUMN()-1,4)),UNSPSCCode,0)),IF(INDIRECT(ADDRESS(ROW(),COLUMN()-1,4))="51141919","Alprazolam",""))</f>
        <v>Alprazolam</v>
      </c>
      <c r="C1623" s="95" t="str">
        <f>IFERROR(VLOOKUP("UD",'Informacion '!P:Q,2,FALSE),"")</f>
        <v>Unidad</v>
      </c>
      <c r="D1623" s="94">
        <v>41</v>
      </c>
      <c r="E1623" s="84">
        <v>15.02</v>
      </c>
      <c r="F1623" s="83">
        <f t="shared" ca="1" si="75"/>
        <v>615.81999999999994</v>
      </c>
    </row>
    <row r="1624" spans="1:6" ht="14.1" customHeight="1" x14ac:dyDescent="0.25">
      <c r="A1624" s="94" t="s">
        <v>17863</v>
      </c>
      <c r="B1624" s="82" t="str">
        <f ca="1">IFERROR(INDEX(UNSPSCDes,MATCH(INDIRECT(ADDRESS(ROW(),COLUMN()-1,4)),UNSPSCCode,0)),IF(INDIRECT(ADDRESS(ROW(),COLUMN()-1,4))="51142226","Clorhidrato de metadona",""))</f>
        <v>Clorhidrato de metadona</v>
      </c>
      <c r="C1624" s="95" t="str">
        <f>IFERROR(VLOOKUP("UD",'Informacion '!P:Q,2,FALSE),"")</f>
        <v>Unidad</v>
      </c>
      <c r="D1624" s="94">
        <v>2</v>
      </c>
      <c r="E1624" s="84">
        <v>77.400000000000006</v>
      </c>
      <c r="F1624" s="83">
        <f t="shared" ca="1" si="75"/>
        <v>154.80000000000001</v>
      </c>
    </row>
    <row r="1625" spans="1:6" ht="14.1" customHeight="1" x14ac:dyDescent="0.25">
      <c r="A1625" s="94" t="s">
        <v>1979</v>
      </c>
      <c r="B1625" s="82" t="str">
        <f ca="1">IFERROR(INDEX(UNSPSCDes,MATCH(INDIRECT(ADDRESS(ROW(),COLUMN()-1,4)),UNSPSCCode,0)),IF(INDIRECT(ADDRESS(ROW(),COLUMN()-1,4))="51141919","Alprazolam",""))</f>
        <v>Alprazolam</v>
      </c>
      <c r="C1625" s="95" t="str">
        <f>IFERROR(VLOOKUP("UD",'Informacion '!P:Q,2,FALSE),"")</f>
        <v>Unidad</v>
      </c>
      <c r="D1625" s="94">
        <v>6</v>
      </c>
      <c r="E1625" s="84">
        <v>20.260000000000002</v>
      </c>
      <c r="F1625" s="83">
        <f t="shared" ca="1" si="75"/>
        <v>121.56</v>
      </c>
    </row>
    <row r="1626" spans="1:6" ht="14.1" customHeight="1" x14ac:dyDescent="0.25">
      <c r="A1626" s="94" t="s">
        <v>1979</v>
      </c>
      <c r="B1626" s="82" t="str">
        <f ca="1">IFERROR(INDEX(UNSPSCDes,MATCH(INDIRECT(ADDRESS(ROW(),COLUMN()-1,4)),UNSPSCCode,0)),IF(INDIRECT(ADDRESS(ROW(),COLUMN()-1,4))="51141919","Alprazolam",""))</f>
        <v>Alprazolam</v>
      </c>
      <c r="C1626" s="95" t="str">
        <f>IFERROR(VLOOKUP("UD",'Informacion '!P:Q,2,FALSE),"")</f>
        <v>Unidad</v>
      </c>
      <c r="D1626" s="94">
        <v>17</v>
      </c>
      <c r="E1626" s="84">
        <v>9.7899999999999991</v>
      </c>
      <c r="F1626" s="83">
        <f t="shared" ca="1" si="75"/>
        <v>166.42999999999998</v>
      </c>
    </row>
    <row r="1627" spans="1:6" ht="14.1" customHeight="1" x14ac:dyDescent="0.25">
      <c r="A1627" s="94" t="s">
        <v>6476</v>
      </c>
      <c r="B1627" s="82" t="str">
        <f ca="1">IFERROR(INDEX(UNSPSCDes,MATCH(INDIRECT(ADDRESS(ROW(),COLUMN()-1,4)),UNSPSCCode,0)),IF(INDIRECT(ADDRESS(ROW(),COLUMN()-1,4))="51141618","Clorhidrato de fluoxetina",""))</f>
        <v>Clorhidrato de fluoxetina</v>
      </c>
      <c r="C1627" s="95" t="str">
        <f>IFERROR(VLOOKUP("UD",'Informacion '!P:Q,2,FALSE),"")</f>
        <v>Unidad</v>
      </c>
      <c r="D1627" s="94">
        <v>5</v>
      </c>
      <c r="E1627" s="84">
        <v>493.04</v>
      </c>
      <c r="F1627" s="83">
        <f t="shared" ca="1" si="75"/>
        <v>2465.2000000000003</v>
      </c>
    </row>
    <row r="1628" spans="1:6" ht="14.1" customHeight="1" x14ac:dyDescent="0.25">
      <c r="A1628" s="94" t="s">
        <v>6464</v>
      </c>
      <c r="B1628" s="82" t="str">
        <f ca="1">IFERROR(INDEX(UNSPSCDes,MATCH(INDIRECT(ADDRESS(ROW(),COLUMN()-1,4)),UNSPSCCode,0)),IF(INDIRECT(ADDRESS(ROW(),COLUMN()-1,4))="51141920","Diazepam",""))</f>
        <v>Diazepam</v>
      </c>
      <c r="C1628" s="95" t="str">
        <f>IFERROR(VLOOKUP("UD",'Informacion '!P:Q,2,FALSE),"")</f>
        <v>Unidad</v>
      </c>
      <c r="D1628" s="94">
        <v>2</v>
      </c>
      <c r="E1628" s="84">
        <v>3.69</v>
      </c>
      <c r="F1628" s="83">
        <f t="shared" ca="1" si="75"/>
        <v>7.38</v>
      </c>
    </row>
    <row r="1629" spans="1:6" ht="14.1" customHeight="1" x14ac:dyDescent="0.25">
      <c r="A1629" s="94" t="s">
        <v>6464</v>
      </c>
      <c r="B1629" s="82" t="str">
        <f ca="1">IFERROR(INDEX(UNSPSCDes,MATCH(INDIRECT(ADDRESS(ROW(),COLUMN()-1,4)),UNSPSCCode,0)),IF(INDIRECT(ADDRESS(ROW(),COLUMN()-1,4))="51141920","Diazepam",""))</f>
        <v>Diazepam</v>
      </c>
      <c r="C1629" s="95" t="str">
        <f>IFERROR(VLOOKUP("UD",'Informacion '!P:Q,2,FALSE),"")</f>
        <v>Unidad</v>
      </c>
      <c r="D1629" s="94">
        <v>75</v>
      </c>
      <c r="E1629" s="84">
        <v>8.59</v>
      </c>
      <c r="F1629" s="83">
        <f t="shared" ca="1" si="75"/>
        <v>644.25</v>
      </c>
    </row>
    <row r="1630" spans="1:6" ht="14.1" customHeight="1" x14ac:dyDescent="0.25">
      <c r="A1630" s="94" t="s">
        <v>6464</v>
      </c>
      <c r="B1630" s="82" t="str">
        <f ca="1">IFERROR(INDEX(UNSPSCDes,MATCH(INDIRECT(ADDRESS(ROW(),COLUMN()-1,4)),UNSPSCCode,0)),IF(INDIRECT(ADDRESS(ROW(),COLUMN()-1,4))="51141920","Diazepam",""))</f>
        <v>Diazepam</v>
      </c>
      <c r="C1630" s="95" t="str">
        <f>IFERROR(VLOOKUP("UD",'Informacion '!P:Q,2,FALSE),"")</f>
        <v>Unidad</v>
      </c>
      <c r="D1630" s="94">
        <v>3</v>
      </c>
      <c r="E1630" s="84">
        <v>30.04</v>
      </c>
      <c r="F1630" s="83">
        <f t="shared" ca="1" si="75"/>
        <v>90.12</v>
      </c>
    </row>
    <row r="1631" spans="1:6" ht="14.1" customHeight="1" x14ac:dyDescent="0.25">
      <c r="A1631" s="94" t="s">
        <v>6464</v>
      </c>
      <c r="B1631" s="82" t="str">
        <f ca="1">IFERROR(INDEX(UNSPSCDes,MATCH(INDIRECT(ADDRESS(ROW(),COLUMN()-1,4)),UNSPSCCode,0)),IF(INDIRECT(ADDRESS(ROW(),COLUMN()-1,4))="51141920","Diazepam",""))</f>
        <v>Diazepam</v>
      </c>
      <c r="C1631" s="95" t="str">
        <f>IFERROR(VLOOKUP("UD",'Informacion '!P:Q,2,FALSE),"")</f>
        <v>Unidad</v>
      </c>
      <c r="D1631" s="94">
        <v>10</v>
      </c>
      <c r="E1631" s="84">
        <v>51.65</v>
      </c>
      <c r="F1631" s="83">
        <f t="shared" ca="1" si="75"/>
        <v>516.5</v>
      </c>
    </row>
    <row r="1632" spans="1:6" ht="14.1" customHeight="1" x14ac:dyDescent="0.25">
      <c r="A1632" s="94" t="s">
        <v>9528</v>
      </c>
      <c r="B1632" s="82" t="str">
        <f ca="1">IFERROR(INDEX(UNSPSCDes,MATCH(INDIRECT(ADDRESS(ROW(),COLUMN()-1,4)),UNSPSCCode,0)),IF(INDIRECT(ADDRESS(ROW(),COLUMN()-1,4))="51142219","Fentanilo",""))</f>
        <v>Fentanilo</v>
      </c>
      <c r="C1632" s="95" t="str">
        <f>IFERROR(VLOOKUP("UD",'Informacion '!P:Q,2,FALSE),"")</f>
        <v>Unidad</v>
      </c>
      <c r="D1632" s="94">
        <v>1</v>
      </c>
      <c r="E1632" s="84">
        <v>1857.4</v>
      </c>
      <c r="F1632" s="83">
        <f t="shared" ca="1" si="75"/>
        <v>1857.4</v>
      </c>
    </row>
    <row r="1633" spans="1:6" ht="14.1" customHeight="1" x14ac:dyDescent="0.25">
      <c r="A1633" s="94" t="s">
        <v>9528</v>
      </c>
      <c r="B1633" s="82" t="str">
        <f ca="1">IFERROR(INDEX(UNSPSCDes,MATCH(INDIRECT(ADDRESS(ROW(),COLUMN()-1,4)),UNSPSCCode,0)),IF(INDIRECT(ADDRESS(ROW(),COLUMN()-1,4))="51142219","Fentanilo",""))</f>
        <v>Fentanilo</v>
      </c>
      <c r="C1633" s="95" t="str">
        <f>IFERROR(VLOOKUP("UD",'Informacion '!P:Q,2,FALSE),"")</f>
        <v>Unidad</v>
      </c>
      <c r="D1633" s="94">
        <v>12</v>
      </c>
      <c r="E1633" s="84">
        <v>124</v>
      </c>
      <c r="F1633" s="83">
        <f t="shared" ca="1" si="75"/>
        <v>1488</v>
      </c>
    </row>
    <row r="1634" spans="1:6" ht="14.1" customHeight="1" x14ac:dyDescent="0.25">
      <c r="A1634" s="94" t="s">
        <v>9528</v>
      </c>
      <c r="B1634" s="82" t="str">
        <f ca="1">IFERROR(INDEX(UNSPSCDes,MATCH(INDIRECT(ADDRESS(ROW(),COLUMN()-1,4)),UNSPSCCode,0)),IF(INDIRECT(ADDRESS(ROW(),COLUMN()-1,4))="51142219","Fentanilo",""))</f>
        <v>Fentanilo</v>
      </c>
      <c r="C1634" s="95" t="str">
        <f>IFERROR(VLOOKUP("UD",'Informacion '!P:Q,2,FALSE),"")</f>
        <v>Unidad</v>
      </c>
      <c r="D1634" s="94">
        <v>125</v>
      </c>
      <c r="E1634" s="84">
        <v>107.24</v>
      </c>
      <c r="F1634" s="83">
        <f t="shared" ca="1" si="75"/>
        <v>13405</v>
      </c>
    </row>
    <row r="1635" spans="1:6" ht="14.1" customHeight="1" x14ac:dyDescent="0.25">
      <c r="A1635" s="94" t="s">
        <v>9528</v>
      </c>
      <c r="B1635" s="82" t="str">
        <f ca="1">IFERROR(INDEX(UNSPSCDes,MATCH(INDIRECT(ADDRESS(ROW(),COLUMN()-1,4)),UNSPSCCode,0)),IF(INDIRECT(ADDRESS(ROW(),COLUMN()-1,4))="51142219","Fentanilo",""))</f>
        <v>Fentanilo</v>
      </c>
      <c r="C1635" s="95" t="str">
        <f>IFERROR(VLOOKUP("UD",'Informacion '!P:Q,2,FALSE),"")</f>
        <v>Unidad</v>
      </c>
      <c r="D1635" s="94">
        <v>166</v>
      </c>
      <c r="E1635" s="84">
        <v>17.14</v>
      </c>
      <c r="F1635" s="83">
        <f t="shared" ca="1" si="75"/>
        <v>2845.2400000000002</v>
      </c>
    </row>
    <row r="1636" spans="1:6" ht="14.1" customHeight="1" x14ac:dyDescent="0.25">
      <c r="A1636" s="94" t="s">
        <v>5157</v>
      </c>
      <c r="B1636" s="82" t="str">
        <f ca="1">IFERROR(INDEX(UNSPSCDes,MATCH(INDIRECT(ADDRESS(ROW(),COLUMN()-1,4)),UNSPSCCode,0)),IF(INDIRECT(ADDRESS(ROW(),COLUMN()-1,4))="51142934","Clorhidrato de ketamina",""))</f>
        <v>Clorhidrato de ketamina</v>
      </c>
      <c r="C1636" s="95" t="str">
        <f>IFERROR(VLOOKUP("UD",'Informacion '!P:Q,2,FALSE),"")</f>
        <v>Unidad</v>
      </c>
      <c r="D1636" s="94">
        <v>791</v>
      </c>
      <c r="E1636" s="84">
        <v>11</v>
      </c>
      <c r="F1636" s="83">
        <f t="shared" ca="1" si="75"/>
        <v>8701</v>
      </c>
    </row>
    <row r="1637" spans="1:6" ht="14.1" customHeight="1" x14ac:dyDescent="0.25">
      <c r="A1637" s="94" t="s">
        <v>2201</v>
      </c>
      <c r="B1637" s="82" t="str">
        <f t="shared" ref="B1637:B1644" ca="1" si="76">IFERROR(INDEX(UNSPSCDes,MATCH(INDIRECT(ADDRESS(ROW(),COLUMN()-1,4)),UNSPSCCode,0)),IF(INDIRECT(ADDRESS(ROW(),COLUMN()-1,4))="51141921","Clorhidrato de midazoloam",""))</f>
        <v>Clorhidrato de midazoloam</v>
      </c>
      <c r="C1637" s="95" t="str">
        <f>IFERROR(VLOOKUP("UD",'Informacion '!P:Q,2,FALSE),"")</f>
        <v>Unidad</v>
      </c>
      <c r="D1637" s="94">
        <v>59</v>
      </c>
      <c r="E1637" s="84">
        <v>84.73</v>
      </c>
      <c r="F1637" s="83">
        <f t="shared" ca="1" si="75"/>
        <v>4999.0700000000006</v>
      </c>
    </row>
    <row r="1638" spans="1:6" ht="14.1" customHeight="1" x14ac:dyDescent="0.25">
      <c r="A1638" s="94" t="s">
        <v>2201</v>
      </c>
      <c r="B1638" s="82" t="str">
        <f t="shared" ca="1" si="76"/>
        <v>Clorhidrato de midazoloam</v>
      </c>
      <c r="C1638" s="95" t="str">
        <f>IFERROR(VLOOKUP("UD",'Informacion '!P:Q,2,FALSE),"")</f>
        <v>Unidad</v>
      </c>
      <c r="D1638" s="94">
        <v>178</v>
      </c>
      <c r="E1638" s="84">
        <v>135</v>
      </c>
      <c r="F1638" s="83">
        <f t="shared" ca="1" si="75"/>
        <v>24030</v>
      </c>
    </row>
    <row r="1639" spans="1:6" ht="14.1" customHeight="1" x14ac:dyDescent="0.25">
      <c r="A1639" s="94" t="s">
        <v>2201</v>
      </c>
      <c r="B1639" s="82" t="str">
        <f t="shared" ca="1" si="76"/>
        <v>Clorhidrato de midazoloam</v>
      </c>
      <c r="C1639" s="95" t="str">
        <f>IFERROR(VLOOKUP("UD",'Informacion '!P:Q,2,FALSE),"")</f>
        <v>Unidad</v>
      </c>
      <c r="D1639" s="94">
        <v>57</v>
      </c>
      <c r="E1639" s="84">
        <v>90</v>
      </c>
      <c r="F1639" s="83">
        <f t="shared" ca="1" si="75"/>
        <v>5130</v>
      </c>
    </row>
    <row r="1640" spans="1:6" ht="14.1" customHeight="1" x14ac:dyDescent="0.25">
      <c r="A1640" s="94" t="s">
        <v>2201</v>
      </c>
      <c r="B1640" s="82" t="str">
        <f t="shared" ca="1" si="76"/>
        <v>Clorhidrato de midazoloam</v>
      </c>
      <c r="C1640" s="95" t="str">
        <f>IFERROR(VLOOKUP("UD",'Informacion '!P:Q,2,FALSE),"")</f>
        <v>Unidad</v>
      </c>
      <c r="D1640" s="94">
        <v>20</v>
      </c>
      <c r="E1640" s="84">
        <v>670.14</v>
      </c>
      <c r="F1640" s="83">
        <f t="shared" ca="1" si="75"/>
        <v>13402.8</v>
      </c>
    </row>
    <row r="1641" spans="1:6" ht="14.1" customHeight="1" x14ac:dyDescent="0.25">
      <c r="A1641" s="94" t="s">
        <v>2201</v>
      </c>
      <c r="B1641" s="82" t="str">
        <f t="shared" ca="1" si="76"/>
        <v>Clorhidrato de midazoloam</v>
      </c>
      <c r="C1641" s="95" t="str">
        <f>IFERROR(VLOOKUP("UD",'Informacion '!P:Q,2,FALSE),"")</f>
        <v>Unidad</v>
      </c>
      <c r="D1641" s="94">
        <v>347</v>
      </c>
      <c r="E1641" s="84">
        <v>374.99</v>
      </c>
      <c r="F1641" s="83">
        <f t="shared" ca="1" si="75"/>
        <v>130121.53</v>
      </c>
    </row>
    <row r="1642" spans="1:6" ht="14.1" customHeight="1" x14ac:dyDescent="0.25">
      <c r="A1642" s="94" t="s">
        <v>2201</v>
      </c>
      <c r="B1642" s="82" t="str">
        <f t="shared" ca="1" si="76"/>
        <v>Clorhidrato de midazoloam</v>
      </c>
      <c r="C1642" s="95" t="str">
        <f>IFERROR(VLOOKUP("UD",'Informacion '!P:Q,2,FALSE),"")</f>
        <v>Unidad</v>
      </c>
      <c r="D1642" s="94">
        <v>26</v>
      </c>
      <c r="E1642" s="84">
        <v>375</v>
      </c>
      <c r="F1642" s="83">
        <f t="shared" ca="1" si="75"/>
        <v>9750</v>
      </c>
    </row>
    <row r="1643" spans="1:6" ht="14.1" customHeight="1" x14ac:dyDescent="0.25">
      <c r="A1643" s="94" t="s">
        <v>2201</v>
      </c>
      <c r="B1643" s="82" t="str">
        <f t="shared" ca="1" si="76"/>
        <v>Clorhidrato de midazoloam</v>
      </c>
      <c r="C1643" s="95" t="str">
        <f>IFERROR(VLOOKUP("UD",'Informacion '!P:Q,2,FALSE),"")</f>
        <v>Unidad</v>
      </c>
      <c r="D1643" s="94">
        <v>65</v>
      </c>
      <c r="E1643" s="84">
        <v>125</v>
      </c>
      <c r="F1643" s="83">
        <f t="shared" ca="1" si="75"/>
        <v>8125</v>
      </c>
    </row>
    <row r="1644" spans="1:6" ht="14.1" customHeight="1" x14ac:dyDescent="0.25">
      <c r="A1644" s="94" t="s">
        <v>2201</v>
      </c>
      <c r="B1644" s="82" t="str">
        <f t="shared" ca="1" si="76"/>
        <v>Clorhidrato de midazoloam</v>
      </c>
      <c r="C1644" s="95" t="str">
        <f>IFERROR(VLOOKUP("UD",'Informacion '!P:Q,2,FALSE),"")</f>
        <v>Unidad</v>
      </c>
      <c r="D1644" s="94">
        <v>1</v>
      </c>
      <c r="E1644" s="84">
        <v>230</v>
      </c>
      <c r="F1644" s="83">
        <f t="shared" ca="1" si="75"/>
        <v>230</v>
      </c>
    </row>
    <row r="1645" spans="1:6" ht="14.1" customHeight="1" x14ac:dyDescent="0.25">
      <c r="A1645" s="94" t="s">
        <v>17122</v>
      </c>
      <c r="B1645" s="82" t="str">
        <f ca="1">IFERROR(INDEX(UNSPSCDes,MATCH(INDIRECT(ADDRESS(ROW(),COLUMN()-1,4)),UNSPSCCode,0)),IF(INDIRECT(ADDRESS(ROW(),COLUMN()-1,4))="51142210","Clorhidrato etilmorfina",""))</f>
        <v>Clorhidrato etilmorfina</v>
      </c>
      <c r="C1645" s="95" t="str">
        <f>IFERROR(VLOOKUP("UD",'Informacion '!P:Q,2,FALSE),"")</f>
        <v>Unidad</v>
      </c>
      <c r="D1645" s="94">
        <v>4</v>
      </c>
      <c r="E1645" s="84">
        <v>95.7</v>
      </c>
      <c r="F1645" s="83">
        <f t="shared" ca="1" si="75"/>
        <v>382.8</v>
      </c>
    </row>
    <row r="1646" spans="1:6" ht="14.1" customHeight="1" x14ac:dyDescent="0.25">
      <c r="A1646" s="94" t="s">
        <v>17122</v>
      </c>
      <c r="B1646" s="82" t="str">
        <f ca="1">IFERROR(INDEX(UNSPSCDes,MATCH(INDIRECT(ADDRESS(ROW(),COLUMN()-1,4)),UNSPSCCode,0)),IF(INDIRECT(ADDRESS(ROW(),COLUMN()-1,4))="51142210","Clorhidrato etilmorfina",""))</f>
        <v>Clorhidrato etilmorfina</v>
      </c>
      <c r="C1646" s="95" t="str">
        <f>IFERROR(VLOOKUP("UD",'Informacion '!P:Q,2,FALSE),"")</f>
        <v>Unidad</v>
      </c>
      <c r="D1646" s="94">
        <v>113</v>
      </c>
      <c r="E1646" s="84">
        <v>79.86</v>
      </c>
      <c r="F1646" s="83">
        <f t="shared" ca="1" si="75"/>
        <v>9024.18</v>
      </c>
    </row>
    <row r="1647" spans="1:6" ht="14.1" customHeight="1" x14ac:dyDescent="0.25">
      <c r="A1647" s="94" t="s">
        <v>17122</v>
      </c>
      <c r="B1647" s="82" t="str">
        <f ca="1">IFERROR(INDEX(UNSPSCDes,MATCH(INDIRECT(ADDRESS(ROW(),COLUMN()-1,4)),UNSPSCCode,0)),IF(INDIRECT(ADDRESS(ROW(),COLUMN()-1,4))="51142210","Clorhidrato etilmorfina",""))</f>
        <v>Clorhidrato etilmorfina</v>
      </c>
      <c r="C1647" s="95" t="str">
        <f>IFERROR(VLOOKUP("UD",'Informacion '!P:Q,2,FALSE),"")</f>
        <v>Unidad</v>
      </c>
      <c r="D1647" s="94">
        <v>40</v>
      </c>
      <c r="E1647" s="84">
        <v>95.7</v>
      </c>
      <c r="F1647" s="83">
        <f t="shared" ca="1" si="75"/>
        <v>3828</v>
      </c>
    </row>
    <row r="1648" spans="1:6" ht="14.1" customHeight="1" x14ac:dyDescent="0.25">
      <c r="A1648" s="94" t="s">
        <v>17122</v>
      </c>
      <c r="B1648" s="82" t="str">
        <f ca="1">IFERROR(INDEX(UNSPSCDes,MATCH(INDIRECT(ADDRESS(ROW(),COLUMN()-1,4)),UNSPSCCode,0)),IF(INDIRECT(ADDRESS(ROW(),COLUMN()-1,4))="51142210","Clorhidrato etilmorfina",""))</f>
        <v>Clorhidrato etilmorfina</v>
      </c>
      <c r="C1648" s="95" t="str">
        <f>IFERROR(VLOOKUP("UD",'Informacion '!P:Q,2,FALSE),"")</f>
        <v>Unidad</v>
      </c>
      <c r="D1648" s="94">
        <v>6</v>
      </c>
      <c r="E1648" s="84">
        <v>295</v>
      </c>
      <c r="F1648" s="83">
        <f t="shared" ca="1" si="75"/>
        <v>1770</v>
      </c>
    </row>
    <row r="1649" spans="1:10" ht="14.1" customHeight="1" x14ac:dyDescent="0.25">
      <c r="A1649" s="94" t="s">
        <v>11517</v>
      </c>
      <c r="B1649" s="82" t="str">
        <f ca="1">IFERROR(INDEX(UNSPSCDes,MATCH(INDIRECT(ADDRESS(ROW(),COLUMN()-1,4)),UNSPSCCode,0)),IF(INDIRECT(ADDRESS(ROW(),COLUMN()-1,4))="51142304","Clorhidrato de nalbufina",""))</f>
        <v>Clorhidrato de nalbufina</v>
      </c>
      <c r="C1649" s="95" t="str">
        <f>IFERROR(VLOOKUP("UD",'Informacion '!P:Q,2,FALSE),"")</f>
        <v>Unidad</v>
      </c>
      <c r="D1649" s="94">
        <v>26</v>
      </c>
      <c r="E1649" s="84">
        <v>80</v>
      </c>
      <c r="F1649" s="83">
        <f t="shared" ca="1" si="75"/>
        <v>2080</v>
      </c>
    </row>
    <row r="1650" spans="1:10" ht="14.1" customHeight="1" x14ac:dyDescent="0.25">
      <c r="A1650" s="94" t="s">
        <v>6327</v>
      </c>
      <c r="B1650" s="82" t="str">
        <f ca="1">IFERROR(INDEX(UNSPSCDes,MATCH(INDIRECT(ADDRESS(ROW(),COLUMN()-1,4)),UNSPSCCode,0)),IF(INDIRECT(ADDRESS(ROW(),COLUMN()-1,4))="51171606","Sulfato de magnesio",""))</f>
        <v>Sulfato de magnesio</v>
      </c>
      <c r="C1650" s="95" t="str">
        <f>IFERROR(VLOOKUP("UD",'Informacion '!P:Q,2,FALSE),"")</f>
        <v>Unidad</v>
      </c>
      <c r="D1650" s="94">
        <v>8</v>
      </c>
      <c r="E1650" s="84">
        <v>74.72</v>
      </c>
      <c r="F1650" s="83">
        <f t="shared" ca="1" si="75"/>
        <v>597.76</v>
      </c>
    </row>
    <row r="1651" spans="1:10" ht="14.1" customHeight="1" x14ac:dyDescent="0.25">
      <c r="A1651" s="94" t="s">
        <v>1979</v>
      </c>
      <c r="B1651" s="82" t="str">
        <f ca="1">IFERROR(INDEX(UNSPSCDes,MATCH(INDIRECT(ADDRESS(ROW(),COLUMN()-1,4)),UNSPSCCode,0)),IF(INDIRECT(ADDRESS(ROW(),COLUMN()-1,4))="51141919","Alprazolam",""))</f>
        <v>Alprazolam</v>
      </c>
      <c r="C1651" s="95" t="str">
        <f>IFERROR(VLOOKUP("UD",'Informacion '!P:Q,2,FALSE),"")</f>
        <v>Unidad</v>
      </c>
      <c r="D1651" s="94">
        <v>42</v>
      </c>
      <c r="E1651" s="84">
        <v>11.92</v>
      </c>
      <c r="F1651" s="83">
        <f t="shared" ca="1" si="75"/>
        <v>500.64</v>
      </c>
    </row>
    <row r="1652" spans="1:10" ht="14.1" customHeight="1" x14ac:dyDescent="0.25">
      <c r="A1652" s="94" t="s">
        <v>11517</v>
      </c>
      <c r="B1652" s="82" t="str">
        <f ca="1">IFERROR(INDEX(UNSPSCDes,MATCH(INDIRECT(ADDRESS(ROW(),COLUMN()-1,4)),UNSPSCCode,0)),IF(INDIRECT(ADDRESS(ROW(),COLUMN()-1,4))="51142304","Clorhidrato de nalbufina",""))</f>
        <v>Clorhidrato de nalbufina</v>
      </c>
      <c r="C1652" s="95" t="str">
        <f>IFERROR(VLOOKUP("UD",'Informacion '!P:Q,2,FALSE),"")</f>
        <v>Unidad</v>
      </c>
      <c r="D1652" s="94">
        <v>4</v>
      </c>
      <c r="E1652" s="84">
        <v>102.06</v>
      </c>
      <c r="F1652" s="83">
        <f t="shared" ca="1" si="75"/>
        <v>408.24</v>
      </c>
    </row>
    <row r="1653" spans="1:10" ht="14.1" customHeight="1" x14ac:dyDescent="0.25">
      <c r="A1653" s="94" t="s">
        <v>7530</v>
      </c>
      <c r="B1653" s="82" t="str">
        <f ca="1">IFERROR(INDEX(UNSPSCDes,MATCH(INDIRECT(ADDRESS(ROW(),COLUMN()-1,4)),UNSPSCCode,0)),IF(INDIRECT(ADDRESS(ROW(),COLUMN()-1,4))="51142206","Sulfato de morfina",""))</f>
        <v>Sulfato de morfina</v>
      </c>
      <c r="C1653" s="95" t="str">
        <f>IFERROR(VLOOKUP("UD",'Informacion '!P:Q,2,FALSE),"")</f>
        <v>Unidad</v>
      </c>
      <c r="D1653" s="94">
        <v>115</v>
      </c>
      <c r="E1653" s="84">
        <v>90</v>
      </c>
      <c r="F1653" s="83">
        <f t="shared" ca="1" si="75"/>
        <v>10350</v>
      </c>
    </row>
    <row r="1654" spans="1:10" ht="14.1" customHeight="1" x14ac:dyDescent="0.25">
      <c r="A1654" s="94" t="s">
        <v>7530</v>
      </c>
      <c r="B1654" s="82" t="str">
        <f ca="1">IFERROR(INDEX(UNSPSCDes,MATCH(INDIRECT(ADDRESS(ROW(),COLUMN()-1,4)),UNSPSCCode,0)),IF(INDIRECT(ADDRESS(ROW(),COLUMN()-1,4))="51142206","Sulfato de morfina",""))</f>
        <v>Sulfato de morfina</v>
      </c>
      <c r="C1654" s="95" t="str">
        <f>IFERROR(VLOOKUP("UD",'Informacion '!P:Q,2,FALSE),"")</f>
        <v>Unidad</v>
      </c>
      <c r="D1654" s="94">
        <v>319</v>
      </c>
      <c r="E1654" s="84">
        <v>177</v>
      </c>
      <c r="F1654" s="83">
        <f t="shared" ca="1" si="75"/>
        <v>56463</v>
      </c>
    </row>
    <row r="1655" spans="1:10" ht="14.1" customHeight="1" x14ac:dyDescent="0.25">
      <c r="A1655" s="94" t="s">
        <v>7530</v>
      </c>
      <c r="B1655" s="82" t="str">
        <f ca="1">IFERROR(INDEX(UNSPSCDes,MATCH(INDIRECT(ADDRESS(ROW(),COLUMN()-1,4)),UNSPSCCode,0)),IF(INDIRECT(ADDRESS(ROW(),COLUMN()-1,4))="51142206","Sulfato de morfina",""))</f>
        <v>Sulfato de morfina</v>
      </c>
      <c r="C1655" s="95" t="str">
        <f>IFERROR(VLOOKUP("UD",'Informacion '!P:Q,2,FALSE),"")</f>
        <v>Unidad</v>
      </c>
      <c r="D1655" s="94">
        <v>4</v>
      </c>
      <c r="E1655" s="84">
        <v>20.399999999999999</v>
      </c>
      <c r="F1655" s="83">
        <f t="shared" ca="1" si="75"/>
        <v>81.599999999999994</v>
      </c>
    </row>
    <row r="1656" spans="1:10" ht="14.1" customHeight="1" x14ac:dyDescent="0.25">
      <c r="E1656" s="96" t="s">
        <v>7213</v>
      </c>
      <c r="F1656" s="87">
        <f ca="1">SUM(Table68[MONTO TOTAL ESTIMADO])</f>
        <v>1083592.0200000003</v>
      </c>
      <c r="H1656" s="39" t="str">
        <f>C1603</f>
        <v>Bienes</v>
      </c>
      <c r="I1656" s="39" t="str">
        <f>E1603</f>
        <v>No</v>
      </c>
      <c r="J1656" s="39" t="str">
        <f>D1603</f>
        <v>Comparacion de Precios</v>
      </c>
    </row>
    <row r="1658" spans="1:10" ht="33.950000000000003" customHeight="1" x14ac:dyDescent="0.25">
      <c r="A1658" s="77" t="s">
        <v>17233</v>
      </c>
      <c r="B1658" s="77" t="s">
        <v>4237</v>
      </c>
      <c r="C1658" s="77" t="s">
        <v>4743</v>
      </c>
      <c r="D1658" s="77" t="s">
        <v>9891</v>
      </c>
      <c r="E1658" s="77" t="s">
        <v>3089</v>
      </c>
      <c r="F1658" s="77" t="s">
        <v>18141</v>
      </c>
    </row>
    <row r="1659" spans="1:10" ht="14.1" customHeight="1" x14ac:dyDescent="0.25">
      <c r="A1659" s="79" t="s">
        <v>6095</v>
      </c>
      <c r="B1659" s="79" t="s">
        <v>7744</v>
      </c>
      <c r="C1659" s="79" t="s">
        <v>17215</v>
      </c>
      <c r="D1659" s="79" t="s">
        <v>13474</v>
      </c>
      <c r="E1659" s="79" t="s">
        <v>18247</v>
      </c>
      <c r="F1659" s="79"/>
    </row>
    <row r="1660" spans="1:10" ht="14.1" customHeight="1" x14ac:dyDescent="0.25">
      <c r="A1660" s="2" t="s">
        <v>6643</v>
      </c>
      <c r="B1660" s="80" t="s">
        <v>1046</v>
      </c>
      <c r="C1660" s="90">
        <v>43647</v>
      </c>
      <c r="D1660" s="2" t="s">
        <v>59</v>
      </c>
      <c r="E1660" s="92" t="s">
        <v>20066</v>
      </c>
      <c r="F1660" s="93"/>
    </row>
    <row r="1661" spans="1:10" ht="14.1" customHeight="1" x14ac:dyDescent="0.25">
      <c r="A1661" s="1"/>
      <c r="B1661" s="80" t="s">
        <v>10788</v>
      </c>
      <c r="C1661" s="91">
        <f>IF(C1660="","",IF(AND(MONTH(C1660)&gt;=1,MONTH(C1660)&lt;=3),1,IF(AND(MONTH(C1660)&gt;=4,MONTH(C1660)&lt;=6),2,IF(AND(MONTH(C1660)&gt;=7,MONTH(C1660)&lt;=9),3,4))))</f>
        <v>3</v>
      </c>
      <c r="D1661" s="1"/>
      <c r="E1661" s="92" t="s">
        <v>14822</v>
      </c>
      <c r="F1661" s="93"/>
    </row>
    <row r="1662" spans="1:10" ht="14.1" customHeight="1" x14ac:dyDescent="0.25">
      <c r="A1662" s="1"/>
      <c r="B1662" s="80" t="s">
        <v>13758</v>
      </c>
      <c r="C1662" s="90">
        <v>43738</v>
      </c>
      <c r="D1662" s="1"/>
      <c r="E1662" s="92" t="s">
        <v>18636</v>
      </c>
      <c r="F1662" s="93"/>
    </row>
    <row r="1663" spans="1:10" ht="14.1" customHeight="1" x14ac:dyDescent="0.25">
      <c r="A1663" s="1"/>
      <c r="B1663" s="80" t="s">
        <v>10788</v>
      </c>
      <c r="C1663" s="91">
        <f>IF(C1662="","",IF(AND(MONTH(C1662)&gt;=1,MONTH(C1662)&lt;=3),1,IF(AND(MONTH(C1662)&gt;=4,MONTH(C1662)&lt;=6),2,IF(AND(MONTH(C1662)&gt;=7,MONTH(C1662)&lt;=9),3,4))))</f>
        <v>3</v>
      </c>
      <c r="D1663" s="1"/>
      <c r="E1663" s="92" t="s">
        <v>15990</v>
      </c>
      <c r="F1663" s="93"/>
    </row>
    <row r="1665" spans="1:10" ht="14.1" customHeight="1" x14ac:dyDescent="0.25">
      <c r="A1665" s="85" t="s">
        <v>15474</v>
      </c>
      <c r="B1665" s="85" t="s">
        <v>5027</v>
      </c>
      <c r="C1665" s="85" t="s">
        <v>17461</v>
      </c>
      <c r="D1665" s="85" t="s">
        <v>3935</v>
      </c>
      <c r="E1665" s="85" t="s">
        <v>10722</v>
      </c>
      <c r="F1665" s="85" t="s">
        <v>18237</v>
      </c>
    </row>
    <row r="1666" spans="1:10" ht="14.1" customHeight="1" x14ac:dyDescent="0.25">
      <c r="A1666" s="94" t="s">
        <v>10296</v>
      </c>
      <c r="B1666" s="82" t="str">
        <f ca="1">IFERROR(INDEX(UNSPSCDes,MATCH(INDIRECT(ADDRESS(ROW(),COLUMN()-1,4)),UNSPSCCode,0)),IF(INDIRECT(ADDRESS(ROW(),COLUMN()-1,4))="50192701","Comidas combinadas frescas",""))</f>
        <v>Comidas combinadas frescas</v>
      </c>
      <c r="C1666" s="95" t="str">
        <f>IFERROR(VLOOKUP("LB",'Informacion '!P:Q,2,FALSE),"")</f>
        <v>Libra </v>
      </c>
      <c r="D1666" s="94">
        <v>330</v>
      </c>
      <c r="E1666" s="84">
        <v>116</v>
      </c>
      <c r="F1666" s="83">
        <f ca="1">INDIRECT(ADDRESS(ROW(),COLUMN()-2,4))*INDIRECT(ADDRESS(ROW(),COLUMN()-1,4))</f>
        <v>38280</v>
      </c>
    </row>
    <row r="1667" spans="1:10" ht="14.1" customHeight="1" x14ac:dyDescent="0.25">
      <c r="A1667" s="94" t="s">
        <v>10296</v>
      </c>
      <c r="B1667" s="82" t="str">
        <f ca="1">IFERROR(INDEX(UNSPSCDes,MATCH(INDIRECT(ADDRESS(ROW(),COLUMN()-1,4)),UNSPSCCode,0)),IF(INDIRECT(ADDRESS(ROW(),COLUMN()-1,4))="50192701","Comidas combinadas frescas",""))</f>
        <v>Comidas combinadas frescas</v>
      </c>
      <c r="C1667" s="95" t="str">
        <f>IFERROR(VLOOKUP("LB",'Informacion '!P:Q,2,FALSE),"")</f>
        <v>Libra </v>
      </c>
      <c r="D1667" s="94">
        <v>600</v>
      </c>
      <c r="E1667" s="84">
        <v>168</v>
      </c>
      <c r="F1667" s="83">
        <f ca="1">INDIRECT(ADDRESS(ROW(),COLUMN()-2,4))*INDIRECT(ADDRESS(ROW(),COLUMN()-1,4))</f>
        <v>100800</v>
      </c>
    </row>
    <row r="1668" spans="1:10" ht="14.1" customHeight="1" x14ac:dyDescent="0.25">
      <c r="A1668" s="94" t="s">
        <v>10296</v>
      </c>
      <c r="B1668" s="82" t="str">
        <f ca="1">IFERROR(INDEX(UNSPSCDes,MATCH(INDIRECT(ADDRESS(ROW(),COLUMN()-1,4)),UNSPSCCode,0)),IF(INDIRECT(ADDRESS(ROW(),COLUMN()-1,4))="50192701","Comidas combinadas frescas",""))</f>
        <v>Comidas combinadas frescas</v>
      </c>
      <c r="C1668" s="95" t="str">
        <f>IFERROR(VLOOKUP("PAQ",'Informacion '!P:Q,2,FALSE),"")</f>
        <v>Paquete</v>
      </c>
      <c r="D1668" s="94">
        <v>55</v>
      </c>
      <c r="E1668" s="84">
        <v>88</v>
      </c>
      <c r="F1668" s="83">
        <f ca="1">INDIRECT(ADDRESS(ROW(),COLUMN()-2,4))*INDIRECT(ADDRESS(ROW(),COLUMN()-1,4))</f>
        <v>4840</v>
      </c>
    </row>
    <row r="1669" spans="1:10" ht="14.1" customHeight="1" x14ac:dyDescent="0.25">
      <c r="A1669" s="94" t="s">
        <v>10296</v>
      </c>
      <c r="B1669" s="82" t="str">
        <f ca="1">IFERROR(INDEX(UNSPSCDes,MATCH(INDIRECT(ADDRESS(ROW(),COLUMN()-1,4)),UNSPSCCode,0)),IF(INDIRECT(ADDRESS(ROW(),COLUMN()-1,4))="50192701","Comidas combinadas frescas",""))</f>
        <v>Comidas combinadas frescas</v>
      </c>
      <c r="C1669" s="95" t="str">
        <f>IFERROR(VLOOKUP("LB",'Informacion '!P:Q,2,FALSE),"")</f>
        <v>Libra </v>
      </c>
      <c r="D1669" s="94">
        <v>264</v>
      </c>
      <c r="E1669" s="84">
        <v>75</v>
      </c>
      <c r="F1669" s="83">
        <f ca="1">INDIRECT(ADDRESS(ROW(),COLUMN()-2,4))*INDIRECT(ADDRESS(ROW(),COLUMN()-1,4))</f>
        <v>19800</v>
      </c>
    </row>
    <row r="1670" spans="1:10" ht="14.1" customHeight="1" x14ac:dyDescent="0.25">
      <c r="A1670" s="94" t="s">
        <v>10296</v>
      </c>
      <c r="B1670" s="82" t="str">
        <f ca="1">IFERROR(INDEX(UNSPSCDes,MATCH(INDIRECT(ADDRESS(ROW(),COLUMN()-1,4)),UNSPSCCode,0)),IF(INDIRECT(ADDRESS(ROW(),COLUMN()-1,4))="50192701","Comidas combinadas frescas",""))</f>
        <v>Comidas combinadas frescas</v>
      </c>
      <c r="C1670" s="95" t="str">
        <f>IFERROR(VLOOKUP("PAQ",'Informacion '!P:Q,2,FALSE),"")</f>
        <v>Paquete</v>
      </c>
      <c r="D1670" s="94">
        <v>55</v>
      </c>
      <c r="E1670" s="84">
        <v>232</v>
      </c>
      <c r="F1670" s="83">
        <f ca="1">INDIRECT(ADDRESS(ROW(),COLUMN()-2,4))*INDIRECT(ADDRESS(ROW(),COLUMN()-1,4))</f>
        <v>12760</v>
      </c>
    </row>
    <row r="1671" spans="1:10" ht="14.1" customHeight="1" x14ac:dyDescent="0.25">
      <c r="E1671" s="96" t="s">
        <v>7213</v>
      </c>
      <c r="F1671" s="87">
        <f ca="1">SUM(Table69[MONTO TOTAL ESTIMADO])</f>
        <v>176480</v>
      </c>
      <c r="H1671" s="39" t="str">
        <f>C1659</f>
        <v>Bienes</v>
      </c>
      <c r="I1671" s="39" t="str">
        <f>E1659</f>
        <v>No</v>
      </c>
      <c r="J1671" s="39" t="str">
        <f>D1659</f>
        <v>Compras por debajo del Umbral</v>
      </c>
    </row>
    <row r="1673" spans="1:10" ht="33.950000000000003" customHeight="1" x14ac:dyDescent="0.25">
      <c r="A1673" s="77" t="s">
        <v>17233</v>
      </c>
      <c r="B1673" s="77" t="s">
        <v>4237</v>
      </c>
      <c r="C1673" s="77" t="s">
        <v>4743</v>
      </c>
      <c r="D1673" s="77" t="s">
        <v>9891</v>
      </c>
      <c r="E1673" s="77" t="s">
        <v>3089</v>
      </c>
      <c r="F1673" s="77" t="s">
        <v>18141</v>
      </c>
    </row>
    <row r="1674" spans="1:10" ht="14.1" customHeight="1" x14ac:dyDescent="0.25">
      <c r="A1674" s="79" t="s">
        <v>15269</v>
      </c>
      <c r="B1674" s="79" t="s">
        <v>5116</v>
      </c>
      <c r="C1674" s="79" t="s">
        <v>17215</v>
      </c>
      <c r="D1674" s="79" t="s">
        <v>13474</v>
      </c>
      <c r="E1674" s="79" t="s">
        <v>18247</v>
      </c>
      <c r="F1674" s="79"/>
    </row>
    <row r="1675" spans="1:10" ht="14.1" customHeight="1" x14ac:dyDescent="0.25">
      <c r="A1675" s="2" t="s">
        <v>6643</v>
      </c>
      <c r="B1675" s="80" t="s">
        <v>1046</v>
      </c>
      <c r="C1675" s="90">
        <v>43739</v>
      </c>
      <c r="D1675" s="2" t="s">
        <v>59</v>
      </c>
      <c r="E1675" s="92" t="s">
        <v>20066</v>
      </c>
      <c r="F1675" s="93"/>
    </row>
    <row r="1676" spans="1:10" ht="14.1" customHeight="1" x14ac:dyDescent="0.25">
      <c r="A1676" s="1"/>
      <c r="B1676" s="80" t="s">
        <v>10788</v>
      </c>
      <c r="C1676" s="91">
        <f>IF(C1675="","",IF(AND(MONTH(C1675)&gt;=1,MONTH(C1675)&lt;=3),1,IF(AND(MONTH(C1675)&gt;=4,MONTH(C1675)&lt;=6),2,IF(AND(MONTH(C1675)&gt;=7,MONTH(C1675)&lt;=9),3,4))))</f>
        <v>4</v>
      </c>
      <c r="D1676" s="1"/>
      <c r="E1676" s="92" t="s">
        <v>14822</v>
      </c>
      <c r="F1676" s="93"/>
    </row>
    <row r="1677" spans="1:10" ht="14.1" customHeight="1" x14ac:dyDescent="0.25">
      <c r="A1677" s="1"/>
      <c r="B1677" s="80" t="s">
        <v>13758</v>
      </c>
      <c r="C1677" s="90">
        <v>43826</v>
      </c>
      <c r="D1677" s="1"/>
      <c r="E1677" s="92" t="s">
        <v>18636</v>
      </c>
      <c r="F1677" s="93"/>
    </row>
    <row r="1678" spans="1:10" ht="14.1" customHeight="1" x14ac:dyDescent="0.25">
      <c r="A1678" s="1"/>
      <c r="B1678" s="80" t="s">
        <v>10788</v>
      </c>
      <c r="C1678" s="91">
        <f>IF(C1677="","",IF(AND(MONTH(C1677)&gt;=1,MONTH(C1677)&lt;=3),1,IF(AND(MONTH(C1677)&gt;=4,MONTH(C1677)&lt;=6),2,IF(AND(MONTH(C1677)&gt;=7,MONTH(C1677)&lt;=9),3,4))))</f>
        <v>4</v>
      </c>
      <c r="D1678" s="1"/>
      <c r="E1678" s="92" t="s">
        <v>15990</v>
      </c>
      <c r="F1678" s="93"/>
    </row>
    <row r="1680" spans="1:10" ht="14.1" customHeight="1" x14ac:dyDescent="0.25">
      <c r="A1680" s="85" t="s">
        <v>15474</v>
      </c>
      <c r="B1680" s="85" t="s">
        <v>5027</v>
      </c>
      <c r="C1680" s="85" t="s">
        <v>17461</v>
      </c>
      <c r="D1680" s="85" t="s">
        <v>3935</v>
      </c>
      <c r="E1680" s="85" t="s">
        <v>10722</v>
      </c>
      <c r="F1680" s="85" t="s">
        <v>18237</v>
      </c>
    </row>
    <row r="1681" spans="1:10" ht="14.1" customHeight="1" x14ac:dyDescent="0.25">
      <c r="A1681" s="94" t="s">
        <v>10296</v>
      </c>
      <c r="B1681" s="82" t="str">
        <f ca="1">IFERROR(INDEX(UNSPSCDes,MATCH(INDIRECT(ADDRESS(ROW(),COLUMN()-1,4)),UNSPSCCode,0)),IF(INDIRECT(ADDRESS(ROW(),COLUMN()-1,4))="50192701","Comidas combinadas frescas",""))</f>
        <v>Comidas combinadas frescas</v>
      </c>
      <c r="C1681" s="95" t="str">
        <f>IFERROR(VLOOKUP("LB",'Informacion '!P:Q,2,FALSE),"")</f>
        <v>Libra </v>
      </c>
      <c r="D1681" s="94">
        <v>330</v>
      </c>
      <c r="E1681" s="84">
        <v>116</v>
      </c>
      <c r="F1681" s="83">
        <f ca="1">INDIRECT(ADDRESS(ROW(),COLUMN()-2,4))*INDIRECT(ADDRESS(ROW(),COLUMN()-1,4))</f>
        <v>38280</v>
      </c>
    </row>
    <row r="1682" spans="1:10" ht="14.1" customHeight="1" x14ac:dyDescent="0.25">
      <c r="A1682" s="94" t="s">
        <v>10296</v>
      </c>
      <c r="B1682" s="82" t="str">
        <f ca="1">IFERROR(INDEX(UNSPSCDes,MATCH(INDIRECT(ADDRESS(ROW(),COLUMN()-1,4)),UNSPSCCode,0)),IF(INDIRECT(ADDRESS(ROW(),COLUMN()-1,4))="50192701","Comidas combinadas frescas",""))</f>
        <v>Comidas combinadas frescas</v>
      </c>
      <c r="C1682" s="95" t="str">
        <f>IFERROR(VLOOKUP("LB",'Informacion '!P:Q,2,FALSE),"")</f>
        <v>Libra </v>
      </c>
      <c r="D1682" s="94">
        <v>600</v>
      </c>
      <c r="E1682" s="84">
        <v>168</v>
      </c>
      <c r="F1682" s="83">
        <f ca="1">INDIRECT(ADDRESS(ROW(),COLUMN()-2,4))*INDIRECT(ADDRESS(ROW(),COLUMN()-1,4))</f>
        <v>100800</v>
      </c>
    </row>
    <row r="1683" spans="1:10" ht="14.1" customHeight="1" x14ac:dyDescent="0.25">
      <c r="A1683" s="94" t="s">
        <v>10296</v>
      </c>
      <c r="B1683" s="82" t="str">
        <f ca="1">IFERROR(INDEX(UNSPSCDes,MATCH(INDIRECT(ADDRESS(ROW(),COLUMN()-1,4)),UNSPSCCode,0)),IF(INDIRECT(ADDRESS(ROW(),COLUMN()-1,4))="50192701","Comidas combinadas frescas",""))</f>
        <v>Comidas combinadas frescas</v>
      </c>
      <c r="C1683" s="95" t="str">
        <f>IFERROR(VLOOKUP("PAQ",'Informacion '!P:Q,2,FALSE),"")</f>
        <v>Paquete</v>
      </c>
      <c r="D1683" s="94">
        <v>55</v>
      </c>
      <c r="E1683" s="84">
        <v>88</v>
      </c>
      <c r="F1683" s="83">
        <f ca="1">INDIRECT(ADDRESS(ROW(),COLUMN()-2,4))*INDIRECT(ADDRESS(ROW(),COLUMN()-1,4))</f>
        <v>4840</v>
      </c>
    </row>
    <row r="1684" spans="1:10" ht="14.1" customHeight="1" x14ac:dyDescent="0.25">
      <c r="A1684" s="94" t="s">
        <v>10296</v>
      </c>
      <c r="B1684" s="82" t="str">
        <f ca="1">IFERROR(INDEX(UNSPSCDes,MATCH(INDIRECT(ADDRESS(ROW(),COLUMN()-1,4)),UNSPSCCode,0)),IF(INDIRECT(ADDRESS(ROW(),COLUMN()-1,4))="50192701","Comidas combinadas frescas",""))</f>
        <v>Comidas combinadas frescas</v>
      </c>
      <c r="C1684" s="95" t="str">
        <f>IFERROR(VLOOKUP("LB",'Informacion '!P:Q,2,FALSE),"")</f>
        <v>Libra </v>
      </c>
      <c r="D1684" s="94">
        <v>264</v>
      </c>
      <c r="E1684" s="84">
        <v>75</v>
      </c>
      <c r="F1684" s="83">
        <f ca="1">INDIRECT(ADDRESS(ROW(),COLUMN()-2,4))*INDIRECT(ADDRESS(ROW(),COLUMN()-1,4))</f>
        <v>19800</v>
      </c>
    </row>
    <row r="1685" spans="1:10" ht="14.1" customHeight="1" x14ac:dyDescent="0.25">
      <c r="A1685" s="94" t="s">
        <v>10296</v>
      </c>
      <c r="B1685" s="82" t="str">
        <f ca="1">IFERROR(INDEX(UNSPSCDes,MATCH(INDIRECT(ADDRESS(ROW(),COLUMN()-1,4)),UNSPSCCode,0)),IF(INDIRECT(ADDRESS(ROW(),COLUMN()-1,4))="50192701","Comidas combinadas frescas",""))</f>
        <v>Comidas combinadas frescas</v>
      </c>
      <c r="C1685" s="95" t="str">
        <f>IFERROR(VLOOKUP("PAQ",'Informacion '!P:Q,2,FALSE),"")</f>
        <v>Paquete</v>
      </c>
      <c r="D1685" s="94">
        <v>55</v>
      </c>
      <c r="E1685" s="84">
        <v>232</v>
      </c>
      <c r="F1685" s="83">
        <f ca="1">INDIRECT(ADDRESS(ROW(),COLUMN()-2,4))*INDIRECT(ADDRESS(ROW(),COLUMN()-1,4))</f>
        <v>12760</v>
      </c>
    </row>
    <row r="1686" spans="1:10" ht="14.1" customHeight="1" x14ac:dyDescent="0.25">
      <c r="E1686" s="96" t="s">
        <v>7213</v>
      </c>
      <c r="F1686" s="87">
        <f ca="1">SUM(Table70[MONTO TOTAL ESTIMADO])</f>
        <v>176480</v>
      </c>
      <c r="H1686" s="39" t="str">
        <f>C1674</f>
        <v>Bienes</v>
      </c>
      <c r="I1686" s="39" t="str">
        <f>E1674</f>
        <v>No</v>
      </c>
      <c r="J1686" s="39" t="str">
        <f>D1674</f>
        <v>Compras por debajo del Umbral</v>
      </c>
    </row>
    <row r="1688" spans="1:10" ht="33.950000000000003" customHeight="1" x14ac:dyDescent="0.25">
      <c r="A1688" s="77" t="s">
        <v>17233</v>
      </c>
      <c r="B1688" s="77" t="s">
        <v>4237</v>
      </c>
      <c r="C1688" s="77" t="s">
        <v>4743</v>
      </c>
      <c r="D1688" s="77" t="s">
        <v>9891</v>
      </c>
      <c r="E1688" s="77" t="s">
        <v>3089</v>
      </c>
      <c r="F1688" s="77" t="s">
        <v>18141</v>
      </c>
    </row>
    <row r="1689" spans="1:10" ht="14.1" customHeight="1" x14ac:dyDescent="0.25">
      <c r="A1689" s="79" t="s">
        <v>18863</v>
      </c>
      <c r="B1689" s="79" t="s">
        <v>14405</v>
      </c>
      <c r="C1689" s="79" t="s">
        <v>17215</v>
      </c>
      <c r="D1689" s="79" t="s">
        <v>17798</v>
      </c>
      <c r="E1689" s="79" t="s">
        <v>18247</v>
      </c>
      <c r="F1689" s="79"/>
    </row>
    <row r="1690" spans="1:10" ht="14.1" customHeight="1" x14ac:dyDescent="0.25">
      <c r="A1690" s="2" t="s">
        <v>6643</v>
      </c>
      <c r="B1690" s="80" t="s">
        <v>1046</v>
      </c>
      <c r="C1690" s="90">
        <v>43556</v>
      </c>
      <c r="D1690" s="2" t="s">
        <v>59</v>
      </c>
      <c r="E1690" s="92" t="s">
        <v>20066</v>
      </c>
      <c r="F1690" s="93"/>
    </row>
    <row r="1691" spans="1:10" ht="14.1" customHeight="1" x14ac:dyDescent="0.25">
      <c r="A1691" s="1"/>
      <c r="B1691" s="80" t="s">
        <v>10788</v>
      </c>
      <c r="C1691" s="91">
        <f>IF(C1690="","",IF(AND(MONTH(C1690)&gt;=1,MONTH(C1690)&lt;=3),1,IF(AND(MONTH(C1690)&gt;=4,MONTH(C1690)&lt;=6),2,IF(AND(MONTH(C1690)&gt;=7,MONTH(C1690)&lt;=9),3,4))))</f>
        <v>2</v>
      </c>
      <c r="D1691" s="1"/>
      <c r="E1691" s="92" t="s">
        <v>14822</v>
      </c>
      <c r="F1691" s="93"/>
    </row>
    <row r="1692" spans="1:10" ht="14.1" customHeight="1" x14ac:dyDescent="0.25">
      <c r="A1692" s="1"/>
      <c r="B1692" s="80" t="s">
        <v>13758</v>
      </c>
      <c r="C1692" s="90">
        <v>43644</v>
      </c>
      <c r="D1692" s="1"/>
      <c r="E1692" s="92" t="s">
        <v>18636</v>
      </c>
      <c r="F1692" s="93"/>
    </row>
    <row r="1693" spans="1:10" ht="14.1" customHeight="1" x14ac:dyDescent="0.25">
      <c r="A1693" s="1"/>
      <c r="B1693" s="80" t="s">
        <v>10788</v>
      </c>
      <c r="C1693" s="91">
        <f>IF(C1692="","",IF(AND(MONTH(C1692)&gt;=1,MONTH(C1692)&lt;=3),1,IF(AND(MONTH(C1692)&gt;=4,MONTH(C1692)&lt;=6),2,IF(AND(MONTH(C1692)&gt;=7,MONTH(C1692)&lt;=9),3,4))))</f>
        <v>2</v>
      </c>
      <c r="D1693" s="1"/>
      <c r="E1693" s="92" t="s">
        <v>15990</v>
      </c>
      <c r="F1693" s="93"/>
    </row>
    <row r="1695" spans="1:10" ht="14.1" customHeight="1" x14ac:dyDescent="0.25">
      <c r="A1695" s="85" t="s">
        <v>15474</v>
      </c>
      <c r="B1695" s="85" t="s">
        <v>5027</v>
      </c>
      <c r="C1695" s="85" t="s">
        <v>17461</v>
      </c>
      <c r="D1695" s="85" t="s">
        <v>3935</v>
      </c>
      <c r="E1695" s="85" t="s">
        <v>10722</v>
      </c>
      <c r="F1695" s="85" t="s">
        <v>18237</v>
      </c>
    </row>
    <row r="1696" spans="1:10" ht="14.1" customHeight="1" x14ac:dyDescent="0.25">
      <c r="A1696" s="94" t="s">
        <v>7809</v>
      </c>
      <c r="B1696" s="82" t="str">
        <f ca="1">IFERROR(INDEX(UNSPSCDes,MATCH(INDIRECT(ADDRESS(ROW(),COLUMN()-1,4)),UNSPSCCode,0)),IF(INDIRECT(ADDRESS(ROW(),COLUMN()-1,4))="51151715","Sulfato de efedrina",""))</f>
        <v>Sulfato de efedrina</v>
      </c>
      <c r="C1696" s="95" t="str">
        <f>IFERROR(VLOOKUP("UD",'Informacion '!P:Q,2,FALSE),"")</f>
        <v>Unidad</v>
      </c>
      <c r="D1696" s="94">
        <v>9</v>
      </c>
      <c r="E1696" s="84">
        <v>588.87</v>
      </c>
      <c r="F1696" s="83">
        <f t="shared" ref="F1696:F1727" ca="1" si="77">INDIRECT(ADDRESS(ROW(),COLUMN()-2,4))*INDIRECT(ADDRESS(ROW(),COLUMN()-1,4))</f>
        <v>5299.83</v>
      </c>
    </row>
    <row r="1697" spans="1:6" ht="14.1" customHeight="1" x14ac:dyDescent="0.25">
      <c r="A1697" s="94" t="s">
        <v>5157</v>
      </c>
      <c r="B1697" s="82" t="str">
        <f ca="1">IFERROR(INDEX(UNSPSCDes,MATCH(INDIRECT(ADDRESS(ROW(),COLUMN()-1,4)),UNSPSCCode,0)),IF(INDIRECT(ADDRESS(ROW(),COLUMN()-1,4))="51142934","Clorhidrato de ketamina",""))</f>
        <v>Clorhidrato de ketamina</v>
      </c>
      <c r="C1697" s="95" t="str">
        <f>IFERROR(VLOOKUP("UD",'Informacion '!P:Q,2,FALSE),"")</f>
        <v>Unidad</v>
      </c>
      <c r="D1697" s="94">
        <v>1491</v>
      </c>
      <c r="E1697" s="84">
        <v>30.61</v>
      </c>
      <c r="F1697" s="83">
        <f t="shared" ca="1" si="77"/>
        <v>45639.51</v>
      </c>
    </row>
    <row r="1698" spans="1:6" ht="14.1" customHeight="1" x14ac:dyDescent="0.25">
      <c r="A1698" s="94" t="s">
        <v>305</v>
      </c>
      <c r="B1698" s="82" t="str">
        <f ca="1">IFERROR(INDEX(UNSPSCDes,MATCH(INDIRECT(ADDRESS(ROW(),COLUMN()-1,4)),UNSPSCCode,0)),IF(INDIRECT(ADDRESS(ROW(),COLUMN()-1,4))="51142227","Clorhidrato de oxicodona",""))</f>
        <v>Clorhidrato de oxicodona</v>
      </c>
      <c r="C1698" s="95" t="str">
        <f>IFERROR(VLOOKUP("UD",'Informacion '!P:Q,2,FALSE),"")</f>
        <v>Unidad</v>
      </c>
      <c r="D1698" s="94">
        <v>5</v>
      </c>
      <c r="E1698" s="84">
        <v>55.05</v>
      </c>
      <c r="F1698" s="83">
        <f t="shared" ca="1" si="77"/>
        <v>275.25</v>
      </c>
    </row>
    <row r="1699" spans="1:6" ht="14.1" customHeight="1" x14ac:dyDescent="0.25">
      <c r="A1699" s="94" t="s">
        <v>2201</v>
      </c>
      <c r="B1699" s="82" t="str">
        <f ca="1">IFERROR(INDEX(UNSPSCDes,MATCH(INDIRECT(ADDRESS(ROW(),COLUMN()-1,4)),UNSPSCCode,0)),IF(INDIRECT(ADDRESS(ROW(),COLUMN()-1,4))="51141921","Clorhidrato de midazoloam",""))</f>
        <v>Clorhidrato de midazoloam</v>
      </c>
      <c r="C1699" s="95" t="str">
        <f>IFERROR(VLOOKUP("UD",'Informacion '!P:Q,2,FALSE),"")</f>
        <v>Unidad</v>
      </c>
      <c r="D1699" s="94">
        <v>760</v>
      </c>
      <c r="E1699" s="84">
        <v>227.48</v>
      </c>
      <c r="F1699" s="83">
        <f t="shared" ca="1" si="77"/>
        <v>172884.8</v>
      </c>
    </row>
    <row r="1700" spans="1:6" ht="14.1" customHeight="1" x14ac:dyDescent="0.25">
      <c r="A1700" s="94" t="s">
        <v>10377</v>
      </c>
      <c r="B1700" s="82" t="str">
        <f ca="1">IFERROR(INDEX(UNSPSCDes,MATCH(INDIRECT(ADDRESS(ROW(),COLUMN()-1,4)),UNSPSCCode,0)),IF(INDIRECT(ADDRESS(ROW(),COLUMN()-1,4))="51211606","Flumazenil",""))</f>
        <v>Flumazenil</v>
      </c>
      <c r="C1700" s="95" t="str">
        <f>IFERROR(VLOOKUP("UD",'Informacion '!P:Q,2,FALSE),"")</f>
        <v>Unidad</v>
      </c>
      <c r="D1700" s="94">
        <v>3</v>
      </c>
      <c r="E1700" s="84">
        <v>3550.54</v>
      </c>
      <c r="F1700" s="83">
        <f t="shared" ca="1" si="77"/>
        <v>10651.619999999999</v>
      </c>
    </row>
    <row r="1701" spans="1:6" ht="14.1" customHeight="1" x14ac:dyDescent="0.25">
      <c r="A1701" s="94" t="s">
        <v>11517</v>
      </c>
      <c r="B1701" s="82" t="str">
        <f ca="1">IFERROR(INDEX(UNSPSCDes,MATCH(INDIRECT(ADDRESS(ROW(),COLUMN()-1,4)),UNSPSCCode,0)),IF(INDIRECT(ADDRESS(ROW(),COLUMN()-1,4))="51142304","Clorhidrato de nalbufina",""))</f>
        <v>Clorhidrato de nalbufina</v>
      </c>
      <c r="C1701" s="95" t="str">
        <f>IFERROR(VLOOKUP("UD",'Informacion '!P:Q,2,FALSE),"")</f>
        <v>Unidad</v>
      </c>
      <c r="D1701" s="94">
        <v>31</v>
      </c>
      <c r="E1701" s="84">
        <v>80.77</v>
      </c>
      <c r="F1701" s="83">
        <f t="shared" ca="1" si="77"/>
        <v>2503.87</v>
      </c>
    </row>
    <row r="1702" spans="1:6" ht="14.1" customHeight="1" x14ac:dyDescent="0.25">
      <c r="A1702" s="94" t="s">
        <v>6464</v>
      </c>
      <c r="B1702" s="82" t="str">
        <f ca="1">IFERROR(INDEX(UNSPSCDes,MATCH(INDIRECT(ADDRESS(ROW(),COLUMN()-1,4)),UNSPSCCode,0)),IF(INDIRECT(ADDRESS(ROW(),COLUMN()-1,4))="51141920","Diazepam",""))</f>
        <v>Diazepam</v>
      </c>
      <c r="C1702" s="95" t="str">
        <f>IFERROR(VLOOKUP("UD",'Informacion '!P:Q,2,FALSE),"")</f>
        <v>Unidad</v>
      </c>
      <c r="D1702" s="94">
        <v>89</v>
      </c>
      <c r="E1702" s="84">
        <v>24.93</v>
      </c>
      <c r="F1702" s="83">
        <f t="shared" ca="1" si="77"/>
        <v>2218.77</v>
      </c>
    </row>
    <row r="1703" spans="1:6" ht="14.1" customHeight="1" x14ac:dyDescent="0.25">
      <c r="A1703" s="94" t="s">
        <v>8501</v>
      </c>
      <c r="B1703" s="82" t="str">
        <f ca="1">IFERROR(INDEX(UNSPSCDes,MATCH(INDIRECT(ADDRESS(ROW(),COLUMN()-1,4)),UNSPSCCode,0)),IF(INDIRECT(ADDRESS(ROW(),COLUMN()-1,4))="51142302","Hidrocloruro de naloxona",""))</f>
        <v>Hidrocloruro de naloxona</v>
      </c>
      <c r="C1703" s="95" t="str">
        <f>IFERROR(VLOOKUP("UD",'Informacion '!P:Q,2,FALSE),"")</f>
        <v>Unidad</v>
      </c>
      <c r="D1703" s="94">
        <v>7</v>
      </c>
      <c r="E1703" s="84">
        <v>419.85</v>
      </c>
      <c r="F1703" s="83">
        <f t="shared" ca="1" si="77"/>
        <v>2938.9500000000003</v>
      </c>
    </row>
    <row r="1704" spans="1:6" ht="14.1" customHeight="1" x14ac:dyDescent="0.25">
      <c r="A1704" s="94" t="s">
        <v>7530</v>
      </c>
      <c r="B1704" s="82" t="str">
        <f ca="1">IFERROR(INDEX(UNSPSCDes,MATCH(INDIRECT(ADDRESS(ROW(),COLUMN()-1,4)),UNSPSCCode,0)),IF(INDIRECT(ADDRESS(ROW(),COLUMN()-1,4))="51142206","Sulfato de morfina",""))</f>
        <v>Sulfato de morfina</v>
      </c>
      <c r="C1704" s="95" t="str">
        <f>IFERROR(VLOOKUP("UD",'Informacion '!P:Q,2,FALSE),"")</f>
        <v>Unidad</v>
      </c>
      <c r="D1704" s="94">
        <v>43</v>
      </c>
      <c r="E1704" s="84">
        <v>300</v>
      </c>
      <c r="F1704" s="83">
        <f t="shared" ca="1" si="77"/>
        <v>12900</v>
      </c>
    </row>
    <row r="1705" spans="1:6" ht="14.1" customHeight="1" x14ac:dyDescent="0.25">
      <c r="A1705" s="94" t="s">
        <v>6739</v>
      </c>
      <c r="B1705" s="82" t="str">
        <f ca="1">IFERROR(INDEX(UNSPSCDes,MATCH(INDIRECT(ADDRESS(ROW(),COLUMN()-1,4)),UNSPSCCode,0)),IF(INDIRECT(ADDRESS(ROW(),COLUMN()-1,4))="51142232","Clorhidrato de remifentanilo",""))</f>
        <v>Clorhidrato de remifentanilo</v>
      </c>
      <c r="C1705" s="95" t="str">
        <f>IFERROR(VLOOKUP("UD",'Informacion '!P:Q,2,FALSE),"")</f>
        <v>Unidad</v>
      </c>
      <c r="D1705" s="94">
        <v>120</v>
      </c>
      <c r="E1705" s="84">
        <v>2278.6999999999998</v>
      </c>
      <c r="F1705" s="83">
        <f t="shared" ca="1" si="77"/>
        <v>273444</v>
      </c>
    </row>
    <row r="1706" spans="1:6" ht="14.1" customHeight="1" x14ac:dyDescent="0.25">
      <c r="A1706" s="94" t="s">
        <v>17122</v>
      </c>
      <c r="B1706" s="82" t="str">
        <f ca="1">IFERROR(INDEX(UNSPSCDes,MATCH(INDIRECT(ADDRESS(ROW(),COLUMN()-1,4)),UNSPSCCode,0)),IF(INDIRECT(ADDRESS(ROW(),COLUMN()-1,4))="51142210","Clorhidrato etilmorfina",""))</f>
        <v>Clorhidrato etilmorfina</v>
      </c>
      <c r="C1706" s="95" t="str">
        <f>IFERROR(VLOOKUP("UD",'Informacion '!P:Q,2,FALSE),"")</f>
        <v>Unidad</v>
      </c>
      <c r="D1706" s="94">
        <v>608</v>
      </c>
      <c r="E1706" s="84">
        <v>335.4</v>
      </c>
      <c r="F1706" s="83">
        <f t="shared" ca="1" si="77"/>
        <v>203923.19999999998</v>
      </c>
    </row>
    <row r="1707" spans="1:6" ht="14.1" customHeight="1" x14ac:dyDescent="0.25">
      <c r="A1707" s="94" t="s">
        <v>6476</v>
      </c>
      <c r="B1707" s="82" t="str">
        <f ca="1">IFERROR(INDEX(UNSPSCDes,MATCH(INDIRECT(ADDRESS(ROW(),COLUMN()-1,4)),UNSPSCCode,0)),IF(INDIRECT(ADDRESS(ROW(),COLUMN()-1,4))="51141618","Clorhidrato de fluoxetina",""))</f>
        <v>Clorhidrato de fluoxetina</v>
      </c>
      <c r="C1707" s="95" t="str">
        <f>IFERROR(VLOOKUP("UD",'Informacion '!P:Q,2,FALSE),"")</f>
        <v>Unidad</v>
      </c>
      <c r="D1707" s="94">
        <v>12</v>
      </c>
      <c r="E1707" s="84">
        <v>589.72</v>
      </c>
      <c r="F1707" s="83">
        <f t="shared" ca="1" si="77"/>
        <v>7076.64</v>
      </c>
    </row>
    <row r="1708" spans="1:6" ht="14.1" customHeight="1" x14ac:dyDescent="0.25">
      <c r="A1708" s="94" t="s">
        <v>9528</v>
      </c>
      <c r="B1708" s="82" t="str">
        <f ca="1">IFERROR(INDEX(UNSPSCDes,MATCH(INDIRECT(ADDRESS(ROW(),COLUMN()-1,4)),UNSPSCCode,0)),IF(INDIRECT(ADDRESS(ROW(),COLUMN()-1,4))="51142219","Fentanilo",""))</f>
        <v>Fentanilo</v>
      </c>
      <c r="C1708" s="95" t="str">
        <f>IFERROR(VLOOKUP("UD",'Informacion '!P:Q,2,FALSE),"")</f>
        <v>Unidad</v>
      </c>
      <c r="D1708" s="94">
        <v>772</v>
      </c>
      <c r="E1708" s="84">
        <v>68.319999999999993</v>
      </c>
      <c r="F1708" s="83">
        <f t="shared" ca="1" si="77"/>
        <v>52743.039999999994</v>
      </c>
    </row>
    <row r="1709" spans="1:6" ht="14.1" customHeight="1" x14ac:dyDescent="0.25">
      <c r="A1709" s="94" t="s">
        <v>1979</v>
      </c>
      <c r="B1709" s="82" t="str">
        <f ca="1">IFERROR(INDEX(UNSPSCDes,MATCH(INDIRECT(ADDRESS(ROW(),COLUMN()-1,4)),UNSPSCCode,0)),IF(INDIRECT(ADDRESS(ROW(),COLUMN()-1,4))="51141919","Alprazolam",""))</f>
        <v>Alprazolam</v>
      </c>
      <c r="C1709" s="95" t="str">
        <f>IFERROR(VLOOKUP("UD",'Informacion '!P:Q,2,FALSE),"")</f>
        <v>Unidad</v>
      </c>
      <c r="D1709" s="94">
        <v>42</v>
      </c>
      <c r="E1709" s="84">
        <v>15.02</v>
      </c>
      <c r="F1709" s="83">
        <f t="shared" ca="1" si="77"/>
        <v>630.84</v>
      </c>
    </row>
    <row r="1710" spans="1:6" ht="14.1" customHeight="1" x14ac:dyDescent="0.25">
      <c r="A1710" s="94" t="s">
        <v>17863</v>
      </c>
      <c r="B1710" s="82" t="str">
        <f ca="1">IFERROR(INDEX(UNSPSCDes,MATCH(INDIRECT(ADDRESS(ROW(),COLUMN()-1,4)),UNSPSCCode,0)),IF(INDIRECT(ADDRESS(ROW(),COLUMN()-1,4))="51142226","Clorhidrato de metadona",""))</f>
        <v>Clorhidrato de metadona</v>
      </c>
      <c r="C1710" s="95" t="str">
        <f>IFERROR(VLOOKUP("UD",'Informacion '!P:Q,2,FALSE),"")</f>
        <v>Unidad</v>
      </c>
      <c r="D1710" s="94">
        <v>3</v>
      </c>
      <c r="E1710" s="84">
        <v>77.400000000000006</v>
      </c>
      <c r="F1710" s="83">
        <f t="shared" ca="1" si="77"/>
        <v>232.20000000000002</v>
      </c>
    </row>
    <row r="1711" spans="1:6" ht="14.1" customHeight="1" x14ac:dyDescent="0.25">
      <c r="A1711" s="94" t="s">
        <v>1979</v>
      </c>
      <c r="B1711" s="82" t="str">
        <f ca="1">IFERROR(INDEX(UNSPSCDes,MATCH(INDIRECT(ADDRESS(ROW(),COLUMN()-1,4)),UNSPSCCode,0)),IF(INDIRECT(ADDRESS(ROW(),COLUMN()-1,4))="51141919","Alprazolam",""))</f>
        <v>Alprazolam</v>
      </c>
      <c r="C1711" s="95" t="str">
        <f>IFERROR(VLOOKUP("UD",'Informacion '!P:Q,2,FALSE),"")</f>
        <v>Unidad</v>
      </c>
      <c r="D1711" s="94">
        <v>8</v>
      </c>
      <c r="E1711" s="84">
        <v>20.260000000000002</v>
      </c>
      <c r="F1711" s="83">
        <f t="shared" ca="1" si="77"/>
        <v>162.08000000000001</v>
      </c>
    </row>
    <row r="1712" spans="1:6" ht="14.1" customHeight="1" x14ac:dyDescent="0.25">
      <c r="A1712" s="94" t="s">
        <v>1979</v>
      </c>
      <c r="B1712" s="82" t="str">
        <f ca="1">IFERROR(INDEX(UNSPSCDes,MATCH(INDIRECT(ADDRESS(ROW(),COLUMN()-1,4)),UNSPSCCode,0)),IF(INDIRECT(ADDRESS(ROW(),COLUMN()-1,4))="51141919","Alprazolam",""))</f>
        <v>Alprazolam</v>
      </c>
      <c r="C1712" s="95" t="str">
        <f>IFERROR(VLOOKUP("UD",'Informacion '!P:Q,2,FALSE),"")</f>
        <v>Unidad</v>
      </c>
      <c r="D1712" s="94">
        <v>19</v>
      </c>
      <c r="E1712" s="84">
        <v>9.7899999999999991</v>
      </c>
      <c r="F1712" s="83">
        <f t="shared" ca="1" si="77"/>
        <v>186.01</v>
      </c>
    </row>
    <row r="1713" spans="1:6" ht="14.1" customHeight="1" x14ac:dyDescent="0.25">
      <c r="A1713" s="94" t="s">
        <v>6476</v>
      </c>
      <c r="B1713" s="82" t="str">
        <f ca="1">IFERROR(INDEX(UNSPSCDes,MATCH(INDIRECT(ADDRESS(ROW(),COLUMN()-1,4)),UNSPSCCode,0)),IF(INDIRECT(ADDRESS(ROW(),COLUMN()-1,4))="51141618","Clorhidrato de fluoxetina",""))</f>
        <v>Clorhidrato de fluoxetina</v>
      </c>
      <c r="C1713" s="95" t="str">
        <f>IFERROR(VLOOKUP("UD",'Informacion '!P:Q,2,FALSE),"")</f>
        <v>Unidad</v>
      </c>
      <c r="D1713" s="94">
        <v>6</v>
      </c>
      <c r="E1713" s="84">
        <v>493.04</v>
      </c>
      <c r="F1713" s="83">
        <f t="shared" ca="1" si="77"/>
        <v>2958.2400000000002</v>
      </c>
    </row>
    <row r="1714" spans="1:6" ht="14.1" customHeight="1" x14ac:dyDescent="0.25">
      <c r="A1714" s="94" t="s">
        <v>6464</v>
      </c>
      <c r="B1714" s="82" t="str">
        <f ca="1">IFERROR(INDEX(UNSPSCDes,MATCH(INDIRECT(ADDRESS(ROW(),COLUMN()-1,4)),UNSPSCCode,0)),IF(INDIRECT(ADDRESS(ROW(),COLUMN()-1,4))="51141920","Diazepam",""))</f>
        <v>Diazepam</v>
      </c>
      <c r="C1714" s="95" t="str">
        <f>IFERROR(VLOOKUP("UD",'Informacion '!P:Q,2,FALSE),"")</f>
        <v>Unidad</v>
      </c>
      <c r="D1714" s="94">
        <v>3</v>
      </c>
      <c r="E1714" s="84">
        <v>3.69</v>
      </c>
      <c r="F1714" s="83">
        <f t="shared" ca="1" si="77"/>
        <v>11.07</v>
      </c>
    </row>
    <row r="1715" spans="1:6" ht="14.1" customHeight="1" x14ac:dyDescent="0.25">
      <c r="A1715" s="94" t="s">
        <v>6464</v>
      </c>
      <c r="B1715" s="82" t="str">
        <f ca="1">IFERROR(INDEX(UNSPSCDes,MATCH(INDIRECT(ADDRESS(ROW(),COLUMN()-1,4)),UNSPSCCode,0)),IF(INDIRECT(ADDRESS(ROW(),COLUMN()-1,4))="51141920","Diazepam",""))</f>
        <v>Diazepam</v>
      </c>
      <c r="C1715" s="95" t="str">
        <f>IFERROR(VLOOKUP("UD",'Informacion '!P:Q,2,FALSE),"")</f>
        <v>Unidad</v>
      </c>
      <c r="D1715" s="94">
        <v>80</v>
      </c>
      <c r="E1715" s="84">
        <v>8.59</v>
      </c>
      <c r="F1715" s="83">
        <f t="shared" ca="1" si="77"/>
        <v>687.2</v>
      </c>
    </row>
    <row r="1716" spans="1:6" ht="14.1" customHeight="1" x14ac:dyDescent="0.25">
      <c r="A1716" s="94" t="s">
        <v>6464</v>
      </c>
      <c r="B1716" s="82" t="str">
        <f ca="1">IFERROR(INDEX(UNSPSCDes,MATCH(INDIRECT(ADDRESS(ROW(),COLUMN()-1,4)),UNSPSCCode,0)),IF(INDIRECT(ADDRESS(ROW(),COLUMN()-1,4))="51141920","Diazepam",""))</f>
        <v>Diazepam</v>
      </c>
      <c r="C1716" s="95" t="str">
        <f>IFERROR(VLOOKUP("UD",'Informacion '!P:Q,2,FALSE),"")</f>
        <v>Unidad</v>
      </c>
      <c r="D1716" s="94">
        <v>5</v>
      </c>
      <c r="E1716" s="84">
        <v>30.04</v>
      </c>
      <c r="F1716" s="83">
        <f t="shared" ca="1" si="77"/>
        <v>150.19999999999999</v>
      </c>
    </row>
    <row r="1717" spans="1:6" ht="14.1" customHeight="1" x14ac:dyDescent="0.25">
      <c r="A1717" s="94" t="s">
        <v>6464</v>
      </c>
      <c r="B1717" s="82" t="str">
        <f ca="1">IFERROR(INDEX(UNSPSCDes,MATCH(INDIRECT(ADDRESS(ROW(),COLUMN()-1,4)),UNSPSCCode,0)),IF(INDIRECT(ADDRESS(ROW(),COLUMN()-1,4))="51141920","Diazepam",""))</f>
        <v>Diazepam</v>
      </c>
      <c r="C1717" s="95" t="str">
        <f>IFERROR(VLOOKUP("UD",'Informacion '!P:Q,2,FALSE),"")</f>
        <v>Unidad</v>
      </c>
      <c r="D1717" s="94">
        <v>13</v>
      </c>
      <c r="E1717" s="84">
        <v>51.65</v>
      </c>
      <c r="F1717" s="83">
        <f t="shared" ca="1" si="77"/>
        <v>671.44999999999993</v>
      </c>
    </row>
    <row r="1718" spans="1:6" ht="14.1" customHeight="1" x14ac:dyDescent="0.25">
      <c r="A1718" s="94" t="s">
        <v>9528</v>
      </c>
      <c r="B1718" s="82" t="str">
        <f ca="1">IFERROR(INDEX(UNSPSCDes,MATCH(INDIRECT(ADDRESS(ROW(),COLUMN()-1,4)),UNSPSCCode,0)),IF(INDIRECT(ADDRESS(ROW(),COLUMN()-1,4))="51142219","Fentanilo",""))</f>
        <v>Fentanilo</v>
      </c>
      <c r="C1718" s="95" t="str">
        <f>IFERROR(VLOOKUP("UD",'Informacion '!P:Q,2,FALSE),"")</f>
        <v>Unidad</v>
      </c>
      <c r="D1718" s="94">
        <v>2</v>
      </c>
      <c r="E1718" s="84">
        <v>1857.4</v>
      </c>
      <c r="F1718" s="83">
        <f t="shared" ca="1" si="77"/>
        <v>3714.8</v>
      </c>
    </row>
    <row r="1719" spans="1:6" ht="14.1" customHeight="1" x14ac:dyDescent="0.25">
      <c r="A1719" s="94" t="s">
        <v>9528</v>
      </c>
      <c r="B1719" s="82" t="str">
        <f ca="1">IFERROR(INDEX(UNSPSCDes,MATCH(INDIRECT(ADDRESS(ROW(),COLUMN()-1,4)),UNSPSCCode,0)),IF(INDIRECT(ADDRESS(ROW(),COLUMN()-1,4))="51142219","Fentanilo",""))</f>
        <v>Fentanilo</v>
      </c>
      <c r="C1719" s="95" t="str">
        <f>IFERROR(VLOOKUP("UD",'Informacion '!P:Q,2,FALSE),"")</f>
        <v>Unidad</v>
      </c>
      <c r="D1719" s="94">
        <v>14</v>
      </c>
      <c r="E1719" s="84">
        <v>124</v>
      </c>
      <c r="F1719" s="83">
        <f t="shared" ca="1" si="77"/>
        <v>1736</v>
      </c>
    </row>
    <row r="1720" spans="1:6" ht="14.1" customHeight="1" x14ac:dyDescent="0.25">
      <c r="A1720" s="94" t="s">
        <v>9528</v>
      </c>
      <c r="B1720" s="82" t="str">
        <f ca="1">IFERROR(INDEX(UNSPSCDes,MATCH(INDIRECT(ADDRESS(ROW(),COLUMN()-1,4)),UNSPSCCode,0)),IF(INDIRECT(ADDRESS(ROW(),COLUMN()-1,4))="51142219","Fentanilo",""))</f>
        <v>Fentanilo</v>
      </c>
      <c r="C1720" s="95" t="str">
        <f>IFERROR(VLOOKUP("UD",'Informacion '!P:Q,2,FALSE),"")</f>
        <v>Unidad</v>
      </c>
      <c r="D1720" s="94">
        <v>130</v>
      </c>
      <c r="E1720" s="84">
        <v>107.24</v>
      </c>
      <c r="F1720" s="83">
        <f t="shared" ca="1" si="77"/>
        <v>13941.199999999999</v>
      </c>
    </row>
    <row r="1721" spans="1:6" ht="14.1" customHeight="1" x14ac:dyDescent="0.25">
      <c r="A1721" s="94" t="s">
        <v>9528</v>
      </c>
      <c r="B1721" s="82" t="str">
        <f ca="1">IFERROR(INDEX(UNSPSCDes,MATCH(INDIRECT(ADDRESS(ROW(),COLUMN()-1,4)),UNSPSCCode,0)),IF(INDIRECT(ADDRESS(ROW(),COLUMN()-1,4))="51142219","Fentanilo",""))</f>
        <v>Fentanilo</v>
      </c>
      <c r="C1721" s="95" t="str">
        <f>IFERROR(VLOOKUP("UD",'Informacion '!P:Q,2,FALSE),"")</f>
        <v>Unidad</v>
      </c>
      <c r="D1721" s="94">
        <v>171</v>
      </c>
      <c r="E1721" s="84">
        <v>17.14</v>
      </c>
      <c r="F1721" s="83">
        <f t="shared" ca="1" si="77"/>
        <v>2930.94</v>
      </c>
    </row>
    <row r="1722" spans="1:6" ht="14.1" customHeight="1" x14ac:dyDescent="0.25">
      <c r="A1722" s="94" t="s">
        <v>5157</v>
      </c>
      <c r="B1722" s="82" t="str">
        <f ca="1">IFERROR(INDEX(UNSPSCDes,MATCH(INDIRECT(ADDRESS(ROW(),COLUMN()-1,4)),UNSPSCCode,0)),IF(INDIRECT(ADDRESS(ROW(),COLUMN()-1,4))="51142934","Clorhidrato de ketamina",""))</f>
        <v>Clorhidrato de ketamina</v>
      </c>
      <c r="C1722" s="95" t="str">
        <f>IFERROR(VLOOKUP("UD",'Informacion '!P:Q,2,FALSE),"")</f>
        <v>Unidad</v>
      </c>
      <c r="D1722" s="94">
        <v>809</v>
      </c>
      <c r="E1722" s="84">
        <v>11</v>
      </c>
      <c r="F1722" s="83">
        <f t="shared" ca="1" si="77"/>
        <v>8899</v>
      </c>
    </row>
    <row r="1723" spans="1:6" ht="14.1" customHeight="1" x14ac:dyDescent="0.25">
      <c r="A1723" s="94" t="s">
        <v>2201</v>
      </c>
      <c r="B1723" s="82" t="str">
        <f t="shared" ref="B1723:B1730" ca="1" si="78">IFERROR(INDEX(UNSPSCDes,MATCH(INDIRECT(ADDRESS(ROW(),COLUMN()-1,4)),UNSPSCCode,0)),IF(INDIRECT(ADDRESS(ROW(),COLUMN()-1,4))="51141921","Clorhidrato de midazoloam",""))</f>
        <v>Clorhidrato de midazoloam</v>
      </c>
      <c r="C1723" s="95" t="str">
        <f>IFERROR(VLOOKUP("UD",'Informacion '!P:Q,2,FALSE),"")</f>
        <v>Unidad</v>
      </c>
      <c r="D1723" s="94">
        <v>63</v>
      </c>
      <c r="E1723" s="84">
        <v>84.73</v>
      </c>
      <c r="F1723" s="83">
        <f t="shared" ca="1" si="77"/>
        <v>5337.9900000000007</v>
      </c>
    </row>
    <row r="1724" spans="1:6" ht="14.1" customHeight="1" x14ac:dyDescent="0.25">
      <c r="A1724" s="94" t="s">
        <v>2201</v>
      </c>
      <c r="B1724" s="82" t="str">
        <f t="shared" ca="1" si="78"/>
        <v>Clorhidrato de midazoloam</v>
      </c>
      <c r="C1724" s="95" t="str">
        <f>IFERROR(VLOOKUP("UD",'Informacion '!P:Q,2,FALSE),"")</f>
        <v>Unidad</v>
      </c>
      <c r="D1724" s="94">
        <v>184</v>
      </c>
      <c r="E1724" s="84">
        <v>135</v>
      </c>
      <c r="F1724" s="83">
        <f t="shared" ca="1" si="77"/>
        <v>24840</v>
      </c>
    </row>
    <row r="1725" spans="1:6" ht="14.1" customHeight="1" x14ac:dyDescent="0.25">
      <c r="A1725" s="94" t="s">
        <v>2201</v>
      </c>
      <c r="B1725" s="82" t="str">
        <f t="shared" ca="1" si="78"/>
        <v>Clorhidrato de midazoloam</v>
      </c>
      <c r="C1725" s="95" t="str">
        <f>IFERROR(VLOOKUP("UD",'Informacion '!P:Q,2,FALSE),"")</f>
        <v>Unidad</v>
      </c>
      <c r="D1725" s="94">
        <v>59</v>
      </c>
      <c r="E1725" s="84">
        <v>90</v>
      </c>
      <c r="F1725" s="83">
        <f t="shared" ca="1" si="77"/>
        <v>5310</v>
      </c>
    </row>
    <row r="1726" spans="1:6" ht="14.1" customHeight="1" x14ac:dyDescent="0.25">
      <c r="A1726" s="94" t="s">
        <v>2201</v>
      </c>
      <c r="B1726" s="82" t="str">
        <f t="shared" ca="1" si="78"/>
        <v>Clorhidrato de midazoloam</v>
      </c>
      <c r="C1726" s="95" t="str">
        <f>IFERROR(VLOOKUP("UD",'Informacion '!P:Q,2,FALSE),"")</f>
        <v>Unidad</v>
      </c>
      <c r="D1726" s="94">
        <v>22</v>
      </c>
      <c r="E1726" s="84">
        <v>670.14</v>
      </c>
      <c r="F1726" s="83">
        <f t="shared" ca="1" si="77"/>
        <v>14743.08</v>
      </c>
    </row>
    <row r="1727" spans="1:6" ht="14.1" customHeight="1" x14ac:dyDescent="0.25">
      <c r="A1727" s="94" t="s">
        <v>2201</v>
      </c>
      <c r="B1727" s="82" t="str">
        <f t="shared" ca="1" si="78"/>
        <v>Clorhidrato de midazoloam</v>
      </c>
      <c r="C1727" s="95" t="str">
        <f>IFERROR(VLOOKUP("UD",'Informacion '!P:Q,2,FALSE),"")</f>
        <v>Unidad</v>
      </c>
      <c r="D1727" s="94">
        <v>356</v>
      </c>
      <c r="E1727" s="84">
        <v>374.99</v>
      </c>
      <c r="F1727" s="83">
        <f t="shared" ca="1" si="77"/>
        <v>133496.44</v>
      </c>
    </row>
    <row r="1728" spans="1:6" ht="14.1" customHeight="1" x14ac:dyDescent="0.25">
      <c r="A1728" s="94" t="s">
        <v>2201</v>
      </c>
      <c r="B1728" s="82" t="str">
        <f t="shared" ca="1" si="78"/>
        <v>Clorhidrato de midazoloam</v>
      </c>
      <c r="C1728" s="95" t="str">
        <f>IFERROR(VLOOKUP("UD",'Informacion '!P:Q,2,FALSE),"")</f>
        <v>Unidad</v>
      </c>
      <c r="D1728" s="94">
        <v>29</v>
      </c>
      <c r="E1728" s="84">
        <v>375</v>
      </c>
      <c r="F1728" s="83">
        <f t="shared" ref="F1728:F1759" ca="1" si="79">INDIRECT(ADDRESS(ROW(),COLUMN()-2,4))*INDIRECT(ADDRESS(ROW(),COLUMN()-1,4))</f>
        <v>10875</v>
      </c>
    </row>
    <row r="1729" spans="1:6" ht="14.1" customHeight="1" x14ac:dyDescent="0.25">
      <c r="A1729" s="94" t="s">
        <v>2201</v>
      </c>
      <c r="B1729" s="82" t="str">
        <f t="shared" ca="1" si="78"/>
        <v>Clorhidrato de midazoloam</v>
      </c>
      <c r="C1729" s="95" t="str">
        <f>IFERROR(VLOOKUP("UD",'Informacion '!P:Q,2,FALSE),"")</f>
        <v>Unidad</v>
      </c>
      <c r="D1729" s="94">
        <v>68</v>
      </c>
      <c r="E1729" s="84">
        <v>125</v>
      </c>
      <c r="F1729" s="83">
        <f t="shared" ca="1" si="79"/>
        <v>8500</v>
      </c>
    </row>
    <row r="1730" spans="1:6" ht="14.1" customHeight="1" x14ac:dyDescent="0.25">
      <c r="A1730" s="94" t="s">
        <v>2201</v>
      </c>
      <c r="B1730" s="82" t="str">
        <f t="shared" ca="1" si="78"/>
        <v>Clorhidrato de midazoloam</v>
      </c>
      <c r="C1730" s="95" t="str">
        <f>IFERROR(VLOOKUP("UD",'Informacion '!P:Q,2,FALSE),"")</f>
        <v>Unidad</v>
      </c>
      <c r="D1730" s="94">
        <v>2</v>
      </c>
      <c r="E1730" s="84">
        <v>230</v>
      </c>
      <c r="F1730" s="83">
        <f t="shared" ca="1" si="79"/>
        <v>460</v>
      </c>
    </row>
    <row r="1731" spans="1:6" ht="14.1" customHeight="1" x14ac:dyDescent="0.25">
      <c r="A1731" s="94" t="s">
        <v>17122</v>
      </c>
      <c r="B1731" s="82" t="str">
        <f ca="1">IFERROR(INDEX(UNSPSCDes,MATCH(INDIRECT(ADDRESS(ROW(),COLUMN()-1,4)),UNSPSCCode,0)),IF(INDIRECT(ADDRESS(ROW(),COLUMN()-1,4))="51142210","Clorhidrato etilmorfina",""))</f>
        <v>Clorhidrato etilmorfina</v>
      </c>
      <c r="C1731" s="95" t="str">
        <f>IFERROR(VLOOKUP("UD",'Informacion '!P:Q,2,FALSE),"")</f>
        <v>Unidad</v>
      </c>
      <c r="D1731" s="94">
        <v>5</v>
      </c>
      <c r="E1731" s="84">
        <v>95.7</v>
      </c>
      <c r="F1731" s="83">
        <f t="shared" ca="1" si="79"/>
        <v>478.5</v>
      </c>
    </row>
    <row r="1732" spans="1:6" ht="14.1" customHeight="1" x14ac:dyDescent="0.25">
      <c r="A1732" s="94" t="s">
        <v>17122</v>
      </c>
      <c r="B1732" s="82" t="str">
        <f ca="1">IFERROR(INDEX(UNSPSCDes,MATCH(INDIRECT(ADDRESS(ROW(),COLUMN()-1,4)),UNSPSCCode,0)),IF(INDIRECT(ADDRESS(ROW(),COLUMN()-1,4))="51142210","Clorhidrato etilmorfina",""))</f>
        <v>Clorhidrato etilmorfina</v>
      </c>
      <c r="C1732" s="95" t="str">
        <f>IFERROR(VLOOKUP("UD",'Informacion '!P:Q,2,FALSE),"")</f>
        <v>Unidad</v>
      </c>
      <c r="D1732" s="94">
        <v>117</v>
      </c>
      <c r="E1732" s="84">
        <v>79.86</v>
      </c>
      <c r="F1732" s="83">
        <f t="shared" ca="1" si="79"/>
        <v>9343.6200000000008</v>
      </c>
    </row>
    <row r="1733" spans="1:6" ht="14.1" customHeight="1" x14ac:dyDescent="0.25">
      <c r="A1733" s="94" t="s">
        <v>17122</v>
      </c>
      <c r="B1733" s="82" t="str">
        <f ca="1">IFERROR(INDEX(UNSPSCDes,MATCH(INDIRECT(ADDRESS(ROW(),COLUMN()-1,4)),UNSPSCCode,0)),IF(INDIRECT(ADDRESS(ROW(),COLUMN()-1,4))="51142210","Clorhidrato etilmorfina",""))</f>
        <v>Clorhidrato etilmorfina</v>
      </c>
      <c r="C1733" s="95" t="str">
        <f>IFERROR(VLOOKUP("UD",'Informacion '!P:Q,2,FALSE),"")</f>
        <v>Unidad</v>
      </c>
      <c r="D1733" s="94">
        <v>43</v>
      </c>
      <c r="E1733" s="84">
        <v>95.7</v>
      </c>
      <c r="F1733" s="83">
        <f t="shared" ca="1" si="79"/>
        <v>4115.1000000000004</v>
      </c>
    </row>
    <row r="1734" spans="1:6" ht="14.1" customHeight="1" x14ac:dyDescent="0.25">
      <c r="A1734" s="94" t="s">
        <v>17122</v>
      </c>
      <c r="B1734" s="82" t="str">
        <f ca="1">IFERROR(INDEX(UNSPSCDes,MATCH(INDIRECT(ADDRESS(ROW(),COLUMN()-1,4)),UNSPSCCode,0)),IF(INDIRECT(ADDRESS(ROW(),COLUMN()-1,4))="51142210","Clorhidrato etilmorfina",""))</f>
        <v>Clorhidrato etilmorfina</v>
      </c>
      <c r="C1734" s="95" t="str">
        <f>IFERROR(VLOOKUP("UD",'Informacion '!P:Q,2,FALSE),"")</f>
        <v>Unidad</v>
      </c>
      <c r="D1734" s="94">
        <v>7</v>
      </c>
      <c r="E1734" s="84">
        <v>295</v>
      </c>
      <c r="F1734" s="83">
        <f t="shared" ca="1" si="79"/>
        <v>2065</v>
      </c>
    </row>
    <row r="1735" spans="1:6" ht="14.1" customHeight="1" x14ac:dyDescent="0.25">
      <c r="A1735" s="94" t="s">
        <v>11517</v>
      </c>
      <c r="B1735" s="82" t="str">
        <f ca="1">IFERROR(INDEX(UNSPSCDes,MATCH(INDIRECT(ADDRESS(ROW(),COLUMN()-1,4)),UNSPSCCode,0)),IF(INDIRECT(ADDRESS(ROW(),COLUMN()-1,4))="51142304","Clorhidrato de nalbufina",""))</f>
        <v>Clorhidrato de nalbufina</v>
      </c>
      <c r="C1735" s="95" t="str">
        <f>IFERROR(VLOOKUP("UD",'Informacion '!P:Q,2,FALSE),"")</f>
        <v>Unidad</v>
      </c>
      <c r="D1735" s="94">
        <v>28</v>
      </c>
      <c r="E1735" s="84">
        <v>80</v>
      </c>
      <c r="F1735" s="83">
        <f t="shared" ca="1" si="79"/>
        <v>2240</v>
      </c>
    </row>
    <row r="1736" spans="1:6" ht="14.1" customHeight="1" x14ac:dyDescent="0.25">
      <c r="A1736" s="94" t="s">
        <v>6327</v>
      </c>
      <c r="B1736" s="82" t="str">
        <f ca="1">IFERROR(INDEX(UNSPSCDes,MATCH(INDIRECT(ADDRESS(ROW(),COLUMN()-1,4)),UNSPSCCode,0)),IF(INDIRECT(ADDRESS(ROW(),COLUMN()-1,4))="51171606","Sulfato de magnesio",""))</f>
        <v>Sulfato de magnesio</v>
      </c>
      <c r="C1736" s="95" t="str">
        <f>IFERROR(VLOOKUP("UD",'Informacion '!P:Q,2,FALSE),"")</f>
        <v>Unidad</v>
      </c>
      <c r="D1736" s="94">
        <v>9</v>
      </c>
      <c r="E1736" s="84">
        <v>74.72</v>
      </c>
      <c r="F1736" s="83">
        <f t="shared" ca="1" si="79"/>
        <v>672.48</v>
      </c>
    </row>
    <row r="1737" spans="1:6" ht="14.1" customHeight="1" x14ac:dyDescent="0.25">
      <c r="A1737" s="94" t="s">
        <v>1979</v>
      </c>
      <c r="B1737" s="82" t="str">
        <f ca="1">IFERROR(INDEX(UNSPSCDes,MATCH(INDIRECT(ADDRESS(ROW(),COLUMN()-1,4)),UNSPSCCode,0)),IF(INDIRECT(ADDRESS(ROW(),COLUMN()-1,4))="51141919","Alprazolam",""))</f>
        <v>Alprazolam</v>
      </c>
      <c r="C1737" s="95" t="str">
        <f>IFERROR(VLOOKUP("UD",'Informacion '!P:Q,2,FALSE),"")</f>
        <v>Unidad</v>
      </c>
      <c r="D1737" s="94">
        <v>44</v>
      </c>
      <c r="E1737" s="84">
        <v>11.92</v>
      </c>
      <c r="F1737" s="83">
        <f t="shared" ca="1" si="79"/>
        <v>524.48</v>
      </c>
    </row>
    <row r="1738" spans="1:6" ht="14.1" customHeight="1" x14ac:dyDescent="0.25">
      <c r="A1738" s="94" t="s">
        <v>11517</v>
      </c>
      <c r="B1738" s="82" t="str">
        <f ca="1">IFERROR(INDEX(UNSPSCDes,MATCH(INDIRECT(ADDRESS(ROW(),COLUMN()-1,4)),UNSPSCCode,0)),IF(INDIRECT(ADDRESS(ROW(),COLUMN()-1,4))="51142304","Clorhidrato de nalbufina",""))</f>
        <v>Clorhidrato de nalbufina</v>
      </c>
      <c r="C1738" s="95" t="str">
        <f>IFERROR(VLOOKUP("UD",'Informacion '!P:Q,2,FALSE),"")</f>
        <v>Unidad</v>
      </c>
      <c r="D1738" s="94">
        <v>6</v>
      </c>
      <c r="E1738" s="84">
        <v>102.06</v>
      </c>
      <c r="F1738" s="83">
        <f t="shared" ca="1" si="79"/>
        <v>612.36</v>
      </c>
    </row>
    <row r="1739" spans="1:6" ht="14.1" customHeight="1" x14ac:dyDescent="0.25">
      <c r="A1739" s="94" t="s">
        <v>7530</v>
      </c>
      <c r="B1739" s="82" t="str">
        <f ca="1">IFERROR(INDEX(UNSPSCDes,MATCH(INDIRECT(ADDRESS(ROW(),COLUMN()-1,4)),UNSPSCCode,0)),IF(INDIRECT(ADDRESS(ROW(),COLUMN()-1,4))="51142206","Sulfato de morfina",""))</f>
        <v>Sulfato de morfina</v>
      </c>
      <c r="C1739" s="95" t="str">
        <f>IFERROR(VLOOKUP("UD",'Informacion '!P:Q,2,FALSE),"")</f>
        <v>Unidad</v>
      </c>
      <c r="D1739" s="94">
        <v>119</v>
      </c>
      <c r="E1739" s="84">
        <v>90</v>
      </c>
      <c r="F1739" s="83">
        <f t="shared" ca="1" si="79"/>
        <v>10710</v>
      </c>
    </row>
    <row r="1740" spans="1:6" ht="14.1" customHeight="1" x14ac:dyDescent="0.25">
      <c r="A1740" s="94" t="s">
        <v>7530</v>
      </c>
      <c r="B1740" s="82" t="str">
        <f ca="1">IFERROR(INDEX(UNSPSCDes,MATCH(INDIRECT(ADDRESS(ROW(),COLUMN()-1,4)),UNSPSCCode,0)),IF(INDIRECT(ADDRESS(ROW(),COLUMN()-1,4))="51142206","Sulfato de morfina",""))</f>
        <v>Sulfato de morfina</v>
      </c>
      <c r="C1740" s="95" t="str">
        <f>IFERROR(VLOOKUP("UD",'Informacion '!P:Q,2,FALSE),"")</f>
        <v>Unidad</v>
      </c>
      <c r="D1740" s="94">
        <v>327</v>
      </c>
      <c r="E1740" s="84">
        <v>177</v>
      </c>
      <c r="F1740" s="83">
        <f t="shared" ca="1" si="79"/>
        <v>57879</v>
      </c>
    </row>
    <row r="1741" spans="1:6" ht="14.1" customHeight="1" x14ac:dyDescent="0.25">
      <c r="A1741" s="94" t="s">
        <v>7530</v>
      </c>
      <c r="B1741" s="82" t="str">
        <f ca="1">IFERROR(INDEX(UNSPSCDes,MATCH(INDIRECT(ADDRESS(ROW(),COLUMN()-1,4)),UNSPSCCode,0)),IF(INDIRECT(ADDRESS(ROW(),COLUMN()-1,4))="51142206","Sulfato de morfina",""))</f>
        <v>Sulfato de morfina</v>
      </c>
      <c r="C1741" s="95" t="str">
        <f>IFERROR(VLOOKUP("UD",'Informacion '!P:Q,2,FALSE),"")</f>
        <v>Unidad</v>
      </c>
      <c r="D1741" s="94">
        <v>5</v>
      </c>
      <c r="E1741" s="84">
        <v>20.399999999999999</v>
      </c>
      <c r="F1741" s="83">
        <f t="shared" ca="1" si="79"/>
        <v>102</v>
      </c>
    </row>
    <row r="1742" spans="1:6" ht="14.1" customHeight="1" x14ac:dyDescent="0.25">
      <c r="A1742" s="94" t="s">
        <v>1979</v>
      </c>
      <c r="B1742" s="82" t="str">
        <f ca="1">IFERROR(INDEX(UNSPSCDes,MATCH(INDIRECT(ADDRESS(ROW(),COLUMN()-1,4)),UNSPSCCode,0)),IF(INDIRECT(ADDRESS(ROW(),COLUMN()-1,4))="51141919","Alprazolam",""))</f>
        <v>Alprazolam</v>
      </c>
      <c r="C1742" s="95" t="str">
        <f>IFERROR(VLOOKUP("UD",'Informacion '!P:Q,2,FALSE),"")</f>
        <v>Unidad</v>
      </c>
      <c r="D1742" s="94">
        <v>10</v>
      </c>
      <c r="E1742" s="84">
        <v>20.260000000000002</v>
      </c>
      <c r="F1742" s="83">
        <f t="shared" ca="1" si="79"/>
        <v>202.60000000000002</v>
      </c>
    </row>
    <row r="1743" spans="1:6" ht="14.1" customHeight="1" x14ac:dyDescent="0.25">
      <c r="A1743" s="94" t="s">
        <v>1979</v>
      </c>
      <c r="B1743" s="82" t="str">
        <f ca="1">IFERROR(INDEX(UNSPSCDes,MATCH(INDIRECT(ADDRESS(ROW(),COLUMN()-1,4)),UNSPSCCode,0)),IF(INDIRECT(ADDRESS(ROW(),COLUMN()-1,4))="51141919","Alprazolam",""))</f>
        <v>Alprazolam</v>
      </c>
      <c r="C1743" s="95" t="str">
        <f>IFERROR(VLOOKUP("UD",'Informacion '!P:Q,2,FALSE),"")</f>
        <v>Unidad</v>
      </c>
      <c r="D1743" s="94">
        <v>21</v>
      </c>
      <c r="E1743" s="84">
        <v>9.7899999999999991</v>
      </c>
      <c r="F1743" s="83">
        <f t="shared" ca="1" si="79"/>
        <v>205.58999999999997</v>
      </c>
    </row>
    <row r="1744" spans="1:6" ht="14.1" customHeight="1" x14ac:dyDescent="0.25">
      <c r="A1744" s="94" t="s">
        <v>6476</v>
      </c>
      <c r="B1744" s="82" t="str">
        <f ca="1">IFERROR(INDEX(UNSPSCDes,MATCH(INDIRECT(ADDRESS(ROW(),COLUMN()-1,4)),UNSPSCCode,0)),IF(INDIRECT(ADDRESS(ROW(),COLUMN()-1,4))="51141618","Clorhidrato de fluoxetina",""))</f>
        <v>Clorhidrato de fluoxetina</v>
      </c>
      <c r="C1744" s="95" t="str">
        <f>IFERROR(VLOOKUP("UD",'Informacion '!P:Q,2,FALSE),"")</f>
        <v>Unidad</v>
      </c>
      <c r="D1744" s="94">
        <v>7</v>
      </c>
      <c r="E1744" s="84">
        <v>493.04</v>
      </c>
      <c r="F1744" s="83">
        <f t="shared" ca="1" si="79"/>
        <v>3451.28</v>
      </c>
    </row>
    <row r="1745" spans="1:6" ht="14.1" customHeight="1" x14ac:dyDescent="0.25">
      <c r="A1745" s="94" t="s">
        <v>6464</v>
      </c>
      <c r="B1745" s="82" t="str">
        <f ca="1">IFERROR(INDEX(UNSPSCDes,MATCH(INDIRECT(ADDRESS(ROW(),COLUMN()-1,4)),UNSPSCCode,0)),IF(INDIRECT(ADDRESS(ROW(),COLUMN()-1,4))="51141920","Diazepam",""))</f>
        <v>Diazepam</v>
      </c>
      <c r="C1745" s="95" t="str">
        <f>IFERROR(VLOOKUP("UD",'Informacion '!P:Q,2,FALSE),"")</f>
        <v>Unidad</v>
      </c>
      <c r="D1745" s="94">
        <v>4</v>
      </c>
      <c r="E1745" s="84">
        <v>3.69</v>
      </c>
      <c r="F1745" s="83">
        <f t="shared" ca="1" si="79"/>
        <v>14.76</v>
      </c>
    </row>
    <row r="1746" spans="1:6" ht="14.1" customHeight="1" x14ac:dyDescent="0.25">
      <c r="A1746" s="94" t="s">
        <v>6464</v>
      </c>
      <c r="B1746" s="82" t="str">
        <f ca="1">IFERROR(INDEX(UNSPSCDes,MATCH(INDIRECT(ADDRESS(ROW(),COLUMN()-1,4)),UNSPSCCode,0)),IF(INDIRECT(ADDRESS(ROW(),COLUMN()-1,4))="51141920","Diazepam",""))</f>
        <v>Diazepam</v>
      </c>
      <c r="C1746" s="95" t="str">
        <f>IFERROR(VLOOKUP("UD",'Informacion '!P:Q,2,FALSE),"")</f>
        <v>Unidad</v>
      </c>
      <c r="D1746" s="94">
        <v>85</v>
      </c>
      <c r="E1746" s="84">
        <v>8.59</v>
      </c>
      <c r="F1746" s="83">
        <f t="shared" ca="1" si="79"/>
        <v>730.15</v>
      </c>
    </row>
    <row r="1747" spans="1:6" ht="14.1" customHeight="1" x14ac:dyDescent="0.25">
      <c r="A1747" s="94" t="s">
        <v>6464</v>
      </c>
      <c r="B1747" s="82" t="str">
        <f ca="1">IFERROR(INDEX(UNSPSCDes,MATCH(INDIRECT(ADDRESS(ROW(),COLUMN()-1,4)),UNSPSCCode,0)),IF(INDIRECT(ADDRESS(ROW(),COLUMN()-1,4))="51141920","Diazepam",""))</f>
        <v>Diazepam</v>
      </c>
      <c r="C1747" s="95" t="str">
        <f>IFERROR(VLOOKUP("UD",'Informacion '!P:Q,2,FALSE),"")</f>
        <v>Unidad</v>
      </c>
      <c r="D1747" s="94">
        <v>7</v>
      </c>
      <c r="E1747" s="84">
        <v>30.04</v>
      </c>
      <c r="F1747" s="83">
        <f t="shared" ca="1" si="79"/>
        <v>210.28</v>
      </c>
    </row>
    <row r="1748" spans="1:6" ht="14.1" customHeight="1" x14ac:dyDescent="0.25">
      <c r="A1748" s="94" t="s">
        <v>6464</v>
      </c>
      <c r="B1748" s="82" t="str">
        <f ca="1">IFERROR(INDEX(UNSPSCDes,MATCH(INDIRECT(ADDRESS(ROW(),COLUMN()-1,4)),UNSPSCCode,0)),IF(INDIRECT(ADDRESS(ROW(),COLUMN()-1,4))="51141920","Diazepam",""))</f>
        <v>Diazepam</v>
      </c>
      <c r="C1748" s="95" t="str">
        <f>IFERROR(VLOOKUP("UD",'Informacion '!P:Q,2,FALSE),"")</f>
        <v>Unidad</v>
      </c>
      <c r="D1748" s="94">
        <v>16</v>
      </c>
      <c r="E1748" s="84">
        <v>51.65</v>
      </c>
      <c r="F1748" s="83">
        <f t="shared" ca="1" si="79"/>
        <v>826.4</v>
      </c>
    </row>
    <row r="1749" spans="1:6" ht="14.1" customHeight="1" x14ac:dyDescent="0.25">
      <c r="A1749" s="94" t="s">
        <v>9528</v>
      </c>
      <c r="B1749" s="82" t="str">
        <f ca="1">IFERROR(INDEX(UNSPSCDes,MATCH(INDIRECT(ADDRESS(ROW(),COLUMN()-1,4)),UNSPSCCode,0)),IF(INDIRECT(ADDRESS(ROW(),COLUMN()-1,4))="51142219","Fentanilo",""))</f>
        <v>Fentanilo</v>
      </c>
      <c r="C1749" s="95" t="str">
        <f>IFERROR(VLOOKUP("UD",'Informacion '!P:Q,2,FALSE),"")</f>
        <v>Unidad</v>
      </c>
      <c r="D1749" s="94">
        <v>3</v>
      </c>
      <c r="E1749" s="84">
        <v>1857.4</v>
      </c>
      <c r="F1749" s="83">
        <f t="shared" ca="1" si="79"/>
        <v>5572.2000000000007</v>
      </c>
    </row>
    <row r="1750" spans="1:6" ht="14.1" customHeight="1" x14ac:dyDescent="0.25">
      <c r="A1750" s="94" t="s">
        <v>9528</v>
      </c>
      <c r="B1750" s="82" t="str">
        <f ca="1">IFERROR(INDEX(UNSPSCDes,MATCH(INDIRECT(ADDRESS(ROW(),COLUMN()-1,4)),UNSPSCCode,0)),IF(INDIRECT(ADDRESS(ROW(),COLUMN()-1,4))="51142219","Fentanilo",""))</f>
        <v>Fentanilo</v>
      </c>
      <c r="C1750" s="95" t="str">
        <f>IFERROR(VLOOKUP("UD",'Informacion '!P:Q,2,FALSE),"")</f>
        <v>Unidad</v>
      </c>
      <c r="D1750" s="94">
        <v>16</v>
      </c>
      <c r="E1750" s="84">
        <v>124</v>
      </c>
      <c r="F1750" s="83">
        <f t="shared" ca="1" si="79"/>
        <v>1984</v>
      </c>
    </row>
    <row r="1751" spans="1:6" ht="14.1" customHeight="1" x14ac:dyDescent="0.25">
      <c r="A1751" s="94" t="s">
        <v>9528</v>
      </c>
      <c r="B1751" s="82" t="str">
        <f ca="1">IFERROR(INDEX(UNSPSCDes,MATCH(INDIRECT(ADDRESS(ROW(),COLUMN()-1,4)),UNSPSCCode,0)),IF(INDIRECT(ADDRESS(ROW(),COLUMN()-1,4))="51142219","Fentanilo",""))</f>
        <v>Fentanilo</v>
      </c>
      <c r="C1751" s="95" t="str">
        <f>IFERROR(VLOOKUP("UD",'Informacion '!P:Q,2,FALSE),"")</f>
        <v>Unidad</v>
      </c>
      <c r="D1751" s="94">
        <v>135</v>
      </c>
      <c r="E1751" s="84">
        <v>107.24</v>
      </c>
      <c r="F1751" s="83">
        <f t="shared" ca="1" si="79"/>
        <v>14477.4</v>
      </c>
    </row>
    <row r="1752" spans="1:6" ht="14.1" customHeight="1" x14ac:dyDescent="0.25">
      <c r="A1752" s="94" t="s">
        <v>9528</v>
      </c>
      <c r="B1752" s="82" t="str">
        <f ca="1">IFERROR(INDEX(UNSPSCDes,MATCH(INDIRECT(ADDRESS(ROW(),COLUMN()-1,4)),UNSPSCCode,0)),IF(INDIRECT(ADDRESS(ROW(),COLUMN()-1,4))="51142219","Fentanilo",""))</f>
        <v>Fentanilo</v>
      </c>
      <c r="C1752" s="95" t="str">
        <f>IFERROR(VLOOKUP("UD",'Informacion '!P:Q,2,FALSE),"")</f>
        <v>Unidad</v>
      </c>
      <c r="D1752" s="94">
        <v>176</v>
      </c>
      <c r="E1752" s="84">
        <v>17.14</v>
      </c>
      <c r="F1752" s="83">
        <f t="shared" ca="1" si="79"/>
        <v>3016.6400000000003</v>
      </c>
    </row>
    <row r="1753" spans="1:6" ht="14.1" customHeight="1" x14ac:dyDescent="0.25">
      <c r="A1753" s="94" t="s">
        <v>5157</v>
      </c>
      <c r="B1753" s="82" t="str">
        <f ca="1">IFERROR(INDEX(UNSPSCDes,MATCH(INDIRECT(ADDRESS(ROW(),COLUMN()-1,4)),UNSPSCCode,0)),IF(INDIRECT(ADDRESS(ROW(),COLUMN()-1,4))="51142934","Clorhidrato de ketamina",""))</f>
        <v>Clorhidrato de ketamina</v>
      </c>
      <c r="C1753" s="95" t="str">
        <f>IFERROR(VLOOKUP("UD",'Informacion '!P:Q,2,FALSE),"")</f>
        <v>Unidad</v>
      </c>
      <c r="D1753" s="94">
        <v>827</v>
      </c>
      <c r="E1753" s="84">
        <v>11</v>
      </c>
      <c r="F1753" s="83">
        <f t="shared" ca="1" si="79"/>
        <v>9097</v>
      </c>
    </row>
    <row r="1754" spans="1:6" ht="14.1" customHeight="1" x14ac:dyDescent="0.25">
      <c r="A1754" s="94" t="s">
        <v>2201</v>
      </c>
      <c r="B1754" s="82" t="str">
        <f t="shared" ref="B1754:B1761" ca="1" si="80">IFERROR(INDEX(UNSPSCDes,MATCH(INDIRECT(ADDRESS(ROW(),COLUMN()-1,4)),UNSPSCCode,0)),IF(INDIRECT(ADDRESS(ROW(),COLUMN()-1,4))="51141921","Clorhidrato de midazoloam",""))</f>
        <v>Clorhidrato de midazoloam</v>
      </c>
      <c r="C1754" s="95" t="str">
        <f>IFERROR(VLOOKUP("UD",'Informacion '!P:Q,2,FALSE),"")</f>
        <v>Unidad</v>
      </c>
      <c r="D1754" s="94">
        <v>68</v>
      </c>
      <c r="E1754" s="84">
        <v>84.73</v>
      </c>
      <c r="F1754" s="83">
        <f t="shared" ca="1" si="79"/>
        <v>5761.64</v>
      </c>
    </row>
    <row r="1755" spans="1:6" ht="14.1" customHeight="1" x14ac:dyDescent="0.25">
      <c r="A1755" s="94" t="s">
        <v>2201</v>
      </c>
      <c r="B1755" s="82" t="str">
        <f t="shared" ca="1" si="80"/>
        <v>Clorhidrato de midazoloam</v>
      </c>
      <c r="C1755" s="95" t="str">
        <f>IFERROR(VLOOKUP("UD",'Informacion '!P:Q,2,FALSE),"")</f>
        <v>Unidad</v>
      </c>
      <c r="D1755" s="94">
        <v>190</v>
      </c>
      <c r="E1755" s="84">
        <v>135</v>
      </c>
      <c r="F1755" s="83">
        <f t="shared" ca="1" si="79"/>
        <v>25650</v>
      </c>
    </row>
    <row r="1756" spans="1:6" ht="14.1" customHeight="1" x14ac:dyDescent="0.25">
      <c r="A1756" s="94" t="s">
        <v>2201</v>
      </c>
      <c r="B1756" s="82" t="str">
        <f t="shared" ca="1" si="80"/>
        <v>Clorhidrato de midazoloam</v>
      </c>
      <c r="C1756" s="95" t="str">
        <f>IFERROR(VLOOKUP("UD",'Informacion '!P:Q,2,FALSE),"")</f>
        <v>Unidad</v>
      </c>
      <c r="D1756" s="94">
        <v>61</v>
      </c>
      <c r="E1756" s="84">
        <v>90</v>
      </c>
      <c r="F1756" s="83">
        <f t="shared" ca="1" si="79"/>
        <v>5490</v>
      </c>
    </row>
    <row r="1757" spans="1:6" ht="14.1" customHeight="1" x14ac:dyDescent="0.25">
      <c r="A1757" s="94" t="s">
        <v>2201</v>
      </c>
      <c r="B1757" s="82" t="str">
        <f t="shared" ca="1" si="80"/>
        <v>Clorhidrato de midazoloam</v>
      </c>
      <c r="C1757" s="95" t="str">
        <f>IFERROR(VLOOKUP("UD",'Informacion '!P:Q,2,FALSE),"")</f>
        <v>Unidad</v>
      </c>
      <c r="D1757" s="94">
        <v>24</v>
      </c>
      <c r="E1757" s="84">
        <v>670.14</v>
      </c>
      <c r="F1757" s="83">
        <f t="shared" ca="1" si="79"/>
        <v>16083.36</v>
      </c>
    </row>
    <row r="1758" spans="1:6" ht="14.1" customHeight="1" x14ac:dyDescent="0.25">
      <c r="A1758" s="94" t="s">
        <v>2201</v>
      </c>
      <c r="B1758" s="82" t="str">
        <f t="shared" ca="1" si="80"/>
        <v>Clorhidrato de midazoloam</v>
      </c>
      <c r="C1758" s="95" t="str">
        <f>IFERROR(VLOOKUP("UD",'Informacion '!P:Q,2,FALSE),"")</f>
        <v>Unidad</v>
      </c>
      <c r="D1758" s="94">
        <v>366</v>
      </c>
      <c r="E1758" s="84">
        <v>374.99</v>
      </c>
      <c r="F1758" s="83">
        <f t="shared" ca="1" si="79"/>
        <v>137246.34</v>
      </c>
    </row>
    <row r="1759" spans="1:6" ht="14.1" customHeight="1" x14ac:dyDescent="0.25">
      <c r="A1759" s="94" t="s">
        <v>2201</v>
      </c>
      <c r="B1759" s="82" t="str">
        <f t="shared" ca="1" si="80"/>
        <v>Clorhidrato de midazoloam</v>
      </c>
      <c r="C1759" s="95" t="str">
        <f>IFERROR(VLOOKUP("UD",'Informacion '!P:Q,2,FALSE),"")</f>
        <v>Unidad</v>
      </c>
      <c r="D1759" s="94">
        <v>32</v>
      </c>
      <c r="E1759" s="84">
        <v>375</v>
      </c>
      <c r="F1759" s="83">
        <f t="shared" ca="1" si="79"/>
        <v>12000</v>
      </c>
    </row>
    <row r="1760" spans="1:6" ht="14.1" customHeight="1" x14ac:dyDescent="0.25">
      <c r="A1760" s="94" t="s">
        <v>2201</v>
      </c>
      <c r="B1760" s="82" t="str">
        <f t="shared" ca="1" si="80"/>
        <v>Clorhidrato de midazoloam</v>
      </c>
      <c r="C1760" s="95" t="str">
        <f>IFERROR(VLOOKUP("UD",'Informacion '!P:Q,2,FALSE),"")</f>
        <v>Unidad</v>
      </c>
      <c r="D1760" s="94">
        <v>71</v>
      </c>
      <c r="E1760" s="84">
        <v>125</v>
      </c>
      <c r="F1760" s="83">
        <f t="shared" ref="F1760:F1772" ca="1" si="81">INDIRECT(ADDRESS(ROW(),COLUMN()-2,4))*INDIRECT(ADDRESS(ROW(),COLUMN()-1,4))</f>
        <v>8875</v>
      </c>
    </row>
    <row r="1761" spans="1:10" ht="14.1" customHeight="1" x14ac:dyDescent="0.25">
      <c r="A1761" s="94" t="s">
        <v>2201</v>
      </c>
      <c r="B1761" s="82" t="str">
        <f t="shared" ca="1" si="80"/>
        <v>Clorhidrato de midazoloam</v>
      </c>
      <c r="C1761" s="95" t="str">
        <f>IFERROR(VLOOKUP("UD",'Informacion '!P:Q,2,FALSE),"")</f>
        <v>Unidad</v>
      </c>
      <c r="D1761" s="94">
        <v>3</v>
      </c>
      <c r="E1761" s="84">
        <v>230</v>
      </c>
      <c r="F1761" s="83">
        <f t="shared" ca="1" si="81"/>
        <v>690</v>
      </c>
    </row>
    <row r="1762" spans="1:10" ht="14.1" customHeight="1" x14ac:dyDescent="0.25">
      <c r="A1762" s="94" t="s">
        <v>17122</v>
      </c>
      <c r="B1762" s="82" t="str">
        <f ca="1">IFERROR(INDEX(UNSPSCDes,MATCH(INDIRECT(ADDRESS(ROW(),COLUMN()-1,4)),UNSPSCCode,0)),IF(INDIRECT(ADDRESS(ROW(),COLUMN()-1,4))="51142210","Clorhidrato etilmorfina",""))</f>
        <v>Clorhidrato etilmorfina</v>
      </c>
      <c r="C1762" s="95" t="str">
        <f>IFERROR(VLOOKUP("UD",'Informacion '!P:Q,2,FALSE),"")</f>
        <v>Unidad</v>
      </c>
      <c r="D1762" s="94">
        <v>6</v>
      </c>
      <c r="E1762" s="84">
        <v>95.7</v>
      </c>
      <c r="F1762" s="83">
        <f t="shared" ca="1" si="81"/>
        <v>574.20000000000005</v>
      </c>
    </row>
    <row r="1763" spans="1:10" ht="14.1" customHeight="1" x14ac:dyDescent="0.25">
      <c r="A1763" s="94" t="s">
        <v>17122</v>
      </c>
      <c r="B1763" s="82" t="str">
        <f ca="1">IFERROR(INDEX(UNSPSCDes,MATCH(INDIRECT(ADDRESS(ROW(),COLUMN()-1,4)),UNSPSCCode,0)),IF(INDIRECT(ADDRESS(ROW(),COLUMN()-1,4))="51142210","Clorhidrato etilmorfina",""))</f>
        <v>Clorhidrato etilmorfina</v>
      </c>
      <c r="C1763" s="95" t="str">
        <f>IFERROR(VLOOKUP("UD",'Informacion '!P:Q,2,FALSE),"")</f>
        <v>Unidad</v>
      </c>
      <c r="D1763" s="94">
        <v>121</v>
      </c>
      <c r="E1763" s="84">
        <v>79.86</v>
      </c>
      <c r="F1763" s="83">
        <f t="shared" ca="1" si="81"/>
        <v>9663.06</v>
      </c>
    </row>
    <row r="1764" spans="1:10" ht="14.1" customHeight="1" x14ac:dyDescent="0.25">
      <c r="A1764" s="94" t="s">
        <v>17122</v>
      </c>
      <c r="B1764" s="82" t="str">
        <f ca="1">IFERROR(INDEX(UNSPSCDes,MATCH(INDIRECT(ADDRESS(ROW(),COLUMN()-1,4)),UNSPSCCode,0)),IF(INDIRECT(ADDRESS(ROW(),COLUMN()-1,4))="51142210","Clorhidrato etilmorfina",""))</f>
        <v>Clorhidrato etilmorfina</v>
      </c>
      <c r="C1764" s="95" t="str">
        <f>IFERROR(VLOOKUP("UD",'Informacion '!P:Q,2,FALSE),"")</f>
        <v>Unidad</v>
      </c>
      <c r="D1764" s="94">
        <v>46</v>
      </c>
      <c r="E1764" s="84">
        <v>95.7</v>
      </c>
      <c r="F1764" s="83">
        <f t="shared" ca="1" si="81"/>
        <v>4402.2</v>
      </c>
    </row>
    <row r="1765" spans="1:10" ht="14.1" customHeight="1" x14ac:dyDescent="0.25">
      <c r="A1765" s="94" t="s">
        <v>17122</v>
      </c>
      <c r="B1765" s="82" t="str">
        <f ca="1">IFERROR(INDEX(UNSPSCDes,MATCH(INDIRECT(ADDRESS(ROW(),COLUMN()-1,4)),UNSPSCCode,0)),IF(INDIRECT(ADDRESS(ROW(),COLUMN()-1,4))="51142210","Clorhidrato etilmorfina",""))</f>
        <v>Clorhidrato etilmorfina</v>
      </c>
      <c r="C1765" s="95" t="str">
        <f>IFERROR(VLOOKUP("UD",'Informacion '!P:Q,2,FALSE),"")</f>
        <v>Unidad</v>
      </c>
      <c r="D1765" s="94">
        <v>8</v>
      </c>
      <c r="E1765" s="84">
        <v>295</v>
      </c>
      <c r="F1765" s="83">
        <f t="shared" ca="1" si="81"/>
        <v>2360</v>
      </c>
    </row>
    <row r="1766" spans="1:10" ht="14.1" customHeight="1" x14ac:dyDescent="0.25">
      <c r="A1766" s="94" t="s">
        <v>11517</v>
      </c>
      <c r="B1766" s="82" t="str">
        <f ca="1">IFERROR(INDEX(UNSPSCDes,MATCH(INDIRECT(ADDRESS(ROW(),COLUMN()-1,4)),UNSPSCCode,0)),IF(INDIRECT(ADDRESS(ROW(),COLUMN()-1,4))="51142304","Clorhidrato de nalbufina",""))</f>
        <v>Clorhidrato de nalbufina</v>
      </c>
      <c r="C1766" s="95" t="str">
        <f>IFERROR(VLOOKUP("UD",'Informacion '!P:Q,2,FALSE),"")</f>
        <v>Unidad</v>
      </c>
      <c r="D1766" s="94">
        <v>30</v>
      </c>
      <c r="E1766" s="84">
        <v>80</v>
      </c>
      <c r="F1766" s="83">
        <f t="shared" ca="1" si="81"/>
        <v>2400</v>
      </c>
    </row>
    <row r="1767" spans="1:10" ht="14.1" customHeight="1" x14ac:dyDescent="0.25">
      <c r="A1767" s="94" t="s">
        <v>6327</v>
      </c>
      <c r="B1767" s="82" t="str">
        <f ca="1">IFERROR(INDEX(UNSPSCDes,MATCH(INDIRECT(ADDRESS(ROW(),COLUMN()-1,4)),UNSPSCCode,0)),IF(INDIRECT(ADDRESS(ROW(),COLUMN()-1,4))="51171606","Sulfato de magnesio",""))</f>
        <v>Sulfato de magnesio</v>
      </c>
      <c r="C1767" s="95" t="str">
        <f>IFERROR(VLOOKUP("UD",'Informacion '!P:Q,2,FALSE),"")</f>
        <v>Unidad</v>
      </c>
      <c r="D1767" s="94">
        <v>10</v>
      </c>
      <c r="E1767" s="84">
        <v>74.72</v>
      </c>
      <c r="F1767" s="83">
        <f t="shared" ca="1" si="81"/>
        <v>747.2</v>
      </c>
    </row>
    <row r="1768" spans="1:10" ht="14.1" customHeight="1" x14ac:dyDescent="0.25">
      <c r="A1768" s="94" t="s">
        <v>1979</v>
      </c>
      <c r="B1768" s="82" t="str">
        <f ca="1">IFERROR(INDEX(UNSPSCDes,MATCH(INDIRECT(ADDRESS(ROW(),COLUMN()-1,4)),UNSPSCCode,0)),IF(INDIRECT(ADDRESS(ROW(),COLUMN()-1,4))="51141919","Alprazolam",""))</f>
        <v>Alprazolam</v>
      </c>
      <c r="C1768" s="95" t="str">
        <f>IFERROR(VLOOKUP("UD",'Informacion '!P:Q,2,FALSE),"")</f>
        <v>Unidad</v>
      </c>
      <c r="D1768" s="94">
        <v>46</v>
      </c>
      <c r="E1768" s="84">
        <v>11.92</v>
      </c>
      <c r="F1768" s="83">
        <f t="shared" ca="1" si="81"/>
        <v>548.32000000000005</v>
      </c>
    </row>
    <row r="1769" spans="1:10" ht="14.1" customHeight="1" x14ac:dyDescent="0.25">
      <c r="A1769" s="94" t="s">
        <v>11517</v>
      </c>
      <c r="B1769" s="82" t="str">
        <f ca="1">IFERROR(INDEX(UNSPSCDes,MATCH(INDIRECT(ADDRESS(ROW(),COLUMN()-1,4)),UNSPSCCode,0)),IF(INDIRECT(ADDRESS(ROW(),COLUMN()-1,4))="51142304","Clorhidrato de nalbufina",""))</f>
        <v>Clorhidrato de nalbufina</v>
      </c>
      <c r="C1769" s="95" t="str">
        <f>IFERROR(VLOOKUP("UD",'Informacion '!P:Q,2,FALSE),"")</f>
        <v>Unidad</v>
      </c>
      <c r="D1769" s="94">
        <v>8</v>
      </c>
      <c r="E1769" s="84">
        <v>102.06</v>
      </c>
      <c r="F1769" s="83">
        <f t="shared" ca="1" si="81"/>
        <v>816.48</v>
      </c>
    </row>
    <row r="1770" spans="1:10" ht="14.1" customHeight="1" x14ac:dyDescent="0.25">
      <c r="A1770" s="94" t="s">
        <v>7530</v>
      </c>
      <c r="B1770" s="82" t="str">
        <f ca="1">IFERROR(INDEX(UNSPSCDes,MATCH(INDIRECT(ADDRESS(ROW(),COLUMN()-1,4)),UNSPSCCode,0)),IF(INDIRECT(ADDRESS(ROW(),COLUMN()-1,4))="51142206","Sulfato de morfina",""))</f>
        <v>Sulfato de morfina</v>
      </c>
      <c r="C1770" s="95" t="str">
        <f>IFERROR(VLOOKUP("UD",'Informacion '!P:Q,2,FALSE),"")</f>
        <v>Unidad</v>
      </c>
      <c r="D1770" s="94">
        <v>123</v>
      </c>
      <c r="E1770" s="84">
        <v>90</v>
      </c>
      <c r="F1770" s="83">
        <f t="shared" ca="1" si="81"/>
        <v>11070</v>
      </c>
    </row>
    <row r="1771" spans="1:10" ht="14.1" customHeight="1" x14ac:dyDescent="0.25">
      <c r="A1771" s="94" t="s">
        <v>7530</v>
      </c>
      <c r="B1771" s="82" t="str">
        <f ca="1">IFERROR(INDEX(UNSPSCDes,MATCH(INDIRECT(ADDRESS(ROW(),COLUMN()-1,4)),UNSPSCCode,0)),IF(INDIRECT(ADDRESS(ROW(),COLUMN()-1,4))="51142206","Sulfato de morfina",""))</f>
        <v>Sulfato de morfina</v>
      </c>
      <c r="C1771" s="95" t="str">
        <f>IFERROR(VLOOKUP("UD",'Informacion '!P:Q,2,FALSE),"")</f>
        <v>Unidad</v>
      </c>
      <c r="D1771" s="94">
        <v>336</v>
      </c>
      <c r="E1771" s="84">
        <v>177</v>
      </c>
      <c r="F1771" s="83">
        <f t="shared" ca="1" si="81"/>
        <v>59472</v>
      </c>
    </row>
    <row r="1772" spans="1:10" ht="14.1" customHeight="1" x14ac:dyDescent="0.25">
      <c r="A1772" s="94" t="s">
        <v>7530</v>
      </c>
      <c r="B1772" s="82" t="str">
        <f ca="1">IFERROR(INDEX(UNSPSCDes,MATCH(INDIRECT(ADDRESS(ROW(),COLUMN()-1,4)),UNSPSCCode,0)),IF(INDIRECT(ADDRESS(ROW(),COLUMN()-1,4))="51142206","Sulfato de morfina",""))</f>
        <v>Sulfato de morfina</v>
      </c>
      <c r="C1772" s="95" t="str">
        <f>IFERROR(VLOOKUP("UD",'Informacion '!P:Q,2,FALSE),"")</f>
        <v>Unidad</v>
      </c>
      <c r="D1772" s="94">
        <v>6</v>
      </c>
      <c r="E1772" s="84">
        <v>20.399999999999999</v>
      </c>
      <c r="F1772" s="83">
        <f t="shared" ca="1" si="81"/>
        <v>122.39999999999999</v>
      </c>
    </row>
    <row r="1773" spans="1:10" ht="14.1" customHeight="1" x14ac:dyDescent="0.25">
      <c r="E1773" s="96" t="s">
        <v>7213</v>
      </c>
      <c r="F1773" s="87">
        <f ca="1">SUM(Table71[MONTO TOTAL ESTIMADO])</f>
        <v>1465476.2599999993</v>
      </c>
      <c r="H1773" s="39" t="str">
        <f>C1689</f>
        <v>Bienes</v>
      </c>
      <c r="I1773" s="39" t="str">
        <f>E1689</f>
        <v>No</v>
      </c>
      <c r="J1773" s="39" t="str">
        <f>D1689</f>
        <v>Compras Menores</v>
      </c>
    </row>
    <row r="1775" spans="1:10" ht="33.950000000000003" customHeight="1" x14ac:dyDescent="0.25">
      <c r="A1775" s="77" t="s">
        <v>17233</v>
      </c>
      <c r="B1775" s="77" t="s">
        <v>4237</v>
      </c>
      <c r="C1775" s="77" t="s">
        <v>4743</v>
      </c>
      <c r="D1775" s="77" t="s">
        <v>9891</v>
      </c>
      <c r="E1775" s="77" t="s">
        <v>3089</v>
      </c>
      <c r="F1775" s="77" t="s">
        <v>18141</v>
      </c>
    </row>
    <row r="1776" spans="1:10" ht="14.1" customHeight="1" x14ac:dyDescent="0.25">
      <c r="A1776" s="79" t="s">
        <v>3265</v>
      </c>
      <c r="B1776" s="79" t="s">
        <v>11996</v>
      </c>
      <c r="C1776" s="79" t="s">
        <v>17215</v>
      </c>
      <c r="D1776" s="79" t="s">
        <v>17798</v>
      </c>
      <c r="E1776" s="79" t="s">
        <v>18247</v>
      </c>
      <c r="F1776" s="79"/>
    </row>
    <row r="1777" spans="1:6" ht="14.1" customHeight="1" x14ac:dyDescent="0.25">
      <c r="A1777" s="2" t="s">
        <v>6643</v>
      </c>
      <c r="B1777" s="80" t="s">
        <v>1046</v>
      </c>
      <c r="C1777" s="90">
        <v>43647</v>
      </c>
      <c r="D1777" s="2" t="s">
        <v>59</v>
      </c>
      <c r="E1777" s="92" t="s">
        <v>20066</v>
      </c>
      <c r="F1777" s="93" t="s">
        <v>5684</v>
      </c>
    </row>
    <row r="1778" spans="1:6" ht="14.1" customHeight="1" x14ac:dyDescent="0.25">
      <c r="A1778" s="1"/>
      <c r="B1778" s="80" t="s">
        <v>10788</v>
      </c>
      <c r="C1778" s="91">
        <f>IF(C1777="","",IF(AND(MONTH(C1777)&gt;=1,MONTH(C1777)&lt;=3),1,IF(AND(MONTH(C1777)&gt;=4,MONTH(C1777)&lt;=6),2,IF(AND(MONTH(C1777)&gt;=7,MONTH(C1777)&lt;=9),3,4))))</f>
        <v>3</v>
      </c>
      <c r="D1778" s="1"/>
      <c r="E1778" s="92" t="s">
        <v>14822</v>
      </c>
      <c r="F1778" s="93"/>
    </row>
    <row r="1779" spans="1:6" ht="14.1" customHeight="1" x14ac:dyDescent="0.25">
      <c r="A1779" s="1"/>
      <c r="B1779" s="80" t="s">
        <v>13758</v>
      </c>
      <c r="C1779" s="90">
        <v>43738</v>
      </c>
      <c r="D1779" s="1"/>
      <c r="E1779" s="92" t="s">
        <v>18636</v>
      </c>
      <c r="F1779" s="93"/>
    </row>
    <row r="1780" spans="1:6" ht="14.1" customHeight="1" x14ac:dyDescent="0.25">
      <c r="A1780" s="1"/>
      <c r="B1780" s="80" t="s">
        <v>10788</v>
      </c>
      <c r="C1780" s="91">
        <f>IF(C1779="","",IF(AND(MONTH(C1779)&gt;=1,MONTH(C1779)&lt;=3),1,IF(AND(MONTH(C1779)&gt;=4,MONTH(C1779)&lt;=6),2,IF(AND(MONTH(C1779)&gt;=7,MONTH(C1779)&lt;=9),3,4))))</f>
        <v>3</v>
      </c>
      <c r="D1780" s="1"/>
      <c r="E1780" s="92" t="s">
        <v>15990</v>
      </c>
      <c r="F1780" s="93"/>
    </row>
    <row r="1782" spans="1:6" ht="14.1" customHeight="1" x14ac:dyDescent="0.25">
      <c r="A1782" s="85" t="s">
        <v>15474</v>
      </c>
      <c r="B1782" s="85" t="s">
        <v>5027</v>
      </c>
      <c r="C1782" s="85" t="s">
        <v>17461</v>
      </c>
      <c r="D1782" s="85" t="s">
        <v>3935</v>
      </c>
      <c r="E1782" s="85" t="s">
        <v>10722</v>
      </c>
      <c r="F1782" s="85" t="s">
        <v>18237</v>
      </c>
    </row>
    <row r="1783" spans="1:6" ht="14.1" customHeight="1" x14ac:dyDescent="0.25">
      <c r="A1783" s="94" t="s">
        <v>7809</v>
      </c>
      <c r="B1783" s="82" t="str">
        <f ca="1">IFERROR(INDEX(UNSPSCDes,MATCH(INDIRECT(ADDRESS(ROW(),COLUMN()-1,4)),UNSPSCCode,0)),IF(INDIRECT(ADDRESS(ROW(),COLUMN()-1,4))="51151715","Sulfato de efedrina",""))</f>
        <v>Sulfato de efedrina</v>
      </c>
      <c r="C1783" s="95" t="str">
        <f>IFERROR(VLOOKUP("UD",'Informacion '!P:Q,2,FALSE),"")</f>
        <v>Unidad</v>
      </c>
      <c r="D1783" s="94">
        <v>10</v>
      </c>
      <c r="E1783" s="84">
        <v>588.87</v>
      </c>
      <c r="F1783" s="83">
        <f t="shared" ref="F1783:F1797" ca="1" si="82">INDIRECT(ADDRESS(ROW(),COLUMN()-2,4))*INDIRECT(ADDRESS(ROW(),COLUMN()-1,4))</f>
        <v>5888.7</v>
      </c>
    </row>
    <row r="1784" spans="1:6" ht="14.1" customHeight="1" x14ac:dyDescent="0.25">
      <c r="A1784" s="94" t="s">
        <v>5157</v>
      </c>
      <c r="B1784" s="82" t="str">
        <f ca="1">IFERROR(INDEX(UNSPSCDes,MATCH(INDIRECT(ADDRESS(ROW(),COLUMN()-1,4)),UNSPSCCode,0)),IF(INDIRECT(ADDRESS(ROW(),COLUMN()-1,4))="51142934","Clorhidrato de ketamina",""))</f>
        <v>Clorhidrato de ketamina</v>
      </c>
      <c r="C1784" s="95" t="str">
        <f>IFERROR(VLOOKUP("UD",'Informacion '!P:Q,2,FALSE),"")</f>
        <v>Unidad</v>
      </c>
      <c r="D1784" s="94">
        <v>1521</v>
      </c>
      <c r="E1784" s="84">
        <v>30.61</v>
      </c>
      <c r="F1784" s="83">
        <f t="shared" ca="1" si="82"/>
        <v>46557.81</v>
      </c>
    </row>
    <row r="1785" spans="1:6" ht="14.1" customHeight="1" x14ac:dyDescent="0.25">
      <c r="A1785" s="94" t="s">
        <v>305</v>
      </c>
      <c r="B1785" s="82" t="str">
        <f ca="1">IFERROR(INDEX(UNSPSCDes,MATCH(INDIRECT(ADDRESS(ROW(),COLUMN()-1,4)),UNSPSCCode,0)),IF(INDIRECT(ADDRESS(ROW(),COLUMN()-1,4))="51142227","Clorhidrato de oxicodona",""))</f>
        <v>Clorhidrato de oxicodona</v>
      </c>
      <c r="C1785" s="95" t="str">
        <f>IFERROR(VLOOKUP("UD",'Informacion '!P:Q,2,FALSE),"")</f>
        <v>Unidad</v>
      </c>
      <c r="D1785" s="94">
        <v>6</v>
      </c>
      <c r="E1785" s="84">
        <v>55.05</v>
      </c>
      <c r="F1785" s="83">
        <f t="shared" ca="1" si="82"/>
        <v>330.29999999999995</v>
      </c>
    </row>
    <row r="1786" spans="1:6" ht="14.1" customHeight="1" x14ac:dyDescent="0.25">
      <c r="A1786" s="94" t="s">
        <v>2201</v>
      </c>
      <c r="B1786" s="82" t="str">
        <f ca="1">IFERROR(INDEX(UNSPSCDes,MATCH(INDIRECT(ADDRESS(ROW(),COLUMN()-1,4)),UNSPSCCode,0)),IF(INDIRECT(ADDRESS(ROW(),COLUMN()-1,4))="51141921","Clorhidrato de midazoloam",""))</f>
        <v>Clorhidrato de midazoloam</v>
      </c>
      <c r="C1786" s="95" t="str">
        <f>IFERROR(VLOOKUP("UD",'Informacion '!P:Q,2,FALSE),"")</f>
        <v>Unidad</v>
      </c>
      <c r="D1786" s="94">
        <v>776</v>
      </c>
      <c r="E1786" s="84">
        <v>227.48</v>
      </c>
      <c r="F1786" s="83">
        <f t="shared" ca="1" si="82"/>
        <v>176524.47999999998</v>
      </c>
    </row>
    <row r="1787" spans="1:6" ht="14.1" customHeight="1" x14ac:dyDescent="0.25">
      <c r="A1787" s="94" t="s">
        <v>10377</v>
      </c>
      <c r="B1787" s="82" t="str">
        <f ca="1">IFERROR(INDEX(UNSPSCDes,MATCH(INDIRECT(ADDRESS(ROW(),COLUMN()-1,4)),UNSPSCCode,0)),IF(INDIRECT(ADDRESS(ROW(),COLUMN()-1,4))="51211606","Flumazenil",""))</f>
        <v>Flumazenil</v>
      </c>
      <c r="C1787" s="95" t="str">
        <f>IFERROR(VLOOKUP("UD",'Informacion '!P:Q,2,FALSE),"")</f>
        <v>Unidad</v>
      </c>
      <c r="D1787" s="94">
        <v>4</v>
      </c>
      <c r="E1787" s="84">
        <v>3550.54</v>
      </c>
      <c r="F1787" s="83">
        <f t="shared" ca="1" si="82"/>
        <v>14202.16</v>
      </c>
    </row>
    <row r="1788" spans="1:6" ht="14.1" customHeight="1" x14ac:dyDescent="0.25">
      <c r="A1788" s="94" t="s">
        <v>11517</v>
      </c>
      <c r="B1788" s="82" t="str">
        <f ca="1">IFERROR(INDEX(UNSPSCDes,MATCH(INDIRECT(ADDRESS(ROW(),COLUMN()-1,4)),UNSPSCCode,0)),IF(INDIRECT(ADDRESS(ROW(),COLUMN()-1,4))="51142304","Clorhidrato de nalbufina",""))</f>
        <v>Clorhidrato de nalbufina</v>
      </c>
      <c r="C1788" s="95" t="str">
        <f>IFERROR(VLOOKUP("UD",'Informacion '!P:Q,2,FALSE),"")</f>
        <v>Unidad</v>
      </c>
      <c r="D1788" s="94">
        <v>32</v>
      </c>
      <c r="E1788" s="84">
        <v>80.77</v>
      </c>
      <c r="F1788" s="83">
        <f t="shared" ca="1" si="82"/>
        <v>2584.64</v>
      </c>
    </row>
    <row r="1789" spans="1:6" ht="14.1" customHeight="1" x14ac:dyDescent="0.25">
      <c r="A1789" s="94" t="s">
        <v>6464</v>
      </c>
      <c r="B1789" s="82" t="str">
        <f ca="1">IFERROR(INDEX(UNSPSCDes,MATCH(INDIRECT(ADDRESS(ROW(),COLUMN()-1,4)),UNSPSCCode,0)),IF(INDIRECT(ADDRESS(ROW(),COLUMN()-1,4))="51141920","Diazepam",""))</f>
        <v>Diazepam</v>
      </c>
      <c r="C1789" s="95" t="str">
        <f>IFERROR(VLOOKUP("UD",'Informacion '!P:Q,2,FALSE),"")</f>
        <v>Unidad</v>
      </c>
      <c r="D1789" s="94">
        <v>91</v>
      </c>
      <c r="E1789" s="84">
        <v>24.93</v>
      </c>
      <c r="F1789" s="83">
        <f t="shared" ca="1" si="82"/>
        <v>2268.63</v>
      </c>
    </row>
    <row r="1790" spans="1:6" ht="14.1" customHeight="1" x14ac:dyDescent="0.25">
      <c r="A1790" s="94" t="s">
        <v>8501</v>
      </c>
      <c r="B1790" s="82" t="str">
        <f ca="1">IFERROR(INDEX(UNSPSCDes,MATCH(INDIRECT(ADDRESS(ROW(),COLUMN()-1,4)),UNSPSCCode,0)),IF(INDIRECT(ADDRESS(ROW(),COLUMN()-1,4))="51142302","Hidrocloruro de naloxona",""))</f>
        <v>Hidrocloruro de naloxona</v>
      </c>
      <c r="C1790" s="95" t="str">
        <f>IFERROR(VLOOKUP("UD",'Informacion '!P:Q,2,FALSE),"")</f>
        <v>Unidad</v>
      </c>
      <c r="D1790" s="94">
        <v>8</v>
      </c>
      <c r="E1790" s="84">
        <v>419.85</v>
      </c>
      <c r="F1790" s="83">
        <f t="shared" ca="1" si="82"/>
        <v>3358.8</v>
      </c>
    </row>
    <row r="1791" spans="1:6" ht="14.1" customHeight="1" x14ac:dyDescent="0.25">
      <c r="A1791" s="94" t="s">
        <v>7530</v>
      </c>
      <c r="B1791" s="82" t="str">
        <f ca="1">IFERROR(INDEX(UNSPSCDes,MATCH(INDIRECT(ADDRESS(ROW(),COLUMN()-1,4)),UNSPSCCode,0)),IF(INDIRECT(ADDRESS(ROW(),COLUMN()-1,4))="51142206","Sulfato de morfina",""))</f>
        <v>Sulfato de morfina</v>
      </c>
      <c r="C1791" s="95" t="str">
        <f>IFERROR(VLOOKUP("UD",'Informacion '!P:Q,2,FALSE),"")</f>
        <v>Unidad</v>
      </c>
      <c r="D1791" s="94">
        <v>44</v>
      </c>
      <c r="E1791" s="84">
        <v>300</v>
      </c>
      <c r="F1791" s="83">
        <f t="shared" ca="1" si="82"/>
        <v>13200</v>
      </c>
    </row>
    <row r="1792" spans="1:6" ht="14.1" customHeight="1" x14ac:dyDescent="0.25">
      <c r="A1792" s="94" t="s">
        <v>6739</v>
      </c>
      <c r="B1792" s="82" t="str">
        <f ca="1">IFERROR(INDEX(UNSPSCDes,MATCH(INDIRECT(ADDRESS(ROW(),COLUMN()-1,4)),UNSPSCCode,0)),IF(INDIRECT(ADDRESS(ROW(),COLUMN()-1,4))="51142232","Clorhidrato de remifentanilo",""))</f>
        <v>Clorhidrato de remifentanilo</v>
      </c>
      <c r="C1792" s="95" t="str">
        <f>IFERROR(VLOOKUP("UD",'Informacion '!P:Q,2,FALSE),"")</f>
        <v>Unidad</v>
      </c>
      <c r="D1792" s="94">
        <v>123</v>
      </c>
      <c r="E1792" s="84">
        <v>2278.6999999999998</v>
      </c>
      <c r="F1792" s="83">
        <f t="shared" ca="1" si="82"/>
        <v>280280.09999999998</v>
      </c>
    </row>
    <row r="1793" spans="1:10" ht="14.1" customHeight="1" x14ac:dyDescent="0.25">
      <c r="A1793" s="94" t="s">
        <v>17122</v>
      </c>
      <c r="B1793" s="82" t="str">
        <f ca="1">IFERROR(INDEX(UNSPSCDes,MATCH(INDIRECT(ADDRESS(ROW(),COLUMN()-1,4)),UNSPSCCode,0)),IF(INDIRECT(ADDRESS(ROW(),COLUMN()-1,4))="51142210","Clorhidrato etilmorfina",""))</f>
        <v>Clorhidrato etilmorfina</v>
      </c>
      <c r="C1793" s="95" t="str">
        <f>IFERROR(VLOOKUP("UD",'Informacion '!P:Q,2,FALSE),"")</f>
        <v>Unidad</v>
      </c>
      <c r="D1793" s="94">
        <v>612</v>
      </c>
      <c r="E1793" s="84">
        <v>126.97</v>
      </c>
      <c r="F1793" s="83">
        <f t="shared" ca="1" si="82"/>
        <v>77705.64</v>
      </c>
    </row>
    <row r="1794" spans="1:10" ht="14.1" customHeight="1" x14ac:dyDescent="0.25">
      <c r="A1794" s="94" t="s">
        <v>6476</v>
      </c>
      <c r="B1794" s="82" t="str">
        <f ca="1">IFERROR(INDEX(UNSPSCDes,MATCH(INDIRECT(ADDRESS(ROW(),COLUMN()-1,4)),UNSPSCCode,0)),IF(INDIRECT(ADDRESS(ROW(),COLUMN()-1,4))="51141618","Clorhidrato de fluoxetina",""))</f>
        <v>Clorhidrato de fluoxetina</v>
      </c>
      <c r="C1794" s="95" t="str">
        <f>IFERROR(VLOOKUP("UD",'Informacion '!P:Q,2,FALSE),"")</f>
        <v>Unidad</v>
      </c>
      <c r="D1794" s="94">
        <v>13</v>
      </c>
      <c r="E1794" s="84">
        <v>589.72</v>
      </c>
      <c r="F1794" s="83">
        <f t="shared" ca="1" si="82"/>
        <v>7666.3600000000006</v>
      </c>
    </row>
    <row r="1795" spans="1:10" ht="14.1" customHeight="1" x14ac:dyDescent="0.25">
      <c r="A1795" s="94" t="s">
        <v>9528</v>
      </c>
      <c r="B1795" s="82" t="str">
        <f ca="1">IFERROR(INDEX(UNSPSCDes,MATCH(INDIRECT(ADDRESS(ROW(),COLUMN()-1,4)),UNSPSCCode,0)),IF(INDIRECT(ADDRESS(ROW(),COLUMN()-1,4))="51142219","Fentanilo",""))</f>
        <v>Fentanilo</v>
      </c>
      <c r="C1795" s="95" t="str">
        <f>IFERROR(VLOOKUP("UD",'Informacion '!P:Q,2,FALSE),"")</f>
        <v>Unidad</v>
      </c>
      <c r="D1795" s="94">
        <v>788</v>
      </c>
      <c r="E1795" s="84">
        <v>68.319999999999993</v>
      </c>
      <c r="F1795" s="83">
        <f t="shared" ca="1" si="82"/>
        <v>53836.159999999996</v>
      </c>
    </row>
    <row r="1796" spans="1:10" ht="14.1" customHeight="1" x14ac:dyDescent="0.25">
      <c r="A1796" s="94" t="s">
        <v>1979</v>
      </c>
      <c r="B1796" s="82" t="str">
        <f ca="1">IFERROR(INDEX(UNSPSCDes,MATCH(INDIRECT(ADDRESS(ROW(),COLUMN()-1,4)),UNSPSCCode,0)),IF(INDIRECT(ADDRESS(ROW(),COLUMN()-1,4))="51141919","Alprazolam",""))</f>
        <v>Alprazolam</v>
      </c>
      <c r="C1796" s="95" t="str">
        <f>IFERROR(VLOOKUP("UD",'Informacion '!P:Q,2,FALSE),"")</f>
        <v>Unidad</v>
      </c>
      <c r="D1796" s="94">
        <v>43</v>
      </c>
      <c r="E1796" s="84">
        <v>15.02</v>
      </c>
      <c r="F1796" s="83">
        <f t="shared" ca="1" si="82"/>
        <v>645.86</v>
      </c>
    </row>
    <row r="1797" spans="1:10" ht="14.1" customHeight="1" x14ac:dyDescent="0.25">
      <c r="A1797" s="94" t="s">
        <v>17863</v>
      </c>
      <c r="B1797" s="82" t="str">
        <f ca="1">IFERROR(INDEX(UNSPSCDes,MATCH(INDIRECT(ADDRESS(ROW(),COLUMN()-1,4)),UNSPSCCode,0)),IF(INDIRECT(ADDRESS(ROW(),COLUMN()-1,4))="51142226","Clorhidrato de metadona",""))</f>
        <v>Clorhidrato de metadona</v>
      </c>
      <c r="C1797" s="95" t="str">
        <f>IFERROR(VLOOKUP("UD",'Informacion '!P:Q,2,FALSE),"")</f>
        <v>Unidad</v>
      </c>
      <c r="D1797" s="94">
        <v>4</v>
      </c>
      <c r="E1797" s="84">
        <v>77.400000000000006</v>
      </c>
      <c r="F1797" s="83">
        <f t="shared" ca="1" si="82"/>
        <v>309.60000000000002</v>
      </c>
    </row>
    <row r="1798" spans="1:10" ht="14.1" customHeight="1" x14ac:dyDescent="0.25">
      <c r="E1798" s="96" t="s">
        <v>7213</v>
      </c>
      <c r="F1798" s="87">
        <f ca="1">SUM(Table72[MONTO TOTAL ESTIMADO])</f>
        <v>685359.24</v>
      </c>
      <c r="H1798" s="39" t="str">
        <f>C1776</f>
        <v>Bienes</v>
      </c>
      <c r="I1798" s="39" t="str">
        <f>E1776</f>
        <v>No</v>
      </c>
      <c r="J1798" s="39" t="str">
        <f>D1776</f>
        <v>Compras Menores</v>
      </c>
    </row>
    <row r="1800" spans="1:10" ht="33.950000000000003" customHeight="1" x14ac:dyDescent="0.25">
      <c r="A1800" s="77" t="s">
        <v>17233</v>
      </c>
      <c r="B1800" s="77" t="s">
        <v>4237</v>
      </c>
      <c r="C1800" s="77" t="s">
        <v>4743</v>
      </c>
      <c r="D1800" s="77" t="s">
        <v>9891</v>
      </c>
      <c r="E1800" s="77" t="s">
        <v>3089</v>
      </c>
      <c r="F1800" s="77" t="s">
        <v>18141</v>
      </c>
    </row>
    <row r="1801" spans="1:10" ht="14.1" customHeight="1" x14ac:dyDescent="0.25">
      <c r="A1801" s="79" t="s">
        <v>14103</v>
      </c>
      <c r="B1801" s="79" t="s">
        <v>14405</v>
      </c>
      <c r="C1801" s="79" t="s">
        <v>17215</v>
      </c>
      <c r="D1801" s="79" t="s">
        <v>17798</v>
      </c>
      <c r="E1801" s="79" t="s">
        <v>18247</v>
      </c>
      <c r="F1801" s="79"/>
    </row>
    <row r="1802" spans="1:10" ht="14.1" customHeight="1" x14ac:dyDescent="0.25">
      <c r="A1802" s="2" t="s">
        <v>6643</v>
      </c>
      <c r="B1802" s="80" t="s">
        <v>1046</v>
      </c>
      <c r="C1802" s="90">
        <v>43739</v>
      </c>
      <c r="D1802" s="2" t="s">
        <v>59</v>
      </c>
      <c r="E1802" s="92" t="s">
        <v>20066</v>
      </c>
      <c r="F1802" s="93"/>
    </row>
    <row r="1803" spans="1:10" ht="14.1" customHeight="1" x14ac:dyDescent="0.25">
      <c r="A1803" s="1"/>
      <c r="B1803" s="80" t="s">
        <v>10788</v>
      </c>
      <c r="C1803" s="91">
        <f>IF(C1802="","",IF(AND(MONTH(C1802)&gt;=1,MONTH(C1802)&lt;=3),1,IF(AND(MONTH(C1802)&gt;=4,MONTH(C1802)&lt;=6),2,IF(AND(MONTH(C1802)&gt;=7,MONTH(C1802)&lt;=9),3,4))))</f>
        <v>4</v>
      </c>
      <c r="D1803" s="1"/>
      <c r="E1803" s="92" t="s">
        <v>14822</v>
      </c>
      <c r="F1803" s="93"/>
    </row>
    <row r="1804" spans="1:10" ht="14.1" customHeight="1" x14ac:dyDescent="0.25">
      <c r="A1804" s="1"/>
      <c r="B1804" s="80" t="s">
        <v>13758</v>
      </c>
      <c r="C1804" s="90">
        <v>43829</v>
      </c>
      <c r="D1804" s="1"/>
      <c r="E1804" s="92" t="s">
        <v>18636</v>
      </c>
      <c r="F1804" s="93"/>
    </row>
    <row r="1805" spans="1:10" ht="14.1" customHeight="1" x14ac:dyDescent="0.25">
      <c r="A1805" s="1"/>
      <c r="B1805" s="80" t="s">
        <v>10788</v>
      </c>
      <c r="C1805" s="91">
        <f>IF(C1804="","",IF(AND(MONTH(C1804)&gt;=1,MONTH(C1804)&lt;=3),1,IF(AND(MONTH(C1804)&gt;=4,MONTH(C1804)&lt;=6),2,IF(AND(MONTH(C1804)&gt;=7,MONTH(C1804)&lt;=9),3,4))))</f>
        <v>4</v>
      </c>
      <c r="D1805" s="1"/>
      <c r="E1805" s="92" t="s">
        <v>15990</v>
      </c>
      <c r="F1805" s="93"/>
    </row>
    <row r="1807" spans="1:10" ht="14.1" customHeight="1" x14ac:dyDescent="0.25">
      <c r="A1807" s="85" t="s">
        <v>15474</v>
      </c>
      <c r="B1807" s="85" t="s">
        <v>5027</v>
      </c>
      <c r="C1807" s="85" t="s">
        <v>17461</v>
      </c>
      <c r="D1807" s="85" t="s">
        <v>3935</v>
      </c>
      <c r="E1807" s="85" t="s">
        <v>10722</v>
      </c>
      <c r="F1807" s="85" t="s">
        <v>18237</v>
      </c>
    </row>
    <row r="1808" spans="1:10" ht="14.1" customHeight="1" x14ac:dyDescent="0.25">
      <c r="A1808" s="94" t="s">
        <v>7809</v>
      </c>
      <c r="B1808" s="82" t="str">
        <f ca="1">IFERROR(INDEX(UNSPSCDes,MATCH(INDIRECT(ADDRESS(ROW(),COLUMN()-1,4)),UNSPSCCode,0)),IF(INDIRECT(ADDRESS(ROW(),COLUMN()-1,4))="51151715","Sulfato de efedrina",""))</f>
        <v>Sulfato de efedrina</v>
      </c>
      <c r="C1808" s="95" t="str">
        <f>IFERROR(VLOOKUP("UD",'Informacion '!P:Q,2,FALSE),"")</f>
        <v>Unidad</v>
      </c>
      <c r="D1808" s="94">
        <v>11</v>
      </c>
      <c r="E1808" s="84">
        <v>588.87</v>
      </c>
      <c r="F1808" s="83">
        <f t="shared" ref="F1808:F1853" ca="1" si="83">INDIRECT(ADDRESS(ROW(),COLUMN()-2,4))*INDIRECT(ADDRESS(ROW(),COLUMN()-1,4))</f>
        <v>6477.57</v>
      </c>
    </row>
    <row r="1809" spans="1:6" ht="14.1" customHeight="1" x14ac:dyDescent="0.25">
      <c r="A1809" s="94" t="s">
        <v>5157</v>
      </c>
      <c r="B1809" s="82" t="str">
        <f ca="1">IFERROR(INDEX(UNSPSCDes,MATCH(INDIRECT(ADDRESS(ROW(),COLUMN()-1,4)),UNSPSCCode,0)),IF(INDIRECT(ADDRESS(ROW(),COLUMN()-1,4))="51142934","Clorhidrato de ketamina",""))</f>
        <v>Clorhidrato de ketamina</v>
      </c>
      <c r="C1809" s="95" t="str">
        <f>IFERROR(VLOOKUP("UD",'Informacion '!P:Q,2,FALSE),"")</f>
        <v>Unidad</v>
      </c>
      <c r="D1809" s="94">
        <v>1552</v>
      </c>
      <c r="E1809" s="84">
        <v>30.61</v>
      </c>
      <c r="F1809" s="83">
        <f t="shared" ca="1" si="83"/>
        <v>47506.720000000001</v>
      </c>
    </row>
    <row r="1810" spans="1:6" ht="14.1" customHeight="1" x14ac:dyDescent="0.25">
      <c r="A1810" s="94" t="s">
        <v>305</v>
      </c>
      <c r="B1810" s="82" t="str">
        <f ca="1">IFERROR(INDEX(UNSPSCDes,MATCH(INDIRECT(ADDRESS(ROW(),COLUMN()-1,4)),UNSPSCCode,0)),IF(INDIRECT(ADDRESS(ROW(),COLUMN()-1,4))="51142227","Clorhidrato de oxicodona",""))</f>
        <v>Clorhidrato de oxicodona</v>
      </c>
      <c r="C1810" s="95" t="str">
        <f>IFERROR(VLOOKUP("UD",'Informacion '!P:Q,2,FALSE),"")</f>
        <v>Unidad</v>
      </c>
      <c r="D1810" s="94">
        <v>7</v>
      </c>
      <c r="E1810" s="84">
        <v>55.05</v>
      </c>
      <c r="F1810" s="83">
        <f t="shared" ca="1" si="83"/>
        <v>385.34999999999997</v>
      </c>
    </row>
    <row r="1811" spans="1:6" ht="14.1" customHeight="1" x14ac:dyDescent="0.25">
      <c r="A1811" s="94" t="s">
        <v>2201</v>
      </c>
      <c r="B1811" s="82" t="str">
        <f ca="1">IFERROR(INDEX(UNSPSCDes,MATCH(INDIRECT(ADDRESS(ROW(),COLUMN()-1,4)),UNSPSCCode,0)),IF(INDIRECT(ADDRESS(ROW(),COLUMN()-1,4))="51141921","Clorhidrato de midazoloam",""))</f>
        <v>Clorhidrato de midazoloam</v>
      </c>
      <c r="C1811" s="95" t="str">
        <f>IFERROR(VLOOKUP("UD",'Informacion '!P:Q,2,FALSE),"")</f>
        <v>Unidad</v>
      </c>
      <c r="D1811" s="94">
        <v>792</v>
      </c>
      <c r="E1811" s="84">
        <v>227.48</v>
      </c>
      <c r="F1811" s="83">
        <f t="shared" ca="1" si="83"/>
        <v>180164.16</v>
      </c>
    </row>
    <row r="1812" spans="1:6" ht="14.1" customHeight="1" x14ac:dyDescent="0.25">
      <c r="A1812" s="94" t="s">
        <v>10377</v>
      </c>
      <c r="B1812" s="82" t="str">
        <f ca="1">IFERROR(INDEX(UNSPSCDes,MATCH(INDIRECT(ADDRESS(ROW(),COLUMN()-1,4)),UNSPSCCode,0)),IF(INDIRECT(ADDRESS(ROW(),COLUMN()-1,4))="51211606","Flumazenil",""))</f>
        <v>Flumazenil</v>
      </c>
      <c r="C1812" s="95" t="str">
        <f>IFERROR(VLOOKUP("UD",'Informacion '!P:Q,2,FALSE),"")</f>
        <v>Unidad</v>
      </c>
      <c r="D1812" s="94">
        <v>5</v>
      </c>
      <c r="E1812" s="84">
        <v>3550.54</v>
      </c>
      <c r="F1812" s="83">
        <f t="shared" ca="1" si="83"/>
        <v>17752.7</v>
      </c>
    </row>
    <row r="1813" spans="1:6" ht="14.1" customHeight="1" x14ac:dyDescent="0.25">
      <c r="A1813" s="94" t="s">
        <v>11517</v>
      </c>
      <c r="B1813" s="82" t="str">
        <f ca="1">IFERROR(INDEX(UNSPSCDes,MATCH(INDIRECT(ADDRESS(ROW(),COLUMN()-1,4)),UNSPSCCode,0)),IF(INDIRECT(ADDRESS(ROW(),COLUMN()-1,4))="51142304","Clorhidrato de nalbufina",""))</f>
        <v>Clorhidrato de nalbufina</v>
      </c>
      <c r="C1813" s="95" t="str">
        <f>IFERROR(VLOOKUP("UD",'Informacion '!P:Q,2,FALSE),"")</f>
        <v>Unidad</v>
      </c>
      <c r="D1813" s="94">
        <v>33</v>
      </c>
      <c r="E1813" s="84">
        <v>80.77</v>
      </c>
      <c r="F1813" s="83">
        <f t="shared" ca="1" si="83"/>
        <v>2665.41</v>
      </c>
    </row>
    <row r="1814" spans="1:6" ht="14.1" customHeight="1" x14ac:dyDescent="0.25">
      <c r="A1814" s="94" t="s">
        <v>6464</v>
      </c>
      <c r="B1814" s="82" t="str">
        <f ca="1">IFERROR(INDEX(UNSPSCDes,MATCH(INDIRECT(ADDRESS(ROW(),COLUMN()-1,4)),UNSPSCCode,0)),IF(INDIRECT(ADDRESS(ROW(),COLUMN()-1,4))="51141920","Diazepam",""))</f>
        <v>Diazepam</v>
      </c>
      <c r="C1814" s="95" t="str">
        <f>IFERROR(VLOOKUP("UD",'Informacion '!P:Q,2,FALSE),"")</f>
        <v>Unidad</v>
      </c>
      <c r="D1814" s="94">
        <v>93</v>
      </c>
      <c r="E1814" s="84">
        <v>24.93</v>
      </c>
      <c r="F1814" s="83">
        <f t="shared" ca="1" si="83"/>
        <v>2318.4899999999998</v>
      </c>
    </row>
    <row r="1815" spans="1:6" ht="14.1" customHeight="1" x14ac:dyDescent="0.25">
      <c r="A1815" s="94" t="s">
        <v>8501</v>
      </c>
      <c r="B1815" s="82" t="str">
        <f ca="1">IFERROR(INDEX(UNSPSCDes,MATCH(INDIRECT(ADDRESS(ROW(),COLUMN()-1,4)),UNSPSCCode,0)),IF(INDIRECT(ADDRESS(ROW(),COLUMN()-1,4))="51142302","Hidrocloruro de naloxona",""))</f>
        <v>Hidrocloruro de naloxona</v>
      </c>
      <c r="C1815" s="95" t="str">
        <f>IFERROR(VLOOKUP("UD",'Informacion '!P:Q,2,FALSE),"")</f>
        <v>Unidad</v>
      </c>
      <c r="D1815" s="94">
        <v>9</v>
      </c>
      <c r="E1815" s="84">
        <v>419.85</v>
      </c>
      <c r="F1815" s="83">
        <f t="shared" ca="1" si="83"/>
        <v>3778.65</v>
      </c>
    </row>
    <row r="1816" spans="1:6" ht="14.1" customHeight="1" x14ac:dyDescent="0.25">
      <c r="A1816" s="94" t="s">
        <v>7530</v>
      </c>
      <c r="B1816" s="82" t="str">
        <f ca="1">IFERROR(INDEX(UNSPSCDes,MATCH(INDIRECT(ADDRESS(ROW(),COLUMN()-1,4)),UNSPSCCode,0)),IF(INDIRECT(ADDRESS(ROW(),COLUMN()-1,4))="51142206","Sulfato de morfina",""))</f>
        <v>Sulfato de morfina</v>
      </c>
      <c r="C1816" s="95" t="str">
        <f>IFERROR(VLOOKUP("UD",'Informacion '!P:Q,2,FALSE),"")</f>
        <v>Unidad</v>
      </c>
      <c r="D1816" s="94">
        <v>45</v>
      </c>
      <c r="E1816" s="84">
        <v>300</v>
      </c>
      <c r="F1816" s="83">
        <f t="shared" ca="1" si="83"/>
        <v>13500</v>
      </c>
    </row>
    <row r="1817" spans="1:6" ht="14.1" customHeight="1" x14ac:dyDescent="0.25">
      <c r="A1817" s="94" t="s">
        <v>6739</v>
      </c>
      <c r="B1817" s="82" t="str">
        <f ca="1">IFERROR(INDEX(UNSPSCDes,MATCH(INDIRECT(ADDRESS(ROW(),COLUMN()-1,4)),UNSPSCCode,0)),IF(INDIRECT(ADDRESS(ROW(),COLUMN()-1,4))="51142232","Clorhidrato de remifentanilo",""))</f>
        <v>Clorhidrato de remifentanilo</v>
      </c>
      <c r="C1817" s="95" t="str">
        <f>IFERROR(VLOOKUP("UD",'Informacion '!P:Q,2,FALSE),"")</f>
        <v>Unidad</v>
      </c>
      <c r="D1817" s="94">
        <v>126</v>
      </c>
      <c r="E1817" s="84">
        <v>2278.6999999999998</v>
      </c>
      <c r="F1817" s="83">
        <f t="shared" ca="1" si="83"/>
        <v>287116.19999999995</v>
      </c>
    </row>
    <row r="1818" spans="1:6" ht="14.1" customHeight="1" x14ac:dyDescent="0.25">
      <c r="A1818" s="94" t="s">
        <v>17122</v>
      </c>
      <c r="B1818" s="82" t="str">
        <f ca="1">IFERROR(INDEX(UNSPSCDes,MATCH(INDIRECT(ADDRESS(ROW(),COLUMN()-1,4)),UNSPSCCode,0)),IF(INDIRECT(ADDRESS(ROW(),COLUMN()-1,4))="51142210","Clorhidrato etilmorfina",""))</f>
        <v>Clorhidrato etilmorfina</v>
      </c>
      <c r="C1818" s="95" t="str">
        <f>IFERROR(VLOOKUP("UD",'Informacion '!P:Q,2,FALSE),"")</f>
        <v>Unidad</v>
      </c>
      <c r="D1818" s="94">
        <v>629</v>
      </c>
      <c r="E1818" s="84">
        <v>335.4</v>
      </c>
      <c r="F1818" s="83">
        <f t="shared" ca="1" si="83"/>
        <v>210966.59999999998</v>
      </c>
    </row>
    <row r="1819" spans="1:6" ht="14.1" customHeight="1" x14ac:dyDescent="0.25">
      <c r="A1819" s="94" t="s">
        <v>6476</v>
      </c>
      <c r="B1819" s="82" t="str">
        <f ca="1">IFERROR(INDEX(UNSPSCDes,MATCH(INDIRECT(ADDRESS(ROW(),COLUMN()-1,4)),UNSPSCCode,0)),IF(INDIRECT(ADDRESS(ROW(),COLUMN()-1,4))="51141618","Clorhidrato de fluoxetina",""))</f>
        <v>Clorhidrato de fluoxetina</v>
      </c>
      <c r="C1819" s="95" t="str">
        <f>IFERROR(VLOOKUP("UD",'Informacion '!P:Q,2,FALSE),"")</f>
        <v>Unidad</v>
      </c>
      <c r="D1819" s="94">
        <v>14</v>
      </c>
      <c r="E1819" s="84">
        <v>589.72</v>
      </c>
      <c r="F1819" s="83">
        <f t="shared" ca="1" si="83"/>
        <v>8256.08</v>
      </c>
    </row>
    <row r="1820" spans="1:6" ht="14.1" customHeight="1" x14ac:dyDescent="0.25">
      <c r="A1820" s="94" t="s">
        <v>9528</v>
      </c>
      <c r="B1820" s="82" t="str">
        <f ca="1">IFERROR(INDEX(UNSPSCDes,MATCH(INDIRECT(ADDRESS(ROW(),COLUMN()-1,4)),UNSPSCCode,0)),IF(INDIRECT(ADDRESS(ROW(),COLUMN()-1,4))="51142219","Fentanilo",""))</f>
        <v>Fentanilo</v>
      </c>
      <c r="C1820" s="95" t="str">
        <f>IFERROR(VLOOKUP("UD",'Informacion '!P:Q,2,FALSE),"")</f>
        <v>Unidad</v>
      </c>
      <c r="D1820" s="94">
        <v>804</v>
      </c>
      <c r="E1820" s="84">
        <v>68.319999999999993</v>
      </c>
      <c r="F1820" s="83">
        <f t="shared" ca="1" si="83"/>
        <v>54929.279999999992</v>
      </c>
    </row>
    <row r="1821" spans="1:6" ht="14.1" customHeight="1" x14ac:dyDescent="0.25">
      <c r="A1821" s="94" t="s">
        <v>1979</v>
      </c>
      <c r="B1821" s="82" t="str">
        <f ca="1">IFERROR(INDEX(UNSPSCDes,MATCH(INDIRECT(ADDRESS(ROW(),COLUMN()-1,4)),UNSPSCCode,0)),IF(INDIRECT(ADDRESS(ROW(),COLUMN()-1,4))="51141919","Alprazolam",""))</f>
        <v>Alprazolam</v>
      </c>
      <c r="C1821" s="95" t="str">
        <f>IFERROR(VLOOKUP("UD",'Informacion '!P:Q,2,FALSE),"")</f>
        <v>Unidad</v>
      </c>
      <c r="D1821" s="94">
        <v>44</v>
      </c>
      <c r="E1821" s="84">
        <v>15.02</v>
      </c>
      <c r="F1821" s="83">
        <f t="shared" ca="1" si="83"/>
        <v>660.88</v>
      </c>
    </row>
    <row r="1822" spans="1:6" ht="14.1" customHeight="1" x14ac:dyDescent="0.25">
      <c r="A1822" s="94" t="s">
        <v>17863</v>
      </c>
      <c r="B1822" s="82" t="str">
        <f ca="1">IFERROR(INDEX(UNSPSCDes,MATCH(INDIRECT(ADDRESS(ROW(),COLUMN()-1,4)),UNSPSCCode,0)),IF(INDIRECT(ADDRESS(ROW(),COLUMN()-1,4))="51142226","Clorhidrato de metadona",""))</f>
        <v>Clorhidrato de metadona</v>
      </c>
      <c r="C1822" s="95" t="str">
        <f>IFERROR(VLOOKUP("UD",'Informacion '!P:Q,2,FALSE),"")</f>
        <v>Unidad</v>
      </c>
      <c r="D1822" s="94">
        <v>5</v>
      </c>
      <c r="E1822" s="84">
        <v>77.400000000000006</v>
      </c>
      <c r="F1822" s="83">
        <f t="shared" ca="1" si="83"/>
        <v>387</v>
      </c>
    </row>
    <row r="1823" spans="1:6" ht="14.1" customHeight="1" x14ac:dyDescent="0.25">
      <c r="A1823" s="94" t="s">
        <v>1979</v>
      </c>
      <c r="B1823" s="82" t="str">
        <f ca="1">IFERROR(INDEX(UNSPSCDes,MATCH(INDIRECT(ADDRESS(ROW(),COLUMN()-1,4)),UNSPSCCode,0)),IF(INDIRECT(ADDRESS(ROW(),COLUMN()-1,4))="51141919","Alprazolam",""))</f>
        <v>Alprazolam</v>
      </c>
      <c r="C1823" s="95" t="str">
        <f>IFERROR(VLOOKUP("UD",'Informacion '!P:Q,2,FALSE),"")</f>
        <v>Unidad</v>
      </c>
      <c r="D1823" s="94">
        <v>12</v>
      </c>
      <c r="E1823" s="84">
        <v>20.260000000000002</v>
      </c>
      <c r="F1823" s="83">
        <f t="shared" ca="1" si="83"/>
        <v>243.12</v>
      </c>
    </row>
    <row r="1824" spans="1:6" ht="14.1" customHeight="1" x14ac:dyDescent="0.25">
      <c r="A1824" s="94" t="s">
        <v>1979</v>
      </c>
      <c r="B1824" s="82" t="str">
        <f ca="1">IFERROR(INDEX(UNSPSCDes,MATCH(INDIRECT(ADDRESS(ROW(),COLUMN()-1,4)),UNSPSCCode,0)),IF(INDIRECT(ADDRESS(ROW(),COLUMN()-1,4))="51141919","Alprazolam",""))</f>
        <v>Alprazolam</v>
      </c>
      <c r="C1824" s="95" t="str">
        <f>IFERROR(VLOOKUP("UD",'Informacion '!P:Q,2,FALSE),"")</f>
        <v>Unidad</v>
      </c>
      <c r="D1824" s="94">
        <v>23</v>
      </c>
      <c r="E1824" s="84">
        <v>9.7899999999999991</v>
      </c>
      <c r="F1824" s="83">
        <f t="shared" ca="1" si="83"/>
        <v>225.17</v>
      </c>
    </row>
    <row r="1825" spans="1:6" ht="14.1" customHeight="1" x14ac:dyDescent="0.25">
      <c r="A1825" s="94" t="s">
        <v>6476</v>
      </c>
      <c r="B1825" s="82" t="str">
        <f ca="1">IFERROR(INDEX(UNSPSCDes,MATCH(INDIRECT(ADDRESS(ROW(),COLUMN()-1,4)),UNSPSCCode,0)),IF(INDIRECT(ADDRESS(ROW(),COLUMN()-1,4))="51141618","Clorhidrato de fluoxetina",""))</f>
        <v>Clorhidrato de fluoxetina</v>
      </c>
      <c r="C1825" s="95" t="str">
        <f>IFERROR(VLOOKUP("UD",'Informacion '!P:Q,2,FALSE),"")</f>
        <v>Unidad</v>
      </c>
      <c r="D1825" s="94">
        <v>8</v>
      </c>
      <c r="E1825" s="84">
        <v>493.04</v>
      </c>
      <c r="F1825" s="83">
        <f t="shared" ca="1" si="83"/>
        <v>3944.32</v>
      </c>
    </row>
    <row r="1826" spans="1:6" ht="14.1" customHeight="1" x14ac:dyDescent="0.25">
      <c r="A1826" s="94" t="s">
        <v>6464</v>
      </c>
      <c r="B1826" s="82" t="str">
        <f ca="1">IFERROR(INDEX(UNSPSCDes,MATCH(INDIRECT(ADDRESS(ROW(),COLUMN()-1,4)),UNSPSCCode,0)),IF(INDIRECT(ADDRESS(ROW(),COLUMN()-1,4))="51141920","Diazepam",""))</f>
        <v>Diazepam</v>
      </c>
      <c r="C1826" s="95" t="str">
        <f>IFERROR(VLOOKUP("UD",'Informacion '!P:Q,2,FALSE),"")</f>
        <v>Unidad</v>
      </c>
      <c r="D1826" s="94">
        <v>5</v>
      </c>
      <c r="E1826" s="84">
        <v>3.69</v>
      </c>
      <c r="F1826" s="83">
        <f t="shared" ca="1" si="83"/>
        <v>18.45</v>
      </c>
    </row>
    <row r="1827" spans="1:6" ht="14.1" customHeight="1" x14ac:dyDescent="0.25">
      <c r="A1827" s="94" t="s">
        <v>6464</v>
      </c>
      <c r="B1827" s="82" t="str">
        <f ca="1">IFERROR(INDEX(UNSPSCDes,MATCH(INDIRECT(ADDRESS(ROW(),COLUMN()-1,4)),UNSPSCCode,0)),IF(INDIRECT(ADDRESS(ROW(),COLUMN()-1,4))="51141920","Diazepam",""))</f>
        <v>Diazepam</v>
      </c>
      <c r="C1827" s="95" t="str">
        <f>IFERROR(VLOOKUP("UD",'Informacion '!P:Q,2,FALSE),"")</f>
        <v>Unidad</v>
      </c>
      <c r="D1827" s="94">
        <v>90</v>
      </c>
      <c r="E1827" s="84">
        <v>8.59</v>
      </c>
      <c r="F1827" s="83">
        <f t="shared" ca="1" si="83"/>
        <v>773.1</v>
      </c>
    </row>
    <row r="1828" spans="1:6" ht="14.1" customHeight="1" x14ac:dyDescent="0.25">
      <c r="A1828" s="94" t="s">
        <v>6464</v>
      </c>
      <c r="B1828" s="82" t="str">
        <f ca="1">IFERROR(INDEX(UNSPSCDes,MATCH(INDIRECT(ADDRESS(ROW(),COLUMN()-1,4)),UNSPSCCode,0)),IF(INDIRECT(ADDRESS(ROW(),COLUMN()-1,4))="51141920","Diazepam",""))</f>
        <v>Diazepam</v>
      </c>
      <c r="C1828" s="95" t="str">
        <f>IFERROR(VLOOKUP("UD",'Informacion '!P:Q,2,FALSE),"")</f>
        <v>Unidad</v>
      </c>
      <c r="D1828" s="94">
        <v>9</v>
      </c>
      <c r="E1828" s="84">
        <v>30.04</v>
      </c>
      <c r="F1828" s="83">
        <f t="shared" ca="1" si="83"/>
        <v>270.36</v>
      </c>
    </row>
    <row r="1829" spans="1:6" ht="14.1" customHeight="1" x14ac:dyDescent="0.25">
      <c r="A1829" s="94" t="s">
        <v>6464</v>
      </c>
      <c r="B1829" s="82" t="str">
        <f ca="1">IFERROR(INDEX(UNSPSCDes,MATCH(INDIRECT(ADDRESS(ROW(),COLUMN()-1,4)),UNSPSCCode,0)),IF(INDIRECT(ADDRESS(ROW(),COLUMN()-1,4))="51141920","Diazepam",""))</f>
        <v>Diazepam</v>
      </c>
      <c r="C1829" s="95" t="str">
        <f>IFERROR(VLOOKUP("UD",'Informacion '!P:Q,2,FALSE),"")</f>
        <v>Unidad</v>
      </c>
      <c r="D1829" s="94">
        <v>19</v>
      </c>
      <c r="E1829" s="84">
        <v>51.65</v>
      </c>
      <c r="F1829" s="83">
        <f t="shared" ca="1" si="83"/>
        <v>981.35</v>
      </c>
    </row>
    <row r="1830" spans="1:6" ht="14.1" customHeight="1" x14ac:dyDescent="0.25">
      <c r="A1830" s="94" t="s">
        <v>9528</v>
      </c>
      <c r="B1830" s="82" t="str">
        <f ca="1">IFERROR(INDEX(UNSPSCDes,MATCH(INDIRECT(ADDRESS(ROW(),COLUMN()-1,4)),UNSPSCCode,0)),IF(INDIRECT(ADDRESS(ROW(),COLUMN()-1,4))="51142219","Fentanilo",""))</f>
        <v>Fentanilo</v>
      </c>
      <c r="C1830" s="95" t="str">
        <f>IFERROR(VLOOKUP("UD",'Informacion '!P:Q,2,FALSE),"")</f>
        <v>Unidad</v>
      </c>
      <c r="D1830" s="94">
        <v>4</v>
      </c>
      <c r="E1830" s="84">
        <v>1857.4</v>
      </c>
      <c r="F1830" s="83">
        <f t="shared" ca="1" si="83"/>
        <v>7429.6</v>
      </c>
    </row>
    <row r="1831" spans="1:6" ht="14.1" customHeight="1" x14ac:dyDescent="0.25">
      <c r="A1831" s="94" t="s">
        <v>9528</v>
      </c>
      <c r="B1831" s="82" t="str">
        <f ca="1">IFERROR(INDEX(UNSPSCDes,MATCH(INDIRECT(ADDRESS(ROW(),COLUMN()-1,4)),UNSPSCCode,0)),IF(INDIRECT(ADDRESS(ROW(),COLUMN()-1,4))="51142219","Fentanilo",""))</f>
        <v>Fentanilo</v>
      </c>
      <c r="C1831" s="95" t="str">
        <f>IFERROR(VLOOKUP("UD",'Informacion '!P:Q,2,FALSE),"")</f>
        <v>Unidad</v>
      </c>
      <c r="D1831" s="94">
        <v>18</v>
      </c>
      <c r="E1831" s="84">
        <v>124</v>
      </c>
      <c r="F1831" s="83">
        <f t="shared" ca="1" si="83"/>
        <v>2232</v>
      </c>
    </row>
    <row r="1832" spans="1:6" ht="14.1" customHeight="1" x14ac:dyDescent="0.25">
      <c r="A1832" s="94" t="s">
        <v>9528</v>
      </c>
      <c r="B1832" s="82" t="str">
        <f ca="1">IFERROR(INDEX(UNSPSCDes,MATCH(INDIRECT(ADDRESS(ROW(),COLUMN()-1,4)),UNSPSCCode,0)),IF(INDIRECT(ADDRESS(ROW(),COLUMN()-1,4))="51142219","Fentanilo",""))</f>
        <v>Fentanilo</v>
      </c>
      <c r="C1832" s="95" t="str">
        <f>IFERROR(VLOOKUP("UD",'Informacion '!P:Q,2,FALSE),"")</f>
        <v>Unidad</v>
      </c>
      <c r="D1832" s="94">
        <v>140</v>
      </c>
      <c r="E1832" s="84">
        <v>107.24</v>
      </c>
      <c r="F1832" s="83">
        <f t="shared" ca="1" si="83"/>
        <v>15013.599999999999</v>
      </c>
    </row>
    <row r="1833" spans="1:6" ht="14.1" customHeight="1" x14ac:dyDescent="0.25">
      <c r="A1833" s="94" t="s">
        <v>9528</v>
      </c>
      <c r="B1833" s="82" t="str">
        <f ca="1">IFERROR(INDEX(UNSPSCDes,MATCH(INDIRECT(ADDRESS(ROW(),COLUMN()-1,4)),UNSPSCCode,0)),IF(INDIRECT(ADDRESS(ROW(),COLUMN()-1,4))="51142219","Fentanilo",""))</f>
        <v>Fentanilo</v>
      </c>
      <c r="C1833" s="95" t="str">
        <f>IFERROR(VLOOKUP("UD",'Informacion '!P:Q,2,FALSE),"")</f>
        <v>Unidad</v>
      </c>
      <c r="D1833" s="94">
        <v>181</v>
      </c>
      <c r="E1833" s="84">
        <v>17.14</v>
      </c>
      <c r="F1833" s="83">
        <f t="shared" ca="1" si="83"/>
        <v>3102.34</v>
      </c>
    </row>
    <row r="1834" spans="1:6" ht="14.1" customHeight="1" x14ac:dyDescent="0.25">
      <c r="A1834" s="94" t="s">
        <v>5157</v>
      </c>
      <c r="B1834" s="82" t="str">
        <f ca="1">IFERROR(INDEX(UNSPSCDes,MATCH(INDIRECT(ADDRESS(ROW(),COLUMN()-1,4)),UNSPSCCode,0)),IF(INDIRECT(ADDRESS(ROW(),COLUMN()-1,4))="51142934","Clorhidrato de ketamina",""))</f>
        <v>Clorhidrato de ketamina</v>
      </c>
      <c r="C1834" s="95" t="str">
        <f>IFERROR(VLOOKUP("UD",'Informacion '!P:Q,2,FALSE),"")</f>
        <v>Unidad</v>
      </c>
      <c r="D1834" s="94">
        <v>846</v>
      </c>
      <c r="E1834" s="84">
        <v>11</v>
      </c>
      <c r="F1834" s="83">
        <f t="shared" ca="1" si="83"/>
        <v>9306</v>
      </c>
    </row>
    <row r="1835" spans="1:6" ht="14.1" customHeight="1" x14ac:dyDescent="0.25">
      <c r="A1835" s="94" t="s">
        <v>2201</v>
      </c>
      <c r="B1835" s="82" t="str">
        <f t="shared" ref="B1835:B1842" ca="1" si="84">IFERROR(INDEX(UNSPSCDes,MATCH(INDIRECT(ADDRESS(ROW(),COLUMN()-1,4)),UNSPSCCode,0)),IF(INDIRECT(ADDRESS(ROW(),COLUMN()-1,4))="51141921","Clorhidrato de midazoloam",""))</f>
        <v>Clorhidrato de midazoloam</v>
      </c>
      <c r="C1835" s="95" t="str">
        <f>IFERROR(VLOOKUP("UD",'Informacion '!P:Q,2,FALSE),"")</f>
        <v>Unidad</v>
      </c>
      <c r="D1835" s="94">
        <v>73</v>
      </c>
      <c r="E1835" s="84">
        <v>84.73</v>
      </c>
      <c r="F1835" s="83">
        <f t="shared" ca="1" si="83"/>
        <v>6185.29</v>
      </c>
    </row>
    <row r="1836" spans="1:6" ht="14.1" customHeight="1" x14ac:dyDescent="0.25">
      <c r="A1836" s="94" t="s">
        <v>2201</v>
      </c>
      <c r="B1836" s="82" t="str">
        <f t="shared" ca="1" si="84"/>
        <v>Clorhidrato de midazoloam</v>
      </c>
      <c r="C1836" s="95" t="str">
        <f>IFERROR(VLOOKUP("UD",'Informacion '!P:Q,2,FALSE),"")</f>
        <v>Unidad</v>
      </c>
      <c r="D1836" s="94">
        <v>196</v>
      </c>
      <c r="E1836" s="84">
        <v>135</v>
      </c>
      <c r="F1836" s="83">
        <f t="shared" ca="1" si="83"/>
        <v>26460</v>
      </c>
    </row>
    <row r="1837" spans="1:6" ht="14.1" customHeight="1" x14ac:dyDescent="0.25">
      <c r="A1837" s="94" t="s">
        <v>2201</v>
      </c>
      <c r="B1837" s="82" t="str">
        <f t="shared" ca="1" si="84"/>
        <v>Clorhidrato de midazoloam</v>
      </c>
      <c r="C1837" s="95" t="str">
        <f>IFERROR(VLOOKUP("UD",'Informacion '!P:Q,2,FALSE),"")</f>
        <v>Unidad</v>
      </c>
      <c r="D1837" s="94">
        <v>63</v>
      </c>
      <c r="E1837" s="84">
        <v>90</v>
      </c>
      <c r="F1837" s="83">
        <f t="shared" ca="1" si="83"/>
        <v>5670</v>
      </c>
    </row>
    <row r="1838" spans="1:6" ht="14.1" customHeight="1" x14ac:dyDescent="0.25">
      <c r="A1838" s="94" t="s">
        <v>2201</v>
      </c>
      <c r="B1838" s="82" t="str">
        <f t="shared" ca="1" si="84"/>
        <v>Clorhidrato de midazoloam</v>
      </c>
      <c r="C1838" s="95" t="str">
        <f>IFERROR(VLOOKUP("UD",'Informacion '!P:Q,2,FALSE),"")</f>
        <v>Unidad</v>
      </c>
      <c r="D1838" s="94">
        <v>26</v>
      </c>
      <c r="E1838" s="84">
        <v>670.14</v>
      </c>
      <c r="F1838" s="83">
        <f t="shared" ca="1" si="83"/>
        <v>17423.64</v>
      </c>
    </row>
    <row r="1839" spans="1:6" ht="14.1" customHeight="1" x14ac:dyDescent="0.25">
      <c r="A1839" s="94" t="s">
        <v>2201</v>
      </c>
      <c r="B1839" s="82" t="str">
        <f t="shared" ca="1" si="84"/>
        <v>Clorhidrato de midazoloam</v>
      </c>
      <c r="C1839" s="95" t="str">
        <f>IFERROR(VLOOKUP("UD",'Informacion '!P:Q,2,FALSE),"")</f>
        <v>Unidad</v>
      </c>
      <c r="D1839" s="94">
        <v>376</v>
      </c>
      <c r="E1839" s="84">
        <v>374.99</v>
      </c>
      <c r="F1839" s="83">
        <f t="shared" ca="1" si="83"/>
        <v>140996.24</v>
      </c>
    </row>
    <row r="1840" spans="1:6" ht="14.1" customHeight="1" x14ac:dyDescent="0.25">
      <c r="A1840" s="94" t="s">
        <v>2201</v>
      </c>
      <c r="B1840" s="82" t="str">
        <f t="shared" ca="1" si="84"/>
        <v>Clorhidrato de midazoloam</v>
      </c>
      <c r="C1840" s="95" t="str">
        <f>IFERROR(VLOOKUP("UD",'Informacion '!P:Q,2,FALSE),"")</f>
        <v>Unidad</v>
      </c>
      <c r="D1840" s="94">
        <v>35</v>
      </c>
      <c r="E1840" s="84">
        <v>375</v>
      </c>
      <c r="F1840" s="83">
        <f t="shared" ca="1" si="83"/>
        <v>13125</v>
      </c>
    </row>
    <row r="1841" spans="1:10" ht="14.1" customHeight="1" x14ac:dyDescent="0.25">
      <c r="A1841" s="94" t="s">
        <v>2201</v>
      </c>
      <c r="B1841" s="82" t="str">
        <f t="shared" ca="1" si="84"/>
        <v>Clorhidrato de midazoloam</v>
      </c>
      <c r="C1841" s="95" t="str">
        <f>IFERROR(VLOOKUP("UD",'Informacion '!P:Q,2,FALSE),"")</f>
        <v>Unidad</v>
      </c>
      <c r="D1841" s="94">
        <v>74</v>
      </c>
      <c r="E1841" s="84">
        <v>125</v>
      </c>
      <c r="F1841" s="83">
        <f t="shared" ca="1" si="83"/>
        <v>9250</v>
      </c>
    </row>
    <row r="1842" spans="1:10" ht="14.1" customHeight="1" x14ac:dyDescent="0.25">
      <c r="A1842" s="94" t="s">
        <v>2201</v>
      </c>
      <c r="B1842" s="82" t="str">
        <f t="shared" ca="1" si="84"/>
        <v>Clorhidrato de midazoloam</v>
      </c>
      <c r="C1842" s="95" t="str">
        <f>IFERROR(VLOOKUP("UD",'Informacion '!P:Q,2,FALSE),"")</f>
        <v>Unidad</v>
      </c>
      <c r="D1842" s="94">
        <v>4</v>
      </c>
      <c r="E1842" s="84">
        <v>230</v>
      </c>
      <c r="F1842" s="83">
        <f t="shared" ca="1" si="83"/>
        <v>920</v>
      </c>
    </row>
    <row r="1843" spans="1:10" ht="14.1" customHeight="1" x14ac:dyDescent="0.25">
      <c r="A1843" s="94" t="s">
        <v>17122</v>
      </c>
      <c r="B1843" s="82" t="str">
        <f ca="1">IFERROR(INDEX(UNSPSCDes,MATCH(INDIRECT(ADDRESS(ROW(),COLUMN()-1,4)),UNSPSCCode,0)),IF(INDIRECT(ADDRESS(ROW(),COLUMN()-1,4))="51142210","Clorhidrato etilmorfina",""))</f>
        <v>Clorhidrato etilmorfina</v>
      </c>
      <c r="C1843" s="95" t="str">
        <f>IFERROR(VLOOKUP("UD",'Informacion '!P:Q,2,FALSE),"")</f>
        <v>Unidad</v>
      </c>
      <c r="D1843" s="94">
        <v>7</v>
      </c>
      <c r="E1843" s="84">
        <v>95.7</v>
      </c>
      <c r="F1843" s="83">
        <f t="shared" ca="1" si="83"/>
        <v>669.9</v>
      </c>
    </row>
    <row r="1844" spans="1:10" ht="14.1" customHeight="1" x14ac:dyDescent="0.25">
      <c r="A1844" s="94" t="s">
        <v>17122</v>
      </c>
      <c r="B1844" s="82" t="str">
        <f ca="1">IFERROR(INDEX(UNSPSCDes,MATCH(INDIRECT(ADDRESS(ROW(),COLUMN()-1,4)),UNSPSCCode,0)),IF(INDIRECT(ADDRESS(ROW(),COLUMN()-1,4))="51142210","Clorhidrato etilmorfina",""))</f>
        <v>Clorhidrato etilmorfina</v>
      </c>
      <c r="C1844" s="95" t="str">
        <f>IFERROR(VLOOKUP("UD",'Informacion '!P:Q,2,FALSE),"")</f>
        <v>Unidad</v>
      </c>
      <c r="D1844" s="94">
        <v>125</v>
      </c>
      <c r="E1844" s="84">
        <v>79.86</v>
      </c>
      <c r="F1844" s="83">
        <f t="shared" ca="1" si="83"/>
        <v>9982.5</v>
      </c>
    </row>
    <row r="1845" spans="1:10" ht="14.1" customHeight="1" x14ac:dyDescent="0.25">
      <c r="A1845" s="94" t="s">
        <v>17122</v>
      </c>
      <c r="B1845" s="82" t="str">
        <f ca="1">IFERROR(INDEX(UNSPSCDes,MATCH(INDIRECT(ADDRESS(ROW(),COLUMN()-1,4)),UNSPSCCode,0)),IF(INDIRECT(ADDRESS(ROW(),COLUMN()-1,4))="51142210","Clorhidrato etilmorfina",""))</f>
        <v>Clorhidrato etilmorfina</v>
      </c>
      <c r="C1845" s="95" t="str">
        <f>IFERROR(VLOOKUP("UD",'Informacion '!P:Q,2,FALSE),"")</f>
        <v>Unidad</v>
      </c>
      <c r="D1845" s="94">
        <v>49</v>
      </c>
      <c r="E1845" s="84">
        <v>95.7</v>
      </c>
      <c r="F1845" s="83">
        <f t="shared" ca="1" si="83"/>
        <v>4689.3</v>
      </c>
    </row>
    <row r="1846" spans="1:10" ht="14.1" customHeight="1" x14ac:dyDescent="0.25">
      <c r="A1846" s="94" t="s">
        <v>17122</v>
      </c>
      <c r="B1846" s="82" t="str">
        <f ca="1">IFERROR(INDEX(UNSPSCDes,MATCH(INDIRECT(ADDRESS(ROW(),COLUMN()-1,4)),UNSPSCCode,0)),IF(INDIRECT(ADDRESS(ROW(),COLUMN()-1,4))="51142210","Clorhidrato etilmorfina",""))</f>
        <v>Clorhidrato etilmorfina</v>
      </c>
      <c r="C1846" s="95" t="str">
        <f>IFERROR(VLOOKUP("UD",'Informacion '!P:Q,2,FALSE),"")</f>
        <v>Unidad</v>
      </c>
      <c r="D1846" s="94">
        <v>9</v>
      </c>
      <c r="E1846" s="84">
        <v>295</v>
      </c>
      <c r="F1846" s="83">
        <f t="shared" ca="1" si="83"/>
        <v>2655</v>
      </c>
    </row>
    <row r="1847" spans="1:10" ht="14.1" customHeight="1" x14ac:dyDescent="0.25">
      <c r="A1847" s="94" t="s">
        <v>11517</v>
      </c>
      <c r="B1847" s="82" t="str">
        <f ca="1">IFERROR(INDEX(UNSPSCDes,MATCH(INDIRECT(ADDRESS(ROW(),COLUMN()-1,4)),UNSPSCCode,0)),IF(INDIRECT(ADDRESS(ROW(),COLUMN()-1,4))="51142304","Clorhidrato de nalbufina",""))</f>
        <v>Clorhidrato de nalbufina</v>
      </c>
      <c r="C1847" s="95" t="str">
        <f>IFERROR(VLOOKUP("UD",'Informacion '!P:Q,2,FALSE),"")</f>
        <v>Unidad</v>
      </c>
      <c r="D1847" s="94">
        <v>32</v>
      </c>
      <c r="E1847" s="84">
        <v>80</v>
      </c>
      <c r="F1847" s="83">
        <f t="shared" ca="1" si="83"/>
        <v>2560</v>
      </c>
    </row>
    <row r="1848" spans="1:10" ht="14.1" customHeight="1" x14ac:dyDescent="0.25">
      <c r="A1848" s="94" t="s">
        <v>6327</v>
      </c>
      <c r="B1848" s="82" t="str">
        <f ca="1">IFERROR(INDEX(UNSPSCDes,MATCH(INDIRECT(ADDRESS(ROW(),COLUMN()-1,4)),UNSPSCCode,0)),IF(INDIRECT(ADDRESS(ROW(),COLUMN()-1,4))="51171606","Sulfato de magnesio",""))</f>
        <v>Sulfato de magnesio</v>
      </c>
      <c r="C1848" s="95" t="str">
        <f>IFERROR(VLOOKUP("UD",'Informacion '!P:Q,2,FALSE),"")</f>
        <v>Unidad</v>
      </c>
      <c r="D1848" s="94">
        <v>11</v>
      </c>
      <c r="E1848" s="84">
        <v>74.72</v>
      </c>
      <c r="F1848" s="83">
        <f t="shared" ca="1" si="83"/>
        <v>821.92</v>
      </c>
    </row>
    <row r="1849" spans="1:10" ht="14.1" customHeight="1" x14ac:dyDescent="0.25">
      <c r="A1849" s="94" t="s">
        <v>1979</v>
      </c>
      <c r="B1849" s="82" t="str">
        <f ca="1">IFERROR(INDEX(UNSPSCDes,MATCH(INDIRECT(ADDRESS(ROW(),COLUMN()-1,4)),UNSPSCCode,0)),IF(INDIRECT(ADDRESS(ROW(),COLUMN()-1,4))="51141919","Alprazolam",""))</f>
        <v>Alprazolam</v>
      </c>
      <c r="C1849" s="95" t="str">
        <f>IFERROR(VLOOKUP("UD",'Informacion '!P:Q,2,FALSE),"")</f>
        <v>Unidad</v>
      </c>
      <c r="D1849" s="94">
        <v>48</v>
      </c>
      <c r="E1849" s="84">
        <v>11.92</v>
      </c>
      <c r="F1849" s="83">
        <f t="shared" ca="1" si="83"/>
        <v>572.16</v>
      </c>
    </row>
    <row r="1850" spans="1:10" ht="14.1" customHeight="1" x14ac:dyDescent="0.25">
      <c r="A1850" s="94" t="s">
        <v>11517</v>
      </c>
      <c r="B1850" s="82" t="str">
        <f ca="1">IFERROR(INDEX(UNSPSCDes,MATCH(INDIRECT(ADDRESS(ROW(),COLUMN()-1,4)),UNSPSCCode,0)),IF(INDIRECT(ADDRESS(ROW(),COLUMN()-1,4))="51142304","Clorhidrato de nalbufina",""))</f>
        <v>Clorhidrato de nalbufina</v>
      </c>
      <c r="C1850" s="95" t="str">
        <f>IFERROR(VLOOKUP("UD",'Informacion '!P:Q,2,FALSE),"")</f>
        <v>Unidad</v>
      </c>
      <c r="D1850" s="94">
        <v>10</v>
      </c>
      <c r="E1850" s="84">
        <v>102.06</v>
      </c>
      <c r="F1850" s="83">
        <f t="shared" ca="1" si="83"/>
        <v>1020.6</v>
      </c>
    </row>
    <row r="1851" spans="1:10" ht="14.1" customHeight="1" x14ac:dyDescent="0.25">
      <c r="A1851" s="94" t="s">
        <v>7530</v>
      </c>
      <c r="B1851" s="82" t="str">
        <f ca="1">IFERROR(INDEX(UNSPSCDes,MATCH(INDIRECT(ADDRESS(ROW(),COLUMN()-1,4)),UNSPSCCode,0)),IF(INDIRECT(ADDRESS(ROW(),COLUMN()-1,4))="51142206","Sulfato de morfina",""))</f>
        <v>Sulfato de morfina</v>
      </c>
      <c r="C1851" s="95" t="str">
        <f>IFERROR(VLOOKUP("UD",'Informacion '!P:Q,2,FALSE),"")</f>
        <v>Unidad</v>
      </c>
      <c r="D1851" s="94">
        <v>127</v>
      </c>
      <c r="E1851" s="84">
        <v>90</v>
      </c>
      <c r="F1851" s="83">
        <f t="shared" ca="1" si="83"/>
        <v>11430</v>
      </c>
    </row>
    <row r="1852" spans="1:10" ht="14.1" customHeight="1" x14ac:dyDescent="0.25">
      <c r="A1852" s="94" t="s">
        <v>7530</v>
      </c>
      <c r="B1852" s="82" t="str">
        <f ca="1">IFERROR(INDEX(UNSPSCDes,MATCH(INDIRECT(ADDRESS(ROW(),COLUMN()-1,4)),UNSPSCCode,0)),IF(INDIRECT(ADDRESS(ROW(),COLUMN()-1,4))="51142206","Sulfato de morfina",""))</f>
        <v>Sulfato de morfina</v>
      </c>
      <c r="C1852" s="95" t="str">
        <f>IFERROR(VLOOKUP("UD",'Informacion '!P:Q,2,FALSE),"")</f>
        <v>Unidad</v>
      </c>
      <c r="D1852" s="94">
        <v>345</v>
      </c>
      <c r="E1852" s="84">
        <v>177</v>
      </c>
      <c r="F1852" s="83">
        <f t="shared" ca="1" si="83"/>
        <v>61065</v>
      </c>
    </row>
    <row r="1853" spans="1:10" ht="14.1" customHeight="1" x14ac:dyDescent="0.25">
      <c r="A1853" s="94" t="s">
        <v>7530</v>
      </c>
      <c r="B1853" s="82" t="str">
        <f ca="1">IFERROR(INDEX(UNSPSCDes,MATCH(INDIRECT(ADDRESS(ROW(),COLUMN()-1,4)),UNSPSCCode,0)),IF(INDIRECT(ADDRESS(ROW(),COLUMN()-1,4))="51142206","Sulfato de morfina",""))</f>
        <v>Sulfato de morfina</v>
      </c>
      <c r="C1853" s="95" t="str">
        <f>IFERROR(VLOOKUP("UD",'Informacion '!P:Q,2,FALSE),"")</f>
        <v>Unidad</v>
      </c>
      <c r="D1853" s="94">
        <v>7</v>
      </c>
      <c r="E1853" s="84">
        <v>20.399999999999999</v>
      </c>
      <c r="F1853" s="83">
        <f t="shared" ca="1" si="83"/>
        <v>142.79999999999998</v>
      </c>
    </row>
    <row r="1854" spans="1:10" ht="14.1" customHeight="1" x14ac:dyDescent="0.25">
      <c r="E1854" s="96" t="s">
        <v>7213</v>
      </c>
      <c r="F1854" s="87">
        <f ca="1">SUM(Table73[MONTO TOTAL ESTIMADO])</f>
        <v>1196043.8499999999</v>
      </c>
      <c r="H1854" s="39" t="str">
        <f>C1801</f>
        <v>Bienes</v>
      </c>
      <c r="I1854" s="39" t="str">
        <f>E1801</f>
        <v>No</v>
      </c>
      <c r="J1854" s="39" t="str">
        <f>D1801</f>
        <v>Compras Menores</v>
      </c>
    </row>
    <row r="1856" spans="1:10" ht="33.950000000000003" customHeight="1" x14ac:dyDescent="0.25">
      <c r="A1856" s="77" t="s">
        <v>17233</v>
      </c>
      <c r="B1856" s="77" t="s">
        <v>4237</v>
      </c>
      <c r="C1856" s="77" t="s">
        <v>4743</v>
      </c>
      <c r="D1856" s="77" t="s">
        <v>9891</v>
      </c>
      <c r="E1856" s="77" t="s">
        <v>3089</v>
      </c>
      <c r="F1856" s="77" t="s">
        <v>18141</v>
      </c>
    </row>
    <row r="1857" spans="1:10" ht="14.1" customHeight="1" x14ac:dyDescent="0.25">
      <c r="A1857" s="79" t="s">
        <v>18908</v>
      </c>
      <c r="B1857" s="79" t="s">
        <v>291</v>
      </c>
      <c r="C1857" s="79" t="s">
        <v>17215</v>
      </c>
      <c r="D1857" s="79" t="s">
        <v>12255</v>
      </c>
      <c r="E1857" s="79" t="s">
        <v>18247</v>
      </c>
      <c r="F1857" s="79"/>
    </row>
    <row r="1858" spans="1:10" ht="14.1" customHeight="1" x14ac:dyDescent="0.25">
      <c r="A1858" s="2" t="s">
        <v>6643</v>
      </c>
      <c r="B1858" s="80" t="s">
        <v>1046</v>
      </c>
      <c r="C1858" s="90">
        <v>43467</v>
      </c>
      <c r="D1858" s="2" t="s">
        <v>59</v>
      </c>
      <c r="E1858" s="92" t="s">
        <v>20066</v>
      </c>
      <c r="F1858" s="93" t="s">
        <v>5684</v>
      </c>
    </row>
    <row r="1859" spans="1:10" ht="14.1" customHeight="1" x14ac:dyDescent="0.25">
      <c r="A1859" s="1"/>
      <c r="B1859" s="80" t="s">
        <v>10788</v>
      </c>
      <c r="C1859" s="91">
        <f>IF(C1858="","",IF(AND(MONTH(C1858)&gt;=1,MONTH(C1858)&lt;=3),1,IF(AND(MONTH(C1858)&gt;=4,MONTH(C1858)&lt;=6),2,IF(AND(MONTH(C1858)&gt;=7,MONTH(C1858)&lt;=9),3,4))))</f>
        <v>1</v>
      </c>
      <c r="D1859" s="1"/>
      <c r="E1859" s="92" t="s">
        <v>14822</v>
      </c>
      <c r="F1859" s="93"/>
    </row>
    <row r="1860" spans="1:10" ht="14.1" customHeight="1" x14ac:dyDescent="0.25">
      <c r="A1860" s="1"/>
      <c r="B1860" s="80" t="s">
        <v>13758</v>
      </c>
      <c r="C1860" s="90">
        <v>43553</v>
      </c>
      <c r="D1860" s="1"/>
      <c r="E1860" s="92" t="s">
        <v>18636</v>
      </c>
      <c r="F1860" s="93"/>
    </row>
    <row r="1861" spans="1:10" ht="14.1" customHeight="1" x14ac:dyDescent="0.25">
      <c r="A1861" s="1"/>
      <c r="B1861" s="80" t="s">
        <v>10788</v>
      </c>
      <c r="C1861" s="91">
        <f>IF(C1860="","",IF(AND(MONTH(C1860)&gt;=1,MONTH(C1860)&lt;=3),1,IF(AND(MONTH(C1860)&gt;=4,MONTH(C1860)&lt;=6),2,IF(AND(MONTH(C1860)&gt;=7,MONTH(C1860)&lt;=9),3,4))))</f>
        <v>1</v>
      </c>
      <c r="D1861" s="1"/>
      <c r="E1861" s="92" t="s">
        <v>15990</v>
      </c>
      <c r="F1861" s="93"/>
    </row>
    <row r="1863" spans="1:10" ht="14.1" customHeight="1" x14ac:dyDescent="0.25">
      <c r="A1863" s="85" t="s">
        <v>15474</v>
      </c>
      <c r="B1863" s="85" t="s">
        <v>5027</v>
      </c>
      <c r="C1863" s="85" t="s">
        <v>17461</v>
      </c>
      <c r="D1863" s="85" t="s">
        <v>3935</v>
      </c>
      <c r="E1863" s="85" t="s">
        <v>10722</v>
      </c>
      <c r="F1863" s="85" t="s">
        <v>18237</v>
      </c>
    </row>
    <row r="1864" spans="1:10" ht="14.1" customHeight="1" x14ac:dyDescent="0.25">
      <c r="A1864" s="94" t="s">
        <v>507</v>
      </c>
      <c r="B1864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1864" s="95" t="str">
        <f>IFERROR(VLOOKUP("UD",'Informacion '!P:Q,2,FALSE),"")</f>
        <v>Unidad</v>
      </c>
      <c r="D1864" s="94">
        <v>2</v>
      </c>
      <c r="E1864" s="84">
        <v>735</v>
      </c>
      <c r="F1864" s="83">
        <f ca="1">INDIRECT(ADDRESS(ROW(),COLUMN()-2,4))*INDIRECT(ADDRESS(ROW(),COLUMN()-1,4))</f>
        <v>1470</v>
      </c>
    </row>
    <row r="1865" spans="1:10" ht="14.1" customHeight="1" x14ac:dyDescent="0.25">
      <c r="A1865" s="94" t="s">
        <v>7527</v>
      </c>
      <c r="B1865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865" s="95" t="str">
        <f>IFERROR(VLOOKUP("UD",'Informacion '!P:Q,2,FALSE),"")</f>
        <v>Unidad</v>
      </c>
      <c r="D1865" s="94">
        <v>5</v>
      </c>
      <c r="E1865" s="84">
        <v>14728.18</v>
      </c>
      <c r="F1865" s="83">
        <f ca="1">INDIRECT(ADDRESS(ROW(),COLUMN()-2,4))*INDIRECT(ADDRESS(ROW(),COLUMN()-1,4))</f>
        <v>73640.899999999994</v>
      </c>
    </row>
    <row r="1866" spans="1:10" ht="14.1" customHeight="1" x14ac:dyDescent="0.25">
      <c r="A1866" s="94" t="s">
        <v>7527</v>
      </c>
      <c r="B1866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866" s="95" t="str">
        <f>IFERROR(VLOOKUP("UD",'Informacion '!P:Q,2,FALSE),"")</f>
        <v>Unidad</v>
      </c>
      <c r="D1866" s="94">
        <v>1</v>
      </c>
      <c r="E1866" s="84">
        <v>9163.86</v>
      </c>
      <c r="F1866" s="83">
        <f ca="1">INDIRECT(ADDRESS(ROW(),COLUMN()-2,4))*INDIRECT(ADDRESS(ROW(),COLUMN()-1,4))</f>
        <v>9163.86</v>
      </c>
    </row>
    <row r="1867" spans="1:10" ht="14.1" customHeight="1" x14ac:dyDescent="0.25">
      <c r="E1867" s="96" t="s">
        <v>7213</v>
      </c>
      <c r="F1867" s="87">
        <f ca="1">SUM(Table74[MONTO TOTAL ESTIMADO])</f>
        <v>84274.76</v>
      </c>
      <c r="H1867" s="39" t="str">
        <f>C1857</f>
        <v>Bienes</v>
      </c>
      <c r="I1867" s="39" t="str">
        <f>E1857</f>
        <v>No</v>
      </c>
      <c r="J1867" s="39" t="str">
        <f>D1857</f>
        <v>Excepción - Bienes o servicios con exclusividad</v>
      </c>
    </row>
    <row r="1869" spans="1:10" ht="33.950000000000003" customHeight="1" x14ac:dyDescent="0.25">
      <c r="A1869" s="77" t="s">
        <v>17233</v>
      </c>
      <c r="B1869" s="77" t="s">
        <v>4237</v>
      </c>
      <c r="C1869" s="77" t="s">
        <v>4743</v>
      </c>
      <c r="D1869" s="77" t="s">
        <v>9891</v>
      </c>
      <c r="E1869" s="77" t="s">
        <v>3089</v>
      </c>
      <c r="F1869" s="77" t="s">
        <v>18141</v>
      </c>
    </row>
    <row r="1870" spans="1:10" ht="14.1" customHeight="1" x14ac:dyDescent="0.25">
      <c r="A1870" s="79" t="s">
        <v>1083</v>
      </c>
      <c r="B1870" s="79" t="s">
        <v>19942</v>
      </c>
      <c r="C1870" s="79" t="s">
        <v>17215</v>
      </c>
      <c r="D1870" s="79" t="s">
        <v>12255</v>
      </c>
      <c r="E1870" s="79" t="s">
        <v>18247</v>
      </c>
      <c r="F1870" s="79"/>
    </row>
    <row r="1871" spans="1:10" ht="14.1" customHeight="1" x14ac:dyDescent="0.25">
      <c r="A1871" s="2" t="s">
        <v>6643</v>
      </c>
      <c r="B1871" s="80" t="s">
        <v>1046</v>
      </c>
      <c r="C1871" s="90">
        <v>43556</v>
      </c>
      <c r="D1871" s="2" t="s">
        <v>59</v>
      </c>
      <c r="E1871" s="92" t="s">
        <v>20066</v>
      </c>
      <c r="F1871" s="93"/>
    </row>
    <row r="1872" spans="1:10" ht="14.1" customHeight="1" x14ac:dyDescent="0.25">
      <c r="A1872" s="1"/>
      <c r="B1872" s="80" t="s">
        <v>10788</v>
      </c>
      <c r="C1872" s="91">
        <f>IF(C1871="","",IF(AND(MONTH(C1871)&gt;=1,MONTH(C1871)&lt;=3),1,IF(AND(MONTH(C1871)&gt;=4,MONTH(C1871)&lt;=6),2,IF(AND(MONTH(C1871)&gt;=7,MONTH(C1871)&lt;=9),3,4))))</f>
        <v>2</v>
      </c>
      <c r="D1872" s="1"/>
      <c r="E1872" s="92" t="s">
        <v>14822</v>
      </c>
      <c r="F1872" s="93"/>
    </row>
    <row r="1873" spans="1:10" ht="14.1" customHeight="1" x14ac:dyDescent="0.25">
      <c r="A1873" s="1"/>
      <c r="B1873" s="80" t="s">
        <v>13758</v>
      </c>
      <c r="C1873" s="90">
        <v>43644</v>
      </c>
      <c r="D1873" s="1"/>
      <c r="E1873" s="92" t="s">
        <v>18636</v>
      </c>
      <c r="F1873" s="93"/>
    </row>
    <row r="1874" spans="1:10" ht="14.1" customHeight="1" x14ac:dyDescent="0.25">
      <c r="A1874" s="1"/>
      <c r="B1874" s="80" t="s">
        <v>10788</v>
      </c>
      <c r="C1874" s="91">
        <f>IF(C1873="","",IF(AND(MONTH(C1873)&gt;=1,MONTH(C1873)&lt;=3),1,IF(AND(MONTH(C1873)&gt;=4,MONTH(C1873)&lt;=6),2,IF(AND(MONTH(C1873)&gt;=7,MONTH(C1873)&lt;=9),3,4))))</f>
        <v>2</v>
      </c>
      <c r="D1874" s="1"/>
      <c r="E1874" s="92" t="s">
        <v>15990</v>
      </c>
      <c r="F1874" s="93"/>
    </row>
    <row r="1876" spans="1:10" ht="14.1" customHeight="1" x14ac:dyDescent="0.25">
      <c r="A1876" s="85" t="s">
        <v>15474</v>
      </c>
      <c r="B1876" s="85" t="s">
        <v>5027</v>
      </c>
      <c r="C1876" s="85" t="s">
        <v>17461</v>
      </c>
      <c r="D1876" s="85" t="s">
        <v>3935</v>
      </c>
      <c r="E1876" s="85" t="s">
        <v>10722</v>
      </c>
      <c r="F1876" s="85" t="s">
        <v>18237</v>
      </c>
    </row>
    <row r="1877" spans="1:10" ht="14.1" customHeight="1" x14ac:dyDescent="0.25">
      <c r="A1877" s="94" t="s">
        <v>507</v>
      </c>
      <c r="B1877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1877" s="95" t="str">
        <f>IFERROR(VLOOKUP("UD",'Informacion '!P:Q,2,FALSE),"")</f>
        <v>Unidad</v>
      </c>
      <c r="D1877" s="94">
        <v>3</v>
      </c>
      <c r="E1877" s="84">
        <v>735.5</v>
      </c>
      <c r="F1877" s="83">
        <f ca="1">INDIRECT(ADDRESS(ROW(),COLUMN()-2,4))*INDIRECT(ADDRESS(ROW(),COLUMN()-1,4))</f>
        <v>2206.5</v>
      </c>
    </row>
    <row r="1878" spans="1:10" ht="14.1" customHeight="1" x14ac:dyDescent="0.25">
      <c r="A1878" s="94" t="s">
        <v>7527</v>
      </c>
      <c r="B1878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878" s="95" t="str">
        <f>IFERROR(VLOOKUP("UD",'Informacion '!P:Q,2,FALSE),"")</f>
        <v>Unidad</v>
      </c>
      <c r="D1878" s="94">
        <v>6</v>
      </c>
      <c r="E1878" s="84">
        <v>34728.18</v>
      </c>
      <c r="F1878" s="83">
        <f ca="1">INDIRECT(ADDRESS(ROW(),COLUMN()-2,4))*INDIRECT(ADDRESS(ROW(),COLUMN()-1,4))</f>
        <v>208369.08000000002</v>
      </c>
    </row>
    <row r="1879" spans="1:10" ht="14.1" customHeight="1" x14ac:dyDescent="0.25">
      <c r="A1879" s="94" t="s">
        <v>7527</v>
      </c>
      <c r="B1879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879" s="95" t="str">
        <f>IFERROR(VLOOKUP("UD",'Informacion '!P:Q,2,FALSE),"")</f>
        <v>Unidad</v>
      </c>
      <c r="D1879" s="94">
        <v>2</v>
      </c>
      <c r="E1879" s="84">
        <v>9163.86</v>
      </c>
      <c r="F1879" s="83">
        <f ca="1">INDIRECT(ADDRESS(ROW(),COLUMN()-2,4))*INDIRECT(ADDRESS(ROW(),COLUMN()-1,4))</f>
        <v>18327.72</v>
      </c>
    </row>
    <row r="1880" spans="1:10" ht="14.1" customHeight="1" x14ac:dyDescent="0.25">
      <c r="E1880" s="96" t="s">
        <v>7213</v>
      </c>
      <c r="F1880" s="87">
        <f ca="1">SUM(Table75[MONTO TOTAL ESTIMADO])</f>
        <v>228903.30000000002</v>
      </c>
      <c r="H1880" s="39" t="str">
        <f>C1870</f>
        <v>Bienes</v>
      </c>
      <c r="I1880" s="39" t="str">
        <f>E1870</f>
        <v>No</v>
      </c>
      <c r="J1880" s="39" t="str">
        <f>D1870</f>
        <v>Excepción - Bienes o servicios con exclusividad</v>
      </c>
    </row>
    <row r="1882" spans="1:10" ht="33.950000000000003" customHeight="1" x14ac:dyDescent="0.25">
      <c r="A1882" s="77" t="s">
        <v>17233</v>
      </c>
      <c r="B1882" s="77" t="s">
        <v>4237</v>
      </c>
      <c r="C1882" s="77" t="s">
        <v>4743</v>
      </c>
      <c r="D1882" s="77" t="s">
        <v>9891</v>
      </c>
      <c r="E1882" s="77" t="s">
        <v>3089</v>
      </c>
      <c r="F1882" s="77" t="s">
        <v>18141</v>
      </c>
    </row>
    <row r="1883" spans="1:10" ht="14.1" customHeight="1" x14ac:dyDescent="0.25">
      <c r="A1883" s="79" t="s">
        <v>4913</v>
      </c>
      <c r="B1883" s="79" t="s">
        <v>19942</v>
      </c>
      <c r="C1883" s="79" t="s">
        <v>17215</v>
      </c>
      <c r="D1883" s="79" t="s">
        <v>12255</v>
      </c>
      <c r="E1883" s="79" t="s">
        <v>18247</v>
      </c>
      <c r="F1883" s="79"/>
    </row>
    <row r="1884" spans="1:10" ht="14.1" customHeight="1" x14ac:dyDescent="0.25">
      <c r="A1884" s="2" t="s">
        <v>6643</v>
      </c>
      <c r="B1884" s="80" t="s">
        <v>1046</v>
      </c>
      <c r="C1884" s="90">
        <v>43648</v>
      </c>
      <c r="D1884" s="2" t="s">
        <v>59</v>
      </c>
      <c r="E1884" s="92" t="s">
        <v>20066</v>
      </c>
      <c r="F1884" s="93"/>
    </row>
    <row r="1885" spans="1:10" ht="14.1" customHeight="1" x14ac:dyDescent="0.25">
      <c r="A1885" s="1"/>
      <c r="B1885" s="80" t="s">
        <v>10788</v>
      </c>
      <c r="C1885" s="91">
        <f>IF(C1884="","",IF(AND(MONTH(C1884)&gt;=1,MONTH(C1884)&lt;=3),1,IF(AND(MONTH(C1884)&gt;=4,MONTH(C1884)&lt;=6),2,IF(AND(MONTH(C1884)&gt;=7,MONTH(C1884)&lt;=9),3,4))))</f>
        <v>3</v>
      </c>
      <c r="D1885" s="1"/>
      <c r="E1885" s="92" t="s">
        <v>14822</v>
      </c>
      <c r="F1885" s="93"/>
    </row>
    <row r="1886" spans="1:10" ht="14.1" customHeight="1" x14ac:dyDescent="0.25">
      <c r="A1886" s="1"/>
      <c r="B1886" s="80" t="s">
        <v>13758</v>
      </c>
      <c r="C1886" s="90">
        <v>43738</v>
      </c>
      <c r="D1886" s="1"/>
      <c r="E1886" s="92" t="s">
        <v>18636</v>
      </c>
      <c r="F1886" s="93"/>
    </row>
    <row r="1887" spans="1:10" ht="14.1" customHeight="1" x14ac:dyDescent="0.25">
      <c r="A1887" s="1"/>
      <c r="B1887" s="80" t="s">
        <v>10788</v>
      </c>
      <c r="C1887" s="91">
        <f>IF(C1886="","",IF(AND(MONTH(C1886)&gt;=1,MONTH(C1886)&lt;=3),1,IF(AND(MONTH(C1886)&gt;=4,MONTH(C1886)&lt;=6),2,IF(AND(MONTH(C1886)&gt;=7,MONTH(C1886)&lt;=9),3,4))))</f>
        <v>3</v>
      </c>
      <c r="D1887" s="1"/>
      <c r="E1887" s="92" t="s">
        <v>15990</v>
      </c>
      <c r="F1887" s="93"/>
    </row>
    <row r="1889" spans="1:10" ht="14.1" customHeight="1" x14ac:dyDescent="0.25">
      <c r="A1889" s="85" t="s">
        <v>15474</v>
      </c>
      <c r="B1889" s="85" t="s">
        <v>5027</v>
      </c>
      <c r="C1889" s="85" t="s">
        <v>17461</v>
      </c>
      <c r="D1889" s="85" t="s">
        <v>3935</v>
      </c>
      <c r="E1889" s="85" t="s">
        <v>10722</v>
      </c>
      <c r="F1889" s="85" t="s">
        <v>18237</v>
      </c>
    </row>
    <row r="1890" spans="1:10" ht="14.1" customHeight="1" x14ac:dyDescent="0.25">
      <c r="A1890" s="94" t="s">
        <v>507</v>
      </c>
      <c r="B1890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1890" s="95" t="str">
        <f>IFERROR(VLOOKUP("UD",'Informacion '!P:Q,2,FALSE),"")</f>
        <v>Unidad</v>
      </c>
      <c r="D1890" s="94">
        <v>4</v>
      </c>
      <c r="E1890" s="84">
        <v>735</v>
      </c>
      <c r="F1890" s="83">
        <f ca="1">INDIRECT(ADDRESS(ROW(),COLUMN()-2,4))*INDIRECT(ADDRESS(ROW(),COLUMN()-1,4))</f>
        <v>2940</v>
      </c>
    </row>
    <row r="1891" spans="1:10" ht="14.1" customHeight="1" x14ac:dyDescent="0.25">
      <c r="A1891" s="94" t="s">
        <v>7527</v>
      </c>
      <c r="B1891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891" s="95" t="str">
        <f>IFERROR(VLOOKUP("UD",'Informacion '!P:Q,2,FALSE),"")</f>
        <v>Unidad</v>
      </c>
      <c r="D1891" s="94">
        <v>7</v>
      </c>
      <c r="E1891" s="84">
        <v>14728.18</v>
      </c>
      <c r="F1891" s="83">
        <f ca="1">INDIRECT(ADDRESS(ROW(),COLUMN()-2,4))*INDIRECT(ADDRESS(ROW(),COLUMN()-1,4))</f>
        <v>103097.26000000001</v>
      </c>
    </row>
    <row r="1892" spans="1:10" ht="14.1" customHeight="1" x14ac:dyDescent="0.25">
      <c r="A1892" s="94" t="s">
        <v>7527</v>
      </c>
      <c r="B1892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892" s="95" t="str">
        <f>IFERROR(VLOOKUP("UD",'Informacion '!P:Q,2,FALSE),"")</f>
        <v>Unidad</v>
      </c>
      <c r="D1892" s="94">
        <v>3</v>
      </c>
      <c r="E1892" s="84">
        <v>9163.86</v>
      </c>
      <c r="F1892" s="83">
        <f ca="1">INDIRECT(ADDRESS(ROW(),COLUMN()-2,4))*INDIRECT(ADDRESS(ROW(),COLUMN()-1,4))</f>
        <v>27491.58</v>
      </c>
    </row>
    <row r="1893" spans="1:10" ht="14.1" customHeight="1" x14ac:dyDescent="0.25">
      <c r="E1893" s="96" t="s">
        <v>7213</v>
      </c>
      <c r="F1893" s="87">
        <f ca="1">SUM(Table76[MONTO TOTAL ESTIMADO])</f>
        <v>133528.84000000003</v>
      </c>
      <c r="H1893" s="39" t="str">
        <f>C1883</f>
        <v>Bienes</v>
      </c>
      <c r="I1893" s="39" t="str">
        <f>E1883</f>
        <v>No</v>
      </c>
      <c r="J1893" s="39" t="str">
        <f>D1883</f>
        <v>Excepción - Bienes o servicios con exclusividad</v>
      </c>
    </row>
    <row r="1895" spans="1:10" ht="33.950000000000003" customHeight="1" x14ac:dyDescent="0.25">
      <c r="A1895" s="77" t="s">
        <v>17233</v>
      </c>
      <c r="B1895" s="77" t="s">
        <v>4237</v>
      </c>
      <c r="C1895" s="77" t="s">
        <v>4743</v>
      </c>
      <c r="D1895" s="77" t="s">
        <v>9891</v>
      </c>
      <c r="E1895" s="77" t="s">
        <v>3089</v>
      </c>
      <c r="F1895" s="77" t="s">
        <v>18141</v>
      </c>
    </row>
    <row r="1896" spans="1:10" ht="14.1" customHeight="1" x14ac:dyDescent="0.25">
      <c r="A1896" s="79" t="s">
        <v>4653</v>
      </c>
      <c r="B1896" s="79" t="s">
        <v>19942</v>
      </c>
      <c r="C1896" s="79" t="s">
        <v>17215</v>
      </c>
      <c r="D1896" s="79" t="s">
        <v>12255</v>
      </c>
      <c r="E1896" s="79" t="s">
        <v>18247</v>
      </c>
      <c r="F1896" s="79"/>
    </row>
    <row r="1897" spans="1:10" ht="14.1" customHeight="1" x14ac:dyDescent="0.25">
      <c r="A1897" s="2" t="s">
        <v>6643</v>
      </c>
      <c r="B1897" s="80" t="s">
        <v>1046</v>
      </c>
      <c r="C1897" s="90">
        <v>43739</v>
      </c>
      <c r="D1897" s="2" t="s">
        <v>59</v>
      </c>
      <c r="E1897" s="92" t="s">
        <v>20066</v>
      </c>
      <c r="F1897" s="93"/>
    </row>
    <row r="1898" spans="1:10" ht="14.1" customHeight="1" x14ac:dyDescent="0.25">
      <c r="A1898" s="1"/>
      <c r="B1898" s="80" t="s">
        <v>10788</v>
      </c>
      <c r="C1898" s="91">
        <f>IF(C1897="","",IF(AND(MONTH(C1897)&gt;=1,MONTH(C1897)&lt;=3),1,IF(AND(MONTH(C1897)&gt;=4,MONTH(C1897)&lt;=6),2,IF(AND(MONTH(C1897)&gt;=7,MONTH(C1897)&lt;=9),3,4))))</f>
        <v>4</v>
      </c>
      <c r="D1898" s="1"/>
      <c r="E1898" s="92" t="s">
        <v>14822</v>
      </c>
      <c r="F1898" s="93"/>
    </row>
    <row r="1899" spans="1:10" ht="14.1" customHeight="1" x14ac:dyDescent="0.25">
      <c r="A1899" s="1"/>
      <c r="B1899" s="80" t="s">
        <v>13758</v>
      </c>
      <c r="C1899" s="90">
        <v>43829</v>
      </c>
      <c r="D1899" s="1"/>
      <c r="E1899" s="92" t="s">
        <v>18636</v>
      </c>
      <c r="F1899" s="93"/>
    </row>
    <row r="1900" spans="1:10" ht="14.1" customHeight="1" x14ac:dyDescent="0.25">
      <c r="A1900" s="1"/>
      <c r="B1900" s="80" t="s">
        <v>10788</v>
      </c>
      <c r="C1900" s="91">
        <f>IF(C1899="","",IF(AND(MONTH(C1899)&gt;=1,MONTH(C1899)&lt;=3),1,IF(AND(MONTH(C1899)&gt;=4,MONTH(C1899)&lt;=6),2,IF(AND(MONTH(C1899)&gt;=7,MONTH(C1899)&lt;=9),3,4))))</f>
        <v>4</v>
      </c>
      <c r="D1900" s="1"/>
      <c r="E1900" s="92" t="s">
        <v>15990</v>
      </c>
      <c r="F1900" s="93"/>
    </row>
    <row r="1902" spans="1:10" ht="14.1" customHeight="1" x14ac:dyDescent="0.25">
      <c r="A1902" s="85" t="s">
        <v>15474</v>
      </c>
      <c r="B1902" s="85" t="s">
        <v>5027</v>
      </c>
      <c r="C1902" s="85" t="s">
        <v>17461</v>
      </c>
      <c r="D1902" s="85" t="s">
        <v>3935</v>
      </c>
      <c r="E1902" s="85" t="s">
        <v>10722</v>
      </c>
      <c r="F1902" s="85" t="s">
        <v>18237</v>
      </c>
    </row>
    <row r="1903" spans="1:10" ht="14.1" customHeight="1" x14ac:dyDescent="0.25">
      <c r="A1903" s="94" t="s">
        <v>507</v>
      </c>
      <c r="B1903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1903" s="95" t="str">
        <f>IFERROR(VLOOKUP("UD",'Informacion '!P:Q,2,FALSE),"")</f>
        <v>Unidad</v>
      </c>
      <c r="D1903" s="94">
        <v>5</v>
      </c>
      <c r="E1903" s="84">
        <v>735.5</v>
      </c>
      <c r="F1903" s="83">
        <f ca="1">INDIRECT(ADDRESS(ROW(),COLUMN()-2,4))*INDIRECT(ADDRESS(ROW(),COLUMN()-1,4))</f>
        <v>3677.5</v>
      </c>
    </row>
    <row r="1904" spans="1:10" ht="14.1" customHeight="1" x14ac:dyDescent="0.25">
      <c r="A1904" s="94" t="s">
        <v>7527</v>
      </c>
      <c r="B1904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904" s="95" t="str">
        <f>IFERROR(VLOOKUP("UD",'Informacion '!P:Q,2,FALSE),"")</f>
        <v>Unidad</v>
      </c>
      <c r="D1904" s="94">
        <v>8</v>
      </c>
      <c r="E1904" s="84">
        <v>14728.18</v>
      </c>
      <c r="F1904" s="83">
        <f ca="1">INDIRECT(ADDRESS(ROW(),COLUMN()-2,4))*INDIRECT(ADDRESS(ROW(),COLUMN()-1,4))</f>
        <v>117825.44</v>
      </c>
    </row>
    <row r="1905" spans="1:10" ht="14.1" customHeight="1" x14ac:dyDescent="0.25">
      <c r="A1905" s="94" t="s">
        <v>7527</v>
      </c>
      <c r="B1905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905" s="95" t="str">
        <f>IFERROR(VLOOKUP("UD",'Informacion '!P:Q,2,FALSE),"")</f>
        <v>Unidad</v>
      </c>
      <c r="D1905" s="94">
        <v>4</v>
      </c>
      <c r="E1905" s="84">
        <v>9163.86</v>
      </c>
      <c r="F1905" s="83">
        <f ca="1">INDIRECT(ADDRESS(ROW(),COLUMN()-2,4))*INDIRECT(ADDRESS(ROW(),COLUMN()-1,4))</f>
        <v>36655.440000000002</v>
      </c>
    </row>
    <row r="1906" spans="1:10" ht="14.1" customHeight="1" x14ac:dyDescent="0.25">
      <c r="E1906" s="96" t="s">
        <v>7213</v>
      </c>
      <c r="F1906" s="87">
        <f ca="1">SUM(Table77[MONTO TOTAL ESTIMADO])</f>
        <v>158158.38</v>
      </c>
      <c r="H1906" s="39" t="str">
        <f>C1896</f>
        <v>Bienes</v>
      </c>
      <c r="I1906" s="39" t="str">
        <f>E1896</f>
        <v>No</v>
      </c>
      <c r="J1906" s="39" t="str">
        <f>D1896</f>
        <v>Excepción - Bienes o servicios con exclusividad</v>
      </c>
    </row>
    <row r="1908" spans="1:10" ht="33.950000000000003" customHeight="1" x14ac:dyDescent="0.25">
      <c r="A1908" s="77" t="s">
        <v>17233</v>
      </c>
      <c r="B1908" s="77" t="s">
        <v>4237</v>
      </c>
      <c r="C1908" s="77" t="s">
        <v>4743</v>
      </c>
      <c r="D1908" s="77" t="s">
        <v>9891</v>
      </c>
      <c r="E1908" s="77" t="s">
        <v>3089</v>
      </c>
      <c r="F1908" s="77" t="s">
        <v>18141</v>
      </c>
    </row>
    <row r="1909" spans="1:10" ht="14.1" customHeight="1" x14ac:dyDescent="0.25">
      <c r="A1909" s="79" t="s">
        <v>8822</v>
      </c>
      <c r="B1909" s="79" t="s">
        <v>6119</v>
      </c>
      <c r="C1909" s="79" t="s">
        <v>17215</v>
      </c>
      <c r="D1909" s="79" t="s">
        <v>12255</v>
      </c>
      <c r="E1909" s="79" t="s">
        <v>18247</v>
      </c>
      <c r="F1909" s="79"/>
    </row>
    <row r="1910" spans="1:10" ht="14.1" customHeight="1" x14ac:dyDescent="0.25">
      <c r="A1910" s="2" t="s">
        <v>6643</v>
      </c>
      <c r="B1910" s="80" t="s">
        <v>1046</v>
      </c>
      <c r="C1910" s="90">
        <v>43467</v>
      </c>
      <c r="D1910" s="2" t="s">
        <v>59</v>
      </c>
      <c r="E1910" s="92" t="s">
        <v>20066</v>
      </c>
      <c r="F1910" s="93"/>
    </row>
    <row r="1911" spans="1:10" ht="14.1" customHeight="1" x14ac:dyDescent="0.25">
      <c r="A1911" s="1"/>
      <c r="B1911" s="80" t="s">
        <v>10788</v>
      </c>
      <c r="C1911" s="91">
        <f>IF(C1910="","",IF(AND(MONTH(C1910)&gt;=1,MONTH(C1910)&lt;=3),1,IF(AND(MONTH(C1910)&gt;=4,MONTH(C1910)&lt;=6),2,IF(AND(MONTH(C1910)&gt;=7,MONTH(C1910)&lt;=9),3,4))))</f>
        <v>1</v>
      </c>
      <c r="D1911" s="1"/>
      <c r="E1911" s="92" t="s">
        <v>14822</v>
      </c>
      <c r="F1911" s="93"/>
    </row>
    <row r="1912" spans="1:10" ht="14.1" customHeight="1" x14ac:dyDescent="0.25">
      <c r="A1912" s="1"/>
      <c r="B1912" s="80" t="s">
        <v>13758</v>
      </c>
      <c r="C1912" s="90">
        <v>43553</v>
      </c>
      <c r="D1912" s="1"/>
      <c r="E1912" s="92" t="s">
        <v>18636</v>
      </c>
      <c r="F1912" s="93"/>
    </row>
    <row r="1913" spans="1:10" ht="14.1" customHeight="1" x14ac:dyDescent="0.25">
      <c r="A1913" s="1"/>
      <c r="B1913" s="80" t="s">
        <v>10788</v>
      </c>
      <c r="C1913" s="91">
        <f>IF(C1912="","",IF(AND(MONTH(C1912)&gt;=1,MONTH(C1912)&lt;=3),1,IF(AND(MONTH(C1912)&gt;=4,MONTH(C1912)&lt;=6),2,IF(AND(MONTH(C1912)&gt;=7,MONTH(C1912)&lt;=9),3,4))))</f>
        <v>1</v>
      </c>
      <c r="D1913" s="1"/>
      <c r="E1913" s="92" t="s">
        <v>15990</v>
      </c>
      <c r="F1913" s="93"/>
    </row>
    <row r="1915" spans="1:10" ht="14.1" customHeight="1" x14ac:dyDescent="0.25">
      <c r="A1915" s="85" t="s">
        <v>15474</v>
      </c>
      <c r="B1915" s="85" t="s">
        <v>5027</v>
      </c>
      <c r="C1915" s="85" t="s">
        <v>17461</v>
      </c>
      <c r="D1915" s="85" t="s">
        <v>3935</v>
      </c>
      <c r="E1915" s="85" t="s">
        <v>10722</v>
      </c>
      <c r="F1915" s="85" t="s">
        <v>18237</v>
      </c>
    </row>
    <row r="1916" spans="1:10" ht="14.1" customHeight="1" x14ac:dyDescent="0.25">
      <c r="A1916" s="94" t="s">
        <v>7527</v>
      </c>
      <c r="B1916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916" s="95" t="str">
        <f>IFERROR(VLOOKUP("UD",'Informacion '!P:Q,2,FALSE),"")</f>
        <v>Unidad</v>
      </c>
      <c r="D1916" s="94">
        <v>6</v>
      </c>
      <c r="E1916" s="84">
        <v>12250</v>
      </c>
      <c r="F1916" s="83">
        <f ca="1">INDIRECT(ADDRESS(ROW(),COLUMN()-2,4))*INDIRECT(ADDRESS(ROW(),COLUMN()-1,4))</f>
        <v>73500</v>
      </c>
    </row>
    <row r="1917" spans="1:10" ht="14.1" customHeight="1" x14ac:dyDescent="0.25">
      <c r="A1917" s="94" t="s">
        <v>11513</v>
      </c>
      <c r="B1917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1917" s="95" t="str">
        <f>IFERROR(VLOOKUP("UD",'Informacion '!P:Q,2,FALSE),"")</f>
        <v>Unidad</v>
      </c>
      <c r="D1917" s="94">
        <v>51</v>
      </c>
      <c r="E1917" s="84">
        <v>10296</v>
      </c>
      <c r="F1917" s="83">
        <f ca="1">INDIRECT(ADDRESS(ROW(),COLUMN()-2,4))*INDIRECT(ADDRESS(ROW(),COLUMN()-1,4))</f>
        <v>525096</v>
      </c>
    </row>
    <row r="1918" spans="1:10" ht="14.1" customHeight="1" x14ac:dyDescent="0.25">
      <c r="A1918" s="94" t="s">
        <v>11513</v>
      </c>
      <c r="B1918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1918" s="95" t="str">
        <f>IFERROR(VLOOKUP("UD",'Informacion '!P:Q,2,FALSE),"")</f>
        <v>Unidad</v>
      </c>
      <c r="D1918" s="94">
        <v>59</v>
      </c>
      <c r="E1918" s="84">
        <v>864</v>
      </c>
      <c r="F1918" s="83">
        <f ca="1">INDIRECT(ADDRESS(ROW(),COLUMN()-2,4))*INDIRECT(ADDRESS(ROW(),COLUMN()-1,4))</f>
        <v>50976</v>
      </c>
    </row>
    <row r="1919" spans="1:10" ht="14.1" customHeight="1" x14ac:dyDescent="0.25">
      <c r="A1919" s="94" t="s">
        <v>18840</v>
      </c>
      <c r="B1919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919" s="95" t="str">
        <f>IFERROR(VLOOKUP("UD",'Informacion '!P:Q,2,FALSE),"")</f>
        <v>Unidad</v>
      </c>
      <c r="D1919" s="94">
        <v>321</v>
      </c>
      <c r="E1919" s="84">
        <v>308.88</v>
      </c>
      <c r="F1919" s="83">
        <f ca="1">INDIRECT(ADDRESS(ROW(),COLUMN()-2,4))*INDIRECT(ADDRESS(ROW(),COLUMN()-1,4))</f>
        <v>99150.48</v>
      </c>
    </row>
    <row r="1920" spans="1:10" ht="14.1" customHeight="1" x14ac:dyDescent="0.25">
      <c r="A1920" s="94" t="s">
        <v>18840</v>
      </c>
      <c r="B1920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920" s="95" t="str">
        <f>IFERROR(VLOOKUP("UD",'Informacion '!P:Q,2,FALSE),"")</f>
        <v>Unidad</v>
      </c>
      <c r="D1920" s="94">
        <v>559</v>
      </c>
      <c r="E1920" s="84">
        <v>208.86</v>
      </c>
      <c r="F1920" s="83">
        <f ca="1">INDIRECT(ADDRESS(ROW(),COLUMN()-2,4))*INDIRECT(ADDRESS(ROW(),COLUMN()-1,4))</f>
        <v>116752.74</v>
      </c>
    </row>
    <row r="1921" spans="1:10" ht="14.1" customHeight="1" x14ac:dyDescent="0.25">
      <c r="E1921" s="96" t="s">
        <v>7213</v>
      </c>
      <c r="F1921" s="87">
        <f ca="1">SUM(Table78[MONTO TOTAL ESTIMADO])</f>
        <v>865475.22</v>
      </c>
      <c r="H1921" s="39" t="str">
        <f>C1909</f>
        <v>Bienes</v>
      </c>
      <c r="I1921" s="39" t="str">
        <f>E1909</f>
        <v>No</v>
      </c>
      <c r="J1921" s="39" t="str">
        <f>D1909</f>
        <v>Excepción - Bienes o servicios con exclusividad</v>
      </c>
    </row>
    <row r="1923" spans="1:10" ht="33.950000000000003" customHeight="1" x14ac:dyDescent="0.25">
      <c r="A1923" s="77" t="s">
        <v>17233</v>
      </c>
      <c r="B1923" s="77" t="s">
        <v>4237</v>
      </c>
      <c r="C1923" s="77" t="s">
        <v>4743</v>
      </c>
      <c r="D1923" s="77" t="s">
        <v>9891</v>
      </c>
      <c r="E1923" s="77" t="s">
        <v>3089</v>
      </c>
      <c r="F1923" s="77" t="s">
        <v>18141</v>
      </c>
    </row>
    <row r="1924" spans="1:10" ht="14.1" customHeight="1" x14ac:dyDescent="0.25">
      <c r="A1924" s="79" t="s">
        <v>16911</v>
      </c>
      <c r="B1924" s="79" t="s">
        <v>10104</v>
      </c>
      <c r="C1924" s="79" t="s">
        <v>17215</v>
      </c>
      <c r="D1924" s="79" t="s">
        <v>17798</v>
      </c>
      <c r="E1924" s="79" t="s">
        <v>18247</v>
      </c>
      <c r="F1924" s="79"/>
    </row>
    <row r="1925" spans="1:10" ht="14.1" customHeight="1" x14ac:dyDescent="0.25">
      <c r="A1925" s="2" t="s">
        <v>6643</v>
      </c>
      <c r="B1925" s="80" t="s">
        <v>1046</v>
      </c>
      <c r="C1925" s="90">
        <v>43467</v>
      </c>
      <c r="D1925" s="2" t="s">
        <v>59</v>
      </c>
      <c r="E1925" s="92" t="s">
        <v>20066</v>
      </c>
      <c r="F1925" s="93" t="s">
        <v>5684</v>
      </c>
    </row>
    <row r="1926" spans="1:10" ht="14.1" customHeight="1" x14ac:dyDescent="0.25">
      <c r="A1926" s="1"/>
      <c r="B1926" s="80" t="s">
        <v>10788</v>
      </c>
      <c r="C1926" s="91">
        <f>IF(C1925="","",IF(AND(MONTH(C1925)&gt;=1,MONTH(C1925)&lt;=3),1,IF(AND(MONTH(C1925)&gt;=4,MONTH(C1925)&lt;=6),2,IF(AND(MONTH(C1925)&gt;=7,MONTH(C1925)&lt;=9),3,4))))</f>
        <v>1</v>
      </c>
      <c r="D1926" s="1"/>
      <c r="E1926" s="92" t="s">
        <v>14822</v>
      </c>
      <c r="F1926" s="93" t="s">
        <v>17690</v>
      </c>
    </row>
    <row r="1927" spans="1:10" ht="14.1" customHeight="1" x14ac:dyDescent="0.25">
      <c r="A1927" s="1"/>
      <c r="B1927" s="80" t="s">
        <v>13758</v>
      </c>
      <c r="C1927" s="90">
        <v>43553</v>
      </c>
      <c r="D1927" s="1"/>
      <c r="E1927" s="92" t="s">
        <v>18636</v>
      </c>
      <c r="F1927" s="93" t="s">
        <v>17690</v>
      </c>
    </row>
    <row r="1928" spans="1:10" ht="14.1" customHeight="1" x14ac:dyDescent="0.25">
      <c r="A1928" s="1"/>
      <c r="B1928" s="80" t="s">
        <v>10788</v>
      </c>
      <c r="C1928" s="91">
        <f>IF(C1927="","",IF(AND(MONTH(C1927)&gt;=1,MONTH(C1927)&lt;=3),1,IF(AND(MONTH(C1927)&gt;=4,MONTH(C1927)&lt;=6),2,IF(AND(MONTH(C1927)&gt;=7,MONTH(C1927)&lt;=9),3,4))))</f>
        <v>1</v>
      </c>
      <c r="D1928" s="1"/>
      <c r="E1928" s="92" t="s">
        <v>15990</v>
      </c>
      <c r="F1928" s="93"/>
    </row>
    <row r="1930" spans="1:10" ht="14.1" customHeight="1" x14ac:dyDescent="0.25">
      <c r="A1930" s="85" t="s">
        <v>15474</v>
      </c>
      <c r="B1930" s="85" t="s">
        <v>5027</v>
      </c>
      <c r="C1930" s="85" t="s">
        <v>17461</v>
      </c>
      <c r="D1930" s="85" t="s">
        <v>3935</v>
      </c>
      <c r="E1930" s="85" t="s">
        <v>10722</v>
      </c>
      <c r="F1930" s="85" t="s">
        <v>18237</v>
      </c>
    </row>
    <row r="1931" spans="1:10" ht="14.1" customHeight="1" x14ac:dyDescent="0.25">
      <c r="A1931" s="94" t="s">
        <v>16572</v>
      </c>
      <c r="B1931" s="82" t="str">
        <f ca="1">IFERROR(INDEX(UNSPSCDes,MATCH(INDIRECT(ADDRESS(ROW(),COLUMN()-1,4)),UNSPSCCode,0)),IF(INDIRECT(ADDRESS(ROW(),COLUMN()-1,4))="50131606","Huevos frescos",""))</f>
        <v>Huevos frescos</v>
      </c>
      <c r="C1931" s="95" t="str">
        <f>IFERROR(VLOOKUP("PAQ",'Informacion '!P:Q,2,FALSE),"")</f>
        <v>Paquete</v>
      </c>
      <c r="D1931" s="94">
        <v>510</v>
      </c>
      <c r="E1931" s="84">
        <v>139</v>
      </c>
      <c r="F1931" s="83">
        <f t="shared" ref="F1931:F1952" ca="1" si="85">INDIRECT(ADDRESS(ROW(),COLUMN()-2,4))*INDIRECT(ADDRESS(ROW(),COLUMN()-1,4))</f>
        <v>70890</v>
      </c>
    </row>
    <row r="1932" spans="1:10" ht="14.1" customHeight="1" x14ac:dyDescent="0.25">
      <c r="A1932" s="94" t="s">
        <v>7877</v>
      </c>
      <c r="B1932" s="82" t="str">
        <f ca="1">IFERROR(INDEX(UNSPSCDes,MATCH(INDIRECT(ADDRESS(ROW(),COLUMN()-1,4)),UNSPSCCode,0)),IF(INDIRECT(ADDRESS(ROW(),COLUMN()-1,4))="50131801","Queso natural",""))</f>
        <v>Queso natural</v>
      </c>
      <c r="C1932" s="95" t="str">
        <f>IFERROR(VLOOKUP("LB",'Informacion '!P:Q,2,FALSE),"")</f>
        <v>Libra </v>
      </c>
      <c r="D1932" s="94">
        <v>330</v>
      </c>
      <c r="E1932" s="84">
        <v>130</v>
      </c>
      <c r="F1932" s="83">
        <f t="shared" ca="1" si="85"/>
        <v>42900</v>
      </c>
    </row>
    <row r="1933" spans="1:10" ht="14.1" customHeight="1" x14ac:dyDescent="0.25">
      <c r="A1933" s="94" t="s">
        <v>7877</v>
      </c>
      <c r="B1933" s="82" t="str">
        <f ca="1">IFERROR(INDEX(UNSPSCDes,MATCH(INDIRECT(ADDRESS(ROW(),COLUMN()-1,4)),UNSPSCCode,0)),IF(INDIRECT(ADDRESS(ROW(),COLUMN()-1,4))="50131801","Queso natural",""))</f>
        <v>Queso natural</v>
      </c>
      <c r="C1933" s="95" t="str">
        <f>IFERROR(VLOOKUP("LB",'Informacion '!P:Q,2,FALSE),"")</f>
        <v>Libra </v>
      </c>
      <c r="D1933" s="94">
        <v>500</v>
      </c>
      <c r="E1933" s="84">
        <v>250</v>
      </c>
      <c r="F1933" s="83">
        <f t="shared" ca="1" si="85"/>
        <v>125000</v>
      </c>
    </row>
    <row r="1934" spans="1:10" ht="14.1" customHeight="1" x14ac:dyDescent="0.25">
      <c r="A1934" s="94" t="s">
        <v>7877</v>
      </c>
      <c r="B1934" s="82" t="str">
        <f ca="1">IFERROR(INDEX(UNSPSCDes,MATCH(INDIRECT(ADDRESS(ROW(),COLUMN()-1,4)),UNSPSCCode,0)),IF(INDIRECT(ADDRESS(ROW(),COLUMN()-1,4))="50131801","Queso natural",""))</f>
        <v>Queso natural</v>
      </c>
      <c r="C1934" s="95" t="str">
        <f>IFERROR(VLOOKUP("LB",'Informacion '!P:Q,2,FALSE),"")</f>
        <v>Libra </v>
      </c>
      <c r="D1934" s="94">
        <v>330</v>
      </c>
      <c r="E1934" s="84">
        <v>177</v>
      </c>
      <c r="F1934" s="83">
        <f t="shared" ca="1" si="85"/>
        <v>58410</v>
      </c>
    </row>
    <row r="1935" spans="1:10" ht="14.1" customHeight="1" x14ac:dyDescent="0.25">
      <c r="A1935" s="94" t="s">
        <v>7269</v>
      </c>
      <c r="B1935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35" s="95" t="str">
        <f>IFERROR(VLOOKUP("UD",'Informacion '!P:Q,2,FALSE),"")</f>
        <v>Unidad</v>
      </c>
      <c r="D1935" s="94">
        <v>70</v>
      </c>
      <c r="E1935" s="84">
        <v>202</v>
      </c>
      <c r="F1935" s="83">
        <f t="shared" ca="1" si="85"/>
        <v>14140</v>
      </c>
    </row>
    <row r="1936" spans="1:10" ht="14.1" customHeight="1" x14ac:dyDescent="0.25">
      <c r="A1936" s="94" t="s">
        <v>7269</v>
      </c>
      <c r="B1936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36" s="95" t="str">
        <f>IFERROR(VLOOKUP("L",'Informacion '!P:Q,2,FALSE),"")</f>
        <v>Litro</v>
      </c>
      <c r="D1936" s="94">
        <v>70</v>
      </c>
      <c r="E1936" s="84">
        <v>352</v>
      </c>
      <c r="F1936" s="83">
        <f t="shared" ca="1" si="85"/>
        <v>24640</v>
      </c>
    </row>
    <row r="1937" spans="1:6" ht="14.1" customHeight="1" x14ac:dyDescent="0.25">
      <c r="A1937" s="94" t="s">
        <v>7269</v>
      </c>
      <c r="B1937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37" s="95" t="str">
        <f>IFERROR(VLOOKUP("UD",'Informacion '!P:Q,2,FALSE),"")</f>
        <v>Unidad</v>
      </c>
      <c r="D1937" s="94">
        <v>100</v>
      </c>
      <c r="E1937" s="84">
        <v>213.2</v>
      </c>
      <c r="F1937" s="83">
        <f t="shared" ca="1" si="85"/>
        <v>21320</v>
      </c>
    </row>
    <row r="1938" spans="1:6" ht="14.1" customHeight="1" x14ac:dyDescent="0.25">
      <c r="A1938" s="94" t="s">
        <v>8347</v>
      </c>
      <c r="B1938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938" s="95" t="str">
        <f>IFERROR(VLOOKUP("PAQ",'Informacion '!P:Q,2,FALSE),"")</f>
        <v>Paquete</v>
      </c>
      <c r="D1938" s="94">
        <v>400</v>
      </c>
      <c r="E1938" s="84">
        <v>26</v>
      </c>
      <c r="F1938" s="83">
        <f t="shared" ca="1" si="85"/>
        <v>10400</v>
      </c>
    </row>
    <row r="1939" spans="1:6" ht="14.1" customHeight="1" x14ac:dyDescent="0.25">
      <c r="A1939" s="94" t="s">
        <v>8347</v>
      </c>
      <c r="B1939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939" s="95" t="str">
        <f>IFERROR(VLOOKUP("UD",'Informacion '!P:Q,2,FALSE),"")</f>
        <v>Unidad</v>
      </c>
      <c r="D1939" s="94">
        <v>400</v>
      </c>
      <c r="E1939" s="84">
        <v>26</v>
      </c>
      <c r="F1939" s="83">
        <f t="shared" ca="1" si="85"/>
        <v>10400</v>
      </c>
    </row>
    <row r="1940" spans="1:6" ht="14.1" customHeight="1" x14ac:dyDescent="0.25">
      <c r="A1940" s="94" t="s">
        <v>7877</v>
      </c>
      <c r="B1940" s="82" t="str">
        <f ca="1">IFERROR(INDEX(UNSPSCDes,MATCH(INDIRECT(ADDRESS(ROW(),COLUMN()-1,4)),UNSPSCCode,0)),IF(INDIRECT(ADDRESS(ROW(),COLUMN()-1,4))="50131801","Queso natural",""))</f>
        <v>Queso natural</v>
      </c>
      <c r="C1940" s="95" t="str">
        <f>IFERROR(VLOOKUP("UD",'Informacion '!P:Q,2,FALSE),"")</f>
        <v>Unidad</v>
      </c>
      <c r="D1940" s="94">
        <v>80</v>
      </c>
      <c r="E1940" s="84">
        <v>117</v>
      </c>
      <c r="F1940" s="83">
        <f t="shared" ca="1" si="85"/>
        <v>9360</v>
      </c>
    </row>
    <row r="1941" spans="1:6" ht="14.1" customHeight="1" x14ac:dyDescent="0.25">
      <c r="A1941" s="94" t="s">
        <v>7877</v>
      </c>
      <c r="B1941" s="82" t="str">
        <f ca="1">IFERROR(INDEX(UNSPSCDes,MATCH(INDIRECT(ADDRESS(ROW(),COLUMN()-1,4)),UNSPSCCode,0)),IF(INDIRECT(ADDRESS(ROW(),COLUMN()-1,4))="50131801","Queso natural",""))</f>
        <v>Queso natural</v>
      </c>
      <c r="C1941" s="95" t="str">
        <f>IFERROR(VLOOKUP("UD",'Informacion '!P:Q,2,FALSE),"")</f>
        <v>Unidad</v>
      </c>
      <c r="D1941" s="94">
        <v>26</v>
      </c>
      <c r="E1941" s="84">
        <v>625</v>
      </c>
      <c r="F1941" s="83">
        <f t="shared" ca="1" si="85"/>
        <v>16250</v>
      </c>
    </row>
    <row r="1942" spans="1:6" ht="14.1" customHeight="1" x14ac:dyDescent="0.25">
      <c r="A1942" s="94" t="s">
        <v>7269</v>
      </c>
      <c r="B1942" s="82" t="str">
        <f t="shared" ref="B1942:B1949" ca="1" si="86">IFERROR(INDEX(UNSPSCDes,MATCH(INDIRECT(ADDRESS(ROW(),COLUMN()-1,4)),UNSPSCCode,0)),IF(INDIRECT(ADDRESS(ROW(),COLUMN()-1,4))="50131701","Productos de leche o mantequilla frescos",""))</f>
        <v>Productos de leche o mantequilla frescos</v>
      </c>
      <c r="C1942" s="95" t="str">
        <f>IFERROR(VLOOKUP("UD",'Informacion '!P:Q,2,FALSE),"")</f>
        <v>Unidad</v>
      </c>
      <c r="D1942" s="94">
        <v>3300</v>
      </c>
      <c r="E1942" s="84">
        <v>60</v>
      </c>
      <c r="F1942" s="83">
        <f t="shared" ca="1" si="85"/>
        <v>198000</v>
      </c>
    </row>
    <row r="1943" spans="1:6" ht="14.1" customHeight="1" x14ac:dyDescent="0.25">
      <c r="A1943" s="94" t="s">
        <v>7269</v>
      </c>
      <c r="B1943" s="82" t="str">
        <f t="shared" ca="1" si="86"/>
        <v>Productos de leche o mantequilla frescos</v>
      </c>
      <c r="C1943" s="95" t="str">
        <f>IFERROR(VLOOKUP("UD",'Informacion '!P:Q,2,FALSE),"")</f>
        <v>Unidad</v>
      </c>
      <c r="D1943" s="94">
        <v>800</v>
      </c>
      <c r="E1943" s="84">
        <v>60</v>
      </c>
      <c r="F1943" s="83">
        <f t="shared" ca="1" si="85"/>
        <v>48000</v>
      </c>
    </row>
    <row r="1944" spans="1:6" ht="14.1" customHeight="1" x14ac:dyDescent="0.25">
      <c r="A1944" s="94" t="s">
        <v>7269</v>
      </c>
      <c r="B1944" s="82" t="str">
        <f t="shared" ca="1" si="86"/>
        <v>Productos de leche o mantequilla frescos</v>
      </c>
      <c r="C1944" s="95" t="str">
        <f>IFERROR(VLOOKUP("UD",'Informacion '!P:Q,2,FALSE),"")</f>
        <v>Unidad</v>
      </c>
      <c r="D1944" s="94">
        <v>1110</v>
      </c>
      <c r="E1944" s="84">
        <v>59.58</v>
      </c>
      <c r="F1944" s="83">
        <f t="shared" ca="1" si="85"/>
        <v>66133.8</v>
      </c>
    </row>
    <row r="1945" spans="1:6" ht="14.1" customHeight="1" x14ac:dyDescent="0.25">
      <c r="A1945" s="94" t="s">
        <v>7269</v>
      </c>
      <c r="B1945" s="82" t="str">
        <f t="shared" ca="1" si="86"/>
        <v>Productos de leche o mantequilla frescos</v>
      </c>
      <c r="C1945" s="95" t="str">
        <f>IFERROR(VLOOKUP("UD",'Informacion '!P:Q,2,FALSE),"")</f>
        <v>Unidad</v>
      </c>
      <c r="D1945" s="94">
        <v>320</v>
      </c>
      <c r="E1945" s="84">
        <v>136</v>
      </c>
      <c r="F1945" s="83">
        <f t="shared" ca="1" si="85"/>
        <v>43520</v>
      </c>
    </row>
    <row r="1946" spans="1:6" ht="14.1" customHeight="1" x14ac:dyDescent="0.25">
      <c r="A1946" s="94" t="s">
        <v>7269</v>
      </c>
      <c r="B1946" s="82" t="str">
        <f t="shared" ca="1" si="86"/>
        <v>Productos de leche o mantequilla frescos</v>
      </c>
      <c r="C1946" s="95" t="str">
        <f>IFERROR(VLOOKUP("UD",'Informacion '!P:Q,2,FALSE),"")</f>
        <v>Unidad</v>
      </c>
      <c r="D1946" s="94">
        <v>320</v>
      </c>
      <c r="E1946" s="84">
        <v>50.67</v>
      </c>
      <c r="F1946" s="83">
        <f t="shared" ca="1" si="85"/>
        <v>16214.400000000001</v>
      </c>
    </row>
    <row r="1947" spans="1:6" ht="14.1" customHeight="1" x14ac:dyDescent="0.25">
      <c r="A1947" s="94" t="s">
        <v>7269</v>
      </c>
      <c r="B1947" s="82" t="str">
        <f t="shared" ca="1" si="86"/>
        <v>Productos de leche o mantequilla frescos</v>
      </c>
      <c r="C1947" s="95" t="str">
        <f>IFERROR(VLOOKUP("UD",'Informacion '!P:Q,2,FALSE),"")</f>
        <v>Unidad</v>
      </c>
      <c r="D1947" s="94">
        <v>160</v>
      </c>
      <c r="E1947" s="84">
        <v>125</v>
      </c>
      <c r="F1947" s="83">
        <f t="shared" ca="1" si="85"/>
        <v>20000</v>
      </c>
    </row>
    <row r="1948" spans="1:6" ht="14.1" customHeight="1" x14ac:dyDescent="0.25">
      <c r="A1948" s="94" t="s">
        <v>7269</v>
      </c>
      <c r="B1948" s="82" t="str">
        <f t="shared" ca="1" si="86"/>
        <v>Productos de leche o mantequilla frescos</v>
      </c>
      <c r="C1948" s="95" t="str">
        <f>IFERROR(VLOOKUP("UD",'Informacion '!P:Q,2,FALSE),"")</f>
        <v>Unidad</v>
      </c>
      <c r="D1948" s="94">
        <v>320</v>
      </c>
      <c r="E1948" s="84">
        <v>109</v>
      </c>
      <c r="F1948" s="83">
        <f t="shared" ca="1" si="85"/>
        <v>34880</v>
      </c>
    </row>
    <row r="1949" spans="1:6" ht="14.1" customHeight="1" x14ac:dyDescent="0.25">
      <c r="A1949" s="94" t="s">
        <v>7269</v>
      </c>
      <c r="B1949" s="82" t="str">
        <f t="shared" ca="1" si="86"/>
        <v>Productos de leche o mantequilla frescos</v>
      </c>
      <c r="C1949" s="95" t="str">
        <f>IFERROR(VLOOKUP("UD",'Informacion '!P:Q,2,FALSE),"")</f>
        <v>Unidad</v>
      </c>
      <c r="D1949" s="94">
        <v>635</v>
      </c>
      <c r="E1949" s="84">
        <v>48.98</v>
      </c>
      <c r="F1949" s="83">
        <f t="shared" ca="1" si="85"/>
        <v>31102.3</v>
      </c>
    </row>
    <row r="1950" spans="1:6" ht="14.1" customHeight="1" x14ac:dyDescent="0.25">
      <c r="A1950" s="94" t="s">
        <v>14817</v>
      </c>
      <c r="B1950" s="82" t="str">
        <f ca="1">IFERROR(INDEX(UNSPSCDes,MATCH(INDIRECT(ADDRESS(ROW(),COLUMN()-1,4)),UNSPSCCode,0)),IF(INDIRECT(ADDRESS(ROW(),COLUMN()-1,4))="50201714","Cremas no lácteas",""))</f>
        <v>Cremas no lácteas</v>
      </c>
      <c r="C1950" s="95" t="str">
        <f>IFERROR(VLOOKUP("UD",'Informacion '!P:Q,2,FALSE),"")</f>
        <v>Unidad</v>
      </c>
      <c r="D1950" s="94">
        <v>40</v>
      </c>
      <c r="E1950" s="84">
        <v>225</v>
      </c>
      <c r="F1950" s="83">
        <f t="shared" ca="1" si="85"/>
        <v>9000</v>
      </c>
    </row>
    <row r="1951" spans="1:6" ht="14.1" customHeight="1" x14ac:dyDescent="0.25">
      <c r="A1951" s="94" t="s">
        <v>14817</v>
      </c>
      <c r="B1951" s="82" t="str">
        <f ca="1">IFERROR(INDEX(UNSPSCDes,MATCH(INDIRECT(ADDRESS(ROW(),COLUMN()-1,4)),UNSPSCCode,0)),IF(INDIRECT(ADDRESS(ROW(),COLUMN()-1,4))="50201714","Cremas no lácteas",""))</f>
        <v>Cremas no lácteas</v>
      </c>
      <c r="C1951" s="95" t="str">
        <f>IFERROR(VLOOKUP("UD",'Informacion '!P:Q,2,FALSE),"")</f>
        <v>Unidad</v>
      </c>
      <c r="D1951" s="94">
        <v>15</v>
      </c>
      <c r="E1951" s="84">
        <v>2000</v>
      </c>
      <c r="F1951" s="83">
        <f t="shared" ca="1" si="85"/>
        <v>30000</v>
      </c>
    </row>
    <row r="1952" spans="1:6" ht="14.1" customHeight="1" x14ac:dyDescent="0.25">
      <c r="A1952" s="94" t="s">
        <v>7269</v>
      </c>
      <c r="B1952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52" s="95" t="str">
        <f>IFERROR(VLOOKUP("UD",'Informacion '!P:Q,2,FALSE),"")</f>
        <v>Unidad</v>
      </c>
      <c r="D1952" s="94">
        <v>10</v>
      </c>
      <c r="E1952" s="84">
        <v>554</v>
      </c>
      <c r="F1952" s="83">
        <f t="shared" ca="1" si="85"/>
        <v>5540</v>
      </c>
    </row>
    <row r="1953" spans="1:10" ht="14.1" customHeight="1" x14ac:dyDescent="0.25">
      <c r="E1953" s="96" t="s">
        <v>7213</v>
      </c>
      <c r="F1953" s="87">
        <f ca="1">SUM(Table79[MONTO TOTAL ESTIMADO])</f>
        <v>906100.50000000012</v>
      </c>
      <c r="H1953" s="39" t="str">
        <f>C1924</f>
        <v>Bienes</v>
      </c>
      <c r="I1953" s="39" t="str">
        <f>E1924</f>
        <v>No</v>
      </c>
      <c r="J1953" s="39" t="str">
        <f>D1924</f>
        <v>Compras Menores</v>
      </c>
    </row>
    <row r="1955" spans="1:10" ht="33.950000000000003" customHeight="1" x14ac:dyDescent="0.25">
      <c r="A1955" s="77" t="s">
        <v>17233</v>
      </c>
      <c r="B1955" s="77" t="s">
        <v>4237</v>
      </c>
      <c r="C1955" s="77" t="s">
        <v>4743</v>
      </c>
      <c r="D1955" s="77" t="s">
        <v>9891</v>
      </c>
      <c r="E1955" s="77" t="s">
        <v>3089</v>
      </c>
      <c r="F1955" s="77" t="s">
        <v>18141</v>
      </c>
    </row>
    <row r="1956" spans="1:10" ht="14.1" customHeight="1" x14ac:dyDescent="0.25">
      <c r="A1956" s="79" t="s">
        <v>16737</v>
      </c>
      <c r="B1956" s="79" t="s">
        <v>10104</v>
      </c>
      <c r="C1956" s="79" t="s">
        <v>17215</v>
      </c>
      <c r="D1956" s="79" t="s">
        <v>17798</v>
      </c>
      <c r="E1956" s="79" t="s">
        <v>18247</v>
      </c>
      <c r="F1956" s="79"/>
    </row>
    <row r="1957" spans="1:10" ht="14.1" customHeight="1" x14ac:dyDescent="0.25">
      <c r="A1957" s="2" t="s">
        <v>6643</v>
      </c>
      <c r="B1957" s="80" t="s">
        <v>1046</v>
      </c>
      <c r="C1957" s="90">
        <v>43557</v>
      </c>
      <c r="D1957" s="2" t="s">
        <v>59</v>
      </c>
      <c r="E1957" s="92" t="s">
        <v>20066</v>
      </c>
      <c r="F1957" s="93"/>
    </row>
    <row r="1958" spans="1:10" ht="14.1" customHeight="1" x14ac:dyDescent="0.25">
      <c r="A1958" s="1"/>
      <c r="B1958" s="80" t="s">
        <v>10788</v>
      </c>
      <c r="C1958" s="91">
        <f>IF(C1957="","",IF(AND(MONTH(C1957)&gt;=1,MONTH(C1957)&lt;=3),1,IF(AND(MONTH(C1957)&gt;=4,MONTH(C1957)&lt;=6),2,IF(AND(MONTH(C1957)&gt;=7,MONTH(C1957)&lt;=9),3,4))))</f>
        <v>2</v>
      </c>
      <c r="D1958" s="1"/>
      <c r="E1958" s="92" t="s">
        <v>14822</v>
      </c>
      <c r="F1958" s="93"/>
    </row>
    <row r="1959" spans="1:10" ht="14.1" customHeight="1" x14ac:dyDescent="0.25">
      <c r="A1959" s="1"/>
      <c r="B1959" s="80" t="s">
        <v>13758</v>
      </c>
      <c r="C1959" s="90">
        <v>43644</v>
      </c>
      <c r="D1959" s="1"/>
      <c r="E1959" s="92" t="s">
        <v>18636</v>
      </c>
      <c r="F1959" s="93"/>
    </row>
    <row r="1960" spans="1:10" ht="14.1" customHeight="1" x14ac:dyDescent="0.25">
      <c r="A1960" s="1"/>
      <c r="B1960" s="80" t="s">
        <v>10788</v>
      </c>
      <c r="C1960" s="91">
        <f>IF(C1959="","",IF(AND(MONTH(C1959)&gt;=1,MONTH(C1959)&lt;=3),1,IF(AND(MONTH(C1959)&gt;=4,MONTH(C1959)&lt;=6),2,IF(AND(MONTH(C1959)&gt;=7,MONTH(C1959)&lt;=9),3,4))))</f>
        <v>2</v>
      </c>
      <c r="D1960" s="1"/>
      <c r="E1960" s="92" t="s">
        <v>15990</v>
      </c>
      <c r="F1960" s="93"/>
    </row>
    <row r="1962" spans="1:10" ht="14.1" customHeight="1" x14ac:dyDescent="0.25">
      <c r="A1962" s="85" t="s">
        <v>15474</v>
      </c>
      <c r="B1962" s="85" t="s">
        <v>5027</v>
      </c>
      <c r="C1962" s="85" t="s">
        <v>17461</v>
      </c>
      <c r="D1962" s="85" t="s">
        <v>3935</v>
      </c>
      <c r="E1962" s="85" t="s">
        <v>10722</v>
      </c>
      <c r="F1962" s="85" t="s">
        <v>18237</v>
      </c>
    </row>
    <row r="1963" spans="1:10" ht="14.1" customHeight="1" x14ac:dyDescent="0.25">
      <c r="A1963" s="94" t="s">
        <v>16572</v>
      </c>
      <c r="B1963" s="82" t="str">
        <f ca="1">IFERROR(INDEX(UNSPSCDes,MATCH(INDIRECT(ADDRESS(ROW(),COLUMN()-1,4)),UNSPSCCode,0)),IF(INDIRECT(ADDRESS(ROW(),COLUMN()-1,4))="50131606","Huevos frescos",""))</f>
        <v>Huevos frescos</v>
      </c>
      <c r="C1963" s="95" t="str">
        <f>IFERROR(VLOOKUP("PAQ",'Informacion '!P:Q,2,FALSE),"")</f>
        <v>Paquete</v>
      </c>
      <c r="D1963" s="94">
        <v>510</v>
      </c>
      <c r="E1963" s="84">
        <v>139</v>
      </c>
      <c r="F1963" s="83">
        <f t="shared" ref="F1963:F1984" ca="1" si="87">INDIRECT(ADDRESS(ROW(),COLUMN()-2,4))*INDIRECT(ADDRESS(ROW(),COLUMN()-1,4))</f>
        <v>70890</v>
      </c>
    </row>
    <row r="1964" spans="1:10" ht="14.1" customHeight="1" x14ac:dyDescent="0.25">
      <c r="A1964" s="94" t="s">
        <v>7877</v>
      </c>
      <c r="B1964" s="82" t="str">
        <f ca="1">IFERROR(INDEX(UNSPSCDes,MATCH(INDIRECT(ADDRESS(ROW(),COLUMN()-1,4)),UNSPSCCode,0)),IF(INDIRECT(ADDRESS(ROW(),COLUMN()-1,4))="50131801","Queso natural",""))</f>
        <v>Queso natural</v>
      </c>
      <c r="C1964" s="95" t="str">
        <f>IFERROR(VLOOKUP("LB",'Informacion '!P:Q,2,FALSE),"")</f>
        <v>Libra </v>
      </c>
      <c r="D1964" s="94">
        <v>330</v>
      </c>
      <c r="E1964" s="84">
        <v>130</v>
      </c>
      <c r="F1964" s="83">
        <f t="shared" ca="1" si="87"/>
        <v>42900</v>
      </c>
    </row>
    <row r="1965" spans="1:10" ht="14.1" customHeight="1" x14ac:dyDescent="0.25">
      <c r="A1965" s="94" t="s">
        <v>7877</v>
      </c>
      <c r="B1965" s="82" t="str">
        <f ca="1">IFERROR(INDEX(UNSPSCDes,MATCH(INDIRECT(ADDRESS(ROW(),COLUMN()-1,4)),UNSPSCCode,0)),IF(INDIRECT(ADDRESS(ROW(),COLUMN()-1,4))="50131801","Queso natural",""))</f>
        <v>Queso natural</v>
      </c>
      <c r="C1965" s="95" t="str">
        <f>IFERROR(VLOOKUP("LB",'Informacion '!P:Q,2,FALSE),"")</f>
        <v>Libra </v>
      </c>
      <c r="D1965" s="94">
        <v>500</v>
      </c>
      <c r="E1965" s="84">
        <v>250</v>
      </c>
      <c r="F1965" s="83">
        <f t="shared" ca="1" si="87"/>
        <v>125000</v>
      </c>
    </row>
    <row r="1966" spans="1:10" ht="14.1" customHeight="1" x14ac:dyDescent="0.25">
      <c r="A1966" s="94" t="s">
        <v>7269</v>
      </c>
      <c r="B1966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66" s="95" t="str">
        <f>IFERROR(VLOOKUP("LB",'Informacion '!P:Q,2,FALSE),"")</f>
        <v>Libra </v>
      </c>
      <c r="D1966" s="94">
        <v>330</v>
      </c>
      <c r="E1966" s="84">
        <v>177</v>
      </c>
      <c r="F1966" s="83">
        <f t="shared" ca="1" si="87"/>
        <v>58410</v>
      </c>
    </row>
    <row r="1967" spans="1:10" ht="14.1" customHeight="1" x14ac:dyDescent="0.25">
      <c r="A1967" s="94" t="s">
        <v>7269</v>
      </c>
      <c r="B1967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67" s="95" t="str">
        <f>IFERROR(VLOOKUP("UD",'Informacion '!P:Q,2,FALSE),"")</f>
        <v>Unidad</v>
      </c>
      <c r="D1967" s="94">
        <v>70</v>
      </c>
      <c r="E1967" s="84">
        <v>202</v>
      </c>
      <c r="F1967" s="83">
        <f t="shared" ca="1" si="87"/>
        <v>14140</v>
      </c>
    </row>
    <row r="1968" spans="1:10" ht="14.1" customHeight="1" x14ac:dyDescent="0.25">
      <c r="A1968" s="94" t="s">
        <v>7269</v>
      </c>
      <c r="B1968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68" s="95" t="str">
        <f>IFERROR(VLOOKUP("UD",'Informacion '!P:Q,2,FALSE),"")</f>
        <v>Unidad</v>
      </c>
      <c r="D1968" s="94">
        <v>70</v>
      </c>
      <c r="E1968" s="84">
        <v>352</v>
      </c>
      <c r="F1968" s="83">
        <f t="shared" ca="1" si="87"/>
        <v>24640</v>
      </c>
    </row>
    <row r="1969" spans="1:6" ht="14.1" customHeight="1" x14ac:dyDescent="0.25">
      <c r="A1969" s="94" t="s">
        <v>8347</v>
      </c>
      <c r="B1969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969" s="95" t="str">
        <f>IFERROR(VLOOKUP("UD",'Informacion '!P:Q,2,FALSE),"")</f>
        <v>Unidad</v>
      </c>
      <c r="D1969" s="94">
        <v>100</v>
      </c>
      <c r="E1969" s="84">
        <v>213</v>
      </c>
      <c r="F1969" s="83">
        <f t="shared" ca="1" si="87"/>
        <v>21300</v>
      </c>
    </row>
    <row r="1970" spans="1:6" ht="14.1" customHeight="1" x14ac:dyDescent="0.25">
      <c r="A1970" s="94" t="s">
        <v>8347</v>
      </c>
      <c r="B1970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970" s="95" t="str">
        <f>IFERROR(VLOOKUP("UD",'Informacion '!P:Q,2,FALSE),"")</f>
        <v>Unidad</v>
      </c>
      <c r="D1970" s="94">
        <v>400</v>
      </c>
      <c r="E1970" s="84">
        <v>26</v>
      </c>
      <c r="F1970" s="83">
        <f t="shared" ca="1" si="87"/>
        <v>10400</v>
      </c>
    </row>
    <row r="1971" spans="1:6" ht="14.1" customHeight="1" x14ac:dyDescent="0.25">
      <c r="A1971" s="94" t="s">
        <v>7877</v>
      </c>
      <c r="B1971" s="82" t="str">
        <f ca="1">IFERROR(INDEX(UNSPSCDes,MATCH(INDIRECT(ADDRESS(ROW(),COLUMN()-1,4)),UNSPSCCode,0)),IF(INDIRECT(ADDRESS(ROW(),COLUMN()-1,4))="50131801","Queso natural",""))</f>
        <v>Queso natural</v>
      </c>
      <c r="C1971" s="95" t="str">
        <f>IFERROR(VLOOKUP("UD",'Informacion '!P:Q,2,FALSE),"")</f>
        <v>Unidad</v>
      </c>
      <c r="D1971" s="94">
        <v>400</v>
      </c>
      <c r="E1971" s="84">
        <v>26</v>
      </c>
      <c r="F1971" s="83">
        <f t="shared" ca="1" si="87"/>
        <v>10400</v>
      </c>
    </row>
    <row r="1972" spans="1:6" ht="14.1" customHeight="1" x14ac:dyDescent="0.25">
      <c r="A1972" s="94" t="s">
        <v>7877</v>
      </c>
      <c r="B1972" s="82" t="str">
        <f ca="1">IFERROR(INDEX(UNSPSCDes,MATCH(INDIRECT(ADDRESS(ROW(),COLUMN()-1,4)),UNSPSCCode,0)),IF(INDIRECT(ADDRESS(ROW(),COLUMN()-1,4))="50131801","Queso natural",""))</f>
        <v>Queso natural</v>
      </c>
      <c r="C1972" s="95" t="str">
        <f>IFERROR(VLOOKUP("UD",'Informacion '!P:Q,2,FALSE),"")</f>
        <v>Unidad</v>
      </c>
      <c r="D1972" s="94">
        <v>80</v>
      </c>
      <c r="E1972" s="84">
        <v>117</v>
      </c>
      <c r="F1972" s="83">
        <f t="shared" ca="1" si="87"/>
        <v>9360</v>
      </c>
    </row>
    <row r="1973" spans="1:6" ht="14.1" customHeight="1" x14ac:dyDescent="0.25">
      <c r="A1973" s="94" t="s">
        <v>7269</v>
      </c>
      <c r="B1973" s="82" t="str">
        <f t="shared" ref="B1973:B1980" ca="1" si="88">IFERROR(INDEX(UNSPSCDes,MATCH(INDIRECT(ADDRESS(ROW(),COLUMN()-1,4)),UNSPSCCode,0)),IF(INDIRECT(ADDRESS(ROW(),COLUMN()-1,4))="50131701","Productos de leche o mantequilla frescos",""))</f>
        <v>Productos de leche o mantequilla frescos</v>
      </c>
      <c r="C1973" s="95" t="str">
        <f>IFERROR(VLOOKUP("UD",'Informacion '!P:Q,2,FALSE),"")</f>
        <v>Unidad</v>
      </c>
      <c r="D1973" s="94">
        <v>26</v>
      </c>
      <c r="E1973" s="84">
        <v>625</v>
      </c>
      <c r="F1973" s="83">
        <f t="shared" ca="1" si="87"/>
        <v>16250</v>
      </c>
    </row>
    <row r="1974" spans="1:6" ht="14.1" customHeight="1" x14ac:dyDescent="0.25">
      <c r="A1974" s="94" t="s">
        <v>7269</v>
      </c>
      <c r="B1974" s="82" t="str">
        <f t="shared" ca="1" si="88"/>
        <v>Productos de leche o mantequilla frescos</v>
      </c>
      <c r="C1974" s="95" t="str">
        <f>IFERROR(VLOOKUP("UD",'Informacion '!P:Q,2,FALSE),"")</f>
        <v>Unidad</v>
      </c>
      <c r="D1974" s="94">
        <v>3300</v>
      </c>
      <c r="E1974" s="84">
        <v>60</v>
      </c>
      <c r="F1974" s="83">
        <f t="shared" ca="1" si="87"/>
        <v>198000</v>
      </c>
    </row>
    <row r="1975" spans="1:6" ht="14.1" customHeight="1" x14ac:dyDescent="0.25">
      <c r="A1975" s="94" t="s">
        <v>7269</v>
      </c>
      <c r="B1975" s="82" t="str">
        <f t="shared" ca="1" si="88"/>
        <v>Productos de leche o mantequilla frescos</v>
      </c>
      <c r="C1975" s="95" t="str">
        <f>IFERROR(VLOOKUP("UD",'Informacion '!P:Q,2,FALSE),"")</f>
        <v>Unidad</v>
      </c>
      <c r="D1975" s="94">
        <v>800</v>
      </c>
      <c r="E1975" s="84">
        <v>60</v>
      </c>
      <c r="F1975" s="83">
        <f t="shared" ca="1" si="87"/>
        <v>48000</v>
      </c>
    </row>
    <row r="1976" spans="1:6" ht="14.1" customHeight="1" x14ac:dyDescent="0.25">
      <c r="A1976" s="94" t="s">
        <v>7269</v>
      </c>
      <c r="B1976" s="82" t="str">
        <f t="shared" ca="1" si="88"/>
        <v>Productos de leche o mantequilla frescos</v>
      </c>
      <c r="C1976" s="95" t="str">
        <f>IFERROR(VLOOKUP("UD",'Informacion '!P:Q,2,FALSE),"")</f>
        <v>Unidad</v>
      </c>
      <c r="D1976" s="94">
        <v>1110</v>
      </c>
      <c r="E1976" s="84">
        <v>59.58</v>
      </c>
      <c r="F1976" s="83">
        <f t="shared" ca="1" si="87"/>
        <v>66133.8</v>
      </c>
    </row>
    <row r="1977" spans="1:6" ht="14.1" customHeight="1" x14ac:dyDescent="0.25">
      <c r="A1977" s="94" t="s">
        <v>7269</v>
      </c>
      <c r="B1977" s="82" t="str">
        <f t="shared" ca="1" si="88"/>
        <v>Productos de leche o mantequilla frescos</v>
      </c>
      <c r="C1977" s="95" t="str">
        <f>IFERROR(VLOOKUP("UD",'Informacion '!P:Q,2,FALSE),"")</f>
        <v>Unidad</v>
      </c>
      <c r="D1977" s="94">
        <v>320</v>
      </c>
      <c r="E1977" s="84">
        <v>136</v>
      </c>
      <c r="F1977" s="83">
        <f t="shared" ca="1" si="87"/>
        <v>43520</v>
      </c>
    </row>
    <row r="1978" spans="1:6" ht="14.1" customHeight="1" x14ac:dyDescent="0.25">
      <c r="A1978" s="94" t="s">
        <v>7269</v>
      </c>
      <c r="B1978" s="82" t="str">
        <f t="shared" ca="1" si="88"/>
        <v>Productos de leche o mantequilla frescos</v>
      </c>
      <c r="C1978" s="95" t="str">
        <f>IFERROR(VLOOKUP("UD",'Informacion '!P:Q,2,FALSE),"")</f>
        <v>Unidad</v>
      </c>
      <c r="D1978" s="94">
        <v>320</v>
      </c>
      <c r="E1978" s="84">
        <v>50.67</v>
      </c>
      <c r="F1978" s="83">
        <f t="shared" ca="1" si="87"/>
        <v>16214.400000000001</v>
      </c>
    </row>
    <row r="1979" spans="1:6" ht="14.1" customHeight="1" x14ac:dyDescent="0.25">
      <c r="A1979" s="94" t="s">
        <v>7269</v>
      </c>
      <c r="B1979" s="82" t="str">
        <f t="shared" ca="1" si="88"/>
        <v>Productos de leche o mantequilla frescos</v>
      </c>
      <c r="C1979" s="95" t="str">
        <f>IFERROR(VLOOKUP("UD",'Informacion '!P:Q,2,FALSE),"")</f>
        <v>Unidad</v>
      </c>
      <c r="D1979" s="94">
        <v>160</v>
      </c>
      <c r="E1979" s="84">
        <v>125</v>
      </c>
      <c r="F1979" s="83">
        <f t="shared" ca="1" si="87"/>
        <v>20000</v>
      </c>
    </row>
    <row r="1980" spans="1:6" ht="14.1" customHeight="1" x14ac:dyDescent="0.25">
      <c r="A1980" s="94" t="s">
        <v>7269</v>
      </c>
      <c r="B1980" s="82" t="str">
        <f t="shared" ca="1" si="88"/>
        <v>Productos de leche o mantequilla frescos</v>
      </c>
      <c r="C1980" s="95" t="str">
        <f>IFERROR(VLOOKUP("UD",'Informacion '!P:Q,2,FALSE),"")</f>
        <v>Unidad</v>
      </c>
      <c r="D1980" s="94">
        <v>320</v>
      </c>
      <c r="E1980" s="84">
        <v>109</v>
      </c>
      <c r="F1980" s="83">
        <f t="shared" ca="1" si="87"/>
        <v>34880</v>
      </c>
    </row>
    <row r="1981" spans="1:6" ht="14.1" customHeight="1" x14ac:dyDescent="0.25">
      <c r="A1981" s="94" t="s">
        <v>14817</v>
      </c>
      <c r="B1981" s="82" t="str">
        <f ca="1">IFERROR(INDEX(UNSPSCDes,MATCH(INDIRECT(ADDRESS(ROW(),COLUMN()-1,4)),UNSPSCCode,0)),IF(INDIRECT(ADDRESS(ROW(),COLUMN()-1,4))="50201714","Cremas no lácteas",""))</f>
        <v>Cremas no lácteas</v>
      </c>
      <c r="C1981" s="95" t="str">
        <f>IFERROR(VLOOKUP("UD",'Informacion '!P:Q,2,FALSE),"")</f>
        <v>Unidad</v>
      </c>
      <c r="D1981" s="94">
        <v>635</v>
      </c>
      <c r="E1981" s="84">
        <v>48.98</v>
      </c>
      <c r="F1981" s="83">
        <f t="shared" ca="1" si="87"/>
        <v>31102.3</v>
      </c>
    </row>
    <row r="1982" spans="1:6" ht="14.1" customHeight="1" x14ac:dyDescent="0.25">
      <c r="A1982" s="94" t="s">
        <v>14817</v>
      </c>
      <c r="B1982" s="82" t="str">
        <f ca="1">IFERROR(INDEX(UNSPSCDes,MATCH(INDIRECT(ADDRESS(ROW(),COLUMN()-1,4)),UNSPSCCode,0)),IF(INDIRECT(ADDRESS(ROW(),COLUMN()-1,4))="50201714","Cremas no lácteas",""))</f>
        <v>Cremas no lácteas</v>
      </c>
      <c r="C1982" s="95" t="str">
        <f>IFERROR(VLOOKUP("UD",'Informacion '!P:Q,2,FALSE),"")</f>
        <v>Unidad</v>
      </c>
      <c r="D1982" s="94">
        <v>40</v>
      </c>
      <c r="E1982" s="84">
        <v>225</v>
      </c>
      <c r="F1982" s="83">
        <f t="shared" ca="1" si="87"/>
        <v>9000</v>
      </c>
    </row>
    <row r="1983" spans="1:6" ht="14.1" customHeight="1" x14ac:dyDescent="0.25">
      <c r="A1983" s="94" t="s">
        <v>7269</v>
      </c>
      <c r="B1983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83" s="95" t="str">
        <f>IFERROR(VLOOKUP("UD",'Informacion '!P:Q,2,FALSE),"")</f>
        <v>Unidad</v>
      </c>
      <c r="D1983" s="94">
        <v>15</v>
      </c>
      <c r="E1983" s="84">
        <v>2000</v>
      </c>
      <c r="F1983" s="83">
        <f t="shared" ca="1" si="87"/>
        <v>30000</v>
      </c>
    </row>
    <row r="1984" spans="1:6" ht="14.1" customHeight="1" x14ac:dyDescent="0.25">
      <c r="A1984" s="94" t="s">
        <v>7269</v>
      </c>
      <c r="B1984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84" s="95" t="str">
        <f>IFERROR(VLOOKUP("UD",'Informacion '!P:Q,2,FALSE),"")</f>
        <v>Unidad</v>
      </c>
      <c r="D1984" s="94">
        <v>10</v>
      </c>
      <c r="E1984" s="84">
        <v>554</v>
      </c>
      <c r="F1984" s="83">
        <f t="shared" ca="1" si="87"/>
        <v>5540</v>
      </c>
    </row>
    <row r="1985" spans="1:10" ht="14.1" customHeight="1" x14ac:dyDescent="0.25">
      <c r="E1985" s="96" t="s">
        <v>7213</v>
      </c>
      <c r="F1985" s="87">
        <f ca="1">SUM(Table80[MONTO TOTAL ESTIMADO])</f>
        <v>906080.50000000012</v>
      </c>
      <c r="H1985" s="39" t="str">
        <f>C1956</f>
        <v>Bienes</v>
      </c>
      <c r="I1985" s="39" t="str">
        <f>E1956</f>
        <v>No</v>
      </c>
      <c r="J1985" s="39" t="str">
        <f>D1956</f>
        <v>Compras Menores</v>
      </c>
    </row>
    <row r="1987" spans="1:10" ht="33.950000000000003" customHeight="1" x14ac:dyDescent="0.25">
      <c r="A1987" s="77" t="s">
        <v>17233</v>
      </c>
      <c r="B1987" s="77" t="s">
        <v>4237</v>
      </c>
      <c r="C1987" s="77" t="s">
        <v>4743</v>
      </c>
      <c r="D1987" s="77" t="s">
        <v>9891</v>
      </c>
      <c r="E1987" s="77" t="s">
        <v>3089</v>
      </c>
      <c r="F1987" s="77" t="s">
        <v>18141</v>
      </c>
    </row>
    <row r="1988" spans="1:10" ht="14.1" customHeight="1" x14ac:dyDescent="0.25">
      <c r="A1988" s="79" t="s">
        <v>16797</v>
      </c>
      <c r="B1988" s="79" t="s">
        <v>17889</v>
      </c>
      <c r="C1988" s="79" t="s">
        <v>17215</v>
      </c>
      <c r="D1988" s="79" t="s">
        <v>17798</v>
      </c>
      <c r="E1988" s="79" t="s">
        <v>18247</v>
      </c>
      <c r="F1988" s="79"/>
    </row>
    <row r="1989" spans="1:10" ht="14.1" customHeight="1" x14ac:dyDescent="0.25">
      <c r="A1989" s="2" t="s">
        <v>6643</v>
      </c>
      <c r="B1989" s="80" t="s">
        <v>1046</v>
      </c>
      <c r="C1989" s="90">
        <v>43648</v>
      </c>
      <c r="D1989" s="2" t="s">
        <v>59</v>
      </c>
      <c r="E1989" s="92" t="s">
        <v>20066</v>
      </c>
      <c r="F1989" s="93"/>
    </row>
    <row r="1990" spans="1:10" ht="14.1" customHeight="1" x14ac:dyDescent="0.25">
      <c r="A1990" s="1"/>
      <c r="B1990" s="80" t="s">
        <v>10788</v>
      </c>
      <c r="C1990" s="91">
        <f>IF(C1989="","",IF(AND(MONTH(C1989)&gt;=1,MONTH(C1989)&lt;=3),1,IF(AND(MONTH(C1989)&gt;=4,MONTH(C1989)&lt;=6),2,IF(AND(MONTH(C1989)&gt;=7,MONTH(C1989)&lt;=9),3,4))))</f>
        <v>3</v>
      </c>
      <c r="D1990" s="1"/>
      <c r="E1990" s="92" t="s">
        <v>14822</v>
      </c>
      <c r="F1990" s="93"/>
    </row>
    <row r="1991" spans="1:10" ht="14.1" customHeight="1" x14ac:dyDescent="0.25">
      <c r="A1991" s="1"/>
      <c r="B1991" s="80" t="s">
        <v>13758</v>
      </c>
      <c r="C1991" s="90">
        <v>43735</v>
      </c>
      <c r="D1991" s="1"/>
      <c r="E1991" s="92" t="s">
        <v>18636</v>
      </c>
      <c r="F1991" s="93"/>
    </row>
    <row r="1992" spans="1:10" ht="14.1" customHeight="1" x14ac:dyDescent="0.25">
      <c r="A1992" s="1"/>
      <c r="B1992" s="80" t="s">
        <v>10788</v>
      </c>
      <c r="C1992" s="91">
        <f>IF(C1991="","",IF(AND(MONTH(C1991)&gt;=1,MONTH(C1991)&lt;=3),1,IF(AND(MONTH(C1991)&gt;=4,MONTH(C1991)&lt;=6),2,IF(AND(MONTH(C1991)&gt;=7,MONTH(C1991)&lt;=9),3,4))))</f>
        <v>3</v>
      </c>
      <c r="D1992" s="1"/>
      <c r="E1992" s="92" t="s">
        <v>15990</v>
      </c>
      <c r="F1992" s="93"/>
    </row>
    <row r="1994" spans="1:10" ht="14.1" customHeight="1" x14ac:dyDescent="0.25">
      <c r="A1994" s="85" t="s">
        <v>15474</v>
      </c>
      <c r="B1994" s="85" t="s">
        <v>5027</v>
      </c>
      <c r="C1994" s="85" t="s">
        <v>17461</v>
      </c>
      <c r="D1994" s="85" t="s">
        <v>3935</v>
      </c>
      <c r="E1994" s="85" t="s">
        <v>10722</v>
      </c>
      <c r="F1994" s="85" t="s">
        <v>18237</v>
      </c>
    </row>
    <row r="1995" spans="1:10" ht="14.1" customHeight="1" x14ac:dyDescent="0.25">
      <c r="A1995" s="94" t="s">
        <v>16572</v>
      </c>
      <c r="B1995" s="82" t="str">
        <f ca="1">IFERROR(INDEX(UNSPSCDes,MATCH(INDIRECT(ADDRESS(ROW(),COLUMN()-1,4)),UNSPSCCode,0)),IF(INDIRECT(ADDRESS(ROW(),COLUMN()-1,4))="50131606","Huevos frescos",""))</f>
        <v>Huevos frescos</v>
      </c>
      <c r="C1995" s="95" t="str">
        <f>IFERROR(VLOOKUP("PAQ",'Informacion '!P:Q,2,FALSE),"")</f>
        <v>Paquete</v>
      </c>
      <c r="D1995" s="94">
        <v>510</v>
      </c>
      <c r="E1995" s="84">
        <v>139</v>
      </c>
      <c r="F1995" s="83">
        <f t="shared" ref="F1995:F2016" ca="1" si="89">INDIRECT(ADDRESS(ROW(),COLUMN()-2,4))*INDIRECT(ADDRESS(ROW(),COLUMN()-1,4))</f>
        <v>70890</v>
      </c>
    </row>
    <row r="1996" spans="1:10" ht="14.1" customHeight="1" x14ac:dyDescent="0.25">
      <c r="A1996" s="94" t="s">
        <v>7877</v>
      </c>
      <c r="B1996" s="82" t="str">
        <f ca="1">IFERROR(INDEX(UNSPSCDes,MATCH(INDIRECT(ADDRESS(ROW(),COLUMN()-1,4)),UNSPSCCode,0)),IF(INDIRECT(ADDRESS(ROW(),COLUMN()-1,4))="50131801","Queso natural",""))</f>
        <v>Queso natural</v>
      </c>
      <c r="C1996" s="95" t="str">
        <f>IFERROR(VLOOKUP("LB",'Informacion '!P:Q,2,FALSE),"")</f>
        <v>Libra </v>
      </c>
      <c r="D1996" s="94">
        <v>330</v>
      </c>
      <c r="E1996" s="84">
        <v>130</v>
      </c>
      <c r="F1996" s="83">
        <f t="shared" ca="1" si="89"/>
        <v>42900</v>
      </c>
    </row>
    <row r="1997" spans="1:10" ht="14.1" customHeight="1" x14ac:dyDescent="0.25">
      <c r="A1997" s="94" t="s">
        <v>7877</v>
      </c>
      <c r="B1997" s="82" t="str">
        <f ca="1">IFERROR(INDEX(UNSPSCDes,MATCH(INDIRECT(ADDRESS(ROW(),COLUMN()-1,4)),UNSPSCCode,0)),IF(INDIRECT(ADDRESS(ROW(),COLUMN()-1,4))="50131801","Queso natural",""))</f>
        <v>Queso natural</v>
      </c>
      <c r="C1997" s="95" t="str">
        <f>IFERROR(VLOOKUP("LB",'Informacion '!P:Q,2,FALSE),"")</f>
        <v>Libra </v>
      </c>
      <c r="D1997" s="94">
        <v>500</v>
      </c>
      <c r="E1997" s="84">
        <v>250</v>
      </c>
      <c r="F1997" s="83">
        <f t="shared" ca="1" si="89"/>
        <v>125000</v>
      </c>
    </row>
    <row r="1998" spans="1:10" ht="14.1" customHeight="1" x14ac:dyDescent="0.25">
      <c r="A1998" s="94" t="s">
        <v>7877</v>
      </c>
      <c r="B1998" s="82" t="str">
        <f ca="1">IFERROR(INDEX(UNSPSCDes,MATCH(INDIRECT(ADDRESS(ROW(),COLUMN()-1,4)),UNSPSCCode,0)),IF(INDIRECT(ADDRESS(ROW(),COLUMN()-1,4))="50131801","Queso natural",""))</f>
        <v>Queso natural</v>
      </c>
      <c r="C1998" s="95" t="str">
        <f>IFERROR(VLOOKUP("LB",'Informacion '!P:Q,2,FALSE),"")</f>
        <v>Libra </v>
      </c>
      <c r="D1998" s="94">
        <v>330</v>
      </c>
      <c r="E1998" s="84">
        <v>177</v>
      </c>
      <c r="F1998" s="83">
        <f t="shared" ca="1" si="89"/>
        <v>58410</v>
      </c>
    </row>
    <row r="1999" spans="1:10" ht="14.1" customHeight="1" x14ac:dyDescent="0.25">
      <c r="A1999" s="94" t="s">
        <v>7269</v>
      </c>
      <c r="B1999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999" s="95" t="str">
        <f>IFERROR(VLOOKUP("UD",'Informacion '!P:Q,2,FALSE),"")</f>
        <v>Unidad</v>
      </c>
      <c r="D1999" s="94">
        <v>70</v>
      </c>
      <c r="E1999" s="84">
        <v>202</v>
      </c>
      <c r="F1999" s="83">
        <f t="shared" ca="1" si="89"/>
        <v>14140</v>
      </c>
    </row>
    <row r="2000" spans="1:10" ht="14.1" customHeight="1" x14ac:dyDescent="0.25">
      <c r="A2000" s="94" t="s">
        <v>7269</v>
      </c>
      <c r="B2000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00" s="95" t="str">
        <f>IFERROR(VLOOKUP("UD",'Informacion '!P:Q,2,FALSE),"")</f>
        <v>Unidad</v>
      </c>
      <c r="D2000" s="94">
        <v>70</v>
      </c>
      <c r="E2000" s="84">
        <v>352</v>
      </c>
      <c r="F2000" s="83">
        <f t="shared" ca="1" si="89"/>
        <v>24640</v>
      </c>
    </row>
    <row r="2001" spans="1:6" ht="14.1" customHeight="1" x14ac:dyDescent="0.25">
      <c r="A2001" s="94" t="s">
        <v>7269</v>
      </c>
      <c r="B2001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01" s="95" t="str">
        <f>IFERROR(VLOOKUP("UD",'Informacion '!P:Q,2,FALSE),"")</f>
        <v>Unidad</v>
      </c>
      <c r="D2001" s="94">
        <v>100</v>
      </c>
      <c r="E2001" s="84">
        <v>213</v>
      </c>
      <c r="F2001" s="83">
        <f t="shared" ca="1" si="89"/>
        <v>21300</v>
      </c>
    </row>
    <row r="2002" spans="1:6" ht="14.1" customHeight="1" x14ac:dyDescent="0.25">
      <c r="A2002" s="94" t="s">
        <v>8347</v>
      </c>
      <c r="B2002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2002" s="95" t="str">
        <f>IFERROR(VLOOKUP("UD",'Informacion '!P:Q,2,FALSE),"")</f>
        <v>Unidad</v>
      </c>
      <c r="D2002" s="94">
        <v>400</v>
      </c>
      <c r="E2002" s="84">
        <v>26</v>
      </c>
      <c r="F2002" s="83">
        <f t="shared" ca="1" si="89"/>
        <v>10400</v>
      </c>
    </row>
    <row r="2003" spans="1:6" ht="14.1" customHeight="1" x14ac:dyDescent="0.25">
      <c r="A2003" s="94" t="s">
        <v>8347</v>
      </c>
      <c r="B2003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2003" s="95" t="str">
        <f>IFERROR(VLOOKUP("UD",'Informacion '!P:Q,2,FALSE),"")</f>
        <v>Unidad</v>
      </c>
      <c r="D2003" s="94">
        <v>400</v>
      </c>
      <c r="E2003" s="84">
        <v>26</v>
      </c>
      <c r="F2003" s="83">
        <f t="shared" ca="1" si="89"/>
        <v>10400</v>
      </c>
    </row>
    <row r="2004" spans="1:6" ht="14.1" customHeight="1" x14ac:dyDescent="0.25">
      <c r="A2004" s="94" t="s">
        <v>7877</v>
      </c>
      <c r="B2004" s="82" t="str">
        <f ca="1">IFERROR(INDEX(UNSPSCDes,MATCH(INDIRECT(ADDRESS(ROW(),COLUMN()-1,4)),UNSPSCCode,0)),IF(INDIRECT(ADDRESS(ROW(),COLUMN()-1,4))="50131801","Queso natural",""))</f>
        <v>Queso natural</v>
      </c>
      <c r="C2004" s="95" t="str">
        <f>IFERROR(VLOOKUP("UD",'Informacion '!P:Q,2,FALSE),"")</f>
        <v>Unidad</v>
      </c>
      <c r="D2004" s="94">
        <v>80</v>
      </c>
      <c r="E2004" s="84">
        <v>117</v>
      </c>
      <c r="F2004" s="83">
        <f t="shared" ca="1" si="89"/>
        <v>9360</v>
      </c>
    </row>
    <row r="2005" spans="1:6" ht="14.1" customHeight="1" x14ac:dyDescent="0.25">
      <c r="A2005" s="94" t="s">
        <v>7877</v>
      </c>
      <c r="B2005" s="82" t="str">
        <f ca="1">IFERROR(INDEX(UNSPSCDes,MATCH(INDIRECT(ADDRESS(ROW(),COLUMN()-1,4)),UNSPSCCode,0)),IF(INDIRECT(ADDRESS(ROW(),COLUMN()-1,4))="50131801","Queso natural",""))</f>
        <v>Queso natural</v>
      </c>
      <c r="C2005" s="95" t="str">
        <f>IFERROR(VLOOKUP("UD",'Informacion '!P:Q,2,FALSE),"")</f>
        <v>Unidad</v>
      </c>
      <c r="D2005" s="94">
        <v>26</v>
      </c>
      <c r="E2005" s="84">
        <v>625</v>
      </c>
      <c r="F2005" s="83">
        <f t="shared" ca="1" si="89"/>
        <v>16250</v>
      </c>
    </row>
    <row r="2006" spans="1:6" ht="14.1" customHeight="1" x14ac:dyDescent="0.25">
      <c r="A2006" s="94" t="s">
        <v>7269</v>
      </c>
      <c r="B2006" s="82" t="str">
        <f t="shared" ref="B2006:B2013" ca="1" si="90">IFERROR(INDEX(UNSPSCDes,MATCH(INDIRECT(ADDRESS(ROW(),COLUMN()-1,4)),UNSPSCCode,0)),IF(INDIRECT(ADDRESS(ROW(),COLUMN()-1,4))="50131701","Productos de leche o mantequilla frescos",""))</f>
        <v>Productos de leche o mantequilla frescos</v>
      </c>
      <c r="C2006" s="95" t="str">
        <f>IFERROR(VLOOKUP("UD",'Informacion '!P:Q,2,FALSE),"")</f>
        <v>Unidad</v>
      </c>
      <c r="D2006" s="94">
        <v>3300</v>
      </c>
      <c r="E2006" s="84">
        <v>60</v>
      </c>
      <c r="F2006" s="83">
        <f t="shared" ca="1" si="89"/>
        <v>198000</v>
      </c>
    </row>
    <row r="2007" spans="1:6" ht="14.1" customHeight="1" x14ac:dyDescent="0.25">
      <c r="A2007" s="94" t="s">
        <v>7269</v>
      </c>
      <c r="B2007" s="82" t="str">
        <f t="shared" ca="1" si="90"/>
        <v>Productos de leche o mantequilla frescos</v>
      </c>
      <c r="C2007" s="95" t="str">
        <f>IFERROR(VLOOKUP("UD",'Informacion '!P:Q,2,FALSE),"")</f>
        <v>Unidad</v>
      </c>
      <c r="D2007" s="94">
        <v>800</v>
      </c>
      <c r="E2007" s="84">
        <v>60</v>
      </c>
      <c r="F2007" s="83">
        <f t="shared" ca="1" si="89"/>
        <v>48000</v>
      </c>
    </row>
    <row r="2008" spans="1:6" ht="14.1" customHeight="1" x14ac:dyDescent="0.25">
      <c r="A2008" s="94" t="s">
        <v>7269</v>
      </c>
      <c r="B2008" s="82" t="str">
        <f t="shared" ca="1" si="90"/>
        <v>Productos de leche o mantequilla frescos</v>
      </c>
      <c r="C2008" s="95" t="str">
        <f>IFERROR(VLOOKUP("UD",'Informacion '!P:Q,2,FALSE),"")</f>
        <v>Unidad</v>
      </c>
      <c r="D2008" s="94">
        <v>1110</v>
      </c>
      <c r="E2008" s="84">
        <v>59.58</v>
      </c>
      <c r="F2008" s="83">
        <f t="shared" ca="1" si="89"/>
        <v>66133.8</v>
      </c>
    </row>
    <row r="2009" spans="1:6" ht="14.1" customHeight="1" x14ac:dyDescent="0.25">
      <c r="A2009" s="94" t="s">
        <v>7269</v>
      </c>
      <c r="B2009" s="82" t="str">
        <f t="shared" ca="1" si="90"/>
        <v>Productos de leche o mantequilla frescos</v>
      </c>
      <c r="C2009" s="95" t="str">
        <f>IFERROR(VLOOKUP("UD",'Informacion '!P:Q,2,FALSE),"")</f>
        <v>Unidad</v>
      </c>
      <c r="D2009" s="94">
        <v>320</v>
      </c>
      <c r="E2009" s="84">
        <v>136</v>
      </c>
      <c r="F2009" s="83">
        <f t="shared" ca="1" si="89"/>
        <v>43520</v>
      </c>
    </row>
    <row r="2010" spans="1:6" ht="14.1" customHeight="1" x14ac:dyDescent="0.25">
      <c r="A2010" s="94" t="s">
        <v>7269</v>
      </c>
      <c r="B2010" s="82" t="str">
        <f t="shared" ca="1" si="90"/>
        <v>Productos de leche o mantequilla frescos</v>
      </c>
      <c r="C2010" s="95" t="str">
        <f>IFERROR(VLOOKUP("UD",'Informacion '!P:Q,2,FALSE),"")</f>
        <v>Unidad</v>
      </c>
      <c r="D2010" s="94">
        <v>320</v>
      </c>
      <c r="E2010" s="84">
        <v>50.67</v>
      </c>
      <c r="F2010" s="83">
        <f t="shared" ca="1" si="89"/>
        <v>16214.400000000001</v>
      </c>
    </row>
    <row r="2011" spans="1:6" ht="14.1" customHeight="1" x14ac:dyDescent="0.25">
      <c r="A2011" s="94" t="s">
        <v>7269</v>
      </c>
      <c r="B2011" s="82" t="str">
        <f t="shared" ca="1" si="90"/>
        <v>Productos de leche o mantequilla frescos</v>
      </c>
      <c r="C2011" s="95" t="str">
        <f>IFERROR(VLOOKUP("UD",'Informacion '!P:Q,2,FALSE),"")</f>
        <v>Unidad</v>
      </c>
      <c r="D2011" s="94">
        <v>160</v>
      </c>
      <c r="E2011" s="84">
        <v>125</v>
      </c>
      <c r="F2011" s="83">
        <f t="shared" ca="1" si="89"/>
        <v>20000</v>
      </c>
    </row>
    <row r="2012" spans="1:6" ht="14.1" customHeight="1" x14ac:dyDescent="0.25">
      <c r="A2012" s="94" t="s">
        <v>7269</v>
      </c>
      <c r="B2012" s="82" t="str">
        <f t="shared" ca="1" si="90"/>
        <v>Productos de leche o mantequilla frescos</v>
      </c>
      <c r="C2012" s="95" t="str">
        <f>IFERROR(VLOOKUP("UD",'Informacion '!P:Q,2,FALSE),"")</f>
        <v>Unidad</v>
      </c>
      <c r="D2012" s="94">
        <v>320</v>
      </c>
      <c r="E2012" s="84">
        <v>109</v>
      </c>
      <c r="F2012" s="83">
        <f t="shared" ca="1" si="89"/>
        <v>34880</v>
      </c>
    </row>
    <row r="2013" spans="1:6" ht="14.1" customHeight="1" x14ac:dyDescent="0.25">
      <c r="A2013" s="94" t="s">
        <v>7269</v>
      </c>
      <c r="B2013" s="82" t="str">
        <f t="shared" ca="1" si="90"/>
        <v>Productos de leche o mantequilla frescos</v>
      </c>
      <c r="C2013" s="95" t="str">
        <f>IFERROR(VLOOKUP("UD",'Informacion '!P:Q,2,FALSE),"")</f>
        <v>Unidad</v>
      </c>
      <c r="D2013" s="94">
        <v>635</v>
      </c>
      <c r="E2013" s="84">
        <v>48.98</v>
      </c>
      <c r="F2013" s="83">
        <f t="shared" ca="1" si="89"/>
        <v>31102.3</v>
      </c>
    </row>
    <row r="2014" spans="1:6" ht="14.1" customHeight="1" x14ac:dyDescent="0.25">
      <c r="A2014" s="94" t="s">
        <v>14817</v>
      </c>
      <c r="B2014" s="82" t="str">
        <f ca="1">IFERROR(INDEX(UNSPSCDes,MATCH(INDIRECT(ADDRESS(ROW(),COLUMN()-1,4)),UNSPSCCode,0)),IF(INDIRECT(ADDRESS(ROW(),COLUMN()-1,4))="50201714","Cremas no lácteas",""))</f>
        <v>Cremas no lácteas</v>
      </c>
      <c r="C2014" s="95" t="str">
        <f>IFERROR(VLOOKUP("UD",'Informacion '!P:Q,2,FALSE),"")</f>
        <v>Unidad</v>
      </c>
      <c r="D2014" s="94">
        <v>40</v>
      </c>
      <c r="E2014" s="84">
        <v>225</v>
      </c>
      <c r="F2014" s="83">
        <f t="shared" ca="1" si="89"/>
        <v>9000</v>
      </c>
    </row>
    <row r="2015" spans="1:6" ht="14.1" customHeight="1" x14ac:dyDescent="0.25">
      <c r="A2015" s="94" t="s">
        <v>14817</v>
      </c>
      <c r="B2015" s="82" t="str">
        <f ca="1">IFERROR(INDEX(UNSPSCDes,MATCH(INDIRECT(ADDRESS(ROW(),COLUMN()-1,4)),UNSPSCCode,0)),IF(INDIRECT(ADDRESS(ROW(),COLUMN()-1,4))="50201714","Cremas no lácteas",""))</f>
        <v>Cremas no lácteas</v>
      </c>
      <c r="C2015" s="95" t="str">
        <f>IFERROR(VLOOKUP("UD",'Informacion '!P:Q,2,FALSE),"")</f>
        <v>Unidad</v>
      </c>
      <c r="D2015" s="94">
        <v>15</v>
      </c>
      <c r="E2015" s="84">
        <v>2000</v>
      </c>
      <c r="F2015" s="83">
        <f t="shared" ca="1" si="89"/>
        <v>30000</v>
      </c>
    </row>
    <row r="2016" spans="1:6" ht="14.1" customHeight="1" x14ac:dyDescent="0.25">
      <c r="A2016" s="94" t="s">
        <v>7269</v>
      </c>
      <c r="B2016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16" s="95" t="str">
        <f>IFERROR(VLOOKUP("UD",'Informacion '!P:Q,2,FALSE),"")</f>
        <v>Unidad</v>
      </c>
      <c r="D2016" s="94">
        <v>10</v>
      </c>
      <c r="E2016" s="84">
        <v>554</v>
      </c>
      <c r="F2016" s="83">
        <f t="shared" ca="1" si="89"/>
        <v>5540</v>
      </c>
    </row>
    <row r="2017" spans="1:10" ht="14.1" customHeight="1" x14ac:dyDescent="0.25">
      <c r="E2017" s="96" t="s">
        <v>7213</v>
      </c>
      <c r="F2017" s="87">
        <f ca="1">SUM(Table81[MONTO TOTAL ESTIMADO])</f>
        <v>906080.50000000012</v>
      </c>
      <c r="H2017" s="39" t="str">
        <f>C1988</f>
        <v>Bienes</v>
      </c>
      <c r="I2017" s="39" t="str">
        <f>E1988</f>
        <v>No</v>
      </c>
      <c r="J2017" s="39" t="str">
        <f>D1988</f>
        <v>Compras Menores</v>
      </c>
    </row>
    <row r="2019" spans="1:10" ht="33.950000000000003" customHeight="1" x14ac:dyDescent="0.25">
      <c r="A2019" s="77" t="s">
        <v>17233</v>
      </c>
      <c r="B2019" s="77" t="s">
        <v>4237</v>
      </c>
      <c r="C2019" s="77" t="s">
        <v>4743</v>
      </c>
      <c r="D2019" s="77" t="s">
        <v>9891</v>
      </c>
      <c r="E2019" s="77" t="s">
        <v>3089</v>
      </c>
      <c r="F2019" s="77" t="s">
        <v>18141</v>
      </c>
    </row>
    <row r="2020" spans="1:10" ht="14.1" customHeight="1" x14ac:dyDescent="0.25">
      <c r="A2020" s="79" t="s">
        <v>14978</v>
      </c>
      <c r="B2020" s="79" t="s">
        <v>204</v>
      </c>
      <c r="C2020" s="79" t="s">
        <v>17215</v>
      </c>
      <c r="D2020" s="79" t="s">
        <v>12255</v>
      </c>
      <c r="E2020" s="79" t="s">
        <v>18247</v>
      </c>
      <c r="F2020" s="79"/>
    </row>
    <row r="2021" spans="1:10" ht="14.1" customHeight="1" x14ac:dyDescent="0.25">
      <c r="A2021" s="2" t="s">
        <v>6643</v>
      </c>
      <c r="B2021" s="80" t="s">
        <v>1046</v>
      </c>
      <c r="C2021" s="90">
        <v>43556</v>
      </c>
      <c r="D2021" s="2" t="s">
        <v>59</v>
      </c>
      <c r="E2021" s="92" t="s">
        <v>20066</v>
      </c>
      <c r="F2021" s="93"/>
    </row>
    <row r="2022" spans="1:10" ht="14.1" customHeight="1" x14ac:dyDescent="0.25">
      <c r="A2022" s="1"/>
      <c r="B2022" s="80" t="s">
        <v>10788</v>
      </c>
      <c r="C2022" s="91">
        <f>IF(C2021="","",IF(AND(MONTH(C2021)&gt;=1,MONTH(C2021)&lt;=3),1,IF(AND(MONTH(C2021)&gt;=4,MONTH(C2021)&lt;=6),2,IF(AND(MONTH(C2021)&gt;=7,MONTH(C2021)&lt;=9),3,4))))</f>
        <v>2</v>
      </c>
      <c r="D2022" s="1"/>
      <c r="E2022" s="92" t="s">
        <v>14822</v>
      </c>
      <c r="F2022" s="93"/>
    </row>
    <row r="2023" spans="1:10" ht="14.1" customHeight="1" x14ac:dyDescent="0.25">
      <c r="A2023" s="1"/>
      <c r="B2023" s="80" t="s">
        <v>13758</v>
      </c>
      <c r="C2023" s="90">
        <v>43644</v>
      </c>
      <c r="D2023" s="1"/>
      <c r="E2023" s="92" t="s">
        <v>18636</v>
      </c>
      <c r="F2023" s="93"/>
    </row>
    <row r="2024" spans="1:10" ht="14.1" customHeight="1" x14ac:dyDescent="0.25">
      <c r="A2024" s="1"/>
      <c r="B2024" s="80" t="s">
        <v>10788</v>
      </c>
      <c r="C2024" s="91">
        <f>IF(C2023="","",IF(AND(MONTH(C2023)&gt;=1,MONTH(C2023)&lt;=3),1,IF(AND(MONTH(C2023)&gt;=4,MONTH(C2023)&lt;=6),2,IF(AND(MONTH(C2023)&gt;=7,MONTH(C2023)&lt;=9),3,4))))</f>
        <v>2</v>
      </c>
      <c r="D2024" s="1"/>
      <c r="E2024" s="92" t="s">
        <v>15990</v>
      </c>
      <c r="F2024" s="93"/>
    </row>
    <row r="2026" spans="1:10" ht="14.1" customHeight="1" x14ac:dyDescent="0.25">
      <c r="A2026" s="85" t="s">
        <v>15474</v>
      </c>
      <c r="B2026" s="85" t="s">
        <v>5027</v>
      </c>
      <c r="C2026" s="85" t="s">
        <v>17461</v>
      </c>
      <c r="D2026" s="85" t="s">
        <v>3935</v>
      </c>
      <c r="E2026" s="85" t="s">
        <v>10722</v>
      </c>
      <c r="F2026" s="85" t="s">
        <v>18237</v>
      </c>
    </row>
    <row r="2027" spans="1:10" ht="14.1" customHeight="1" x14ac:dyDescent="0.25">
      <c r="A2027" s="94" t="s">
        <v>7527</v>
      </c>
      <c r="B2027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2027" s="95" t="str">
        <f>IFERROR(VLOOKUP("UD",'Informacion '!P:Q,2,FALSE),"")</f>
        <v>Unidad</v>
      </c>
      <c r="D2027" s="94">
        <v>7</v>
      </c>
      <c r="E2027" s="84">
        <v>12250</v>
      </c>
      <c r="F2027" s="83">
        <f ca="1">INDIRECT(ADDRESS(ROW(),COLUMN()-2,4))*INDIRECT(ADDRESS(ROW(),COLUMN()-1,4))</f>
        <v>85750</v>
      </c>
    </row>
    <row r="2028" spans="1:10" ht="14.1" customHeight="1" x14ac:dyDescent="0.25">
      <c r="A2028" s="94" t="s">
        <v>11513</v>
      </c>
      <c r="B2028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2028" s="95" t="str">
        <f>IFERROR(VLOOKUP("UD",'Informacion '!P:Q,2,FALSE),"")</f>
        <v>Unidad</v>
      </c>
      <c r="D2028" s="94">
        <v>53</v>
      </c>
      <c r="E2028" s="84">
        <v>10296</v>
      </c>
      <c r="F2028" s="83">
        <f ca="1">INDIRECT(ADDRESS(ROW(),COLUMN()-2,4))*INDIRECT(ADDRESS(ROW(),COLUMN()-1,4))</f>
        <v>545688</v>
      </c>
    </row>
    <row r="2029" spans="1:10" ht="14.1" customHeight="1" x14ac:dyDescent="0.25">
      <c r="A2029" s="94" t="s">
        <v>11513</v>
      </c>
      <c r="B2029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2029" s="95" t="str">
        <f>IFERROR(VLOOKUP("UD",'Informacion '!P:Q,2,FALSE),"")</f>
        <v>Unidad</v>
      </c>
      <c r="D2029" s="94">
        <v>61</v>
      </c>
      <c r="E2029" s="84">
        <v>864</v>
      </c>
      <c r="F2029" s="83">
        <f ca="1">INDIRECT(ADDRESS(ROW(),COLUMN()-2,4))*INDIRECT(ADDRESS(ROW(),COLUMN()-1,4))</f>
        <v>52704</v>
      </c>
    </row>
    <row r="2030" spans="1:10" ht="14.1" customHeight="1" x14ac:dyDescent="0.25">
      <c r="A2030" s="94" t="s">
        <v>18840</v>
      </c>
      <c r="B2030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2030" s="95" t="str">
        <f>IFERROR(VLOOKUP("UD",'Informacion '!P:Q,2,FALSE),"")</f>
        <v>Unidad</v>
      </c>
      <c r="D2030" s="94">
        <v>328</v>
      </c>
      <c r="E2030" s="84">
        <v>308.88</v>
      </c>
      <c r="F2030" s="83">
        <f ca="1">INDIRECT(ADDRESS(ROW(),COLUMN()-2,4))*INDIRECT(ADDRESS(ROW(),COLUMN()-1,4))</f>
        <v>101312.64</v>
      </c>
    </row>
    <row r="2031" spans="1:10" ht="14.1" customHeight="1" x14ac:dyDescent="0.25">
      <c r="A2031" s="94" t="s">
        <v>18840</v>
      </c>
      <c r="B2031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2031" s="95" t="str">
        <f>IFERROR(VLOOKUP("UD",'Informacion '!P:Q,2,FALSE),"")</f>
        <v>Unidad</v>
      </c>
      <c r="D2031" s="94">
        <v>571</v>
      </c>
      <c r="E2031" s="84">
        <v>208.86</v>
      </c>
      <c r="F2031" s="83">
        <f ca="1">INDIRECT(ADDRESS(ROW(),COLUMN()-2,4))*INDIRECT(ADDRESS(ROW(),COLUMN()-1,4))</f>
        <v>119259.06000000001</v>
      </c>
    </row>
    <row r="2032" spans="1:10" ht="14.1" customHeight="1" x14ac:dyDescent="0.25">
      <c r="E2032" s="96" t="s">
        <v>7213</v>
      </c>
      <c r="F2032" s="87">
        <f ca="1">SUM(Table82[MONTO TOTAL ESTIMADO])</f>
        <v>904713.70000000007</v>
      </c>
      <c r="H2032" s="39" t="str">
        <f>C2020</f>
        <v>Bienes</v>
      </c>
      <c r="I2032" s="39" t="str">
        <f>E2020</f>
        <v>No</v>
      </c>
      <c r="J2032" s="39" t="str">
        <f>D2020</f>
        <v>Excepción - Bienes o servicios con exclusividad</v>
      </c>
    </row>
    <row r="2034" spans="1:6" ht="33.950000000000003" customHeight="1" x14ac:dyDescent="0.25">
      <c r="A2034" s="77" t="s">
        <v>17233</v>
      </c>
      <c r="B2034" s="77" t="s">
        <v>4237</v>
      </c>
      <c r="C2034" s="77" t="s">
        <v>4743</v>
      </c>
      <c r="D2034" s="77" t="s">
        <v>9891</v>
      </c>
      <c r="E2034" s="77" t="s">
        <v>3089</v>
      </c>
      <c r="F2034" s="77" t="s">
        <v>18141</v>
      </c>
    </row>
    <row r="2035" spans="1:6" ht="14.1" customHeight="1" x14ac:dyDescent="0.25">
      <c r="A2035" s="79" t="s">
        <v>18227</v>
      </c>
      <c r="B2035" s="79" t="s">
        <v>711</v>
      </c>
      <c r="C2035" s="79" t="s">
        <v>17215</v>
      </c>
      <c r="D2035" s="79" t="s">
        <v>17798</v>
      </c>
      <c r="E2035" s="79" t="s">
        <v>18247</v>
      </c>
      <c r="F2035" s="79"/>
    </row>
    <row r="2036" spans="1:6" ht="14.1" customHeight="1" x14ac:dyDescent="0.25">
      <c r="A2036" s="2" t="s">
        <v>6643</v>
      </c>
      <c r="B2036" s="80" t="s">
        <v>1046</v>
      </c>
      <c r="C2036" s="90">
        <v>43739</v>
      </c>
      <c r="D2036" s="2" t="s">
        <v>59</v>
      </c>
      <c r="E2036" s="92" t="s">
        <v>20066</v>
      </c>
      <c r="F2036" s="93"/>
    </row>
    <row r="2037" spans="1:6" ht="14.1" customHeight="1" x14ac:dyDescent="0.25">
      <c r="A2037" s="1"/>
      <c r="B2037" s="80" t="s">
        <v>10788</v>
      </c>
      <c r="C2037" s="91">
        <f>IF(C2036="","",IF(AND(MONTH(C2036)&gt;=1,MONTH(C2036)&lt;=3),1,IF(AND(MONTH(C2036)&gt;=4,MONTH(C2036)&lt;=6),2,IF(AND(MONTH(C2036)&gt;=7,MONTH(C2036)&lt;=9),3,4))))</f>
        <v>4</v>
      </c>
      <c r="D2037" s="1"/>
      <c r="E2037" s="92" t="s">
        <v>14822</v>
      </c>
      <c r="F2037" s="93"/>
    </row>
    <row r="2038" spans="1:6" ht="14.1" customHeight="1" x14ac:dyDescent="0.25">
      <c r="A2038" s="1"/>
      <c r="B2038" s="80" t="s">
        <v>13758</v>
      </c>
      <c r="C2038" s="90">
        <v>43829</v>
      </c>
      <c r="D2038" s="1"/>
      <c r="E2038" s="92" t="s">
        <v>18636</v>
      </c>
      <c r="F2038" s="93"/>
    </row>
    <row r="2039" spans="1:6" ht="14.1" customHeight="1" x14ac:dyDescent="0.25">
      <c r="A2039" s="1"/>
      <c r="B2039" s="80" t="s">
        <v>10788</v>
      </c>
      <c r="C2039" s="91">
        <f>IF(C2038="","",IF(AND(MONTH(C2038)&gt;=1,MONTH(C2038)&lt;=3),1,IF(AND(MONTH(C2038)&gt;=4,MONTH(C2038)&lt;=6),2,IF(AND(MONTH(C2038)&gt;=7,MONTH(C2038)&lt;=9),3,4))))</f>
        <v>4</v>
      </c>
      <c r="D2039" s="1"/>
      <c r="E2039" s="92" t="s">
        <v>15990</v>
      </c>
      <c r="F2039" s="93"/>
    </row>
    <row r="2041" spans="1:6" ht="14.1" customHeight="1" x14ac:dyDescent="0.25">
      <c r="A2041" s="85" t="s">
        <v>15474</v>
      </c>
      <c r="B2041" s="85" t="s">
        <v>5027</v>
      </c>
      <c r="C2041" s="85" t="s">
        <v>17461</v>
      </c>
      <c r="D2041" s="85" t="s">
        <v>3935</v>
      </c>
      <c r="E2041" s="85" t="s">
        <v>10722</v>
      </c>
      <c r="F2041" s="85" t="s">
        <v>18237</v>
      </c>
    </row>
    <row r="2042" spans="1:6" ht="14.1" customHeight="1" x14ac:dyDescent="0.25">
      <c r="A2042" s="94" t="s">
        <v>16572</v>
      </c>
      <c r="B2042" s="82" t="str">
        <f ca="1">IFERROR(INDEX(UNSPSCDes,MATCH(INDIRECT(ADDRESS(ROW(),COLUMN()-1,4)),UNSPSCCode,0)),IF(INDIRECT(ADDRESS(ROW(),COLUMN()-1,4))="50131606","Huevos frescos",""))</f>
        <v>Huevos frescos</v>
      </c>
      <c r="C2042" s="95" t="str">
        <f>IFERROR(VLOOKUP("PAQ",'Informacion '!P:Q,2,FALSE),"")</f>
        <v>Paquete</v>
      </c>
      <c r="D2042" s="94">
        <v>510</v>
      </c>
      <c r="E2042" s="84">
        <v>139</v>
      </c>
      <c r="F2042" s="83">
        <f t="shared" ref="F2042:F2063" ca="1" si="91">INDIRECT(ADDRESS(ROW(),COLUMN()-2,4))*INDIRECT(ADDRESS(ROW(),COLUMN()-1,4))</f>
        <v>70890</v>
      </c>
    </row>
    <row r="2043" spans="1:6" ht="14.1" customHeight="1" x14ac:dyDescent="0.25">
      <c r="A2043" s="94" t="s">
        <v>7877</v>
      </c>
      <c r="B2043" s="82" t="str">
        <f ca="1">IFERROR(INDEX(UNSPSCDes,MATCH(INDIRECT(ADDRESS(ROW(),COLUMN()-1,4)),UNSPSCCode,0)),IF(INDIRECT(ADDRESS(ROW(),COLUMN()-1,4))="50131801","Queso natural",""))</f>
        <v>Queso natural</v>
      </c>
      <c r="C2043" s="95" t="str">
        <f>IFERROR(VLOOKUP("LB",'Informacion '!P:Q,2,FALSE),"")</f>
        <v>Libra </v>
      </c>
      <c r="D2043" s="94">
        <v>330</v>
      </c>
      <c r="E2043" s="84">
        <v>130</v>
      </c>
      <c r="F2043" s="83">
        <f t="shared" ca="1" si="91"/>
        <v>42900</v>
      </c>
    </row>
    <row r="2044" spans="1:6" ht="14.1" customHeight="1" x14ac:dyDescent="0.25">
      <c r="A2044" s="94" t="s">
        <v>7877</v>
      </c>
      <c r="B2044" s="82" t="str">
        <f ca="1">IFERROR(INDEX(UNSPSCDes,MATCH(INDIRECT(ADDRESS(ROW(),COLUMN()-1,4)),UNSPSCCode,0)),IF(INDIRECT(ADDRESS(ROW(),COLUMN()-1,4))="50131801","Queso natural",""))</f>
        <v>Queso natural</v>
      </c>
      <c r="C2044" s="95" t="str">
        <f>IFERROR(VLOOKUP("LB",'Informacion '!P:Q,2,FALSE),"")</f>
        <v>Libra </v>
      </c>
      <c r="D2044" s="94">
        <v>500</v>
      </c>
      <c r="E2044" s="84">
        <v>250</v>
      </c>
      <c r="F2044" s="83">
        <f t="shared" ca="1" si="91"/>
        <v>125000</v>
      </c>
    </row>
    <row r="2045" spans="1:6" ht="14.1" customHeight="1" x14ac:dyDescent="0.25">
      <c r="A2045" s="94" t="s">
        <v>7877</v>
      </c>
      <c r="B2045" s="82" t="str">
        <f ca="1">IFERROR(INDEX(UNSPSCDes,MATCH(INDIRECT(ADDRESS(ROW(),COLUMN()-1,4)),UNSPSCCode,0)),IF(INDIRECT(ADDRESS(ROW(),COLUMN()-1,4))="50131801","Queso natural",""))</f>
        <v>Queso natural</v>
      </c>
      <c r="C2045" s="95" t="str">
        <f>IFERROR(VLOOKUP("LB",'Informacion '!P:Q,2,FALSE),"")</f>
        <v>Libra </v>
      </c>
      <c r="D2045" s="94">
        <v>330</v>
      </c>
      <c r="E2045" s="84">
        <v>177</v>
      </c>
      <c r="F2045" s="83">
        <f t="shared" ca="1" si="91"/>
        <v>58410</v>
      </c>
    </row>
    <row r="2046" spans="1:6" ht="14.1" customHeight="1" x14ac:dyDescent="0.25">
      <c r="A2046" s="94" t="s">
        <v>7269</v>
      </c>
      <c r="B2046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46" s="95" t="str">
        <f>IFERROR(VLOOKUP("UD",'Informacion '!P:Q,2,FALSE),"")</f>
        <v>Unidad</v>
      </c>
      <c r="D2046" s="94">
        <v>70</v>
      </c>
      <c r="E2046" s="84">
        <v>202</v>
      </c>
      <c r="F2046" s="83">
        <f t="shared" ca="1" si="91"/>
        <v>14140</v>
      </c>
    </row>
    <row r="2047" spans="1:6" ht="14.1" customHeight="1" x14ac:dyDescent="0.25">
      <c r="A2047" s="94" t="s">
        <v>7269</v>
      </c>
      <c r="B2047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47" s="95" t="str">
        <f>IFERROR(VLOOKUP("UD",'Informacion '!P:Q,2,FALSE),"")</f>
        <v>Unidad</v>
      </c>
      <c r="D2047" s="94">
        <v>70</v>
      </c>
      <c r="E2047" s="84">
        <v>352</v>
      </c>
      <c r="F2047" s="83">
        <f t="shared" ca="1" si="91"/>
        <v>24640</v>
      </c>
    </row>
    <row r="2048" spans="1:6" ht="14.1" customHeight="1" x14ac:dyDescent="0.25">
      <c r="A2048" s="94" t="s">
        <v>7269</v>
      </c>
      <c r="B2048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48" s="95" t="str">
        <f>IFERROR(VLOOKUP("UD",'Informacion '!P:Q,2,FALSE),"")</f>
        <v>Unidad</v>
      </c>
      <c r="D2048" s="94">
        <v>100</v>
      </c>
      <c r="E2048" s="84">
        <v>213.2</v>
      </c>
      <c r="F2048" s="83">
        <f t="shared" ca="1" si="91"/>
        <v>21320</v>
      </c>
    </row>
    <row r="2049" spans="1:10" ht="14.1" customHeight="1" x14ac:dyDescent="0.25">
      <c r="A2049" s="94" t="s">
        <v>8347</v>
      </c>
      <c r="B2049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2049" s="95" t="str">
        <f>IFERROR(VLOOKUP("UD",'Informacion '!P:Q,2,FALSE),"")</f>
        <v>Unidad</v>
      </c>
      <c r="D2049" s="94">
        <v>400</v>
      </c>
      <c r="E2049" s="84">
        <v>26</v>
      </c>
      <c r="F2049" s="83">
        <f t="shared" ca="1" si="91"/>
        <v>10400</v>
      </c>
    </row>
    <row r="2050" spans="1:10" ht="14.1" customHeight="1" x14ac:dyDescent="0.25">
      <c r="A2050" s="94" t="s">
        <v>8347</v>
      </c>
      <c r="B2050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2050" s="95" t="str">
        <f>IFERROR(VLOOKUP("UD",'Informacion '!P:Q,2,FALSE),"")</f>
        <v>Unidad</v>
      </c>
      <c r="D2050" s="94">
        <v>400</v>
      </c>
      <c r="E2050" s="84">
        <v>26</v>
      </c>
      <c r="F2050" s="83">
        <f t="shared" ca="1" si="91"/>
        <v>10400</v>
      </c>
    </row>
    <row r="2051" spans="1:10" ht="14.1" customHeight="1" x14ac:dyDescent="0.25">
      <c r="A2051" s="94" t="s">
        <v>7877</v>
      </c>
      <c r="B2051" s="82" t="str">
        <f ca="1">IFERROR(INDEX(UNSPSCDes,MATCH(INDIRECT(ADDRESS(ROW(),COLUMN()-1,4)),UNSPSCCode,0)),IF(INDIRECT(ADDRESS(ROW(),COLUMN()-1,4))="50131801","Queso natural",""))</f>
        <v>Queso natural</v>
      </c>
      <c r="C2051" s="95" t="str">
        <f>IFERROR(VLOOKUP("UD",'Informacion '!P:Q,2,FALSE),"")</f>
        <v>Unidad</v>
      </c>
      <c r="D2051" s="94">
        <v>80</v>
      </c>
      <c r="E2051" s="84">
        <v>117</v>
      </c>
      <c r="F2051" s="83">
        <f t="shared" ca="1" si="91"/>
        <v>9360</v>
      </c>
    </row>
    <row r="2052" spans="1:10" ht="14.1" customHeight="1" x14ac:dyDescent="0.25">
      <c r="A2052" s="94" t="s">
        <v>7877</v>
      </c>
      <c r="B2052" s="82" t="str">
        <f ca="1">IFERROR(INDEX(UNSPSCDes,MATCH(INDIRECT(ADDRESS(ROW(),COLUMN()-1,4)),UNSPSCCode,0)),IF(INDIRECT(ADDRESS(ROW(),COLUMN()-1,4))="50131801","Queso natural",""))</f>
        <v>Queso natural</v>
      </c>
      <c r="C2052" s="95" t="str">
        <f>IFERROR(VLOOKUP("UD",'Informacion '!P:Q,2,FALSE),"")</f>
        <v>Unidad</v>
      </c>
      <c r="D2052" s="94">
        <v>26</v>
      </c>
      <c r="E2052" s="84">
        <v>625</v>
      </c>
      <c r="F2052" s="83">
        <f t="shared" ca="1" si="91"/>
        <v>16250</v>
      </c>
    </row>
    <row r="2053" spans="1:10" ht="14.1" customHeight="1" x14ac:dyDescent="0.25">
      <c r="A2053" s="94" t="s">
        <v>7269</v>
      </c>
      <c r="B2053" s="82" t="str">
        <f t="shared" ref="B2053:B2060" ca="1" si="92">IFERROR(INDEX(UNSPSCDes,MATCH(INDIRECT(ADDRESS(ROW(),COLUMN()-1,4)),UNSPSCCode,0)),IF(INDIRECT(ADDRESS(ROW(),COLUMN()-1,4))="50131701","Productos de leche o mantequilla frescos",""))</f>
        <v>Productos de leche o mantequilla frescos</v>
      </c>
      <c r="C2053" s="95" t="str">
        <f>IFERROR(VLOOKUP("UD",'Informacion '!P:Q,2,FALSE),"")</f>
        <v>Unidad</v>
      </c>
      <c r="D2053" s="94">
        <v>3300</v>
      </c>
      <c r="E2053" s="84">
        <v>60</v>
      </c>
      <c r="F2053" s="83">
        <f t="shared" ca="1" si="91"/>
        <v>198000</v>
      </c>
    </row>
    <row r="2054" spans="1:10" ht="14.1" customHeight="1" x14ac:dyDescent="0.25">
      <c r="A2054" s="94" t="s">
        <v>7269</v>
      </c>
      <c r="B2054" s="82" t="str">
        <f t="shared" ca="1" si="92"/>
        <v>Productos de leche o mantequilla frescos</v>
      </c>
      <c r="C2054" s="95" t="str">
        <f>IFERROR(VLOOKUP("UD",'Informacion '!P:Q,2,FALSE),"")</f>
        <v>Unidad</v>
      </c>
      <c r="D2054" s="94">
        <v>800</v>
      </c>
      <c r="E2054" s="84">
        <v>60</v>
      </c>
      <c r="F2054" s="83">
        <f t="shared" ca="1" si="91"/>
        <v>48000</v>
      </c>
    </row>
    <row r="2055" spans="1:10" ht="14.1" customHeight="1" x14ac:dyDescent="0.25">
      <c r="A2055" s="94" t="s">
        <v>7269</v>
      </c>
      <c r="B2055" s="82" t="str">
        <f t="shared" ca="1" si="92"/>
        <v>Productos de leche o mantequilla frescos</v>
      </c>
      <c r="C2055" s="95" t="str">
        <f>IFERROR(VLOOKUP("UD",'Informacion '!P:Q,2,FALSE),"")</f>
        <v>Unidad</v>
      </c>
      <c r="D2055" s="94">
        <v>1110</v>
      </c>
      <c r="E2055" s="84">
        <v>59.58</v>
      </c>
      <c r="F2055" s="83">
        <f t="shared" ca="1" si="91"/>
        <v>66133.8</v>
      </c>
    </row>
    <row r="2056" spans="1:10" ht="14.1" customHeight="1" x14ac:dyDescent="0.25">
      <c r="A2056" s="94" t="s">
        <v>7269</v>
      </c>
      <c r="B2056" s="82" t="str">
        <f t="shared" ca="1" si="92"/>
        <v>Productos de leche o mantequilla frescos</v>
      </c>
      <c r="C2056" s="95" t="str">
        <f>IFERROR(VLOOKUP("UD",'Informacion '!P:Q,2,FALSE),"")</f>
        <v>Unidad</v>
      </c>
      <c r="D2056" s="94">
        <v>320</v>
      </c>
      <c r="E2056" s="84">
        <v>136</v>
      </c>
      <c r="F2056" s="83">
        <f t="shared" ca="1" si="91"/>
        <v>43520</v>
      </c>
    </row>
    <row r="2057" spans="1:10" ht="14.1" customHeight="1" x14ac:dyDescent="0.25">
      <c r="A2057" s="94" t="s">
        <v>7269</v>
      </c>
      <c r="B2057" s="82" t="str">
        <f t="shared" ca="1" si="92"/>
        <v>Productos de leche o mantequilla frescos</v>
      </c>
      <c r="C2057" s="95" t="str">
        <f>IFERROR(VLOOKUP("UD",'Informacion '!P:Q,2,FALSE),"")</f>
        <v>Unidad</v>
      </c>
      <c r="D2057" s="94">
        <v>320</v>
      </c>
      <c r="E2057" s="84">
        <v>50.67</v>
      </c>
      <c r="F2057" s="83">
        <f t="shared" ca="1" si="91"/>
        <v>16214.400000000001</v>
      </c>
    </row>
    <row r="2058" spans="1:10" ht="14.1" customHeight="1" x14ac:dyDescent="0.25">
      <c r="A2058" s="94" t="s">
        <v>7269</v>
      </c>
      <c r="B2058" s="82" t="str">
        <f t="shared" ca="1" si="92"/>
        <v>Productos de leche o mantequilla frescos</v>
      </c>
      <c r="C2058" s="95" t="str">
        <f>IFERROR(VLOOKUP("UD",'Informacion '!P:Q,2,FALSE),"")</f>
        <v>Unidad</v>
      </c>
      <c r="D2058" s="94">
        <v>160</v>
      </c>
      <c r="E2058" s="84">
        <v>125</v>
      </c>
      <c r="F2058" s="83">
        <f t="shared" ca="1" si="91"/>
        <v>20000</v>
      </c>
    </row>
    <row r="2059" spans="1:10" ht="14.1" customHeight="1" x14ac:dyDescent="0.25">
      <c r="A2059" s="94" t="s">
        <v>7269</v>
      </c>
      <c r="B2059" s="82" t="str">
        <f t="shared" ca="1" si="92"/>
        <v>Productos de leche o mantequilla frescos</v>
      </c>
      <c r="C2059" s="95" t="str">
        <f>IFERROR(VLOOKUP("UD",'Informacion '!P:Q,2,FALSE),"")</f>
        <v>Unidad</v>
      </c>
      <c r="D2059" s="94">
        <v>320</v>
      </c>
      <c r="E2059" s="84">
        <v>109</v>
      </c>
      <c r="F2059" s="83">
        <f t="shared" ca="1" si="91"/>
        <v>34880</v>
      </c>
    </row>
    <row r="2060" spans="1:10" ht="14.1" customHeight="1" x14ac:dyDescent="0.25">
      <c r="A2060" s="94" t="s">
        <v>7269</v>
      </c>
      <c r="B2060" s="82" t="str">
        <f t="shared" ca="1" si="92"/>
        <v>Productos de leche o mantequilla frescos</v>
      </c>
      <c r="C2060" s="95" t="str">
        <f>IFERROR(VLOOKUP("UD",'Informacion '!P:Q,2,FALSE),"")</f>
        <v>Unidad</v>
      </c>
      <c r="D2060" s="94">
        <v>635</v>
      </c>
      <c r="E2060" s="84">
        <v>48.98</v>
      </c>
      <c r="F2060" s="83">
        <f t="shared" ca="1" si="91"/>
        <v>31102.3</v>
      </c>
    </row>
    <row r="2061" spans="1:10" ht="14.1" customHeight="1" x14ac:dyDescent="0.25">
      <c r="A2061" s="94" t="s">
        <v>14817</v>
      </c>
      <c r="B2061" s="82" t="str">
        <f ca="1">IFERROR(INDEX(UNSPSCDes,MATCH(INDIRECT(ADDRESS(ROW(),COLUMN()-1,4)),UNSPSCCode,0)),IF(INDIRECT(ADDRESS(ROW(),COLUMN()-1,4))="50201714","Cremas no lácteas",""))</f>
        <v>Cremas no lácteas</v>
      </c>
      <c r="C2061" s="95" t="str">
        <f>IFERROR(VLOOKUP("UD",'Informacion '!P:Q,2,FALSE),"")</f>
        <v>Unidad</v>
      </c>
      <c r="D2061" s="94">
        <v>40</v>
      </c>
      <c r="E2061" s="84">
        <v>225</v>
      </c>
      <c r="F2061" s="83">
        <f t="shared" ca="1" si="91"/>
        <v>9000</v>
      </c>
    </row>
    <row r="2062" spans="1:10" ht="14.1" customHeight="1" x14ac:dyDescent="0.25">
      <c r="A2062" s="94" t="s">
        <v>14817</v>
      </c>
      <c r="B2062" s="82" t="str">
        <f ca="1">IFERROR(INDEX(UNSPSCDes,MATCH(INDIRECT(ADDRESS(ROW(),COLUMN()-1,4)),UNSPSCCode,0)),IF(INDIRECT(ADDRESS(ROW(),COLUMN()-1,4))="50201714","Cremas no lácteas",""))</f>
        <v>Cremas no lácteas</v>
      </c>
      <c r="C2062" s="95" t="str">
        <f>IFERROR(VLOOKUP("UD",'Informacion '!P:Q,2,FALSE),"")</f>
        <v>Unidad</v>
      </c>
      <c r="D2062" s="94">
        <v>15</v>
      </c>
      <c r="E2062" s="84">
        <v>2000</v>
      </c>
      <c r="F2062" s="83">
        <f t="shared" ca="1" si="91"/>
        <v>30000</v>
      </c>
    </row>
    <row r="2063" spans="1:10" ht="14.1" customHeight="1" x14ac:dyDescent="0.25">
      <c r="A2063" s="94" t="s">
        <v>7269</v>
      </c>
      <c r="B2063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2063" s="95" t="str">
        <f>IFERROR(VLOOKUP("UD",'Informacion '!P:Q,2,FALSE),"")</f>
        <v>Unidad</v>
      </c>
      <c r="D2063" s="94">
        <v>10</v>
      </c>
      <c r="E2063" s="84">
        <v>554</v>
      </c>
      <c r="F2063" s="83">
        <f t="shared" ca="1" si="91"/>
        <v>5540</v>
      </c>
    </row>
    <row r="2064" spans="1:10" ht="14.1" customHeight="1" x14ac:dyDescent="0.25">
      <c r="E2064" s="96" t="s">
        <v>7213</v>
      </c>
      <c r="F2064" s="87">
        <f ca="1">SUM(Table83[MONTO TOTAL ESTIMADO])</f>
        <v>906100.50000000012</v>
      </c>
      <c r="H2064" s="39" t="str">
        <f>C2035</f>
        <v>Bienes</v>
      </c>
      <c r="I2064" s="39" t="str">
        <f>E2035</f>
        <v>No</v>
      </c>
      <c r="J2064" s="39" t="str">
        <f>D2035</f>
        <v>Compras Menores</v>
      </c>
    </row>
    <row r="2066" spans="1:10" ht="33.950000000000003" customHeight="1" x14ac:dyDescent="0.25">
      <c r="A2066" s="77" t="s">
        <v>17233</v>
      </c>
      <c r="B2066" s="77" t="s">
        <v>4237</v>
      </c>
      <c r="C2066" s="77" t="s">
        <v>4743</v>
      </c>
      <c r="D2066" s="77" t="s">
        <v>9891</v>
      </c>
      <c r="E2066" s="77" t="s">
        <v>3089</v>
      </c>
      <c r="F2066" s="77" t="s">
        <v>18141</v>
      </c>
    </row>
    <row r="2067" spans="1:10" ht="14.1" customHeight="1" x14ac:dyDescent="0.25">
      <c r="A2067" s="79" t="s">
        <v>14977</v>
      </c>
      <c r="B2067" s="79" t="s">
        <v>204</v>
      </c>
      <c r="C2067" s="79" t="s">
        <v>17215</v>
      </c>
      <c r="D2067" s="79" t="s">
        <v>12255</v>
      </c>
      <c r="E2067" s="79" t="s">
        <v>18247</v>
      </c>
      <c r="F2067" s="79"/>
    </row>
    <row r="2068" spans="1:10" ht="14.1" customHeight="1" x14ac:dyDescent="0.25">
      <c r="A2068" s="2" t="s">
        <v>6643</v>
      </c>
      <c r="B2068" s="80" t="s">
        <v>1046</v>
      </c>
      <c r="C2068" s="90">
        <v>43647</v>
      </c>
      <c r="D2068" s="2" t="s">
        <v>59</v>
      </c>
      <c r="E2068" s="92" t="s">
        <v>20066</v>
      </c>
      <c r="F2068" s="93" t="s">
        <v>5684</v>
      </c>
    </row>
    <row r="2069" spans="1:10" ht="14.1" customHeight="1" x14ac:dyDescent="0.25">
      <c r="A2069" s="1"/>
      <c r="B2069" s="80" t="s">
        <v>10788</v>
      </c>
      <c r="C2069" s="91">
        <f>IF(C2068="","",IF(AND(MONTH(C2068)&gt;=1,MONTH(C2068)&lt;=3),1,IF(AND(MONTH(C2068)&gt;=4,MONTH(C2068)&lt;=6),2,IF(AND(MONTH(C2068)&gt;=7,MONTH(C2068)&lt;=9),3,4))))</f>
        <v>3</v>
      </c>
      <c r="D2069" s="1"/>
      <c r="E2069" s="92" t="s">
        <v>14822</v>
      </c>
      <c r="F2069" s="93"/>
    </row>
    <row r="2070" spans="1:10" ht="14.1" customHeight="1" x14ac:dyDescent="0.25">
      <c r="A2070" s="1"/>
      <c r="B2070" s="80" t="s">
        <v>13758</v>
      </c>
      <c r="C2070" s="90">
        <v>43738</v>
      </c>
      <c r="D2070" s="1"/>
      <c r="E2070" s="92" t="s">
        <v>18636</v>
      </c>
      <c r="F2070" s="93"/>
    </row>
    <row r="2071" spans="1:10" ht="14.1" customHeight="1" x14ac:dyDescent="0.25">
      <c r="A2071" s="1"/>
      <c r="B2071" s="80" t="s">
        <v>10788</v>
      </c>
      <c r="C2071" s="91">
        <f>IF(C2070="","",IF(AND(MONTH(C2070)&gt;=1,MONTH(C2070)&lt;=3),1,IF(AND(MONTH(C2070)&gt;=4,MONTH(C2070)&lt;=6),2,IF(AND(MONTH(C2070)&gt;=7,MONTH(C2070)&lt;=9),3,4))))</f>
        <v>3</v>
      </c>
      <c r="D2071" s="1"/>
      <c r="E2071" s="92" t="s">
        <v>15990</v>
      </c>
      <c r="F2071" s="93"/>
    </row>
    <row r="2073" spans="1:10" ht="14.1" customHeight="1" x14ac:dyDescent="0.25">
      <c r="A2073" s="85" t="s">
        <v>15474</v>
      </c>
      <c r="B2073" s="85" t="s">
        <v>5027</v>
      </c>
      <c r="C2073" s="85" t="s">
        <v>17461</v>
      </c>
      <c r="D2073" s="85" t="s">
        <v>3935</v>
      </c>
      <c r="E2073" s="85" t="s">
        <v>10722</v>
      </c>
      <c r="F2073" s="85" t="s">
        <v>18237</v>
      </c>
    </row>
    <row r="2074" spans="1:10" ht="14.1" customHeight="1" x14ac:dyDescent="0.25">
      <c r="A2074" s="94" t="s">
        <v>7527</v>
      </c>
      <c r="B2074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2074" s="95" t="str">
        <f>IFERROR(VLOOKUP("UD",'Informacion '!P:Q,2,FALSE),"")</f>
        <v>Unidad</v>
      </c>
      <c r="D2074" s="94">
        <v>8</v>
      </c>
      <c r="E2074" s="84">
        <v>12250</v>
      </c>
      <c r="F2074" s="83">
        <f ca="1">INDIRECT(ADDRESS(ROW(),COLUMN()-2,4))*INDIRECT(ADDRESS(ROW(),COLUMN()-1,4))</f>
        <v>98000</v>
      </c>
    </row>
    <row r="2075" spans="1:10" ht="14.1" customHeight="1" x14ac:dyDescent="0.25">
      <c r="A2075" s="94" t="s">
        <v>11513</v>
      </c>
      <c r="B2075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2075" s="95" t="str">
        <f>IFERROR(VLOOKUP("UD",'Informacion '!P:Q,2,FALSE),"")</f>
        <v>Unidad</v>
      </c>
      <c r="D2075" s="94">
        <v>55</v>
      </c>
      <c r="E2075" s="84">
        <v>10296</v>
      </c>
      <c r="F2075" s="83">
        <f ca="1">INDIRECT(ADDRESS(ROW(),COLUMN()-2,4))*INDIRECT(ADDRESS(ROW(),COLUMN()-1,4))</f>
        <v>566280</v>
      </c>
    </row>
    <row r="2076" spans="1:10" ht="14.1" customHeight="1" x14ac:dyDescent="0.25">
      <c r="A2076" s="94" t="s">
        <v>11513</v>
      </c>
      <c r="B2076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2076" s="95" t="str">
        <f>IFERROR(VLOOKUP("UD",'Informacion '!P:Q,2,FALSE),"")</f>
        <v>Unidad</v>
      </c>
      <c r="D2076" s="94">
        <v>63</v>
      </c>
      <c r="E2076" s="84">
        <v>864</v>
      </c>
      <c r="F2076" s="83">
        <f ca="1">INDIRECT(ADDRESS(ROW(),COLUMN()-2,4))*INDIRECT(ADDRESS(ROW(),COLUMN()-1,4))</f>
        <v>54432</v>
      </c>
    </row>
    <row r="2077" spans="1:10" ht="14.1" customHeight="1" x14ac:dyDescent="0.25">
      <c r="A2077" s="94" t="s">
        <v>18840</v>
      </c>
      <c r="B2077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2077" s="95" t="str">
        <f>IFERROR(VLOOKUP("UD",'Informacion '!P:Q,2,FALSE),"")</f>
        <v>Unidad</v>
      </c>
      <c r="D2077" s="94">
        <v>335</v>
      </c>
      <c r="E2077" s="84">
        <v>308.88</v>
      </c>
      <c r="F2077" s="83">
        <f ca="1">INDIRECT(ADDRESS(ROW(),COLUMN()-2,4))*INDIRECT(ADDRESS(ROW(),COLUMN()-1,4))</f>
        <v>103474.8</v>
      </c>
    </row>
    <row r="2078" spans="1:10" ht="14.1" customHeight="1" x14ac:dyDescent="0.25">
      <c r="A2078" s="94" t="s">
        <v>18840</v>
      </c>
      <c r="B2078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2078" s="95" t="str">
        <f>IFERROR(VLOOKUP("UD",'Informacion '!P:Q,2,FALSE),"")</f>
        <v>Unidad</v>
      </c>
      <c r="D2078" s="94">
        <v>583</v>
      </c>
      <c r="E2078" s="84">
        <v>208.86</v>
      </c>
      <c r="F2078" s="83">
        <f ca="1">INDIRECT(ADDRESS(ROW(),COLUMN()-2,4))*INDIRECT(ADDRESS(ROW(),COLUMN()-1,4))</f>
        <v>121765.38</v>
      </c>
    </row>
    <row r="2079" spans="1:10" ht="14.1" customHeight="1" x14ac:dyDescent="0.25">
      <c r="E2079" s="96" t="s">
        <v>7213</v>
      </c>
      <c r="F2079" s="87">
        <f ca="1">SUM(Table84[MONTO TOTAL ESTIMADO])</f>
        <v>943952.18</v>
      </c>
      <c r="H2079" s="39" t="str">
        <f>C2067</f>
        <v>Bienes</v>
      </c>
      <c r="I2079" s="39" t="str">
        <f>E2067</f>
        <v>No</v>
      </c>
      <c r="J2079" s="39" t="str">
        <f>D2067</f>
        <v>Excepción - Bienes o servicios con exclusividad</v>
      </c>
    </row>
    <row r="2081" spans="1:10" ht="33.950000000000003" customHeight="1" x14ac:dyDescent="0.25">
      <c r="A2081" s="77" t="s">
        <v>17233</v>
      </c>
      <c r="B2081" s="77" t="s">
        <v>4237</v>
      </c>
      <c r="C2081" s="77" t="s">
        <v>4743</v>
      </c>
      <c r="D2081" s="77" t="s">
        <v>9891</v>
      </c>
      <c r="E2081" s="77" t="s">
        <v>3089</v>
      </c>
      <c r="F2081" s="77" t="s">
        <v>18141</v>
      </c>
    </row>
    <row r="2082" spans="1:10" ht="14.1" customHeight="1" x14ac:dyDescent="0.25">
      <c r="A2082" s="79" t="s">
        <v>6151</v>
      </c>
      <c r="B2082" s="79" t="s">
        <v>204</v>
      </c>
      <c r="C2082" s="79" t="s">
        <v>17215</v>
      </c>
      <c r="D2082" s="79" t="s">
        <v>12255</v>
      </c>
      <c r="E2082" s="79" t="s">
        <v>18247</v>
      </c>
      <c r="F2082" s="79"/>
    </row>
    <row r="2083" spans="1:10" ht="14.1" customHeight="1" x14ac:dyDescent="0.25">
      <c r="A2083" s="2" t="s">
        <v>6643</v>
      </c>
      <c r="B2083" s="80" t="s">
        <v>1046</v>
      </c>
      <c r="C2083" s="90">
        <v>43739</v>
      </c>
      <c r="D2083" s="2" t="s">
        <v>59</v>
      </c>
      <c r="E2083" s="92" t="s">
        <v>20066</v>
      </c>
      <c r="F2083" s="93"/>
    </row>
    <row r="2084" spans="1:10" ht="14.1" customHeight="1" x14ac:dyDescent="0.25">
      <c r="A2084" s="1"/>
      <c r="B2084" s="80" t="s">
        <v>10788</v>
      </c>
      <c r="C2084" s="91">
        <f>IF(C2083="","",IF(AND(MONTH(C2083)&gt;=1,MONTH(C2083)&lt;=3),1,IF(AND(MONTH(C2083)&gt;=4,MONTH(C2083)&lt;=6),2,IF(AND(MONTH(C2083)&gt;=7,MONTH(C2083)&lt;=9),3,4))))</f>
        <v>4</v>
      </c>
      <c r="D2084" s="1"/>
      <c r="E2084" s="92" t="s">
        <v>14822</v>
      </c>
      <c r="F2084" s="93"/>
    </row>
    <row r="2085" spans="1:10" ht="14.1" customHeight="1" x14ac:dyDescent="0.25">
      <c r="A2085" s="1"/>
      <c r="B2085" s="80" t="s">
        <v>13758</v>
      </c>
      <c r="C2085" s="90">
        <v>43829</v>
      </c>
      <c r="D2085" s="1"/>
      <c r="E2085" s="92" t="s">
        <v>18636</v>
      </c>
      <c r="F2085" s="93"/>
    </row>
    <row r="2086" spans="1:10" ht="14.1" customHeight="1" x14ac:dyDescent="0.25">
      <c r="A2086" s="1"/>
      <c r="B2086" s="80" t="s">
        <v>10788</v>
      </c>
      <c r="C2086" s="91">
        <f>IF(C2085="","",IF(AND(MONTH(C2085)&gt;=1,MONTH(C2085)&lt;=3),1,IF(AND(MONTH(C2085)&gt;=4,MONTH(C2085)&lt;=6),2,IF(AND(MONTH(C2085)&gt;=7,MONTH(C2085)&lt;=9),3,4))))</f>
        <v>4</v>
      </c>
      <c r="D2086" s="1"/>
      <c r="E2086" s="92" t="s">
        <v>15990</v>
      </c>
      <c r="F2086" s="93"/>
    </row>
    <row r="2088" spans="1:10" ht="14.1" customHeight="1" x14ac:dyDescent="0.25">
      <c r="A2088" s="85" t="s">
        <v>15474</v>
      </c>
      <c r="B2088" s="85" t="s">
        <v>5027</v>
      </c>
      <c r="C2088" s="85" t="s">
        <v>17461</v>
      </c>
      <c r="D2088" s="85" t="s">
        <v>3935</v>
      </c>
      <c r="E2088" s="85" t="s">
        <v>10722</v>
      </c>
      <c r="F2088" s="85" t="s">
        <v>18237</v>
      </c>
    </row>
    <row r="2089" spans="1:10" ht="14.1" customHeight="1" x14ac:dyDescent="0.25">
      <c r="A2089" s="94" t="s">
        <v>7527</v>
      </c>
      <c r="B2089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2089" s="95" t="str">
        <f>IFERROR(VLOOKUP("UD",'Informacion '!P:Q,2,FALSE),"")</f>
        <v>Unidad</v>
      </c>
      <c r="D2089" s="94">
        <v>9</v>
      </c>
      <c r="E2089" s="84">
        <v>12250</v>
      </c>
      <c r="F2089" s="83">
        <f ca="1">INDIRECT(ADDRESS(ROW(),COLUMN()-2,4))*INDIRECT(ADDRESS(ROW(),COLUMN()-1,4))</f>
        <v>110250</v>
      </c>
    </row>
    <row r="2090" spans="1:10" ht="14.1" customHeight="1" x14ac:dyDescent="0.25">
      <c r="A2090" s="94" t="s">
        <v>11513</v>
      </c>
      <c r="B2090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2090" s="95" t="str">
        <f>IFERROR(VLOOKUP("UD",'Informacion '!P:Q,2,FALSE),"")</f>
        <v>Unidad</v>
      </c>
      <c r="D2090" s="94">
        <v>57</v>
      </c>
      <c r="E2090" s="84">
        <v>10296</v>
      </c>
      <c r="F2090" s="83">
        <f ca="1">INDIRECT(ADDRESS(ROW(),COLUMN()-2,4))*INDIRECT(ADDRESS(ROW(),COLUMN()-1,4))</f>
        <v>586872</v>
      </c>
    </row>
    <row r="2091" spans="1:10" ht="14.1" customHeight="1" x14ac:dyDescent="0.25">
      <c r="A2091" s="94" t="s">
        <v>11513</v>
      </c>
      <c r="B2091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2091" s="95" t="str">
        <f>IFERROR(VLOOKUP("UD",'Informacion '!P:Q,2,FALSE),"")</f>
        <v>Unidad</v>
      </c>
      <c r="D2091" s="94">
        <v>65</v>
      </c>
      <c r="E2091" s="84">
        <v>864</v>
      </c>
      <c r="F2091" s="83">
        <f ca="1">INDIRECT(ADDRESS(ROW(),COLUMN()-2,4))*INDIRECT(ADDRESS(ROW(),COLUMN()-1,4))</f>
        <v>56160</v>
      </c>
    </row>
    <row r="2092" spans="1:10" ht="14.1" customHeight="1" x14ac:dyDescent="0.25">
      <c r="A2092" s="94" t="s">
        <v>18840</v>
      </c>
      <c r="B2092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2092" s="95" t="str">
        <f>IFERROR(VLOOKUP("UD",'Informacion '!P:Q,2,FALSE),"")</f>
        <v>Unidad</v>
      </c>
      <c r="D2092" s="94">
        <v>342</v>
      </c>
      <c r="E2092" s="84">
        <v>308.88</v>
      </c>
      <c r="F2092" s="83">
        <f ca="1">INDIRECT(ADDRESS(ROW(),COLUMN()-2,4))*INDIRECT(ADDRESS(ROW(),COLUMN()-1,4))</f>
        <v>105636.95999999999</v>
      </c>
    </row>
    <row r="2093" spans="1:10" ht="14.1" customHeight="1" x14ac:dyDescent="0.25">
      <c r="A2093" s="94" t="s">
        <v>18840</v>
      </c>
      <c r="B2093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2093" s="95" t="str">
        <f>IFERROR(VLOOKUP("UD",'Informacion '!P:Q,2,FALSE),"")</f>
        <v>Unidad</v>
      </c>
      <c r="D2093" s="94">
        <v>595</v>
      </c>
      <c r="E2093" s="84">
        <v>208.86</v>
      </c>
      <c r="F2093" s="83">
        <f ca="1">INDIRECT(ADDRESS(ROW(),COLUMN()-2,4))*INDIRECT(ADDRESS(ROW(),COLUMN()-1,4))</f>
        <v>124271.70000000001</v>
      </c>
    </row>
    <row r="2094" spans="1:10" ht="14.1" customHeight="1" x14ac:dyDescent="0.25">
      <c r="E2094" s="96" t="s">
        <v>7213</v>
      </c>
      <c r="F2094" s="87">
        <f ca="1">SUM(Table85[MONTO TOTAL ESTIMADO])</f>
        <v>983190.65999999992</v>
      </c>
      <c r="H2094" s="39" t="str">
        <f>C2082</f>
        <v>Bienes</v>
      </c>
      <c r="I2094" s="39" t="str">
        <f>E2082</f>
        <v>No</v>
      </c>
      <c r="J2094" s="39" t="str">
        <f>D2082</f>
        <v>Excepción - Bienes o servicios con exclusividad</v>
      </c>
    </row>
    <row r="2096" spans="1:10" ht="33.950000000000003" customHeight="1" x14ac:dyDescent="0.25">
      <c r="A2096" s="77" t="s">
        <v>17233</v>
      </c>
      <c r="B2096" s="77" t="s">
        <v>4237</v>
      </c>
      <c r="C2096" s="77" t="s">
        <v>4743</v>
      </c>
      <c r="D2096" s="77" t="s">
        <v>9891</v>
      </c>
      <c r="E2096" s="77" t="s">
        <v>3089</v>
      </c>
      <c r="F2096" s="77" t="s">
        <v>18141</v>
      </c>
    </row>
    <row r="2097" spans="1:6" ht="14.1" customHeight="1" x14ac:dyDescent="0.25">
      <c r="A2097" s="79" t="s">
        <v>19610</v>
      </c>
      <c r="B2097" s="79" t="s">
        <v>79</v>
      </c>
      <c r="C2097" s="79" t="s">
        <v>17215</v>
      </c>
      <c r="D2097" s="79" t="s">
        <v>17798</v>
      </c>
      <c r="E2097" s="79" t="s">
        <v>18247</v>
      </c>
      <c r="F2097" s="79"/>
    </row>
    <row r="2098" spans="1:6" ht="14.1" customHeight="1" x14ac:dyDescent="0.25">
      <c r="A2098" s="2" t="s">
        <v>6643</v>
      </c>
      <c r="B2098" s="80" t="s">
        <v>1046</v>
      </c>
      <c r="C2098" s="90">
        <v>43467</v>
      </c>
      <c r="D2098" s="2" t="s">
        <v>59</v>
      </c>
      <c r="E2098" s="92" t="s">
        <v>20066</v>
      </c>
      <c r="F2098" s="93" t="s">
        <v>5684</v>
      </c>
    </row>
    <row r="2099" spans="1:6" ht="14.1" customHeight="1" x14ac:dyDescent="0.25">
      <c r="A2099" s="1"/>
      <c r="B2099" s="80" t="s">
        <v>10788</v>
      </c>
      <c r="C2099" s="91">
        <f>IF(C2098="","",IF(AND(MONTH(C2098)&gt;=1,MONTH(C2098)&lt;=3),1,IF(AND(MONTH(C2098)&gt;=4,MONTH(C2098)&lt;=6),2,IF(AND(MONTH(C2098)&gt;=7,MONTH(C2098)&lt;=9),3,4))))</f>
        <v>1</v>
      </c>
      <c r="D2099" s="1"/>
      <c r="E2099" s="92" t="s">
        <v>14822</v>
      </c>
      <c r="F2099" s="93"/>
    </row>
    <row r="2100" spans="1:6" ht="14.1" customHeight="1" x14ac:dyDescent="0.25">
      <c r="A2100" s="1"/>
      <c r="B2100" s="80" t="s">
        <v>13758</v>
      </c>
      <c r="C2100" s="90">
        <v>43553</v>
      </c>
      <c r="D2100" s="1"/>
      <c r="E2100" s="92" t="s">
        <v>18636</v>
      </c>
      <c r="F2100" s="93"/>
    </row>
    <row r="2101" spans="1:6" ht="14.1" customHeight="1" x14ac:dyDescent="0.25">
      <c r="A2101" s="1"/>
      <c r="B2101" s="80" t="s">
        <v>10788</v>
      </c>
      <c r="C2101" s="91">
        <f>IF(C2100="","",IF(AND(MONTH(C2100)&gt;=1,MONTH(C2100)&lt;=3),1,IF(AND(MONTH(C2100)&gt;=4,MONTH(C2100)&lt;=6),2,IF(AND(MONTH(C2100)&gt;=7,MONTH(C2100)&lt;=9),3,4))))</f>
        <v>1</v>
      </c>
      <c r="D2101" s="1"/>
      <c r="E2101" s="92" t="s">
        <v>15990</v>
      </c>
      <c r="F2101" s="93"/>
    </row>
    <row r="2103" spans="1:6" ht="14.1" customHeight="1" x14ac:dyDescent="0.25">
      <c r="A2103" s="85" t="s">
        <v>15474</v>
      </c>
      <c r="B2103" s="85" t="s">
        <v>5027</v>
      </c>
      <c r="C2103" s="85" t="s">
        <v>17461</v>
      </c>
      <c r="D2103" s="85" t="s">
        <v>3935</v>
      </c>
      <c r="E2103" s="85" t="s">
        <v>10722</v>
      </c>
      <c r="F2103" s="85" t="s">
        <v>18237</v>
      </c>
    </row>
    <row r="2104" spans="1:6" ht="14.1" customHeight="1" x14ac:dyDescent="0.25">
      <c r="A2104" s="94" t="s">
        <v>10483</v>
      </c>
      <c r="B210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104" s="95" t="str">
        <f>IFERROR(VLOOKUP("UD",'Informacion '!P:Q,2,FALSE),"")</f>
        <v>Unidad</v>
      </c>
      <c r="D2104" s="94">
        <v>1</v>
      </c>
      <c r="E2104" s="84">
        <v>510.62</v>
      </c>
      <c r="F2104" s="83">
        <f t="shared" ref="F2104:F2119" ca="1" si="93">INDIRECT(ADDRESS(ROW(),COLUMN()-2,4))*INDIRECT(ADDRESS(ROW(),COLUMN()-1,4))</f>
        <v>510.62</v>
      </c>
    </row>
    <row r="2105" spans="1:6" ht="14.1" customHeight="1" x14ac:dyDescent="0.25">
      <c r="A2105" s="94" t="s">
        <v>10483</v>
      </c>
      <c r="B2105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105" s="95" t="str">
        <f>IFERROR(VLOOKUP("UD",'Informacion '!P:Q,2,FALSE),"")</f>
        <v>Unidad</v>
      </c>
      <c r="D2105" s="94">
        <v>1</v>
      </c>
      <c r="E2105" s="84">
        <v>564.58000000000004</v>
      </c>
      <c r="F2105" s="83">
        <f t="shared" ca="1" si="93"/>
        <v>564.58000000000004</v>
      </c>
    </row>
    <row r="2106" spans="1:6" ht="14.1" customHeight="1" x14ac:dyDescent="0.25">
      <c r="A2106" s="94" t="s">
        <v>18181</v>
      </c>
      <c r="B2106" s="82" t="str">
        <f t="shared" ref="B2106:B2116" ca="1" si="94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2106" s="95" t="str">
        <f>IFERROR(VLOOKUP("UD",'Informacion '!P:Q,2,FALSE),"")</f>
        <v>Unidad</v>
      </c>
      <c r="D2106" s="94">
        <v>1</v>
      </c>
      <c r="E2106" s="84">
        <v>48.38</v>
      </c>
      <c r="F2106" s="83">
        <f t="shared" ca="1" si="93"/>
        <v>48.38</v>
      </c>
    </row>
    <row r="2107" spans="1:6" ht="14.1" customHeight="1" x14ac:dyDescent="0.25">
      <c r="A2107" s="94" t="s">
        <v>18181</v>
      </c>
      <c r="B2107" s="82" t="str">
        <f t="shared" ca="1" si="94"/>
        <v>Kits de cricotiroidotomía o tubo traqueal para servicios médicos de emergencia</v>
      </c>
      <c r="C2107" s="95" t="str">
        <f>IFERROR(VLOOKUP("UD",'Informacion '!P:Q,2,FALSE),"")</f>
        <v>Unidad</v>
      </c>
      <c r="D2107" s="94">
        <v>4</v>
      </c>
      <c r="E2107" s="84">
        <v>236</v>
      </c>
      <c r="F2107" s="83">
        <f t="shared" ca="1" si="93"/>
        <v>944</v>
      </c>
    </row>
    <row r="2108" spans="1:6" ht="14.1" customHeight="1" x14ac:dyDescent="0.25">
      <c r="A2108" s="94" t="s">
        <v>18181</v>
      </c>
      <c r="B2108" s="82" t="str">
        <f t="shared" ca="1" si="94"/>
        <v>Kits de cricotiroidotomía o tubo traqueal para servicios médicos de emergencia</v>
      </c>
      <c r="C2108" s="95" t="str">
        <f>IFERROR(VLOOKUP("UD",'Informacion '!P:Q,2,FALSE),"")</f>
        <v>Unidad</v>
      </c>
      <c r="D2108" s="94">
        <v>3</v>
      </c>
      <c r="E2108" s="84">
        <v>236</v>
      </c>
      <c r="F2108" s="83">
        <f t="shared" ca="1" si="93"/>
        <v>708</v>
      </c>
    </row>
    <row r="2109" spans="1:6" ht="14.1" customHeight="1" x14ac:dyDescent="0.25">
      <c r="A2109" s="94" t="s">
        <v>18181</v>
      </c>
      <c r="B2109" s="82" t="str">
        <f t="shared" ca="1" si="94"/>
        <v>Kits de cricotiroidotomía o tubo traqueal para servicios médicos de emergencia</v>
      </c>
      <c r="C2109" s="95" t="str">
        <f>IFERROR(VLOOKUP("UD",'Informacion '!P:Q,2,FALSE),"")</f>
        <v>Unidad</v>
      </c>
      <c r="D2109" s="94">
        <v>3</v>
      </c>
      <c r="E2109" s="84">
        <v>235.79</v>
      </c>
      <c r="F2109" s="83">
        <f t="shared" ca="1" si="93"/>
        <v>707.37</v>
      </c>
    </row>
    <row r="2110" spans="1:6" ht="14.1" customHeight="1" x14ac:dyDescent="0.25">
      <c r="A2110" s="94" t="s">
        <v>18181</v>
      </c>
      <c r="B2110" s="82" t="str">
        <f t="shared" ca="1" si="94"/>
        <v>Kits de cricotiroidotomía o tubo traqueal para servicios médicos de emergencia</v>
      </c>
      <c r="C2110" s="95" t="str">
        <f>IFERROR(VLOOKUP("UD",'Informacion '!P:Q,2,FALSE),"")</f>
        <v>Unidad</v>
      </c>
      <c r="D2110" s="94">
        <v>1</v>
      </c>
      <c r="E2110" s="84">
        <v>34</v>
      </c>
      <c r="F2110" s="83">
        <f t="shared" ca="1" si="93"/>
        <v>34</v>
      </c>
    </row>
    <row r="2111" spans="1:6" ht="14.1" customHeight="1" x14ac:dyDescent="0.25">
      <c r="A2111" s="94" t="s">
        <v>18181</v>
      </c>
      <c r="B2111" s="82" t="str">
        <f t="shared" ca="1" si="94"/>
        <v>Kits de cricotiroidotomía o tubo traqueal para servicios médicos de emergencia</v>
      </c>
      <c r="C2111" s="95" t="str">
        <f>IFERROR(VLOOKUP("UD",'Informacion '!P:Q,2,FALSE),"")</f>
        <v>Unidad</v>
      </c>
      <c r="D2111" s="94">
        <v>1</v>
      </c>
      <c r="E2111" s="84">
        <v>27.03</v>
      </c>
      <c r="F2111" s="83">
        <f t="shared" ca="1" si="93"/>
        <v>27.03</v>
      </c>
    </row>
    <row r="2112" spans="1:6" ht="14.1" customHeight="1" x14ac:dyDescent="0.25">
      <c r="A2112" s="94" t="s">
        <v>18181</v>
      </c>
      <c r="B2112" s="82" t="str">
        <f t="shared" ca="1" si="94"/>
        <v>Kits de cricotiroidotomía o tubo traqueal para servicios médicos de emergencia</v>
      </c>
      <c r="C2112" s="95" t="str">
        <f>IFERROR(VLOOKUP("UD",'Informacion '!P:Q,2,FALSE),"")</f>
        <v>Unidad</v>
      </c>
      <c r="D2112" s="94">
        <v>1</v>
      </c>
      <c r="E2112" s="84">
        <v>32.659999999999997</v>
      </c>
      <c r="F2112" s="83">
        <f t="shared" ca="1" si="93"/>
        <v>32.659999999999997</v>
      </c>
    </row>
    <row r="2113" spans="1:10" ht="14.1" customHeight="1" x14ac:dyDescent="0.25">
      <c r="A2113" s="94" t="s">
        <v>18181</v>
      </c>
      <c r="B2113" s="82" t="str">
        <f t="shared" ca="1" si="94"/>
        <v>Kits de cricotiroidotomía o tubo traqueal para servicios médicos de emergencia</v>
      </c>
      <c r="C2113" s="95" t="str">
        <f>IFERROR(VLOOKUP("UD",'Informacion '!P:Q,2,FALSE),"")</f>
        <v>Unidad</v>
      </c>
      <c r="D2113" s="94">
        <v>1</v>
      </c>
      <c r="E2113" s="84">
        <v>41.47</v>
      </c>
      <c r="F2113" s="83">
        <f t="shared" ca="1" si="93"/>
        <v>41.47</v>
      </c>
    </row>
    <row r="2114" spans="1:10" ht="14.1" customHeight="1" x14ac:dyDescent="0.25">
      <c r="A2114" s="94" t="s">
        <v>18181</v>
      </c>
      <c r="B2114" s="82" t="str">
        <f t="shared" ca="1" si="94"/>
        <v>Kits de cricotiroidotomía o tubo traqueal para servicios médicos de emergencia</v>
      </c>
      <c r="C2114" s="95" t="str">
        <f>IFERROR(VLOOKUP("UD",'Informacion '!P:Q,2,FALSE),"")</f>
        <v>Unidad</v>
      </c>
      <c r="D2114" s="94">
        <v>19</v>
      </c>
      <c r="E2114" s="84">
        <v>49.56</v>
      </c>
      <c r="F2114" s="83">
        <f t="shared" ca="1" si="93"/>
        <v>941.6400000000001</v>
      </c>
    </row>
    <row r="2115" spans="1:10" ht="14.1" customHeight="1" x14ac:dyDescent="0.25">
      <c r="A2115" s="94" t="s">
        <v>18181</v>
      </c>
      <c r="B2115" s="82" t="str">
        <f t="shared" ca="1" si="94"/>
        <v>Kits de cricotiroidotomía o tubo traqueal para servicios médicos de emergencia</v>
      </c>
      <c r="C2115" s="95" t="str">
        <f>IFERROR(VLOOKUP("UD",'Informacion '!P:Q,2,FALSE),"")</f>
        <v>Unidad</v>
      </c>
      <c r="D2115" s="94">
        <v>35</v>
      </c>
      <c r="E2115" s="84">
        <v>45.69</v>
      </c>
      <c r="F2115" s="83">
        <f t="shared" ca="1" si="93"/>
        <v>1599.1499999999999</v>
      </c>
    </row>
    <row r="2116" spans="1:10" ht="14.1" customHeight="1" x14ac:dyDescent="0.25">
      <c r="A2116" s="94" t="s">
        <v>18181</v>
      </c>
      <c r="B2116" s="82" t="str">
        <f t="shared" ca="1" si="94"/>
        <v>Kits de cricotiroidotomía o tubo traqueal para servicios médicos de emergencia</v>
      </c>
      <c r="C2116" s="95" t="str">
        <f>IFERROR(VLOOKUP("UD",'Informacion '!P:Q,2,FALSE),"")</f>
        <v>Unidad</v>
      </c>
      <c r="D2116" s="94">
        <v>12</v>
      </c>
      <c r="E2116" s="84">
        <v>29.09</v>
      </c>
      <c r="F2116" s="83">
        <f t="shared" ca="1" si="93"/>
        <v>349.08</v>
      </c>
    </row>
    <row r="2117" spans="1:10" ht="14.1" customHeight="1" x14ac:dyDescent="0.25">
      <c r="A2117" s="94" t="s">
        <v>4226</v>
      </c>
      <c r="B2117" s="82" t="str">
        <f ca="1">IFERROR(INDEX(UNSPSCDes,MATCH(INDIRECT(ADDRESS(ROW(),COLUMN()-1,4)),UNSPSCCode,0)),IF(INDIRECT(ADDRESS(ROW(),COLUMN()-1,4))="10141609","Sujetadores",""))</f>
        <v>Sujetadores</v>
      </c>
      <c r="C2117" s="95" t="str">
        <f>IFERROR(VLOOKUP("UD",'Informacion '!P:Q,2,FALSE),"")</f>
        <v>Unidad</v>
      </c>
      <c r="D2117" s="94">
        <v>48</v>
      </c>
      <c r="E2117" s="84">
        <v>667.88</v>
      </c>
      <c r="F2117" s="83">
        <f t="shared" ca="1" si="93"/>
        <v>32058.239999999998</v>
      </c>
    </row>
    <row r="2118" spans="1:10" ht="14.1" customHeight="1" x14ac:dyDescent="0.25">
      <c r="A2118" s="94" t="s">
        <v>10550</v>
      </c>
      <c r="B211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2118" s="95" t="str">
        <f>IFERROR(VLOOKUP("UD",'Informacion '!P:Q,2,FALSE),"")</f>
        <v>Unidad</v>
      </c>
      <c r="D2118" s="94">
        <v>2</v>
      </c>
      <c r="E2118" s="84">
        <v>3500</v>
      </c>
      <c r="F2118" s="83">
        <f t="shared" ca="1" si="93"/>
        <v>7000</v>
      </c>
    </row>
    <row r="2119" spans="1:10" ht="14.1" customHeight="1" x14ac:dyDescent="0.25">
      <c r="A2119" s="94" t="s">
        <v>4226</v>
      </c>
      <c r="B2119" s="82" t="str">
        <f ca="1">IFERROR(INDEX(UNSPSCDes,MATCH(INDIRECT(ADDRESS(ROW(),COLUMN()-1,4)),UNSPSCCode,0)),IF(INDIRECT(ADDRESS(ROW(),COLUMN()-1,4))="10141609","Sujetadores",""))</f>
        <v>Sujetadores</v>
      </c>
      <c r="C2119" s="95" t="str">
        <f>IFERROR(VLOOKUP("UD",'Informacion '!P:Q,2,FALSE),"")</f>
        <v>Unidad</v>
      </c>
      <c r="D2119" s="94">
        <v>11</v>
      </c>
      <c r="E2119" s="84">
        <v>1005.8</v>
      </c>
      <c r="F2119" s="83">
        <f t="shared" ca="1" si="93"/>
        <v>11063.8</v>
      </c>
    </row>
    <row r="2120" spans="1:10" ht="14.1" customHeight="1" x14ac:dyDescent="0.25">
      <c r="E2120" s="96" t="s">
        <v>7213</v>
      </c>
      <c r="F2120" s="87">
        <f ca="1">SUM(Table86[MONTO TOTAL ESTIMADO])</f>
        <v>56630.020000000004</v>
      </c>
      <c r="H2120" s="39" t="str">
        <f>C2097</f>
        <v>Bienes</v>
      </c>
      <c r="I2120" s="39" t="str">
        <f>E2097</f>
        <v>No</v>
      </c>
      <c r="J2120" s="39" t="str">
        <f>D2097</f>
        <v>Compras Menores</v>
      </c>
    </row>
    <row r="2122" spans="1:10" ht="33.950000000000003" customHeight="1" x14ac:dyDescent="0.25">
      <c r="A2122" s="77" t="s">
        <v>17233</v>
      </c>
      <c r="B2122" s="77" t="s">
        <v>4237</v>
      </c>
      <c r="C2122" s="77" t="s">
        <v>4743</v>
      </c>
      <c r="D2122" s="77" t="s">
        <v>9891</v>
      </c>
      <c r="E2122" s="77" t="s">
        <v>3089</v>
      </c>
      <c r="F2122" s="77" t="s">
        <v>18141</v>
      </c>
    </row>
    <row r="2123" spans="1:10" ht="14.1" customHeight="1" x14ac:dyDescent="0.25">
      <c r="A2123" s="79" t="s">
        <v>583</v>
      </c>
      <c r="B2123" s="79" t="s">
        <v>7433</v>
      </c>
      <c r="C2123" s="79" t="s">
        <v>17215</v>
      </c>
      <c r="D2123" s="79" t="s">
        <v>15249</v>
      </c>
      <c r="E2123" s="79" t="s">
        <v>18247</v>
      </c>
      <c r="F2123" s="79"/>
    </row>
    <row r="2124" spans="1:10" ht="14.1" customHeight="1" x14ac:dyDescent="0.25">
      <c r="A2124" s="2" t="s">
        <v>6643</v>
      </c>
      <c r="B2124" s="80" t="s">
        <v>1046</v>
      </c>
      <c r="C2124" s="90">
        <v>43467</v>
      </c>
      <c r="D2124" s="2" t="s">
        <v>59</v>
      </c>
      <c r="E2124" s="92" t="s">
        <v>20066</v>
      </c>
      <c r="F2124" s="93" t="s">
        <v>5684</v>
      </c>
    </row>
    <row r="2125" spans="1:10" ht="14.1" customHeight="1" x14ac:dyDescent="0.25">
      <c r="A2125" s="1"/>
      <c r="B2125" s="80" t="s">
        <v>10788</v>
      </c>
      <c r="C2125" s="91">
        <f>IF(C2124="","",IF(AND(MONTH(C2124)&gt;=1,MONTH(C2124)&lt;=3),1,IF(AND(MONTH(C2124)&gt;=4,MONTH(C2124)&lt;=6),2,IF(AND(MONTH(C2124)&gt;=7,MONTH(C2124)&lt;=9),3,4))))</f>
        <v>1</v>
      </c>
      <c r="D2125" s="1"/>
      <c r="E2125" s="92" t="s">
        <v>14822</v>
      </c>
      <c r="F2125" s="93"/>
    </row>
    <row r="2126" spans="1:10" ht="14.1" customHeight="1" x14ac:dyDescent="0.25">
      <c r="A2126" s="1"/>
      <c r="B2126" s="80" t="s">
        <v>13758</v>
      </c>
      <c r="C2126" s="90">
        <v>43553</v>
      </c>
      <c r="D2126" s="1"/>
      <c r="E2126" s="92" t="s">
        <v>18636</v>
      </c>
      <c r="F2126" s="93"/>
    </row>
    <row r="2127" spans="1:10" ht="14.1" customHeight="1" x14ac:dyDescent="0.25">
      <c r="A2127" s="1"/>
      <c r="B2127" s="80" t="s">
        <v>10788</v>
      </c>
      <c r="C2127" s="91">
        <f>IF(C2126="","",IF(AND(MONTH(C2126)&gt;=1,MONTH(C2126)&lt;=3),1,IF(AND(MONTH(C2126)&gt;=4,MONTH(C2126)&lt;=6),2,IF(AND(MONTH(C2126)&gt;=7,MONTH(C2126)&lt;=9),3,4))))</f>
        <v>1</v>
      </c>
      <c r="D2127" s="1"/>
      <c r="E2127" s="92" t="s">
        <v>15990</v>
      </c>
      <c r="F2127" s="93"/>
    </row>
    <row r="2129" spans="1:6" ht="14.1" customHeight="1" x14ac:dyDescent="0.25">
      <c r="A2129" s="85" t="s">
        <v>15474</v>
      </c>
      <c r="B2129" s="85" t="s">
        <v>5027</v>
      </c>
      <c r="C2129" s="85" t="s">
        <v>17461</v>
      </c>
      <c r="D2129" s="85" t="s">
        <v>3935</v>
      </c>
      <c r="E2129" s="85" t="s">
        <v>10722</v>
      </c>
      <c r="F2129" s="85" t="s">
        <v>18237</v>
      </c>
    </row>
    <row r="2130" spans="1:6" ht="14.1" customHeight="1" x14ac:dyDescent="0.25">
      <c r="A2130" s="94" t="s">
        <v>7570</v>
      </c>
      <c r="B2130" s="82" t="str">
        <f ca="1">IFERROR(INDEX(UNSPSCDes,MATCH(INDIRECT(ADDRESS(ROW(),COLUMN()-1,4)),UNSPSCCode,0)),IF(INDIRECT(ADDRESS(ROW(),COLUMN()-1,4))="51171816","Ondansetrón",""))</f>
        <v>Ondansetrón</v>
      </c>
      <c r="C2130" s="95" t="str">
        <f>IFERROR(VLOOKUP("UD",'Informacion '!P:Q,2,FALSE),"")</f>
        <v>Unidad</v>
      </c>
      <c r="D2130" s="94">
        <v>781</v>
      </c>
      <c r="E2130" s="84">
        <v>83.25</v>
      </c>
      <c r="F2130" s="83">
        <f t="shared" ref="F2130:F2165" ca="1" si="95">INDIRECT(ADDRESS(ROW(),COLUMN()-2,4))*INDIRECT(ADDRESS(ROW(),COLUMN()-1,4))</f>
        <v>65018.25</v>
      </c>
    </row>
    <row r="2131" spans="1:6" ht="14.1" customHeight="1" x14ac:dyDescent="0.25">
      <c r="A2131" s="94" t="s">
        <v>12592</v>
      </c>
      <c r="B2131" s="82" t="str">
        <f ca="1">IFERROR(INDEX(UNSPSCDes,MATCH(INDIRECT(ADDRESS(ROW(),COLUMN()-1,4)),UNSPSCCode,0)),IF(INDIRECT(ADDRESS(ROW(),COLUMN()-1,4))="51111801","Anastrozol",""))</f>
        <v>Anastrozol</v>
      </c>
      <c r="C2131" s="95" t="str">
        <f>IFERROR(VLOOKUP("UD",'Informacion '!P:Q,2,FALSE),"")</f>
        <v>Unidad</v>
      </c>
      <c r="D2131" s="94">
        <v>100</v>
      </c>
      <c r="E2131" s="84">
        <v>34.450000000000003</v>
      </c>
      <c r="F2131" s="83">
        <f t="shared" ca="1" si="95"/>
        <v>3445.0000000000005</v>
      </c>
    </row>
    <row r="2132" spans="1:6" ht="14.1" customHeight="1" x14ac:dyDescent="0.25">
      <c r="A2132" s="94" t="s">
        <v>1085</v>
      </c>
      <c r="B2132" s="82" t="str">
        <f ca="1">IFERROR(INDEX(UNSPSCDes,MATCH(INDIRECT(ADDRESS(ROW(),COLUMN()-1,4)),UNSPSCCode,0)),IF(INDIRECT(ADDRESS(ROW(),COLUMN()-1,4))="51111802","Bicalutamida",""))</f>
        <v>Bicalutamida</v>
      </c>
      <c r="C2132" s="95" t="str">
        <f>IFERROR(VLOOKUP("UD",'Informacion '!P:Q,2,FALSE),"")</f>
        <v>Unidad</v>
      </c>
      <c r="D2132" s="94">
        <v>195</v>
      </c>
      <c r="E2132" s="84">
        <v>390.48</v>
      </c>
      <c r="F2132" s="83">
        <f t="shared" ca="1" si="95"/>
        <v>76143.600000000006</v>
      </c>
    </row>
    <row r="2133" spans="1:6" ht="14.1" customHeight="1" x14ac:dyDescent="0.25">
      <c r="A2133" s="94" t="s">
        <v>11437</v>
      </c>
      <c r="B2133" s="82" t="str">
        <f ca="1">IFERROR(INDEX(UNSPSCDes,MATCH(INDIRECT(ADDRESS(ROW(),COLUMN()-1,4)),UNSPSCCode,0)),IF(INDIRECT(ADDRESS(ROW(),COLUMN()-1,4))="51111710","Epirubicina",""))</f>
        <v>Epirubicina</v>
      </c>
      <c r="C2133" s="95" t="str">
        <f>IFERROR(VLOOKUP("UD",'Informacion '!P:Q,2,FALSE),"")</f>
        <v>Unidad</v>
      </c>
      <c r="D2133" s="94">
        <v>15</v>
      </c>
      <c r="E2133" s="84">
        <v>3352.11</v>
      </c>
      <c r="F2133" s="83">
        <f t="shared" ca="1" si="95"/>
        <v>50281.65</v>
      </c>
    </row>
    <row r="2134" spans="1:6" ht="14.1" customHeight="1" x14ac:dyDescent="0.25">
      <c r="A2134" s="94" t="s">
        <v>10087</v>
      </c>
      <c r="B2134" s="82" t="str">
        <f ca="1">IFERROR(INDEX(UNSPSCDes,MATCH(INDIRECT(ADDRESS(ROW(),COLUMN()-1,4)),UNSPSCCode,0)),IF(INDIRECT(ADDRESS(ROW(),COLUMN()-1,4))="51111614","Etopósido",""))</f>
        <v>Etopósido</v>
      </c>
      <c r="C2134" s="95" t="str">
        <f>IFERROR(VLOOKUP("UD",'Informacion '!P:Q,2,FALSE),"")</f>
        <v>Unidad</v>
      </c>
      <c r="D2134" s="94">
        <v>110</v>
      </c>
      <c r="E2134" s="84">
        <v>271.64</v>
      </c>
      <c r="F2134" s="83">
        <f t="shared" ca="1" si="95"/>
        <v>29880.399999999998</v>
      </c>
    </row>
    <row r="2135" spans="1:6" ht="14.1" customHeight="1" x14ac:dyDescent="0.25">
      <c r="A2135" s="94" t="s">
        <v>4544</v>
      </c>
      <c r="B2135" s="82" t="str">
        <f ca="1">IFERROR(INDEX(UNSPSCDes,MATCH(INDIRECT(ADDRESS(ROW(),COLUMN()-1,4)),UNSPSCCode,0)),IF(INDIRECT(ADDRESS(ROW(),COLUMN()-1,4))="51201802","Filgrastim",""))</f>
        <v>Filgrastim</v>
      </c>
      <c r="C2135" s="95" t="str">
        <f>IFERROR(VLOOKUP("UD",'Informacion '!P:Q,2,FALSE),"")</f>
        <v>Unidad</v>
      </c>
      <c r="D2135" s="94">
        <v>142</v>
      </c>
      <c r="E2135" s="84">
        <v>1325.01</v>
      </c>
      <c r="F2135" s="83">
        <f t="shared" ca="1" si="95"/>
        <v>188151.42</v>
      </c>
    </row>
    <row r="2136" spans="1:6" ht="14.1" customHeight="1" x14ac:dyDescent="0.25">
      <c r="A2136" s="94" t="s">
        <v>14363</v>
      </c>
      <c r="B2136" s="82" t="str">
        <f ca="1">IFERROR(INDEX(UNSPSCDes,MATCH(INDIRECT(ADDRESS(ROW(),COLUMN()-1,4)),UNSPSCCode,0)),IF(INDIRECT(ADDRESS(ROW(),COLUMN()-1,4))="51111604","Fosfato de fludarabina",""))</f>
        <v>Fosfato de fludarabina</v>
      </c>
      <c r="C2136" s="95" t="str">
        <f>IFERROR(VLOOKUP("UD",'Informacion '!P:Q,2,FALSE),"")</f>
        <v>Unidad</v>
      </c>
      <c r="D2136" s="94">
        <v>24</v>
      </c>
      <c r="E2136" s="84">
        <v>4545.45</v>
      </c>
      <c r="F2136" s="83">
        <f t="shared" ca="1" si="95"/>
        <v>109090.79999999999</v>
      </c>
    </row>
    <row r="2137" spans="1:6" ht="14.1" customHeight="1" x14ac:dyDescent="0.25">
      <c r="A2137" s="94" t="s">
        <v>13176</v>
      </c>
      <c r="B2137" s="82" t="str">
        <f ca="1">IFERROR(INDEX(UNSPSCDes,MATCH(INDIRECT(ADDRESS(ROW(),COLUMN()-1,4)),UNSPSCCode,0)),IF(INDIRECT(ADDRESS(ROW(),COLUMN()-1,4))="51111605","Fluorouracilo",""))</f>
        <v>Fluorouracilo</v>
      </c>
      <c r="C2137" s="95" t="str">
        <f>IFERROR(VLOOKUP("UD",'Informacion '!P:Q,2,FALSE),"")</f>
        <v>Unidad</v>
      </c>
      <c r="D2137" s="94">
        <v>575</v>
      </c>
      <c r="E2137" s="84">
        <v>125</v>
      </c>
      <c r="F2137" s="83">
        <f t="shared" ca="1" si="95"/>
        <v>71875</v>
      </c>
    </row>
    <row r="2138" spans="1:6" ht="14.1" customHeight="1" x14ac:dyDescent="0.25">
      <c r="A2138" s="94" t="s">
        <v>11096</v>
      </c>
      <c r="B2138" s="82" t="str">
        <f ca="1">IFERROR(INDEX(UNSPSCDes,MATCH(INDIRECT(ADDRESS(ROW(),COLUMN()-1,4)),UNSPSCCode,0)),IF(INDIRECT(ADDRESS(ROW(),COLUMN()-1,4))="51111507","Ciclofosfamida",""))</f>
        <v>Ciclofosfamida</v>
      </c>
      <c r="C2138" s="95" t="str">
        <f>IFERROR(VLOOKUP("UD",'Informacion '!P:Q,2,FALSE),"")</f>
        <v>Unidad</v>
      </c>
      <c r="D2138" s="94">
        <v>361</v>
      </c>
      <c r="E2138" s="84">
        <v>431.18</v>
      </c>
      <c r="F2138" s="83">
        <f t="shared" ca="1" si="95"/>
        <v>155655.98000000001</v>
      </c>
    </row>
    <row r="2139" spans="1:6" ht="14.1" customHeight="1" x14ac:dyDescent="0.25">
      <c r="A2139" s="94" t="s">
        <v>4050</v>
      </c>
      <c r="B2139" s="82" t="str">
        <f ca="1">IFERROR(INDEX(UNSPSCDes,MATCH(INDIRECT(ADDRESS(ROW(),COLUMN()-1,4)),UNSPSCCode,0)),IF(INDIRECT(ADDRESS(ROW(),COLUMN()-1,4))="51181806","Acetato de megestrol",""))</f>
        <v>Acetato de megestrol</v>
      </c>
      <c r="C2139" s="95" t="str">
        <f>IFERROR(VLOOKUP("UD",'Informacion '!P:Q,2,FALSE),"")</f>
        <v>Unidad</v>
      </c>
      <c r="D2139" s="94">
        <v>9</v>
      </c>
      <c r="E2139" s="84">
        <v>1700</v>
      </c>
      <c r="F2139" s="83">
        <f t="shared" ca="1" si="95"/>
        <v>15300</v>
      </c>
    </row>
    <row r="2140" spans="1:6" ht="14.1" customHeight="1" x14ac:dyDescent="0.25">
      <c r="A2140" s="94" t="s">
        <v>11400</v>
      </c>
      <c r="B2140" s="82" t="str">
        <f ca="1">IFERROR(INDEX(UNSPSCDes,MATCH(INDIRECT(ADDRESS(ROW(),COLUMN()-1,4)),UNSPSCCode,0)),IF(INDIRECT(ADDRESS(ROW(),COLUMN()-1,4))="51111609","Mercaptopurina",""))</f>
        <v>Mercaptopurina</v>
      </c>
      <c r="C2140" s="95" t="str">
        <f>IFERROR(VLOOKUP("UD",'Informacion '!P:Q,2,FALSE),"")</f>
        <v>Unidad</v>
      </c>
      <c r="D2140" s="94">
        <v>192</v>
      </c>
      <c r="E2140" s="84">
        <v>16.670000000000002</v>
      </c>
      <c r="F2140" s="83">
        <f t="shared" ca="1" si="95"/>
        <v>3200.6400000000003</v>
      </c>
    </row>
    <row r="2141" spans="1:6" ht="14.1" customHeight="1" x14ac:dyDescent="0.25">
      <c r="A2141" s="94" t="s">
        <v>10125</v>
      </c>
      <c r="B2141" s="82" t="str">
        <f ca="1">IFERROR(INDEX(UNSPSCDes,MATCH(INDIRECT(ADDRESS(ROW(),COLUMN()-1,4)),UNSPSCCode,0)),IF(INDIRECT(ADDRESS(ROW(),COLUMN()-1,4))="51111513","Mesna",""))</f>
        <v>Mesna</v>
      </c>
      <c r="C2141" s="95" t="str">
        <f>IFERROR(VLOOKUP("UD",'Informacion '!P:Q,2,FALSE),"")</f>
        <v>Unidad</v>
      </c>
      <c r="D2141" s="94">
        <v>19</v>
      </c>
      <c r="E2141" s="84">
        <v>169.62</v>
      </c>
      <c r="F2141" s="83">
        <f t="shared" ca="1" si="95"/>
        <v>3222.78</v>
      </c>
    </row>
    <row r="2142" spans="1:6" ht="14.1" customHeight="1" x14ac:dyDescent="0.25">
      <c r="A2142" s="94" t="s">
        <v>16400</v>
      </c>
      <c r="B2142" s="82" t="str">
        <f ca="1">IFERROR(INDEX(UNSPSCDes,MATCH(INDIRECT(ADDRESS(ROW(),COLUMN()-1,4)),UNSPSCCode,0)),IF(INDIRECT(ADDRESS(ROW(),COLUMN()-1,4))="51111610","Metotrexato",""))</f>
        <v>Metotrexato</v>
      </c>
      <c r="C2142" s="95" t="str">
        <f>IFERROR(VLOOKUP("UD",'Informacion '!P:Q,2,FALSE),"")</f>
        <v>Unidad</v>
      </c>
      <c r="D2142" s="94">
        <v>126</v>
      </c>
      <c r="E2142" s="84">
        <v>379.18</v>
      </c>
      <c r="F2142" s="83">
        <f t="shared" ca="1" si="95"/>
        <v>47776.68</v>
      </c>
    </row>
    <row r="2143" spans="1:6" ht="14.1" customHeight="1" x14ac:dyDescent="0.25">
      <c r="A2143" s="94" t="s">
        <v>3143</v>
      </c>
      <c r="B2143" s="82" t="str">
        <f ca="1">IFERROR(INDEX(UNSPSCDes,MATCH(INDIRECT(ADDRESS(ROW(),COLUMN()-1,4)),UNSPSCCode,0)),IF(INDIRECT(ADDRESS(ROW(),COLUMN()-1,4))="51111519","Temozolomida",""))</f>
        <v>Temozolomida</v>
      </c>
      <c r="C2143" s="95" t="str">
        <f>IFERROR(VLOOKUP("UD",'Informacion '!P:Q,2,FALSE),"")</f>
        <v>Unidad</v>
      </c>
      <c r="D2143" s="94">
        <v>16</v>
      </c>
      <c r="E2143" s="84">
        <v>3000</v>
      </c>
      <c r="F2143" s="83">
        <f t="shared" ca="1" si="95"/>
        <v>48000</v>
      </c>
    </row>
    <row r="2144" spans="1:6" ht="14.1" customHeight="1" x14ac:dyDescent="0.25">
      <c r="A2144" s="94" t="s">
        <v>2095</v>
      </c>
      <c r="B2144" s="82" t="str">
        <f ca="1">IFERROR(INDEX(UNSPSCDes,MATCH(INDIRECT(ADDRESS(ROW(),COLUMN()-1,4)),UNSPSCCode,0)),IF(INDIRECT(ADDRESS(ROW(),COLUMN()-1,4))="51111812","Sulfato de vinblastina",""))</f>
        <v>Sulfato de vinblastina</v>
      </c>
      <c r="C2144" s="95" t="str">
        <f>IFERROR(VLOOKUP("UD",'Informacion '!P:Q,2,FALSE),"")</f>
        <v>Unidad</v>
      </c>
      <c r="D2144" s="94">
        <v>34</v>
      </c>
      <c r="E2144" s="84">
        <v>695.35</v>
      </c>
      <c r="F2144" s="83">
        <f t="shared" ca="1" si="95"/>
        <v>23641.9</v>
      </c>
    </row>
    <row r="2145" spans="1:6" ht="14.1" customHeight="1" x14ac:dyDescent="0.25">
      <c r="A2145" s="94" t="s">
        <v>1728</v>
      </c>
      <c r="B2145" s="82" t="str">
        <f ca="1">IFERROR(INDEX(UNSPSCDes,MATCH(INDIRECT(ADDRESS(ROW(),COLUMN()-1,4)),UNSPSCCode,0)),IF(INDIRECT(ADDRESS(ROW(),COLUMN()-1,4))="41106006","Radio nucleótidos o nucleosidos",""))</f>
        <v>Radio nucleótidos o nucleosidos</v>
      </c>
      <c r="C2145" s="95" t="str">
        <f>IFERROR(VLOOKUP("UD",'Informacion '!P:Q,2,FALSE),"")</f>
        <v>Unidad</v>
      </c>
      <c r="D2145" s="94">
        <v>4</v>
      </c>
      <c r="E2145" s="84">
        <v>32946.46</v>
      </c>
      <c r="F2145" s="83">
        <f t="shared" ca="1" si="95"/>
        <v>131785.84</v>
      </c>
    </row>
    <row r="2146" spans="1:6" ht="14.1" customHeight="1" x14ac:dyDescent="0.25">
      <c r="A2146" s="94" t="s">
        <v>10585</v>
      </c>
      <c r="B2146" s="82" t="str">
        <f ca="1">IFERROR(INDEX(UNSPSCDes,MATCH(INDIRECT(ADDRESS(ROW(),COLUMN()-1,4)),UNSPSCCode,0)),IF(INDIRECT(ADDRESS(ROW(),COLUMN()-1,4))="51111506","Cisplatino",""))</f>
        <v>Cisplatino</v>
      </c>
      <c r="C2146" s="95" t="str">
        <f>IFERROR(VLOOKUP("UD",'Informacion '!P:Q,2,FALSE),"")</f>
        <v>Unidad</v>
      </c>
      <c r="D2146" s="94">
        <v>278</v>
      </c>
      <c r="E2146" s="84">
        <v>456.33</v>
      </c>
      <c r="F2146" s="83">
        <f t="shared" ca="1" si="95"/>
        <v>126859.73999999999</v>
      </c>
    </row>
    <row r="2147" spans="1:6" ht="14.1" customHeight="1" x14ac:dyDescent="0.25">
      <c r="A2147" s="94" t="s">
        <v>15292</v>
      </c>
      <c r="B2147" s="82" t="str">
        <f ca="1">IFERROR(INDEX(UNSPSCDes,MATCH(INDIRECT(ADDRESS(ROW(),COLUMN()-1,4)),UNSPSCCode,0)),IF(INDIRECT(ADDRESS(ROW(),COLUMN()-1,4))="51111806","Clorhidrato de irinotecan",""))</f>
        <v>Clorhidrato de irinotecan</v>
      </c>
      <c r="C2147" s="95" t="str">
        <f>IFERROR(VLOOKUP("UD",'Informacion '!P:Q,2,FALSE),"")</f>
        <v>Unidad</v>
      </c>
      <c r="D2147" s="94">
        <v>20</v>
      </c>
      <c r="E2147" s="84">
        <v>8707.8799999999992</v>
      </c>
      <c r="F2147" s="83">
        <f t="shared" ca="1" si="95"/>
        <v>174157.59999999998</v>
      </c>
    </row>
    <row r="2148" spans="1:6" ht="14.1" customHeight="1" x14ac:dyDescent="0.25">
      <c r="A2148" s="94" t="s">
        <v>1906</v>
      </c>
      <c r="B2148" s="82" t="str">
        <f ca="1">IFERROR(INDEX(UNSPSCDes,MATCH(INDIRECT(ADDRESS(ROW(),COLUMN()-1,4)),UNSPSCCode,0)),IF(INDIRECT(ADDRESS(ROW(),COLUMN()-1,4))="51111606","Hidroxiurea",""))</f>
        <v>Hidroxiurea</v>
      </c>
      <c r="C2148" s="95" t="str">
        <f>IFERROR(VLOOKUP("UD",'Informacion '!P:Q,2,FALSE),"")</f>
        <v>Unidad</v>
      </c>
      <c r="D2148" s="94">
        <v>2</v>
      </c>
      <c r="E2148" s="84">
        <v>16</v>
      </c>
      <c r="F2148" s="83">
        <f t="shared" ca="1" si="95"/>
        <v>32</v>
      </c>
    </row>
    <row r="2149" spans="1:6" ht="14.1" customHeight="1" x14ac:dyDescent="0.25">
      <c r="A2149" s="94" t="s">
        <v>17588</v>
      </c>
      <c r="B2149" s="82" t="str">
        <f ca="1">IFERROR(INDEX(UNSPSCDes,MATCH(INDIRECT(ADDRESS(ROW(),COLUMN()-1,4)),UNSPSCCode,0)),IF(INDIRECT(ADDRESS(ROW(),COLUMN()-1,4))="51111503","Carboplatino",""))</f>
        <v>Carboplatino</v>
      </c>
      <c r="C2149" s="95" t="str">
        <f>IFERROR(VLOOKUP("UD",'Informacion '!P:Q,2,FALSE),"")</f>
        <v>Unidad</v>
      </c>
      <c r="D2149" s="94">
        <v>169</v>
      </c>
      <c r="E2149" s="84">
        <v>1331.98</v>
      </c>
      <c r="F2149" s="83">
        <f t="shared" ca="1" si="95"/>
        <v>225104.62</v>
      </c>
    </row>
    <row r="2150" spans="1:6" ht="14.1" customHeight="1" x14ac:dyDescent="0.25">
      <c r="A2150" s="94" t="s">
        <v>7830</v>
      </c>
      <c r="B2150" s="82" t="str">
        <f ca="1">IFERROR(INDEX(UNSPSCDes,MATCH(INDIRECT(ADDRESS(ROW(),COLUMN()-1,4)),UNSPSCCode,0)),IF(INDIRECT(ADDRESS(ROW(),COLUMN()-1,4))="51111809","Tamoxifeno",""))</f>
        <v>Tamoxifeno</v>
      </c>
      <c r="C2150" s="95" t="str">
        <f>IFERROR(VLOOKUP("UD",'Informacion '!P:Q,2,FALSE),"")</f>
        <v>Unidad</v>
      </c>
      <c r="D2150" s="94">
        <v>78</v>
      </c>
      <c r="E2150" s="84">
        <v>9.32</v>
      </c>
      <c r="F2150" s="83">
        <f t="shared" ca="1" si="95"/>
        <v>726.96</v>
      </c>
    </row>
    <row r="2151" spans="1:6" ht="14.1" customHeight="1" x14ac:dyDescent="0.25">
      <c r="A2151" s="94" t="s">
        <v>14924</v>
      </c>
      <c r="B2151" s="82" t="str">
        <f ca="1">IFERROR(INDEX(UNSPSCDes,MATCH(INDIRECT(ADDRESS(ROW(),COLUMN()-1,4)),UNSPSCCode,0)),IF(INDIRECT(ADDRESS(ROW(),COLUMN()-1,4))="51101549","Linezolida",""))</f>
        <v>Linezolida</v>
      </c>
      <c r="C2151" s="95" t="str">
        <f>IFERROR(VLOOKUP("UD",'Informacion '!P:Q,2,FALSE),"")</f>
        <v>Unidad</v>
      </c>
      <c r="D2151" s="94">
        <v>1</v>
      </c>
      <c r="E2151" s="84">
        <v>714.29</v>
      </c>
      <c r="F2151" s="83">
        <f t="shared" ca="1" si="95"/>
        <v>714.29</v>
      </c>
    </row>
    <row r="2152" spans="1:6" ht="14.1" customHeight="1" x14ac:dyDescent="0.25">
      <c r="A2152" s="94" t="s">
        <v>7830</v>
      </c>
      <c r="B2152" s="82" t="str">
        <f ca="1">IFERROR(INDEX(UNSPSCDes,MATCH(INDIRECT(ADDRESS(ROW(),COLUMN()-1,4)),UNSPSCCode,0)),IF(INDIRECT(ADDRESS(ROW(),COLUMN()-1,4))="51111809","Tamoxifeno",""))</f>
        <v>Tamoxifeno</v>
      </c>
      <c r="C2152" s="95" t="str">
        <f>IFERROR(VLOOKUP("UD",'Informacion '!P:Q,2,FALSE),"")</f>
        <v>Unidad</v>
      </c>
      <c r="D2152" s="94">
        <v>23</v>
      </c>
      <c r="E2152" s="84">
        <v>223.65</v>
      </c>
      <c r="F2152" s="83">
        <f t="shared" ca="1" si="95"/>
        <v>5143.95</v>
      </c>
    </row>
    <row r="2153" spans="1:6" ht="14.1" customHeight="1" x14ac:dyDescent="0.25">
      <c r="A2153" s="94" t="s">
        <v>14827</v>
      </c>
      <c r="B2153" s="82" t="str">
        <f ca="1">IFERROR(INDEX(UNSPSCDes,MATCH(INDIRECT(ADDRESS(ROW(),COLUMN()-1,4)),UNSPSCCode,0)),IF(INDIRECT(ADDRESS(ROW(),COLUMN()-1,4))="51211612","Leucovorina",""))</f>
        <v>Leucovorina</v>
      </c>
      <c r="C2153" s="95" t="str">
        <f>IFERROR(VLOOKUP("UD",'Informacion '!P:Q,2,FALSE),"")</f>
        <v>Unidad</v>
      </c>
      <c r="D2153" s="94">
        <v>1</v>
      </c>
      <c r="E2153" s="84">
        <v>371.09</v>
      </c>
      <c r="F2153" s="83">
        <f t="shared" ca="1" si="95"/>
        <v>371.09</v>
      </c>
    </row>
    <row r="2154" spans="1:6" ht="14.1" customHeight="1" x14ac:dyDescent="0.25">
      <c r="A2154" s="94" t="s">
        <v>6233</v>
      </c>
      <c r="B2154" s="82" t="str">
        <f ca="1">IFERROR(INDEX(UNSPSCDes,MATCH(INDIRECT(ADDRESS(ROW(),COLUMN()-1,4)),UNSPSCCode,0)),IF(INDIRECT(ADDRESS(ROW(),COLUMN()-1,4))="51111508","Dacarbazina",""))</f>
        <v>Dacarbazina</v>
      </c>
      <c r="C2154" s="95" t="str">
        <f>IFERROR(VLOOKUP("UD",'Informacion '!P:Q,2,FALSE),"")</f>
        <v>Unidad</v>
      </c>
      <c r="D2154" s="94">
        <v>85</v>
      </c>
      <c r="E2154" s="84">
        <v>943.33</v>
      </c>
      <c r="F2154" s="83">
        <f t="shared" ca="1" si="95"/>
        <v>80183.05</v>
      </c>
    </row>
    <row r="2155" spans="1:6" ht="14.1" customHeight="1" x14ac:dyDescent="0.25">
      <c r="A2155" s="94" t="s">
        <v>14357</v>
      </c>
      <c r="B2155" s="82" t="str">
        <f ca="1">IFERROR(INDEX(UNSPSCDes,MATCH(INDIRECT(ADDRESS(ROW(),COLUMN()-1,4)),UNSPSCCode,0)),IF(INDIRECT(ADDRESS(ROW(),COLUMN()-1,4))="51111602","Citarabina",""))</f>
        <v>Citarabina</v>
      </c>
      <c r="C2155" s="95" t="str">
        <f>IFERROR(VLOOKUP("UD",'Informacion '!P:Q,2,FALSE),"")</f>
        <v>Unidad</v>
      </c>
      <c r="D2155" s="94">
        <v>219</v>
      </c>
      <c r="E2155" s="84">
        <v>398.12</v>
      </c>
      <c r="F2155" s="83">
        <f t="shared" ca="1" si="95"/>
        <v>87188.28</v>
      </c>
    </row>
    <row r="2156" spans="1:6" ht="14.1" customHeight="1" x14ac:dyDescent="0.25">
      <c r="A2156" s="94" t="s">
        <v>14635</v>
      </c>
      <c r="B2156" s="82" t="str">
        <f ca="1">IFERROR(INDEX(UNSPSCDes,MATCH(INDIRECT(ADDRESS(ROW(),COLUMN()-1,4)),UNSPSCCode,0)),IF(INDIRECT(ADDRESS(ROW(),COLUMN()-1,4))="51111703","Daunorubicinas",""))</f>
        <v>Daunorubicinas</v>
      </c>
      <c r="C2156" s="95" t="str">
        <f>IFERROR(VLOOKUP("UD",'Informacion '!P:Q,2,FALSE),"")</f>
        <v>Unidad</v>
      </c>
      <c r="D2156" s="94">
        <v>50</v>
      </c>
      <c r="E2156" s="84">
        <v>1163.08</v>
      </c>
      <c r="F2156" s="83">
        <f t="shared" ca="1" si="95"/>
        <v>58154</v>
      </c>
    </row>
    <row r="2157" spans="1:6" ht="14.1" customHeight="1" x14ac:dyDescent="0.25">
      <c r="A2157" s="94" t="s">
        <v>2723</v>
      </c>
      <c r="B2157" s="82" t="str">
        <f ca="1">IFERROR(INDEX(UNSPSCDes,MATCH(INDIRECT(ADDRESS(ROW(),COLUMN()-1,4)),UNSPSCCode,0)),IF(INDIRECT(ADDRESS(ROW(),COLUMN()-1,4))="12352108","Esteres o sus sustitutos",""))</f>
        <v>Esteres o sus sustitutos</v>
      </c>
      <c r="C2157" s="95" t="str">
        <f>IFERROR(VLOOKUP("UD",'Informacion '!P:Q,2,FALSE),"")</f>
        <v>Unidad</v>
      </c>
      <c r="D2157" s="94">
        <v>77</v>
      </c>
      <c r="E2157" s="84">
        <v>138</v>
      </c>
      <c r="F2157" s="83">
        <f t="shared" ca="1" si="95"/>
        <v>10626</v>
      </c>
    </row>
    <row r="2158" spans="1:6" ht="14.1" customHeight="1" x14ac:dyDescent="0.25">
      <c r="A2158" s="94" t="s">
        <v>5102</v>
      </c>
      <c r="B2158" s="82" t="str">
        <f ca="1">IFERROR(INDEX(UNSPSCDes,MATCH(INDIRECT(ADDRESS(ROW(),COLUMN()-1,4)),UNSPSCCode,0)),IF(INDIRECT(ADDRESS(ROW(),COLUMN()-1,4))="51111904","Paclitaxel",""))</f>
        <v>Paclitaxel</v>
      </c>
      <c r="C2158" s="95" t="str">
        <f>IFERROR(VLOOKUP("UD",'Informacion '!P:Q,2,FALSE),"")</f>
        <v>Unidad</v>
      </c>
      <c r="D2158" s="94">
        <v>1</v>
      </c>
      <c r="E2158" s="84">
        <v>50583.87</v>
      </c>
      <c r="F2158" s="83">
        <f t="shared" ca="1" si="95"/>
        <v>50583.87</v>
      </c>
    </row>
    <row r="2159" spans="1:6" ht="14.1" customHeight="1" x14ac:dyDescent="0.25">
      <c r="A2159" s="94" t="s">
        <v>1751</v>
      </c>
      <c r="B2159" s="82" t="str">
        <f ca="1">IFERROR(INDEX(UNSPSCDes,MATCH(INDIRECT(ADDRESS(ROW(),COLUMN()-1,4)),UNSPSCCode,0)),IF(INDIRECT(ADDRESS(ROW(),COLUMN()-1,4))="51111701","Sulfato de bleomicina",""))</f>
        <v>Sulfato de bleomicina</v>
      </c>
      <c r="C2159" s="95" t="str">
        <f>IFERROR(VLOOKUP("UD",'Informacion '!P:Q,2,FALSE),"")</f>
        <v>Unidad</v>
      </c>
      <c r="D2159" s="94">
        <v>89</v>
      </c>
      <c r="E2159" s="84">
        <v>1100</v>
      </c>
      <c r="F2159" s="83">
        <f t="shared" ca="1" si="95"/>
        <v>97900</v>
      </c>
    </row>
    <row r="2160" spans="1:6" ht="14.1" customHeight="1" x14ac:dyDescent="0.25">
      <c r="A2160" s="94" t="s">
        <v>3201</v>
      </c>
      <c r="B2160" s="82" t="str">
        <f ca="1">IFERROR(INDEX(UNSPSCDes,MATCH(INDIRECT(ADDRESS(ROW(),COLUMN()-1,4)),UNSPSCCode,0)),IF(INDIRECT(ADDRESS(ROW(),COLUMN()-1,4))="51111702","Dactinomicina",""))</f>
        <v>Dactinomicina</v>
      </c>
      <c r="C2160" s="95" t="str">
        <f>IFERROR(VLOOKUP("UD",'Informacion '!P:Q,2,FALSE),"")</f>
        <v>Unidad</v>
      </c>
      <c r="D2160" s="94">
        <v>30</v>
      </c>
      <c r="E2160" s="84">
        <v>1248.8599999999999</v>
      </c>
      <c r="F2160" s="83">
        <f t="shared" ca="1" si="95"/>
        <v>37465.799999999996</v>
      </c>
    </row>
    <row r="2161" spans="1:10" ht="14.1" customHeight="1" x14ac:dyDescent="0.25">
      <c r="A2161" s="94" t="s">
        <v>12663</v>
      </c>
      <c r="B2161" s="82" t="str">
        <f ca="1">IFERROR(INDEX(UNSPSCDes,MATCH(INDIRECT(ADDRESS(ROW(),COLUMN()-1,4)),UNSPSCCode,0)),IF(INDIRECT(ADDRESS(ROW(),COLUMN()-1,4))="51111805","Acetato de goserelina",""))</f>
        <v>Acetato de goserelina</v>
      </c>
      <c r="C2161" s="95" t="str">
        <f>IFERROR(VLOOKUP("UD",'Informacion '!P:Q,2,FALSE),"")</f>
        <v>Unidad</v>
      </c>
      <c r="D2161" s="94">
        <v>10</v>
      </c>
      <c r="E2161" s="84">
        <v>22600</v>
      </c>
      <c r="F2161" s="83">
        <f t="shared" ca="1" si="95"/>
        <v>226000</v>
      </c>
    </row>
    <row r="2162" spans="1:10" ht="14.1" customHeight="1" x14ac:dyDescent="0.25">
      <c r="A2162" s="94" t="s">
        <v>12474</v>
      </c>
      <c r="B2162" s="82" t="str">
        <f ca="1">IFERROR(INDEX(UNSPSCDes,MATCH(INDIRECT(ADDRESS(ROW(),COLUMN()-1,4)),UNSPSCCode,0)),IF(INDIRECT(ADDRESS(ROW(),COLUMN()-1,4))="51181713","Prednisona",""))</f>
        <v>Prednisona</v>
      </c>
      <c r="C2162" s="95" t="str">
        <f>IFERROR(VLOOKUP("UD",'Informacion '!P:Q,2,FALSE),"")</f>
        <v>Unidad</v>
      </c>
      <c r="D2162" s="94">
        <v>155</v>
      </c>
      <c r="E2162" s="84">
        <v>7.54</v>
      </c>
      <c r="F2162" s="83">
        <f t="shared" ca="1" si="95"/>
        <v>1168.7</v>
      </c>
    </row>
    <row r="2163" spans="1:10" ht="14.1" customHeight="1" x14ac:dyDescent="0.25">
      <c r="A2163" s="94" t="s">
        <v>7316</v>
      </c>
      <c r="B2163" s="82" t="str">
        <f ca="1">IFERROR(INDEX(UNSPSCDes,MATCH(INDIRECT(ADDRESS(ROW(),COLUMN()-1,4)),UNSPSCCode,0)),IF(INDIRECT(ADDRESS(ROW(),COLUMN()-1,4))="51111813","Sulfato de vincristina",""))</f>
        <v>Sulfato de vincristina</v>
      </c>
      <c r="C2163" s="95" t="str">
        <f>IFERROR(VLOOKUP("UD",'Informacion '!P:Q,2,FALSE),"")</f>
        <v>Unidad</v>
      </c>
      <c r="D2163" s="94">
        <v>122</v>
      </c>
      <c r="E2163" s="84">
        <v>225.72</v>
      </c>
      <c r="F2163" s="83">
        <f t="shared" ca="1" si="95"/>
        <v>27537.84</v>
      </c>
    </row>
    <row r="2164" spans="1:10" ht="14.1" customHeight="1" x14ac:dyDescent="0.25">
      <c r="A2164" s="94" t="s">
        <v>15432</v>
      </c>
      <c r="B2164" s="82" t="str">
        <f ca="1">IFERROR(INDEX(UNSPSCDes,MATCH(INDIRECT(ADDRESS(ROW(),COLUMN()-1,4)),UNSPSCCode,0)),IF(INDIRECT(ADDRESS(ROW(),COLUMN()-1,4))="51141518","Levetiracetam",""))</f>
        <v>Levetiracetam</v>
      </c>
      <c r="C2164" s="95" t="str">
        <f>IFERROR(VLOOKUP("UD",'Informacion '!P:Q,2,FALSE),"")</f>
        <v>Unidad</v>
      </c>
      <c r="D2164" s="94">
        <v>5</v>
      </c>
      <c r="E2164" s="84">
        <v>22.07</v>
      </c>
      <c r="F2164" s="83">
        <f t="shared" ca="1" si="95"/>
        <v>110.35</v>
      </c>
    </row>
    <row r="2165" spans="1:10" ht="14.1" customHeight="1" x14ac:dyDescent="0.25">
      <c r="A2165" s="94" t="s">
        <v>9396</v>
      </c>
      <c r="B2165" s="82" t="str">
        <f ca="1">IFERROR(INDEX(UNSPSCDes,MATCH(INDIRECT(ADDRESS(ROW(),COLUMN()-1,4)),UNSPSCCode,0)),IF(INDIRECT(ADDRESS(ROW(),COLUMN()-1,4))="51171822","Clorhidrato de palonosetrón",""))</f>
        <v>Clorhidrato de palonosetrón</v>
      </c>
      <c r="C2165" s="95" t="str">
        <f>IFERROR(VLOOKUP("UD",'Informacion '!P:Q,2,FALSE),"")</f>
        <v>Unidad</v>
      </c>
      <c r="D2165" s="94">
        <v>2</v>
      </c>
      <c r="E2165" s="84">
        <v>1000</v>
      </c>
      <c r="F2165" s="83">
        <f t="shared" ca="1" si="95"/>
        <v>2000</v>
      </c>
    </row>
    <row r="2166" spans="1:10" ht="14.1" customHeight="1" x14ac:dyDescent="0.25">
      <c r="E2166" s="96" t="s">
        <v>7213</v>
      </c>
      <c r="F2166" s="87">
        <f ca="1">SUM(Table87[MONTO TOTAL ESTIMADO])</f>
        <v>2234498.0800000005</v>
      </c>
      <c r="H2166" s="39" t="str">
        <f>C2123</f>
        <v>Bienes</v>
      </c>
      <c r="I2166" s="39" t="str">
        <f>E2123</f>
        <v>No</v>
      </c>
      <c r="J2166" s="39" t="str">
        <f>D2123</f>
        <v>Comparacion de Precios</v>
      </c>
    </row>
    <row r="2168" spans="1:10" ht="33.950000000000003" customHeight="1" x14ac:dyDescent="0.25">
      <c r="A2168" s="77" t="s">
        <v>17233</v>
      </c>
      <c r="B2168" s="77" t="s">
        <v>4237</v>
      </c>
      <c r="C2168" s="77" t="s">
        <v>4743</v>
      </c>
      <c r="D2168" s="77" t="s">
        <v>9891</v>
      </c>
      <c r="E2168" s="77" t="s">
        <v>3089</v>
      </c>
      <c r="F2168" s="77" t="s">
        <v>18141</v>
      </c>
    </row>
    <row r="2169" spans="1:10" ht="14.1" customHeight="1" x14ac:dyDescent="0.25">
      <c r="A2169" s="79" t="s">
        <v>3648</v>
      </c>
      <c r="B2169" s="79" t="s">
        <v>79</v>
      </c>
      <c r="C2169" s="79" t="s">
        <v>17215</v>
      </c>
      <c r="D2169" s="79" t="s">
        <v>17798</v>
      </c>
      <c r="E2169" s="79" t="s">
        <v>18247</v>
      </c>
      <c r="F2169" s="79"/>
    </row>
    <row r="2170" spans="1:10" ht="14.1" customHeight="1" x14ac:dyDescent="0.25">
      <c r="A2170" s="2" t="s">
        <v>6643</v>
      </c>
      <c r="B2170" s="80" t="s">
        <v>1046</v>
      </c>
      <c r="C2170" s="90">
        <v>43556</v>
      </c>
      <c r="D2170" s="2" t="s">
        <v>59</v>
      </c>
      <c r="E2170" s="92" t="s">
        <v>20066</v>
      </c>
      <c r="F2170" s="93" t="s">
        <v>5684</v>
      </c>
    </row>
    <row r="2171" spans="1:10" ht="14.1" customHeight="1" x14ac:dyDescent="0.25">
      <c r="A2171" s="1"/>
      <c r="B2171" s="80" t="s">
        <v>10788</v>
      </c>
      <c r="C2171" s="91">
        <f>IF(C2170="","",IF(AND(MONTH(C2170)&gt;=1,MONTH(C2170)&lt;=3),1,IF(AND(MONTH(C2170)&gt;=4,MONTH(C2170)&lt;=6),2,IF(AND(MONTH(C2170)&gt;=7,MONTH(C2170)&lt;=9),3,4))))</f>
        <v>2</v>
      </c>
      <c r="D2171" s="1"/>
      <c r="E2171" s="92" t="s">
        <v>14822</v>
      </c>
      <c r="F2171" s="93"/>
    </row>
    <row r="2172" spans="1:10" ht="14.1" customHeight="1" x14ac:dyDescent="0.25">
      <c r="A2172" s="1"/>
      <c r="B2172" s="80" t="s">
        <v>13758</v>
      </c>
      <c r="C2172" s="90">
        <v>43644</v>
      </c>
      <c r="D2172" s="1"/>
      <c r="E2172" s="92" t="s">
        <v>18636</v>
      </c>
      <c r="F2172" s="93"/>
    </row>
    <row r="2173" spans="1:10" ht="14.1" customHeight="1" x14ac:dyDescent="0.25">
      <c r="A2173" s="1"/>
      <c r="B2173" s="80" t="s">
        <v>10788</v>
      </c>
      <c r="C2173" s="91">
        <f>IF(C2172="","",IF(AND(MONTH(C2172)&gt;=1,MONTH(C2172)&lt;=3),1,IF(AND(MONTH(C2172)&gt;=4,MONTH(C2172)&lt;=6),2,IF(AND(MONTH(C2172)&gt;=7,MONTH(C2172)&lt;=9),3,4))))</f>
        <v>2</v>
      </c>
      <c r="D2173" s="1"/>
      <c r="E2173" s="92" t="s">
        <v>15990</v>
      </c>
      <c r="F2173" s="93"/>
    </row>
    <row r="2175" spans="1:10" ht="14.1" customHeight="1" x14ac:dyDescent="0.25">
      <c r="A2175" s="85" t="s">
        <v>15474</v>
      </c>
      <c r="B2175" s="85" t="s">
        <v>5027</v>
      </c>
      <c r="C2175" s="85" t="s">
        <v>17461</v>
      </c>
      <c r="D2175" s="85" t="s">
        <v>3935</v>
      </c>
      <c r="E2175" s="85" t="s">
        <v>10722</v>
      </c>
      <c r="F2175" s="85" t="s">
        <v>18237</v>
      </c>
    </row>
    <row r="2176" spans="1:10" ht="14.1" customHeight="1" x14ac:dyDescent="0.25">
      <c r="A2176" s="94" t="s">
        <v>10483</v>
      </c>
      <c r="B2176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176" s="95" t="str">
        <f>IFERROR(VLOOKUP("UD",'Informacion '!P:Q,2,FALSE),"")</f>
        <v>Unidad</v>
      </c>
      <c r="D2176" s="94">
        <v>12</v>
      </c>
      <c r="E2176" s="84">
        <v>510.62</v>
      </c>
      <c r="F2176" s="83">
        <f t="shared" ref="F2176:F2191" ca="1" si="96">INDIRECT(ADDRESS(ROW(),COLUMN()-2,4))*INDIRECT(ADDRESS(ROW(),COLUMN()-1,4))</f>
        <v>6127.4400000000005</v>
      </c>
    </row>
    <row r="2177" spans="1:10" ht="14.1" customHeight="1" x14ac:dyDescent="0.25">
      <c r="A2177" s="94" t="s">
        <v>10483</v>
      </c>
      <c r="B217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177" s="95" t="str">
        <f>IFERROR(VLOOKUP("UD",'Informacion '!P:Q,2,FALSE),"")</f>
        <v>Unidad</v>
      </c>
      <c r="D2177" s="94">
        <v>2</v>
      </c>
      <c r="E2177" s="84">
        <v>564.58000000000004</v>
      </c>
      <c r="F2177" s="83">
        <f t="shared" ca="1" si="96"/>
        <v>1129.1600000000001</v>
      </c>
    </row>
    <row r="2178" spans="1:10" ht="14.1" customHeight="1" x14ac:dyDescent="0.25">
      <c r="A2178" s="94" t="s">
        <v>18181</v>
      </c>
      <c r="B2178" s="82" t="str">
        <f t="shared" ref="B2178:B2188" ca="1" si="97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2178" s="95" t="str">
        <f>IFERROR(VLOOKUP("UD",'Informacion '!P:Q,2,FALSE),"")</f>
        <v>Unidad</v>
      </c>
      <c r="D2178" s="94">
        <v>2</v>
      </c>
      <c r="E2178" s="84">
        <v>48.38</v>
      </c>
      <c r="F2178" s="83">
        <f t="shared" ca="1" si="96"/>
        <v>96.76</v>
      </c>
    </row>
    <row r="2179" spans="1:10" ht="14.1" customHeight="1" x14ac:dyDescent="0.25">
      <c r="A2179" s="94" t="s">
        <v>18181</v>
      </c>
      <c r="B2179" s="82" t="str">
        <f t="shared" ca="1" si="97"/>
        <v>Kits de cricotiroidotomía o tubo traqueal para servicios médicos de emergencia</v>
      </c>
      <c r="C2179" s="95" t="str">
        <f>IFERROR(VLOOKUP("UD",'Informacion '!P:Q,2,FALSE),"")</f>
        <v>Unidad</v>
      </c>
      <c r="D2179" s="94">
        <v>6</v>
      </c>
      <c r="E2179" s="84">
        <v>236</v>
      </c>
      <c r="F2179" s="83">
        <f t="shared" ca="1" si="96"/>
        <v>1416</v>
      </c>
    </row>
    <row r="2180" spans="1:10" ht="14.1" customHeight="1" x14ac:dyDescent="0.25">
      <c r="A2180" s="94" t="s">
        <v>18181</v>
      </c>
      <c r="B2180" s="82" t="str">
        <f t="shared" ca="1" si="97"/>
        <v>Kits de cricotiroidotomía o tubo traqueal para servicios médicos de emergencia</v>
      </c>
      <c r="C2180" s="95" t="str">
        <f>IFERROR(VLOOKUP("UD",'Informacion '!P:Q,2,FALSE),"")</f>
        <v>Unidad</v>
      </c>
      <c r="D2180" s="94">
        <v>4</v>
      </c>
      <c r="E2180" s="84">
        <v>236</v>
      </c>
      <c r="F2180" s="83">
        <f t="shared" ca="1" si="96"/>
        <v>944</v>
      </c>
    </row>
    <row r="2181" spans="1:10" ht="14.1" customHeight="1" x14ac:dyDescent="0.25">
      <c r="A2181" s="94" t="s">
        <v>18181</v>
      </c>
      <c r="B2181" s="82" t="str">
        <f t="shared" ca="1" si="97"/>
        <v>Kits de cricotiroidotomía o tubo traqueal para servicios médicos de emergencia</v>
      </c>
      <c r="C2181" s="95" t="str">
        <f>IFERROR(VLOOKUP("UD",'Informacion '!P:Q,2,FALSE),"")</f>
        <v>Unidad</v>
      </c>
      <c r="D2181" s="94">
        <v>4</v>
      </c>
      <c r="E2181" s="84">
        <v>235.79</v>
      </c>
      <c r="F2181" s="83">
        <f t="shared" ca="1" si="96"/>
        <v>943.16</v>
      </c>
    </row>
    <row r="2182" spans="1:10" ht="14.1" customHeight="1" x14ac:dyDescent="0.25">
      <c r="A2182" s="94" t="s">
        <v>18181</v>
      </c>
      <c r="B2182" s="82" t="str">
        <f t="shared" ca="1" si="97"/>
        <v>Kits de cricotiroidotomía o tubo traqueal para servicios médicos de emergencia</v>
      </c>
      <c r="C2182" s="95" t="str">
        <f>IFERROR(VLOOKUP("UD",'Informacion '!P:Q,2,FALSE),"")</f>
        <v>Unidad</v>
      </c>
      <c r="D2182" s="94">
        <v>2</v>
      </c>
      <c r="E2182" s="84">
        <v>34</v>
      </c>
      <c r="F2182" s="83">
        <f t="shared" ca="1" si="96"/>
        <v>68</v>
      </c>
    </row>
    <row r="2183" spans="1:10" ht="14.1" customHeight="1" x14ac:dyDescent="0.25">
      <c r="A2183" s="94" t="s">
        <v>18181</v>
      </c>
      <c r="B2183" s="82" t="str">
        <f t="shared" ca="1" si="97"/>
        <v>Kits de cricotiroidotomía o tubo traqueal para servicios médicos de emergencia</v>
      </c>
      <c r="C2183" s="95" t="str">
        <f>IFERROR(VLOOKUP("UD",'Informacion '!P:Q,2,FALSE),"")</f>
        <v>Unidad</v>
      </c>
      <c r="D2183" s="94">
        <v>2</v>
      </c>
      <c r="E2183" s="84">
        <v>27.03</v>
      </c>
      <c r="F2183" s="83">
        <f t="shared" ca="1" si="96"/>
        <v>54.06</v>
      </c>
    </row>
    <row r="2184" spans="1:10" ht="14.1" customHeight="1" x14ac:dyDescent="0.25">
      <c r="A2184" s="94" t="s">
        <v>18181</v>
      </c>
      <c r="B2184" s="82" t="str">
        <f t="shared" ca="1" si="97"/>
        <v>Kits de cricotiroidotomía o tubo traqueal para servicios médicos de emergencia</v>
      </c>
      <c r="C2184" s="95" t="str">
        <f>IFERROR(VLOOKUP("UD",'Informacion '!P:Q,2,FALSE),"")</f>
        <v>Unidad</v>
      </c>
      <c r="D2184" s="94">
        <v>2</v>
      </c>
      <c r="E2184" s="84">
        <v>32.659999999999997</v>
      </c>
      <c r="F2184" s="83">
        <f t="shared" ca="1" si="96"/>
        <v>65.319999999999993</v>
      </c>
    </row>
    <row r="2185" spans="1:10" ht="14.1" customHeight="1" x14ac:dyDescent="0.25">
      <c r="A2185" s="94" t="s">
        <v>18181</v>
      </c>
      <c r="B2185" s="82" t="str">
        <f t="shared" ca="1" si="97"/>
        <v>Kits de cricotiroidotomía o tubo traqueal para servicios médicos de emergencia</v>
      </c>
      <c r="C2185" s="95" t="str">
        <f>IFERROR(VLOOKUP("UD",'Informacion '!P:Q,2,FALSE),"")</f>
        <v>Unidad</v>
      </c>
      <c r="D2185" s="94">
        <v>2</v>
      </c>
      <c r="E2185" s="84">
        <v>41.47</v>
      </c>
      <c r="F2185" s="83">
        <f t="shared" ca="1" si="96"/>
        <v>82.94</v>
      </c>
    </row>
    <row r="2186" spans="1:10" ht="14.1" customHeight="1" x14ac:dyDescent="0.25">
      <c r="A2186" s="94" t="s">
        <v>18181</v>
      </c>
      <c r="B2186" s="82" t="str">
        <f t="shared" ca="1" si="97"/>
        <v>Kits de cricotiroidotomía o tubo traqueal para servicios médicos de emergencia</v>
      </c>
      <c r="C2186" s="95" t="str">
        <f>IFERROR(VLOOKUP("UD",'Informacion '!P:Q,2,FALSE),"")</f>
        <v>Unidad</v>
      </c>
      <c r="D2186" s="94">
        <v>20</v>
      </c>
      <c r="E2186" s="84">
        <v>49.56</v>
      </c>
      <c r="F2186" s="83">
        <f t="shared" ca="1" si="96"/>
        <v>991.2</v>
      </c>
    </row>
    <row r="2187" spans="1:10" ht="14.1" customHeight="1" x14ac:dyDescent="0.25">
      <c r="A2187" s="94" t="s">
        <v>18181</v>
      </c>
      <c r="B2187" s="82" t="str">
        <f t="shared" ca="1" si="97"/>
        <v>Kits de cricotiroidotomía o tubo traqueal para servicios médicos de emergencia</v>
      </c>
      <c r="C2187" s="95" t="str">
        <f>IFERROR(VLOOKUP("UD",'Informacion '!P:Q,2,FALSE),"")</f>
        <v>Unidad</v>
      </c>
      <c r="D2187" s="94">
        <v>32</v>
      </c>
      <c r="E2187" s="84">
        <v>45.69</v>
      </c>
      <c r="F2187" s="83">
        <f t="shared" ca="1" si="96"/>
        <v>1462.08</v>
      </c>
    </row>
    <row r="2188" spans="1:10" ht="14.1" customHeight="1" x14ac:dyDescent="0.25">
      <c r="A2188" s="94" t="s">
        <v>18181</v>
      </c>
      <c r="B2188" s="82" t="str">
        <f t="shared" ca="1" si="97"/>
        <v>Kits de cricotiroidotomía o tubo traqueal para servicios médicos de emergencia</v>
      </c>
      <c r="C2188" s="95" t="str">
        <f>IFERROR(VLOOKUP("UD",'Informacion '!P:Q,2,FALSE),"")</f>
        <v>Unidad</v>
      </c>
      <c r="D2188" s="94">
        <v>14</v>
      </c>
      <c r="E2188" s="84">
        <v>2909</v>
      </c>
      <c r="F2188" s="83">
        <f t="shared" ca="1" si="96"/>
        <v>40726</v>
      </c>
    </row>
    <row r="2189" spans="1:10" ht="14.1" customHeight="1" x14ac:dyDescent="0.25">
      <c r="A2189" s="94" t="s">
        <v>4226</v>
      </c>
      <c r="B2189" s="82" t="str">
        <f ca="1">IFERROR(INDEX(UNSPSCDes,MATCH(INDIRECT(ADDRESS(ROW(),COLUMN()-1,4)),UNSPSCCode,0)),IF(INDIRECT(ADDRESS(ROW(),COLUMN()-1,4))="10141609","Sujetadores",""))</f>
        <v>Sujetadores</v>
      </c>
      <c r="C2189" s="95" t="str">
        <f>IFERROR(VLOOKUP("UD",'Informacion '!P:Q,2,FALSE),"")</f>
        <v>Unidad</v>
      </c>
      <c r="D2189" s="94">
        <v>22</v>
      </c>
      <c r="E2189" s="84">
        <v>667.88</v>
      </c>
      <c r="F2189" s="83">
        <f t="shared" ca="1" si="96"/>
        <v>14693.36</v>
      </c>
    </row>
    <row r="2190" spans="1:10" ht="14.1" customHeight="1" x14ac:dyDescent="0.25">
      <c r="A2190" s="94" t="s">
        <v>10550</v>
      </c>
      <c r="B2190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2190" s="95" t="str">
        <f>IFERROR(VLOOKUP("UD",'Informacion '!P:Q,2,FALSE),"")</f>
        <v>Unidad</v>
      </c>
      <c r="D2190" s="94">
        <v>4</v>
      </c>
      <c r="E2190" s="84">
        <v>3500</v>
      </c>
      <c r="F2190" s="83">
        <f t="shared" ca="1" si="96"/>
        <v>14000</v>
      </c>
    </row>
    <row r="2191" spans="1:10" ht="14.1" customHeight="1" x14ac:dyDescent="0.25">
      <c r="A2191" s="94" t="s">
        <v>4226</v>
      </c>
      <c r="B2191" s="82" t="str">
        <f ca="1">IFERROR(INDEX(UNSPSCDes,MATCH(INDIRECT(ADDRESS(ROW(),COLUMN()-1,4)),UNSPSCCode,0)),IF(INDIRECT(ADDRESS(ROW(),COLUMN()-1,4))="10141609","Sujetadores",""))</f>
        <v>Sujetadores</v>
      </c>
      <c r="C2191" s="95" t="str">
        <f>IFERROR(VLOOKUP("UD",'Informacion '!P:Q,2,FALSE),"")</f>
        <v>Unidad</v>
      </c>
      <c r="D2191" s="94">
        <v>12</v>
      </c>
      <c r="E2191" s="84">
        <v>1005.8</v>
      </c>
      <c r="F2191" s="83">
        <f t="shared" ca="1" si="96"/>
        <v>12069.599999999999</v>
      </c>
    </row>
    <row r="2192" spans="1:10" ht="14.1" customHeight="1" x14ac:dyDescent="0.25">
      <c r="E2192" s="96" t="s">
        <v>7213</v>
      </c>
      <c r="F2192" s="87">
        <f ca="1">SUM(Table88[MONTO TOTAL ESTIMADO])</f>
        <v>94869.080000000016</v>
      </c>
      <c r="H2192" s="39" t="str">
        <f>C2169</f>
        <v>Bienes</v>
      </c>
      <c r="I2192" s="39" t="str">
        <f>E2169</f>
        <v>No</v>
      </c>
      <c r="J2192" s="39" t="str">
        <f>D2169</f>
        <v>Compras Menores</v>
      </c>
    </row>
    <row r="2194" spans="1:6" ht="33.950000000000003" customHeight="1" x14ac:dyDescent="0.25">
      <c r="A2194" s="77" t="s">
        <v>17233</v>
      </c>
      <c r="B2194" s="77" t="s">
        <v>4237</v>
      </c>
      <c r="C2194" s="77" t="s">
        <v>4743</v>
      </c>
      <c r="D2194" s="77" t="s">
        <v>9891</v>
      </c>
      <c r="E2194" s="77" t="s">
        <v>3089</v>
      </c>
      <c r="F2194" s="77" t="s">
        <v>18141</v>
      </c>
    </row>
    <row r="2195" spans="1:6" ht="14.1" customHeight="1" x14ac:dyDescent="0.25">
      <c r="A2195" s="79" t="s">
        <v>5831</v>
      </c>
      <c r="B2195" s="79" t="s">
        <v>8271</v>
      </c>
      <c r="C2195" s="79" t="s">
        <v>17215</v>
      </c>
      <c r="D2195" s="79" t="s">
        <v>15249</v>
      </c>
      <c r="E2195" s="79" t="s">
        <v>18247</v>
      </c>
      <c r="F2195" s="79"/>
    </row>
    <row r="2196" spans="1:6" ht="14.1" customHeight="1" x14ac:dyDescent="0.25">
      <c r="A2196" s="2" t="s">
        <v>6643</v>
      </c>
      <c r="B2196" s="80" t="s">
        <v>1046</v>
      </c>
      <c r="C2196" s="90">
        <v>43556</v>
      </c>
      <c r="D2196" s="2" t="s">
        <v>59</v>
      </c>
      <c r="E2196" s="92" t="s">
        <v>20066</v>
      </c>
      <c r="F2196" s="93"/>
    </row>
    <row r="2197" spans="1:6" ht="14.1" customHeight="1" x14ac:dyDescent="0.25">
      <c r="A2197" s="1"/>
      <c r="B2197" s="80" t="s">
        <v>10788</v>
      </c>
      <c r="C2197" s="91">
        <f>IF(C2196="","",IF(AND(MONTH(C2196)&gt;=1,MONTH(C2196)&lt;=3),1,IF(AND(MONTH(C2196)&gt;=4,MONTH(C2196)&lt;=6),2,IF(AND(MONTH(C2196)&gt;=7,MONTH(C2196)&lt;=9),3,4))))</f>
        <v>2</v>
      </c>
      <c r="D2197" s="1"/>
      <c r="E2197" s="92" t="s">
        <v>14822</v>
      </c>
      <c r="F2197" s="93"/>
    </row>
    <row r="2198" spans="1:6" ht="14.1" customHeight="1" x14ac:dyDescent="0.25">
      <c r="A2198" s="1"/>
      <c r="B2198" s="80" t="s">
        <v>13758</v>
      </c>
      <c r="C2198" s="90">
        <v>43644</v>
      </c>
      <c r="D2198" s="1"/>
      <c r="E2198" s="92" t="s">
        <v>18636</v>
      </c>
      <c r="F2198" s="93"/>
    </row>
    <row r="2199" spans="1:6" ht="14.1" customHeight="1" x14ac:dyDescent="0.25">
      <c r="A2199" s="1"/>
      <c r="B2199" s="80" t="s">
        <v>10788</v>
      </c>
      <c r="C2199" s="91">
        <f>IF(C2198="","",IF(AND(MONTH(C2198)&gt;=1,MONTH(C2198)&lt;=3),1,IF(AND(MONTH(C2198)&gt;=4,MONTH(C2198)&lt;=6),2,IF(AND(MONTH(C2198)&gt;=7,MONTH(C2198)&lt;=9),3,4))))</f>
        <v>2</v>
      </c>
      <c r="D2199" s="1"/>
      <c r="E2199" s="92" t="s">
        <v>15990</v>
      </c>
      <c r="F2199" s="93"/>
    </row>
    <row r="2201" spans="1:6" ht="14.1" customHeight="1" x14ac:dyDescent="0.25">
      <c r="A2201" s="85" t="s">
        <v>15474</v>
      </c>
      <c r="B2201" s="85" t="s">
        <v>5027</v>
      </c>
      <c r="C2201" s="85" t="s">
        <v>17461</v>
      </c>
      <c r="D2201" s="85" t="s">
        <v>3935</v>
      </c>
      <c r="E2201" s="85" t="s">
        <v>10722</v>
      </c>
      <c r="F2201" s="85" t="s">
        <v>18237</v>
      </c>
    </row>
    <row r="2202" spans="1:6" ht="14.1" customHeight="1" x14ac:dyDescent="0.25">
      <c r="A2202" s="94" t="s">
        <v>7570</v>
      </c>
      <c r="B2202" s="82" t="str">
        <f ca="1">IFERROR(INDEX(UNSPSCDes,MATCH(INDIRECT(ADDRESS(ROW(),COLUMN()-1,4)),UNSPSCCode,0)),IF(INDIRECT(ADDRESS(ROW(),COLUMN()-1,4))="51171816","Ondansetrón",""))</f>
        <v>Ondansetrón</v>
      </c>
      <c r="C2202" s="95" t="str">
        <f>IFERROR(VLOOKUP("UD",'Informacion '!P:Q,2,FALSE),"")</f>
        <v>Unidad</v>
      </c>
      <c r="D2202" s="94">
        <v>797</v>
      </c>
      <c r="E2202" s="84">
        <v>83.25</v>
      </c>
      <c r="F2202" s="83">
        <f t="shared" ref="F2202:F2237" ca="1" si="98">INDIRECT(ADDRESS(ROW(),COLUMN()-2,4))*INDIRECT(ADDRESS(ROW(),COLUMN()-1,4))</f>
        <v>66350.25</v>
      </c>
    </row>
    <row r="2203" spans="1:6" ht="14.1" customHeight="1" x14ac:dyDescent="0.25">
      <c r="A2203" s="94" t="s">
        <v>12592</v>
      </c>
      <c r="B2203" s="82" t="str">
        <f ca="1">IFERROR(INDEX(UNSPSCDes,MATCH(INDIRECT(ADDRESS(ROW(),COLUMN()-1,4)),UNSPSCCode,0)),IF(INDIRECT(ADDRESS(ROW(),COLUMN()-1,4))="51111801","Anastrozol",""))</f>
        <v>Anastrozol</v>
      </c>
      <c r="C2203" s="95" t="str">
        <f>IFERROR(VLOOKUP("UD",'Informacion '!P:Q,2,FALSE),"")</f>
        <v>Unidad</v>
      </c>
      <c r="D2203" s="94">
        <v>102</v>
      </c>
      <c r="E2203" s="84">
        <v>34.450000000000003</v>
      </c>
      <c r="F2203" s="83">
        <f t="shared" ca="1" si="98"/>
        <v>3513.9</v>
      </c>
    </row>
    <row r="2204" spans="1:6" ht="14.1" customHeight="1" x14ac:dyDescent="0.25">
      <c r="A2204" s="94" t="s">
        <v>1085</v>
      </c>
      <c r="B2204" s="82" t="str">
        <f ca="1">IFERROR(INDEX(UNSPSCDes,MATCH(INDIRECT(ADDRESS(ROW(),COLUMN()-1,4)),UNSPSCCode,0)),IF(INDIRECT(ADDRESS(ROW(),COLUMN()-1,4))="51111802","Bicalutamida",""))</f>
        <v>Bicalutamida</v>
      </c>
      <c r="C2204" s="95" t="str">
        <f>IFERROR(VLOOKUP("UD",'Informacion '!P:Q,2,FALSE),"")</f>
        <v>Unidad</v>
      </c>
      <c r="D2204" s="94">
        <v>199</v>
      </c>
      <c r="E2204" s="84">
        <v>390.48</v>
      </c>
      <c r="F2204" s="83">
        <f t="shared" ca="1" si="98"/>
        <v>77705.52</v>
      </c>
    </row>
    <row r="2205" spans="1:6" ht="14.1" customHeight="1" x14ac:dyDescent="0.25">
      <c r="A2205" s="94" t="s">
        <v>11437</v>
      </c>
      <c r="B2205" s="82" t="str">
        <f ca="1">IFERROR(INDEX(UNSPSCDes,MATCH(INDIRECT(ADDRESS(ROW(),COLUMN()-1,4)),UNSPSCCode,0)),IF(INDIRECT(ADDRESS(ROW(),COLUMN()-1,4))="51111710","Epirubicina",""))</f>
        <v>Epirubicina</v>
      </c>
      <c r="C2205" s="95" t="str">
        <f>IFERROR(VLOOKUP("UD",'Informacion '!P:Q,2,FALSE),"")</f>
        <v>Unidad</v>
      </c>
      <c r="D2205" s="94">
        <v>16</v>
      </c>
      <c r="E2205" s="84">
        <v>3352.11</v>
      </c>
      <c r="F2205" s="83">
        <f t="shared" ca="1" si="98"/>
        <v>53633.760000000002</v>
      </c>
    </row>
    <row r="2206" spans="1:6" ht="14.1" customHeight="1" x14ac:dyDescent="0.25">
      <c r="A2206" s="94" t="s">
        <v>10087</v>
      </c>
      <c r="B2206" s="82" t="str">
        <f ca="1">IFERROR(INDEX(UNSPSCDes,MATCH(INDIRECT(ADDRESS(ROW(),COLUMN()-1,4)),UNSPSCCode,0)),IF(INDIRECT(ADDRESS(ROW(),COLUMN()-1,4))="51111614","Etopósido",""))</f>
        <v>Etopósido</v>
      </c>
      <c r="C2206" s="95" t="str">
        <f>IFERROR(VLOOKUP("UD",'Informacion '!P:Q,2,FALSE),"")</f>
        <v>Unidad</v>
      </c>
      <c r="D2206" s="94">
        <v>113</v>
      </c>
      <c r="E2206" s="84">
        <v>271.64</v>
      </c>
      <c r="F2206" s="83">
        <f t="shared" ca="1" si="98"/>
        <v>30695.32</v>
      </c>
    </row>
    <row r="2207" spans="1:6" ht="14.1" customHeight="1" x14ac:dyDescent="0.25">
      <c r="A2207" s="94" t="s">
        <v>4544</v>
      </c>
      <c r="B2207" s="82" t="str">
        <f ca="1">IFERROR(INDEX(UNSPSCDes,MATCH(INDIRECT(ADDRESS(ROW(),COLUMN()-1,4)),UNSPSCCode,0)),IF(INDIRECT(ADDRESS(ROW(),COLUMN()-1,4))="51201802","Filgrastim",""))</f>
        <v>Filgrastim</v>
      </c>
      <c r="C2207" s="95" t="str">
        <f>IFERROR(VLOOKUP("UD",'Informacion '!P:Q,2,FALSE),"")</f>
        <v>Unidad</v>
      </c>
      <c r="D2207" s="94">
        <v>145</v>
      </c>
      <c r="E2207" s="84">
        <v>1325.01</v>
      </c>
      <c r="F2207" s="83">
        <f t="shared" ca="1" si="98"/>
        <v>192126.45</v>
      </c>
    </row>
    <row r="2208" spans="1:6" ht="14.1" customHeight="1" x14ac:dyDescent="0.25">
      <c r="A2208" s="94" t="s">
        <v>14363</v>
      </c>
      <c r="B2208" s="82" t="str">
        <f ca="1">IFERROR(INDEX(UNSPSCDes,MATCH(INDIRECT(ADDRESS(ROW(),COLUMN()-1,4)),UNSPSCCode,0)),IF(INDIRECT(ADDRESS(ROW(),COLUMN()-1,4))="51111604","Fosfato de fludarabina",""))</f>
        <v>Fosfato de fludarabina</v>
      </c>
      <c r="C2208" s="95" t="str">
        <f>IFERROR(VLOOKUP("UD",'Informacion '!P:Q,2,FALSE),"")</f>
        <v>Unidad</v>
      </c>
      <c r="D2208" s="94">
        <v>25</v>
      </c>
      <c r="E2208" s="84">
        <v>4545.45</v>
      </c>
      <c r="F2208" s="83">
        <f t="shared" ca="1" si="98"/>
        <v>113636.25</v>
      </c>
    </row>
    <row r="2209" spans="1:6" ht="14.1" customHeight="1" x14ac:dyDescent="0.25">
      <c r="A2209" s="94" t="s">
        <v>13176</v>
      </c>
      <c r="B2209" s="82" t="str">
        <f ca="1">IFERROR(INDEX(UNSPSCDes,MATCH(INDIRECT(ADDRESS(ROW(),COLUMN()-1,4)),UNSPSCCode,0)),IF(INDIRECT(ADDRESS(ROW(),COLUMN()-1,4))="51111605","Fluorouracilo",""))</f>
        <v>Fluorouracilo</v>
      </c>
      <c r="C2209" s="95" t="str">
        <f>IFERROR(VLOOKUP("UD",'Informacion '!P:Q,2,FALSE),"")</f>
        <v>Unidad</v>
      </c>
      <c r="D2209" s="94">
        <v>575</v>
      </c>
      <c r="E2209" s="84">
        <v>125</v>
      </c>
      <c r="F2209" s="83">
        <f t="shared" ca="1" si="98"/>
        <v>71875</v>
      </c>
    </row>
    <row r="2210" spans="1:6" ht="14.1" customHeight="1" x14ac:dyDescent="0.25">
      <c r="A2210" s="94" t="s">
        <v>11096</v>
      </c>
      <c r="B2210" s="82" t="str">
        <f ca="1">IFERROR(INDEX(UNSPSCDes,MATCH(INDIRECT(ADDRESS(ROW(),COLUMN()-1,4)),UNSPSCCode,0)),IF(INDIRECT(ADDRESS(ROW(),COLUMN()-1,4))="51111507","Ciclofosfamida",""))</f>
        <v>Ciclofosfamida</v>
      </c>
      <c r="C2210" s="95" t="str">
        <f>IFERROR(VLOOKUP("UD",'Informacion '!P:Q,2,FALSE),"")</f>
        <v>Unidad</v>
      </c>
      <c r="D2210" s="94">
        <v>369</v>
      </c>
      <c r="E2210" s="84">
        <v>431.18</v>
      </c>
      <c r="F2210" s="83">
        <f t="shared" ca="1" si="98"/>
        <v>159105.42000000001</v>
      </c>
    </row>
    <row r="2211" spans="1:6" ht="14.1" customHeight="1" x14ac:dyDescent="0.25">
      <c r="A2211" s="94" t="s">
        <v>4050</v>
      </c>
      <c r="B2211" s="82" t="str">
        <f ca="1">IFERROR(INDEX(UNSPSCDes,MATCH(INDIRECT(ADDRESS(ROW(),COLUMN()-1,4)),UNSPSCCode,0)),IF(INDIRECT(ADDRESS(ROW(),COLUMN()-1,4))="51181806","Acetato de megestrol",""))</f>
        <v>Acetato de megestrol</v>
      </c>
      <c r="C2211" s="95" t="str">
        <f>IFERROR(VLOOKUP("UD",'Informacion '!P:Q,2,FALSE),"")</f>
        <v>Unidad</v>
      </c>
      <c r="D2211" s="94">
        <v>10</v>
      </c>
      <c r="E2211" s="84">
        <v>1700</v>
      </c>
      <c r="F2211" s="83">
        <f t="shared" ca="1" si="98"/>
        <v>17000</v>
      </c>
    </row>
    <row r="2212" spans="1:6" ht="14.1" customHeight="1" x14ac:dyDescent="0.25">
      <c r="A2212" s="94" t="s">
        <v>11400</v>
      </c>
      <c r="B2212" s="82" t="str">
        <f ca="1">IFERROR(INDEX(UNSPSCDes,MATCH(INDIRECT(ADDRESS(ROW(),COLUMN()-1,4)),UNSPSCCode,0)),IF(INDIRECT(ADDRESS(ROW(),COLUMN()-1,4))="51111609","Mercaptopurina",""))</f>
        <v>Mercaptopurina</v>
      </c>
      <c r="C2212" s="95" t="str">
        <f>IFERROR(VLOOKUP("UD",'Informacion '!P:Q,2,FALSE),"")</f>
        <v>Unidad</v>
      </c>
      <c r="D2212" s="94">
        <v>196</v>
      </c>
      <c r="E2212" s="84">
        <v>16.670000000000002</v>
      </c>
      <c r="F2212" s="83">
        <f t="shared" ca="1" si="98"/>
        <v>3267.32</v>
      </c>
    </row>
    <row r="2213" spans="1:6" ht="14.1" customHeight="1" x14ac:dyDescent="0.25">
      <c r="A2213" s="94" t="s">
        <v>10125</v>
      </c>
      <c r="B2213" s="82" t="str">
        <f ca="1">IFERROR(INDEX(UNSPSCDes,MATCH(INDIRECT(ADDRESS(ROW(),COLUMN()-1,4)),UNSPSCCode,0)),IF(INDIRECT(ADDRESS(ROW(),COLUMN()-1,4))="51111513","Mesna",""))</f>
        <v>Mesna</v>
      </c>
      <c r="C2213" s="95" t="str">
        <f>IFERROR(VLOOKUP("UD",'Informacion '!P:Q,2,FALSE),"")</f>
        <v>Unidad</v>
      </c>
      <c r="D2213" s="94">
        <v>20</v>
      </c>
      <c r="E2213" s="84">
        <v>169.62</v>
      </c>
      <c r="F2213" s="83">
        <f t="shared" ca="1" si="98"/>
        <v>3392.4</v>
      </c>
    </row>
    <row r="2214" spans="1:6" ht="14.1" customHeight="1" x14ac:dyDescent="0.25">
      <c r="A2214" s="94" t="s">
        <v>16400</v>
      </c>
      <c r="B2214" s="82" t="str">
        <f ca="1">IFERROR(INDEX(UNSPSCDes,MATCH(INDIRECT(ADDRESS(ROW(),COLUMN()-1,4)),UNSPSCCode,0)),IF(INDIRECT(ADDRESS(ROW(),COLUMN()-1,4))="51111610","Metotrexato",""))</f>
        <v>Metotrexato</v>
      </c>
      <c r="C2214" s="95" t="str">
        <f>IFERROR(VLOOKUP("UD",'Informacion '!P:Q,2,FALSE),"")</f>
        <v>Unidad</v>
      </c>
      <c r="D2214" s="94">
        <v>129</v>
      </c>
      <c r="E2214" s="84">
        <v>379.18</v>
      </c>
      <c r="F2214" s="83">
        <f t="shared" ca="1" si="98"/>
        <v>48914.22</v>
      </c>
    </row>
    <row r="2215" spans="1:6" ht="14.1" customHeight="1" x14ac:dyDescent="0.25">
      <c r="A2215" s="94" t="s">
        <v>3143</v>
      </c>
      <c r="B2215" s="82" t="str">
        <f ca="1">IFERROR(INDEX(UNSPSCDes,MATCH(INDIRECT(ADDRESS(ROW(),COLUMN()-1,4)),UNSPSCCode,0)),IF(INDIRECT(ADDRESS(ROW(),COLUMN()-1,4))="51111519","Temozolomida",""))</f>
        <v>Temozolomida</v>
      </c>
      <c r="C2215" s="95" t="str">
        <f>IFERROR(VLOOKUP("UD",'Informacion '!P:Q,2,FALSE),"")</f>
        <v>Unidad</v>
      </c>
      <c r="D2215" s="94">
        <v>17</v>
      </c>
      <c r="E2215" s="84">
        <v>3000</v>
      </c>
      <c r="F2215" s="83">
        <f t="shared" ca="1" si="98"/>
        <v>51000</v>
      </c>
    </row>
    <row r="2216" spans="1:6" ht="14.1" customHeight="1" x14ac:dyDescent="0.25">
      <c r="A2216" s="94" t="s">
        <v>2095</v>
      </c>
      <c r="B2216" s="82" t="str">
        <f ca="1">IFERROR(INDEX(UNSPSCDes,MATCH(INDIRECT(ADDRESS(ROW(),COLUMN()-1,4)),UNSPSCCode,0)),IF(INDIRECT(ADDRESS(ROW(),COLUMN()-1,4))="51111812","Sulfato de vinblastina",""))</f>
        <v>Sulfato de vinblastina</v>
      </c>
      <c r="C2216" s="95" t="str">
        <f>IFERROR(VLOOKUP("UD",'Informacion '!P:Q,2,FALSE),"")</f>
        <v>Unidad</v>
      </c>
      <c r="D2216" s="94">
        <v>35</v>
      </c>
      <c r="E2216" s="84">
        <v>695.35</v>
      </c>
      <c r="F2216" s="83">
        <f t="shared" ca="1" si="98"/>
        <v>24337.25</v>
      </c>
    </row>
    <row r="2217" spans="1:6" ht="14.1" customHeight="1" x14ac:dyDescent="0.25">
      <c r="A2217" s="94" t="s">
        <v>1728</v>
      </c>
      <c r="B2217" s="82" t="str">
        <f ca="1">IFERROR(INDEX(UNSPSCDes,MATCH(INDIRECT(ADDRESS(ROW(),COLUMN()-1,4)),UNSPSCCode,0)),IF(INDIRECT(ADDRESS(ROW(),COLUMN()-1,4))="41106006","Radio nucleótidos o nucleosidos",""))</f>
        <v>Radio nucleótidos o nucleosidos</v>
      </c>
      <c r="C2217" s="95" t="str">
        <f>IFERROR(VLOOKUP("UD",'Informacion '!P:Q,2,FALSE),"")</f>
        <v>Unidad</v>
      </c>
      <c r="D2217" s="94">
        <v>5</v>
      </c>
      <c r="E2217" s="84">
        <v>32946.46</v>
      </c>
      <c r="F2217" s="83">
        <f t="shared" ca="1" si="98"/>
        <v>164732.29999999999</v>
      </c>
    </row>
    <row r="2218" spans="1:6" ht="14.1" customHeight="1" x14ac:dyDescent="0.25">
      <c r="A2218" s="94" t="s">
        <v>10585</v>
      </c>
      <c r="B2218" s="82" t="str">
        <f ca="1">IFERROR(INDEX(UNSPSCDes,MATCH(INDIRECT(ADDRESS(ROW(),COLUMN()-1,4)),UNSPSCCode,0)),IF(INDIRECT(ADDRESS(ROW(),COLUMN()-1,4))="51111506","Cisplatino",""))</f>
        <v>Cisplatino</v>
      </c>
      <c r="C2218" s="95" t="str">
        <f>IFERROR(VLOOKUP("UD",'Informacion '!P:Q,2,FALSE),"")</f>
        <v>Unidad</v>
      </c>
      <c r="D2218" s="94">
        <v>284</v>
      </c>
      <c r="E2218" s="84">
        <v>456.33</v>
      </c>
      <c r="F2218" s="83">
        <f t="shared" ca="1" si="98"/>
        <v>129597.72</v>
      </c>
    </row>
    <row r="2219" spans="1:6" ht="14.1" customHeight="1" x14ac:dyDescent="0.25">
      <c r="A2219" s="94" t="s">
        <v>15292</v>
      </c>
      <c r="B2219" s="82" t="str">
        <f ca="1">IFERROR(INDEX(UNSPSCDes,MATCH(INDIRECT(ADDRESS(ROW(),COLUMN()-1,4)),UNSPSCCode,0)),IF(INDIRECT(ADDRESS(ROW(),COLUMN()-1,4))="51111806","Clorhidrato de irinotecan",""))</f>
        <v>Clorhidrato de irinotecan</v>
      </c>
      <c r="C2219" s="95" t="str">
        <f>IFERROR(VLOOKUP("UD",'Informacion '!P:Q,2,FALSE),"")</f>
        <v>Unidad</v>
      </c>
      <c r="D2219" s="94">
        <v>21</v>
      </c>
      <c r="E2219" s="84">
        <v>8707.8799999999992</v>
      </c>
      <c r="F2219" s="83">
        <f t="shared" ca="1" si="98"/>
        <v>182865.47999999998</v>
      </c>
    </row>
    <row r="2220" spans="1:6" ht="14.1" customHeight="1" x14ac:dyDescent="0.25">
      <c r="A2220" s="94" t="s">
        <v>1906</v>
      </c>
      <c r="B2220" s="82" t="str">
        <f ca="1">IFERROR(INDEX(UNSPSCDes,MATCH(INDIRECT(ADDRESS(ROW(),COLUMN()-1,4)),UNSPSCCode,0)),IF(INDIRECT(ADDRESS(ROW(),COLUMN()-1,4))="51111606","Hidroxiurea",""))</f>
        <v>Hidroxiurea</v>
      </c>
      <c r="C2220" s="95" t="str">
        <f>IFERROR(VLOOKUP("UD",'Informacion '!P:Q,2,FALSE),"")</f>
        <v>Unidad</v>
      </c>
      <c r="D2220" s="94">
        <v>3</v>
      </c>
      <c r="E2220" s="84">
        <v>16</v>
      </c>
      <c r="F2220" s="83">
        <f t="shared" ca="1" si="98"/>
        <v>48</v>
      </c>
    </row>
    <row r="2221" spans="1:6" ht="14.1" customHeight="1" x14ac:dyDescent="0.25">
      <c r="A2221" s="94" t="s">
        <v>17588</v>
      </c>
      <c r="B2221" s="82" t="str">
        <f ca="1">IFERROR(INDEX(UNSPSCDes,MATCH(INDIRECT(ADDRESS(ROW(),COLUMN()-1,4)),UNSPSCCode,0)),IF(INDIRECT(ADDRESS(ROW(),COLUMN()-1,4))="51111503","Carboplatino",""))</f>
        <v>Carboplatino</v>
      </c>
      <c r="C2221" s="95" t="str">
        <f>IFERROR(VLOOKUP("UD",'Informacion '!P:Q,2,FALSE),"")</f>
        <v>Unidad</v>
      </c>
      <c r="D2221" s="94">
        <v>173</v>
      </c>
      <c r="E2221" s="84">
        <v>1331.98</v>
      </c>
      <c r="F2221" s="83">
        <f t="shared" ca="1" si="98"/>
        <v>230432.54</v>
      </c>
    </row>
    <row r="2222" spans="1:6" ht="14.1" customHeight="1" x14ac:dyDescent="0.25">
      <c r="A2222" s="94" t="s">
        <v>7830</v>
      </c>
      <c r="B2222" s="82" t="str">
        <f ca="1">IFERROR(INDEX(UNSPSCDes,MATCH(INDIRECT(ADDRESS(ROW(),COLUMN()-1,4)),UNSPSCCode,0)),IF(INDIRECT(ADDRESS(ROW(),COLUMN()-1,4))="51111809","Tamoxifeno",""))</f>
        <v>Tamoxifeno</v>
      </c>
      <c r="C2222" s="95" t="str">
        <f>IFERROR(VLOOKUP("UD",'Informacion '!P:Q,2,FALSE),"")</f>
        <v>Unidad</v>
      </c>
      <c r="D2222" s="94">
        <v>80</v>
      </c>
      <c r="E2222" s="84">
        <v>9.32</v>
      </c>
      <c r="F2222" s="83">
        <f t="shared" ca="1" si="98"/>
        <v>745.6</v>
      </c>
    </row>
    <row r="2223" spans="1:6" ht="14.1" customHeight="1" x14ac:dyDescent="0.25">
      <c r="A2223" s="94" t="s">
        <v>14924</v>
      </c>
      <c r="B2223" s="82" t="str">
        <f ca="1">IFERROR(INDEX(UNSPSCDes,MATCH(INDIRECT(ADDRESS(ROW(),COLUMN()-1,4)),UNSPSCCode,0)),IF(INDIRECT(ADDRESS(ROW(),COLUMN()-1,4))="51101549","Linezolida",""))</f>
        <v>Linezolida</v>
      </c>
      <c r="C2223" s="95" t="str">
        <f>IFERROR(VLOOKUP("UD",'Informacion '!P:Q,2,FALSE),"")</f>
        <v>Unidad</v>
      </c>
      <c r="D2223" s="94">
        <v>2</v>
      </c>
      <c r="E2223" s="84">
        <v>714.29</v>
      </c>
      <c r="F2223" s="83">
        <f t="shared" ca="1" si="98"/>
        <v>1428.58</v>
      </c>
    </row>
    <row r="2224" spans="1:6" ht="14.1" customHeight="1" x14ac:dyDescent="0.25">
      <c r="A2224" s="94" t="s">
        <v>7830</v>
      </c>
      <c r="B2224" s="82" t="str">
        <f ca="1">IFERROR(INDEX(UNSPSCDes,MATCH(INDIRECT(ADDRESS(ROW(),COLUMN()-1,4)),UNSPSCCode,0)),IF(INDIRECT(ADDRESS(ROW(),COLUMN()-1,4))="51111809","Tamoxifeno",""))</f>
        <v>Tamoxifeno</v>
      </c>
      <c r="C2224" s="95" t="str">
        <f>IFERROR(VLOOKUP("UD",'Informacion '!P:Q,2,FALSE),"")</f>
        <v>Unidad</v>
      </c>
      <c r="D2224" s="94">
        <v>24</v>
      </c>
      <c r="E2224" s="84">
        <v>223.65</v>
      </c>
      <c r="F2224" s="83">
        <f t="shared" ca="1" si="98"/>
        <v>5367.6</v>
      </c>
    </row>
    <row r="2225" spans="1:10" ht="14.1" customHeight="1" x14ac:dyDescent="0.25">
      <c r="A2225" s="94" t="s">
        <v>14827</v>
      </c>
      <c r="B2225" s="82" t="str">
        <f ca="1">IFERROR(INDEX(UNSPSCDes,MATCH(INDIRECT(ADDRESS(ROW(),COLUMN()-1,4)),UNSPSCCode,0)),IF(INDIRECT(ADDRESS(ROW(),COLUMN()-1,4))="51211612","Leucovorina",""))</f>
        <v>Leucovorina</v>
      </c>
      <c r="C2225" s="95" t="str">
        <f>IFERROR(VLOOKUP("UD",'Informacion '!P:Q,2,FALSE),"")</f>
        <v>Unidad</v>
      </c>
      <c r="D2225" s="94">
        <v>2</v>
      </c>
      <c r="E2225" s="84">
        <v>371.09</v>
      </c>
      <c r="F2225" s="83">
        <f t="shared" ca="1" si="98"/>
        <v>742.18</v>
      </c>
    </row>
    <row r="2226" spans="1:10" ht="14.1" customHeight="1" x14ac:dyDescent="0.25">
      <c r="A2226" s="94" t="s">
        <v>6233</v>
      </c>
      <c r="B2226" s="82" t="str">
        <f ca="1">IFERROR(INDEX(UNSPSCDes,MATCH(INDIRECT(ADDRESS(ROW(),COLUMN()-1,4)),UNSPSCCode,0)),IF(INDIRECT(ADDRESS(ROW(),COLUMN()-1,4))="51111508","Dacarbazina",""))</f>
        <v>Dacarbazina</v>
      </c>
      <c r="C2226" s="95" t="str">
        <f>IFERROR(VLOOKUP("UD",'Informacion '!P:Q,2,FALSE),"")</f>
        <v>Unidad</v>
      </c>
      <c r="D2226" s="94">
        <v>87</v>
      </c>
      <c r="E2226" s="84">
        <v>943.33</v>
      </c>
      <c r="F2226" s="83">
        <f t="shared" ca="1" si="98"/>
        <v>82069.710000000006</v>
      </c>
    </row>
    <row r="2227" spans="1:10" ht="14.1" customHeight="1" x14ac:dyDescent="0.25">
      <c r="A2227" s="94" t="s">
        <v>14357</v>
      </c>
      <c r="B2227" s="82" t="str">
        <f ca="1">IFERROR(INDEX(UNSPSCDes,MATCH(INDIRECT(ADDRESS(ROW(),COLUMN()-1,4)),UNSPSCCode,0)),IF(INDIRECT(ADDRESS(ROW(),COLUMN()-1,4))="51111602","Citarabina",""))</f>
        <v>Citarabina</v>
      </c>
      <c r="C2227" s="95" t="str">
        <f>IFERROR(VLOOKUP("UD",'Informacion '!P:Q,2,FALSE),"")</f>
        <v>Unidad</v>
      </c>
      <c r="D2227" s="94">
        <v>224</v>
      </c>
      <c r="E2227" s="84">
        <v>398.12</v>
      </c>
      <c r="F2227" s="83">
        <f t="shared" ca="1" si="98"/>
        <v>89178.880000000005</v>
      </c>
    </row>
    <row r="2228" spans="1:10" ht="14.1" customHeight="1" x14ac:dyDescent="0.25">
      <c r="A2228" s="94" t="s">
        <v>14635</v>
      </c>
      <c r="B2228" s="82" t="str">
        <f ca="1">IFERROR(INDEX(UNSPSCDes,MATCH(INDIRECT(ADDRESS(ROW(),COLUMN()-1,4)),UNSPSCCode,0)),IF(INDIRECT(ADDRESS(ROW(),COLUMN()-1,4))="51111703","Daunorubicinas",""))</f>
        <v>Daunorubicinas</v>
      </c>
      <c r="C2228" s="95" t="str">
        <f>IFERROR(VLOOKUP("UD",'Informacion '!P:Q,2,FALSE),"")</f>
        <v>Unidad</v>
      </c>
      <c r="D2228" s="94">
        <v>51</v>
      </c>
      <c r="E2228" s="84">
        <v>1163.08</v>
      </c>
      <c r="F2228" s="83">
        <f t="shared" ca="1" si="98"/>
        <v>59317.079999999994</v>
      </c>
    </row>
    <row r="2229" spans="1:10" ht="14.1" customHeight="1" x14ac:dyDescent="0.25">
      <c r="A2229" s="94" t="s">
        <v>2723</v>
      </c>
      <c r="B2229" s="82" t="str">
        <f ca="1">IFERROR(INDEX(UNSPSCDes,MATCH(INDIRECT(ADDRESS(ROW(),COLUMN()-1,4)),UNSPSCCode,0)),IF(INDIRECT(ADDRESS(ROW(),COLUMN()-1,4))="12352108","Esteres o sus sustitutos",""))</f>
        <v>Esteres o sus sustitutos</v>
      </c>
      <c r="C2229" s="95" t="str">
        <f>IFERROR(VLOOKUP("UD",'Informacion '!P:Q,2,FALSE),"")</f>
        <v>Unidad</v>
      </c>
      <c r="D2229" s="94">
        <v>79</v>
      </c>
      <c r="E2229" s="84">
        <v>138</v>
      </c>
      <c r="F2229" s="83">
        <f t="shared" ca="1" si="98"/>
        <v>10902</v>
      </c>
    </row>
    <row r="2230" spans="1:10" ht="14.1" customHeight="1" x14ac:dyDescent="0.25">
      <c r="A2230" s="94" t="s">
        <v>5102</v>
      </c>
      <c r="B2230" s="82" t="str">
        <f ca="1">IFERROR(INDEX(UNSPSCDes,MATCH(INDIRECT(ADDRESS(ROW(),COLUMN()-1,4)),UNSPSCCode,0)),IF(INDIRECT(ADDRESS(ROW(),COLUMN()-1,4))="51111904","Paclitaxel",""))</f>
        <v>Paclitaxel</v>
      </c>
      <c r="C2230" s="95" t="str">
        <f>IFERROR(VLOOKUP("UD",'Informacion '!P:Q,2,FALSE),"")</f>
        <v>Unidad</v>
      </c>
      <c r="D2230" s="94">
        <v>2</v>
      </c>
      <c r="E2230" s="84">
        <v>50583.87</v>
      </c>
      <c r="F2230" s="83">
        <f t="shared" ca="1" si="98"/>
        <v>101167.74</v>
      </c>
    </row>
    <row r="2231" spans="1:10" ht="14.1" customHeight="1" x14ac:dyDescent="0.25">
      <c r="A2231" s="94" t="s">
        <v>1751</v>
      </c>
      <c r="B2231" s="82" t="str">
        <f ca="1">IFERROR(INDEX(UNSPSCDes,MATCH(INDIRECT(ADDRESS(ROW(),COLUMN()-1,4)),UNSPSCCode,0)),IF(INDIRECT(ADDRESS(ROW(),COLUMN()-1,4))="51111701","Sulfato de bleomicina",""))</f>
        <v>Sulfato de bleomicina</v>
      </c>
      <c r="C2231" s="95" t="str">
        <f>IFERROR(VLOOKUP("UD",'Informacion '!P:Q,2,FALSE),"")</f>
        <v>Unidad</v>
      </c>
      <c r="D2231" s="94">
        <v>91</v>
      </c>
      <c r="E2231" s="84">
        <v>1100</v>
      </c>
      <c r="F2231" s="83">
        <f t="shared" ca="1" si="98"/>
        <v>100100</v>
      </c>
    </row>
    <row r="2232" spans="1:10" ht="14.1" customHeight="1" x14ac:dyDescent="0.25">
      <c r="A2232" s="94" t="s">
        <v>3201</v>
      </c>
      <c r="B2232" s="82" t="str">
        <f ca="1">IFERROR(INDEX(UNSPSCDes,MATCH(INDIRECT(ADDRESS(ROW(),COLUMN()-1,4)),UNSPSCCode,0)),IF(INDIRECT(ADDRESS(ROW(),COLUMN()-1,4))="51111702","Dactinomicina",""))</f>
        <v>Dactinomicina</v>
      </c>
      <c r="C2232" s="95" t="str">
        <f>IFERROR(VLOOKUP("UD",'Informacion '!P:Q,2,FALSE),"")</f>
        <v>Unidad</v>
      </c>
      <c r="D2232" s="94">
        <v>31</v>
      </c>
      <c r="E2232" s="84">
        <v>1248.8599999999999</v>
      </c>
      <c r="F2232" s="83">
        <f t="shared" ca="1" si="98"/>
        <v>38714.659999999996</v>
      </c>
    </row>
    <row r="2233" spans="1:10" ht="14.1" customHeight="1" x14ac:dyDescent="0.25">
      <c r="A2233" s="94" t="s">
        <v>12663</v>
      </c>
      <c r="B2233" s="82" t="str">
        <f ca="1">IFERROR(INDEX(UNSPSCDes,MATCH(INDIRECT(ADDRESS(ROW(),COLUMN()-1,4)),UNSPSCCode,0)),IF(INDIRECT(ADDRESS(ROW(),COLUMN()-1,4))="51111805","Acetato de goserelina",""))</f>
        <v>Acetato de goserelina</v>
      </c>
      <c r="C2233" s="95" t="str">
        <f>IFERROR(VLOOKUP("UD",'Informacion '!P:Q,2,FALSE),"")</f>
        <v>Unidad</v>
      </c>
      <c r="D2233" s="94">
        <v>11</v>
      </c>
      <c r="E2233" s="84">
        <v>22600</v>
      </c>
      <c r="F2233" s="83">
        <f t="shared" ca="1" si="98"/>
        <v>248600</v>
      </c>
    </row>
    <row r="2234" spans="1:10" ht="14.1" customHeight="1" x14ac:dyDescent="0.25">
      <c r="A2234" s="94" t="s">
        <v>12474</v>
      </c>
      <c r="B2234" s="82" t="str">
        <f ca="1">IFERROR(INDEX(UNSPSCDes,MATCH(INDIRECT(ADDRESS(ROW(),COLUMN()-1,4)),UNSPSCCode,0)),IF(INDIRECT(ADDRESS(ROW(),COLUMN()-1,4))="51181713","Prednisona",""))</f>
        <v>Prednisona</v>
      </c>
      <c r="C2234" s="95" t="str">
        <f>IFERROR(VLOOKUP("UD",'Informacion '!P:Q,2,FALSE),"")</f>
        <v>Unidad</v>
      </c>
      <c r="D2234" s="94">
        <v>159</v>
      </c>
      <c r="E2234" s="84">
        <v>7.54</v>
      </c>
      <c r="F2234" s="83">
        <f t="shared" ca="1" si="98"/>
        <v>1198.8599999999999</v>
      </c>
    </row>
    <row r="2235" spans="1:10" ht="14.1" customHeight="1" x14ac:dyDescent="0.25">
      <c r="A2235" s="94" t="s">
        <v>7316</v>
      </c>
      <c r="B2235" s="82" t="str">
        <f ca="1">IFERROR(INDEX(UNSPSCDes,MATCH(INDIRECT(ADDRESS(ROW(),COLUMN()-1,4)),UNSPSCCode,0)),IF(INDIRECT(ADDRESS(ROW(),COLUMN()-1,4))="51111813","Sulfato de vincristina",""))</f>
        <v>Sulfato de vincristina</v>
      </c>
      <c r="C2235" s="95" t="str">
        <f>IFERROR(VLOOKUP("UD",'Informacion '!P:Q,2,FALSE),"")</f>
        <v>Unidad</v>
      </c>
      <c r="D2235" s="94">
        <v>125</v>
      </c>
      <c r="E2235" s="84">
        <v>225.72</v>
      </c>
      <c r="F2235" s="83">
        <f t="shared" ca="1" si="98"/>
        <v>28215</v>
      </c>
    </row>
    <row r="2236" spans="1:10" ht="14.1" customHeight="1" x14ac:dyDescent="0.25">
      <c r="A2236" s="94" t="s">
        <v>15432</v>
      </c>
      <c r="B2236" s="82" t="str">
        <f ca="1">IFERROR(INDEX(UNSPSCDes,MATCH(INDIRECT(ADDRESS(ROW(),COLUMN()-1,4)),UNSPSCCode,0)),IF(INDIRECT(ADDRESS(ROW(),COLUMN()-1,4))="51141518","Levetiracetam",""))</f>
        <v>Levetiracetam</v>
      </c>
      <c r="C2236" s="95" t="str">
        <f>IFERROR(VLOOKUP("UD",'Informacion '!P:Q,2,FALSE),"")</f>
        <v>Unidad</v>
      </c>
      <c r="D2236" s="94">
        <v>6</v>
      </c>
      <c r="E2236" s="84">
        <v>22.07</v>
      </c>
      <c r="F2236" s="83">
        <f t="shared" ca="1" si="98"/>
        <v>132.42000000000002</v>
      </c>
    </row>
    <row r="2237" spans="1:10" ht="14.1" customHeight="1" x14ac:dyDescent="0.25">
      <c r="A2237" s="94" t="s">
        <v>9396</v>
      </c>
      <c r="B2237" s="82" t="str">
        <f ca="1">IFERROR(INDEX(UNSPSCDes,MATCH(INDIRECT(ADDRESS(ROW(),COLUMN()-1,4)),UNSPSCCode,0)),IF(INDIRECT(ADDRESS(ROW(),COLUMN()-1,4))="51171822","Clorhidrato de palonosetrón",""))</f>
        <v>Clorhidrato de palonosetrón</v>
      </c>
      <c r="C2237" s="95" t="str">
        <f>IFERROR(VLOOKUP("UD",'Informacion '!P:Q,2,FALSE),"")</f>
        <v>Unidad</v>
      </c>
      <c r="D2237" s="94">
        <v>3</v>
      </c>
      <c r="E2237" s="84">
        <v>1000</v>
      </c>
      <c r="F2237" s="83">
        <f t="shared" ca="1" si="98"/>
        <v>3000</v>
      </c>
    </row>
    <row r="2238" spans="1:10" ht="14.1" customHeight="1" x14ac:dyDescent="0.25">
      <c r="E2238" s="96" t="s">
        <v>7213</v>
      </c>
      <c r="F2238" s="87">
        <f ca="1">SUM(Table89[MONTO TOTAL ESTIMADO])</f>
        <v>2395109.4099999997</v>
      </c>
      <c r="H2238" s="39" t="str">
        <f>C2195</f>
        <v>Bienes</v>
      </c>
      <c r="I2238" s="39" t="str">
        <f>E2195</f>
        <v>No</v>
      </c>
      <c r="J2238" s="39" t="str">
        <f>D2195</f>
        <v>Comparacion de Precios</v>
      </c>
    </row>
    <row r="2240" spans="1:10" ht="33.950000000000003" customHeight="1" x14ac:dyDescent="0.25">
      <c r="A2240" s="77" t="s">
        <v>17233</v>
      </c>
      <c r="B2240" s="77" t="s">
        <v>4237</v>
      </c>
      <c r="C2240" s="77" t="s">
        <v>4743</v>
      </c>
      <c r="D2240" s="77" t="s">
        <v>9891</v>
      </c>
      <c r="E2240" s="77" t="s">
        <v>3089</v>
      </c>
      <c r="F2240" s="77" t="s">
        <v>18141</v>
      </c>
    </row>
    <row r="2241" spans="1:6" ht="14.1" customHeight="1" x14ac:dyDescent="0.25">
      <c r="A2241" s="79" t="s">
        <v>8075</v>
      </c>
      <c r="B2241" s="79" t="s">
        <v>8271</v>
      </c>
      <c r="C2241" s="79" t="s">
        <v>17215</v>
      </c>
      <c r="D2241" s="79" t="s">
        <v>15249</v>
      </c>
      <c r="E2241" s="79" t="s">
        <v>18247</v>
      </c>
      <c r="F2241" s="79"/>
    </row>
    <row r="2242" spans="1:6" ht="14.1" customHeight="1" x14ac:dyDescent="0.25">
      <c r="A2242" s="2" t="s">
        <v>6643</v>
      </c>
      <c r="B2242" s="80" t="s">
        <v>1046</v>
      </c>
      <c r="C2242" s="90">
        <v>43647</v>
      </c>
      <c r="D2242" s="2" t="s">
        <v>59</v>
      </c>
      <c r="E2242" s="92" t="s">
        <v>20066</v>
      </c>
      <c r="F2242" s="93"/>
    </row>
    <row r="2243" spans="1:6" ht="14.1" customHeight="1" x14ac:dyDescent="0.25">
      <c r="A2243" s="1"/>
      <c r="B2243" s="80" t="s">
        <v>10788</v>
      </c>
      <c r="C2243" s="91">
        <f>IF(C2242="","",IF(AND(MONTH(C2242)&gt;=1,MONTH(C2242)&lt;=3),1,IF(AND(MONTH(C2242)&gt;=4,MONTH(C2242)&lt;=6),2,IF(AND(MONTH(C2242)&gt;=7,MONTH(C2242)&lt;=9),3,4))))</f>
        <v>3</v>
      </c>
      <c r="D2243" s="1"/>
      <c r="E2243" s="92" t="s">
        <v>14822</v>
      </c>
      <c r="F2243" s="93"/>
    </row>
    <row r="2244" spans="1:6" ht="14.1" customHeight="1" x14ac:dyDescent="0.25">
      <c r="A2244" s="1"/>
      <c r="B2244" s="80" t="s">
        <v>13758</v>
      </c>
      <c r="C2244" s="90">
        <v>43738</v>
      </c>
      <c r="D2244" s="1"/>
      <c r="E2244" s="92" t="s">
        <v>18636</v>
      </c>
      <c r="F2244" s="93"/>
    </row>
    <row r="2245" spans="1:6" ht="14.1" customHeight="1" x14ac:dyDescent="0.25">
      <c r="A2245" s="1"/>
      <c r="B2245" s="80" t="s">
        <v>10788</v>
      </c>
      <c r="C2245" s="91">
        <f>IF(C2244="","",IF(AND(MONTH(C2244)&gt;=1,MONTH(C2244)&lt;=3),1,IF(AND(MONTH(C2244)&gt;=4,MONTH(C2244)&lt;=6),2,IF(AND(MONTH(C2244)&gt;=7,MONTH(C2244)&lt;=9),3,4))))</f>
        <v>3</v>
      </c>
      <c r="D2245" s="1"/>
      <c r="E2245" s="92" t="s">
        <v>15990</v>
      </c>
      <c r="F2245" s="93"/>
    </row>
    <row r="2247" spans="1:6" ht="14.1" customHeight="1" x14ac:dyDescent="0.25">
      <c r="A2247" s="85" t="s">
        <v>15474</v>
      </c>
      <c r="B2247" s="85" t="s">
        <v>5027</v>
      </c>
      <c r="C2247" s="85" t="s">
        <v>17461</v>
      </c>
      <c r="D2247" s="85" t="s">
        <v>3935</v>
      </c>
      <c r="E2247" s="85" t="s">
        <v>10722</v>
      </c>
      <c r="F2247" s="85" t="s">
        <v>18237</v>
      </c>
    </row>
    <row r="2248" spans="1:6" ht="14.1" customHeight="1" x14ac:dyDescent="0.25">
      <c r="A2248" s="94" t="s">
        <v>7570</v>
      </c>
      <c r="B2248" s="82" t="str">
        <f ca="1">IFERROR(INDEX(UNSPSCDes,MATCH(INDIRECT(ADDRESS(ROW(),COLUMN()-1,4)),UNSPSCCode,0)),IF(INDIRECT(ADDRESS(ROW(),COLUMN()-1,4))="51171816","Ondansetrón",""))</f>
        <v>Ondansetrón</v>
      </c>
      <c r="C2248" s="95" t="str">
        <f>IFERROR(VLOOKUP("UD",'Informacion '!P:Q,2,FALSE),"")</f>
        <v>Unidad</v>
      </c>
      <c r="D2248" s="94">
        <v>813</v>
      </c>
      <c r="E2248" s="84">
        <v>83.25</v>
      </c>
      <c r="F2248" s="83">
        <f t="shared" ref="F2248:F2283" ca="1" si="99">INDIRECT(ADDRESS(ROW(),COLUMN()-2,4))*INDIRECT(ADDRESS(ROW(),COLUMN()-1,4))</f>
        <v>67682.25</v>
      </c>
    </row>
    <row r="2249" spans="1:6" ht="14.1" customHeight="1" x14ac:dyDescent="0.25">
      <c r="A2249" s="94" t="s">
        <v>12592</v>
      </c>
      <c r="B2249" s="82" t="str">
        <f ca="1">IFERROR(INDEX(UNSPSCDes,MATCH(INDIRECT(ADDRESS(ROW(),COLUMN()-1,4)),UNSPSCCode,0)),IF(INDIRECT(ADDRESS(ROW(),COLUMN()-1,4))="51111801","Anastrozol",""))</f>
        <v>Anastrozol</v>
      </c>
      <c r="C2249" s="95" t="str">
        <f>IFERROR(VLOOKUP("UD",'Informacion '!P:Q,2,FALSE),"")</f>
        <v>Unidad</v>
      </c>
      <c r="D2249" s="94">
        <v>105</v>
      </c>
      <c r="E2249" s="84">
        <v>34.450000000000003</v>
      </c>
      <c r="F2249" s="83">
        <f t="shared" ca="1" si="99"/>
        <v>3617.2500000000005</v>
      </c>
    </row>
    <row r="2250" spans="1:6" ht="14.1" customHeight="1" x14ac:dyDescent="0.25">
      <c r="A2250" s="94" t="s">
        <v>1085</v>
      </c>
      <c r="B2250" s="82" t="str">
        <f ca="1">IFERROR(INDEX(UNSPSCDes,MATCH(INDIRECT(ADDRESS(ROW(),COLUMN()-1,4)),UNSPSCCode,0)),IF(INDIRECT(ADDRESS(ROW(),COLUMN()-1,4))="51111802","Bicalutamida",""))</f>
        <v>Bicalutamida</v>
      </c>
      <c r="C2250" s="95" t="str">
        <f>IFERROR(VLOOKUP("UD",'Informacion '!P:Q,2,FALSE),"")</f>
        <v>Unidad</v>
      </c>
      <c r="D2250" s="94">
        <v>203</v>
      </c>
      <c r="E2250" s="84">
        <v>390.48</v>
      </c>
      <c r="F2250" s="83">
        <f t="shared" ca="1" si="99"/>
        <v>79267.44</v>
      </c>
    </row>
    <row r="2251" spans="1:6" ht="14.1" customHeight="1" x14ac:dyDescent="0.25">
      <c r="A2251" s="94" t="s">
        <v>11437</v>
      </c>
      <c r="B2251" s="82" t="str">
        <f ca="1">IFERROR(INDEX(UNSPSCDes,MATCH(INDIRECT(ADDRESS(ROW(),COLUMN()-1,4)),UNSPSCCode,0)),IF(INDIRECT(ADDRESS(ROW(),COLUMN()-1,4))="51111710","Epirubicina",""))</f>
        <v>Epirubicina</v>
      </c>
      <c r="C2251" s="95" t="str">
        <f>IFERROR(VLOOKUP("UD",'Informacion '!P:Q,2,FALSE),"")</f>
        <v>Unidad</v>
      </c>
      <c r="D2251" s="94">
        <v>17</v>
      </c>
      <c r="E2251" s="84">
        <v>3352.11</v>
      </c>
      <c r="F2251" s="83">
        <f t="shared" ca="1" si="99"/>
        <v>56985.87</v>
      </c>
    </row>
    <row r="2252" spans="1:6" ht="14.1" customHeight="1" x14ac:dyDescent="0.25">
      <c r="A2252" s="94" t="s">
        <v>10087</v>
      </c>
      <c r="B2252" s="82" t="str">
        <f ca="1">IFERROR(INDEX(UNSPSCDes,MATCH(INDIRECT(ADDRESS(ROW(),COLUMN()-1,4)),UNSPSCCode,0)),IF(INDIRECT(ADDRESS(ROW(),COLUMN()-1,4))="51111614","Etopósido",""))</f>
        <v>Etopósido</v>
      </c>
      <c r="C2252" s="95" t="str">
        <f>IFERROR(VLOOKUP("UD",'Informacion '!P:Q,2,FALSE),"")</f>
        <v>Unidad</v>
      </c>
      <c r="D2252" s="94">
        <v>116</v>
      </c>
      <c r="E2252" s="84">
        <v>271.64</v>
      </c>
      <c r="F2252" s="83">
        <f t="shared" ca="1" si="99"/>
        <v>31510.239999999998</v>
      </c>
    </row>
    <row r="2253" spans="1:6" ht="14.1" customHeight="1" x14ac:dyDescent="0.25">
      <c r="A2253" s="94" t="s">
        <v>4544</v>
      </c>
      <c r="B2253" s="82" t="str">
        <f ca="1">IFERROR(INDEX(UNSPSCDes,MATCH(INDIRECT(ADDRESS(ROW(),COLUMN()-1,4)),UNSPSCCode,0)),IF(INDIRECT(ADDRESS(ROW(),COLUMN()-1,4))="51201802","Filgrastim",""))</f>
        <v>Filgrastim</v>
      </c>
      <c r="C2253" s="95" t="str">
        <f>IFERROR(VLOOKUP("UD",'Informacion '!P:Q,2,FALSE),"")</f>
        <v>Unidad</v>
      </c>
      <c r="D2253" s="94">
        <v>148</v>
      </c>
      <c r="E2253" s="84">
        <v>1325.01</v>
      </c>
      <c r="F2253" s="83">
        <f t="shared" ca="1" si="99"/>
        <v>196101.48</v>
      </c>
    </row>
    <row r="2254" spans="1:6" ht="14.1" customHeight="1" x14ac:dyDescent="0.25">
      <c r="A2254" s="94" t="s">
        <v>14363</v>
      </c>
      <c r="B2254" s="82" t="str">
        <f ca="1">IFERROR(INDEX(UNSPSCDes,MATCH(INDIRECT(ADDRESS(ROW(),COLUMN()-1,4)),UNSPSCCode,0)),IF(INDIRECT(ADDRESS(ROW(),COLUMN()-1,4))="51111604","Fosfato de fludarabina",""))</f>
        <v>Fosfato de fludarabina</v>
      </c>
      <c r="C2254" s="95" t="str">
        <f>IFERROR(VLOOKUP("UD",'Informacion '!P:Q,2,FALSE),"")</f>
        <v>Unidad</v>
      </c>
      <c r="D2254" s="94">
        <v>26</v>
      </c>
      <c r="E2254" s="84">
        <v>4545.45</v>
      </c>
      <c r="F2254" s="83">
        <f t="shared" ca="1" si="99"/>
        <v>118181.7</v>
      </c>
    </row>
    <row r="2255" spans="1:6" ht="14.1" customHeight="1" x14ac:dyDescent="0.25">
      <c r="A2255" s="94" t="s">
        <v>13176</v>
      </c>
      <c r="B2255" s="82" t="str">
        <f ca="1">IFERROR(INDEX(UNSPSCDes,MATCH(INDIRECT(ADDRESS(ROW(),COLUMN()-1,4)),UNSPSCCode,0)),IF(INDIRECT(ADDRESS(ROW(),COLUMN()-1,4))="51111605","Fluorouracilo",""))</f>
        <v>Fluorouracilo</v>
      </c>
      <c r="C2255" s="95" t="str">
        <f>IFERROR(VLOOKUP("UD",'Informacion '!P:Q,2,FALSE),"")</f>
        <v>Unidad</v>
      </c>
      <c r="D2255" s="94">
        <v>599</v>
      </c>
      <c r="E2255" s="84">
        <v>125</v>
      </c>
      <c r="F2255" s="83">
        <f t="shared" ca="1" si="99"/>
        <v>74875</v>
      </c>
    </row>
    <row r="2256" spans="1:6" ht="14.1" customHeight="1" x14ac:dyDescent="0.25">
      <c r="A2256" s="94" t="s">
        <v>11096</v>
      </c>
      <c r="B2256" s="82" t="str">
        <f ca="1">IFERROR(INDEX(UNSPSCDes,MATCH(INDIRECT(ADDRESS(ROW(),COLUMN()-1,4)),UNSPSCCode,0)),IF(INDIRECT(ADDRESS(ROW(),COLUMN()-1,4))="51111507","Ciclofosfamida",""))</f>
        <v>Ciclofosfamida</v>
      </c>
      <c r="C2256" s="95" t="str">
        <f>IFERROR(VLOOKUP("UD",'Informacion '!P:Q,2,FALSE),"")</f>
        <v>Unidad</v>
      </c>
      <c r="D2256" s="94">
        <v>377</v>
      </c>
      <c r="E2256" s="84">
        <v>431.18</v>
      </c>
      <c r="F2256" s="83">
        <f t="shared" ca="1" si="99"/>
        <v>162554.86000000002</v>
      </c>
    </row>
    <row r="2257" spans="1:6" ht="14.1" customHeight="1" x14ac:dyDescent="0.25">
      <c r="A2257" s="94" t="s">
        <v>4050</v>
      </c>
      <c r="B2257" s="82" t="str">
        <f ca="1">IFERROR(INDEX(UNSPSCDes,MATCH(INDIRECT(ADDRESS(ROW(),COLUMN()-1,4)),UNSPSCCode,0)),IF(INDIRECT(ADDRESS(ROW(),COLUMN()-1,4))="51181806","Acetato de megestrol",""))</f>
        <v>Acetato de megestrol</v>
      </c>
      <c r="C2257" s="95" t="str">
        <f>IFERROR(VLOOKUP("UD",'Informacion '!P:Q,2,FALSE),"")</f>
        <v>Unidad</v>
      </c>
      <c r="D2257" s="94">
        <v>11</v>
      </c>
      <c r="E2257" s="84">
        <v>1700</v>
      </c>
      <c r="F2257" s="83">
        <f t="shared" ca="1" si="99"/>
        <v>18700</v>
      </c>
    </row>
    <row r="2258" spans="1:6" ht="14.1" customHeight="1" x14ac:dyDescent="0.25">
      <c r="A2258" s="94" t="s">
        <v>11400</v>
      </c>
      <c r="B2258" s="82" t="str">
        <f ca="1">IFERROR(INDEX(UNSPSCDes,MATCH(INDIRECT(ADDRESS(ROW(),COLUMN()-1,4)),UNSPSCCode,0)),IF(INDIRECT(ADDRESS(ROW(),COLUMN()-1,4))="51111609","Mercaptopurina",""))</f>
        <v>Mercaptopurina</v>
      </c>
      <c r="C2258" s="95" t="str">
        <f>IFERROR(VLOOKUP("UD",'Informacion '!P:Q,2,FALSE),"")</f>
        <v>Unidad</v>
      </c>
      <c r="D2258" s="94">
        <v>200</v>
      </c>
      <c r="E2258" s="84">
        <v>16.670000000000002</v>
      </c>
      <c r="F2258" s="83">
        <f t="shared" ca="1" si="99"/>
        <v>3334.0000000000005</v>
      </c>
    </row>
    <row r="2259" spans="1:6" ht="14.1" customHeight="1" x14ac:dyDescent="0.25">
      <c r="A2259" s="94" t="s">
        <v>10125</v>
      </c>
      <c r="B2259" s="82" t="str">
        <f ca="1">IFERROR(INDEX(UNSPSCDes,MATCH(INDIRECT(ADDRESS(ROW(),COLUMN()-1,4)),UNSPSCCode,0)),IF(INDIRECT(ADDRESS(ROW(),COLUMN()-1,4))="51111513","Mesna",""))</f>
        <v>Mesna</v>
      </c>
      <c r="C2259" s="95" t="str">
        <f>IFERROR(VLOOKUP("UD",'Informacion '!P:Q,2,FALSE),"")</f>
        <v>Unidad</v>
      </c>
      <c r="D2259" s="94">
        <v>21</v>
      </c>
      <c r="E2259" s="84">
        <v>169.62</v>
      </c>
      <c r="F2259" s="83">
        <f t="shared" ca="1" si="99"/>
        <v>3562.02</v>
      </c>
    </row>
    <row r="2260" spans="1:6" ht="14.1" customHeight="1" x14ac:dyDescent="0.25">
      <c r="A2260" s="94" t="s">
        <v>16400</v>
      </c>
      <c r="B2260" s="82" t="str">
        <f ca="1">IFERROR(INDEX(UNSPSCDes,MATCH(INDIRECT(ADDRESS(ROW(),COLUMN()-1,4)),UNSPSCCode,0)),IF(INDIRECT(ADDRESS(ROW(),COLUMN()-1,4))="51111610","Metotrexato",""))</f>
        <v>Metotrexato</v>
      </c>
      <c r="C2260" s="95" t="str">
        <f>IFERROR(VLOOKUP("UD",'Informacion '!P:Q,2,FALSE),"")</f>
        <v>Unidad</v>
      </c>
      <c r="D2260" s="94">
        <v>132</v>
      </c>
      <c r="E2260" s="84">
        <v>379.18</v>
      </c>
      <c r="F2260" s="83">
        <f t="shared" ca="1" si="99"/>
        <v>50051.76</v>
      </c>
    </row>
    <row r="2261" spans="1:6" ht="14.1" customHeight="1" x14ac:dyDescent="0.25">
      <c r="A2261" s="94" t="s">
        <v>3143</v>
      </c>
      <c r="B2261" s="82" t="str">
        <f ca="1">IFERROR(INDEX(UNSPSCDes,MATCH(INDIRECT(ADDRESS(ROW(),COLUMN()-1,4)),UNSPSCCode,0)),IF(INDIRECT(ADDRESS(ROW(),COLUMN()-1,4))="51111519","Temozolomida",""))</f>
        <v>Temozolomida</v>
      </c>
      <c r="C2261" s="95" t="str">
        <f>IFERROR(VLOOKUP("UD",'Informacion '!P:Q,2,FALSE),"")</f>
        <v>Unidad</v>
      </c>
      <c r="D2261" s="94">
        <v>18</v>
      </c>
      <c r="E2261" s="84">
        <v>3000</v>
      </c>
      <c r="F2261" s="83">
        <f t="shared" ca="1" si="99"/>
        <v>54000</v>
      </c>
    </row>
    <row r="2262" spans="1:6" ht="14.1" customHeight="1" x14ac:dyDescent="0.25">
      <c r="A2262" s="94" t="s">
        <v>2095</v>
      </c>
      <c r="B2262" s="82" t="str">
        <f ca="1">IFERROR(INDEX(UNSPSCDes,MATCH(INDIRECT(ADDRESS(ROW(),COLUMN()-1,4)),UNSPSCCode,0)),IF(INDIRECT(ADDRESS(ROW(),COLUMN()-1,4))="51111812","Sulfato de vinblastina",""))</f>
        <v>Sulfato de vinblastina</v>
      </c>
      <c r="C2262" s="95" t="str">
        <f>IFERROR(VLOOKUP("UD",'Informacion '!P:Q,2,FALSE),"")</f>
        <v>Unidad</v>
      </c>
      <c r="D2262" s="94">
        <v>36</v>
      </c>
      <c r="E2262" s="84">
        <v>695.35</v>
      </c>
      <c r="F2262" s="83">
        <f t="shared" ca="1" si="99"/>
        <v>25032.600000000002</v>
      </c>
    </row>
    <row r="2263" spans="1:6" ht="14.1" customHeight="1" x14ac:dyDescent="0.25">
      <c r="A2263" s="94" t="s">
        <v>1728</v>
      </c>
      <c r="B2263" s="82" t="str">
        <f ca="1">IFERROR(INDEX(UNSPSCDes,MATCH(INDIRECT(ADDRESS(ROW(),COLUMN()-1,4)),UNSPSCCode,0)),IF(INDIRECT(ADDRESS(ROW(),COLUMN()-1,4))="41106006","Radio nucleótidos o nucleosidos",""))</f>
        <v>Radio nucleótidos o nucleosidos</v>
      </c>
      <c r="C2263" s="95" t="str">
        <f>IFERROR(VLOOKUP("UD",'Informacion '!P:Q,2,FALSE),"")</f>
        <v>Unidad</v>
      </c>
      <c r="D2263" s="94">
        <v>6</v>
      </c>
      <c r="E2263" s="84">
        <v>32946.46</v>
      </c>
      <c r="F2263" s="83">
        <f t="shared" ca="1" si="99"/>
        <v>197678.76</v>
      </c>
    </row>
    <row r="2264" spans="1:6" ht="14.1" customHeight="1" x14ac:dyDescent="0.25">
      <c r="A2264" s="94" t="s">
        <v>10585</v>
      </c>
      <c r="B2264" s="82" t="str">
        <f ca="1">IFERROR(INDEX(UNSPSCDes,MATCH(INDIRECT(ADDRESS(ROW(),COLUMN()-1,4)),UNSPSCCode,0)),IF(INDIRECT(ADDRESS(ROW(),COLUMN()-1,4))="51111506","Cisplatino",""))</f>
        <v>Cisplatino</v>
      </c>
      <c r="C2264" s="95" t="str">
        <f>IFERROR(VLOOKUP("UD",'Informacion '!P:Q,2,FALSE),"")</f>
        <v>Unidad</v>
      </c>
      <c r="D2264" s="94">
        <v>290</v>
      </c>
      <c r="E2264" s="84">
        <v>456.33</v>
      </c>
      <c r="F2264" s="83">
        <f t="shared" ca="1" si="99"/>
        <v>132335.69999999998</v>
      </c>
    </row>
    <row r="2265" spans="1:6" ht="14.1" customHeight="1" x14ac:dyDescent="0.25">
      <c r="A2265" s="94" t="s">
        <v>15292</v>
      </c>
      <c r="B2265" s="82" t="str">
        <f ca="1">IFERROR(INDEX(UNSPSCDes,MATCH(INDIRECT(ADDRESS(ROW(),COLUMN()-1,4)),UNSPSCCode,0)),IF(INDIRECT(ADDRESS(ROW(),COLUMN()-1,4))="51111806","Clorhidrato de irinotecan",""))</f>
        <v>Clorhidrato de irinotecan</v>
      </c>
      <c r="C2265" s="95" t="str">
        <f>IFERROR(VLOOKUP("UD",'Informacion '!P:Q,2,FALSE),"")</f>
        <v>Unidad</v>
      </c>
      <c r="D2265" s="94">
        <v>22</v>
      </c>
      <c r="E2265" s="84">
        <v>8707.8799999999992</v>
      </c>
      <c r="F2265" s="83">
        <f t="shared" ca="1" si="99"/>
        <v>191573.36</v>
      </c>
    </row>
    <row r="2266" spans="1:6" ht="14.1" customHeight="1" x14ac:dyDescent="0.25">
      <c r="A2266" s="94" t="s">
        <v>1906</v>
      </c>
      <c r="B2266" s="82" t="str">
        <f ca="1">IFERROR(INDEX(UNSPSCDes,MATCH(INDIRECT(ADDRESS(ROW(),COLUMN()-1,4)),UNSPSCCode,0)),IF(INDIRECT(ADDRESS(ROW(),COLUMN()-1,4))="51111606","Hidroxiurea",""))</f>
        <v>Hidroxiurea</v>
      </c>
      <c r="C2266" s="95" t="str">
        <f>IFERROR(VLOOKUP("UD",'Informacion '!P:Q,2,FALSE),"")</f>
        <v>Unidad</v>
      </c>
      <c r="D2266" s="94">
        <v>4</v>
      </c>
      <c r="E2266" s="84">
        <v>16</v>
      </c>
      <c r="F2266" s="83">
        <f t="shared" ca="1" si="99"/>
        <v>64</v>
      </c>
    </row>
    <row r="2267" spans="1:6" ht="14.1" customHeight="1" x14ac:dyDescent="0.25">
      <c r="A2267" s="94" t="s">
        <v>17588</v>
      </c>
      <c r="B2267" s="82" t="str">
        <f ca="1">IFERROR(INDEX(UNSPSCDes,MATCH(INDIRECT(ADDRESS(ROW(),COLUMN()-1,4)),UNSPSCCode,0)),IF(INDIRECT(ADDRESS(ROW(),COLUMN()-1,4))="51111503","Carboplatino",""))</f>
        <v>Carboplatino</v>
      </c>
      <c r="C2267" s="95" t="str">
        <f>IFERROR(VLOOKUP("UD",'Informacion '!P:Q,2,FALSE),"")</f>
        <v>Unidad</v>
      </c>
      <c r="D2267" s="94">
        <v>177</v>
      </c>
      <c r="E2267" s="84">
        <v>1331.98</v>
      </c>
      <c r="F2267" s="83">
        <f t="shared" ca="1" si="99"/>
        <v>235760.46</v>
      </c>
    </row>
    <row r="2268" spans="1:6" ht="14.1" customHeight="1" x14ac:dyDescent="0.25">
      <c r="A2268" s="94" t="s">
        <v>7830</v>
      </c>
      <c r="B2268" s="82" t="str">
        <f ca="1">IFERROR(INDEX(UNSPSCDes,MATCH(INDIRECT(ADDRESS(ROW(),COLUMN()-1,4)),UNSPSCCode,0)),IF(INDIRECT(ADDRESS(ROW(),COLUMN()-1,4))="51111809","Tamoxifeno",""))</f>
        <v>Tamoxifeno</v>
      </c>
      <c r="C2268" s="95" t="str">
        <f>IFERROR(VLOOKUP("UD",'Informacion '!P:Q,2,FALSE),"")</f>
        <v>Unidad</v>
      </c>
      <c r="D2268" s="94">
        <v>82</v>
      </c>
      <c r="E2268" s="84">
        <v>9.32</v>
      </c>
      <c r="F2268" s="83">
        <f t="shared" ca="1" si="99"/>
        <v>764.24</v>
      </c>
    </row>
    <row r="2269" spans="1:6" ht="14.1" customHeight="1" x14ac:dyDescent="0.25">
      <c r="A2269" s="94" t="s">
        <v>14924</v>
      </c>
      <c r="B2269" s="82" t="str">
        <f ca="1">IFERROR(INDEX(UNSPSCDes,MATCH(INDIRECT(ADDRESS(ROW(),COLUMN()-1,4)),UNSPSCCode,0)),IF(INDIRECT(ADDRESS(ROW(),COLUMN()-1,4))="51101549","Linezolida",""))</f>
        <v>Linezolida</v>
      </c>
      <c r="C2269" s="95" t="str">
        <f>IFERROR(VLOOKUP("UD",'Informacion '!P:Q,2,FALSE),"")</f>
        <v>Unidad</v>
      </c>
      <c r="D2269" s="94">
        <v>3</v>
      </c>
      <c r="E2269" s="84">
        <v>714.29</v>
      </c>
      <c r="F2269" s="83">
        <f t="shared" ca="1" si="99"/>
        <v>2142.87</v>
      </c>
    </row>
    <row r="2270" spans="1:6" ht="14.1" customHeight="1" x14ac:dyDescent="0.25">
      <c r="A2270" s="94" t="s">
        <v>7830</v>
      </c>
      <c r="B2270" s="82" t="str">
        <f ca="1">IFERROR(INDEX(UNSPSCDes,MATCH(INDIRECT(ADDRESS(ROW(),COLUMN()-1,4)),UNSPSCCode,0)),IF(INDIRECT(ADDRESS(ROW(),COLUMN()-1,4))="51111809","Tamoxifeno",""))</f>
        <v>Tamoxifeno</v>
      </c>
      <c r="C2270" s="95" t="str">
        <f>IFERROR(VLOOKUP("UD",'Informacion '!P:Q,2,FALSE),"")</f>
        <v>Unidad</v>
      </c>
      <c r="D2270" s="94">
        <v>25</v>
      </c>
      <c r="E2270" s="84">
        <v>223.65</v>
      </c>
      <c r="F2270" s="83">
        <f t="shared" ca="1" si="99"/>
        <v>5591.25</v>
      </c>
    </row>
    <row r="2271" spans="1:6" ht="14.1" customHeight="1" x14ac:dyDescent="0.25">
      <c r="A2271" s="94" t="s">
        <v>14827</v>
      </c>
      <c r="B2271" s="82" t="str">
        <f ca="1">IFERROR(INDEX(UNSPSCDes,MATCH(INDIRECT(ADDRESS(ROW(),COLUMN()-1,4)),UNSPSCCode,0)),IF(INDIRECT(ADDRESS(ROW(),COLUMN()-1,4))="51211612","Leucovorina",""))</f>
        <v>Leucovorina</v>
      </c>
      <c r="C2271" s="95" t="str">
        <f>IFERROR(VLOOKUP("UD",'Informacion '!P:Q,2,FALSE),"")</f>
        <v>Unidad</v>
      </c>
      <c r="D2271" s="94">
        <v>3</v>
      </c>
      <c r="E2271" s="84">
        <v>371.09</v>
      </c>
      <c r="F2271" s="83">
        <f t="shared" ca="1" si="99"/>
        <v>1113.27</v>
      </c>
    </row>
    <row r="2272" spans="1:6" ht="14.1" customHeight="1" x14ac:dyDescent="0.25">
      <c r="A2272" s="94" t="s">
        <v>6233</v>
      </c>
      <c r="B2272" s="82" t="str">
        <f ca="1">IFERROR(INDEX(UNSPSCDes,MATCH(INDIRECT(ADDRESS(ROW(),COLUMN()-1,4)),UNSPSCCode,0)),IF(INDIRECT(ADDRESS(ROW(),COLUMN()-1,4))="51111508","Dacarbazina",""))</f>
        <v>Dacarbazina</v>
      </c>
      <c r="C2272" s="95" t="str">
        <f>IFERROR(VLOOKUP("UD",'Informacion '!P:Q,2,FALSE),"")</f>
        <v>Unidad</v>
      </c>
      <c r="D2272" s="94">
        <v>89</v>
      </c>
      <c r="E2272" s="84">
        <v>943.33</v>
      </c>
      <c r="F2272" s="83">
        <f t="shared" ca="1" si="99"/>
        <v>83956.37000000001</v>
      </c>
    </row>
    <row r="2273" spans="1:10" ht="14.1" customHeight="1" x14ac:dyDescent="0.25">
      <c r="A2273" s="94" t="s">
        <v>14357</v>
      </c>
      <c r="B2273" s="82" t="str">
        <f ca="1">IFERROR(INDEX(UNSPSCDes,MATCH(INDIRECT(ADDRESS(ROW(),COLUMN()-1,4)),UNSPSCCode,0)),IF(INDIRECT(ADDRESS(ROW(),COLUMN()-1,4))="51111602","Citarabina",""))</f>
        <v>Citarabina</v>
      </c>
      <c r="C2273" s="95" t="str">
        <f>IFERROR(VLOOKUP("UD",'Informacion '!P:Q,2,FALSE),"")</f>
        <v>Unidad</v>
      </c>
      <c r="D2273" s="94">
        <v>229</v>
      </c>
      <c r="E2273" s="84">
        <v>398.12</v>
      </c>
      <c r="F2273" s="83">
        <f t="shared" ca="1" si="99"/>
        <v>91169.48</v>
      </c>
    </row>
    <row r="2274" spans="1:10" ht="14.1" customHeight="1" x14ac:dyDescent="0.25">
      <c r="A2274" s="94" t="s">
        <v>14635</v>
      </c>
      <c r="B2274" s="82" t="str">
        <f ca="1">IFERROR(INDEX(UNSPSCDes,MATCH(INDIRECT(ADDRESS(ROW(),COLUMN()-1,4)),UNSPSCCode,0)),IF(INDIRECT(ADDRESS(ROW(),COLUMN()-1,4))="51111703","Daunorubicinas",""))</f>
        <v>Daunorubicinas</v>
      </c>
      <c r="C2274" s="95" t="str">
        <f>IFERROR(VLOOKUP("UD",'Informacion '!P:Q,2,FALSE),"")</f>
        <v>Unidad</v>
      </c>
      <c r="D2274" s="94">
        <v>53</v>
      </c>
      <c r="E2274" s="84">
        <v>1163.08</v>
      </c>
      <c r="F2274" s="83">
        <f t="shared" ca="1" si="99"/>
        <v>61643.24</v>
      </c>
    </row>
    <row r="2275" spans="1:10" ht="14.1" customHeight="1" x14ac:dyDescent="0.25">
      <c r="A2275" s="94" t="s">
        <v>2723</v>
      </c>
      <c r="B2275" s="82" t="str">
        <f ca="1">IFERROR(INDEX(UNSPSCDes,MATCH(INDIRECT(ADDRESS(ROW(),COLUMN()-1,4)),UNSPSCCode,0)),IF(INDIRECT(ADDRESS(ROW(),COLUMN()-1,4))="12352108","Esteres o sus sustitutos",""))</f>
        <v>Esteres o sus sustitutos</v>
      </c>
      <c r="C2275" s="95" t="str">
        <f>IFERROR(VLOOKUP("UD",'Informacion '!P:Q,2,FALSE),"")</f>
        <v>Unidad</v>
      </c>
      <c r="D2275" s="94">
        <v>81</v>
      </c>
      <c r="E2275" s="84">
        <v>138</v>
      </c>
      <c r="F2275" s="83">
        <f t="shared" ca="1" si="99"/>
        <v>11178</v>
      </c>
    </row>
    <row r="2276" spans="1:10" ht="14.1" customHeight="1" x14ac:dyDescent="0.25">
      <c r="A2276" s="94" t="s">
        <v>5102</v>
      </c>
      <c r="B2276" s="82" t="str">
        <f ca="1">IFERROR(INDEX(UNSPSCDes,MATCH(INDIRECT(ADDRESS(ROW(),COLUMN()-1,4)),UNSPSCCode,0)),IF(INDIRECT(ADDRESS(ROW(),COLUMN()-1,4))="51111904","Paclitaxel",""))</f>
        <v>Paclitaxel</v>
      </c>
      <c r="C2276" s="95" t="str">
        <f>IFERROR(VLOOKUP("UD",'Informacion '!P:Q,2,FALSE),"")</f>
        <v>Unidad</v>
      </c>
      <c r="D2276" s="94">
        <v>3</v>
      </c>
      <c r="E2276" s="84">
        <v>50583.87</v>
      </c>
      <c r="F2276" s="83">
        <f t="shared" ca="1" si="99"/>
        <v>151751.61000000002</v>
      </c>
    </row>
    <row r="2277" spans="1:10" ht="14.1" customHeight="1" x14ac:dyDescent="0.25">
      <c r="A2277" s="94" t="s">
        <v>1751</v>
      </c>
      <c r="B2277" s="82" t="str">
        <f ca="1">IFERROR(INDEX(UNSPSCDes,MATCH(INDIRECT(ADDRESS(ROW(),COLUMN()-1,4)),UNSPSCCode,0)),IF(INDIRECT(ADDRESS(ROW(),COLUMN()-1,4))="51111701","Sulfato de bleomicina",""))</f>
        <v>Sulfato de bleomicina</v>
      </c>
      <c r="C2277" s="95" t="str">
        <f>IFERROR(VLOOKUP("UD",'Informacion '!P:Q,2,FALSE),"")</f>
        <v>Unidad</v>
      </c>
      <c r="D2277" s="94">
        <v>93</v>
      </c>
      <c r="E2277" s="84">
        <v>1100</v>
      </c>
      <c r="F2277" s="83">
        <f t="shared" ca="1" si="99"/>
        <v>102300</v>
      </c>
    </row>
    <row r="2278" spans="1:10" ht="14.1" customHeight="1" x14ac:dyDescent="0.25">
      <c r="A2278" s="94" t="s">
        <v>3201</v>
      </c>
      <c r="B2278" s="82" t="str">
        <f ca="1">IFERROR(INDEX(UNSPSCDes,MATCH(INDIRECT(ADDRESS(ROW(),COLUMN()-1,4)),UNSPSCCode,0)),IF(INDIRECT(ADDRESS(ROW(),COLUMN()-1,4))="51111702","Dactinomicina",""))</f>
        <v>Dactinomicina</v>
      </c>
      <c r="C2278" s="95" t="str">
        <f>IFERROR(VLOOKUP("UD",'Informacion '!P:Q,2,FALSE),"")</f>
        <v>Unidad</v>
      </c>
      <c r="D2278" s="94">
        <v>32</v>
      </c>
      <c r="E2278" s="84">
        <v>1248.8599999999999</v>
      </c>
      <c r="F2278" s="83">
        <f t="shared" ca="1" si="99"/>
        <v>39963.519999999997</v>
      </c>
    </row>
    <row r="2279" spans="1:10" ht="14.1" customHeight="1" x14ac:dyDescent="0.25">
      <c r="A2279" s="94" t="s">
        <v>12663</v>
      </c>
      <c r="B2279" s="82" t="str">
        <f ca="1">IFERROR(INDEX(UNSPSCDes,MATCH(INDIRECT(ADDRESS(ROW(),COLUMN()-1,4)),UNSPSCCode,0)),IF(INDIRECT(ADDRESS(ROW(),COLUMN()-1,4))="51111805","Acetato de goserelina",""))</f>
        <v>Acetato de goserelina</v>
      </c>
      <c r="C2279" s="95" t="str">
        <f>IFERROR(VLOOKUP("UD",'Informacion '!P:Q,2,FALSE),"")</f>
        <v>Unidad</v>
      </c>
      <c r="D2279" s="94">
        <v>12</v>
      </c>
      <c r="E2279" s="84">
        <v>22600</v>
      </c>
      <c r="F2279" s="83">
        <f t="shared" ca="1" si="99"/>
        <v>271200</v>
      </c>
    </row>
    <row r="2280" spans="1:10" ht="14.1" customHeight="1" x14ac:dyDescent="0.25">
      <c r="A2280" s="94" t="s">
        <v>12474</v>
      </c>
      <c r="B2280" s="82" t="str">
        <f ca="1">IFERROR(INDEX(UNSPSCDes,MATCH(INDIRECT(ADDRESS(ROW(),COLUMN()-1,4)),UNSPSCCode,0)),IF(INDIRECT(ADDRESS(ROW(),COLUMN()-1,4))="51181713","Prednisona",""))</f>
        <v>Prednisona</v>
      </c>
      <c r="C2280" s="95" t="str">
        <f>IFERROR(VLOOKUP("UD",'Informacion '!P:Q,2,FALSE),"")</f>
        <v>Unidad</v>
      </c>
      <c r="D2280" s="94">
        <v>163</v>
      </c>
      <c r="E2280" s="84">
        <v>7.54</v>
      </c>
      <c r="F2280" s="83">
        <f t="shared" ca="1" si="99"/>
        <v>1229.02</v>
      </c>
    </row>
    <row r="2281" spans="1:10" ht="14.1" customHeight="1" x14ac:dyDescent="0.25">
      <c r="A2281" s="94" t="s">
        <v>7316</v>
      </c>
      <c r="B2281" s="82" t="str">
        <f ca="1">IFERROR(INDEX(UNSPSCDes,MATCH(INDIRECT(ADDRESS(ROW(),COLUMN()-1,4)),UNSPSCCode,0)),IF(INDIRECT(ADDRESS(ROW(),COLUMN()-1,4))="51111813","Sulfato de vincristina",""))</f>
        <v>Sulfato de vincristina</v>
      </c>
      <c r="C2281" s="95" t="str">
        <f>IFERROR(VLOOKUP("UD",'Informacion '!P:Q,2,FALSE),"")</f>
        <v>Unidad</v>
      </c>
      <c r="D2281" s="94">
        <v>128</v>
      </c>
      <c r="E2281" s="84">
        <v>225.72</v>
      </c>
      <c r="F2281" s="83">
        <f t="shared" ca="1" si="99"/>
        <v>28892.16</v>
      </c>
    </row>
    <row r="2282" spans="1:10" ht="14.1" customHeight="1" x14ac:dyDescent="0.25">
      <c r="A2282" s="94" t="s">
        <v>15432</v>
      </c>
      <c r="B2282" s="82" t="str">
        <f ca="1">IFERROR(INDEX(UNSPSCDes,MATCH(INDIRECT(ADDRESS(ROW(),COLUMN()-1,4)),UNSPSCCode,0)),IF(INDIRECT(ADDRESS(ROW(),COLUMN()-1,4))="51141518","Levetiracetam",""))</f>
        <v>Levetiracetam</v>
      </c>
      <c r="C2282" s="95" t="str">
        <f>IFERROR(VLOOKUP("UD",'Informacion '!P:Q,2,FALSE),"")</f>
        <v>Unidad</v>
      </c>
      <c r="D2282" s="94">
        <v>7</v>
      </c>
      <c r="E2282" s="84">
        <v>22.07</v>
      </c>
      <c r="F2282" s="83">
        <f t="shared" ca="1" si="99"/>
        <v>154.49</v>
      </c>
    </row>
    <row r="2283" spans="1:10" ht="14.1" customHeight="1" x14ac:dyDescent="0.25">
      <c r="A2283" s="94" t="s">
        <v>9396</v>
      </c>
      <c r="B2283" s="82" t="str">
        <f ca="1">IFERROR(INDEX(UNSPSCDes,MATCH(INDIRECT(ADDRESS(ROW(),COLUMN()-1,4)),UNSPSCCode,0)),IF(INDIRECT(ADDRESS(ROW(),COLUMN()-1,4))="51171822","Clorhidrato de palonosetrón",""))</f>
        <v>Clorhidrato de palonosetrón</v>
      </c>
      <c r="C2283" s="95" t="str">
        <f>IFERROR(VLOOKUP("UD",'Informacion '!P:Q,2,FALSE),"")</f>
        <v>Unidad</v>
      </c>
      <c r="D2283" s="94">
        <v>4</v>
      </c>
      <c r="E2283" s="84">
        <v>1000</v>
      </c>
      <c r="F2283" s="83">
        <f t="shared" ca="1" si="99"/>
        <v>4000</v>
      </c>
    </row>
    <row r="2284" spans="1:10" ht="14.1" customHeight="1" x14ac:dyDescent="0.25">
      <c r="E2284" s="96" t="s">
        <v>7213</v>
      </c>
      <c r="F2284" s="87">
        <f ca="1">SUM(Table90[MONTO TOTAL ESTIMADO])</f>
        <v>2559918.2700000005</v>
      </c>
      <c r="H2284" s="39" t="str">
        <f>C2241</f>
        <v>Bienes</v>
      </c>
      <c r="I2284" s="39" t="str">
        <f>E2241</f>
        <v>No</v>
      </c>
      <c r="J2284" s="39" t="str">
        <f>D2241</f>
        <v>Comparacion de Precios</v>
      </c>
    </row>
    <row r="2286" spans="1:10" ht="33.950000000000003" customHeight="1" x14ac:dyDescent="0.25">
      <c r="A2286" s="77" t="s">
        <v>17233</v>
      </c>
      <c r="B2286" s="77" t="s">
        <v>4237</v>
      </c>
      <c r="C2286" s="77" t="s">
        <v>4743</v>
      </c>
      <c r="D2286" s="77" t="s">
        <v>9891</v>
      </c>
      <c r="E2286" s="77" t="s">
        <v>3089</v>
      </c>
      <c r="F2286" s="77" t="s">
        <v>18141</v>
      </c>
    </row>
    <row r="2287" spans="1:10" ht="14.1" customHeight="1" x14ac:dyDescent="0.25">
      <c r="A2287" s="79" t="s">
        <v>7123</v>
      </c>
      <c r="B2287" s="79" t="s">
        <v>8271</v>
      </c>
      <c r="C2287" s="79" t="s">
        <v>17215</v>
      </c>
      <c r="D2287" s="79" t="s">
        <v>15249</v>
      </c>
      <c r="E2287" s="79" t="s">
        <v>18247</v>
      </c>
      <c r="F2287" s="79"/>
    </row>
    <row r="2288" spans="1:10" ht="14.1" customHeight="1" x14ac:dyDescent="0.25">
      <c r="A2288" s="2" t="s">
        <v>6643</v>
      </c>
      <c r="B2288" s="80" t="s">
        <v>1046</v>
      </c>
      <c r="C2288" s="90">
        <v>43739</v>
      </c>
      <c r="D2288" s="2" t="s">
        <v>59</v>
      </c>
      <c r="E2288" s="92" t="s">
        <v>20066</v>
      </c>
      <c r="F2288" s="93"/>
    </row>
    <row r="2289" spans="1:6" ht="14.1" customHeight="1" x14ac:dyDescent="0.25">
      <c r="A2289" s="1"/>
      <c r="B2289" s="80" t="s">
        <v>10788</v>
      </c>
      <c r="C2289" s="91">
        <f>IF(C2288="","",IF(AND(MONTH(C2288)&gt;=1,MONTH(C2288)&lt;=3),1,IF(AND(MONTH(C2288)&gt;=4,MONTH(C2288)&lt;=6),2,IF(AND(MONTH(C2288)&gt;=7,MONTH(C2288)&lt;=9),3,4))))</f>
        <v>4</v>
      </c>
      <c r="D2289" s="1"/>
      <c r="E2289" s="92" t="s">
        <v>14822</v>
      </c>
      <c r="F2289" s="93"/>
    </row>
    <row r="2290" spans="1:6" ht="14.1" customHeight="1" x14ac:dyDescent="0.25">
      <c r="A2290" s="1"/>
      <c r="B2290" s="80" t="s">
        <v>13758</v>
      </c>
      <c r="C2290" s="90">
        <v>43829</v>
      </c>
      <c r="D2290" s="1"/>
      <c r="E2290" s="92" t="s">
        <v>18636</v>
      </c>
      <c r="F2290" s="93"/>
    </row>
    <row r="2291" spans="1:6" ht="14.1" customHeight="1" x14ac:dyDescent="0.25">
      <c r="A2291" s="1"/>
      <c r="B2291" s="80" t="s">
        <v>10788</v>
      </c>
      <c r="C2291" s="91">
        <f>IF(C2290="","",IF(AND(MONTH(C2290)&gt;=1,MONTH(C2290)&lt;=3),1,IF(AND(MONTH(C2290)&gt;=4,MONTH(C2290)&lt;=6),2,IF(AND(MONTH(C2290)&gt;=7,MONTH(C2290)&lt;=9),3,4))))</f>
        <v>4</v>
      </c>
      <c r="D2291" s="1"/>
      <c r="E2291" s="92" t="s">
        <v>15990</v>
      </c>
      <c r="F2291" s="93"/>
    </row>
    <row r="2293" spans="1:6" ht="14.1" customHeight="1" x14ac:dyDescent="0.25">
      <c r="A2293" s="85" t="s">
        <v>15474</v>
      </c>
      <c r="B2293" s="85" t="s">
        <v>5027</v>
      </c>
      <c r="C2293" s="85" t="s">
        <v>17461</v>
      </c>
      <c r="D2293" s="85" t="s">
        <v>3935</v>
      </c>
      <c r="E2293" s="85" t="s">
        <v>10722</v>
      </c>
      <c r="F2293" s="85" t="s">
        <v>18237</v>
      </c>
    </row>
    <row r="2294" spans="1:6" ht="14.1" customHeight="1" x14ac:dyDescent="0.25">
      <c r="A2294" s="94" t="s">
        <v>7570</v>
      </c>
      <c r="B2294" s="82" t="str">
        <f ca="1">IFERROR(INDEX(UNSPSCDes,MATCH(INDIRECT(ADDRESS(ROW(),COLUMN()-1,4)),UNSPSCCode,0)),IF(INDIRECT(ADDRESS(ROW(),COLUMN()-1,4))="51171816","Ondansetrón",""))</f>
        <v>Ondansetrón</v>
      </c>
      <c r="C2294" s="95" t="str">
        <f>IFERROR(VLOOKUP("UD",'Informacion '!P:Q,2,FALSE),"")</f>
        <v>Unidad</v>
      </c>
      <c r="D2294" s="94">
        <v>830</v>
      </c>
      <c r="E2294" s="84">
        <v>83.25</v>
      </c>
      <c r="F2294" s="83">
        <f t="shared" ref="F2294:F2329" ca="1" si="100">INDIRECT(ADDRESS(ROW(),COLUMN()-2,4))*INDIRECT(ADDRESS(ROW(),COLUMN()-1,4))</f>
        <v>69097.5</v>
      </c>
    </row>
    <row r="2295" spans="1:6" ht="14.1" customHeight="1" x14ac:dyDescent="0.25">
      <c r="A2295" s="94" t="s">
        <v>12592</v>
      </c>
      <c r="B2295" s="82" t="str">
        <f ca="1">IFERROR(INDEX(UNSPSCDes,MATCH(INDIRECT(ADDRESS(ROW(),COLUMN()-1,4)),UNSPSCCode,0)),IF(INDIRECT(ADDRESS(ROW(),COLUMN()-1,4))="51111801","Anastrozol",""))</f>
        <v>Anastrozol</v>
      </c>
      <c r="C2295" s="95" t="str">
        <f>IFERROR(VLOOKUP("UD",'Informacion '!P:Q,2,FALSE),"")</f>
        <v>Unidad</v>
      </c>
      <c r="D2295" s="94">
        <v>108</v>
      </c>
      <c r="E2295" s="84">
        <v>34.450000000000003</v>
      </c>
      <c r="F2295" s="83">
        <f t="shared" ca="1" si="100"/>
        <v>3720.6000000000004</v>
      </c>
    </row>
    <row r="2296" spans="1:6" ht="14.1" customHeight="1" x14ac:dyDescent="0.25">
      <c r="A2296" s="94" t="s">
        <v>1085</v>
      </c>
      <c r="B2296" s="82" t="str">
        <f ca="1">IFERROR(INDEX(UNSPSCDes,MATCH(INDIRECT(ADDRESS(ROW(),COLUMN()-1,4)),UNSPSCCode,0)),IF(INDIRECT(ADDRESS(ROW(),COLUMN()-1,4))="51111802","Bicalutamida",""))</f>
        <v>Bicalutamida</v>
      </c>
      <c r="C2296" s="95" t="str">
        <f>IFERROR(VLOOKUP("UD",'Informacion '!P:Q,2,FALSE),"")</f>
        <v>Unidad</v>
      </c>
      <c r="D2296" s="94">
        <v>208</v>
      </c>
      <c r="E2296" s="84">
        <v>390.48</v>
      </c>
      <c r="F2296" s="83">
        <f t="shared" ca="1" si="100"/>
        <v>81219.839999999997</v>
      </c>
    </row>
    <row r="2297" spans="1:6" ht="14.1" customHeight="1" x14ac:dyDescent="0.25">
      <c r="A2297" s="94" t="s">
        <v>11437</v>
      </c>
      <c r="B2297" s="82" t="str">
        <f ca="1">IFERROR(INDEX(UNSPSCDes,MATCH(INDIRECT(ADDRESS(ROW(),COLUMN()-1,4)),UNSPSCCode,0)),IF(INDIRECT(ADDRESS(ROW(),COLUMN()-1,4))="51111710","Epirubicina",""))</f>
        <v>Epirubicina</v>
      </c>
      <c r="C2297" s="95" t="str">
        <f>IFERROR(VLOOKUP("UD",'Informacion '!P:Q,2,FALSE),"")</f>
        <v>Unidad</v>
      </c>
      <c r="D2297" s="94">
        <v>18</v>
      </c>
      <c r="E2297" s="84">
        <v>3352.11</v>
      </c>
      <c r="F2297" s="83">
        <f t="shared" ca="1" si="100"/>
        <v>60337.98</v>
      </c>
    </row>
    <row r="2298" spans="1:6" ht="14.1" customHeight="1" x14ac:dyDescent="0.25">
      <c r="A2298" s="94" t="s">
        <v>10087</v>
      </c>
      <c r="B2298" s="82" t="str">
        <f ca="1">IFERROR(INDEX(UNSPSCDes,MATCH(INDIRECT(ADDRESS(ROW(),COLUMN()-1,4)),UNSPSCCode,0)),IF(INDIRECT(ADDRESS(ROW(),COLUMN()-1,4))="51111614","Etopósido",""))</f>
        <v>Etopósido</v>
      </c>
      <c r="C2298" s="95" t="str">
        <f>IFERROR(VLOOKUP("UD",'Informacion '!P:Q,2,FALSE),"")</f>
        <v>Unidad</v>
      </c>
      <c r="D2298" s="94">
        <v>119</v>
      </c>
      <c r="E2298" s="84">
        <v>271.64</v>
      </c>
      <c r="F2298" s="83">
        <f t="shared" ca="1" si="100"/>
        <v>32325.16</v>
      </c>
    </row>
    <row r="2299" spans="1:6" ht="14.1" customHeight="1" x14ac:dyDescent="0.25">
      <c r="A2299" s="94" t="s">
        <v>4544</v>
      </c>
      <c r="B2299" s="82" t="str">
        <f ca="1">IFERROR(INDEX(UNSPSCDes,MATCH(INDIRECT(ADDRESS(ROW(),COLUMN()-1,4)),UNSPSCCode,0)),IF(INDIRECT(ADDRESS(ROW(),COLUMN()-1,4))="51201802","Filgrastim",""))</f>
        <v>Filgrastim</v>
      </c>
      <c r="C2299" s="95" t="str">
        <f>IFERROR(VLOOKUP("UD",'Informacion '!P:Q,2,FALSE),"")</f>
        <v>Unidad</v>
      </c>
      <c r="D2299" s="94">
        <v>151</v>
      </c>
      <c r="E2299" s="84">
        <v>1325.01</v>
      </c>
      <c r="F2299" s="83">
        <f t="shared" ca="1" si="100"/>
        <v>200076.51</v>
      </c>
    </row>
    <row r="2300" spans="1:6" ht="14.1" customHeight="1" x14ac:dyDescent="0.25">
      <c r="A2300" s="94" t="s">
        <v>14363</v>
      </c>
      <c r="B2300" s="82" t="str">
        <f ca="1">IFERROR(INDEX(UNSPSCDes,MATCH(INDIRECT(ADDRESS(ROW(),COLUMN()-1,4)),UNSPSCCode,0)),IF(INDIRECT(ADDRESS(ROW(),COLUMN()-1,4))="51111604","Fosfato de fludarabina",""))</f>
        <v>Fosfato de fludarabina</v>
      </c>
      <c r="C2300" s="95" t="str">
        <f>IFERROR(VLOOKUP("UD",'Informacion '!P:Q,2,FALSE),"")</f>
        <v>Unidad</v>
      </c>
      <c r="D2300" s="94">
        <v>27</v>
      </c>
      <c r="E2300" s="84">
        <v>4545.45</v>
      </c>
      <c r="F2300" s="83">
        <f t="shared" ca="1" si="100"/>
        <v>122727.15</v>
      </c>
    </row>
    <row r="2301" spans="1:6" ht="14.1" customHeight="1" x14ac:dyDescent="0.25">
      <c r="A2301" s="94" t="s">
        <v>13176</v>
      </c>
      <c r="B2301" s="82" t="str">
        <f ca="1">IFERROR(INDEX(UNSPSCDes,MATCH(INDIRECT(ADDRESS(ROW(),COLUMN()-1,4)),UNSPSCCode,0)),IF(INDIRECT(ADDRESS(ROW(),COLUMN()-1,4))="51111605","Fluorouracilo",""))</f>
        <v>Fluorouracilo</v>
      </c>
      <c r="C2301" s="95" t="str">
        <f>IFERROR(VLOOKUP("UD",'Informacion '!P:Q,2,FALSE),"")</f>
        <v>Unidad</v>
      </c>
      <c r="D2301" s="94">
        <v>611</v>
      </c>
      <c r="E2301" s="84">
        <v>125</v>
      </c>
      <c r="F2301" s="83">
        <f t="shared" ca="1" si="100"/>
        <v>76375</v>
      </c>
    </row>
    <row r="2302" spans="1:6" ht="14.1" customHeight="1" x14ac:dyDescent="0.25">
      <c r="A2302" s="94" t="s">
        <v>11096</v>
      </c>
      <c r="B2302" s="82" t="str">
        <f ca="1">IFERROR(INDEX(UNSPSCDes,MATCH(INDIRECT(ADDRESS(ROW(),COLUMN()-1,4)),UNSPSCCode,0)),IF(INDIRECT(ADDRESS(ROW(),COLUMN()-1,4))="51111507","Ciclofosfamida",""))</f>
        <v>Ciclofosfamida</v>
      </c>
      <c r="C2302" s="95" t="str">
        <f>IFERROR(VLOOKUP("UD",'Informacion '!P:Q,2,FALSE),"")</f>
        <v>Unidad</v>
      </c>
      <c r="D2302" s="94">
        <v>385</v>
      </c>
      <c r="E2302" s="84">
        <v>431.18</v>
      </c>
      <c r="F2302" s="83">
        <f t="shared" ca="1" si="100"/>
        <v>166004.29999999999</v>
      </c>
    </row>
    <row r="2303" spans="1:6" ht="14.1" customHeight="1" x14ac:dyDescent="0.25">
      <c r="A2303" s="94" t="s">
        <v>4050</v>
      </c>
      <c r="B2303" s="82" t="str">
        <f ca="1">IFERROR(INDEX(UNSPSCDes,MATCH(INDIRECT(ADDRESS(ROW(),COLUMN()-1,4)),UNSPSCCode,0)),IF(INDIRECT(ADDRESS(ROW(),COLUMN()-1,4))="51181806","Acetato de megestrol",""))</f>
        <v>Acetato de megestrol</v>
      </c>
      <c r="C2303" s="95" t="str">
        <f>IFERROR(VLOOKUP("UD",'Informacion '!P:Q,2,FALSE),"")</f>
        <v>Unidad</v>
      </c>
      <c r="D2303" s="94">
        <v>12</v>
      </c>
      <c r="E2303" s="84">
        <v>1700</v>
      </c>
      <c r="F2303" s="83">
        <f t="shared" ca="1" si="100"/>
        <v>20400</v>
      </c>
    </row>
    <row r="2304" spans="1:6" ht="14.1" customHeight="1" x14ac:dyDescent="0.25">
      <c r="A2304" s="94" t="s">
        <v>11400</v>
      </c>
      <c r="B2304" s="82" t="str">
        <f ca="1">IFERROR(INDEX(UNSPSCDes,MATCH(INDIRECT(ADDRESS(ROW(),COLUMN()-1,4)),UNSPSCCode,0)),IF(INDIRECT(ADDRESS(ROW(),COLUMN()-1,4))="51111609","Mercaptopurina",""))</f>
        <v>Mercaptopurina</v>
      </c>
      <c r="C2304" s="95" t="str">
        <f>IFERROR(VLOOKUP("UD",'Informacion '!P:Q,2,FALSE),"")</f>
        <v>Unidad</v>
      </c>
      <c r="D2304" s="94">
        <v>204</v>
      </c>
      <c r="E2304" s="84">
        <v>16.670000000000002</v>
      </c>
      <c r="F2304" s="83">
        <f t="shared" ca="1" si="100"/>
        <v>3400.6800000000003</v>
      </c>
    </row>
    <row r="2305" spans="1:6" ht="14.1" customHeight="1" x14ac:dyDescent="0.25">
      <c r="A2305" s="94" t="s">
        <v>10125</v>
      </c>
      <c r="B2305" s="82" t="str">
        <f ca="1">IFERROR(INDEX(UNSPSCDes,MATCH(INDIRECT(ADDRESS(ROW(),COLUMN()-1,4)),UNSPSCCode,0)),IF(INDIRECT(ADDRESS(ROW(),COLUMN()-1,4))="51111513","Mesna",""))</f>
        <v>Mesna</v>
      </c>
      <c r="C2305" s="95" t="str">
        <f>IFERROR(VLOOKUP("UD",'Informacion '!P:Q,2,FALSE),"")</f>
        <v>Unidad</v>
      </c>
      <c r="D2305" s="94">
        <v>33</v>
      </c>
      <c r="E2305" s="84">
        <v>169.62</v>
      </c>
      <c r="F2305" s="83">
        <f t="shared" ca="1" si="100"/>
        <v>5597.46</v>
      </c>
    </row>
    <row r="2306" spans="1:6" ht="14.1" customHeight="1" x14ac:dyDescent="0.25">
      <c r="A2306" s="94" t="s">
        <v>16400</v>
      </c>
      <c r="B2306" s="82" t="str">
        <f ca="1">IFERROR(INDEX(UNSPSCDes,MATCH(INDIRECT(ADDRESS(ROW(),COLUMN()-1,4)),UNSPSCCode,0)),IF(INDIRECT(ADDRESS(ROW(),COLUMN()-1,4))="51111610","Metotrexato",""))</f>
        <v>Metotrexato</v>
      </c>
      <c r="C2306" s="95" t="str">
        <f>IFERROR(VLOOKUP("UD",'Informacion '!P:Q,2,FALSE),"")</f>
        <v>Unidad</v>
      </c>
      <c r="D2306" s="94">
        <v>135</v>
      </c>
      <c r="E2306" s="84">
        <v>379.18</v>
      </c>
      <c r="F2306" s="83">
        <f t="shared" ca="1" si="100"/>
        <v>51189.3</v>
      </c>
    </row>
    <row r="2307" spans="1:6" ht="14.1" customHeight="1" x14ac:dyDescent="0.25">
      <c r="A2307" s="94" t="s">
        <v>3143</v>
      </c>
      <c r="B2307" s="82" t="str">
        <f ca="1">IFERROR(INDEX(UNSPSCDes,MATCH(INDIRECT(ADDRESS(ROW(),COLUMN()-1,4)),UNSPSCCode,0)),IF(INDIRECT(ADDRESS(ROW(),COLUMN()-1,4))="51111519","Temozolomida",""))</f>
        <v>Temozolomida</v>
      </c>
      <c r="C2307" s="95" t="str">
        <f>IFERROR(VLOOKUP("UD",'Informacion '!P:Q,2,FALSE),"")</f>
        <v>Unidad</v>
      </c>
      <c r="D2307" s="94">
        <v>19</v>
      </c>
      <c r="E2307" s="84">
        <v>3000</v>
      </c>
      <c r="F2307" s="83">
        <f t="shared" ca="1" si="100"/>
        <v>57000</v>
      </c>
    </row>
    <row r="2308" spans="1:6" ht="14.1" customHeight="1" x14ac:dyDescent="0.25">
      <c r="A2308" s="94" t="s">
        <v>2095</v>
      </c>
      <c r="B2308" s="82" t="str">
        <f ca="1">IFERROR(INDEX(UNSPSCDes,MATCH(INDIRECT(ADDRESS(ROW(),COLUMN()-1,4)),UNSPSCCode,0)),IF(INDIRECT(ADDRESS(ROW(),COLUMN()-1,4))="51111812","Sulfato de vinblastina",""))</f>
        <v>Sulfato de vinblastina</v>
      </c>
      <c r="C2308" s="95" t="str">
        <f>IFERROR(VLOOKUP("UD",'Informacion '!P:Q,2,FALSE),"")</f>
        <v>Unidad</v>
      </c>
      <c r="D2308" s="94">
        <v>37</v>
      </c>
      <c r="E2308" s="84">
        <v>695.35</v>
      </c>
      <c r="F2308" s="83">
        <f t="shared" ca="1" si="100"/>
        <v>25727.95</v>
      </c>
    </row>
    <row r="2309" spans="1:6" ht="14.1" customHeight="1" x14ac:dyDescent="0.25">
      <c r="A2309" s="94" t="s">
        <v>1728</v>
      </c>
      <c r="B2309" s="82" t="str">
        <f ca="1">IFERROR(INDEX(UNSPSCDes,MATCH(INDIRECT(ADDRESS(ROW(),COLUMN()-1,4)),UNSPSCCode,0)),IF(INDIRECT(ADDRESS(ROW(),COLUMN()-1,4))="41106006","Radio nucleótidos o nucleosidos",""))</f>
        <v>Radio nucleótidos o nucleosidos</v>
      </c>
      <c r="C2309" s="95" t="str">
        <f>IFERROR(VLOOKUP("UD",'Informacion '!P:Q,2,FALSE),"")</f>
        <v>Unidad</v>
      </c>
      <c r="D2309" s="94">
        <v>7</v>
      </c>
      <c r="E2309" s="84">
        <v>32946.46</v>
      </c>
      <c r="F2309" s="83">
        <f t="shared" ca="1" si="100"/>
        <v>230625.22</v>
      </c>
    </row>
    <row r="2310" spans="1:6" ht="14.1" customHeight="1" x14ac:dyDescent="0.25">
      <c r="A2310" s="94" t="s">
        <v>10585</v>
      </c>
      <c r="B2310" s="82" t="str">
        <f ca="1">IFERROR(INDEX(UNSPSCDes,MATCH(INDIRECT(ADDRESS(ROW(),COLUMN()-1,4)),UNSPSCCode,0)),IF(INDIRECT(ADDRESS(ROW(),COLUMN()-1,4))="51111506","Cisplatino",""))</f>
        <v>Cisplatino</v>
      </c>
      <c r="C2310" s="95" t="str">
        <f>IFERROR(VLOOKUP("UD",'Informacion '!P:Q,2,FALSE),"")</f>
        <v>Unidad</v>
      </c>
      <c r="D2310" s="94">
        <v>296</v>
      </c>
      <c r="E2310" s="84">
        <v>456.33</v>
      </c>
      <c r="F2310" s="83">
        <f t="shared" ca="1" si="100"/>
        <v>135073.68</v>
      </c>
    </row>
    <row r="2311" spans="1:6" ht="14.1" customHeight="1" x14ac:dyDescent="0.25">
      <c r="A2311" s="94" t="s">
        <v>15292</v>
      </c>
      <c r="B2311" s="82" t="str">
        <f ca="1">IFERROR(INDEX(UNSPSCDes,MATCH(INDIRECT(ADDRESS(ROW(),COLUMN()-1,4)),UNSPSCCode,0)),IF(INDIRECT(ADDRESS(ROW(),COLUMN()-1,4))="51111806","Clorhidrato de irinotecan",""))</f>
        <v>Clorhidrato de irinotecan</v>
      </c>
      <c r="C2311" s="95" t="str">
        <f>IFERROR(VLOOKUP("UD",'Informacion '!P:Q,2,FALSE),"")</f>
        <v>Unidad</v>
      </c>
      <c r="D2311" s="94">
        <v>23</v>
      </c>
      <c r="E2311" s="84">
        <v>8707.8799999999992</v>
      </c>
      <c r="F2311" s="83">
        <f t="shared" ca="1" si="100"/>
        <v>200281.24</v>
      </c>
    </row>
    <row r="2312" spans="1:6" ht="14.1" customHeight="1" x14ac:dyDescent="0.25">
      <c r="A2312" s="94" t="s">
        <v>1906</v>
      </c>
      <c r="B2312" s="82" t="str">
        <f ca="1">IFERROR(INDEX(UNSPSCDes,MATCH(INDIRECT(ADDRESS(ROW(),COLUMN()-1,4)),UNSPSCCode,0)),IF(INDIRECT(ADDRESS(ROW(),COLUMN()-1,4))="51111606","Hidroxiurea",""))</f>
        <v>Hidroxiurea</v>
      </c>
      <c r="C2312" s="95" t="str">
        <f>IFERROR(VLOOKUP("UD",'Informacion '!P:Q,2,FALSE),"")</f>
        <v>Unidad</v>
      </c>
      <c r="D2312" s="94">
        <v>5</v>
      </c>
      <c r="E2312" s="84">
        <v>16</v>
      </c>
      <c r="F2312" s="83">
        <f t="shared" ca="1" si="100"/>
        <v>80</v>
      </c>
    </row>
    <row r="2313" spans="1:6" ht="14.1" customHeight="1" x14ac:dyDescent="0.25">
      <c r="A2313" s="94" t="s">
        <v>17588</v>
      </c>
      <c r="B2313" s="82" t="str">
        <f ca="1">IFERROR(INDEX(UNSPSCDes,MATCH(INDIRECT(ADDRESS(ROW(),COLUMN()-1,4)),UNSPSCCode,0)),IF(INDIRECT(ADDRESS(ROW(),COLUMN()-1,4))="51111503","Carboplatino",""))</f>
        <v>Carboplatino</v>
      </c>
      <c r="C2313" s="95" t="str">
        <f>IFERROR(VLOOKUP("UD",'Informacion '!P:Q,2,FALSE),"")</f>
        <v>Unidad</v>
      </c>
      <c r="D2313" s="94">
        <v>181</v>
      </c>
      <c r="E2313" s="84">
        <v>1331.98</v>
      </c>
      <c r="F2313" s="83">
        <f t="shared" ca="1" si="100"/>
        <v>241088.38</v>
      </c>
    </row>
    <row r="2314" spans="1:6" ht="14.1" customHeight="1" x14ac:dyDescent="0.25">
      <c r="A2314" s="94" t="s">
        <v>7830</v>
      </c>
      <c r="B2314" s="82" t="str">
        <f ca="1">IFERROR(INDEX(UNSPSCDes,MATCH(INDIRECT(ADDRESS(ROW(),COLUMN()-1,4)),UNSPSCCode,0)),IF(INDIRECT(ADDRESS(ROW(),COLUMN()-1,4))="51111809","Tamoxifeno",""))</f>
        <v>Tamoxifeno</v>
      </c>
      <c r="C2314" s="95" t="str">
        <f>IFERROR(VLOOKUP("UD",'Informacion '!P:Q,2,FALSE),"")</f>
        <v>Unidad</v>
      </c>
      <c r="D2314" s="94">
        <v>84</v>
      </c>
      <c r="E2314" s="84">
        <v>9.32</v>
      </c>
      <c r="F2314" s="83">
        <f t="shared" ca="1" si="100"/>
        <v>782.88</v>
      </c>
    </row>
    <row r="2315" spans="1:6" ht="14.1" customHeight="1" x14ac:dyDescent="0.25">
      <c r="A2315" s="94" t="s">
        <v>14924</v>
      </c>
      <c r="B2315" s="82" t="str">
        <f ca="1">IFERROR(INDEX(UNSPSCDes,MATCH(INDIRECT(ADDRESS(ROW(),COLUMN()-1,4)),UNSPSCCode,0)),IF(INDIRECT(ADDRESS(ROW(),COLUMN()-1,4))="51101549","Linezolida",""))</f>
        <v>Linezolida</v>
      </c>
      <c r="C2315" s="95" t="str">
        <f>IFERROR(VLOOKUP("UD",'Informacion '!P:Q,2,FALSE),"")</f>
        <v>Unidad</v>
      </c>
      <c r="D2315" s="94">
        <v>4</v>
      </c>
      <c r="E2315" s="84">
        <v>714.29</v>
      </c>
      <c r="F2315" s="83">
        <f t="shared" ca="1" si="100"/>
        <v>2857.16</v>
      </c>
    </row>
    <row r="2316" spans="1:6" ht="14.1" customHeight="1" x14ac:dyDescent="0.25">
      <c r="A2316" s="94" t="s">
        <v>7830</v>
      </c>
      <c r="B2316" s="82" t="str">
        <f ca="1">IFERROR(INDEX(UNSPSCDes,MATCH(INDIRECT(ADDRESS(ROW(),COLUMN()-1,4)),UNSPSCCode,0)),IF(INDIRECT(ADDRESS(ROW(),COLUMN()-1,4))="51111809","Tamoxifeno",""))</f>
        <v>Tamoxifeno</v>
      </c>
      <c r="C2316" s="95" t="str">
        <f>IFERROR(VLOOKUP("UD",'Informacion '!P:Q,2,FALSE),"")</f>
        <v>Unidad</v>
      </c>
      <c r="D2316" s="94">
        <v>26</v>
      </c>
      <c r="E2316" s="84">
        <v>223.65</v>
      </c>
      <c r="F2316" s="83">
        <f t="shared" ca="1" si="100"/>
        <v>5814.9000000000005</v>
      </c>
    </row>
    <row r="2317" spans="1:6" ht="14.1" customHeight="1" x14ac:dyDescent="0.25">
      <c r="A2317" s="94" t="s">
        <v>14827</v>
      </c>
      <c r="B2317" s="82" t="str">
        <f ca="1">IFERROR(INDEX(UNSPSCDes,MATCH(INDIRECT(ADDRESS(ROW(),COLUMN()-1,4)),UNSPSCCode,0)),IF(INDIRECT(ADDRESS(ROW(),COLUMN()-1,4))="51211612","Leucovorina",""))</f>
        <v>Leucovorina</v>
      </c>
      <c r="C2317" s="95" t="str">
        <f>IFERROR(VLOOKUP("UD",'Informacion '!P:Q,2,FALSE),"")</f>
        <v>Unidad</v>
      </c>
      <c r="D2317" s="94">
        <v>4</v>
      </c>
      <c r="E2317" s="84">
        <v>371.09</v>
      </c>
      <c r="F2317" s="83">
        <f t="shared" ca="1" si="100"/>
        <v>1484.36</v>
      </c>
    </row>
    <row r="2318" spans="1:6" ht="14.1" customHeight="1" x14ac:dyDescent="0.25">
      <c r="A2318" s="94" t="s">
        <v>6233</v>
      </c>
      <c r="B2318" s="82" t="str">
        <f ca="1">IFERROR(INDEX(UNSPSCDes,MATCH(INDIRECT(ADDRESS(ROW(),COLUMN()-1,4)),UNSPSCCode,0)),IF(INDIRECT(ADDRESS(ROW(),COLUMN()-1,4))="51111508","Dacarbazina",""))</f>
        <v>Dacarbazina</v>
      </c>
      <c r="C2318" s="95" t="str">
        <f>IFERROR(VLOOKUP("UD",'Informacion '!P:Q,2,FALSE),"")</f>
        <v>Unidad</v>
      </c>
      <c r="D2318" s="94">
        <v>91</v>
      </c>
      <c r="E2318" s="84">
        <v>943.33</v>
      </c>
      <c r="F2318" s="83">
        <f t="shared" ca="1" si="100"/>
        <v>85843.03</v>
      </c>
    </row>
    <row r="2319" spans="1:6" ht="14.1" customHeight="1" x14ac:dyDescent="0.25">
      <c r="A2319" s="94" t="s">
        <v>14357</v>
      </c>
      <c r="B2319" s="82" t="str">
        <f ca="1">IFERROR(INDEX(UNSPSCDes,MATCH(INDIRECT(ADDRESS(ROW(),COLUMN()-1,4)),UNSPSCCode,0)),IF(INDIRECT(ADDRESS(ROW(),COLUMN()-1,4))="51111602","Citarabina",""))</f>
        <v>Citarabina</v>
      </c>
      <c r="C2319" s="95" t="str">
        <f>IFERROR(VLOOKUP("UD",'Informacion '!P:Q,2,FALSE),"")</f>
        <v>Unidad</v>
      </c>
      <c r="D2319" s="94">
        <v>234</v>
      </c>
      <c r="E2319" s="84">
        <v>398.12</v>
      </c>
      <c r="F2319" s="83">
        <f t="shared" ca="1" si="100"/>
        <v>93160.08</v>
      </c>
    </row>
    <row r="2320" spans="1:6" ht="14.1" customHeight="1" x14ac:dyDescent="0.25">
      <c r="A2320" s="94" t="s">
        <v>14635</v>
      </c>
      <c r="B2320" s="82" t="str">
        <f ca="1">IFERROR(INDEX(UNSPSCDes,MATCH(INDIRECT(ADDRESS(ROW(),COLUMN()-1,4)),UNSPSCCode,0)),IF(INDIRECT(ADDRESS(ROW(),COLUMN()-1,4))="51111703","Daunorubicinas",""))</f>
        <v>Daunorubicinas</v>
      </c>
      <c r="C2320" s="95" t="str">
        <f>IFERROR(VLOOKUP("UD",'Informacion '!P:Q,2,FALSE),"")</f>
        <v>Unidad</v>
      </c>
      <c r="D2320" s="94">
        <v>55</v>
      </c>
      <c r="E2320" s="84">
        <v>1163.08</v>
      </c>
      <c r="F2320" s="83">
        <f t="shared" ca="1" si="100"/>
        <v>63969.399999999994</v>
      </c>
    </row>
    <row r="2321" spans="1:10" ht="14.1" customHeight="1" x14ac:dyDescent="0.25">
      <c r="A2321" s="94" t="s">
        <v>2723</v>
      </c>
      <c r="B2321" s="82" t="str">
        <f ca="1">IFERROR(INDEX(UNSPSCDes,MATCH(INDIRECT(ADDRESS(ROW(),COLUMN()-1,4)),UNSPSCCode,0)),IF(INDIRECT(ADDRESS(ROW(),COLUMN()-1,4))="12352108","Esteres o sus sustitutos",""))</f>
        <v>Esteres o sus sustitutos</v>
      </c>
      <c r="C2321" s="95" t="str">
        <f>IFERROR(VLOOKUP("UD",'Informacion '!P:Q,2,FALSE),"")</f>
        <v>Unidad</v>
      </c>
      <c r="D2321" s="94">
        <v>83</v>
      </c>
      <c r="E2321" s="84">
        <v>138</v>
      </c>
      <c r="F2321" s="83">
        <f t="shared" ca="1" si="100"/>
        <v>11454</v>
      </c>
    </row>
    <row r="2322" spans="1:10" ht="14.1" customHeight="1" x14ac:dyDescent="0.25">
      <c r="A2322" s="94" t="s">
        <v>5102</v>
      </c>
      <c r="B2322" s="82" t="str">
        <f ca="1">IFERROR(INDEX(UNSPSCDes,MATCH(INDIRECT(ADDRESS(ROW(),COLUMN()-1,4)),UNSPSCCode,0)),IF(INDIRECT(ADDRESS(ROW(),COLUMN()-1,4))="51111904","Paclitaxel",""))</f>
        <v>Paclitaxel</v>
      </c>
      <c r="C2322" s="95" t="str">
        <f>IFERROR(VLOOKUP("UD",'Informacion '!P:Q,2,FALSE),"")</f>
        <v>Unidad</v>
      </c>
      <c r="D2322" s="94">
        <v>4</v>
      </c>
      <c r="E2322" s="84">
        <v>50583.87</v>
      </c>
      <c r="F2322" s="83">
        <f t="shared" ca="1" si="100"/>
        <v>202335.48</v>
      </c>
    </row>
    <row r="2323" spans="1:10" ht="14.1" customHeight="1" x14ac:dyDescent="0.25">
      <c r="A2323" s="94" t="s">
        <v>1751</v>
      </c>
      <c r="B2323" s="82" t="str">
        <f ca="1">IFERROR(INDEX(UNSPSCDes,MATCH(INDIRECT(ADDRESS(ROW(),COLUMN()-1,4)),UNSPSCCode,0)),IF(INDIRECT(ADDRESS(ROW(),COLUMN()-1,4))="51111701","Sulfato de bleomicina",""))</f>
        <v>Sulfato de bleomicina</v>
      </c>
      <c r="C2323" s="95" t="str">
        <f>IFERROR(VLOOKUP("UD",'Informacion '!P:Q,2,FALSE),"")</f>
        <v>Unidad</v>
      </c>
      <c r="D2323" s="94">
        <v>95</v>
      </c>
      <c r="E2323" s="84">
        <v>1100</v>
      </c>
      <c r="F2323" s="83">
        <f t="shared" ca="1" si="100"/>
        <v>104500</v>
      </c>
    </row>
    <row r="2324" spans="1:10" ht="14.1" customHeight="1" x14ac:dyDescent="0.25">
      <c r="A2324" s="94" t="s">
        <v>3201</v>
      </c>
      <c r="B2324" s="82" t="str">
        <f ca="1">IFERROR(INDEX(UNSPSCDes,MATCH(INDIRECT(ADDRESS(ROW(),COLUMN()-1,4)),UNSPSCCode,0)),IF(INDIRECT(ADDRESS(ROW(),COLUMN()-1,4))="51111702","Dactinomicina",""))</f>
        <v>Dactinomicina</v>
      </c>
      <c r="C2324" s="95" t="str">
        <f>IFERROR(VLOOKUP("UD",'Informacion '!P:Q,2,FALSE),"")</f>
        <v>Unidad</v>
      </c>
      <c r="D2324" s="94">
        <v>33</v>
      </c>
      <c r="E2324" s="84">
        <v>1248.8599999999999</v>
      </c>
      <c r="F2324" s="83">
        <f t="shared" ca="1" si="100"/>
        <v>41212.379999999997</v>
      </c>
    </row>
    <row r="2325" spans="1:10" ht="14.1" customHeight="1" x14ac:dyDescent="0.25">
      <c r="A2325" s="94" t="s">
        <v>12663</v>
      </c>
      <c r="B2325" s="82" t="str">
        <f ca="1">IFERROR(INDEX(UNSPSCDes,MATCH(INDIRECT(ADDRESS(ROW(),COLUMN()-1,4)),UNSPSCCode,0)),IF(INDIRECT(ADDRESS(ROW(),COLUMN()-1,4))="51111805","Acetato de goserelina",""))</f>
        <v>Acetato de goserelina</v>
      </c>
      <c r="C2325" s="95" t="str">
        <f>IFERROR(VLOOKUP("UD",'Informacion '!P:Q,2,FALSE),"")</f>
        <v>Unidad</v>
      </c>
      <c r="D2325" s="94">
        <v>13</v>
      </c>
      <c r="E2325" s="84">
        <v>22600</v>
      </c>
      <c r="F2325" s="83">
        <f t="shared" ca="1" si="100"/>
        <v>293800</v>
      </c>
    </row>
    <row r="2326" spans="1:10" ht="14.1" customHeight="1" x14ac:dyDescent="0.25">
      <c r="A2326" s="94" t="s">
        <v>12474</v>
      </c>
      <c r="B2326" s="82" t="str">
        <f ca="1">IFERROR(INDEX(UNSPSCDes,MATCH(INDIRECT(ADDRESS(ROW(),COLUMN()-1,4)),UNSPSCCode,0)),IF(INDIRECT(ADDRESS(ROW(),COLUMN()-1,4))="51181713","Prednisona",""))</f>
        <v>Prednisona</v>
      </c>
      <c r="C2326" s="95" t="str">
        <f>IFERROR(VLOOKUP("UD",'Informacion '!P:Q,2,FALSE),"")</f>
        <v>Unidad</v>
      </c>
      <c r="D2326" s="94">
        <v>167</v>
      </c>
      <c r="E2326" s="84">
        <v>7.54</v>
      </c>
      <c r="F2326" s="83">
        <f t="shared" ca="1" si="100"/>
        <v>1259.18</v>
      </c>
    </row>
    <row r="2327" spans="1:10" ht="14.1" customHeight="1" x14ac:dyDescent="0.25">
      <c r="A2327" s="94" t="s">
        <v>7316</v>
      </c>
      <c r="B2327" s="82" t="str">
        <f ca="1">IFERROR(INDEX(UNSPSCDes,MATCH(INDIRECT(ADDRESS(ROW(),COLUMN()-1,4)),UNSPSCCode,0)),IF(INDIRECT(ADDRESS(ROW(),COLUMN()-1,4))="51111813","Sulfato de vincristina",""))</f>
        <v>Sulfato de vincristina</v>
      </c>
      <c r="C2327" s="95" t="str">
        <f>IFERROR(VLOOKUP("UD",'Informacion '!P:Q,2,FALSE),"")</f>
        <v>Unidad</v>
      </c>
      <c r="D2327" s="94">
        <v>131</v>
      </c>
      <c r="E2327" s="84">
        <v>225.72</v>
      </c>
      <c r="F2327" s="83">
        <f t="shared" ca="1" si="100"/>
        <v>29569.32</v>
      </c>
    </row>
    <row r="2328" spans="1:10" ht="14.1" customHeight="1" x14ac:dyDescent="0.25">
      <c r="A2328" s="94" t="s">
        <v>15432</v>
      </c>
      <c r="B2328" s="82" t="str">
        <f ca="1">IFERROR(INDEX(UNSPSCDes,MATCH(INDIRECT(ADDRESS(ROW(),COLUMN()-1,4)),UNSPSCCode,0)),IF(INDIRECT(ADDRESS(ROW(),COLUMN()-1,4))="51141518","Levetiracetam",""))</f>
        <v>Levetiracetam</v>
      </c>
      <c r="C2328" s="95" t="str">
        <f>IFERROR(VLOOKUP("UD",'Informacion '!P:Q,2,FALSE),"")</f>
        <v>Unidad</v>
      </c>
      <c r="D2328" s="94">
        <v>14</v>
      </c>
      <c r="E2328" s="84">
        <v>22.07</v>
      </c>
      <c r="F2328" s="83">
        <f t="shared" ca="1" si="100"/>
        <v>308.98</v>
      </c>
    </row>
    <row r="2329" spans="1:10" ht="14.1" customHeight="1" x14ac:dyDescent="0.25">
      <c r="A2329" s="94" t="s">
        <v>9396</v>
      </c>
      <c r="B2329" s="82" t="str">
        <f ca="1">IFERROR(INDEX(UNSPSCDes,MATCH(INDIRECT(ADDRESS(ROW(),COLUMN()-1,4)),UNSPSCCode,0)),IF(INDIRECT(ADDRESS(ROW(),COLUMN()-1,4))="51171822","Clorhidrato de palonosetrón",""))</f>
        <v>Clorhidrato de palonosetrón</v>
      </c>
      <c r="C2329" s="95" t="str">
        <f>IFERROR(VLOOKUP("UD",'Informacion '!P:Q,2,FALSE),"")</f>
        <v>Unidad</v>
      </c>
      <c r="D2329" s="94">
        <v>5</v>
      </c>
      <c r="E2329" s="84">
        <v>1000</v>
      </c>
      <c r="F2329" s="83">
        <f t="shared" ca="1" si="100"/>
        <v>5000</v>
      </c>
    </row>
    <row r="2330" spans="1:10" ht="14.1" customHeight="1" x14ac:dyDescent="0.25">
      <c r="E2330" s="96" t="s">
        <v>7213</v>
      </c>
      <c r="F2330" s="87">
        <f ca="1">SUM(Table91[MONTO TOTAL ESTIMADO])</f>
        <v>2725699.1</v>
      </c>
      <c r="H2330" s="39" t="str">
        <f>C2287</f>
        <v>Bienes</v>
      </c>
      <c r="I2330" s="39" t="str">
        <f>E2287</f>
        <v>No</v>
      </c>
      <c r="J2330" s="39" t="str">
        <f>D2287</f>
        <v>Comparacion de Precios</v>
      </c>
    </row>
    <row r="2332" spans="1:10" ht="33.950000000000003" customHeight="1" x14ac:dyDescent="0.25">
      <c r="A2332" s="77" t="s">
        <v>17233</v>
      </c>
      <c r="B2332" s="77" t="s">
        <v>4237</v>
      </c>
      <c r="C2332" s="77" t="s">
        <v>4743</v>
      </c>
      <c r="D2332" s="77" t="s">
        <v>9891</v>
      </c>
      <c r="E2332" s="77" t="s">
        <v>3089</v>
      </c>
      <c r="F2332" s="77" t="s">
        <v>18141</v>
      </c>
    </row>
    <row r="2333" spans="1:10" ht="14.1" customHeight="1" x14ac:dyDescent="0.25">
      <c r="A2333" s="79" t="s">
        <v>18954</v>
      </c>
      <c r="B2333" s="79" t="s">
        <v>79</v>
      </c>
      <c r="C2333" s="79" t="s">
        <v>17215</v>
      </c>
      <c r="D2333" s="79" t="s">
        <v>17798</v>
      </c>
      <c r="E2333" s="79" t="s">
        <v>18247</v>
      </c>
      <c r="F2333" s="79"/>
    </row>
    <row r="2334" spans="1:10" ht="14.1" customHeight="1" x14ac:dyDescent="0.25">
      <c r="A2334" s="2" t="s">
        <v>6643</v>
      </c>
      <c r="B2334" s="80" t="s">
        <v>1046</v>
      </c>
      <c r="C2334" s="90">
        <v>43647</v>
      </c>
      <c r="D2334" s="2" t="s">
        <v>59</v>
      </c>
      <c r="E2334" s="92" t="s">
        <v>20066</v>
      </c>
      <c r="F2334" s="93" t="s">
        <v>5684</v>
      </c>
    </row>
    <row r="2335" spans="1:10" ht="14.1" customHeight="1" x14ac:dyDescent="0.25">
      <c r="A2335" s="1"/>
      <c r="B2335" s="80" t="s">
        <v>10788</v>
      </c>
      <c r="C2335" s="91">
        <f>IF(C2334="","",IF(AND(MONTH(C2334)&gt;=1,MONTH(C2334)&lt;=3),1,IF(AND(MONTH(C2334)&gt;=4,MONTH(C2334)&lt;=6),2,IF(AND(MONTH(C2334)&gt;=7,MONTH(C2334)&lt;=9),3,4))))</f>
        <v>3</v>
      </c>
      <c r="D2335" s="1"/>
      <c r="E2335" s="92" t="s">
        <v>14822</v>
      </c>
      <c r="F2335" s="93"/>
    </row>
    <row r="2336" spans="1:10" ht="14.1" customHeight="1" x14ac:dyDescent="0.25">
      <c r="A2336" s="1"/>
      <c r="B2336" s="80" t="s">
        <v>13758</v>
      </c>
      <c r="C2336" s="90">
        <v>43738</v>
      </c>
      <c r="D2336" s="1"/>
      <c r="E2336" s="92" t="s">
        <v>18636</v>
      </c>
      <c r="F2336" s="93"/>
    </row>
    <row r="2337" spans="1:6" ht="14.1" customHeight="1" x14ac:dyDescent="0.25">
      <c r="A2337" s="1"/>
      <c r="B2337" s="80" t="s">
        <v>10788</v>
      </c>
      <c r="C2337" s="91">
        <f>IF(C2336="","",IF(AND(MONTH(C2336)&gt;=1,MONTH(C2336)&lt;=3),1,IF(AND(MONTH(C2336)&gt;=4,MONTH(C2336)&lt;=6),2,IF(AND(MONTH(C2336)&gt;=7,MONTH(C2336)&lt;=9),3,4))))</f>
        <v>3</v>
      </c>
      <c r="D2337" s="1"/>
      <c r="E2337" s="92" t="s">
        <v>15990</v>
      </c>
      <c r="F2337" s="93"/>
    </row>
    <row r="2339" spans="1:6" ht="14.1" customHeight="1" x14ac:dyDescent="0.25">
      <c r="A2339" s="85" t="s">
        <v>15474</v>
      </c>
      <c r="B2339" s="85" t="s">
        <v>5027</v>
      </c>
      <c r="C2339" s="85" t="s">
        <v>17461</v>
      </c>
      <c r="D2339" s="85" t="s">
        <v>3935</v>
      </c>
      <c r="E2339" s="85" t="s">
        <v>10722</v>
      </c>
      <c r="F2339" s="85" t="s">
        <v>18237</v>
      </c>
    </row>
    <row r="2340" spans="1:6" ht="14.1" customHeight="1" x14ac:dyDescent="0.25">
      <c r="A2340" s="94" t="s">
        <v>10483</v>
      </c>
      <c r="B2340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340" s="95" t="str">
        <f>IFERROR(VLOOKUP("UD",'Informacion '!P:Q,2,FALSE),"")</f>
        <v>Unidad</v>
      </c>
      <c r="D2340" s="94">
        <v>13</v>
      </c>
      <c r="E2340" s="84">
        <v>510.62</v>
      </c>
      <c r="F2340" s="83">
        <f t="shared" ref="F2340:F2355" ca="1" si="101">INDIRECT(ADDRESS(ROW(),COLUMN()-2,4))*INDIRECT(ADDRESS(ROW(),COLUMN()-1,4))</f>
        <v>6638.06</v>
      </c>
    </row>
    <row r="2341" spans="1:6" ht="14.1" customHeight="1" x14ac:dyDescent="0.25">
      <c r="A2341" s="94" t="s">
        <v>10483</v>
      </c>
      <c r="B2341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341" s="95" t="str">
        <f>IFERROR(VLOOKUP("UD",'Informacion '!P:Q,2,FALSE),"")</f>
        <v>Unidad</v>
      </c>
      <c r="D2341" s="94">
        <v>3</v>
      </c>
      <c r="E2341" s="84">
        <v>564.58000000000004</v>
      </c>
      <c r="F2341" s="83">
        <f t="shared" ca="1" si="101"/>
        <v>1693.7400000000002</v>
      </c>
    </row>
    <row r="2342" spans="1:6" ht="14.1" customHeight="1" x14ac:dyDescent="0.25">
      <c r="A2342" s="94" t="s">
        <v>18181</v>
      </c>
      <c r="B2342" s="82" t="str">
        <f t="shared" ref="B2342:B2352" ca="1" si="102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2342" s="95" t="str">
        <f>IFERROR(VLOOKUP("UD",'Informacion '!P:Q,2,FALSE),"")</f>
        <v>Unidad</v>
      </c>
      <c r="D2342" s="94">
        <v>3</v>
      </c>
      <c r="E2342" s="84">
        <v>48.38</v>
      </c>
      <c r="F2342" s="83">
        <f t="shared" ca="1" si="101"/>
        <v>145.14000000000001</v>
      </c>
    </row>
    <row r="2343" spans="1:6" ht="14.1" customHeight="1" x14ac:dyDescent="0.25">
      <c r="A2343" s="94" t="s">
        <v>18181</v>
      </c>
      <c r="B2343" s="82" t="str">
        <f t="shared" ca="1" si="102"/>
        <v>Kits de cricotiroidotomía o tubo traqueal para servicios médicos de emergencia</v>
      </c>
      <c r="C2343" s="95" t="str">
        <f>IFERROR(VLOOKUP("UD",'Informacion '!P:Q,2,FALSE),"")</f>
        <v>Unidad</v>
      </c>
      <c r="D2343" s="94">
        <v>8</v>
      </c>
      <c r="E2343" s="84">
        <v>236</v>
      </c>
      <c r="F2343" s="83">
        <f t="shared" ca="1" si="101"/>
        <v>1888</v>
      </c>
    </row>
    <row r="2344" spans="1:6" ht="14.1" customHeight="1" x14ac:dyDescent="0.25">
      <c r="A2344" s="94" t="s">
        <v>18181</v>
      </c>
      <c r="B2344" s="82" t="str">
        <f t="shared" ca="1" si="102"/>
        <v>Kits de cricotiroidotomía o tubo traqueal para servicios médicos de emergencia</v>
      </c>
      <c r="C2344" s="95" t="str">
        <f>IFERROR(VLOOKUP("UD",'Informacion '!P:Q,2,FALSE),"")</f>
        <v>Unidad</v>
      </c>
      <c r="D2344" s="94">
        <v>5</v>
      </c>
      <c r="E2344" s="84">
        <v>236</v>
      </c>
      <c r="F2344" s="83">
        <f t="shared" ca="1" si="101"/>
        <v>1180</v>
      </c>
    </row>
    <row r="2345" spans="1:6" ht="14.1" customHeight="1" x14ac:dyDescent="0.25">
      <c r="A2345" s="94" t="s">
        <v>18181</v>
      </c>
      <c r="B2345" s="82" t="str">
        <f t="shared" ca="1" si="102"/>
        <v>Kits de cricotiroidotomía o tubo traqueal para servicios médicos de emergencia</v>
      </c>
      <c r="C2345" s="95" t="str">
        <f>IFERROR(VLOOKUP("UD",'Informacion '!P:Q,2,FALSE),"")</f>
        <v>Unidad</v>
      </c>
      <c r="D2345" s="94">
        <v>5</v>
      </c>
      <c r="E2345" s="84">
        <v>235.79</v>
      </c>
      <c r="F2345" s="83">
        <f t="shared" ca="1" si="101"/>
        <v>1178.95</v>
      </c>
    </row>
    <row r="2346" spans="1:6" ht="14.1" customHeight="1" x14ac:dyDescent="0.25">
      <c r="A2346" s="94" t="s">
        <v>18181</v>
      </c>
      <c r="B2346" s="82" t="str">
        <f t="shared" ca="1" si="102"/>
        <v>Kits de cricotiroidotomía o tubo traqueal para servicios médicos de emergencia</v>
      </c>
      <c r="C2346" s="95" t="str">
        <f>IFERROR(VLOOKUP("UD",'Informacion '!P:Q,2,FALSE),"")</f>
        <v>Unidad</v>
      </c>
      <c r="D2346" s="94">
        <v>3</v>
      </c>
      <c r="E2346" s="84">
        <v>34</v>
      </c>
      <c r="F2346" s="83">
        <f t="shared" ca="1" si="101"/>
        <v>102</v>
      </c>
    </row>
    <row r="2347" spans="1:6" ht="14.1" customHeight="1" x14ac:dyDescent="0.25">
      <c r="A2347" s="94" t="s">
        <v>18181</v>
      </c>
      <c r="B2347" s="82" t="str">
        <f t="shared" ca="1" si="102"/>
        <v>Kits de cricotiroidotomía o tubo traqueal para servicios médicos de emergencia</v>
      </c>
      <c r="C2347" s="95" t="str">
        <f>IFERROR(VLOOKUP("UD",'Informacion '!P:Q,2,FALSE),"")</f>
        <v>Unidad</v>
      </c>
      <c r="D2347" s="94">
        <v>3</v>
      </c>
      <c r="E2347" s="84">
        <v>27.03</v>
      </c>
      <c r="F2347" s="83">
        <f t="shared" ca="1" si="101"/>
        <v>81.09</v>
      </c>
    </row>
    <row r="2348" spans="1:6" ht="14.1" customHeight="1" x14ac:dyDescent="0.25">
      <c r="A2348" s="94" t="s">
        <v>18181</v>
      </c>
      <c r="B2348" s="82" t="str">
        <f t="shared" ca="1" si="102"/>
        <v>Kits de cricotiroidotomía o tubo traqueal para servicios médicos de emergencia</v>
      </c>
      <c r="C2348" s="95" t="str">
        <f>IFERROR(VLOOKUP("UD",'Informacion '!P:Q,2,FALSE),"")</f>
        <v>Unidad</v>
      </c>
      <c r="D2348" s="94">
        <v>3</v>
      </c>
      <c r="E2348" s="84">
        <v>32.659999999999997</v>
      </c>
      <c r="F2348" s="83">
        <f t="shared" ca="1" si="101"/>
        <v>97.97999999999999</v>
      </c>
    </row>
    <row r="2349" spans="1:6" ht="14.1" customHeight="1" x14ac:dyDescent="0.25">
      <c r="A2349" s="94" t="s">
        <v>18181</v>
      </c>
      <c r="B2349" s="82" t="str">
        <f t="shared" ca="1" si="102"/>
        <v>Kits de cricotiroidotomía o tubo traqueal para servicios médicos de emergencia</v>
      </c>
      <c r="C2349" s="95" t="str">
        <f>IFERROR(VLOOKUP("UD",'Informacion '!P:Q,2,FALSE),"")</f>
        <v>Unidad</v>
      </c>
      <c r="D2349" s="94">
        <v>3</v>
      </c>
      <c r="E2349" s="84">
        <v>41.47</v>
      </c>
      <c r="F2349" s="83">
        <f t="shared" ca="1" si="101"/>
        <v>124.41</v>
      </c>
    </row>
    <row r="2350" spans="1:6" ht="14.1" customHeight="1" x14ac:dyDescent="0.25">
      <c r="A2350" s="94" t="s">
        <v>18181</v>
      </c>
      <c r="B2350" s="82" t="str">
        <f t="shared" ca="1" si="102"/>
        <v>Kits de cricotiroidotomía o tubo traqueal para servicios médicos de emergencia</v>
      </c>
      <c r="C2350" s="95" t="str">
        <f>IFERROR(VLOOKUP("UD",'Informacion '!P:Q,2,FALSE),"")</f>
        <v>Unidad</v>
      </c>
      <c r="D2350" s="94">
        <v>23</v>
      </c>
      <c r="E2350" s="84">
        <v>49.56</v>
      </c>
      <c r="F2350" s="83">
        <f t="shared" ca="1" si="101"/>
        <v>1139.8800000000001</v>
      </c>
    </row>
    <row r="2351" spans="1:6" ht="14.1" customHeight="1" x14ac:dyDescent="0.25">
      <c r="A2351" s="94" t="s">
        <v>18181</v>
      </c>
      <c r="B2351" s="82" t="str">
        <f t="shared" ca="1" si="102"/>
        <v>Kits de cricotiroidotomía o tubo traqueal para servicios médicos de emergencia</v>
      </c>
      <c r="C2351" s="95" t="str">
        <f>IFERROR(VLOOKUP("UD",'Informacion '!P:Q,2,FALSE),"")</f>
        <v>Unidad</v>
      </c>
      <c r="D2351" s="94">
        <v>36</v>
      </c>
      <c r="E2351" s="84">
        <v>45.69</v>
      </c>
      <c r="F2351" s="83">
        <f t="shared" ca="1" si="101"/>
        <v>1644.84</v>
      </c>
    </row>
    <row r="2352" spans="1:6" ht="14.1" customHeight="1" x14ac:dyDescent="0.25">
      <c r="A2352" s="94" t="s">
        <v>18181</v>
      </c>
      <c r="B2352" s="82" t="str">
        <f t="shared" ca="1" si="102"/>
        <v>Kits de cricotiroidotomía o tubo traqueal para servicios médicos de emergencia</v>
      </c>
      <c r="C2352" s="95" t="str">
        <f>IFERROR(VLOOKUP("UD",'Informacion '!P:Q,2,FALSE),"")</f>
        <v>Unidad</v>
      </c>
      <c r="D2352" s="94">
        <v>16</v>
      </c>
      <c r="E2352" s="84">
        <v>29.09</v>
      </c>
      <c r="F2352" s="83">
        <f t="shared" ca="1" si="101"/>
        <v>465.44</v>
      </c>
    </row>
    <row r="2353" spans="1:10" ht="14.1" customHeight="1" x14ac:dyDescent="0.25">
      <c r="A2353" s="94" t="s">
        <v>4226</v>
      </c>
      <c r="B2353" s="82" t="str">
        <f ca="1">IFERROR(INDEX(UNSPSCDes,MATCH(INDIRECT(ADDRESS(ROW(),COLUMN()-1,4)),UNSPSCCode,0)),IF(INDIRECT(ADDRESS(ROW(),COLUMN()-1,4))="10141609","Sujetadores",""))</f>
        <v>Sujetadores</v>
      </c>
      <c r="C2353" s="95" t="str">
        <f>IFERROR(VLOOKUP("UD",'Informacion '!P:Q,2,FALSE),"")</f>
        <v>Unidad</v>
      </c>
      <c r="D2353" s="94">
        <v>24</v>
      </c>
      <c r="E2353" s="84">
        <v>667.88</v>
      </c>
      <c r="F2353" s="83">
        <f t="shared" ca="1" si="101"/>
        <v>16029.119999999999</v>
      </c>
    </row>
    <row r="2354" spans="1:10" ht="14.1" customHeight="1" x14ac:dyDescent="0.25">
      <c r="A2354" s="94" t="s">
        <v>10550</v>
      </c>
      <c r="B2354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2354" s="95" t="str">
        <f>IFERROR(VLOOKUP("UD",'Informacion '!P:Q,2,FALSE),"")</f>
        <v>Unidad</v>
      </c>
      <c r="D2354" s="94">
        <v>6</v>
      </c>
      <c r="E2354" s="84">
        <v>3500</v>
      </c>
      <c r="F2354" s="83">
        <f t="shared" ca="1" si="101"/>
        <v>21000</v>
      </c>
    </row>
    <row r="2355" spans="1:10" ht="14.1" customHeight="1" x14ac:dyDescent="0.25">
      <c r="A2355" s="94" t="s">
        <v>4226</v>
      </c>
      <c r="B2355" s="82" t="str">
        <f ca="1">IFERROR(INDEX(UNSPSCDes,MATCH(INDIRECT(ADDRESS(ROW(),COLUMN()-1,4)),UNSPSCCode,0)),IF(INDIRECT(ADDRESS(ROW(),COLUMN()-1,4))="10141609","Sujetadores",""))</f>
        <v>Sujetadores</v>
      </c>
      <c r="C2355" s="95" t="str">
        <f>IFERROR(VLOOKUP("UD",'Informacion '!P:Q,2,FALSE),"")</f>
        <v>Unidad</v>
      </c>
      <c r="D2355" s="94">
        <v>13</v>
      </c>
      <c r="E2355" s="84">
        <v>1005.8</v>
      </c>
      <c r="F2355" s="83">
        <f t="shared" ca="1" si="101"/>
        <v>13075.4</v>
      </c>
    </row>
    <row r="2356" spans="1:10" ht="14.1" customHeight="1" x14ac:dyDescent="0.25">
      <c r="E2356" s="96" t="s">
        <v>7213</v>
      </c>
      <c r="F2356" s="87">
        <f ca="1">SUM(Table92[MONTO TOTAL ESTIMADO])</f>
        <v>66484.05</v>
      </c>
      <c r="H2356" s="39" t="str">
        <f>C2333</f>
        <v>Bienes</v>
      </c>
      <c r="I2356" s="39" t="str">
        <f>E2333</f>
        <v>No</v>
      </c>
      <c r="J2356" s="39" t="str">
        <f>D2333</f>
        <v>Compras Menores</v>
      </c>
    </row>
    <row r="2358" spans="1:10" ht="33.950000000000003" customHeight="1" x14ac:dyDescent="0.25">
      <c r="A2358" s="77" t="s">
        <v>17233</v>
      </c>
      <c r="B2358" s="77" t="s">
        <v>4237</v>
      </c>
      <c r="C2358" s="77" t="s">
        <v>4743</v>
      </c>
      <c r="D2358" s="77" t="s">
        <v>9891</v>
      </c>
      <c r="E2358" s="77" t="s">
        <v>3089</v>
      </c>
      <c r="F2358" s="77" t="s">
        <v>18141</v>
      </c>
    </row>
    <row r="2359" spans="1:10" ht="14.1" customHeight="1" x14ac:dyDescent="0.25">
      <c r="A2359" s="79" t="s">
        <v>1680</v>
      </c>
      <c r="B2359" s="79" t="s">
        <v>3784</v>
      </c>
      <c r="C2359" s="79" t="s">
        <v>17215</v>
      </c>
      <c r="D2359" s="79" t="s">
        <v>15249</v>
      </c>
      <c r="E2359" s="79" t="s">
        <v>18247</v>
      </c>
      <c r="F2359" s="79"/>
    </row>
    <row r="2360" spans="1:10" ht="14.1" customHeight="1" x14ac:dyDescent="0.25">
      <c r="A2360" s="2" t="s">
        <v>6643</v>
      </c>
      <c r="B2360" s="80" t="s">
        <v>1046</v>
      </c>
      <c r="C2360" s="90">
        <v>43466</v>
      </c>
      <c r="D2360" s="2" t="s">
        <v>59</v>
      </c>
      <c r="E2360" s="92" t="s">
        <v>20066</v>
      </c>
      <c r="F2360" s="93" t="s">
        <v>5684</v>
      </c>
    </row>
    <row r="2361" spans="1:10" ht="14.1" customHeight="1" x14ac:dyDescent="0.25">
      <c r="A2361" s="1"/>
      <c r="B2361" s="80" t="s">
        <v>10788</v>
      </c>
      <c r="C2361" s="91">
        <f>IF(C2360="","",IF(AND(MONTH(C2360)&gt;=1,MONTH(C2360)&lt;=3),1,IF(AND(MONTH(C2360)&gt;=4,MONTH(C2360)&lt;=6),2,IF(AND(MONTH(C2360)&gt;=7,MONTH(C2360)&lt;=9),3,4))))</f>
        <v>1</v>
      </c>
      <c r="D2361" s="1"/>
      <c r="E2361" s="92" t="s">
        <v>14822</v>
      </c>
      <c r="F2361" s="93" t="s">
        <v>17690</v>
      </c>
    </row>
    <row r="2362" spans="1:10" ht="14.1" customHeight="1" x14ac:dyDescent="0.25">
      <c r="A2362" s="1"/>
      <c r="B2362" s="80" t="s">
        <v>13758</v>
      </c>
      <c r="C2362" s="90">
        <v>43529</v>
      </c>
      <c r="D2362" s="1"/>
      <c r="E2362" s="92" t="s">
        <v>18636</v>
      </c>
      <c r="F2362" s="93"/>
    </row>
    <row r="2363" spans="1:10" ht="14.1" customHeight="1" x14ac:dyDescent="0.25">
      <c r="A2363" s="1"/>
      <c r="B2363" s="80" t="s">
        <v>10788</v>
      </c>
      <c r="C2363" s="91">
        <f>IF(C2362="","",IF(AND(MONTH(C2362)&gt;=1,MONTH(C2362)&lt;=3),1,IF(AND(MONTH(C2362)&gt;=4,MONTH(C2362)&lt;=6),2,IF(AND(MONTH(C2362)&gt;=7,MONTH(C2362)&lt;=9),3,4))))</f>
        <v>1</v>
      </c>
      <c r="D2363" s="1"/>
      <c r="E2363" s="92" t="s">
        <v>15990</v>
      </c>
      <c r="F2363" s="93"/>
    </row>
    <row r="2365" spans="1:10" ht="14.1" customHeight="1" x14ac:dyDescent="0.25">
      <c r="A2365" s="85" t="s">
        <v>15474</v>
      </c>
      <c r="B2365" s="85" t="s">
        <v>5027</v>
      </c>
      <c r="C2365" s="85" t="s">
        <v>17461</v>
      </c>
      <c r="D2365" s="85" t="s">
        <v>3935</v>
      </c>
      <c r="E2365" s="85" t="s">
        <v>10722</v>
      </c>
      <c r="F2365" s="85" t="s">
        <v>18237</v>
      </c>
    </row>
    <row r="2366" spans="1:10" ht="14.1" customHeight="1" x14ac:dyDescent="0.25">
      <c r="A2366" s="94" t="s">
        <v>16538</v>
      </c>
      <c r="B2366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2366" s="95" t="str">
        <f>IFERROR(VLOOKUP("UD",'Informacion '!P:Q,2,FALSE),"")</f>
        <v>Unidad</v>
      </c>
      <c r="D2366" s="94">
        <v>1950</v>
      </c>
      <c r="E2366" s="84">
        <v>59</v>
      </c>
      <c r="F2366" s="83">
        <f t="shared" ref="F2366:F2397" ca="1" si="103">INDIRECT(ADDRESS(ROW(),COLUMN()-2,4))*INDIRECT(ADDRESS(ROW(),COLUMN()-1,4))</f>
        <v>115050</v>
      </c>
    </row>
    <row r="2367" spans="1:10" ht="14.1" customHeight="1" x14ac:dyDescent="0.25">
      <c r="A2367" s="94" t="s">
        <v>19722</v>
      </c>
      <c r="B2367" s="82" t="str">
        <f ca="1">IFERROR(INDEX(UNSPSCDes,MATCH(INDIRECT(ADDRESS(ROW(),COLUMN()-1,4)),UNSPSCCode,0)),IF(INDIRECT(ADDRESS(ROW(),COLUMN()-1,4))="10151502","Semillas o plántulas de zanahoria",""))</f>
        <v>Semillas o plántulas de zanahoria</v>
      </c>
      <c r="C2367" s="95" t="str">
        <f>IFERROR(VLOOKUP("UD",'Informacion '!P:Q,2,FALSE),"")</f>
        <v>Unidad</v>
      </c>
      <c r="D2367" s="94">
        <v>220</v>
      </c>
      <c r="E2367" s="84">
        <v>27</v>
      </c>
      <c r="F2367" s="83">
        <f t="shared" ca="1" si="103"/>
        <v>5940</v>
      </c>
    </row>
    <row r="2368" spans="1:10" ht="14.1" customHeight="1" x14ac:dyDescent="0.25">
      <c r="A2368" s="94" t="s">
        <v>3653</v>
      </c>
      <c r="B2368" s="82" t="str">
        <f ca="1">IFERROR(INDEX(UNSPSCDes,MATCH(INDIRECT(ADDRESS(ROW(),COLUMN()-1,4)),UNSPSCCode,0)),IF(INDIRECT(ADDRESS(ROW(),COLUMN()-1,4))="50201706","Café",""))</f>
        <v>Café</v>
      </c>
      <c r="C2368" s="95" t="str">
        <f>IFERROR(VLOOKUP("UD",'Informacion '!P:Q,2,FALSE),"")</f>
        <v>Unidad</v>
      </c>
      <c r="D2368" s="94">
        <v>660</v>
      </c>
      <c r="E2368" s="84">
        <v>223</v>
      </c>
      <c r="F2368" s="83">
        <f t="shared" ca="1" si="103"/>
        <v>147180</v>
      </c>
    </row>
    <row r="2369" spans="1:6" ht="14.1" customHeight="1" x14ac:dyDescent="0.25">
      <c r="A2369" s="94" t="s">
        <v>878</v>
      </c>
      <c r="B2369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369" s="95" t="str">
        <f>IFERROR(VLOOKUP("UD",'Informacion '!P:Q,2,FALSE),"")</f>
        <v>Unidad</v>
      </c>
      <c r="D2369" s="94">
        <v>26</v>
      </c>
      <c r="E2369" s="84">
        <v>125</v>
      </c>
      <c r="F2369" s="83">
        <f t="shared" ca="1" si="103"/>
        <v>3250</v>
      </c>
    </row>
    <row r="2370" spans="1:6" ht="14.1" customHeight="1" x14ac:dyDescent="0.25">
      <c r="A2370" s="94" t="s">
        <v>878</v>
      </c>
      <c r="B2370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370" s="95" t="str">
        <f>IFERROR(VLOOKUP("UD",'Informacion '!P:Q,2,FALSE),"")</f>
        <v>Unidad</v>
      </c>
      <c r="D2370" s="94">
        <v>26</v>
      </c>
      <c r="E2370" s="84">
        <v>139</v>
      </c>
      <c r="F2370" s="83">
        <f t="shared" ca="1" si="103"/>
        <v>3614</v>
      </c>
    </row>
    <row r="2371" spans="1:6" ht="14.1" customHeight="1" x14ac:dyDescent="0.25">
      <c r="A2371" s="94" t="s">
        <v>878</v>
      </c>
      <c r="B2371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371" s="95" t="str">
        <f>IFERROR(VLOOKUP("UD",'Informacion '!P:Q,2,FALSE),"")</f>
        <v>Unidad</v>
      </c>
      <c r="D2371" s="94">
        <v>26</v>
      </c>
      <c r="E2371" s="84">
        <v>125</v>
      </c>
      <c r="F2371" s="83">
        <f t="shared" ca="1" si="103"/>
        <v>3250</v>
      </c>
    </row>
    <row r="2372" spans="1:6" ht="14.1" customHeight="1" x14ac:dyDescent="0.25">
      <c r="A2372" s="94" t="s">
        <v>878</v>
      </c>
      <c r="B2372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372" s="95" t="str">
        <f>IFERROR(VLOOKUP("UD",'Informacion '!P:Q,2,FALSE),"")</f>
        <v>Unidad</v>
      </c>
      <c r="D2372" s="94">
        <v>15</v>
      </c>
      <c r="E2372" s="84">
        <v>205</v>
      </c>
      <c r="F2372" s="83">
        <f t="shared" ca="1" si="103"/>
        <v>3075</v>
      </c>
    </row>
    <row r="2373" spans="1:6" ht="14.1" customHeight="1" x14ac:dyDescent="0.25">
      <c r="A2373" s="94" t="s">
        <v>16446</v>
      </c>
      <c r="B2373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2373" s="95" t="str">
        <f>IFERROR(VLOOKUP("UD",'Informacion '!P:Q,2,FALSE),"")</f>
        <v>Unidad</v>
      </c>
      <c r="D2373" s="94">
        <v>26</v>
      </c>
      <c r="E2373" s="84">
        <v>330</v>
      </c>
      <c r="F2373" s="83">
        <f t="shared" ca="1" si="103"/>
        <v>8580</v>
      </c>
    </row>
    <row r="2374" spans="1:6" ht="14.1" customHeight="1" x14ac:dyDescent="0.25">
      <c r="A2374" s="94" t="s">
        <v>16446</v>
      </c>
      <c r="B2374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2374" s="95" t="str">
        <f>IFERROR(VLOOKUP("UD",'Informacion '!P:Q,2,FALSE),"")</f>
        <v>Unidad</v>
      </c>
      <c r="D2374" s="94">
        <v>7</v>
      </c>
      <c r="E2374" s="84">
        <v>1240</v>
      </c>
      <c r="F2374" s="83">
        <f t="shared" ca="1" si="103"/>
        <v>8680</v>
      </c>
    </row>
    <row r="2375" spans="1:6" ht="14.1" customHeight="1" x14ac:dyDescent="0.25">
      <c r="A2375" s="94" t="s">
        <v>7435</v>
      </c>
      <c r="B2375" s="82" t="str">
        <f ca="1">IFERROR(INDEX(UNSPSCDes,MATCH(INDIRECT(ADDRESS(ROW(),COLUMN()-1,4)),UNSPSCCode,0)),IF(INDIRECT(ADDRESS(ROW(),COLUMN()-1,4))="50192403","Miel",""))</f>
        <v>Miel</v>
      </c>
      <c r="C2375" s="95" t="str">
        <f>IFERROR(VLOOKUP("UD",'Informacion '!P:Q,2,FALSE),"")</f>
        <v>Unidad</v>
      </c>
      <c r="D2375" s="94">
        <v>7</v>
      </c>
      <c r="E2375" s="84">
        <v>450</v>
      </c>
      <c r="F2375" s="83">
        <f t="shared" ca="1" si="103"/>
        <v>3150</v>
      </c>
    </row>
    <row r="2376" spans="1:6" ht="14.1" customHeight="1" x14ac:dyDescent="0.25">
      <c r="A2376" s="94" t="s">
        <v>4462</v>
      </c>
      <c r="B2376" s="82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2376" s="95" t="str">
        <f>IFERROR(VLOOKUP("UD",'Informacion '!P:Q,2,FALSE),"")</f>
        <v>Unidad</v>
      </c>
      <c r="D2376" s="94">
        <v>60</v>
      </c>
      <c r="E2376" s="84">
        <v>376.8</v>
      </c>
      <c r="F2376" s="83">
        <f t="shared" ca="1" si="103"/>
        <v>22608</v>
      </c>
    </row>
    <row r="2377" spans="1:6" ht="14.1" customHeight="1" x14ac:dyDescent="0.25">
      <c r="A2377" s="94" t="s">
        <v>4416</v>
      </c>
      <c r="B2377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377" s="95" t="str">
        <f>IFERROR(VLOOKUP("UD",'Informacion '!P:Q,2,FALSE),"")</f>
        <v>Unidad</v>
      </c>
      <c r="D2377" s="94">
        <v>15</v>
      </c>
      <c r="E2377" s="84">
        <v>2250</v>
      </c>
      <c r="F2377" s="83">
        <f t="shared" ca="1" si="103"/>
        <v>33750</v>
      </c>
    </row>
    <row r="2378" spans="1:6" ht="14.1" customHeight="1" x14ac:dyDescent="0.25">
      <c r="A2378" s="94" t="s">
        <v>4416</v>
      </c>
      <c r="B2378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378" s="95" t="str">
        <f>IFERROR(VLOOKUP("UD",'Informacion '!P:Q,2,FALSE),"")</f>
        <v>Unidad</v>
      </c>
      <c r="D2378" s="94">
        <v>20</v>
      </c>
      <c r="E2378" s="84">
        <v>2090</v>
      </c>
      <c r="F2378" s="83">
        <f t="shared" ca="1" si="103"/>
        <v>41800</v>
      </c>
    </row>
    <row r="2379" spans="1:6" ht="14.1" customHeight="1" x14ac:dyDescent="0.25">
      <c r="A2379" s="94" t="s">
        <v>4416</v>
      </c>
      <c r="B2379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379" s="95" t="str">
        <f>IFERROR(VLOOKUP("UD",'Informacion '!P:Q,2,FALSE),"")</f>
        <v>Unidad</v>
      </c>
      <c r="D2379" s="94">
        <v>7</v>
      </c>
      <c r="E2379" s="84">
        <v>290</v>
      </c>
      <c r="F2379" s="83">
        <f t="shared" ca="1" si="103"/>
        <v>2030</v>
      </c>
    </row>
    <row r="2380" spans="1:6" ht="14.1" customHeight="1" x14ac:dyDescent="0.25">
      <c r="A2380" s="94" t="s">
        <v>14762</v>
      </c>
      <c r="B2380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380" s="95" t="str">
        <f>IFERROR(VLOOKUP("UD",'Informacion '!P:Q,2,FALSE),"")</f>
        <v>Unidad</v>
      </c>
      <c r="D2380" s="94">
        <v>3</v>
      </c>
      <c r="E2380" s="84">
        <v>186</v>
      </c>
      <c r="F2380" s="83">
        <f t="shared" ca="1" si="103"/>
        <v>558</v>
      </c>
    </row>
    <row r="2381" spans="1:6" ht="14.1" customHeight="1" x14ac:dyDescent="0.25">
      <c r="A2381" s="94" t="s">
        <v>14762</v>
      </c>
      <c r="B2381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381" s="95" t="str">
        <f>IFERROR(VLOOKUP("UD",'Informacion '!P:Q,2,FALSE),"")</f>
        <v>Unidad</v>
      </c>
      <c r="D2381" s="94">
        <v>55</v>
      </c>
      <c r="E2381" s="84">
        <v>442</v>
      </c>
      <c r="F2381" s="83">
        <f t="shared" ca="1" si="103"/>
        <v>24310</v>
      </c>
    </row>
    <row r="2382" spans="1:6" ht="14.1" customHeight="1" x14ac:dyDescent="0.25">
      <c r="A2382" s="94" t="s">
        <v>14762</v>
      </c>
      <c r="B2382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382" s="95" t="str">
        <f>IFERROR(VLOOKUP("UD",'Informacion '!P:Q,2,FALSE),"")</f>
        <v>Unidad</v>
      </c>
      <c r="D2382" s="94">
        <v>14</v>
      </c>
      <c r="E2382" s="84">
        <v>232</v>
      </c>
      <c r="F2382" s="83">
        <f t="shared" ca="1" si="103"/>
        <v>3248</v>
      </c>
    </row>
    <row r="2383" spans="1:6" ht="14.1" customHeight="1" x14ac:dyDescent="0.25">
      <c r="A2383" s="94" t="s">
        <v>15229</v>
      </c>
      <c r="B2383" s="82" t="str">
        <f ca="1">IFERROR(INDEX(UNSPSCDes,MATCH(INDIRECT(ADDRESS(ROW(),COLUMN()-1,4)),UNSPSCCode,0)),IF(INDIRECT(ADDRESS(ROW(),COLUMN()-1,4))="50171707","Vinagres",""))</f>
        <v>Vinagres</v>
      </c>
      <c r="C2383" s="95" t="str">
        <f>IFERROR(VLOOKUP("UD",'Informacion '!P:Q,2,FALSE),"")</f>
        <v>Unidad</v>
      </c>
      <c r="D2383" s="94">
        <v>55</v>
      </c>
      <c r="E2383" s="84">
        <v>110</v>
      </c>
      <c r="F2383" s="83">
        <f t="shared" ca="1" si="103"/>
        <v>6050</v>
      </c>
    </row>
    <row r="2384" spans="1:6" ht="14.1" customHeight="1" x14ac:dyDescent="0.25">
      <c r="A2384" s="94" t="s">
        <v>15707</v>
      </c>
      <c r="B2384" s="82" t="str">
        <f ca="1">IFERROR(INDEX(UNSPSCDes,MATCH(INDIRECT(ADDRESS(ROW(),COLUMN()-1,4)),UNSPSCCode,0)),IF(INDIRECT(ADDRESS(ROW(),COLUMN()-1,4))="50171550","Especies o extractos",""))</f>
        <v>Especies o extractos</v>
      </c>
      <c r="C2384" s="95" t="str">
        <f>IFERROR(VLOOKUP("UD",'Informacion '!P:Q,2,FALSE),"")</f>
        <v>Unidad</v>
      </c>
      <c r="D2384" s="94">
        <v>7</v>
      </c>
      <c r="E2384" s="84">
        <v>195</v>
      </c>
      <c r="F2384" s="83">
        <f t="shared" ca="1" si="103"/>
        <v>1365</v>
      </c>
    </row>
    <row r="2385" spans="1:6" ht="14.1" customHeight="1" x14ac:dyDescent="0.25">
      <c r="A2385" s="94" t="s">
        <v>293</v>
      </c>
      <c r="B2385" s="82" t="str">
        <f ca="1">IFERROR(INDEX(UNSPSCDes,MATCH(INDIRECT(ADDRESS(ROW(),COLUMN()-1,4)),UNSPSCCode,0)),IF(INDIRECT(ADDRESS(ROW(),COLUMN()-1,4))="10151801","Semillas o plántulas de pimienta",""))</f>
        <v>Semillas o plántulas de pimienta</v>
      </c>
      <c r="C2385" s="95" t="str">
        <f>IFERROR(VLOOKUP("UD",'Informacion '!P:Q,2,FALSE),"")</f>
        <v>Unidad</v>
      </c>
      <c r="D2385" s="94">
        <v>15</v>
      </c>
      <c r="E2385" s="84">
        <v>216</v>
      </c>
      <c r="F2385" s="83">
        <f t="shared" ca="1" si="103"/>
        <v>3240</v>
      </c>
    </row>
    <row r="2386" spans="1:6" ht="14.1" customHeight="1" x14ac:dyDescent="0.25">
      <c r="A2386" s="94" t="s">
        <v>9111</v>
      </c>
      <c r="B2386" s="82" t="str">
        <f ca="1">IFERROR(INDEX(UNSPSCDes,MATCH(INDIRECT(ADDRESS(ROW(),COLUMN()-1,4)),UNSPSCCode,0)),IF(INDIRECT(ADDRESS(ROW(),COLUMN()-1,4))="50171551","Sal de mesa",""))</f>
        <v>Sal de mesa</v>
      </c>
      <c r="C2386" s="95" t="str">
        <f>IFERROR(VLOOKUP("UD",'Informacion '!P:Q,2,FALSE),"")</f>
        <v>Unidad</v>
      </c>
      <c r="D2386" s="94">
        <v>265</v>
      </c>
      <c r="E2386" s="84">
        <v>18</v>
      </c>
      <c r="F2386" s="83">
        <f t="shared" ca="1" si="103"/>
        <v>4770</v>
      </c>
    </row>
    <row r="2387" spans="1:6" ht="14.1" customHeight="1" x14ac:dyDescent="0.25">
      <c r="A2387" s="94" t="s">
        <v>355</v>
      </c>
      <c r="B2387" s="82" t="str">
        <f ca="1">IFERROR(INDEX(UNSPSCDes,MATCH(INDIRECT(ADDRESS(ROW(),COLUMN()-1,4)),UNSPSCCode,0)),IF(INDIRECT(ADDRESS(ROW(),COLUMN()-1,4))="50171902","Condimento",""))</f>
        <v>Condimento</v>
      </c>
      <c r="C2387" s="95" t="str">
        <f>IFERROR(VLOOKUP("UD",'Informacion '!P:Q,2,FALSE),"")</f>
        <v>Unidad</v>
      </c>
      <c r="D2387" s="94">
        <v>3</v>
      </c>
      <c r="E2387" s="84">
        <v>118</v>
      </c>
      <c r="F2387" s="83">
        <f t="shared" ca="1" si="103"/>
        <v>354</v>
      </c>
    </row>
    <row r="2388" spans="1:6" ht="14.1" customHeight="1" x14ac:dyDescent="0.25">
      <c r="A2388" s="94" t="s">
        <v>2768</v>
      </c>
      <c r="B2388" s="82" t="str">
        <f ca="1">IFERROR(INDEX(UNSPSCDes,MATCH(INDIRECT(ADDRESS(ROW(),COLUMN()-1,4)),UNSPSCCode,0)),IF(INDIRECT(ADDRESS(ROW(),COLUMN()-1,4))="51131903","Gelatina",""))</f>
        <v>Gelatina</v>
      </c>
      <c r="C2388" s="95" t="str">
        <f>IFERROR(VLOOKUP("UD",'Informacion '!P:Q,2,FALSE),"")</f>
        <v>Unidad</v>
      </c>
      <c r="D2388" s="94">
        <v>400</v>
      </c>
      <c r="E2388" s="84">
        <v>35</v>
      </c>
      <c r="F2388" s="83">
        <f t="shared" ca="1" si="103"/>
        <v>14000</v>
      </c>
    </row>
    <row r="2389" spans="1:6" ht="14.1" customHeight="1" x14ac:dyDescent="0.25">
      <c r="A2389" s="94" t="s">
        <v>8569</v>
      </c>
      <c r="B2389" s="82" t="str">
        <f ca="1">IFERROR(INDEX(UNSPSCDes,MATCH(INDIRECT(ADDRESS(ROW(),COLUMN()-1,4)),UNSPSCCode,0)),IF(INDIRECT(ADDRESS(ROW(),COLUMN()-1,4))="50221001","Granos",""))</f>
        <v>Granos</v>
      </c>
      <c r="C2389" s="95" t="str">
        <f>IFERROR(VLOOKUP("UD",'Informacion '!P:Q,2,FALSE),"")</f>
        <v>Unidad</v>
      </c>
      <c r="D2389" s="94">
        <v>635</v>
      </c>
      <c r="E2389" s="84">
        <v>55</v>
      </c>
      <c r="F2389" s="83">
        <f t="shared" ca="1" si="103"/>
        <v>34925</v>
      </c>
    </row>
    <row r="2390" spans="1:6" ht="14.1" customHeight="1" x14ac:dyDescent="0.25">
      <c r="A2390" s="94" t="s">
        <v>13917</v>
      </c>
      <c r="B2390" s="82" t="str">
        <f ca="1">IFERROR(INDEX(UNSPSCDes,MATCH(INDIRECT(ADDRESS(ROW(),COLUMN()-1,4)),UNSPSCCode,0)),IF(INDIRECT(ADDRESS(ROW(),COLUMN()-1,4))="10151609","Semillas de maíz",""))</f>
        <v>Semillas de maíz</v>
      </c>
      <c r="C2390" s="95" t="str">
        <f>IFERROR(VLOOKUP("UD",'Informacion '!P:Q,2,FALSE),"")</f>
        <v>Unidad</v>
      </c>
      <c r="D2390" s="94">
        <v>635</v>
      </c>
      <c r="E2390" s="84">
        <v>58.95</v>
      </c>
      <c r="F2390" s="83">
        <f t="shared" ca="1" si="103"/>
        <v>37433.25</v>
      </c>
    </row>
    <row r="2391" spans="1:6" ht="14.1" customHeight="1" x14ac:dyDescent="0.25">
      <c r="A2391" s="94" t="s">
        <v>3585</v>
      </c>
      <c r="B2391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391" s="95" t="str">
        <f>IFERROR(VLOOKUP("UD",'Informacion '!P:Q,2,FALSE),"")</f>
        <v>Unidad</v>
      </c>
      <c r="D2391" s="94">
        <v>135</v>
      </c>
      <c r="E2391" s="84">
        <v>27.5</v>
      </c>
      <c r="F2391" s="83">
        <f t="shared" ca="1" si="103"/>
        <v>3712.5</v>
      </c>
    </row>
    <row r="2392" spans="1:6" ht="14.1" customHeight="1" x14ac:dyDescent="0.25">
      <c r="A2392" s="94" t="s">
        <v>3585</v>
      </c>
      <c r="B2392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392" s="95" t="str">
        <f>IFERROR(VLOOKUP("UD",'Informacion '!P:Q,2,FALSE),"")</f>
        <v>Unidad</v>
      </c>
      <c r="D2392" s="94">
        <v>160</v>
      </c>
      <c r="E2392" s="84">
        <v>28</v>
      </c>
      <c r="F2392" s="83">
        <f t="shared" ca="1" si="103"/>
        <v>4480</v>
      </c>
    </row>
    <row r="2393" spans="1:6" ht="14.1" customHeight="1" x14ac:dyDescent="0.25">
      <c r="A2393" s="94" t="s">
        <v>3585</v>
      </c>
      <c r="B2393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393" s="95" t="str">
        <f>IFERROR(VLOOKUP("UD",'Informacion '!P:Q,2,FALSE),"")</f>
        <v>Unidad</v>
      </c>
      <c r="D2393" s="94">
        <v>100</v>
      </c>
      <c r="E2393" s="84">
        <v>28.95</v>
      </c>
      <c r="F2393" s="83">
        <f t="shared" ca="1" si="103"/>
        <v>2895</v>
      </c>
    </row>
    <row r="2394" spans="1:6" ht="14.1" customHeight="1" x14ac:dyDescent="0.25">
      <c r="A2394" s="94" t="s">
        <v>3585</v>
      </c>
      <c r="B2394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394" s="95" t="str">
        <f>IFERROR(VLOOKUP("UD",'Informacion '!P:Q,2,FALSE),"")</f>
        <v>Unidad</v>
      </c>
      <c r="D2394" s="94">
        <v>70</v>
      </c>
      <c r="E2394" s="84">
        <v>48.95</v>
      </c>
      <c r="F2394" s="83">
        <f t="shared" ca="1" si="103"/>
        <v>3426.5</v>
      </c>
    </row>
    <row r="2395" spans="1:6" ht="14.1" customHeight="1" x14ac:dyDescent="0.25">
      <c r="A2395" s="94" t="s">
        <v>19765</v>
      </c>
      <c r="B2395" s="82" t="str">
        <f ca="1">IFERROR(INDEX(UNSPSCDes,MATCH(INDIRECT(ADDRESS(ROW(),COLUMN()-1,4)),UNSPSCCode,0)),IF(INDIRECT(ADDRESS(ROW(),COLUMN()-1,4))="83101510","Agua fría",""))</f>
        <v>Agua fría</v>
      </c>
      <c r="C2395" s="95" t="str">
        <f>IFERROR(VLOOKUP("UD",'Informacion '!P:Q,2,FALSE),"")</f>
        <v>Unidad</v>
      </c>
      <c r="D2395" s="94">
        <v>660</v>
      </c>
      <c r="E2395" s="84">
        <v>150</v>
      </c>
      <c r="F2395" s="83">
        <f t="shared" ca="1" si="103"/>
        <v>99000</v>
      </c>
    </row>
    <row r="2396" spans="1:6" ht="14.1" customHeight="1" x14ac:dyDescent="0.25">
      <c r="A2396" s="94" t="s">
        <v>2377</v>
      </c>
      <c r="B2396" s="82" t="str">
        <f ca="1">IFERROR(INDEX(UNSPSCDes,MATCH(INDIRECT(ADDRESS(ROW(),COLUMN()-1,4)),UNSPSCCode,0)),IF(INDIRECT(ADDRESS(ROW(),COLUMN()-1,4))="50201712","Bebidas de té",""))</f>
        <v>Bebidas de té</v>
      </c>
      <c r="C2396" s="95" t="str">
        <f>IFERROR(VLOOKUP("UD",'Informacion '!P:Q,2,FALSE),"")</f>
        <v>Unidad</v>
      </c>
      <c r="D2396" s="94">
        <v>95</v>
      </c>
      <c r="E2396" s="84">
        <v>425</v>
      </c>
      <c r="F2396" s="83">
        <f t="shared" ca="1" si="103"/>
        <v>40375</v>
      </c>
    </row>
    <row r="2397" spans="1:6" ht="14.1" customHeight="1" x14ac:dyDescent="0.25">
      <c r="A2397" s="94" t="s">
        <v>2377</v>
      </c>
      <c r="B2397" s="82" t="str">
        <f ca="1">IFERROR(INDEX(UNSPSCDes,MATCH(INDIRECT(ADDRESS(ROW(),COLUMN()-1,4)),UNSPSCCode,0)),IF(INDIRECT(ADDRESS(ROW(),COLUMN()-1,4))="50201712","Bebidas de té",""))</f>
        <v>Bebidas de té</v>
      </c>
      <c r="C2397" s="95" t="str">
        <f>IFERROR(VLOOKUP("UD",'Informacion '!P:Q,2,FALSE),"")</f>
        <v>Unidad</v>
      </c>
      <c r="D2397" s="94">
        <v>6</v>
      </c>
      <c r="E2397" s="84">
        <v>170</v>
      </c>
      <c r="F2397" s="83">
        <f t="shared" ca="1" si="103"/>
        <v>1020</v>
      </c>
    </row>
    <row r="2398" spans="1:6" ht="14.1" customHeight="1" x14ac:dyDescent="0.25">
      <c r="A2398" s="94" t="s">
        <v>2377</v>
      </c>
      <c r="B2398" s="82" t="str">
        <f ca="1">IFERROR(INDEX(UNSPSCDes,MATCH(INDIRECT(ADDRESS(ROW(),COLUMN()-1,4)),UNSPSCCode,0)),IF(INDIRECT(ADDRESS(ROW(),COLUMN()-1,4))="50201712","Bebidas de té",""))</f>
        <v>Bebidas de té</v>
      </c>
      <c r="C2398" s="95" t="str">
        <f>IFERROR(VLOOKUP("UD",'Informacion '!P:Q,2,FALSE),"")</f>
        <v>Unidad</v>
      </c>
      <c r="D2398" s="94">
        <v>6</v>
      </c>
      <c r="E2398" s="84">
        <v>170</v>
      </c>
      <c r="F2398" s="83">
        <f t="shared" ref="F2398:F2415" ca="1" si="104">INDIRECT(ADDRESS(ROW(),COLUMN()-2,4))*INDIRECT(ADDRESS(ROW(),COLUMN()-1,4))</f>
        <v>1020</v>
      </c>
    </row>
    <row r="2399" spans="1:6" ht="14.1" customHeight="1" x14ac:dyDescent="0.25">
      <c r="A2399" s="94" t="s">
        <v>5452</v>
      </c>
      <c r="B2399" s="82" t="str">
        <f ca="1">IFERROR(INDEX(UNSPSCDes,MATCH(INDIRECT(ADDRESS(ROW(),COLUMN()-1,4)),UNSPSCCode,0)),IF(INDIRECT(ADDRESS(ROW(),COLUMN()-1,4))="10151701","Semillas o plántulas de arroz",""))</f>
        <v>Semillas o plántulas de arroz</v>
      </c>
      <c r="C2399" s="95" t="str">
        <f>IFERROR(VLOOKUP("UD",'Informacion '!P:Q,2,FALSE),"")</f>
        <v>Unidad</v>
      </c>
      <c r="D2399" s="94">
        <v>26</v>
      </c>
      <c r="E2399" s="84">
        <v>720</v>
      </c>
      <c r="F2399" s="83">
        <f t="shared" ca="1" si="104"/>
        <v>18720</v>
      </c>
    </row>
    <row r="2400" spans="1:6" ht="14.1" customHeight="1" x14ac:dyDescent="0.25">
      <c r="A2400" s="94" t="s">
        <v>5452</v>
      </c>
      <c r="B2400" s="82" t="str">
        <f ca="1">IFERROR(INDEX(UNSPSCDes,MATCH(INDIRECT(ADDRESS(ROW(),COLUMN()-1,4)),UNSPSCCode,0)),IF(INDIRECT(ADDRESS(ROW(),COLUMN()-1,4))="10151701","Semillas o plántulas de arroz",""))</f>
        <v>Semillas o plántulas de arroz</v>
      </c>
      <c r="C2400" s="95" t="str">
        <f>IFERROR(VLOOKUP("UD",'Informacion '!P:Q,2,FALSE),"")</f>
        <v>Unidad</v>
      </c>
      <c r="D2400" s="94">
        <v>26</v>
      </c>
      <c r="E2400" s="84">
        <v>2250</v>
      </c>
      <c r="F2400" s="83">
        <f t="shared" ca="1" si="104"/>
        <v>58500</v>
      </c>
    </row>
    <row r="2401" spans="1:10" ht="14.1" customHeight="1" x14ac:dyDescent="0.25">
      <c r="A2401" s="94" t="s">
        <v>8569</v>
      </c>
      <c r="B2401" s="82" t="str">
        <f t="shared" ref="B2401:B2407" ca="1" si="105">IFERROR(INDEX(UNSPSCDes,MATCH(INDIRECT(ADDRESS(ROW(),COLUMN()-1,4)),UNSPSCCode,0)),IF(INDIRECT(ADDRESS(ROW(),COLUMN()-1,4))="50221001","Granos",""))</f>
        <v>Granos</v>
      </c>
      <c r="C2401" s="95" t="str">
        <f>IFERROR(VLOOKUP("UD",'Informacion '!P:Q,2,FALSE),"")</f>
        <v>Unidad</v>
      </c>
      <c r="D2401" s="94">
        <v>140</v>
      </c>
      <c r="E2401" s="84">
        <v>66</v>
      </c>
      <c r="F2401" s="83">
        <f t="shared" ca="1" si="104"/>
        <v>9240</v>
      </c>
    </row>
    <row r="2402" spans="1:10" ht="14.1" customHeight="1" x14ac:dyDescent="0.25">
      <c r="A2402" s="94" t="s">
        <v>8569</v>
      </c>
      <c r="B2402" s="82" t="str">
        <f t="shared" ca="1" si="105"/>
        <v>Granos</v>
      </c>
      <c r="C2402" s="95" t="str">
        <f>IFERROR(VLOOKUP("UD",'Informacion '!P:Q,2,FALSE),"")</f>
        <v>Unidad</v>
      </c>
      <c r="D2402" s="94">
        <v>330</v>
      </c>
      <c r="E2402" s="84">
        <v>45</v>
      </c>
      <c r="F2402" s="83">
        <f t="shared" ca="1" si="104"/>
        <v>14850</v>
      </c>
    </row>
    <row r="2403" spans="1:10" ht="14.1" customHeight="1" x14ac:dyDescent="0.25">
      <c r="A2403" s="94" t="s">
        <v>8569</v>
      </c>
      <c r="B2403" s="82" t="str">
        <f t="shared" ca="1" si="105"/>
        <v>Granos</v>
      </c>
      <c r="C2403" s="95" t="str">
        <f>IFERROR(VLOOKUP("UD",'Informacion '!P:Q,2,FALSE),"")</f>
        <v>Unidad</v>
      </c>
      <c r="D2403" s="94">
        <v>330</v>
      </c>
      <c r="E2403" s="84">
        <v>45</v>
      </c>
      <c r="F2403" s="83">
        <f t="shared" ca="1" si="104"/>
        <v>14850</v>
      </c>
    </row>
    <row r="2404" spans="1:10" ht="14.1" customHeight="1" x14ac:dyDescent="0.25">
      <c r="A2404" s="94" t="s">
        <v>8569</v>
      </c>
      <c r="B2404" s="82" t="str">
        <f t="shared" ca="1" si="105"/>
        <v>Granos</v>
      </c>
      <c r="C2404" s="95" t="str">
        <f>IFERROR(VLOOKUP("LB",'Informacion '!P:Q,2,FALSE),"")</f>
        <v>Libra </v>
      </c>
      <c r="D2404" s="94">
        <v>330</v>
      </c>
      <c r="E2404" s="84">
        <v>86</v>
      </c>
      <c r="F2404" s="83">
        <f t="shared" ca="1" si="104"/>
        <v>28380</v>
      </c>
    </row>
    <row r="2405" spans="1:10" ht="14.1" customHeight="1" x14ac:dyDescent="0.25">
      <c r="A2405" s="94" t="s">
        <v>8569</v>
      </c>
      <c r="B2405" s="82" t="str">
        <f t="shared" ca="1" si="105"/>
        <v>Granos</v>
      </c>
      <c r="C2405" s="95" t="str">
        <f>IFERROR(VLOOKUP("LB",'Informacion '!P:Q,2,FALSE),"")</f>
        <v>Libra </v>
      </c>
      <c r="D2405" s="94">
        <v>330</v>
      </c>
      <c r="E2405" s="84">
        <v>82</v>
      </c>
      <c r="F2405" s="83">
        <f t="shared" ca="1" si="104"/>
        <v>27060</v>
      </c>
    </row>
    <row r="2406" spans="1:10" ht="14.1" customHeight="1" x14ac:dyDescent="0.25">
      <c r="A2406" s="94" t="s">
        <v>8569</v>
      </c>
      <c r="B2406" s="82" t="str">
        <f t="shared" ca="1" si="105"/>
        <v>Granos</v>
      </c>
      <c r="C2406" s="95" t="str">
        <f>IFERROR(VLOOKUP("LB",'Informacion '!P:Q,2,FALSE),"")</f>
        <v>Libra </v>
      </c>
      <c r="D2406" s="94">
        <v>330</v>
      </c>
      <c r="E2406" s="84">
        <v>84</v>
      </c>
      <c r="F2406" s="83">
        <f t="shared" ca="1" si="104"/>
        <v>27720</v>
      </c>
    </row>
    <row r="2407" spans="1:10" ht="14.1" customHeight="1" x14ac:dyDescent="0.25">
      <c r="A2407" s="94" t="s">
        <v>8569</v>
      </c>
      <c r="B2407" s="82" t="str">
        <f t="shared" ca="1" si="105"/>
        <v>Granos</v>
      </c>
      <c r="C2407" s="95" t="str">
        <f>IFERROR(VLOOKUP("LB",'Informacion '!P:Q,2,FALSE),"")</f>
        <v>Libra </v>
      </c>
      <c r="D2407" s="94">
        <v>330</v>
      </c>
      <c r="E2407" s="84">
        <v>80</v>
      </c>
      <c r="F2407" s="83">
        <f t="shared" ca="1" si="104"/>
        <v>26400</v>
      </c>
    </row>
    <row r="2408" spans="1:10" ht="14.1" customHeight="1" x14ac:dyDescent="0.25">
      <c r="A2408" s="94" t="s">
        <v>12752</v>
      </c>
      <c r="B2408" s="82" t="str">
        <f ca="1">IFERROR(INDEX(UNSPSCDes,MATCH(INDIRECT(ADDRESS(ROW(),COLUMN()-1,4)),UNSPSCCode,0)),IF(INDIRECT(ADDRESS(ROW(),COLUMN()-1,4))="50221002","Harina",""))</f>
        <v>Harina</v>
      </c>
      <c r="C2408" s="95" t="str">
        <f>IFERROR(VLOOKUP("UD",'Informacion '!P:Q,2,FALSE),"")</f>
        <v>Unidad</v>
      </c>
      <c r="D2408" s="94">
        <v>18</v>
      </c>
      <c r="E2408" s="84">
        <v>155</v>
      </c>
      <c r="F2408" s="83">
        <f t="shared" ca="1" si="104"/>
        <v>2790</v>
      </c>
    </row>
    <row r="2409" spans="1:10" ht="14.1" customHeight="1" x14ac:dyDescent="0.25">
      <c r="A2409" s="94" t="s">
        <v>12752</v>
      </c>
      <c r="B2409" s="82" t="str">
        <f ca="1">IFERROR(INDEX(UNSPSCDes,MATCH(INDIRECT(ADDRESS(ROW(),COLUMN()-1,4)),UNSPSCCode,0)),IF(INDIRECT(ADDRESS(ROW(),COLUMN()-1,4))="50221002","Harina",""))</f>
        <v>Harina</v>
      </c>
      <c r="C2409" s="95" t="str">
        <f>IFERROR(VLOOKUP("UD",'Informacion '!P:Q,2,FALSE),"")</f>
        <v>Unidad</v>
      </c>
      <c r="D2409" s="94">
        <v>320</v>
      </c>
      <c r="E2409" s="84">
        <v>15</v>
      </c>
      <c r="F2409" s="83">
        <f t="shared" ca="1" si="104"/>
        <v>4800</v>
      </c>
    </row>
    <row r="2410" spans="1:10" ht="14.1" customHeight="1" x14ac:dyDescent="0.25">
      <c r="A2410" s="94" t="s">
        <v>12752</v>
      </c>
      <c r="B2410" s="82" t="str">
        <f ca="1">IFERROR(INDEX(UNSPSCDes,MATCH(INDIRECT(ADDRESS(ROW(),COLUMN()-1,4)),UNSPSCCode,0)),IF(INDIRECT(ADDRESS(ROW(),COLUMN()-1,4))="50221002","Harina",""))</f>
        <v>Harina</v>
      </c>
      <c r="C2410" s="95" t="str">
        <f>IFERROR(VLOOKUP("UD",'Informacion '!P:Q,2,FALSE),"")</f>
        <v>Unidad</v>
      </c>
      <c r="D2410" s="94">
        <v>320</v>
      </c>
      <c r="E2410" s="84">
        <v>79</v>
      </c>
      <c r="F2410" s="83">
        <f t="shared" ca="1" si="104"/>
        <v>25280</v>
      </c>
    </row>
    <row r="2411" spans="1:10" ht="14.1" customHeight="1" x14ac:dyDescent="0.25">
      <c r="A2411" s="94" t="s">
        <v>12752</v>
      </c>
      <c r="B2411" s="82" t="str">
        <f ca="1">IFERROR(INDEX(UNSPSCDes,MATCH(INDIRECT(ADDRESS(ROW(),COLUMN()-1,4)),UNSPSCCode,0)),IF(INDIRECT(ADDRESS(ROW(),COLUMN()-1,4))="50221002","Harina",""))</f>
        <v>Harina</v>
      </c>
      <c r="C2411" s="95" t="str">
        <f>IFERROR(VLOOKUP("UD",'Informacion '!P:Q,2,FALSE),"")</f>
        <v>Unidad</v>
      </c>
      <c r="D2411" s="94">
        <v>240</v>
      </c>
      <c r="E2411" s="84">
        <v>74</v>
      </c>
      <c r="F2411" s="83">
        <f t="shared" ca="1" si="104"/>
        <v>17760</v>
      </c>
    </row>
    <row r="2412" spans="1:10" ht="14.1" customHeight="1" x14ac:dyDescent="0.25">
      <c r="A2412" s="94" t="s">
        <v>15807</v>
      </c>
      <c r="B2412" s="82" t="str">
        <f ca="1">IFERROR(INDEX(UNSPSCDes,MATCH(INDIRECT(ADDRESS(ROW(),COLUMN()-1,4)),UNSPSCCode,0)),IF(INDIRECT(ADDRESS(ROW(),COLUMN()-1,4))="10151605","Semillas de avena",""))</f>
        <v>Semillas de avena</v>
      </c>
      <c r="C2412" s="95" t="str">
        <f>IFERROR(VLOOKUP("UD",'Informacion '!P:Q,2,FALSE),"")</f>
        <v>Unidad</v>
      </c>
      <c r="D2412" s="94">
        <v>70</v>
      </c>
      <c r="E2412" s="84">
        <v>75</v>
      </c>
      <c r="F2412" s="83">
        <f t="shared" ca="1" si="104"/>
        <v>5250</v>
      </c>
    </row>
    <row r="2413" spans="1:10" ht="14.1" customHeight="1" x14ac:dyDescent="0.25">
      <c r="A2413" s="94" t="s">
        <v>15807</v>
      </c>
      <c r="B2413" s="82" t="str">
        <f ca="1">IFERROR(INDEX(UNSPSCDes,MATCH(INDIRECT(ADDRESS(ROW(),COLUMN()-1,4)),UNSPSCCode,0)),IF(INDIRECT(ADDRESS(ROW(),COLUMN()-1,4))="10151605","Semillas de avena",""))</f>
        <v>Semillas de avena</v>
      </c>
      <c r="C2413" s="95" t="str">
        <f>IFERROR(VLOOKUP("UD",'Informacion '!P:Q,2,FALSE),"")</f>
        <v>Unidad</v>
      </c>
      <c r="D2413" s="94">
        <v>26</v>
      </c>
      <c r="E2413" s="84">
        <v>100</v>
      </c>
      <c r="F2413" s="83">
        <f t="shared" ca="1" si="104"/>
        <v>2600</v>
      </c>
    </row>
    <row r="2414" spans="1:10" ht="14.1" customHeight="1" x14ac:dyDescent="0.25">
      <c r="A2414" s="94" t="s">
        <v>8009</v>
      </c>
      <c r="B2414" s="82" t="str">
        <f ca="1">IFERROR(INDEX(UNSPSCDes,MATCH(INDIRECT(ADDRESS(ROW(),COLUMN()-1,4)),UNSPSCCode,0)),IF(INDIRECT(ADDRESS(ROW(),COLUMN()-1,4))="10151601","Semillas de trigo",""))</f>
        <v>Semillas de trigo</v>
      </c>
      <c r="C2414" s="95" t="str">
        <f>IFERROR(VLOOKUP("LB",'Informacion '!P:Q,2,FALSE),"")</f>
        <v>Libra </v>
      </c>
      <c r="D2414" s="94">
        <v>265</v>
      </c>
      <c r="E2414" s="84">
        <v>59</v>
      </c>
      <c r="F2414" s="83">
        <f t="shared" ca="1" si="104"/>
        <v>15635</v>
      </c>
    </row>
    <row r="2415" spans="1:10" ht="14.1" customHeight="1" x14ac:dyDescent="0.25">
      <c r="A2415" s="94" t="s">
        <v>13917</v>
      </c>
      <c r="B2415" s="82" t="str">
        <f ca="1">IFERROR(INDEX(UNSPSCDes,MATCH(INDIRECT(ADDRESS(ROW(),COLUMN()-1,4)),UNSPSCCode,0)),IF(INDIRECT(ADDRESS(ROW(),COLUMN()-1,4))="10151609","Semillas de maíz",""))</f>
        <v>Semillas de maíz</v>
      </c>
      <c r="C2415" s="95" t="str">
        <f>IFERROR(VLOOKUP("UD",'Informacion '!P:Q,2,FALSE),"")</f>
        <v>Unidad</v>
      </c>
      <c r="D2415" s="94">
        <v>140</v>
      </c>
      <c r="E2415" s="84">
        <v>55</v>
      </c>
      <c r="F2415" s="83">
        <f t="shared" ca="1" si="104"/>
        <v>7700</v>
      </c>
    </row>
    <row r="2416" spans="1:10" ht="14.1" customHeight="1" x14ac:dyDescent="0.25">
      <c r="E2416" s="96" t="s">
        <v>7213</v>
      </c>
      <c r="F2416" s="87">
        <f ca="1">SUM(Table93[MONTO TOTAL ESTIMADO])</f>
        <v>995674.25</v>
      </c>
      <c r="H2416" s="39" t="str">
        <f>C2359</f>
        <v>Bienes</v>
      </c>
      <c r="I2416" s="39" t="str">
        <f>E2359</f>
        <v>No</v>
      </c>
      <c r="J2416" s="39" t="str">
        <f>D2359</f>
        <v>Comparacion de Precios</v>
      </c>
    </row>
    <row r="2418" spans="1:6" ht="33.950000000000003" customHeight="1" x14ac:dyDescent="0.25">
      <c r="A2418" s="77" t="s">
        <v>17233</v>
      </c>
      <c r="B2418" s="77" t="s">
        <v>4237</v>
      </c>
      <c r="C2418" s="77" t="s">
        <v>4743</v>
      </c>
      <c r="D2418" s="77" t="s">
        <v>9891</v>
      </c>
      <c r="E2418" s="77" t="s">
        <v>3089</v>
      </c>
      <c r="F2418" s="77" t="s">
        <v>18141</v>
      </c>
    </row>
    <row r="2419" spans="1:6" ht="14.1" customHeight="1" x14ac:dyDescent="0.25">
      <c r="A2419" s="79" t="s">
        <v>14936</v>
      </c>
      <c r="B2419" s="79" t="s">
        <v>5494</v>
      </c>
      <c r="C2419" s="79" t="s">
        <v>17215</v>
      </c>
      <c r="D2419" s="79" t="s">
        <v>15249</v>
      </c>
      <c r="E2419" s="79" t="s">
        <v>18247</v>
      </c>
      <c r="F2419" s="79"/>
    </row>
    <row r="2420" spans="1:6" ht="14.1" customHeight="1" x14ac:dyDescent="0.25">
      <c r="A2420" s="2" t="s">
        <v>6643</v>
      </c>
      <c r="B2420" s="80" t="s">
        <v>1046</v>
      </c>
      <c r="C2420" s="90">
        <v>43556</v>
      </c>
      <c r="D2420" s="2" t="s">
        <v>59</v>
      </c>
      <c r="E2420" s="92" t="s">
        <v>20066</v>
      </c>
      <c r="F2420" s="93"/>
    </row>
    <row r="2421" spans="1:6" ht="14.1" customHeight="1" x14ac:dyDescent="0.25">
      <c r="A2421" s="1"/>
      <c r="B2421" s="80" t="s">
        <v>10788</v>
      </c>
      <c r="C2421" s="91">
        <f>IF(C2420="","",IF(AND(MONTH(C2420)&gt;=1,MONTH(C2420)&lt;=3),1,IF(AND(MONTH(C2420)&gt;=4,MONTH(C2420)&lt;=6),2,IF(AND(MONTH(C2420)&gt;=7,MONTH(C2420)&lt;=9),3,4))))</f>
        <v>2</v>
      </c>
      <c r="D2421" s="1"/>
      <c r="E2421" s="92" t="s">
        <v>14822</v>
      </c>
      <c r="F2421" s="93"/>
    </row>
    <row r="2422" spans="1:6" ht="14.1" customHeight="1" x14ac:dyDescent="0.25">
      <c r="A2422" s="1"/>
      <c r="B2422" s="80" t="s">
        <v>13758</v>
      </c>
      <c r="C2422" s="90">
        <v>43616</v>
      </c>
      <c r="D2422" s="1"/>
      <c r="E2422" s="92" t="s">
        <v>18636</v>
      </c>
      <c r="F2422" s="93"/>
    </row>
    <row r="2423" spans="1:6" ht="14.1" customHeight="1" x14ac:dyDescent="0.25">
      <c r="A2423" s="1"/>
      <c r="B2423" s="80" t="s">
        <v>10788</v>
      </c>
      <c r="C2423" s="91">
        <f>IF(C2422="","",IF(AND(MONTH(C2422)&gt;=1,MONTH(C2422)&lt;=3),1,IF(AND(MONTH(C2422)&gt;=4,MONTH(C2422)&lt;=6),2,IF(AND(MONTH(C2422)&gt;=7,MONTH(C2422)&lt;=9),3,4))))</f>
        <v>2</v>
      </c>
      <c r="D2423" s="1"/>
      <c r="E2423" s="92" t="s">
        <v>15990</v>
      </c>
      <c r="F2423" s="93"/>
    </row>
    <row r="2425" spans="1:6" ht="14.1" customHeight="1" x14ac:dyDescent="0.25">
      <c r="A2425" s="85" t="s">
        <v>15474</v>
      </c>
      <c r="B2425" s="85" t="s">
        <v>5027</v>
      </c>
      <c r="C2425" s="85" t="s">
        <v>17461</v>
      </c>
      <c r="D2425" s="85" t="s">
        <v>3935</v>
      </c>
      <c r="E2425" s="85" t="s">
        <v>10722</v>
      </c>
      <c r="F2425" s="85" t="s">
        <v>18237</v>
      </c>
    </row>
    <row r="2426" spans="1:6" ht="14.1" customHeight="1" x14ac:dyDescent="0.25">
      <c r="A2426" s="94" t="s">
        <v>16538</v>
      </c>
      <c r="B2426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2426" s="95" t="str">
        <f>IFERROR(VLOOKUP("UD",'Informacion '!P:Q,2,FALSE),"")</f>
        <v>Unidad</v>
      </c>
      <c r="D2426" s="94">
        <v>1950</v>
      </c>
      <c r="E2426" s="84">
        <v>59</v>
      </c>
      <c r="F2426" s="83">
        <f t="shared" ref="F2426:F2457" ca="1" si="106">INDIRECT(ADDRESS(ROW(),COLUMN()-2,4))*INDIRECT(ADDRESS(ROW(),COLUMN()-1,4))</f>
        <v>115050</v>
      </c>
    </row>
    <row r="2427" spans="1:6" ht="14.1" customHeight="1" x14ac:dyDescent="0.25">
      <c r="A2427" s="94" t="s">
        <v>19722</v>
      </c>
      <c r="B2427" s="82" t="str">
        <f ca="1">IFERROR(INDEX(UNSPSCDes,MATCH(INDIRECT(ADDRESS(ROW(),COLUMN()-1,4)),UNSPSCCode,0)),IF(INDIRECT(ADDRESS(ROW(),COLUMN()-1,4))="10151502","Semillas o plántulas de zanahoria",""))</f>
        <v>Semillas o plántulas de zanahoria</v>
      </c>
      <c r="C2427" s="95" t="str">
        <f>IFERROR(VLOOKUP("UD",'Informacion '!P:Q,2,FALSE),"")</f>
        <v>Unidad</v>
      </c>
      <c r="D2427" s="94">
        <v>220</v>
      </c>
      <c r="E2427" s="84">
        <v>27</v>
      </c>
      <c r="F2427" s="83">
        <f t="shared" ca="1" si="106"/>
        <v>5940</v>
      </c>
    </row>
    <row r="2428" spans="1:6" ht="14.1" customHeight="1" x14ac:dyDescent="0.25">
      <c r="A2428" s="94" t="s">
        <v>3653</v>
      </c>
      <c r="B2428" s="82" t="str">
        <f ca="1">IFERROR(INDEX(UNSPSCDes,MATCH(INDIRECT(ADDRESS(ROW(),COLUMN()-1,4)),UNSPSCCode,0)),IF(INDIRECT(ADDRESS(ROW(),COLUMN()-1,4))="50201706","Café",""))</f>
        <v>Café</v>
      </c>
      <c r="C2428" s="95" t="str">
        <f>IFERROR(VLOOKUP("PAQ",'Informacion '!P:Q,2,FALSE),"")</f>
        <v>Paquete</v>
      </c>
      <c r="D2428" s="94">
        <v>660</v>
      </c>
      <c r="E2428" s="84">
        <v>223</v>
      </c>
      <c r="F2428" s="83">
        <f t="shared" ca="1" si="106"/>
        <v>147180</v>
      </c>
    </row>
    <row r="2429" spans="1:6" ht="14.1" customHeight="1" x14ac:dyDescent="0.25">
      <c r="A2429" s="94" t="s">
        <v>878</v>
      </c>
      <c r="B2429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429" s="95" t="str">
        <f>IFERROR(VLOOKUP("UD",'Informacion '!P:Q,2,FALSE),"")</f>
        <v>Unidad</v>
      </c>
      <c r="D2429" s="94">
        <v>26</v>
      </c>
      <c r="E2429" s="84">
        <v>125</v>
      </c>
      <c r="F2429" s="83">
        <f t="shared" ca="1" si="106"/>
        <v>3250</v>
      </c>
    </row>
    <row r="2430" spans="1:6" ht="14.1" customHeight="1" x14ac:dyDescent="0.25">
      <c r="A2430" s="94" t="s">
        <v>878</v>
      </c>
      <c r="B2430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430" s="95" t="str">
        <f>IFERROR(VLOOKUP("UD",'Informacion '!P:Q,2,FALSE),"")</f>
        <v>Unidad</v>
      </c>
      <c r="D2430" s="94">
        <v>26</v>
      </c>
      <c r="E2430" s="84">
        <v>139</v>
      </c>
      <c r="F2430" s="83">
        <f t="shared" ca="1" si="106"/>
        <v>3614</v>
      </c>
    </row>
    <row r="2431" spans="1:6" ht="14.1" customHeight="1" x14ac:dyDescent="0.25">
      <c r="A2431" s="94" t="s">
        <v>878</v>
      </c>
      <c r="B2431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431" s="95" t="str">
        <f>IFERROR(VLOOKUP("UD",'Informacion '!P:Q,2,FALSE),"")</f>
        <v>Unidad</v>
      </c>
      <c r="D2431" s="94">
        <v>26</v>
      </c>
      <c r="E2431" s="84">
        <v>125</v>
      </c>
      <c r="F2431" s="83">
        <f t="shared" ca="1" si="106"/>
        <v>3250</v>
      </c>
    </row>
    <row r="2432" spans="1:6" ht="14.1" customHeight="1" x14ac:dyDescent="0.25">
      <c r="A2432" s="94" t="s">
        <v>878</v>
      </c>
      <c r="B2432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432" s="95" t="str">
        <f>IFERROR(VLOOKUP("UD",'Informacion '!P:Q,2,FALSE),"")</f>
        <v>Unidad</v>
      </c>
      <c r="D2432" s="94">
        <v>15</v>
      </c>
      <c r="E2432" s="84">
        <v>205</v>
      </c>
      <c r="F2432" s="83">
        <f t="shared" ca="1" si="106"/>
        <v>3075</v>
      </c>
    </row>
    <row r="2433" spans="1:6" ht="14.1" customHeight="1" x14ac:dyDescent="0.25">
      <c r="A2433" s="94" t="s">
        <v>16446</v>
      </c>
      <c r="B2433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2433" s="95" t="str">
        <f>IFERROR(VLOOKUP("UD",'Informacion '!P:Q,2,FALSE),"")</f>
        <v>Unidad</v>
      </c>
      <c r="D2433" s="94">
        <v>26</v>
      </c>
      <c r="E2433" s="84">
        <v>330</v>
      </c>
      <c r="F2433" s="83">
        <f t="shared" ca="1" si="106"/>
        <v>8580</v>
      </c>
    </row>
    <row r="2434" spans="1:6" ht="14.1" customHeight="1" x14ac:dyDescent="0.25">
      <c r="A2434" s="94" t="s">
        <v>16446</v>
      </c>
      <c r="B2434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2434" s="95" t="str">
        <f>IFERROR(VLOOKUP("UD",'Informacion '!P:Q,2,FALSE),"")</f>
        <v>Unidad</v>
      </c>
      <c r="D2434" s="94">
        <v>7</v>
      </c>
      <c r="E2434" s="84">
        <v>1240</v>
      </c>
      <c r="F2434" s="83">
        <f t="shared" ca="1" si="106"/>
        <v>8680</v>
      </c>
    </row>
    <row r="2435" spans="1:6" ht="14.1" customHeight="1" x14ac:dyDescent="0.25">
      <c r="A2435" s="94" t="s">
        <v>7435</v>
      </c>
      <c r="B2435" s="82" t="str">
        <f ca="1">IFERROR(INDEX(UNSPSCDes,MATCH(INDIRECT(ADDRESS(ROW(),COLUMN()-1,4)),UNSPSCCode,0)),IF(INDIRECT(ADDRESS(ROW(),COLUMN()-1,4))="50192403","Miel",""))</f>
        <v>Miel</v>
      </c>
      <c r="C2435" s="95" t="str">
        <f>IFERROR(VLOOKUP("UD",'Informacion '!P:Q,2,FALSE),"")</f>
        <v>Unidad</v>
      </c>
      <c r="D2435" s="94">
        <v>7</v>
      </c>
      <c r="E2435" s="84">
        <v>450</v>
      </c>
      <c r="F2435" s="83">
        <f t="shared" ca="1" si="106"/>
        <v>3150</v>
      </c>
    </row>
    <row r="2436" spans="1:6" ht="14.1" customHeight="1" x14ac:dyDescent="0.25">
      <c r="A2436" s="94" t="s">
        <v>4462</v>
      </c>
      <c r="B2436" s="82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2436" s="95" t="str">
        <f>IFERROR(VLOOKUP("UD",'Informacion '!P:Q,2,FALSE),"")</f>
        <v>Unidad</v>
      </c>
      <c r="D2436" s="94">
        <v>60</v>
      </c>
      <c r="E2436" s="84">
        <v>376.8</v>
      </c>
      <c r="F2436" s="83">
        <f t="shared" ca="1" si="106"/>
        <v>22608</v>
      </c>
    </row>
    <row r="2437" spans="1:6" ht="14.1" customHeight="1" x14ac:dyDescent="0.25">
      <c r="A2437" s="94" t="s">
        <v>4416</v>
      </c>
      <c r="B2437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437" s="95" t="str">
        <f>IFERROR(VLOOKUP("UD",'Informacion '!P:Q,2,FALSE),"")</f>
        <v>Unidad</v>
      </c>
      <c r="D2437" s="94">
        <v>15</v>
      </c>
      <c r="E2437" s="84">
        <v>2250</v>
      </c>
      <c r="F2437" s="83">
        <f t="shared" ca="1" si="106"/>
        <v>33750</v>
      </c>
    </row>
    <row r="2438" spans="1:6" ht="14.1" customHeight="1" x14ac:dyDescent="0.25">
      <c r="A2438" s="94" t="s">
        <v>4416</v>
      </c>
      <c r="B2438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438" s="95" t="str">
        <f>IFERROR(VLOOKUP("UD",'Informacion '!P:Q,2,FALSE),"")</f>
        <v>Unidad</v>
      </c>
      <c r="D2438" s="94">
        <v>20</v>
      </c>
      <c r="E2438" s="84">
        <v>2090</v>
      </c>
      <c r="F2438" s="83">
        <f t="shared" ca="1" si="106"/>
        <v>41800</v>
      </c>
    </row>
    <row r="2439" spans="1:6" ht="14.1" customHeight="1" x14ac:dyDescent="0.25">
      <c r="A2439" s="94" t="s">
        <v>4416</v>
      </c>
      <c r="B2439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439" s="95" t="str">
        <f>IFERROR(VLOOKUP("UD",'Informacion '!P:Q,2,FALSE),"")</f>
        <v>Unidad</v>
      </c>
      <c r="D2439" s="94">
        <v>7</v>
      </c>
      <c r="E2439" s="84">
        <v>290</v>
      </c>
      <c r="F2439" s="83">
        <f t="shared" ca="1" si="106"/>
        <v>2030</v>
      </c>
    </row>
    <row r="2440" spans="1:6" ht="14.1" customHeight="1" x14ac:dyDescent="0.25">
      <c r="A2440" s="94" t="s">
        <v>14762</v>
      </c>
      <c r="B2440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440" s="95" t="str">
        <f>IFERROR(VLOOKUP("UD",'Informacion '!P:Q,2,FALSE),"")</f>
        <v>Unidad</v>
      </c>
      <c r="D2440" s="94">
        <v>3</v>
      </c>
      <c r="E2440" s="84">
        <v>186</v>
      </c>
      <c r="F2440" s="83">
        <f t="shared" ca="1" si="106"/>
        <v>558</v>
      </c>
    </row>
    <row r="2441" spans="1:6" ht="14.1" customHeight="1" x14ac:dyDescent="0.25">
      <c r="A2441" s="94" t="s">
        <v>14762</v>
      </c>
      <c r="B2441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441" s="95" t="str">
        <f>IFERROR(VLOOKUP("UD",'Informacion '!P:Q,2,FALSE),"")</f>
        <v>Unidad</v>
      </c>
      <c r="D2441" s="94">
        <v>55</v>
      </c>
      <c r="E2441" s="84">
        <v>442</v>
      </c>
      <c r="F2441" s="83">
        <f t="shared" ca="1" si="106"/>
        <v>24310</v>
      </c>
    </row>
    <row r="2442" spans="1:6" ht="14.1" customHeight="1" x14ac:dyDescent="0.25">
      <c r="A2442" s="94" t="s">
        <v>14762</v>
      </c>
      <c r="B2442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442" s="95" t="str">
        <f>IFERROR(VLOOKUP("UD",'Informacion '!P:Q,2,FALSE),"")</f>
        <v>Unidad</v>
      </c>
      <c r="D2442" s="94">
        <v>14</v>
      </c>
      <c r="E2442" s="84">
        <v>232</v>
      </c>
      <c r="F2442" s="83">
        <f t="shared" ca="1" si="106"/>
        <v>3248</v>
      </c>
    </row>
    <row r="2443" spans="1:6" ht="14.1" customHeight="1" x14ac:dyDescent="0.25">
      <c r="A2443" s="94" t="s">
        <v>15229</v>
      </c>
      <c r="B2443" s="82" t="str">
        <f ca="1">IFERROR(INDEX(UNSPSCDes,MATCH(INDIRECT(ADDRESS(ROW(),COLUMN()-1,4)),UNSPSCCode,0)),IF(INDIRECT(ADDRESS(ROW(),COLUMN()-1,4))="50171707","Vinagres",""))</f>
        <v>Vinagres</v>
      </c>
      <c r="C2443" s="95" t="str">
        <f>IFERROR(VLOOKUP("UD",'Informacion '!P:Q,2,FALSE),"")</f>
        <v>Unidad</v>
      </c>
      <c r="D2443" s="94">
        <v>55</v>
      </c>
      <c r="E2443" s="84">
        <v>110</v>
      </c>
      <c r="F2443" s="83">
        <f t="shared" ca="1" si="106"/>
        <v>6050</v>
      </c>
    </row>
    <row r="2444" spans="1:6" ht="14.1" customHeight="1" x14ac:dyDescent="0.25">
      <c r="A2444" s="94" t="s">
        <v>15707</v>
      </c>
      <c r="B2444" s="82" t="str">
        <f ca="1">IFERROR(INDEX(UNSPSCDes,MATCH(INDIRECT(ADDRESS(ROW(),COLUMN()-1,4)),UNSPSCCode,0)),IF(INDIRECT(ADDRESS(ROW(),COLUMN()-1,4))="50171550","Especies o extractos",""))</f>
        <v>Especies o extractos</v>
      </c>
      <c r="C2444" s="95" t="str">
        <f>IFERROR(VLOOKUP("UD",'Informacion '!P:Q,2,FALSE),"")</f>
        <v>Unidad</v>
      </c>
      <c r="D2444" s="94">
        <v>7</v>
      </c>
      <c r="E2444" s="84">
        <v>195</v>
      </c>
      <c r="F2444" s="83">
        <f t="shared" ca="1" si="106"/>
        <v>1365</v>
      </c>
    </row>
    <row r="2445" spans="1:6" ht="14.1" customHeight="1" x14ac:dyDescent="0.25">
      <c r="A2445" s="94" t="s">
        <v>293</v>
      </c>
      <c r="B2445" s="82" t="str">
        <f ca="1">IFERROR(INDEX(UNSPSCDes,MATCH(INDIRECT(ADDRESS(ROW(),COLUMN()-1,4)),UNSPSCCode,0)),IF(INDIRECT(ADDRESS(ROW(),COLUMN()-1,4))="10151801","Semillas o plántulas de pimienta",""))</f>
        <v>Semillas o plántulas de pimienta</v>
      </c>
      <c r="C2445" s="95" t="str">
        <f>IFERROR(VLOOKUP("UD",'Informacion '!P:Q,2,FALSE),"")</f>
        <v>Unidad</v>
      </c>
      <c r="D2445" s="94">
        <v>15</v>
      </c>
      <c r="E2445" s="84">
        <v>216</v>
      </c>
      <c r="F2445" s="83">
        <f t="shared" ca="1" si="106"/>
        <v>3240</v>
      </c>
    </row>
    <row r="2446" spans="1:6" ht="14.1" customHeight="1" x14ac:dyDescent="0.25">
      <c r="A2446" s="94" t="s">
        <v>9111</v>
      </c>
      <c r="B2446" s="82" t="str">
        <f ca="1">IFERROR(INDEX(UNSPSCDes,MATCH(INDIRECT(ADDRESS(ROW(),COLUMN()-1,4)),UNSPSCCode,0)),IF(INDIRECT(ADDRESS(ROW(),COLUMN()-1,4))="50171551","Sal de mesa",""))</f>
        <v>Sal de mesa</v>
      </c>
      <c r="C2446" s="95" t="str">
        <f>IFERROR(VLOOKUP("UD",'Informacion '!P:Q,2,FALSE),"")</f>
        <v>Unidad</v>
      </c>
      <c r="D2446" s="94">
        <v>265</v>
      </c>
      <c r="E2446" s="84">
        <v>18</v>
      </c>
      <c r="F2446" s="83">
        <f t="shared" ca="1" si="106"/>
        <v>4770</v>
      </c>
    </row>
    <row r="2447" spans="1:6" ht="14.1" customHeight="1" x14ac:dyDescent="0.25">
      <c r="A2447" s="94" t="s">
        <v>355</v>
      </c>
      <c r="B2447" s="82" t="str">
        <f ca="1">IFERROR(INDEX(UNSPSCDes,MATCH(INDIRECT(ADDRESS(ROW(),COLUMN()-1,4)),UNSPSCCode,0)),IF(INDIRECT(ADDRESS(ROW(),COLUMN()-1,4))="50171902","Condimento",""))</f>
        <v>Condimento</v>
      </c>
      <c r="C2447" s="95" t="str">
        <f>IFERROR(VLOOKUP("UD",'Informacion '!P:Q,2,FALSE),"")</f>
        <v>Unidad</v>
      </c>
      <c r="D2447" s="94">
        <v>3</v>
      </c>
      <c r="E2447" s="84">
        <v>118</v>
      </c>
      <c r="F2447" s="83">
        <f t="shared" ca="1" si="106"/>
        <v>354</v>
      </c>
    </row>
    <row r="2448" spans="1:6" ht="14.1" customHeight="1" x14ac:dyDescent="0.25">
      <c r="A2448" s="94" t="s">
        <v>2768</v>
      </c>
      <c r="B2448" s="82" t="str">
        <f ca="1">IFERROR(INDEX(UNSPSCDes,MATCH(INDIRECT(ADDRESS(ROW(),COLUMN()-1,4)),UNSPSCCode,0)),IF(INDIRECT(ADDRESS(ROW(),COLUMN()-1,4))="51131903","Gelatina",""))</f>
        <v>Gelatina</v>
      </c>
      <c r="C2448" s="95" t="str">
        <f>IFERROR(VLOOKUP("UD",'Informacion '!P:Q,2,FALSE),"")</f>
        <v>Unidad</v>
      </c>
      <c r="D2448" s="94">
        <v>400</v>
      </c>
      <c r="E2448" s="84">
        <v>35</v>
      </c>
      <c r="F2448" s="83">
        <f t="shared" ca="1" si="106"/>
        <v>14000</v>
      </c>
    </row>
    <row r="2449" spans="1:6" ht="14.1" customHeight="1" x14ac:dyDescent="0.25">
      <c r="A2449" s="94" t="s">
        <v>8569</v>
      </c>
      <c r="B2449" s="82" t="str">
        <f ca="1">IFERROR(INDEX(UNSPSCDes,MATCH(INDIRECT(ADDRESS(ROW(),COLUMN()-1,4)),UNSPSCCode,0)),IF(INDIRECT(ADDRESS(ROW(),COLUMN()-1,4))="50221001","Granos",""))</f>
        <v>Granos</v>
      </c>
      <c r="C2449" s="95" t="str">
        <f>IFERROR(VLOOKUP("UD",'Informacion '!P:Q,2,FALSE),"")</f>
        <v>Unidad</v>
      </c>
      <c r="D2449" s="94">
        <v>635</v>
      </c>
      <c r="E2449" s="84">
        <v>55</v>
      </c>
      <c r="F2449" s="83">
        <f t="shared" ca="1" si="106"/>
        <v>34925</v>
      </c>
    </row>
    <row r="2450" spans="1:6" ht="14.1" customHeight="1" x14ac:dyDescent="0.25">
      <c r="A2450" s="94" t="s">
        <v>13917</v>
      </c>
      <c r="B2450" s="82" t="str">
        <f ca="1">IFERROR(INDEX(UNSPSCDes,MATCH(INDIRECT(ADDRESS(ROW(),COLUMN()-1,4)),UNSPSCCode,0)),IF(INDIRECT(ADDRESS(ROW(),COLUMN()-1,4))="10151609","Semillas de maíz",""))</f>
        <v>Semillas de maíz</v>
      </c>
      <c r="C2450" s="95" t="str">
        <f>IFERROR(VLOOKUP("UD",'Informacion '!P:Q,2,FALSE),"")</f>
        <v>Unidad</v>
      </c>
      <c r="D2450" s="94">
        <v>635</v>
      </c>
      <c r="E2450" s="84">
        <v>58.95</v>
      </c>
      <c r="F2450" s="83">
        <f t="shared" ca="1" si="106"/>
        <v>37433.25</v>
      </c>
    </row>
    <row r="2451" spans="1:6" ht="14.1" customHeight="1" x14ac:dyDescent="0.25">
      <c r="A2451" s="94" t="s">
        <v>3585</v>
      </c>
      <c r="B2451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451" s="95" t="str">
        <f>IFERROR(VLOOKUP("UD",'Informacion '!P:Q,2,FALSE),"")</f>
        <v>Unidad</v>
      </c>
      <c r="D2451" s="94">
        <v>135</v>
      </c>
      <c r="E2451" s="84">
        <v>27.5</v>
      </c>
      <c r="F2451" s="83">
        <f t="shared" ca="1" si="106"/>
        <v>3712.5</v>
      </c>
    </row>
    <row r="2452" spans="1:6" ht="14.1" customHeight="1" x14ac:dyDescent="0.25">
      <c r="A2452" s="94" t="s">
        <v>3585</v>
      </c>
      <c r="B2452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452" s="95" t="str">
        <f>IFERROR(VLOOKUP("UD",'Informacion '!P:Q,2,FALSE),"")</f>
        <v>Unidad</v>
      </c>
      <c r="D2452" s="94">
        <v>160</v>
      </c>
      <c r="E2452" s="84">
        <v>28</v>
      </c>
      <c r="F2452" s="83">
        <f t="shared" ca="1" si="106"/>
        <v>4480</v>
      </c>
    </row>
    <row r="2453" spans="1:6" ht="14.1" customHeight="1" x14ac:dyDescent="0.25">
      <c r="A2453" s="94" t="s">
        <v>3585</v>
      </c>
      <c r="B2453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453" s="95" t="str">
        <f>IFERROR(VLOOKUP("UD",'Informacion '!P:Q,2,FALSE),"")</f>
        <v>Unidad</v>
      </c>
      <c r="D2453" s="94">
        <v>100</v>
      </c>
      <c r="E2453" s="84">
        <v>28.95</v>
      </c>
      <c r="F2453" s="83">
        <f t="shared" ca="1" si="106"/>
        <v>2895</v>
      </c>
    </row>
    <row r="2454" spans="1:6" ht="14.1" customHeight="1" x14ac:dyDescent="0.25">
      <c r="A2454" s="94" t="s">
        <v>3585</v>
      </c>
      <c r="B2454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454" s="95" t="str">
        <f>IFERROR(VLOOKUP("UD",'Informacion '!P:Q,2,FALSE),"")</f>
        <v>Unidad</v>
      </c>
      <c r="D2454" s="94">
        <v>70</v>
      </c>
      <c r="E2454" s="84">
        <v>48.95</v>
      </c>
      <c r="F2454" s="83">
        <f t="shared" ca="1" si="106"/>
        <v>3426.5</v>
      </c>
    </row>
    <row r="2455" spans="1:6" ht="14.1" customHeight="1" x14ac:dyDescent="0.25">
      <c r="A2455" s="94" t="s">
        <v>19765</v>
      </c>
      <c r="B2455" s="82" t="str">
        <f ca="1">IFERROR(INDEX(UNSPSCDes,MATCH(INDIRECT(ADDRESS(ROW(),COLUMN()-1,4)),UNSPSCCode,0)),IF(INDIRECT(ADDRESS(ROW(),COLUMN()-1,4))="83101510","Agua fría",""))</f>
        <v>Agua fría</v>
      </c>
      <c r="C2455" s="95" t="str">
        <f>IFERROR(VLOOKUP("UD",'Informacion '!P:Q,2,FALSE),"")</f>
        <v>Unidad</v>
      </c>
      <c r="D2455" s="94">
        <v>660</v>
      </c>
      <c r="E2455" s="84">
        <v>150</v>
      </c>
      <c r="F2455" s="83">
        <f t="shared" ca="1" si="106"/>
        <v>99000</v>
      </c>
    </row>
    <row r="2456" spans="1:6" ht="14.1" customHeight="1" x14ac:dyDescent="0.25">
      <c r="A2456" s="94" t="s">
        <v>2377</v>
      </c>
      <c r="B2456" s="82" t="str">
        <f ca="1">IFERROR(INDEX(UNSPSCDes,MATCH(INDIRECT(ADDRESS(ROW(),COLUMN()-1,4)),UNSPSCCode,0)),IF(INDIRECT(ADDRESS(ROW(),COLUMN()-1,4))="50201712","Bebidas de té",""))</f>
        <v>Bebidas de té</v>
      </c>
      <c r="C2456" s="95" t="str">
        <f>IFERROR(VLOOKUP("UD",'Informacion '!P:Q,2,FALSE),"")</f>
        <v>Unidad</v>
      </c>
      <c r="D2456" s="94">
        <v>95</v>
      </c>
      <c r="E2456" s="84">
        <v>425</v>
      </c>
      <c r="F2456" s="83">
        <f t="shared" ca="1" si="106"/>
        <v>40375</v>
      </c>
    </row>
    <row r="2457" spans="1:6" ht="14.1" customHeight="1" x14ac:dyDescent="0.25">
      <c r="A2457" s="94" t="s">
        <v>2377</v>
      </c>
      <c r="B2457" s="82" t="str">
        <f ca="1">IFERROR(INDEX(UNSPSCDes,MATCH(INDIRECT(ADDRESS(ROW(),COLUMN()-1,4)),UNSPSCCode,0)),IF(INDIRECT(ADDRESS(ROW(),COLUMN()-1,4))="50201712","Bebidas de té",""))</f>
        <v>Bebidas de té</v>
      </c>
      <c r="C2457" s="95" t="str">
        <f>IFERROR(VLOOKUP("UD",'Informacion '!P:Q,2,FALSE),"")</f>
        <v>Unidad</v>
      </c>
      <c r="D2457" s="94">
        <v>6</v>
      </c>
      <c r="E2457" s="84">
        <v>170</v>
      </c>
      <c r="F2457" s="83">
        <f t="shared" ca="1" si="106"/>
        <v>1020</v>
      </c>
    </row>
    <row r="2458" spans="1:6" ht="14.1" customHeight="1" x14ac:dyDescent="0.25">
      <c r="A2458" s="94" t="s">
        <v>2377</v>
      </c>
      <c r="B2458" s="82" t="str">
        <f ca="1">IFERROR(INDEX(UNSPSCDes,MATCH(INDIRECT(ADDRESS(ROW(),COLUMN()-1,4)),UNSPSCCode,0)),IF(INDIRECT(ADDRESS(ROW(),COLUMN()-1,4))="50201712","Bebidas de té",""))</f>
        <v>Bebidas de té</v>
      </c>
      <c r="C2458" s="95" t="str">
        <f>IFERROR(VLOOKUP("UD",'Informacion '!P:Q,2,FALSE),"")</f>
        <v>Unidad</v>
      </c>
      <c r="D2458" s="94">
        <v>6</v>
      </c>
      <c r="E2458" s="84">
        <v>170</v>
      </c>
      <c r="F2458" s="83">
        <f t="shared" ref="F2458:F2475" ca="1" si="107">INDIRECT(ADDRESS(ROW(),COLUMN()-2,4))*INDIRECT(ADDRESS(ROW(),COLUMN()-1,4))</f>
        <v>1020</v>
      </c>
    </row>
    <row r="2459" spans="1:6" ht="14.1" customHeight="1" x14ac:dyDescent="0.25">
      <c r="A2459" s="94" t="s">
        <v>5452</v>
      </c>
      <c r="B2459" s="82" t="str">
        <f ca="1">IFERROR(INDEX(UNSPSCDes,MATCH(INDIRECT(ADDRESS(ROW(),COLUMN()-1,4)),UNSPSCCode,0)),IF(INDIRECT(ADDRESS(ROW(),COLUMN()-1,4))="10151701","Semillas o plántulas de arroz",""))</f>
        <v>Semillas o plántulas de arroz</v>
      </c>
      <c r="C2459" s="95" t="str">
        <f>IFERROR(VLOOKUP("PAQ",'Informacion '!P:Q,2,FALSE),"")</f>
        <v>Paquete</v>
      </c>
      <c r="D2459" s="94">
        <v>26</v>
      </c>
      <c r="E2459" s="84">
        <v>720</v>
      </c>
      <c r="F2459" s="83">
        <f t="shared" ca="1" si="107"/>
        <v>18720</v>
      </c>
    </row>
    <row r="2460" spans="1:6" ht="14.1" customHeight="1" x14ac:dyDescent="0.25">
      <c r="A2460" s="94" t="s">
        <v>5452</v>
      </c>
      <c r="B2460" s="82" t="str">
        <f ca="1">IFERROR(INDEX(UNSPSCDes,MATCH(INDIRECT(ADDRESS(ROW(),COLUMN()-1,4)),UNSPSCCode,0)),IF(INDIRECT(ADDRESS(ROW(),COLUMN()-1,4))="10151701","Semillas o plántulas de arroz",""))</f>
        <v>Semillas o plántulas de arroz</v>
      </c>
      <c r="C2460" s="95" t="str">
        <f>IFERROR(VLOOKUP("UD",'Informacion '!P:Q,2,FALSE),"")</f>
        <v>Unidad</v>
      </c>
      <c r="D2460" s="94">
        <v>26</v>
      </c>
      <c r="E2460" s="84">
        <v>2250</v>
      </c>
      <c r="F2460" s="83">
        <f t="shared" ca="1" si="107"/>
        <v>58500</v>
      </c>
    </row>
    <row r="2461" spans="1:6" ht="14.1" customHeight="1" x14ac:dyDescent="0.25">
      <c r="A2461" s="94" t="s">
        <v>8569</v>
      </c>
      <c r="B2461" s="82" t="str">
        <f t="shared" ref="B2461:B2467" ca="1" si="108">IFERROR(INDEX(UNSPSCDes,MATCH(INDIRECT(ADDRESS(ROW(),COLUMN()-1,4)),UNSPSCCode,0)),IF(INDIRECT(ADDRESS(ROW(),COLUMN()-1,4))="50221001","Granos",""))</f>
        <v>Granos</v>
      </c>
      <c r="C2461" s="95" t="str">
        <f>IFERROR(VLOOKUP("LB",'Informacion '!P:Q,2,FALSE),"")</f>
        <v>Libra </v>
      </c>
      <c r="D2461" s="94">
        <v>140</v>
      </c>
      <c r="E2461" s="84">
        <v>66</v>
      </c>
      <c r="F2461" s="83">
        <f t="shared" ca="1" si="107"/>
        <v>9240</v>
      </c>
    </row>
    <row r="2462" spans="1:6" ht="14.1" customHeight="1" x14ac:dyDescent="0.25">
      <c r="A2462" s="94" t="s">
        <v>8569</v>
      </c>
      <c r="B2462" s="82" t="str">
        <f t="shared" ca="1" si="108"/>
        <v>Granos</v>
      </c>
      <c r="C2462" s="95" t="str">
        <f>IFERROR(VLOOKUP("LB",'Informacion '!P:Q,2,FALSE),"")</f>
        <v>Libra </v>
      </c>
      <c r="D2462" s="94">
        <v>330</v>
      </c>
      <c r="E2462" s="84">
        <v>45</v>
      </c>
      <c r="F2462" s="83">
        <f t="shared" ca="1" si="107"/>
        <v>14850</v>
      </c>
    </row>
    <row r="2463" spans="1:6" ht="14.1" customHeight="1" x14ac:dyDescent="0.25">
      <c r="A2463" s="94" t="s">
        <v>8569</v>
      </c>
      <c r="B2463" s="82" t="str">
        <f t="shared" ca="1" si="108"/>
        <v>Granos</v>
      </c>
      <c r="C2463" s="95" t="str">
        <f>IFERROR(VLOOKUP("LB",'Informacion '!P:Q,2,FALSE),"")</f>
        <v>Libra </v>
      </c>
      <c r="D2463" s="94">
        <v>330</v>
      </c>
      <c r="E2463" s="84">
        <v>45</v>
      </c>
      <c r="F2463" s="83">
        <f t="shared" ca="1" si="107"/>
        <v>14850</v>
      </c>
    </row>
    <row r="2464" spans="1:6" ht="14.1" customHeight="1" x14ac:dyDescent="0.25">
      <c r="A2464" s="94" t="s">
        <v>8569</v>
      </c>
      <c r="B2464" s="82" t="str">
        <f t="shared" ca="1" si="108"/>
        <v>Granos</v>
      </c>
      <c r="C2464" s="95" t="str">
        <f>IFERROR(VLOOKUP("LB",'Informacion '!P:Q,2,FALSE),"")</f>
        <v>Libra </v>
      </c>
      <c r="D2464" s="94">
        <v>330</v>
      </c>
      <c r="E2464" s="84">
        <v>86</v>
      </c>
      <c r="F2464" s="83">
        <f t="shared" ca="1" si="107"/>
        <v>28380</v>
      </c>
    </row>
    <row r="2465" spans="1:10" ht="14.1" customHeight="1" x14ac:dyDescent="0.25">
      <c r="A2465" s="94" t="s">
        <v>8569</v>
      </c>
      <c r="B2465" s="82" t="str">
        <f t="shared" ca="1" si="108"/>
        <v>Granos</v>
      </c>
      <c r="C2465" s="95" t="str">
        <f>IFERROR(VLOOKUP("LB",'Informacion '!P:Q,2,FALSE),"")</f>
        <v>Libra </v>
      </c>
      <c r="D2465" s="94">
        <v>330</v>
      </c>
      <c r="E2465" s="84">
        <v>82</v>
      </c>
      <c r="F2465" s="83">
        <f t="shared" ca="1" si="107"/>
        <v>27060</v>
      </c>
    </row>
    <row r="2466" spans="1:10" ht="14.1" customHeight="1" x14ac:dyDescent="0.25">
      <c r="A2466" s="94" t="s">
        <v>8569</v>
      </c>
      <c r="B2466" s="82" t="str">
        <f t="shared" ca="1" si="108"/>
        <v>Granos</v>
      </c>
      <c r="C2466" s="95" t="str">
        <f>IFERROR(VLOOKUP("LB",'Informacion '!P:Q,2,FALSE),"")</f>
        <v>Libra </v>
      </c>
      <c r="D2466" s="94">
        <v>330</v>
      </c>
      <c r="E2466" s="84">
        <v>84</v>
      </c>
      <c r="F2466" s="83">
        <f t="shared" ca="1" si="107"/>
        <v>27720</v>
      </c>
    </row>
    <row r="2467" spans="1:10" ht="14.1" customHeight="1" x14ac:dyDescent="0.25">
      <c r="A2467" s="94" t="s">
        <v>8569</v>
      </c>
      <c r="B2467" s="82" t="str">
        <f t="shared" ca="1" si="108"/>
        <v>Granos</v>
      </c>
      <c r="C2467" s="95" t="str">
        <f>IFERROR(VLOOKUP("LB",'Informacion '!P:Q,2,FALSE),"")</f>
        <v>Libra </v>
      </c>
      <c r="D2467" s="94">
        <v>330</v>
      </c>
      <c r="E2467" s="84">
        <v>80</v>
      </c>
      <c r="F2467" s="83">
        <f t="shared" ca="1" si="107"/>
        <v>26400</v>
      </c>
    </row>
    <row r="2468" spans="1:10" ht="14.1" customHeight="1" x14ac:dyDescent="0.25">
      <c r="A2468" s="94" t="s">
        <v>12752</v>
      </c>
      <c r="B2468" s="82" t="str">
        <f ca="1">IFERROR(INDEX(UNSPSCDes,MATCH(INDIRECT(ADDRESS(ROW(),COLUMN()-1,4)),UNSPSCCode,0)),IF(INDIRECT(ADDRESS(ROW(),COLUMN()-1,4))="50221002","Harina",""))</f>
        <v>Harina</v>
      </c>
      <c r="C2468" s="95" t="str">
        <f>IFERROR(VLOOKUP("UD",'Informacion '!P:Q,2,FALSE),"")</f>
        <v>Unidad</v>
      </c>
      <c r="D2468" s="94">
        <v>18</v>
      </c>
      <c r="E2468" s="84">
        <v>155</v>
      </c>
      <c r="F2468" s="83">
        <f t="shared" ca="1" si="107"/>
        <v>2790</v>
      </c>
    </row>
    <row r="2469" spans="1:10" ht="14.1" customHeight="1" x14ac:dyDescent="0.25">
      <c r="A2469" s="94" t="s">
        <v>12752</v>
      </c>
      <c r="B2469" s="82" t="str">
        <f ca="1">IFERROR(INDEX(UNSPSCDes,MATCH(INDIRECT(ADDRESS(ROW(),COLUMN()-1,4)),UNSPSCCode,0)),IF(INDIRECT(ADDRESS(ROW(),COLUMN()-1,4))="50221002","Harina",""))</f>
        <v>Harina</v>
      </c>
      <c r="C2469" s="95" t="str">
        <f>IFERROR(VLOOKUP("UD",'Informacion '!P:Q,2,FALSE),"")</f>
        <v>Unidad</v>
      </c>
      <c r="D2469" s="94">
        <v>320</v>
      </c>
      <c r="E2469" s="84">
        <v>15</v>
      </c>
      <c r="F2469" s="83">
        <f t="shared" ca="1" si="107"/>
        <v>4800</v>
      </c>
    </row>
    <row r="2470" spans="1:10" ht="14.1" customHeight="1" x14ac:dyDescent="0.25">
      <c r="A2470" s="94" t="s">
        <v>12752</v>
      </c>
      <c r="B2470" s="82" t="str">
        <f ca="1">IFERROR(INDEX(UNSPSCDes,MATCH(INDIRECT(ADDRESS(ROW(),COLUMN()-1,4)),UNSPSCCode,0)),IF(INDIRECT(ADDRESS(ROW(),COLUMN()-1,4))="50221002","Harina",""))</f>
        <v>Harina</v>
      </c>
      <c r="C2470" s="95" t="str">
        <f>IFERROR(VLOOKUP("UD",'Informacion '!P:Q,2,FALSE),"")</f>
        <v>Unidad</v>
      </c>
      <c r="D2470" s="94">
        <v>320</v>
      </c>
      <c r="E2470" s="84">
        <v>79</v>
      </c>
      <c r="F2470" s="83">
        <f t="shared" ca="1" si="107"/>
        <v>25280</v>
      </c>
    </row>
    <row r="2471" spans="1:10" ht="14.1" customHeight="1" x14ac:dyDescent="0.25">
      <c r="A2471" s="94" t="s">
        <v>12752</v>
      </c>
      <c r="B2471" s="82" t="str">
        <f ca="1">IFERROR(INDEX(UNSPSCDes,MATCH(INDIRECT(ADDRESS(ROW(),COLUMN()-1,4)),UNSPSCCode,0)),IF(INDIRECT(ADDRESS(ROW(),COLUMN()-1,4))="50221002","Harina",""))</f>
        <v>Harina</v>
      </c>
      <c r="C2471" s="95" t="str">
        <f>IFERROR(VLOOKUP("UD",'Informacion '!P:Q,2,FALSE),"")</f>
        <v>Unidad</v>
      </c>
      <c r="D2471" s="94">
        <v>240</v>
      </c>
      <c r="E2471" s="84">
        <v>74</v>
      </c>
      <c r="F2471" s="83">
        <f t="shared" ca="1" si="107"/>
        <v>17760</v>
      </c>
    </row>
    <row r="2472" spans="1:10" ht="14.1" customHeight="1" x14ac:dyDescent="0.25">
      <c r="A2472" s="94" t="s">
        <v>15807</v>
      </c>
      <c r="B2472" s="82" t="str">
        <f ca="1">IFERROR(INDEX(UNSPSCDes,MATCH(INDIRECT(ADDRESS(ROW(),COLUMN()-1,4)),UNSPSCCode,0)),IF(INDIRECT(ADDRESS(ROW(),COLUMN()-1,4))="10151605","Semillas de avena",""))</f>
        <v>Semillas de avena</v>
      </c>
      <c r="C2472" s="95" t="str">
        <f>IFERROR(VLOOKUP("UD",'Informacion '!P:Q,2,FALSE),"")</f>
        <v>Unidad</v>
      </c>
      <c r="D2472" s="94">
        <v>70</v>
      </c>
      <c r="E2472" s="84">
        <v>75</v>
      </c>
      <c r="F2472" s="83">
        <f t="shared" ca="1" si="107"/>
        <v>5250</v>
      </c>
    </row>
    <row r="2473" spans="1:10" ht="14.1" customHeight="1" x14ac:dyDescent="0.25">
      <c r="A2473" s="94" t="s">
        <v>15807</v>
      </c>
      <c r="B2473" s="82" t="str">
        <f ca="1">IFERROR(INDEX(UNSPSCDes,MATCH(INDIRECT(ADDRESS(ROW(),COLUMN()-1,4)),UNSPSCCode,0)),IF(INDIRECT(ADDRESS(ROW(),COLUMN()-1,4))="10151605","Semillas de avena",""))</f>
        <v>Semillas de avena</v>
      </c>
      <c r="C2473" s="95" t="str">
        <f>IFERROR(VLOOKUP("UD",'Informacion '!P:Q,2,FALSE),"")</f>
        <v>Unidad</v>
      </c>
      <c r="D2473" s="94">
        <v>26</v>
      </c>
      <c r="E2473" s="84">
        <v>100</v>
      </c>
      <c r="F2473" s="83">
        <f t="shared" ca="1" si="107"/>
        <v>2600</v>
      </c>
    </row>
    <row r="2474" spans="1:10" ht="14.1" customHeight="1" x14ac:dyDescent="0.25">
      <c r="A2474" s="94" t="s">
        <v>15807</v>
      </c>
      <c r="B2474" s="82" t="str">
        <f ca="1">IFERROR(INDEX(UNSPSCDes,MATCH(INDIRECT(ADDRESS(ROW(),COLUMN()-1,4)),UNSPSCCode,0)),IF(INDIRECT(ADDRESS(ROW(),COLUMN()-1,4))="10151605","Semillas de avena",""))</f>
        <v>Semillas de avena</v>
      </c>
      <c r="C2474" s="95" t="str">
        <f>IFERROR(VLOOKUP("LB",'Informacion '!P:Q,2,FALSE),"")</f>
        <v>Libra </v>
      </c>
      <c r="D2474" s="94">
        <v>265</v>
      </c>
      <c r="E2474" s="84">
        <v>59</v>
      </c>
      <c r="F2474" s="83">
        <f t="shared" ca="1" si="107"/>
        <v>15635</v>
      </c>
    </row>
    <row r="2475" spans="1:10" ht="14.1" customHeight="1" x14ac:dyDescent="0.25">
      <c r="A2475" s="94" t="s">
        <v>15807</v>
      </c>
      <c r="B2475" s="82" t="str">
        <f ca="1">IFERROR(INDEX(UNSPSCDes,MATCH(INDIRECT(ADDRESS(ROW(),COLUMN()-1,4)),UNSPSCCode,0)),IF(INDIRECT(ADDRESS(ROW(),COLUMN()-1,4))="10151605","Semillas de avena",""))</f>
        <v>Semillas de avena</v>
      </c>
      <c r="C2475" s="95" t="str">
        <f>IFERROR(VLOOKUP("UD",'Informacion '!P:Q,2,FALSE),"")</f>
        <v>Unidad</v>
      </c>
      <c r="D2475" s="94">
        <v>140</v>
      </c>
      <c r="E2475" s="84">
        <v>55</v>
      </c>
      <c r="F2475" s="83">
        <f t="shared" ca="1" si="107"/>
        <v>7700</v>
      </c>
    </row>
    <row r="2476" spans="1:10" ht="14.1" customHeight="1" x14ac:dyDescent="0.25">
      <c r="E2476" s="96" t="s">
        <v>7213</v>
      </c>
      <c r="F2476" s="87">
        <f ca="1">SUM(Table94[MONTO TOTAL ESTIMADO])</f>
        <v>995674.25</v>
      </c>
      <c r="H2476" s="39" t="str">
        <f>C2419</f>
        <v>Bienes</v>
      </c>
      <c r="I2476" s="39" t="str">
        <f>E2419</f>
        <v>No</v>
      </c>
      <c r="J2476" s="39" t="str">
        <f>D2419</f>
        <v>Comparacion de Precios</v>
      </c>
    </row>
    <row r="2478" spans="1:10" ht="33.950000000000003" customHeight="1" x14ac:dyDescent="0.25">
      <c r="A2478" s="77" t="s">
        <v>17233</v>
      </c>
      <c r="B2478" s="77" t="s">
        <v>4237</v>
      </c>
      <c r="C2478" s="77" t="s">
        <v>4743</v>
      </c>
      <c r="D2478" s="77" t="s">
        <v>9891</v>
      </c>
      <c r="E2478" s="77" t="s">
        <v>3089</v>
      </c>
      <c r="F2478" s="77" t="s">
        <v>18141</v>
      </c>
    </row>
    <row r="2479" spans="1:10" ht="14.1" customHeight="1" x14ac:dyDescent="0.25">
      <c r="A2479" s="79" t="s">
        <v>13528</v>
      </c>
      <c r="B2479" s="79" t="s">
        <v>6878</v>
      </c>
      <c r="C2479" s="79" t="s">
        <v>17215</v>
      </c>
      <c r="D2479" s="79" t="s">
        <v>15249</v>
      </c>
      <c r="E2479" s="79" t="s">
        <v>18247</v>
      </c>
      <c r="F2479" s="79"/>
    </row>
    <row r="2480" spans="1:10" ht="14.1" customHeight="1" x14ac:dyDescent="0.25">
      <c r="A2480" s="2" t="s">
        <v>6643</v>
      </c>
      <c r="B2480" s="80" t="s">
        <v>1046</v>
      </c>
      <c r="C2480" s="90">
        <v>43647</v>
      </c>
      <c r="D2480" s="2" t="s">
        <v>59</v>
      </c>
      <c r="E2480" s="92" t="s">
        <v>20066</v>
      </c>
      <c r="F2480" s="93"/>
    </row>
    <row r="2481" spans="1:6" ht="14.1" customHeight="1" x14ac:dyDescent="0.25">
      <c r="A2481" s="1"/>
      <c r="B2481" s="80" t="s">
        <v>10788</v>
      </c>
      <c r="C2481" s="91">
        <f>IF(C2480="","",IF(AND(MONTH(C2480)&gt;=1,MONTH(C2480)&lt;=3),1,IF(AND(MONTH(C2480)&gt;=4,MONTH(C2480)&lt;=6),2,IF(AND(MONTH(C2480)&gt;=7,MONTH(C2480)&lt;=9),3,4))))</f>
        <v>3</v>
      </c>
      <c r="D2481" s="1"/>
      <c r="E2481" s="92" t="s">
        <v>14822</v>
      </c>
      <c r="F2481" s="93"/>
    </row>
    <row r="2482" spans="1:6" ht="14.1" customHeight="1" x14ac:dyDescent="0.25">
      <c r="A2482" s="1"/>
      <c r="B2482" s="80" t="s">
        <v>13758</v>
      </c>
      <c r="C2482" s="90">
        <v>43738</v>
      </c>
      <c r="D2482" s="1"/>
      <c r="E2482" s="92" t="s">
        <v>18636</v>
      </c>
      <c r="F2482" s="93"/>
    </row>
    <row r="2483" spans="1:6" ht="14.1" customHeight="1" x14ac:dyDescent="0.25">
      <c r="A2483" s="1"/>
      <c r="B2483" s="80" t="s">
        <v>10788</v>
      </c>
      <c r="C2483" s="91">
        <f>IF(C2482="","",IF(AND(MONTH(C2482)&gt;=1,MONTH(C2482)&lt;=3),1,IF(AND(MONTH(C2482)&gt;=4,MONTH(C2482)&lt;=6),2,IF(AND(MONTH(C2482)&gt;=7,MONTH(C2482)&lt;=9),3,4))))</f>
        <v>3</v>
      </c>
      <c r="D2483" s="1"/>
      <c r="E2483" s="92" t="s">
        <v>15990</v>
      </c>
      <c r="F2483" s="93"/>
    </row>
    <row r="2485" spans="1:6" ht="14.1" customHeight="1" x14ac:dyDescent="0.25">
      <c r="A2485" s="85" t="s">
        <v>15474</v>
      </c>
      <c r="B2485" s="85" t="s">
        <v>5027</v>
      </c>
      <c r="C2485" s="85" t="s">
        <v>17461</v>
      </c>
      <c r="D2485" s="85" t="s">
        <v>3935</v>
      </c>
      <c r="E2485" s="85" t="s">
        <v>10722</v>
      </c>
      <c r="F2485" s="85" t="s">
        <v>18237</v>
      </c>
    </row>
    <row r="2486" spans="1:6" ht="14.1" customHeight="1" x14ac:dyDescent="0.25">
      <c r="A2486" s="94" t="s">
        <v>16538</v>
      </c>
      <c r="B2486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2486" s="95" t="str">
        <f>IFERROR(VLOOKUP("UD",'Informacion '!P:Q,2,FALSE),"")</f>
        <v>Unidad</v>
      </c>
      <c r="D2486" s="94">
        <v>1950</v>
      </c>
      <c r="E2486" s="84">
        <v>59</v>
      </c>
      <c r="F2486" s="83">
        <f t="shared" ref="F2486:F2517" ca="1" si="109">INDIRECT(ADDRESS(ROW(),COLUMN()-2,4))*INDIRECT(ADDRESS(ROW(),COLUMN()-1,4))</f>
        <v>115050</v>
      </c>
    </row>
    <row r="2487" spans="1:6" ht="14.1" customHeight="1" x14ac:dyDescent="0.25">
      <c r="A2487" s="94" t="s">
        <v>19722</v>
      </c>
      <c r="B2487" s="82" t="str">
        <f ca="1">IFERROR(INDEX(UNSPSCDes,MATCH(INDIRECT(ADDRESS(ROW(),COLUMN()-1,4)),UNSPSCCode,0)),IF(INDIRECT(ADDRESS(ROW(),COLUMN()-1,4))="10151502","Semillas o plántulas de zanahoria",""))</f>
        <v>Semillas o plántulas de zanahoria</v>
      </c>
      <c r="C2487" s="95" t="str">
        <f>IFERROR(VLOOKUP("UD",'Informacion '!P:Q,2,FALSE),"")</f>
        <v>Unidad</v>
      </c>
      <c r="D2487" s="94">
        <v>220</v>
      </c>
      <c r="E2487" s="84">
        <v>27</v>
      </c>
      <c r="F2487" s="83">
        <f t="shared" ca="1" si="109"/>
        <v>5940</v>
      </c>
    </row>
    <row r="2488" spans="1:6" ht="14.1" customHeight="1" x14ac:dyDescent="0.25">
      <c r="A2488" s="94" t="s">
        <v>3653</v>
      </c>
      <c r="B2488" s="82" t="str">
        <f ca="1">IFERROR(INDEX(UNSPSCDes,MATCH(INDIRECT(ADDRESS(ROW(),COLUMN()-1,4)),UNSPSCCode,0)),IF(INDIRECT(ADDRESS(ROW(),COLUMN()-1,4))="50201706","Café",""))</f>
        <v>Café</v>
      </c>
      <c r="C2488" s="95" t="str">
        <f>IFERROR(VLOOKUP("UD",'Informacion '!P:Q,2,FALSE),"")</f>
        <v>Unidad</v>
      </c>
      <c r="D2488" s="94">
        <v>660</v>
      </c>
      <c r="E2488" s="84">
        <v>223</v>
      </c>
      <c r="F2488" s="83">
        <f t="shared" ca="1" si="109"/>
        <v>147180</v>
      </c>
    </row>
    <row r="2489" spans="1:6" ht="14.1" customHeight="1" x14ac:dyDescent="0.25">
      <c r="A2489" s="94" t="s">
        <v>878</v>
      </c>
      <c r="B2489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489" s="95" t="str">
        <f>IFERROR(VLOOKUP("UD",'Informacion '!P:Q,2,FALSE),"")</f>
        <v>Unidad</v>
      </c>
      <c r="D2489" s="94">
        <v>26</v>
      </c>
      <c r="E2489" s="84">
        <v>125</v>
      </c>
      <c r="F2489" s="83">
        <f t="shared" ca="1" si="109"/>
        <v>3250</v>
      </c>
    </row>
    <row r="2490" spans="1:6" ht="14.1" customHeight="1" x14ac:dyDescent="0.25">
      <c r="A2490" s="94" t="s">
        <v>878</v>
      </c>
      <c r="B2490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490" s="95" t="str">
        <f>IFERROR(VLOOKUP("UD",'Informacion '!P:Q,2,FALSE),"")</f>
        <v>Unidad</v>
      </c>
      <c r="D2490" s="94">
        <v>26</v>
      </c>
      <c r="E2490" s="84">
        <v>139</v>
      </c>
      <c r="F2490" s="83">
        <f t="shared" ca="1" si="109"/>
        <v>3614</v>
      </c>
    </row>
    <row r="2491" spans="1:6" ht="14.1" customHeight="1" x14ac:dyDescent="0.25">
      <c r="A2491" s="94" t="s">
        <v>878</v>
      </c>
      <c r="B2491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491" s="95" t="str">
        <f>IFERROR(VLOOKUP("UD",'Informacion '!P:Q,2,FALSE),"")</f>
        <v>Unidad</v>
      </c>
      <c r="D2491" s="94">
        <v>26</v>
      </c>
      <c r="E2491" s="84">
        <v>125</v>
      </c>
      <c r="F2491" s="83">
        <f t="shared" ca="1" si="109"/>
        <v>3250</v>
      </c>
    </row>
    <row r="2492" spans="1:6" ht="14.1" customHeight="1" x14ac:dyDescent="0.25">
      <c r="A2492" s="94" t="s">
        <v>878</v>
      </c>
      <c r="B2492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492" s="95" t="str">
        <f>IFERROR(VLOOKUP("UD",'Informacion '!P:Q,2,FALSE),"")</f>
        <v>Unidad</v>
      </c>
      <c r="D2492" s="94">
        <v>15</v>
      </c>
      <c r="E2492" s="84">
        <v>205</v>
      </c>
      <c r="F2492" s="83">
        <f t="shared" ca="1" si="109"/>
        <v>3075</v>
      </c>
    </row>
    <row r="2493" spans="1:6" ht="14.1" customHeight="1" x14ac:dyDescent="0.25">
      <c r="A2493" s="94" t="s">
        <v>16446</v>
      </c>
      <c r="B2493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2493" s="95" t="str">
        <f>IFERROR(VLOOKUP("UD",'Informacion '!P:Q,2,FALSE),"")</f>
        <v>Unidad</v>
      </c>
      <c r="D2493" s="94">
        <v>26</v>
      </c>
      <c r="E2493" s="84">
        <v>330</v>
      </c>
      <c r="F2493" s="83">
        <f t="shared" ca="1" si="109"/>
        <v>8580</v>
      </c>
    </row>
    <row r="2494" spans="1:6" ht="14.1" customHeight="1" x14ac:dyDescent="0.25">
      <c r="A2494" s="94" t="s">
        <v>16446</v>
      </c>
      <c r="B2494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2494" s="95" t="str">
        <f>IFERROR(VLOOKUP("UD",'Informacion '!P:Q,2,FALSE),"")</f>
        <v>Unidad</v>
      </c>
      <c r="D2494" s="94">
        <v>7</v>
      </c>
      <c r="E2494" s="84">
        <v>1240</v>
      </c>
      <c r="F2494" s="83">
        <f t="shared" ca="1" si="109"/>
        <v>8680</v>
      </c>
    </row>
    <row r="2495" spans="1:6" ht="14.1" customHeight="1" x14ac:dyDescent="0.25">
      <c r="A2495" s="94" t="s">
        <v>7435</v>
      </c>
      <c r="B2495" s="82" t="str">
        <f ca="1">IFERROR(INDEX(UNSPSCDes,MATCH(INDIRECT(ADDRESS(ROW(),COLUMN()-1,4)),UNSPSCCode,0)),IF(INDIRECT(ADDRESS(ROW(),COLUMN()-1,4))="50192403","Miel",""))</f>
        <v>Miel</v>
      </c>
      <c r="C2495" s="95" t="str">
        <f>IFERROR(VLOOKUP("UD",'Informacion '!P:Q,2,FALSE),"")</f>
        <v>Unidad</v>
      </c>
      <c r="D2495" s="94">
        <v>7</v>
      </c>
      <c r="E2495" s="84">
        <v>450</v>
      </c>
      <c r="F2495" s="83">
        <f t="shared" ca="1" si="109"/>
        <v>3150</v>
      </c>
    </row>
    <row r="2496" spans="1:6" ht="14.1" customHeight="1" x14ac:dyDescent="0.25">
      <c r="A2496" s="94" t="s">
        <v>4462</v>
      </c>
      <c r="B2496" s="82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2496" s="95" t="str">
        <f>IFERROR(VLOOKUP("UD",'Informacion '!P:Q,2,FALSE),"")</f>
        <v>Unidad</v>
      </c>
      <c r="D2496" s="94">
        <v>60</v>
      </c>
      <c r="E2496" s="84">
        <v>376.8</v>
      </c>
      <c r="F2496" s="83">
        <f t="shared" ca="1" si="109"/>
        <v>22608</v>
      </c>
    </row>
    <row r="2497" spans="1:6" ht="14.1" customHeight="1" x14ac:dyDescent="0.25">
      <c r="A2497" s="94" t="s">
        <v>4416</v>
      </c>
      <c r="B2497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497" s="95" t="str">
        <f>IFERROR(VLOOKUP("UD",'Informacion '!P:Q,2,FALSE),"")</f>
        <v>Unidad</v>
      </c>
      <c r="D2497" s="94">
        <v>15</v>
      </c>
      <c r="E2497" s="84">
        <v>2250</v>
      </c>
      <c r="F2497" s="83">
        <f t="shared" ca="1" si="109"/>
        <v>33750</v>
      </c>
    </row>
    <row r="2498" spans="1:6" ht="14.1" customHeight="1" x14ac:dyDescent="0.25">
      <c r="A2498" s="94" t="s">
        <v>4416</v>
      </c>
      <c r="B2498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498" s="95" t="str">
        <f>IFERROR(VLOOKUP("UD",'Informacion '!P:Q,2,FALSE),"")</f>
        <v>Unidad</v>
      </c>
      <c r="D2498" s="94">
        <v>20</v>
      </c>
      <c r="E2498" s="84">
        <v>2090</v>
      </c>
      <c r="F2498" s="83">
        <f t="shared" ca="1" si="109"/>
        <v>41800</v>
      </c>
    </row>
    <row r="2499" spans="1:6" ht="14.1" customHeight="1" x14ac:dyDescent="0.25">
      <c r="A2499" s="94" t="s">
        <v>4416</v>
      </c>
      <c r="B2499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499" s="95" t="str">
        <f>IFERROR(VLOOKUP("UD",'Informacion '!P:Q,2,FALSE),"")</f>
        <v>Unidad</v>
      </c>
      <c r="D2499" s="94">
        <v>7</v>
      </c>
      <c r="E2499" s="84">
        <v>290</v>
      </c>
      <c r="F2499" s="83">
        <f t="shared" ca="1" si="109"/>
        <v>2030</v>
      </c>
    </row>
    <row r="2500" spans="1:6" ht="14.1" customHeight="1" x14ac:dyDescent="0.25">
      <c r="A2500" s="94" t="s">
        <v>14762</v>
      </c>
      <c r="B2500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500" s="95" t="str">
        <f>IFERROR(VLOOKUP("UD",'Informacion '!P:Q,2,FALSE),"")</f>
        <v>Unidad</v>
      </c>
      <c r="D2500" s="94">
        <v>3</v>
      </c>
      <c r="E2500" s="84">
        <v>186</v>
      </c>
      <c r="F2500" s="83">
        <f t="shared" ca="1" si="109"/>
        <v>558</v>
      </c>
    </row>
    <row r="2501" spans="1:6" ht="14.1" customHeight="1" x14ac:dyDescent="0.25">
      <c r="A2501" s="94" t="s">
        <v>14762</v>
      </c>
      <c r="B2501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501" s="95" t="str">
        <f>IFERROR(VLOOKUP("UD",'Informacion '!P:Q,2,FALSE),"")</f>
        <v>Unidad</v>
      </c>
      <c r="D2501" s="94">
        <v>55</v>
      </c>
      <c r="E2501" s="84">
        <v>442</v>
      </c>
      <c r="F2501" s="83">
        <f t="shared" ca="1" si="109"/>
        <v>24310</v>
      </c>
    </row>
    <row r="2502" spans="1:6" ht="14.1" customHeight="1" x14ac:dyDescent="0.25">
      <c r="A2502" s="94" t="s">
        <v>14762</v>
      </c>
      <c r="B2502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502" s="95" t="str">
        <f>IFERROR(VLOOKUP("UD",'Informacion '!P:Q,2,FALSE),"")</f>
        <v>Unidad</v>
      </c>
      <c r="D2502" s="94">
        <v>14</v>
      </c>
      <c r="E2502" s="84">
        <v>232</v>
      </c>
      <c r="F2502" s="83">
        <f t="shared" ca="1" si="109"/>
        <v>3248</v>
      </c>
    </row>
    <row r="2503" spans="1:6" ht="14.1" customHeight="1" x14ac:dyDescent="0.25">
      <c r="A2503" s="94" t="s">
        <v>15229</v>
      </c>
      <c r="B2503" s="82" t="str">
        <f ca="1">IFERROR(INDEX(UNSPSCDes,MATCH(INDIRECT(ADDRESS(ROW(),COLUMN()-1,4)),UNSPSCCode,0)),IF(INDIRECT(ADDRESS(ROW(),COLUMN()-1,4))="50171707","Vinagres",""))</f>
        <v>Vinagres</v>
      </c>
      <c r="C2503" s="95" t="str">
        <f>IFERROR(VLOOKUP("UD",'Informacion '!P:Q,2,FALSE),"")</f>
        <v>Unidad</v>
      </c>
      <c r="D2503" s="94">
        <v>55</v>
      </c>
      <c r="E2503" s="84">
        <v>110</v>
      </c>
      <c r="F2503" s="83">
        <f t="shared" ca="1" si="109"/>
        <v>6050</v>
      </c>
    </row>
    <row r="2504" spans="1:6" ht="14.1" customHeight="1" x14ac:dyDescent="0.25">
      <c r="A2504" s="94" t="s">
        <v>15707</v>
      </c>
      <c r="B2504" s="82" t="str">
        <f ca="1">IFERROR(INDEX(UNSPSCDes,MATCH(INDIRECT(ADDRESS(ROW(),COLUMN()-1,4)),UNSPSCCode,0)),IF(INDIRECT(ADDRESS(ROW(),COLUMN()-1,4))="50171550","Especies o extractos",""))</f>
        <v>Especies o extractos</v>
      </c>
      <c r="C2504" s="95" t="str">
        <f>IFERROR(VLOOKUP("UD",'Informacion '!P:Q,2,FALSE),"")</f>
        <v>Unidad</v>
      </c>
      <c r="D2504" s="94">
        <v>7</v>
      </c>
      <c r="E2504" s="84">
        <v>195</v>
      </c>
      <c r="F2504" s="83">
        <f t="shared" ca="1" si="109"/>
        <v>1365</v>
      </c>
    </row>
    <row r="2505" spans="1:6" ht="14.1" customHeight="1" x14ac:dyDescent="0.25">
      <c r="A2505" s="94" t="s">
        <v>293</v>
      </c>
      <c r="B2505" s="82" t="str">
        <f ca="1">IFERROR(INDEX(UNSPSCDes,MATCH(INDIRECT(ADDRESS(ROW(),COLUMN()-1,4)),UNSPSCCode,0)),IF(INDIRECT(ADDRESS(ROW(),COLUMN()-1,4))="10151801","Semillas o plántulas de pimienta",""))</f>
        <v>Semillas o plántulas de pimienta</v>
      </c>
      <c r="C2505" s="95" t="str">
        <f>IFERROR(VLOOKUP("UD",'Informacion '!P:Q,2,FALSE),"")</f>
        <v>Unidad</v>
      </c>
      <c r="D2505" s="94">
        <v>15</v>
      </c>
      <c r="E2505" s="84">
        <v>216</v>
      </c>
      <c r="F2505" s="83">
        <f t="shared" ca="1" si="109"/>
        <v>3240</v>
      </c>
    </row>
    <row r="2506" spans="1:6" ht="14.1" customHeight="1" x14ac:dyDescent="0.25">
      <c r="A2506" s="94" t="s">
        <v>9111</v>
      </c>
      <c r="B2506" s="82" t="str">
        <f ca="1">IFERROR(INDEX(UNSPSCDes,MATCH(INDIRECT(ADDRESS(ROW(),COLUMN()-1,4)),UNSPSCCode,0)),IF(INDIRECT(ADDRESS(ROW(),COLUMN()-1,4))="50171551","Sal de mesa",""))</f>
        <v>Sal de mesa</v>
      </c>
      <c r="C2506" s="95" t="str">
        <f>IFERROR(VLOOKUP("UD",'Informacion '!P:Q,2,FALSE),"")</f>
        <v>Unidad</v>
      </c>
      <c r="D2506" s="94">
        <v>265</v>
      </c>
      <c r="E2506" s="84">
        <v>18</v>
      </c>
      <c r="F2506" s="83">
        <f t="shared" ca="1" si="109"/>
        <v>4770</v>
      </c>
    </row>
    <row r="2507" spans="1:6" ht="14.1" customHeight="1" x14ac:dyDescent="0.25">
      <c r="A2507" s="94" t="s">
        <v>355</v>
      </c>
      <c r="B2507" s="82" t="str">
        <f ca="1">IFERROR(INDEX(UNSPSCDes,MATCH(INDIRECT(ADDRESS(ROW(),COLUMN()-1,4)),UNSPSCCode,0)),IF(INDIRECT(ADDRESS(ROW(),COLUMN()-1,4))="50171902","Condimento",""))</f>
        <v>Condimento</v>
      </c>
      <c r="C2507" s="95" t="str">
        <f>IFERROR(VLOOKUP("UD",'Informacion '!P:Q,2,FALSE),"")</f>
        <v>Unidad</v>
      </c>
      <c r="D2507" s="94">
        <v>3</v>
      </c>
      <c r="E2507" s="84">
        <v>118</v>
      </c>
      <c r="F2507" s="83">
        <f t="shared" ca="1" si="109"/>
        <v>354</v>
      </c>
    </row>
    <row r="2508" spans="1:6" ht="14.1" customHeight="1" x14ac:dyDescent="0.25">
      <c r="A2508" s="94" t="s">
        <v>2768</v>
      </c>
      <c r="B2508" s="82" t="str">
        <f ca="1">IFERROR(INDEX(UNSPSCDes,MATCH(INDIRECT(ADDRESS(ROW(),COLUMN()-1,4)),UNSPSCCode,0)),IF(INDIRECT(ADDRESS(ROW(),COLUMN()-1,4))="51131903","Gelatina",""))</f>
        <v>Gelatina</v>
      </c>
      <c r="C2508" s="95" t="str">
        <f>IFERROR(VLOOKUP("UD",'Informacion '!P:Q,2,FALSE),"")</f>
        <v>Unidad</v>
      </c>
      <c r="D2508" s="94">
        <v>400</v>
      </c>
      <c r="E2508" s="84">
        <v>35</v>
      </c>
      <c r="F2508" s="83">
        <f t="shared" ca="1" si="109"/>
        <v>14000</v>
      </c>
    </row>
    <row r="2509" spans="1:6" ht="14.1" customHeight="1" x14ac:dyDescent="0.25">
      <c r="A2509" s="94" t="s">
        <v>8569</v>
      </c>
      <c r="B2509" s="82" t="str">
        <f ca="1">IFERROR(INDEX(UNSPSCDes,MATCH(INDIRECT(ADDRESS(ROW(),COLUMN()-1,4)),UNSPSCCode,0)),IF(INDIRECT(ADDRESS(ROW(),COLUMN()-1,4))="50221001","Granos",""))</f>
        <v>Granos</v>
      </c>
      <c r="C2509" s="95" t="str">
        <f>IFERROR(VLOOKUP("UD",'Informacion '!P:Q,2,FALSE),"")</f>
        <v>Unidad</v>
      </c>
      <c r="D2509" s="94">
        <v>635</v>
      </c>
      <c r="E2509" s="84">
        <v>55</v>
      </c>
      <c r="F2509" s="83">
        <f t="shared" ca="1" si="109"/>
        <v>34925</v>
      </c>
    </row>
    <row r="2510" spans="1:6" ht="14.1" customHeight="1" x14ac:dyDescent="0.25">
      <c r="A2510" s="94" t="s">
        <v>13917</v>
      </c>
      <c r="B2510" s="82" t="str">
        <f ca="1">IFERROR(INDEX(UNSPSCDes,MATCH(INDIRECT(ADDRESS(ROW(),COLUMN()-1,4)),UNSPSCCode,0)),IF(INDIRECT(ADDRESS(ROW(),COLUMN()-1,4))="10151609","Semillas de maíz",""))</f>
        <v>Semillas de maíz</v>
      </c>
      <c r="C2510" s="95" t="str">
        <f>IFERROR(VLOOKUP("UD",'Informacion '!P:Q,2,FALSE),"")</f>
        <v>Unidad</v>
      </c>
      <c r="D2510" s="94">
        <v>635</v>
      </c>
      <c r="E2510" s="84">
        <v>58.95</v>
      </c>
      <c r="F2510" s="83">
        <f t="shared" ca="1" si="109"/>
        <v>37433.25</v>
      </c>
    </row>
    <row r="2511" spans="1:6" ht="14.1" customHeight="1" x14ac:dyDescent="0.25">
      <c r="A2511" s="94" t="s">
        <v>3585</v>
      </c>
      <c r="B2511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511" s="95" t="str">
        <f>IFERROR(VLOOKUP("UD",'Informacion '!P:Q,2,FALSE),"")</f>
        <v>Unidad</v>
      </c>
      <c r="D2511" s="94">
        <v>135</v>
      </c>
      <c r="E2511" s="84">
        <v>27.5</v>
      </c>
      <c r="F2511" s="83">
        <f t="shared" ca="1" si="109"/>
        <v>3712.5</v>
      </c>
    </row>
    <row r="2512" spans="1:6" ht="14.1" customHeight="1" x14ac:dyDescent="0.25">
      <c r="A2512" s="94" t="s">
        <v>3585</v>
      </c>
      <c r="B2512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512" s="95" t="str">
        <f>IFERROR(VLOOKUP("UD",'Informacion '!P:Q,2,FALSE),"")</f>
        <v>Unidad</v>
      </c>
      <c r="D2512" s="94">
        <v>160</v>
      </c>
      <c r="E2512" s="84">
        <v>28</v>
      </c>
      <c r="F2512" s="83">
        <f t="shared" ca="1" si="109"/>
        <v>4480</v>
      </c>
    </row>
    <row r="2513" spans="1:6" ht="14.1" customHeight="1" x14ac:dyDescent="0.25">
      <c r="A2513" s="94" t="s">
        <v>3585</v>
      </c>
      <c r="B2513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513" s="95" t="str">
        <f>IFERROR(VLOOKUP("UD",'Informacion '!P:Q,2,FALSE),"")</f>
        <v>Unidad</v>
      </c>
      <c r="D2513" s="94">
        <v>100</v>
      </c>
      <c r="E2513" s="84">
        <v>28.95</v>
      </c>
      <c r="F2513" s="83">
        <f t="shared" ca="1" si="109"/>
        <v>2895</v>
      </c>
    </row>
    <row r="2514" spans="1:6" ht="14.1" customHeight="1" x14ac:dyDescent="0.25">
      <c r="A2514" s="94" t="s">
        <v>3585</v>
      </c>
      <c r="B2514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514" s="95" t="str">
        <f>IFERROR(VLOOKUP("UD",'Informacion '!P:Q,2,FALSE),"")</f>
        <v>Unidad</v>
      </c>
      <c r="D2514" s="94">
        <v>70</v>
      </c>
      <c r="E2514" s="84">
        <v>48.95</v>
      </c>
      <c r="F2514" s="83">
        <f t="shared" ca="1" si="109"/>
        <v>3426.5</v>
      </c>
    </row>
    <row r="2515" spans="1:6" ht="14.1" customHeight="1" x14ac:dyDescent="0.25">
      <c r="A2515" s="94" t="s">
        <v>19765</v>
      </c>
      <c r="B2515" s="82" t="str">
        <f ca="1">IFERROR(INDEX(UNSPSCDes,MATCH(INDIRECT(ADDRESS(ROW(),COLUMN()-1,4)),UNSPSCCode,0)),IF(INDIRECT(ADDRESS(ROW(),COLUMN()-1,4))="83101510","Agua fría",""))</f>
        <v>Agua fría</v>
      </c>
      <c r="C2515" s="95" t="str">
        <f>IFERROR(VLOOKUP("UD",'Informacion '!P:Q,2,FALSE),"")</f>
        <v>Unidad</v>
      </c>
      <c r="D2515" s="94">
        <v>660</v>
      </c>
      <c r="E2515" s="84">
        <v>150</v>
      </c>
      <c r="F2515" s="83">
        <f t="shared" ca="1" si="109"/>
        <v>99000</v>
      </c>
    </row>
    <row r="2516" spans="1:6" ht="14.1" customHeight="1" x14ac:dyDescent="0.25">
      <c r="A2516" s="94" t="s">
        <v>2377</v>
      </c>
      <c r="B2516" s="82" t="str">
        <f ca="1">IFERROR(INDEX(UNSPSCDes,MATCH(INDIRECT(ADDRESS(ROW(),COLUMN()-1,4)),UNSPSCCode,0)),IF(INDIRECT(ADDRESS(ROW(),COLUMN()-1,4))="50201712","Bebidas de té",""))</f>
        <v>Bebidas de té</v>
      </c>
      <c r="C2516" s="95" t="str">
        <f>IFERROR(VLOOKUP("UD",'Informacion '!P:Q,2,FALSE),"")</f>
        <v>Unidad</v>
      </c>
      <c r="D2516" s="94">
        <v>95</v>
      </c>
      <c r="E2516" s="84">
        <v>425</v>
      </c>
      <c r="F2516" s="83">
        <f t="shared" ca="1" si="109"/>
        <v>40375</v>
      </c>
    </row>
    <row r="2517" spans="1:6" ht="14.1" customHeight="1" x14ac:dyDescent="0.25">
      <c r="A2517" s="94" t="s">
        <v>2377</v>
      </c>
      <c r="B2517" s="82" t="str">
        <f ca="1">IFERROR(INDEX(UNSPSCDes,MATCH(INDIRECT(ADDRESS(ROW(),COLUMN()-1,4)),UNSPSCCode,0)),IF(INDIRECT(ADDRESS(ROW(),COLUMN()-1,4))="50201712","Bebidas de té",""))</f>
        <v>Bebidas de té</v>
      </c>
      <c r="C2517" s="95" t="str">
        <f>IFERROR(VLOOKUP("UD",'Informacion '!P:Q,2,FALSE),"")</f>
        <v>Unidad</v>
      </c>
      <c r="D2517" s="94">
        <v>6</v>
      </c>
      <c r="E2517" s="84">
        <v>170</v>
      </c>
      <c r="F2517" s="83">
        <f t="shared" ca="1" si="109"/>
        <v>1020</v>
      </c>
    </row>
    <row r="2518" spans="1:6" ht="14.1" customHeight="1" x14ac:dyDescent="0.25">
      <c r="A2518" s="94" t="s">
        <v>2377</v>
      </c>
      <c r="B2518" s="82" t="str">
        <f ca="1">IFERROR(INDEX(UNSPSCDes,MATCH(INDIRECT(ADDRESS(ROW(),COLUMN()-1,4)),UNSPSCCode,0)),IF(INDIRECT(ADDRESS(ROW(),COLUMN()-1,4))="50201712","Bebidas de té",""))</f>
        <v>Bebidas de té</v>
      </c>
      <c r="C2518" s="95" t="str">
        <f>IFERROR(VLOOKUP("UD",'Informacion '!P:Q,2,FALSE),"")</f>
        <v>Unidad</v>
      </c>
      <c r="D2518" s="94">
        <v>6</v>
      </c>
      <c r="E2518" s="84">
        <v>170</v>
      </c>
      <c r="F2518" s="83">
        <f t="shared" ref="F2518:F2535" ca="1" si="110">INDIRECT(ADDRESS(ROW(),COLUMN()-2,4))*INDIRECT(ADDRESS(ROW(),COLUMN()-1,4))</f>
        <v>1020</v>
      </c>
    </row>
    <row r="2519" spans="1:6" ht="14.1" customHeight="1" x14ac:dyDescent="0.25">
      <c r="A2519" s="94" t="s">
        <v>5452</v>
      </c>
      <c r="B2519" s="82" t="str">
        <f ca="1">IFERROR(INDEX(UNSPSCDes,MATCH(INDIRECT(ADDRESS(ROW(),COLUMN()-1,4)),UNSPSCCode,0)),IF(INDIRECT(ADDRESS(ROW(),COLUMN()-1,4))="10151701","Semillas o plántulas de arroz",""))</f>
        <v>Semillas o plántulas de arroz</v>
      </c>
      <c r="C2519" s="95" t="str">
        <f>IFERROR(VLOOKUP("UD",'Informacion '!P:Q,2,FALSE),"")</f>
        <v>Unidad</v>
      </c>
      <c r="D2519" s="94">
        <v>26</v>
      </c>
      <c r="E2519" s="84">
        <v>720</v>
      </c>
      <c r="F2519" s="83">
        <f t="shared" ca="1" si="110"/>
        <v>18720</v>
      </c>
    </row>
    <row r="2520" spans="1:6" ht="14.1" customHeight="1" x14ac:dyDescent="0.25">
      <c r="A2520" s="94" t="s">
        <v>5452</v>
      </c>
      <c r="B2520" s="82" t="str">
        <f ca="1">IFERROR(INDEX(UNSPSCDes,MATCH(INDIRECT(ADDRESS(ROW(),COLUMN()-1,4)),UNSPSCCode,0)),IF(INDIRECT(ADDRESS(ROW(),COLUMN()-1,4))="10151701","Semillas o plántulas de arroz",""))</f>
        <v>Semillas o plántulas de arroz</v>
      </c>
      <c r="C2520" s="95" t="str">
        <f>IFERROR(VLOOKUP("UD",'Informacion '!P:Q,2,FALSE),"")</f>
        <v>Unidad</v>
      </c>
      <c r="D2520" s="94">
        <v>26</v>
      </c>
      <c r="E2520" s="84">
        <v>2250</v>
      </c>
      <c r="F2520" s="83">
        <f t="shared" ca="1" si="110"/>
        <v>58500</v>
      </c>
    </row>
    <row r="2521" spans="1:6" ht="14.1" customHeight="1" x14ac:dyDescent="0.25">
      <c r="A2521" s="94" t="s">
        <v>8569</v>
      </c>
      <c r="B2521" s="82" t="str">
        <f t="shared" ref="B2521:B2527" ca="1" si="111">IFERROR(INDEX(UNSPSCDes,MATCH(INDIRECT(ADDRESS(ROW(),COLUMN()-1,4)),UNSPSCCode,0)),IF(INDIRECT(ADDRESS(ROW(),COLUMN()-1,4))="50221001","Granos",""))</f>
        <v>Granos</v>
      </c>
      <c r="C2521" s="95" t="str">
        <f>IFERROR(VLOOKUP("LB",'Informacion '!P:Q,2,FALSE),"")</f>
        <v>Libra </v>
      </c>
      <c r="D2521" s="94">
        <v>140</v>
      </c>
      <c r="E2521" s="84">
        <v>66</v>
      </c>
      <c r="F2521" s="83">
        <f t="shared" ca="1" si="110"/>
        <v>9240</v>
      </c>
    </row>
    <row r="2522" spans="1:6" ht="14.1" customHeight="1" x14ac:dyDescent="0.25">
      <c r="A2522" s="94" t="s">
        <v>8569</v>
      </c>
      <c r="B2522" s="82" t="str">
        <f t="shared" ca="1" si="111"/>
        <v>Granos</v>
      </c>
      <c r="C2522" s="95" t="str">
        <f>IFERROR(VLOOKUP("UD",'Informacion '!P:Q,2,FALSE),"")</f>
        <v>Unidad</v>
      </c>
      <c r="D2522" s="94">
        <v>330</v>
      </c>
      <c r="E2522" s="84">
        <v>45</v>
      </c>
      <c r="F2522" s="83">
        <f t="shared" ca="1" si="110"/>
        <v>14850</v>
      </c>
    </row>
    <row r="2523" spans="1:6" ht="14.1" customHeight="1" x14ac:dyDescent="0.25">
      <c r="A2523" s="94" t="s">
        <v>8569</v>
      </c>
      <c r="B2523" s="82" t="str">
        <f t="shared" ca="1" si="111"/>
        <v>Granos</v>
      </c>
      <c r="C2523" s="95" t="str">
        <f>IFERROR(VLOOKUP("UD",'Informacion '!P:Q,2,FALSE),"")</f>
        <v>Unidad</v>
      </c>
      <c r="D2523" s="94">
        <v>330</v>
      </c>
      <c r="E2523" s="84">
        <v>45</v>
      </c>
      <c r="F2523" s="83">
        <f t="shared" ca="1" si="110"/>
        <v>14850</v>
      </c>
    </row>
    <row r="2524" spans="1:6" ht="14.1" customHeight="1" x14ac:dyDescent="0.25">
      <c r="A2524" s="94" t="s">
        <v>8569</v>
      </c>
      <c r="B2524" s="82" t="str">
        <f t="shared" ca="1" si="111"/>
        <v>Granos</v>
      </c>
      <c r="C2524" s="95" t="str">
        <f>IFERROR(VLOOKUP("LB",'Informacion '!P:Q,2,FALSE),"")</f>
        <v>Libra </v>
      </c>
      <c r="D2524" s="94">
        <v>330</v>
      </c>
      <c r="E2524" s="84">
        <v>86</v>
      </c>
      <c r="F2524" s="83">
        <f t="shared" ca="1" si="110"/>
        <v>28380</v>
      </c>
    </row>
    <row r="2525" spans="1:6" ht="14.1" customHeight="1" x14ac:dyDescent="0.25">
      <c r="A2525" s="94" t="s">
        <v>8569</v>
      </c>
      <c r="B2525" s="82" t="str">
        <f t="shared" ca="1" si="111"/>
        <v>Granos</v>
      </c>
      <c r="C2525" s="95" t="str">
        <f>IFERROR(VLOOKUP("LB",'Informacion '!P:Q,2,FALSE),"")</f>
        <v>Libra </v>
      </c>
      <c r="D2525" s="94">
        <v>330</v>
      </c>
      <c r="E2525" s="84">
        <v>82</v>
      </c>
      <c r="F2525" s="83">
        <f t="shared" ca="1" si="110"/>
        <v>27060</v>
      </c>
    </row>
    <row r="2526" spans="1:6" ht="14.1" customHeight="1" x14ac:dyDescent="0.25">
      <c r="A2526" s="94" t="s">
        <v>8569</v>
      </c>
      <c r="B2526" s="82" t="str">
        <f t="shared" ca="1" si="111"/>
        <v>Granos</v>
      </c>
      <c r="C2526" s="95" t="str">
        <f>IFERROR(VLOOKUP("LB",'Informacion '!P:Q,2,FALSE),"")</f>
        <v>Libra </v>
      </c>
      <c r="D2526" s="94">
        <v>330</v>
      </c>
      <c r="E2526" s="84">
        <v>84</v>
      </c>
      <c r="F2526" s="83">
        <f t="shared" ca="1" si="110"/>
        <v>27720</v>
      </c>
    </row>
    <row r="2527" spans="1:6" ht="14.1" customHeight="1" x14ac:dyDescent="0.25">
      <c r="A2527" s="94" t="s">
        <v>8569</v>
      </c>
      <c r="B2527" s="82" t="str">
        <f t="shared" ca="1" si="111"/>
        <v>Granos</v>
      </c>
      <c r="C2527" s="95" t="str">
        <f>IFERROR(VLOOKUP("LB",'Informacion '!P:Q,2,FALSE),"")</f>
        <v>Libra </v>
      </c>
      <c r="D2527" s="94">
        <v>330</v>
      </c>
      <c r="E2527" s="84">
        <v>80</v>
      </c>
      <c r="F2527" s="83">
        <f t="shared" ca="1" si="110"/>
        <v>26400</v>
      </c>
    </row>
    <row r="2528" spans="1:6" ht="14.1" customHeight="1" x14ac:dyDescent="0.25">
      <c r="A2528" s="94" t="s">
        <v>12752</v>
      </c>
      <c r="B2528" s="82" t="str">
        <f ca="1">IFERROR(INDEX(UNSPSCDes,MATCH(INDIRECT(ADDRESS(ROW(),COLUMN()-1,4)),UNSPSCCode,0)),IF(INDIRECT(ADDRESS(ROW(),COLUMN()-1,4))="50221002","Harina",""))</f>
        <v>Harina</v>
      </c>
      <c r="C2528" s="95" t="str">
        <f>IFERROR(VLOOKUP("UD",'Informacion '!P:Q,2,FALSE),"")</f>
        <v>Unidad</v>
      </c>
      <c r="D2528" s="94">
        <v>18</v>
      </c>
      <c r="E2528" s="84">
        <v>155</v>
      </c>
      <c r="F2528" s="83">
        <f t="shared" ca="1" si="110"/>
        <v>2790</v>
      </c>
    </row>
    <row r="2529" spans="1:10" ht="14.1" customHeight="1" x14ac:dyDescent="0.25">
      <c r="A2529" s="94" t="s">
        <v>12752</v>
      </c>
      <c r="B2529" s="82" t="str">
        <f ca="1">IFERROR(INDEX(UNSPSCDes,MATCH(INDIRECT(ADDRESS(ROW(),COLUMN()-1,4)),UNSPSCCode,0)),IF(INDIRECT(ADDRESS(ROW(),COLUMN()-1,4))="50221002","Harina",""))</f>
        <v>Harina</v>
      </c>
      <c r="C2529" s="95" t="str">
        <f>IFERROR(VLOOKUP("UD",'Informacion '!P:Q,2,FALSE),"")</f>
        <v>Unidad</v>
      </c>
      <c r="D2529" s="94">
        <v>320</v>
      </c>
      <c r="E2529" s="84">
        <v>15</v>
      </c>
      <c r="F2529" s="83">
        <f t="shared" ca="1" si="110"/>
        <v>4800</v>
      </c>
    </row>
    <row r="2530" spans="1:10" ht="14.1" customHeight="1" x14ac:dyDescent="0.25">
      <c r="A2530" s="94" t="s">
        <v>12752</v>
      </c>
      <c r="B2530" s="82" t="str">
        <f ca="1">IFERROR(INDEX(UNSPSCDes,MATCH(INDIRECT(ADDRESS(ROW(),COLUMN()-1,4)),UNSPSCCode,0)),IF(INDIRECT(ADDRESS(ROW(),COLUMN()-1,4))="50221002","Harina",""))</f>
        <v>Harina</v>
      </c>
      <c r="C2530" s="95" t="str">
        <f>IFERROR(VLOOKUP("UD",'Informacion '!P:Q,2,FALSE),"")</f>
        <v>Unidad</v>
      </c>
      <c r="D2530" s="94">
        <v>320</v>
      </c>
      <c r="E2530" s="84">
        <v>79</v>
      </c>
      <c r="F2530" s="83">
        <f t="shared" ca="1" si="110"/>
        <v>25280</v>
      </c>
    </row>
    <row r="2531" spans="1:10" ht="14.1" customHeight="1" x14ac:dyDescent="0.25">
      <c r="A2531" s="94" t="s">
        <v>12752</v>
      </c>
      <c r="B2531" s="82" t="str">
        <f ca="1">IFERROR(INDEX(UNSPSCDes,MATCH(INDIRECT(ADDRESS(ROW(),COLUMN()-1,4)),UNSPSCCode,0)),IF(INDIRECT(ADDRESS(ROW(),COLUMN()-1,4))="50221002","Harina",""))</f>
        <v>Harina</v>
      </c>
      <c r="C2531" s="95" t="str">
        <f>IFERROR(VLOOKUP("UD",'Informacion '!P:Q,2,FALSE),"")</f>
        <v>Unidad</v>
      </c>
      <c r="D2531" s="94">
        <v>240</v>
      </c>
      <c r="E2531" s="84">
        <v>74</v>
      </c>
      <c r="F2531" s="83">
        <f t="shared" ca="1" si="110"/>
        <v>17760</v>
      </c>
    </row>
    <row r="2532" spans="1:10" ht="14.1" customHeight="1" x14ac:dyDescent="0.25">
      <c r="A2532" s="94" t="s">
        <v>15807</v>
      </c>
      <c r="B2532" s="82" t="str">
        <f ca="1">IFERROR(INDEX(UNSPSCDes,MATCH(INDIRECT(ADDRESS(ROW(),COLUMN()-1,4)),UNSPSCCode,0)),IF(INDIRECT(ADDRESS(ROW(),COLUMN()-1,4))="10151605","Semillas de avena",""))</f>
        <v>Semillas de avena</v>
      </c>
      <c r="C2532" s="95" t="str">
        <f>IFERROR(VLOOKUP("UD",'Informacion '!P:Q,2,FALSE),"")</f>
        <v>Unidad</v>
      </c>
      <c r="D2532" s="94">
        <v>70</v>
      </c>
      <c r="E2532" s="84">
        <v>75</v>
      </c>
      <c r="F2532" s="83">
        <f t="shared" ca="1" si="110"/>
        <v>5250</v>
      </c>
    </row>
    <row r="2533" spans="1:10" ht="14.1" customHeight="1" x14ac:dyDescent="0.25">
      <c r="A2533" s="94" t="s">
        <v>15807</v>
      </c>
      <c r="B2533" s="82" t="str">
        <f ca="1">IFERROR(INDEX(UNSPSCDes,MATCH(INDIRECT(ADDRESS(ROW(),COLUMN()-1,4)),UNSPSCCode,0)),IF(INDIRECT(ADDRESS(ROW(),COLUMN()-1,4))="10151605","Semillas de avena",""))</f>
        <v>Semillas de avena</v>
      </c>
      <c r="C2533" s="95" t="str">
        <f>IFERROR(VLOOKUP("UD",'Informacion '!P:Q,2,FALSE),"")</f>
        <v>Unidad</v>
      </c>
      <c r="D2533" s="94">
        <v>26</v>
      </c>
      <c r="E2533" s="84">
        <v>100</v>
      </c>
      <c r="F2533" s="83">
        <f t="shared" ca="1" si="110"/>
        <v>2600</v>
      </c>
    </row>
    <row r="2534" spans="1:10" ht="14.1" customHeight="1" x14ac:dyDescent="0.25">
      <c r="A2534" s="94" t="s">
        <v>15807</v>
      </c>
      <c r="B2534" s="82" t="str">
        <f ca="1">IFERROR(INDEX(UNSPSCDes,MATCH(INDIRECT(ADDRESS(ROW(),COLUMN()-1,4)),UNSPSCCode,0)),IF(INDIRECT(ADDRESS(ROW(),COLUMN()-1,4))="10151605","Semillas de avena",""))</f>
        <v>Semillas de avena</v>
      </c>
      <c r="C2534" s="95" t="str">
        <f>IFERROR(VLOOKUP("UD",'Informacion '!P:Q,2,FALSE),"")</f>
        <v>Unidad</v>
      </c>
      <c r="D2534" s="94">
        <v>265</v>
      </c>
      <c r="E2534" s="84">
        <v>59</v>
      </c>
      <c r="F2534" s="83">
        <f t="shared" ca="1" si="110"/>
        <v>15635</v>
      </c>
    </row>
    <row r="2535" spans="1:10" ht="14.1" customHeight="1" x14ac:dyDescent="0.25">
      <c r="A2535" s="94" t="s">
        <v>15807</v>
      </c>
      <c r="B2535" s="82" t="str">
        <f ca="1">IFERROR(INDEX(UNSPSCDes,MATCH(INDIRECT(ADDRESS(ROW(),COLUMN()-1,4)),UNSPSCCode,0)),IF(INDIRECT(ADDRESS(ROW(),COLUMN()-1,4))="10151605","Semillas de avena",""))</f>
        <v>Semillas de avena</v>
      </c>
      <c r="C2535" s="95" t="str">
        <f>IFERROR(VLOOKUP("UD",'Informacion '!P:Q,2,FALSE),"")</f>
        <v>Unidad</v>
      </c>
      <c r="D2535" s="94">
        <v>140</v>
      </c>
      <c r="E2535" s="84">
        <v>55</v>
      </c>
      <c r="F2535" s="83">
        <f t="shared" ca="1" si="110"/>
        <v>7700</v>
      </c>
    </row>
    <row r="2536" spans="1:10" ht="14.1" customHeight="1" x14ac:dyDescent="0.25">
      <c r="E2536" s="96" t="s">
        <v>7213</v>
      </c>
      <c r="F2536" s="87">
        <f ca="1">SUM(Table95[MONTO TOTAL ESTIMADO])</f>
        <v>995674.25</v>
      </c>
      <c r="H2536" s="39" t="str">
        <f>C2479</f>
        <v>Bienes</v>
      </c>
      <c r="I2536" s="39" t="str">
        <f>E2479</f>
        <v>No</v>
      </c>
      <c r="J2536" s="39" t="str">
        <f>D2479</f>
        <v>Comparacion de Precios</v>
      </c>
    </row>
    <row r="2538" spans="1:10" ht="33.950000000000003" customHeight="1" x14ac:dyDescent="0.25">
      <c r="A2538" s="77" t="s">
        <v>17233</v>
      </c>
      <c r="B2538" s="77" t="s">
        <v>4237</v>
      </c>
      <c r="C2538" s="77" t="s">
        <v>4743</v>
      </c>
      <c r="D2538" s="77" t="s">
        <v>9891</v>
      </c>
      <c r="E2538" s="77" t="s">
        <v>3089</v>
      </c>
      <c r="F2538" s="77" t="s">
        <v>18141</v>
      </c>
    </row>
    <row r="2539" spans="1:10" ht="14.1" customHeight="1" x14ac:dyDescent="0.25">
      <c r="A2539" s="79" t="s">
        <v>14554</v>
      </c>
      <c r="B2539" s="79" t="s">
        <v>13505</v>
      </c>
      <c r="C2539" s="79" t="s">
        <v>17215</v>
      </c>
      <c r="D2539" s="79" t="s">
        <v>15249</v>
      </c>
      <c r="E2539" s="79" t="s">
        <v>18247</v>
      </c>
      <c r="F2539" s="79"/>
    </row>
    <row r="2540" spans="1:10" ht="14.1" customHeight="1" x14ac:dyDescent="0.25">
      <c r="A2540" s="2" t="s">
        <v>6643</v>
      </c>
      <c r="B2540" s="80" t="s">
        <v>1046</v>
      </c>
      <c r="C2540" s="90">
        <v>43739</v>
      </c>
      <c r="D2540" s="2" t="s">
        <v>59</v>
      </c>
      <c r="E2540" s="92" t="s">
        <v>20066</v>
      </c>
      <c r="F2540" s="93"/>
    </row>
    <row r="2541" spans="1:10" ht="14.1" customHeight="1" x14ac:dyDescent="0.25">
      <c r="A2541" s="1"/>
      <c r="B2541" s="80" t="s">
        <v>10788</v>
      </c>
      <c r="C2541" s="91">
        <f>IF(C2540="","",IF(AND(MONTH(C2540)&gt;=1,MONTH(C2540)&lt;=3),1,IF(AND(MONTH(C2540)&gt;=4,MONTH(C2540)&lt;=6),2,IF(AND(MONTH(C2540)&gt;=7,MONTH(C2540)&lt;=9),3,4))))</f>
        <v>4</v>
      </c>
      <c r="D2541" s="1"/>
      <c r="E2541" s="92" t="s">
        <v>14822</v>
      </c>
      <c r="F2541" s="93"/>
    </row>
    <row r="2542" spans="1:10" ht="14.1" customHeight="1" x14ac:dyDescent="0.25">
      <c r="A2542" s="1"/>
      <c r="B2542" s="80" t="s">
        <v>13758</v>
      </c>
      <c r="C2542" s="90">
        <v>43829</v>
      </c>
      <c r="D2542" s="1"/>
      <c r="E2542" s="92" t="s">
        <v>18636</v>
      </c>
      <c r="F2542" s="93"/>
    </row>
    <row r="2543" spans="1:10" ht="14.1" customHeight="1" x14ac:dyDescent="0.25">
      <c r="A2543" s="1"/>
      <c r="B2543" s="80" t="s">
        <v>10788</v>
      </c>
      <c r="C2543" s="91">
        <f>IF(C2542="","",IF(AND(MONTH(C2542)&gt;=1,MONTH(C2542)&lt;=3),1,IF(AND(MONTH(C2542)&gt;=4,MONTH(C2542)&lt;=6),2,IF(AND(MONTH(C2542)&gt;=7,MONTH(C2542)&lt;=9),3,4))))</f>
        <v>4</v>
      </c>
      <c r="D2543" s="1"/>
      <c r="E2543" s="92" t="s">
        <v>15990</v>
      </c>
      <c r="F2543" s="93"/>
    </row>
    <row r="2545" spans="1:6" ht="14.1" customHeight="1" x14ac:dyDescent="0.25">
      <c r="A2545" s="85" t="s">
        <v>15474</v>
      </c>
      <c r="B2545" s="85" t="s">
        <v>5027</v>
      </c>
      <c r="C2545" s="85" t="s">
        <v>17461</v>
      </c>
      <c r="D2545" s="85" t="s">
        <v>3935</v>
      </c>
      <c r="E2545" s="85" t="s">
        <v>10722</v>
      </c>
      <c r="F2545" s="85" t="s">
        <v>18237</v>
      </c>
    </row>
    <row r="2546" spans="1:6" ht="14.1" customHeight="1" x14ac:dyDescent="0.25">
      <c r="A2546" s="94" t="s">
        <v>16538</v>
      </c>
      <c r="B2546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2546" s="95" t="str">
        <f>IFERROR(VLOOKUP("UD",'Informacion '!P:Q,2,FALSE),"")</f>
        <v>Unidad</v>
      </c>
      <c r="D2546" s="94">
        <v>1950</v>
      </c>
      <c r="E2546" s="84">
        <v>59</v>
      </c>
      <c r="F2546" s="83">
        <f t="shared" ref="F2546:F2577" ca="1" si="112">INDIRECT(ADDRESS(ROW(),COLUMN()-2,4))*INDIRECT(ADDRESS(ROW(),COLUMN()-1,4))</f>
        <v>115050</v>
      </c>
    </row>
    <row r="2547" spans="1:6" ht="14.1" customHeight="1" x14ac:dyDescent="0.25">
      <c r="A2547" s="94" t="s">
        <v>19722</v>
      </c>
      <c r="B2547" s="82" t="str">
        <f ca="1">IFERROR(INDEX(UNSPSCDes,MATCH(INDIRECT(ADDRESS(ROW(),COLUMN()-1,4)),UNSPSCCode,0)),IF(INDIRECT(ADDRESS(ROW(),COLUMN()-1,4))="10151502","Semillas o plántulas de zanahoria",""))</f>
        <v>Semillas o plántulas de zanahoria</v>
      </c>
      <c r="C2547" s="95" t="str">
        <f>IFERROR(VLOOKUP("UD",'Informacion '!P:Q,2,FALSE),"")</f>
        <v>Unidad</v>
      </c>
      <c r="D2547" s="94">
        <v>220</v>
      </c>
      <c r="E2547" s="84">
        <v>27</v>
      </c>
      <c r="F2547" s="83">
        <f t="shared" ca="1" si="112"/>
        <v>5940</v>
      </c>
    </row>
    <row r="2548" spans="1:6" ht="14.1" customHeight="1" x14ac:dyDescent="0.25">
      <c r="A2548" s="94" t="s">
        <v>3653</v>
      </c>
      <c r="B2548" s="82" t="str">
        <f ca="1">IFERROR(INDEX(UNSPSCDes,MATCH(INDIRECT(ADDRESS(ROW(),COLUMN()-1,4)),UNSPSCCode,0)),IF(INDIRECT(ADDRESS(ROW(),COLUMN()-1,4))="50201706","Café",""))</f>
        <v>Café</v>
      </c>
      <c r="C2548" s="95" t="str">
        <f>IFERROR(VLOOKUP("PAQ",'Informacion '!P:Q,2,FALSE),"")</f>
        <v>Paquete</v>
      </c>
      <c r="D2548" s="94">
        <v>660</v>
      </c>
      <c r="E2548" s="84">
        <v>223</v>
      </c>
      <c r="F2548" s="83">
        <f t="shared" ca="1" si="112"/>
        <v>147180</v>
      </c>
    </row>
    <row r="2549" spans="1:6" ht="14.1" customHeight="1" x14ac:dyDescent="0.25">
      <c r="A2549" s="94" t="s">
        <v>878</v>
      </c>
      <c r="B2549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549" s="95" t="str">
        <f>IFERROR(VLOOKUP("UD",'Informacion '!P:Q,2,FALSE),"")</f>
        <v>Unidad</v>
      </c>
      <c r="D2549" s="94">
        <v>26</v>
      </c>
      <c r="E2549" s="84">
        <v>125</v>
      </c>
      <c r="F2549" s="83">
        <f t="shared" ca="1" si="112"/>
        <v>3250</v>
      </c>
    </row>
    <row r="2550" spans="1:6" ht="14.1" customHeight="1" x14ac:dyDescent="0.25">
      <c r="A2550" s="94" t="s">
        <v>878</v>
      </c>
      <c r="B2550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550" s="95" t="str">
        <f>IFERROR(VLOOKUP("UD",'Informacion '!P:Q,2,FALSE),"")</f>
        <v>Unidad</v>
      </c>
      <c r="D2550" s="94">
        <v>26</v>
      </c>
      <c r="E2550" s="84">
        <v>139</v>
      </c>
      <c r="F2550" s="83">
        <f t="shared" ca="1" si="112"/>
        <v>3614</v>
      </c>
    </row>
    <row r="2551" spans="1:6" ht="14.1" customHeight="1" x14ac:dyDescent="0.25">
      <c r="A2551" s="94" t="s">
        <v>878</v>
      </c>
      <c r="B2551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551" s="95" t="str">
        <f>IFERROR(VLOOKUP("UD",'Informacion '!P:Q,2,FALSE),"")</f>
        <v>Unidad</v>
      </c>
      <c r="D2551" s="94">
        <v>26</v>
      </c>
      <c r="E2551" s="84">
        <v>125</v>
      </c>
      <c r="F2551" s="83">
        <f t="shared" ca="1" si="112"/>
        <v>3250</v>
      </c>
    </row>
    <row r="2552" spans="1:6" ht="14.1" customHeight="1" x14ac:dyDescent="0.25">
      <c r="A2552" s="94" t="s">
        <v>878</v>
      </c>
      <c r="B2552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2552" s="95" t="str">
        <f>IFERROR(VLOOKUP("UD",'Informacion '!P:Q,2,FALSE),"")</f>
        <v>Unidad</v>
      </c>
      <c r="D2552" s="94">
        <v>15</v>
      </c>
      <c r="E2552" s="84">
        <v>205</v>
      </c>
      <c r="F2552" s="83">
        <f t="shared" ca="1" si="112"/>
        <v>3075</v>
      </c>
    </row>
    <row r="2553" spans="1:6" ht="14.1" customHeight="1" x14ac:dyDescent="0.25">
      <c r="A2553" s="94" t="s">
        <v>16446</v>
      </c>
      <c r="B2553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2553" s="95" t="str">
        <f>IFERROR(VLOOKUP("UD",'Informacion '!P:Q,2,FALSE),"")</f>
        <v>Unidad</v>
      </c>
      <c r="D2553" s="94">
        <v>26</v>
      </c>
      <c r="E2553" s="84">
        <v>330</v>
      </c>
      <c r="F2553" s="83">
        <f t="shared" ca="1" si="112"/>
        <v>8580</v>
      </c>
    </row>
    <row r="2554" spans="1:6" ht="14.1" customHeight="1" x14ac:dyDescent="0.25">
      <c r="A2554" s="94" t="s">
        <v>16446</v>
      </c>
      <c r="B2554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2554" s="95" t="str">
        <f>IFERROR(VLOOKUP("UD",'Informacion '!P:Q,2,FALSE),"")</f>
        <v>Unidad</v>
      </c>
      <c r="D2554" s="94">
        <v>7</v>
      </c>
      <c r="E2554" s="84">
        <v>1240</v>
      </c>
      <c r="F2554" s="83">
        <f t="shared" ca="1" si="112"/>
        <v>8680</v>
      </c>
    </row>
    <row r="2555" spans="1:6" ht="14.1" customHeight="1" x14ac:dyDescent="0.25">
      <c r="A2555" s="94" t="s">
        <v>7435</v>
      </c>
      <c r="B2555" s="82" t="str">
        <f ca="1">IFERROR(INDEX(UNSPSCDes,MATCH(INDIRECT(ADDRESS(ROW(),COLUMN()-1,4)),UNSPSCCode,0)),IF(INDIRECT(ADDRESS(ROW(),COLUMN()-1,4))="50192403","Miel",""))</f>
        <v>Miel</v>
      </c>
      <c r="C2555" s="95" t="str">
        <f>IFERROR(VLOOKUP("UD",'Informacion '!P:Q,2,FALSE),"")</f>
        <v>Unidad</v>
      </c>
      <c r="D2555" s="94">
        <v>7</v>
      </c>
      <c r="E2555" s="84">
        <v>450</v>
      </c>
      <c r="F2555" s="83">
        <f t="shared" ca="1" si="112"/>
        <v>3150</v>
      </c>
    </row>
    <row r="2556" spans="1:6" ht="14.1" customHeight="1" x14ac:dyDescent="0.25">
      <c r="A2556" s="94" t="s">
        <v>4462</v>
      </c>
      <c r="B2556" s="82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2556" s="95" t="str">
        <f>IFERROR(VLOOKUP("UD",'Informacion '!P:Q,2,FALSE),"")</f>
        <v>Unidad</v>
      </c>
      <c r="D2556" s="94">
        <v>60</v>
      </c>
      <c r="E2556" s="84">
        <v>376.8</v>
      </c>
      <c r="F2556" s="83">
        <f t="shared" ca="1" si="112"/>
        <v>22608</v>
      </c>
    </row>
    <row r="2557" spans="1:6" ht="14.1" customHeight="1" x14ac:dyDescent="0.25">
      <c r="A2557" s="94" t="s">
        <v>4416</v>
      </c>
      <c r="B2557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557" s="95" t="str">
        <f>IFERROR(VLOOKUP("UD",'Informacion '!P:Q,2,FALSE),"")</f>
        <v>Unidad</v>
      </c>
      <c r="D2557" s="94">
        <v>15</v>
      </c>
      <c r="E2557" s="84">
        <v>2250</v>
      </c>
      <c r="F2557" s="83">
        <f t="shared" ca="1" si="112"/>
        <v>33750</v>
      </c>
    </row>
    <row r="2558" spans="1:6" ht="14.1" customHeight="1" x14ac:dyDescent="0.25">
      <c r="A2558" s="94" t="s">
        <v>4416</v>
      </c>
      <c r="B2558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558" s="95" t="str">
        <f>IFERROR(VLOOKUP("UD",'Informacion '!P:Q,2,FALSE),"")</f>
        <v>Unidad</v>
      </c>
      <c r="D2558" s="94">
        <v>20</v>
      </c>
      <c r="E2558" s="84">
        <v>2090</v>
      </c>
      <c r="F2558" s="83">
        <f t="shared" ca="1" si="112"/>
        <v>41800</v>
      </c>
    </row>
    <row r="2559" spans="1:6" ht="14.1" customHeight="1" x14ac:dyDescent="0.25">
      <c r="A2559" s="94" t="s">
        <v>4416</v>
      </c>
      <c r="B2559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2559" s="95" t="str">
        <f>IFERROR(VLOOKUP("UD",'Informacion '!P:Q,2,FALSE),"")</f>
        <v>Unidad</v>
      </c>
      <c r="D2559" s="94">
        <v>7</v>
      </c>
      <c r="E2559" s="84">
        <v>290</v>
      </c>
      <c r="F2559" s="83">
        <f t="shared" ca="1" si="112"/>
        <v>2030</v>
      </c>
    </row>
    <row r="2560" spans="1:6" ht="14.1" customHeight="1" x14ac:dyDescent="0.25">
      <c r="A2560" s="94" t="s">
        <v>14762</v>
      </c>
      <c r="B2560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560" s="95" t="str">
        <f>IFERROR(VLOOKUP("UD",'Informacion '!P:Q,2,FALSE),"")</f>
        <v>Unidad</v>
      </c>
      <c r="D2560" s="94">
        <v>3</v>
      </c>
      <c r="E2560" s="84">
        <v>186</v>
      </c>
      <c r="F2560" s="83">
        <f t="shared" ca="1" si="112"/>
        <v>558</v>
      </c>
    </row>
    <row r="2561" spans="1:6" ht="14.1" customHeight="1" x14ac:dyDescent="0.25">
      <c r="A2561" s="94" t="s">
        <v>14762</v>
      </c>
      <c r="B2561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561" s="95" t="str">
        <f>IFERROR(VLOOKUP("UD",'Informacion '!P:Q,2,FALSE),"")</f>
        <v>Unidad</v>
      </c>
      <c r="D2561" s="94">
        <v>55</v>
      </c>
      <c r="E2561" s="84">
        <v>442</v>
      </c>
      <c r="F2561" s="83">
        <f t="shared" ca="1" si="112"/>
        <v>24310</v>
      </c>
    </row>
    <row r="2562" spans="1:6" ht="14.1" customHeight="1" x14ac:dyDescent="0.25">
      <c r="A2562" s="94" t="s">
        <v>14762</v>
      </c>
      <c r="B2562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2562" s="95" t="str">
        <f>IFERROR(VLOOKUP("UD",'Informacion '!P:Q,2,FALSE),"")</f>
        <v>Unidad</v>
      </c>
      <c r="D2562" s="94">
        <v>14</v>
      </c>
      <c r="E2562" s="84">
        <v>232</v>
      </c>
      <c r="F2562" s="83">
        <f t="shared" ca="1" si="112"/>
        <v>3248</v>
      </c>
    </row>
    <row r="2563" spans="1:6" ht="14.1" customHeight="1" x14ac:dyDescent="0.25">
      <c r="A2563" s="94" t="s">
        <v>15229</v>
      </c>
      <c r="B2563" s="82" t="str">
        <f ca="1">IFERROR(INDEX(UNSPSCDes,MATCH(INDIRECT(ADDRESS(ROW(),COLUMN()-1,4)),UNSPSCCode,0)),IF(INDIRECT(ADDRESS(ROW(),COLUMN()-1,4))="50171707","Vinagres",""))</f>
        <v>Vinagres</v>
      </c>
      <c r="C2563" s="95" t="str">
        <f>IFERROR(VLOOKUP("UD",'Informacion '!P:Q,2,FALSE),"")</f>
        <v>Unidad</v>
      </c>
      <c r="D2563" s="94">
        <v>55</v>
      </c>
      <c r="E2563" s="84">
        <v>110</v>
      </c>
      <c r="F2563" s="83">
        <f t="shared" ca="1" si="112"/>
        <v>6050</v>
      </c>
    </row>
    <row r="2564" spans="1:6" ht="14.1" customHeight="1" x14ac:dyDescent="0.25">
      <c r="A2564" s="94" t="s">
        <v>15707</v>
      </c>
      <c r="B2564" s="82" t="str">
        <f ca="1">IFERROR(INDEX(UNSPSCDes,MATCH(INDIRECT(ADDRESS(ROW(),COLUMN()-1,4)),UNSPSCCode,0)),IF(INDIRECT(ADDRESS(ROW(),COLUMN()-1,4))="50171550","Especies o extractos",""))</f>
        <v>Especies o extractos</v>
      </c>
      <c r="C2564" s="95" t="str">
        <f>IFERROR(VLOOKUP("UD",'Informacion '!P:Q,2,FALSE),"")</f>
        <v>Unidad</v>
      </c>
      <c r="D2564" s="94">
        <v>7</v>
      </c>
      <c r="E2564" s="84">
        <v>195</v>
      </c>
      <c r="F2564" s="83">
        <f t="shared" ca="1" si="112"/>
        <v>1365</v>
      </c>
    </row>
    <row r="2565" spans="1:6" ht="14.1" customHeight="1" x14ac:dyDescent="0.25">
      <c r="A2565" s="94" t="s">
        <v>293</v>
      </c>
      <c r="B2565" s="82" t="str">
        <f ca="1">IFERROR(INDEX(UNSPSCDes,MATCH(INDIRECT(ADDRESS(ROW(),COLUMN()-1,4)),UNSPSCCode,0)),IF(INDIRECT(ADDRESS(ROW(),COLUMN()-1,4))="10151801","Semillas o plántulas de pimienta",""))</f>
        <v>Semillas o plántulas de pimienta</v>
      </c>
      <c r="C2565" s="95" t="str">
        <f>IFERROR(VLOOKUP("UD",'Informacion '!P:Q,2,FALSE),"")</f>
        <v>Unidad</v>
      </c>
      <c r="D2565" s="94">
        <v>15</v>
      </c>
      <c r="E2565" s="84">
        <v>216</v>
      </c>
      <c r="F2565" s="83">
        <f t="shared" ca="1" si="112"/>
        <v>3240</v>
      </c>
    </row>
    <row r="2566" spans="1:6" ht="14.1" customHeight="1" x14ac:dyDescent="0.25">
      <c r="A2566" s="94" t="s">
        <v>9111</v>
      </c>
      <c r="B2566" s="82" t="str">
        <f ca="1">IFERROR(INDEX(UNSPSCDes,MATCH(INDIRECT(ADDRESS(ROW(),COLUMN()-1,4)),UNSPSCCode,0)),IF(INDIRECT(ADDRESS(ROW(),COLUMN()-1,4))="50171551","Sal de mesa",""))</f>
        <v>Sal de mesa</v>
      </c>
      <c r="C2566" s="95" t="str">
        <f>IFERROR(VLOOKUP("UD",'Informacion '!P:Q,2,FALSE),"")</f>
        <v>Unidad</v>
      </c>
      <c r="D2566" s="94">
        <v>265</v>
      </c>
      <c r="E2566" s="84">
        <v>18</v>
      </c>
      <c r="F2566" s="83">
        <f t="shared" ca="1" si="112"/>
        <v>4770</v>
      </c>
    </row>
    <row r="2567" spans="1:6" ht="14.1" customHeight="1" x14ac:dyDescent="0.25">
      <c r="A2567" s="94" t="s">
        <v>355</v>
      </c>
      <c r="B2567" s="82" t="str">
        <f ca="1">IFERROR(INDEX(UNSPSCDes,MATCH(INDIRECT(ADDRESS(ROW(),COLUMN()-1,4)),UNSPSCCode,0)),IF(INDIRECT(ADDRESS(ROW(),COLUMN()-1,4))="50171902","Condimento",""))</f>
        <v>Condimento</v>
      </c>
      <c r="C2567" s="95" t="str">
        <f>IFERROR(VLOOKUP("UD",'Informacion '!P:Q,2,FALSE),"")</f>
        <v>Unidad</v>
      </c>
      <c r="D2567" s="94">
        <v>3</v>
      </c>
      <c r="E2567" s="84">
        <v>118</v>
      </c>
      <c r="F2567" s="83">
        <f t="shared" ca="1" si="112"/>
        <v>354</v>
      </c>
    </row>
    <row r="2568" spans="1:6" ht="14.1" customHeight="1" x14ac:dyDescent="0.25">
      <c r="A2568" s="94" t="s">
        <v>2768</v>
      </c>
      <c r="B2568" s="82" t="str">
        <f ca="1">IFERROR(INDEX(UNSPSCDes,MATCH(INDIRECT(ADDRESS(ROW(),COLUMN()-1,4)),UNSPSCCode,0)),IF(INDIRECT(ADDRESS(ROW(),COLUMN()-1,4))="51131903","Gelatina",""))</f>
        <v>Gelatina</v>
      </c>
      <c r="C2568" s="95" t="str">
        <f>IFERROR(VLOOKUP("UD",'Informacion '!P:Q,2,FALSE),"")</f>
        <v>Unidad</v>
      </c>
      <c r="D2568" s="94">
        <v>400</v>
      </c>
      <c r="E2568" s="84">
        <v>35</v>
      </c>
      <c r="F2568" s="83">
        <f t="shared" ca="1" si="112"/>
        <v>14000</v>
      </c>
    </row>
    <row r="2569" spans="1:6" ht="14.1" customHeight="1" x14ac:dyDescent="0.25">
      <c r="A2569" s="94" t="s">
        <v>8569</v>
      </c>
      <c r="B2569" s="82" t="str">
        <f ca="1">IFERROR(INDEX(UNSPSCDes,MATCH(INDIRECT(ADDRESS(ROW(),COLUMN()-1,4)),UNSPSCCode,0)),IF(INDIRECT(ADDRESS(ROW(),COLUMN()-1,4))="50221001","Granos",""))</f>
        <v>Granos</v>
      </c>
      <c r="C2569" s="95" t="str">
        <f>IFERROR(VLOOKUP("UD",'Informacion '!P:Q,2,FALSE),"")</f>
        <v>Unidad</v>
      </c>
      <c r="D2569" s="94">
        <v>635</v>
      </c>
      <c r="E2569" s="84">
        <v>55</v>
      </c>
      <c r="F2569" s="83">
        <f t="shared" ca="1" si="112"/>
        <v>34925</v>
      </c>
    </row>
    <row r="2570" spans="1:6" ht="14.1" customHeight="1" x14ac:dyDescent="0.25">
      <c r="A2570" s="94" t="s">
        <v>13917</v>
      </c>
      <c r="B2570" s="82" t="str">
        <f ca="1">IFERROR(INDEX(UNSPSCDes,MATCH(INDIRECT(ADDRESS(ROW(),COLUMN()-1,4)),UNSPSCCode,0)),IF(INDIRECT(ADDRESS(ROW(),COLUMN()-1,4))="10151609","Semillas de maíz",""))</f>
        <v>Semillas de maíz</v>
      </c>
      <c r="C2570" s="95" t="str">
        <f>IFERROR(VLOOKUP("UD",'Informacion '!P:Q,2,FALSE),"")</f>
        <v>Unidad</v>
      </c>
      <c r="D2570" s="94">
        <v>635</v>
      </c>
      <c r="E2570" s="84">
        <v>58.95</v>
      </c>
      <c r="F2570" s="83">
        <f t="shared" ca="1" si="112"/>
        <v>37433.25</v>
      </c>
    </row>
    <row r="2571" spans="1:6" ht="14.1" customHeight="1" x14ac:dyDescent="0.25">
      <c r="A2571" s="94" t="s">
        <v>3585</v>
      </c>
      <c r="B2571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571" s="95" t="str">
        <f>IFERROR(VLOOKUP("UD",'Informacion '!P:Q,2,FALSE),"")</f>
        <v>Unidad</v>
      </c>
      <c r="D2571" s="94">
        <v>135</v>
      </c>
      <c r="E2571" s="84">
        <v>27.5</v>
      </c>
      <c r="F2571" s="83">
        <f t="shared" ca="1" si="112"/>
        <v>3712.5</v>
      </c>
    </row>
    <row r="2572" spans="1:6" ht="14.1" customHeight="1" x14ac:dyDescent="0.25">
      <c r="A2572" s="94" t="s">
        <v>3585</v>
      </c>
      <c r="B2572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572" s="95" t="str">
        <f>IFERROR(VLOOKUP("UD",'Informacion '!P:Q,2,FALSE),"")</f>
        <v>Unidad</v>
      </c>
      <c r="D2572" s="94">
        <v>160</v>
      </c>
      <c r="E2572" s="84">
        <v>28</v>
      </c>
      <c r="F2572" s="83">
        <f t="shared" ca="1" si="112"/>
        <v>4480</v>
      </c>
    </row>
    <row r="2573" spans="1:6" ht="14.1" customHeight="1" x14ac:dyDescent="0.25">
      <c r="A2573" s="94" t="s">
        <v>3585</v>
      </c>
      <c r="B2573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573" s="95" t="str">
        <f>IFERROR(VLOOKUP("UD",'Informacion '!P:Q,2,FALSE),"")</f>
        <v>Unidad</v>
      </c>
      <c r="D2573" s="94">
        <v>100</v>
      </c>
      <c r="E2573" s="84">
        <v>28.95</v>
      </c>
      <c r="F2573" s="83">
        <f t="shared" ca="1" si="112"/>
        <v>2895</v>
      </c>
    </row>
    <row r="2574" spans="1:6" ht="14.1" customHeight="1" x14ac:dyDescent="0.25">
      <c r="A2574" s="94" t="s">
        <v>3585</v>
      </c>
      <c r="B2574" s="82" t="str">
        <f ca="1">IFERROR(INDEX(UNSPSCDes,MATCH(INDIRECT(ADDRESS(ROW(),COLUMN()-1,4)),UNSPSCCode,0)),IF(INDIRECT(ADDRESS(ROW(),COLUMN()-1,4))="50192703","Comidas combinadas de repisa",""))</f>
        <v>Comidas combinadas de repisa</v>
      </c>
      <c r="C2574" s="95" t="str">
        <f>IFERROR(VLOOKUP("UD",'Informacion '!P:Q,2,FALSE),"")</f>
        <v>Unidad</v>
      </c>
      <c r="D2574" s="94">
        <v>70</v>
      </c>
      <c r="E2574" s="84">
        <v>48.95</v>
      </c>
      <c r="F2574" s="83">
        <f t="shared" ca="1" si="112"/>
        <v>3426.5</v>
      </c>
    </row>
    <row r="2575" spans="1:6" ht="14.1" customHeight="1" x14ac:dyDescent="0.25">
      <c r="A2575" s="94" t="s">
        <v>19765</v>
      </c>
      <c r="B2575" s="82" t="str">
        <f ca="1">IFERROR(INDEX(UNSPSCDes,MATCH(INDIRECT(ADDRESS(ROW(),COLUMN()-1,4)),UNSPSCCode,0)),IF(INDIRECT(ADDRESS(ROW(),COLUMN()-1,4))="83101510","Agua fría",""))</f>
        <v>Agua fría</v>
      </c>
      <c r="C2575" s="95" t="str">
        <f>IFERROR(VLOOKUP("UD",'Informacion '!P:Q,2,FALSE),"")</f>
        <v>Unidad</v>
      </c>
      <c r="D2575" s="94">
        <v>660</v>
      </c>
      <c r="E2575" s="84">
        <v>150</v>
      </c>
      <c r="F2575" s="83">
        <f t="shared" ca="1" si="112"/>
        <v>99000</v>
      </c>
    </row>
    <row r="2576" spans="1:6" ht="14.1" customHeight="1" x14ac:dyDescent="0.25">
      <c r="A2576" s="94" t="s">
        <v>2377</v>
      </c>
      <c r="B2576" s="82" t="str">
        <f ca="1">IFERROR(INDEX(UNSPSCDes,MATCH(INDIRECT(ADDRESS(ROW(),COLUMN()-1,4)),UNSPSCCode,0)),IF(INDIRECT(ADDRESS(ROW(),COLUMN()-1,4))="50201712","Bebidas de té",""))</f>
        <v>Bebidas de té</v>
      </c>
      <c r="C2576" s="95" t="str">
        <f>IFERROR(VLOOKUP("UD",'Informacion '!P:Q,2,FALSE),"")</f>
        <v>Unidad</v>
      </c>
      <c r="D2576" s="94">
        <v>95</v>
      </c>
      <c r="E2576" s="84">
        <v>425</v>
      </c>
      <c r="F2576" s="83">
        <f t="shared" ca="1" si="112"/>
        <v>40375</v>
      </c>
    </row>
    <row r="2577" spans="1:6" ht="14.1" customHeight="1" x14ac:dyDescent="0.25">
      <c r="A2577" s="94" t="s">
        <v>2377</v>
      </c>
      <c r="B2577" s="82" t="str">
        <f ca="1">IFERROR(INDEX(UNSPSCDes,MATCH(INDIRECT(ADDRESS(ROW(),COLUMN()-1,4)),UNSPSCCode,0)),IF(INDIRECT(ADDRESS(ROW(),COLUMN()-1,4))="50201712","Bebidas de té",""))</f>
        <v>Bebidas de té</v>
      </c>
      <c r="C2577" s="95" t="str">
        <f>IFERROR(VLOOKUP("UD",'Informacion '!P:Q,2,FALSE),"")</f>
        <v>Unidad</v>
      </c>
      <c r="D2577" s="94">
        <v>6</v>
      </c>
      <c r="E2577" s="84">
        <v>170</v>
      </c>
      <c r="F2577" s="83">
        <f t="shared" ca="1" si="112"/>
        <v>1020</v>
      </c>
    </row>
    <row r="2578" spans="1:6" ht="14.1" customHeight="1" x14ac:dyDescent="0.25">
      <c r="A2578" s="94" t="s">
        <v>2377</v>
      </c>
      <c r="B2578" s="82" t="str">
        <f ca="1">IFERROR(INDEX(UNSPSCDes,MATCH(INDIRECT(ADDRESS(ROW(),COLUMN()-1,4)),UNSPSCCode,0)),IF(INDIRECT(ADDRESS(ROW(),COLUMN()-1,4))="50201712","Bebidas de té",""))</f>
        <v>Bebidas de té</v>
      </c>
      <c r="C2578" s="95" t="str">
        <f>IFERROR(VLOOKUP("UD",'Informacion '!P:Q,2,FALSE),"")</f>
        <v>Unidad</v>
      </c>
      <c r="D2578" s="94">
        <v>6</v>
      </c>
      <c r="E2578" s="84">
        <v>170</v>
      </c>
      <c r="F2578" s="83">
        <f t="shared" ref="F2578:F2595" ca="1" si="113">INDIRECT(ADDRESS(ROW(),COLUMN()-2,4))*INDIRECT(ADDRESS(ROW(),COLUMN()-1,4))</f>
        <v>1020</v>
      </c>
    </row>
    <row r="2579" spans="1:6" ht="14.1" customHeight="1" x14ac:dyDescent="0.25">
      <c r="A2579" s="94" t="s">
        <v>5452</v>
      </c>
      <c r="B2579" s="82" t="str">
        <f ca="1">IFERROR(INDEX(UNSPSCDes,MATCH(INDIRECT(ADDRESS(ROW(),COLUMN()-1,4)),UNSPSCCode,0)),IF(INDIRECT(ADDRESS(ROW(),COLUMN()-1,4))="10151701","Semillas o plántulas de arroz",""))</f>
        <v>Semillas o plántulas de arroz</v>
      </c>
      <c r="C2579" s="95" t="str">
        <f>IFERROR(VLOOKUP("UD",'Informacion '!P:Q,2,FALSE),"")</f>
        <v>Unidad</v>
      </c>
      <c r="D2579" s="94">
        <v>26</v>
      </c>
      <c r="E2579" s="84">
        <v>2250</v>
      </c>
      <c r="F2579" s="83">
        <f t="shared" ca="1" si="113"/>
        <v>58500</v>
      </c>
    </row>
    <row r="2580" spans="1:6" ht="14.1" customHeight="1" x14ac:dyDescent="0.25">
      <c r="A2580" s="94" t="s">
        <v>5452</v>
      </c>
      <c r="B2580" s="82" t="str">
        <f ca="1">IFERROR(INDEX(UNSPSCDes,MATCH(INDIRECT(ADDRESS(ROW(),COLUMN()-1,4)),UNSPSCCode,0)),IF(INDIRECT(ADDRESS(ROW(),COLUMN()-1,4))="10151701","Semillas o plántulas de arroz",""))</f>
        <v>Semillas o plántulas de arroz</v>
      </c>
      <c r="C2580" s="95" t="str">
        <f>IFERROR(VLOOKUP("UD",'Informacion '!P:Q,2,FALSE),"")</f>
        <v>Unidad</v>
      </c>
      <c r="D2580" s="94">
        <v>26</v>
      </c>
      <c r="E2580" s="84">
        <v>66</v>
      </c>
      <c r="F2580" s="83">
        <f t="shared" ca="1" si="113"/>
        <v>1716</v>
      </c>
    </row>
    <row r="2581" spans="1:6" ht="14.1" customHeight="1" x14ac:dyDescent="0.25">
      <c r="A2581" s="94" t="s">
        <v>8569</v>
      </c>
      <c r="B2581" s="82" t="str">
        <f t="shared" ref="B2581:B2587" ca="1" si="114">IFERROR(INDEX(UNSPSCDes,MATCH(INDIRECT(ADDRESS(ROW(),COLUMN()-1,4)),UNSPSCCode,0)),IF(INDIRECT(ADDRESS(ROW(),COLUMN()-1,4))="50221001","Granos",""))</f>
        <v>Granos</v>
      </c>
      <c r="C2581" s="95" t="str">
        <f>IFERROR(VLOOKUP("LB",'Informacion '!P:Q,2,FALSE),"")</f>
        <v>Libra </v>
      </c>
      <c r="D2581" s="94">
        <v>140</v>
      </c>
      <c r="E2581" s="84">
        <v>66</v>
      </c>
      <c r="F2581" s="83">
        <f t="shared" ca="1" si="113"/>
        <v>9240</v>
      </c>
    </row>
    <row r="2582" spans="1:6" ht="14.1" customHeight="1" x14ac:dyDescent="0.25">
      <c r="A2582" s="94" t="s">
        <v>8569</v>
      </c>
      <c r="B2582" s="82" t="str">
        <f t="shared" ca="1" si="114"/>
        <v>Granos</v>
      </c>
      <c r="C2582" s="95" t="str">
        <f>IFERROR(VLOOKUP("LB",'Informacion '!P:Q,2,FALSE),"")</f>
        <v>Libra </v>
      </c>
      <c r="D2582" s="94">
        <v>330</v>
      </c>
      <c r="E2582" s="84">
        <v>45</v>
      </c>
      <c r="F2582" s="83">
        <f t="shared" ca="1" si="113"/>
        <v>14850</v>
      </c>
    </row>
    <row r="2583" spans="1:6" ht="14.1" customHeight="1" x14ac:dyDescent="0.25">
      <c r="A2583" s="94" t="s">
        <v>8569</v>
      </c>
      <c r="B2583" s="82" t="str">
        <f t="shared" ca="1" si="114"/>
        <v>Granos</v>
      </c>
      <c r="C2583" s="95" t="str">
        <f>IFERROR(VLOOKUP("LB",'Informacion '!P:Q,2,FALSE),"")</f>
        <v>Libra </v>
      </c>
      <c r="D2583" s="94">
        <v>330</v>
      </c>
      <c r="E2583" s="84">
        <v>45</v>
      </c>
      <c r="F2583" s="83">
        <f t="shared" ca="1" si="113"/>
        <v>14850</v>
      </c>
    </row>
    <row r="2584" spans="1:6" ht="14.1" customHeight="1" x14ac:dyDescent="0.25">
      <c r="A2584" s="94" t="s">
        <v>8569</v>
      </c>
      <c r="B2584" s="82" t="str">
        <f t="shared" ca="1" si="114"/>
        <v>Granos</v>
      </c>
      <c r="C2584" s="95" t="str">
        <f>IFERROR(VLOOKUP("LB",'Informacion '!P:Q,2,FALSE),"")</f>
        <v>Libra </v>
      </c>
      <c r="D2584" s="94">
        <v>330</v>
      </c>
      <c r="E2584" s="84">
        <v>86</v>
      </c>
      <c r="F2584" s="83">
        <f t="shared" ca="1" si="113"/>
        <v>28380</v>
      </c>
    </row>
    <row r="2585" spans="1:6" ht="14.1" customHeight="1" x14ac:dyDescent="0.25">
      <c r="A2585" s="94" t="s">
        <v>8569</v>
      </c>
      <c r="B2585" s="82" t="str">
        <f t="shared" ca="1" si="114"/>
        <v>Granos</v>
      </c>
      <c r="C2585" s="95" t="str">
        <f>IFERROR(VLOOKUP("LB",'Informacion '!P:Q,2,FALSE),"")</f>
        <v>Libra </v>
      </c>
      <c r="D2585" s="94">
        <v>330</v>
      </c>
      <c r="E2585" s="84">
        <v>82</v>
      </c>
      <c r="F2585" s="83">
        <f t="shared" ca="1" si="113"/>
        <v>27060</v>
      </c>
    </row>
    <row r="2586" spans="1:6" ht="14.1" customHeight="1" x14ac:dyDescent="0.25">
      <c r="A2586" s="94" t="s">
        <v>8569</v>
      </c>
      <c r="B2586" s="82" t="str">
        <f t="shared" ca="1" si="114"/>
        <v>Granos</v>
      </c>
      <c r="C2586" s="95" t="str">
        <f>IFERROR(VLOOKUP("LB",'Informacion '!P:Q,2,FALSE),"")</f>
        <v>Libra </v>
      </c>
      <c r="D2586" s="94">
        <v>330</v>
      </c>
      <c r="E2586" s="84">
        <v>84</v>
      </c>
      <c r="F2586" s="83">
        <f t="shared" ca="1" si="113"/>
        <v>27720</v>
      </c>
    </row>
    <row r="2587" spans="1:6" ht="14.1" customHeight="1" x14ac:dyDescent="0.25">
      <c r="A2587" s="94" t="s">
        <v>8569</v>
      </c>
      <c r="B2587" s="82" t="str">
        <f t="shared" ca="1" si="114"/>
        <v>Granos</v>
      </c>
      <c r="C2587" s="95" t="str">
        <f>IFERROR(VLOOKUP("LB",'Informacion '!P:Q,2,FALSE),"")</f>
        <v>Libra </v>
      </c>
      <c r="D2587" s="94">
        <v>330</v>
      </c>
      <c r="E2587" s="84">
        <v>80</v>
      </c>
      <c r="F2587" s="83">
        <f t="shared" ca="1" si="113"/>
        <v>26400</v>
      </c>
    </row>
    <row r="2588" spans="1:6" ht="14.1" customHeight="1" x14ac:dyDescent="0.25">
      <c r="A2588" s="94" t="s">
        <v>12752</v>
      </c>
      <c r="B2588" s="82" t="str">
        <f ca="1">IFERROR(INDEX(UNSPSCDes,MATCH(INDIRECT(ADDRESS(ROW(),COLUMN()-1,4)),UNSPSCCode,0)),IF(INDIRECT(ADDRESS(ROW(),COLUMN()-1,4))="50221002","Harina",""))</f>
        <v>Harina</v>
      </c>
      <c r="C2588" s="95" t="str">
        <f>IFERROR(VLOOKUP("LB",'Informacion '!P:Q,2,FALSE),"")</f>
        <v>Libra </v>
      </c>
      <c r="D2588" s="94">
        <v>18</v>
      </c>
      <c r="E2588" s="84">
        <v>155</v>
      </c>
      <c r="F2588" s="83">
        <f t="shared" ca="1" si="113"/>
        <v>2790</v>
      </c>
    </row>
    <row r="2589" spans="1:6" ht="14.1" customHeight="1" x14ac:dyDescent="0.25">
      <c r="A2589" s="94" t="s">
        <v>12752</v>
      </c>
      <c r="B2589" s="82" t="str">
        <f ca="1">IFERROR(INDEX(UNSPSCDes,MATCH(INDIRECT(ADDRESS(ROW(),COLUMN()-1,4)),UNSPSCCode,0)),IF(INDIRECT(ADDRESS(ROW(),COLUMN()-1,4))="50221002","Harina",""))</f>
        <v>Harina</v>
      </c>
      <c r="C2589" s="95" t="str">
        <f>IFERROR(VLOOKUP("UD",'Informacion '!P:Q,2,FALSE),"")</f>
        <v>Unidad</v>
      </c>
      <c r="D2589" s="94">
        <v>320</v>
      </c>
      <c r="E2589" s="84">
        <v>15</v>
      </c>
      <c r="F2589" s="83">
        <f t="shared" ca="1" si="113"/>
        <v>4800</v>
      </c>
    </row>
    <row r="2590" spans="1:6" ht="14.1" customHeight="1" x14ac:dyDescent="0.25">
      <c r="A2590" s="94" t="s">
        <v>12752</v>
      </c>
      <c r="B2590" s="82" t="str">
        <f ca="1">IFERROR(INDEX(UNSPSCDes,MATCH(INDIRECT(ADDRESS(ROW(),COLUMN()-1,4)),UNSPSCCode,0)),IF(INDIRECT(ADDRESS(ROW(),COLUMN()-1,4))="50221002","Harina",""))</f>
        <v>Harina</v>
      </c>
      <c r="C2590" s="95" t="str">
        <f>IFERROR(VLOOKUP("UD",'Informacion '!P:Q,2,FALSE),"")</f>
        <v>Unidad</v>
      </c>
      <c r="D2590" s="94">
        <v>320</v>
      </c>
      <c r="E2590" s="84">
        <v>79</v>
      </c>
      <c r="F2590" s="83">
        <f t="shared" ca="1" si="113"/>
        <v>25280</v>
      </c>
    </row>
    <row r="2591" spans="1:6" ht="14.1" customHeight="1" x14ac:dyDescent="0.25">
      <c r="A2591" s="94" t="s">
        <v>12752</v>
      </c>
      <c r="B2591" s="82" t="str">
        <f ca="1">IFERROR(INDEX(UNSPSCDes,MATCH(INDIRECT(ADDRESS(ROW(),COLUMN()-1,4)),UNSPSCCode,0)),IF(INDIRECT(ADDRESS(ROW(),COLUMN()-1,4))="50221002","Harina",""))</f>
        <v>Harina</v>
      </c>
      <c r="C2591" s="95" t="str">
        <f>IFERROR(VLOOKUP("UD",'Informacion '!P:Q,2,FALSE),"")</f>
        <v>Unidad</v>
      </c>
      <c r="D2591" s="94">
        <v>240</v>
      </c>
      <c r="E2591" s="84">
        <v>74</v>
      </c>
      <c r="F2591" s="83">
        <f t="shared" ca="1" si="113"/>
        <v>17760</v>
      </c>
    </row>
    <row r="2592" spans="1:6" ht="14.1" customHeight="1" x14ac:dyDescent="0.25">
      <c r="A2592" s="94" t="s">
        <v>15807</v>
      </c>
      <c r="B2592" s="82" t="str">
        <f ca="1">IFERROR(INDEX(UNSPSCDes,MATCH(INDIRECT(ADDRESS(ROW(),COLUMN()-1,4)),UNSPSCCode,0)),IF(INDIRECT(ADDRESS(ROW(),COLUMN()-1,4))="10151605","Semillas de avena",""))</f>
        <v>Semillas de avena</v>
      </c>
      <c r="C2592" s="95" t="str">
        <f>IFERROR(VLOOKUP("UD",'Informacion '!P:Q,2,FALSE),"")</f>
        <v>Unidad</v>
      </c>
      <c r="D2592" s="94">
        <v>70</v>
      </c>
      <c r="E2592" s="84">
        <v>75</v>
      </c>
      <c r="F2592" s="83">
        <f t="shared" ca="1" si="113"/>
        <v>5250</v>
      </c>
    </row>
    <row r="2593" spans="1:10" ht="14.1" customHeight="1" x14ac:dyDescent="0.25">
      <c r="A2593" s="94" t="s">
        <v>15807</v>
      </c>
      <c r="B2593" s="82" t="str">
        <f ca="1">IFERROR(INDEX(UNSPSCDes,MATCH(INDIRECT(ADDRESS(ROW(),COLUMN()-1,4)),UNSPSCCode,0)),IF(INDIRECT(ADDRESS(ROW(),COLUMN()-1,4))="10151605","Semillas de avena",""))</f>
        <v>Semillas de avena</v>
      </c>
      <c r="C2593" s="95" t="str">
        <f>IFERROR(VLOOKUP("UD",'Informacion '!P:Q,2,FALSE),"")</f>
        <v>Unidad</v>
      </c>
      <c r="D2593" s="94">
        <v>26</v>
      </c>
      <c r="E2593" s="84">
        <v>100</v>
      </c>
      <c r="F2593" s="83">
        <f t="shared" ca="1" si="113"/>
        <v>2600</v>
      </c>
    </row>
    <row r="2594" spans="1:10" ht="14.1" customHeight="1" x14ac:dyDescent="0.25">
      <c r="A2594" s="94" t="s">
        <v>15807</v>
      </c>
      <c r="B2594" s="82" t="str">
        <f ca="1">IFERROR(INDEX(UNSPSCDes,MATCH(INDIRECT(ADDRESS(ROW(),COLUMN()-1,4)),UNSPSCCode,0)),IF(INDIRECT(ADDRESS(ROW(),COLUMN()-1,4))="10151605","Semillas de avena",""))</f>
        <v>Semillas de avena</v>
      </c>
      <c r="C2594" s="95" t="str">
        <f>IFERROR(VLOOKUP("LB",'Informacion '!P:Q,2,FALSE),"")</f>
        <v>Libra </v>
      </c>
      <c r="D2594" s="94">
        <v>265</v>
      </c>
      <c r="E2594" s="84">
        <v>59</v>
      </c>
      <c r="F2594" s="83">
        <f t="shared" ca="1" si="113"/>
        <v>15635</v>
      </c>
    </row>
    <row r="2595" spans="1:10" ht="14.1" customHeight="1" x14ac:dyDescent="0.25">
      <c r="A2595" s="94" t="s">
        <v>13917</v>
      </c>
      <c r="B2595" s="82" t="str">
        <f ca="1">IFERROR(INDEX(UNSPSCDes,MATCH(INDIRECT(ADDRESS(ROW(),COLUMN()-1,4)),UNSPSCCode,0)),IF(INDIRECT(ADDRESS(ROW(),COLUMN()-1,4))="10151609","Semillas de maíz",""))</f>
        <v>Semillas de maíz</v>
      </c>
      <c r="C2595" s="95" t="str">
        <f>IFERROR(VLOOKUP("UD",'Informacion '!P:Q,2,FALSE),"")</f>
        <v>Unidad</v>
      </c>
      <c r="D2595" s="94">
        <v>140</v>
      </c>
      <c r="E2595" s="84">
        <v>55</v>
      </c>
      <c r="F2595" s="83">
        <f t="shared" ca="1" si="113"/>
        <v>7700</v>
      </c>
    </row>
    <row r="2596" spans="1:10" ht="14.1" customHeight="1" x14ac:dyDescent="0.25">
      <c r="E2596" s="96" t="s">
        <v>7213</v>
      </c>
      <c r="F2596" s="87">
        <f ca="1">SUM(Table96[MONTO TOTAL ESTIMADO])</f>
        <v>978670.25</v>
      </c>
      <c r="H2596" s="39" t="str">
        <f>C2539</f>
        <v>Bienes</v>
      </c>
      <c r="I2596" s="39" t="str">
        <f>E2539</f>
        <v>No</v>
      </c>
      <c r="J2596" s="39" t="str">
        <f>D2539</f>
        <v>Comparacion de Precios</v>
      </c>
    </row>
    <row r="2598" spans="1:10" ht="33.950000000000003" customHeight="1" x14ac:dyDescent="0.25">
      <c r="A2598" s="77" t="s">
        <v>17233</v>
      </c>
      <c r="B2598" s="77" t="s">
        <v>4237</v>
      </c>
      <c r="C2598" s="77" t="s">
        <v>4743</v>
      </c>
      <c r="D2598" s="77" t="s">
        <v>9891</v>
      </c>
      <c r="E2598" s="77" t="s">
        <v>3089</v>
      </c>
      <c r="F2598" s="77" t="s">
        <v>18141</v>
      </c>
    </row>
    <row r="2599" spans="1:10" ht="14.1" customHeight="1" x14ac:dyDescent="0.25">
      <c r="A2599" s="79" t="s">
        <v>14789</v>
      </c>
      <c r="B2599" s="79" t="s">
        <v>3729</v>
      </c>
      <c r="C2599" s="79" t="s">
        <v>17215</v>
      </c>
      <c r="D2599" s="79" t="s">
        <v>12255</v>
      </c>
      <c r="E2599" s="79" t="s">
        <v>18247</v>
      </c>
      <c r="F2599" s="79"/>
    </row>
    <row r="2600" spans="1:10" ht="14.1" customHeight="1" x14ac:dyDescent="0.25">
      <c r="A2600" s="2" t="s">
        <v>6643</v>
      </c>
      <c r="B2600" s="80" t="s">
        <v>1046</v>
      </c>
      <c r="C2600" s="90">
        <v>43467</v>
      </c>
      <c r="D2600" s="2" t="s">
        <v>59</v>
      </c>
      <c r="E2600" s="92" t="s">
        <v>20066</v>
      </c>
      <c r="F2600" s="93" t="s">
        <v>5684</v>
      </c>
    </row>
    <row r="2601" spans="1:10" ht="14.1" customHeight="1" x14ac:dyDescent="0.25">
      <c r="A2601" s="1"/>
      <c r="B2601" s="80" t="s">
        <v>10788</v>
      </c>
      <c r="C2601" s="91">
        <f>IF(C2600="","",IF(AND(MONTH(C2600)&gt;=1,MONTH(C2600)&lt;=3),1,IF(AND(MONTH(C2600)&gt;=4,MONTH(C2600)&lt;=6),2,IF(AND(MONTH(C2600)&gt;=7,MONTH(C2600)&lt;=9),3,4))))</f>
        <v>1</v>
      </c>
      <c r="D2601" s="1"/>
      <c r="E2601" s="92" t="s">
        <v>14822</v>
      </c>
      <c r="F2601" s="93"/>
    </row>
    <row r="2602" spans="1:10" ht="14.1" customHeight="1" x14ac:dyDescent="0.25">
      <c r="A2602" s="1"/>
      <c r="B2602" s="80" t="s">
        <v>13758</v>
      </c>
      <c r="C2602" s="90">
        <v>43553</v>
      </c>
      <c r="D2602" s="1"/>
      <c r="E2602" s="92" t="s">
        <v>18636</v>
      </c>
      <c r="F2602" s="93"/>
    </row>
    <row r="2603" spans="1:10" ht="14.1" customHeight="1" x14ac:dyDescent="0.25">
      <c r="A2603" s="1"/>
      <c r="B2603" s="80" t="s">
        <v>10788</v>
      </c>
      <c r="C2603" s="91">
        <f>IF(C2602="","",IF(AND(MONTH(C2602)&gt;=1,MONTH(C2602)&lt;=3),1,IF(AND(MONTH(C2602)&gt;=4,MONTH(C2602)&lt;=6),2,IF(AND(MONTH(C2602)&gt;=7,MONTH(C2602)&lt;=9),3,4))))</f>
        <v>1</v>
      </c>
      <c r="D2603" s="1"/>
      <c r="E2603" s="92" t="s">
        <v>15990</v>
      </c>
      <c r="F2603" s="93"/>
    </row>
    <row r="2605" spans="1:10" ht="14.1" customHeight="1" x14ac:dyDescent="0.25">
      <c r="A2605" s="85" t="s">
        <v>15474</v>
      </c>
      <c r="B2605" s="85" t="s">
        <v>5027</v>
      </c>
      <c r="C2605" s="85" t="s">
        <v>17461</v>
      </c>
      <c r="D2605" s="85" t="s">
        <v>3935</v>
      </c>
      <c r="E2605" s="85" t="s">
        <v>10722</v>
      </c>
      <c r="F2605" s="85" t="s">
        <v>18237</v>
      </c>
    </row>
    <row r="2606" spans="1:10" ht="14.1" customHeight="1" x14ac:dyDescent="0.25">
      <c r="A2606" s="94" t="s">
        <v>2200</v>
      </c>
      <c r="B2606" s="82" t="str">
        <f t="shared" ref="B2606:B2637" ca="1" si="115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2606" s="95" t="str">
        <f>IFERROR(VLOOKUP("UD",'Informacion '!P:Q,2,FALSE),"")</f>
        <v>Unidad</v>
      </c>
      <c r="D2606" s="94">
        <v>77</v>
      </c>
      <c r="E2606" s="84">
        <v>62.69</v>
      </c>
      <c r="F2606" s="83">
        <f t="shared" ref="F2606:F2637" ca="1" si="116">INDIRECT(ADDRESS(ROW(),COLUMN()-2,4))*INDIRECT(ADDRESS(ROW(),COLUMN()-1,4))</f>
        <v>4827.13</v>
      </c>
    </row>
    <row r="2607" spans="1:10" ht="14.1" customHeight="1" x14ac:dyDescent="0.25">
      <c r="A2607" s="94" t="s">
        <v>2200</v>
      </c>
      <c r="B2607" s="82" t="str">
        <f t="shared" ca="1" si="115"/>
        <v>Servicios de laboratorios de análisis de sangre</v>
      </c>
      <c r="C2607" s="95" t="str">
        <f>IFERROR(VLOOKUP("UD",'Informacion '!P:Q,2,FALSE),"")</f>
        <v>Unidad</v>
      </c>
      <c r="D2607" s="94">
        <v>2</v>
      </c>
      <c r="E2607" s="84">
        <v>16808.400000000001</v>
      </c>
      <c r="F2607" s="83">
        <f t="shared" ca="1" si="116"/>
        <v>33616.800000000003</v>
      </c>
    </row>
    <row r="2608" spans="1:10" ht="14.1" customHeight="1" x14ac:dyDescent="0.25">
      <c r="A2608" s="94" t="s">
        <v>2200</v>
      </c>
      <c r="B2608" s="82" t="str">
        <f t="shared" ca="1" si="115"/>
        <v>Servicios de laboratorios de análisis de sangre</v>
      </c>
      <c r="C2608" s="95" t="str">
        <f>IFERROR(VLOOKUP("UD",'Informacion '!P:Q,2,FALSE),"")</f>
        <v>Unidad</v>
      </c>
      <c r="D2608" s="94">
        <v>22</v>
      </c>
      <c r="E2608" s="84">
        <v>7832</v>
      </c>
      <c r="F2608" s="83">
        <f t="shared" ca="1" si="116"/>
        <v>172304</v>
      </c>
    </row>
    <row r="2609" spans="1:6" ht="14.1" customHeight="1" x14ac:dyDescent="0.25">
      <c r="A2609" s="94" t="s">
        <v>2200</v>
      </c>
      <c r="B2609" s="82" t="str">
        <f t="shared" ca="1" si="115"/>
        <v>Servicios de laboratorios de análisis de sangre</v>
      </c>
      <c r="C2609" s="95" t="str">
        <f>IFERROR(VLOOKUP("UD",'Informacion '!P:Q,2,FALSE),"")</f>
        <v>Unidad</v>
      </c>
      <c r="D2609" s="94">
        <v>5</v>
      </c>
      <c r="E2609" s="84">
        <v>15812.92</v>
      </c>
      <c r="F2609" s="83">
        <f t="shared" ca="1" si="116"/>
        <v>79064.600000000006</v>
      </c>
    </row>
    <row r="2610" spans="1:6" ht="14.1" customHeight="1" x14ac:dyDescent="0.25">
      <c r="A2610" s="94" t="s">
        <v>2200</v>
      </c>
      <c r="B2610" s="82" t="str">
        <f t="shared" ca="1" si="115"/>
        <v>Servicios de laboratorios de análisis de sangre</v>
      </c>
      <c r="C2610" s="95" t="str">
        <f>IFERROR(VLOOKUP("UD",'Informacion '!P:Q,2,FALSE),"")</f>
        <v>Unidad</v>
      </c>
      <c r="D2610" s="94">
        <v>5</v>
      </c>
      <c r="E2610" s="84">
        <v>27578.29</v>
      </c>
      <c r="F2610" s="83">
        <f t="shared" ca="1" si="116"/>
        <v>137891.45000000001</v>
      </c>
    </row>
    <row r="2611" spans="1:6" ht="14.1" customHeight="1" x14ac:dyDescent="0.25">
      <c r="A2611" s="94" t="s">
        <v>2200</v>
      </c>
      <c r="B2611" s="82" t="str">
        <f t="shared" ca="1" si="115"/>
        <v>Servicios de laboratorios de análisis de sangre</v>
      </c>
      <c r="C2611" s="95" t="str">
        <f>IFERROR(VLOOKUP("UD",'Informacion '!P:Q,2,FALSE),"")</f>
        <v>Unidad</v>
      </c>
      <c r="D2611" s="94">
        <v>3</v>
      </c>
      <c r="E2611" s="84">
        <v>23936</v>
      </c>
      <c r="F2611" s="83">
        <f t="shared" ca="1" si="116"/>
        <v>71808</v>
      </c>
    </row>
    <row r="2612" spans="1:6" ht="14.1" customHeight="1" x14ac:dyDescent="0.25">
      <c r="A2612" s="94" t="s">
        <v>2200</v>
      </c>
      <c r="B2612" s="82" t="str">
        <f t="shared" ca="1" si="115"/>
        <v>Servicios de laboratorios de análisis de sangre</v>
      </c>
      <c r="C2612" s="95" t="str">
        <f>IFERROR(VLOOKUP("UD",'Informacion '!P:Q,2,FALSE),"")</f>
        <v>Unidad</v>
      </c>
      <c r="D2612" s="94">
        <v>5</v>
      </c>
      <c r="E2612" s="84">
        <v>17926.2</v>
      </c>
      <c r="F2612" s="83">
        <f t="shared" ca="1" si="116"/>
        <v>89631</v>
      </c>
    </row>
    <row r="2613" spans="1:6" ht="14.1" customHeight="1" x14ac:dyDescent="0.25">
      <c r="A2613" s="94" t="s">
        <v>2200</v>
      </c>
      <c r="B2613" s="82" t="str">
        <f t="shared" ca="1" si="115"/>
        <v>Servicios de laboratorios de análisis de sangre</v>
      </c>
      <c r="C2613" s="95" t="str">
        <f>IFERROR(VLOOKUP("UD",'Informacion '!P:Q,2,FALSE),"")</f>
        <v>Unidad</v>
      </c>
      <c r="D2613" s="94">
        <v>2</v>
      </c>
      <c r="E2613" s="84">
        <v>7946.36</v>
      </c>
      <c r="F2613" s="83">
        <f t="shared" ca="1" si="116"/>
        <v>15892.72</v>
      </c>
    </row>
    <row r="2614" spans="1:6" ht="14.1" customHeight="1" x14ac:dyDescent="0.25">
      <c r="A2614" s="94" t="s">
        <v>2200</v>
      </c>
      <c r="B2614" s="82" t="str">
        <f t="shared" ca="1" si="115"/>
        <v>Servicios de laboratorios de análisis de sangre</v>
      </c>
      <c r="C2614" s="95" t="str">
        <f>IFERROR(VLOOKUP("UD",'Informacion '!P:Q,2,FALSE),"")</f>
        <v>Unidad</v>
      </c>
      <c r="D2614" s="94">
        <v>368</v>
      </c>
      <c r="E2614" s="84">
        <v>21.84</v>
      </c>
      <c r="F2614" s="83">
        <f t="shared" ca="1" si="116"/>
        <v>8037.12</v>
      </c>
    </row>
    <row r="2615" spans="1:6" ht="14.1" customHeight="1" x14ac:dyDescent="0.25">
      <c r="A2615" s="94" t="s">
        <v>2200</v>
      </c>
      <c r="B2615" s="82" t="str">
        <f t="shared" ca="1" si="115"/>
        <v>Servicios de laboratorios de análisis de sangre</v>
      </c>
      <c r="C2615" s="95" t="str">
        <f>IFERROR(VLOOKUP("UD",'Informacion '!P:Q,2,FALSE),"")</f>
        <v>Unidad</v>
      </c>
      <c r="D2615" s="94">
        <v>1056</v>
      </c>
      <c r="E2615" s="84">
        <v>24.59</v>
      </c>
      <c r="F2615" s="83">
        <f t="shared" ca="1" si="116"/>
        <v>25967.040000000001</v>
      </c>
    </row>
    <row r="2616" spans="1:6" ht="14.1" customHeight="1" x14ac:dyDescent="0.25">
      <c r="A2616" s="94" t="s">
        <v>2200</v>
      </c>
      <c r="B2616" s="82" t="str">
        <f t="shared" ca="1" si="115"/>
        <v>Servicios de laboratorios de análisis de sangre</v>
      </c>
      <c r="C2616" s="95" t="str">
        <f>IFERROR(VLOOKUP("UD",'Informacion '!P:Q,2,FALSE),"")</f>
        <v>Unidad</v>
      </c>
      <c r="D2616" s="94">
        <v>840</v>
      </c>
      <c r="E2616" s="84">
        <v>24.61</v>
      </c>
      <c r="F2616" s="83">
        <f t="shared" ca="1" si="116"/>
        <v>20672.399999999998</v>
      </c>
    </row>
    <row r="2617" spans="1:6" ht="14.1" customHeight="1" x14ac:dyDescent="0.25">
      <c r="A2617" s="94" t="s">
        <v>2200</v>
      </c>
      <c r="B2617" s="82" t="str">
        <f t="shared" ca="1" si="115"/>
        <v>Servicios de laboratorios de análisis de sangre</v>
      </c>
      <c r="C2617" s="95" t="str">
        <f>IFERROR(VLOOKUP("UD",'Informacion '!P:Q,2,FALSE),"")</f>
        <v>Unidad</v>
      </c>
      <c r="D2617" s="94">
        <v>2907</v>
      </c>
      <c r="E2617" s="84">
        <v>24.44</v>
      </c>
      <c r="F2617" s="83">
        <f t="shared" ca="1" si="116"/>
        <v>71047.08</v>
      </c>
    </row>
    <row r="2618" spans="1:6" ht="14.1" customHeight="1" x14ac:dyDescent="0.25">
      <c r="A2618" s="94" t="s">
        <v>2200</v>
      </c>
      <c r="B2618" s="82" t="str">
        <f t="shared" ca="1" si="115"/>
        <v>Servicios de laboratorios de análisis de sangre</v>
      </c>
      <c r="C2618" s="95" t="str">
        <f>IFERROR(VLOOKUP("UD",'Informacion '!P:Q,2,FALSE),"")</f>
        <v>Unidad</v>
      </c>
      <c r="D2618" s="94">
        <v>459</v>
      </c>
      <c r="E2618" s="84">
        <v>26.12</v>
      </c>
      <c r="F2618" s="83">
        <f t="shared" ca="1" si="116"/>
        <v>11989.08</v>
      </c>
    </row>
    <row r="2619" spans="1:6" ht="14.1" customHeight="1" x14ac:dyDescent="0.25">
      <c r="A2619" s="94" t="s">
        <v>2200</v>
      </c>
      <c r="B2619" s="82" t="str">
        <f t="shared" ca="1" si="115"/>
        <v>Servicios de laboratorios de análisis de sangre</v>
      </c>
      <c r="C2619" s="95" t="str">
        <f>IFERROR(VLOOKUP("UD",'Informacion '!P:Q,2,FALSE),"")</f>
        <v>Unidad</v>
      </c>
      <c r="D2619" s="94">
        <v>3456</v>
      </c>
      <c r="E2619" s="84">
        <v>24.49</v>
      </c>
      <c r="F2619" s="83">
        <f t="shared" ca="1" si="116"/>
        <v>84637.439999999988</v>
      </c>
    </row>
    <row r="2620" spans="1:6" ht="14.1" customHeight="1" x14ac:dyDescent="0.25">
      <c r="A2620" s="94" t="s">
        <v>2200</v>
      </c>
      <c r="B2620" s="82" t="str">
        <f t="shared" ca="1" si="115"/>
        <v>Servicios de laboratorios de análisis de sangre</v>
      </c>
      <c r="C2620" s="95" t="str">
        <f>IFERROR(VLOOKUP("UD",'Informacion '!P:Q,2,FALSE),"")</f>
        <v>Unidad</v>
      </c>
      <c r="D2620" s="94">
        <v>959</v>
      </c>
      <c r="E2620" s="84">
        <v>24.59</v>
      </c>
      <c r="F2620" s="83">
        <f t="shared" ca="1" si="116"/>
        <v>23581.81</v>
      </c>
    </row>
    <row r="2621" spans="1:6" ht="14.1" customHeight="1" x14ac:dyDescent="0.25">
      <c r="A2621" s="94" t="s">
        <v>2200</v>
      </c>
      <c r="B2621" s="82" t="str">
        <f t="shared" ca="1" si="115"/>
        <v>Servicios de laboratorios de análisis de sangre</v>
      </c>
      <c r="C2621" s="95" t="str">
        <f>IFERROR(VLOOKUP("UD",'Informacion '!P:Q,2,FALSE),"")</f>
        <v>Unidad</v>
      </c>
      <c r="D2621" s="94">
        <v>735</v>
      </c>
      <c r="E2621" s="84">
        <v>24.59</v>
      </c>
      <c r="F2621" s="83">
        <f t="shared" ca="1" si="116"/>
        <v>18073.650000000001</v>
      </c>
    </row>
    <row r="2622" spans="1:6" ht="14.1" customHeight="1" x14ac:dyDescent="0.25">
      <c r="A2622" s="94" t="s">
        <v>2200</v>
      </c>
      <c r="B2622" s="82" t="str">
        <f t="shared" ca="1" si="115"/>
        <v>Servicios de laboratorios de análisis de sangre</v>
      </c>
      <c r="C2622" s="95" t="str">
        <f>IFERROR(VLOOKUP("UD",'Informacion '!P:Q,2,FALSE),"")</f>
        <v>Unidad</v>
      </c>
      <c r="D2622" s="94">
        <v>2</v>
      </c>
      <c r="E2622" s="84">
        <v>14.48</v>
      </c>
      <c r="F2622" s="83">
        <f t="shared" ca="1" si="116"/>
        <v>28.96</v>
      </c>
    </row>
    <row r="2623" spans="1:6" ht="14.1" customHeight="1" x14ac:dyDescent="0.25">
      <c r="A2623" s="94" t="s">
        <v>2200</v>
      </c>
      <c r="B2623" s="82" t="str">
        <f t="shared" ca="1" si="115"/>
        <v>Servicios de laboratorios de análisis de sangre</v>
      </c>
      <c r="C2623" s="95" t="str">
        <f>IFERROR(VLOOKUP("UD",'Informacion '!P:Q,2,FALSE),"")</f>
        <v>Unidad</v>
      </c>
      <c r="D2623" s="94">
        <v>2</v>
      </c>
      <c r="E2623" s="84">
        <v>24.58</v>
      </c>
      <c r="F2623" s="83">
        <f t="shared" ca="1" si="116"/>
        <v>49.16</v>
      </c>
    </row>
    <row r="2624" spans="1:6" ht="14.1" customHeight="1" x14ac:dyDescent="0.25">
      <c r="A2624" s="94" t="s">
        <v>2200</v>
      </c>
      <c r="B2624" s="82" t="str">
        <f t="shared" ca="1" si="115"/>
        <v>Servicios de laboratorios de análisis de sangre</v>
      </c>
      <c r="C2624" s="95" t="str">
        <f>IFERROR(VLOOKUP("UD",'Informacion '!P:Q,2,FALSE),"")</f>
        <v>Unidad</v>
      </c>
      <c r="D2624" s="94">
        <v>1536</v>
      </c>
      <c r="E2624" s="84">
        <v>24.56</v>
      </c>
      <c r="F2624" s="83">
        <f t="shared" ca="1" si="116"/>
        <v>37724.159999999996</v>
      </c>
    </row>
    <row r="2625" spans="1:6" ht="14.1" customHeight="1" x14ac:dyDescent="0.25">
      <c r="A2625" s="94" t="s">
        <v>2200</v>
      </c>
      <c r="B2625" s="82" t="str">
        <f t="shared" ca="1" si="115"/>
        <v>Servicios de laboratorios de análisis de sangre</v>
      </c>
      <c r="C2625" s="95" t="str">
        <f>IFERROR(VLOOKUP("UD",'Informacion '!P:Q,2,FALSE),"")</f>
        <v>Unidad</v>
      </c>
      <c r="D2625" s="94">
        <v>92</v>
      </c>
      <c r="E2625" s="84">
        <v>24.72</v>
      </c>
      <c r="F2625" s="83">
        <f t="shared" ca="1" si="116"/>
        <v>2274.2399999999998</v>
      </c>
    </row>
    <row r="2626" spans="1:6" ht="14.1" customHeight="1" x14ac:dyDescent="0.25">
      <c r="A2626" s="94" t="s">
        <v>2200</v>
      </c>
      <c r="B2626" s="82" t="str">
        <f t="shared" ca="1" si="115"/>
        <v>Servicios de laboratorios de análisis de sangre</v>
      </c>
      <c r="C2626" s="95" t="str">
        <f>IFERROR(VLOOKUP("UD",'Informacion '!P:Q,2,FALSE),"")</f>
        <v>Unidad</v>
      </c>
      <c r="D2626" s="94">
        <v>31</v>
      </c>
      <c r="E2626" s="84">
        <v>24.72</v>
      </c>
      <c r="F2626" s="83">
        <f t="shared" ca="1" si="116"/>
        <v>766.31999999999994</v>
      </c>
    </row>
    <row r="2627" spans="1:6" ht="14.1" customHeight="1" x14ac:dyDescent="0.25">
      <c r="A2627" s="94" t="s">
        <v>2200</v>
      </c>
      <c r="B2627" s="82" t="str">
        <f t="shared" ca="1" si="115"/>
        <v>Servicios de laboratorios de análisis de sangre</v>
      </c>
      <c r="C2627" s="95" t="str">
        <f>IFERROR(VLOOKUP("UD",'Informacion '!P:Q,2,FALSE),"")</f>
        <v>Unidad</v>
      </c>
      <c r="D2627" s="94">
        <v>2494</v>
      </c>
      <c r="E2627" s="84">
        <v>24.62</v>
      </c>
      <c r="F2627" s="83">
        <f t="shared" ca="1" si="116"/>
        <v>61402.280000000006</v>
      </c>
    </row>
    <row r="2628" spans="1:6" ht="14.1" customHeight="1" x14ac:dyDescent="0.25">
      <c r="A2628" s="94" t="s">
        <v>2200</v>
      </c>
      <c r="B2628" s="82" t="str">
        <f t="shared" ca="1" si="115"/>
        <v>Servicios de laboratorios de análisis de sangre</v>
      </c>
      <c r="C2628" s="95" t="str">
        <f>IFERROR(VLOOKUP("UD",'Informacion '!P:Q,2,FALSE),"")</f>
        <v>Unidad</v>
      </c>
      <c r="D2628" s="94">
        <v>5279</v>
      </c>
      <c r="E2628" s="84">
        <v>24.6</v>
      </c>
      <c r="F2628" s="83">
        <f t="shared" ca="1" si="116"/>
        <v>129863.40000000001</v>
      </c>
    </row>
    <row r="2629" spans="1:6" ht="14.1" customHeight="1" x14ac:dyDescent="0.25">
      <c r="A2629" s="94" t="s">
        <v>2200</v>
      </c>
      <c r="B2629" s="82" t="str">
        <f t="shared" ca="1" si="115"/>
        <v>Servicios de laboratorios de análisis de sangre</v>
      </c>
      <c r="C2629" s="95" t="str">
        <f>IFERROR(VLOOKUP("UD",'Informacion '!P:Q,2,FALSE),"")</f>
        <v>Unidad</v>
      </c>
      <c r="D2629" s="94">
        <v>1298</v>
      </c>
      <c r="E2629" s="84">
        <v>24.93</v>
      </c>
      <c r="F2629" s="83">
        <f t="shared" ca="1" si="116"/>
        <v>32359.14</v>
      </c>
    </row>
    <row r="2630" spans="1:6" ht="14.1" customHeight="1" x14ac:dyDescent="0.25">
      <c r="A2630" s="94" t="s">
        <v>2200</v>
      </c>
      <c r="B2630" s="82" t="str">
        <f t="shared" ca="1" si="115"/>
        <v>Servicios de laboratorios de análisis de sangre</v>
      </c>
      <c r="C2630" s="95" t="str">
        <f>IFERROR(VLOOKUP("UD",'Informacion '!P:Q,2,FALSE),"")</f>
        <v>Unidad</v>
      </c>
      <c r="D2630" s="94">
        <v>368</v>
      </c>
      <c r="E2630" s="84">
        <v>31.2</v>
      </c>
      <c r="F2630" s="83">
        <f t="shared" ca="1" si="116"/>
        <v>11481.6</v>
      </c>
    </row>
    <row r="2631" spans="1:6" ht="14.1" customHeight="1" x14ac:dyDescent="0.25">
      <c r="A2631" s="94" t="s">
        <v>2200</v>
      </c>
      <c r="B2631" s="82" t="str">
        <f t="shared" ca="1" si="115"/>
        <v>Servicios de laboratorios de análisis de sangre</v>
      </c>
      <c r="C2631" s="95" t="str">
        <f>IFERROR(VLOOKUP("UD",'Informacion '!P:Q,2,FALSE),"")</f>
        <v>Unidad</v>
      </c>
      <c r="D2631" s="94">
        <v>5937</v>
      </c>
      <c r="E2631" s="84">
        <v>24.61</v>
      </c>
      <c r="F2631" s="83">
        <f t="shared" ca="1" si="116"/>
        <v>146109.57</v>
      </c>
    </row>
    <row r="2632" spans="1:6" ht="14.1" customHeight="1" x14ac:dyDescent="0.25">
      <c r="A2632" s="94" t="s">
        <v>2200</v>
      </c>
      <c r="B2632" s="82" t="str">
        <f t="shared" ca="1" si="115"/>
        <v>Servicios de laboratorios de análisis de sangre</v>
      </c>
      <c r="C2632" s="95" t="str">
        <f>IFERROR(VLOOKUP("UD",'Informacion '!P:Q,2,FALSE),"")</f>
        <v>Unidad</v>
      </c>
      <c r="D2632" s="94">
        <v>806</v>
      </c>
      <c r="E2632" s="84">
        <v>168.63</v>
      </c>
      <c r="F2632" s="83">
        <f t="shared" ca="1" si="116"/>
        <v>135915.78</v>
      </c>
    </row>
    <row r="2633" spans="1:6" ht="14.1" customHeight="1" x14ac:dyDescent="0.25">
      <c r="A2633" s="94" t="s">
        <v>2200</v>
      </c>
      <c r="B2633" s="82" t="str">
        <f t="shared" ca="1" si="115"/>
        <v>Servicios de laboratorios de análisis de sangre</v>
      </c>
      <c r="C2633" s="95" t="str">
        <f>IFERROR(VLOOKUP("UD",'Informacion '!P:Q,2,FALSE),"")</f>
        <v>Unidad</v>
      </c>
      <c r="D2633" s="94">
        <v>1928</v>
      </c>
      <c r="E2633" s="84">
        <v>81.83</v>
      </c>
      <c r="F2633" s="83">
        <f t="shared" ca="1" si="116"/>
        <v>157768.24</v>
      </c>
    </row>
    <row r="2634" spans="1:6" ht="14.1" customHeight="1" x14ac:dyDescent="0.25">
      <c r="A2634" s="94" t="s">
        <v>2200</v>
      </c>
      <c r="B2634" s="82" t="str">
        <f t="shared" ca="1" si="115"/>
        <v>Servicios de laboratorios de análisis de sangre</v>
      </c>
      <c r="C2634" s="95" t="str">
        <f>IFERROR(VLOOKUP("UD",'Informacion '!P:Q,2,FALSE),"")</f>
        <v>Unidad</v>
      </c>
      <c r="D2634" s="94">
        <v>337</v>
      </c>
      <c r="E2634" s="84">
        <v>24.6</v>
      </c>
      <c r="F2634" s="83">
        <f t="shared" ca="1" si="116"/>
        <v>8290.2000000000007</v>
      </c>
    </row>
    <row r="2635" spans="1:6" ht="14.1" customHeight="1" x14ac:dyDescent="0.25">
      <c r="A2635" s="94" t="s">
        <v>2200</v>
      </c>
      <c r="B2635" s="82" t="str">
        <f t="shared" ca="1" si="115"/>
        <v>Servicios de laboratorios de análisis de sangre</v>
      </c>
      <c r="C2635" s="95" t="str">
        <f>IFERROR(VLOOKUP("UD",'Informacion '!P:Q,2,FALSE),"")</f>
        <v>Unidad</v>
      </c>
      <c r="D2635" s="94">
        <v>1439</v>
      </c>
      <c r="E2635" s="84">
        <v>24.62</v>
      </c>
      <c r="F2635" s="83">
        <f t="shared" ca="1" si="116"/>
        <v>35428.18</v>
      </c>
    </row>
    <row r="2636" spans="1:6" ht="14.1" customHeight="1" x14ac:dyDescent="0.25">
      <c r="A2636" s="94" t="s">
        <v>2200</v>
      </c>
      <c r="B2636" s="82" t="str">
        <f t="shared" ca="1" si="115"/>
        <v>Servicios de laboratorios de análisis de sangre</v>
      </c>
      <c r="C2636" s="95" t="str">
        <f>IFERROR(VLOOKUP("UD",'Informacion '!P:Q,2,FALSE),"")</f>
        <v>Unidad</v>
      </c>
      <c r="D2636" s="94">
        <v>345</v>
      </c>
      <c r="E2636" s="84">
        <v>115.95</v>
      </c>
      <c r="F2636" s="83">
        <f t="shared" ca="1" si="116"/>
        <v>40002.75</v>
      </c>
    </row>
    <row r="2637" spans="1:6" ht="14.1" customHeight="1" x14ac:dyDescent="0.25">
      <c r="A2637" s="94" t="s">
        <v>2200</v>
      </c>
      <c r="B2637" s="82" t="str">
        <f t="shared" ca="1" si="115"/>
        <v>Servicios de laboratorios de análisis de sangre</v>
      </c>
      <c r="C2637" s="95" t="str">
        <f>IFERROR(VLOOKUP("UD",'Informacion '!P:Q,2,FALSE),"")</f>
        <v>Unidad</v>
      </c>
      <c r="D2637" s="94">
        <v>574</v>
      </c>
      <c r="E2637" s="84">
        <v>29.55</v>
      </c>
      <c r="F2637" s="83">
        <f t="shared" ca="1" si="116"/>
        <v>16961.7</v>
      </c>
    </row>
    <row r="2638" spans="1:6" ht="14.1" customHeight="1" x14ac:dyDescent="0.25">
      <c r="A2638" s="94" t="s">
        <v>2200</v>
      </c>
      <c r="B2638" s="82" t="str">
        <f t="shared" ref="B2638:B2663" ca="1" si="117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2638" s="95" t="str">
        <f>IFERROR(VLOOKUP("UD",'Informacion '!P:Q,2,FALSE),"")</f>
        <v>Unidad</v>
      </c>
      <c r="D2638" s="94">
        <v>4</v>
      </c>
      <c r="E2638" s="84">
        <v>2473.62</v>
      </c>
      <c r="F2638" s="83">
        <f t="shared" ref="F2638:F2663" ca="1" si="118">INDIRECT(ADDRESS(ROW(),COLUMN()-2,4))*INDIRECT(ADDRESS(ROW(),COLUMN()-1,4))</f>
        <v>9894.48</v>
      </c>
    </row>
    <row r="2639" spans="1:6" ht="14.1" customHeight="1" x14ac:dyDescent="0.25">
      <c r="A2639" s="94" t="s">
        <v>2200</v>
      </c>
      <c r="B2639" s="82" t="str">
        <f t="shared" ca="1" si="117"/>
        <v>Servicios de laboratorios de análisis de sangre</v>
      </c>
      <c r="C2639" s="95" t="str">
        <f>IFERROR(VLOOKUP("UD",'Informacion '!P:Q,2,FALSE),"")</f>
        <v>Unidad</v>
      </c>
      <c r="D2639" s="94">
        <v>1041</v>
      </c>
      <c r="E2639" s="84">
        <v>24.6</v>
      </c>
      <c r="F2639" s="83">
        <f t="shared" ca="1" si="118"/>
        <v>25608.600000000002</v>
      </c>
    </row>
    <row r="2640" spans="1:6" ht="14.1" customHeight="1" x14ac:dyDescent="0.25">
      <c r="A2640" s="94" t="s">
        <v>2200</v>
      </c>
      <c r="B2640" s="82" t="str">
        <f t="shared" ca="1" si="117"/>
        <v>Servicios de laboratorios de análisis de sangre</v>
      </c>
      <c r="C2640" s="95" t="str">
        <f>IFERROR(VLOOKUP("UD",'Informacion '!P:Q,2,FALSE),"")</f>
        <v>Unidad</v>
      </c>
      <c r="D2640" s="94">
        <v>5000</v>
      </c>
      <c r="E2640" s="84">
        <v>5.09</v>
      </c>
      <c r="F2640" s="83">
        <f t="shared" ca="1" si="118"/>
        <v>25450</v>
      </c>
    </row>
    <row r="2641" spans="1:6" ht="14.1" customHeight="1" x14ac:dyDescent="0.25">
      <c r="A2641" s="94" t="s">
        <v>2200</v>
      </c>
      <c r="B2641" s="82" t="str">
        <f t="shared" ca="1" si="117"/>
        <v>Servicios de laboratorios de análisis de sangre</v>
      </c>
      <c r="C2641" s="95" t="str">
        <f>IFERROR(VLOOKUP("UD",'Informacion '!P:Q,2,FALSE),"")</f>
        <v>Unidad</v>
      </c>
      <c r="D2641" s="94">
        <v>7000</v>
      </c>
      <c r="E2641" s="84">
        <v>1.94</v>
      </c>
      <c r="F2641" s="83">
        <f t="shared" ca="1" si="118"/>
        <v>13580</v>
      </c>
    </row>
    <row r="2642" spans="1:6" ht="14.1" customHeight="1" x14ac:dyDescent="0.25">
      <c r="A2642" s="94" t="s">
        <v>2200</v>
      </c>
      <c r="B2642" s="82" t="str">
        <f t="shared" ca="1" si="117"/>
        <v>Servicios de laboratorios de análisis de sangre</v>
      </c>
      <c r="C2642" s="95" t="str">
        <f>IFERROR(VLOOKUP("UD",'Informacion '!P:Q,2,FALSE),"")</f>
        <v>Unidad</v>
      </c>
      <c r="D2642" s="94">
        <v>2632</v>
      </c>
      <c r="E2642" s="84">
        <v>24.63</v>
      </c>
      <c r="F2642" s="83">
        <f t="shared" ca="1" si="118"/>
        <v>64826.159999999996</v>
      </c>
    </row>
    <row r="2643" spans="1:6" ht="14.1" customHeight="1" x14ac:dyDescent="0.25">
      <c r="A2643" s="94" t="s">
        <v>2200</v>
      </c>
      <c r="B2643" s="82" t="str">
        <f t="shared" ca="1" si="117"/>
        <v>Servicios de laboratorios de análisis de sangre</v>
      </c>
      <c r="C2643" s="95" t="str">
        <f>IFERROR(VLOOKUP("UD",'Informacion '!P:Q,2,FALSE),"")</f>
        <v>Unidad</v>
      </c>
      <c r="D2643" s="94">
        <v>4193</v>
      </c>
      <c r="E2643" s="84">
        <v>24.63</v>
      </c>
      <c r="F2643" s="83">
        <f t="shared" ca="1" si="118"/>
        <v>103273.59</v>
      </c>
    </row>
    <row r="2644" spans="1:6" ht="14.1" customHeight="1" x14ac:dyDescent="0.25">
      <c r="A2644" s="94" t="s">
        <v>2200</v>
      </c>
      <c r="B2644" s="82" t="str">
        <f t="shared" ca="1" si="117"/>
        <v>Servicios de laboratorios de análisis de sangre</v>
      </c>
      <c r="C2644" s="95" t="str">
        <f>IFERROR(VLOOKUP("UD",'Informacion '!P:Q,2,FALSE),"")</f>
        <v>Unidad</v>
      </c>
      <c r="D2644" s="94">
        <v>5</v>
      </c>
      <c r="E2644" s="84">
        <v>38900</v>
      </c>
      <c r="F2644" s="83">
        <f t="shared" ca="1" si="118"/>
        <v>194500</v>
      </c>
    </row>
    <row r="2645" spans="1:6" ht="14.1" customHeight="1" x14ac:dyDescent="0.25">
      <c r="A2645" s="94" t="s">
        <v>2200</v>
      </c>
      <c r="B2645" s="82" t="str">
        <f t="shared" ca="1" si="117"/>
        <v>Servicios de laboratorios de análisis de sangre</v>
      </c>
      <c r="C2645" s="95" t="str">
        <f>IFERROR(VLOOKUP("UD",'Informacion '!P:Q,2,FALSE),"")</f>
        <v>Unidad</v>
      </c>
      <c r="D2645" s="94">
        <v>108</v>
      </c>
      <c r="E2645" s="84">
        <v>48.5</v>
      </c>
      <c r="F2645" s="83">
        <f t="shared" ca="1" si="118"/>
        <v>5238</v>
      </c>
    </row>
    <row r="2646" spans="1:6" ht="14.1" customHeight="1" x14ac:dyDescent="0.25">
      <c r="A2646" s="94" t="s">
        <v>2200</v>
      </c>
      <c r="B2646" s="82" t="str">
        <f t="shared" ca="1" si="117"/>
        <v>Servicios de laboratorios de análisis de sangre</v>
      </c>
      <c r="C2646" s="95" t="str">
        <f>IFERROR(VLOOKUP("UD",'Informacion '!P:Q,2,FALSE),"")</f>
        <v>Unidad</v>
      </c>
      <c r="D2646" s="94">
        <v>2</v>
      </c>
      <c r="E2646" s="84">
        <v>14142.36</v>
      </c>
      <c r="F2646" s="83">
        <f t="shared" ca="1" si="118"/>
        <v>28284.720000000001</v>
      </c>
    </row>
    <row r="2647" spans="1:6" ht="14.1" customHeight="1" x14ac:dyDescent="0.25">
      <c r="A2647" s="94" t="s">
        <v>2200</v>
      </c>
      <c r="B2647" s="82" t="str">
        <f t="shared" ca="1" si="117"/>
        <v>Servicios de laboratorios de análisis de sangre</v>
      </c>
      <c r="C2647" s="95" t="str">
        <f>IFERROR(VLOOKUP("UD",'Informacion '!P:Q,2,FALSE),"")</f>
        <v>Unidad</v>
      </c>
      <c r="D2647" s="94">
        <v>3</v>
      </c>
      <c r="E2647" s="84">
        <v>3824.94</v>
      </c>
      <c r="F2647" s="83">
        <f t="shared" ca="1" si="118"/>
        <v>11474.82</v>
      </c>
    </row>
    <row r="2648" spans="1:6" ht="14.1" customHeight="1" x14ac:dyDescent="0.25">
      <c r="A2648" s="94" t="s">
        <v>2200</v>
      </c>
      <c r="B2648" s="82" t="str">
        <f t="shared" ca="1" si="117"/>
        <v>Servicios de laboratorios de análisis de sangre</v>
      </c>
      <c r="C2648" s="95" t="str">
        <f>IFERROR(VLOOKUP("UD",'Informacion '!P:Q,2,FALSE),"")</f>
        <v>Unidad</v>
      </c>
      <c r="D2648" s="94">
        <v>2</v>
      </c>
      <c r="E2648" s="84">
        <v>3205.05</v>
      </c>
      <c r="F2648" s="83">
        <f t="shared" ca="1" si="118"/>
        <v>6410.1</v>
      </c>
    </row>
    <row r="2649" spans="1:6" ht="14.1" customHeight="1" x14ac:dyDescent="0.25">
      <c r="A2649" s="94" t="s">
        <v>2200</v>
      </c>
      <c r="B2649" s="82" t="str">
        <f t="shared" ca="1" si="117"/>
        <v>Servicios de laboratorios de análisis de sangre</v>
      </c>
      <c r="C2649" s="95" t="str">
        <f>IFERROR(VLOOKUP("UD",'Informacion '!P:Q,2,FALSE),"")</f>
        <v>Unidad</v>
      </c>
      <c r="D2649" s="94">
        <v>4738</v>
      </c>
      <c r="E2649" s="84">
        <v>21.84</v>
      </c>
      <c r="F2649" s="83">
        <f t="shared" ca="1" si="118"/>
        <v>103477.92</v>
      </c>
    </row>
    <row r="2650" spans="1:6" ht="14.1" customHeight="1" x14ac:dyDescent="0.25">
      <c r="A2650" s="94" t="s">
        <v>2200</v>
      </c>
      <c r="B2650" s="82" t="str">
        <f t="shared" ca="1" si="117"/>
        <v>Servicios de laboratorios de análisis de sangre</v>
      </c>
      <c r="C2650" s="95" t="str">
        <f>IFERROR(VLOOKUP("UD",'Informacion '!P:Q,2,FALSE),"")</f>
        <v>Unidad</v>
      </c>
      <c r="D2650" s="94">
        <v>255</v>
      </c>
      <c r="E2650" s="84">
        <v>162.5</v>
      </c>
      <c r="F2650" s="83">
        <f t="shared" ca="1" si="118"/>
        <v>41437.5</v>
      </c>
    </row>
    <row r="2651" spans="1:6" ht="14.1" customHeight="1" x14ac:dyDescent="0.25">
      <c r="A2651" s="94" t="s">
        <v>2200</v>
      </c>
      <c r="B2651" s="82" t="str">
        <f t="shared" ca="1" si="117"/>
        <v>Servicios de laboratorios de análisis de sangre</v>
      </c>
      <c r="C2651" s="95" t="str">
        <f>IFERROR(VLOOKUP("UD",'Informacion '!P:Q,2,FALSE),"")</f>
        <v>Unidad</v>
      </c>
      <c r="D2651" s="94">
        <v>3</v>
      </c>
      <c r="E2651" s="84">
        <v>6912</v>
      </c>
      <c r="F2651" s="83">
        <f t="shared" ca="1" si="118"/>
        <v>20736</v>
      </c>
    </row>
    <row r="2652" spans="1:6" ht="14.1" customHeight="1" x14ac:dyDescent="0.25">
      <c r="A2652" s="94" t="s">
        <v>2200</v>
      </c>
      <c r="B2652" s="82" t="str">
        <f t="shared" ca="1" si="117"/>
        <v>Servicios de laboratorios de análisis de sangre</v>
      </c>
      <c r="C2652" s="95" t="str">
        <f>IFERROR(VLOOKUP("UD",'Informacion '!P:Q,2,FALSE),"")</f>
        <v>Unidad</v>
      </c>
      <c r="D2652" s="94">
        <v>837</v>
      </c>
      <c r="E2652" s="84">
        <v>68.739999999999995</v>
      </c>
      <c r="F2652" s="83">
        <f t="shared" ca="1" si="118"/>
        <v>57535.38</v>
      </c>
    </row>
    <row r="2653" spans="1:6" ht="14.1" customHeight="1" x14ac:dyDescent="0.25">
      <c r="A2653" s="94" t="s">
        <v>2200</v>
      </c>
      <c r="B2653" s="82" t="str">
        <f t="shared" ca="1" si="117"/>
        <v>Servicios de laboratorios de análisis de sangre</v>
      </c>
      <c r="C2653" s="95" t="str">
        <f>IFERROR(VLOOKUP("UD",'Informacion '!P:Q,2,FALSE),"")</f>
        <v>Unidad</v>
      </c>
      <c r="D2653" s="94">
        <v>2515</v>
      </c>
      <c r="E2653" s="84">
        <v>21.84</v>
      </c>
      <c r="F2653" s="83">
        <f t="shared" ca="1" si="118"/>
        <v>54927.6</v>
      </c>
    </row>
    <row r="2654" spans="1:6" ht="14.1" customHeight="1" x14ac:dyDescent="0.25">
      <c r="A2654" s="94" t="s">
        <v>2200</v>
      </c>
      <c r="B2654" s="82" t="str">
        <f t="shared" ca="1" si="117"/>
        <v>Servicios de laboratorios de análisis de sangre</v>
      </c>
      <c r="C2654" s="95" t="str">
        <f>IFERROR(VLOOKUP("UD",'Informacion '!P:Q,2,FALSE),"")</f>
        <v>Unidad</v>
      </c>
      <c r="D2654" s="94">
        <v>1</v>
      </c>
      <c r="E2654" s="84">
        <v>2558.17</v>
      </c>
      <c r="F2654" s="83">
        <f t="shared" ca="1" si="118"/>
        <v>2558.17</v>
      </c>
    </row>
    <row r="2655" spans="1:6" ht="14.1" customHeight="1" x14ac:dyDescent="0.25">
      <c r="A2655" s="94" t="s">
        <v>2200</v>
      </c>
      <c r="B2655" s="82" t="str">
        <f t="shared" ca="1" si="117"/>
        <v>Servicios de laboratorios de análisis de sangre</v>
      </c>
      <c r="C2655" s="95" t="str">
        <f>IFERROR(VLOOKUP("UD",'Informacion '!P:Q,2,FALSE),"")</f>
        <v>Unidad</v>
      </c>
      <c r="D2655" s="94">
        <v>30785</v>
      </c>
      <c r="E2655" s="84">
        <v>213.52</v>
      </c>
      <c r="F2655" s="83">
        <f t="shared" ca="1" si="118"/>
        <v>6573213.2000000002</v>
      </c>
    </row>
    <row r="2656" spans="1:6" ht="14.1" customHeight="1" x14ac:dyDescent="0.25">
      <c r="A2656" s="94" t="s">
        <v>2200</v>
      </c>
      <c r="B2656" s="82" t="str">
        <f t="shared" ca="1" si="117"/>
        <v>Servicios de laboratorios de análisis de sangre</v>
      </c>
      <c r="C2656" s="95" t="str">
        <f>IFERROR(VLOOKUP("UD",'Informacion '!P:Q,2,FALSE),"")</f>
        <v>Unidad</v>
      </c>
      <c r="D2656" s="94">
        <v>204</v>
      </c>
      <c r="E2656" s="84">
        <v>65.5</v>
      </c>
      <c r="F2656" s="83">
        <f t="shared" ca="1" si="118"/>
        <v>13362</v>
      </c>
    </row>
    <row r="2657" spans="1:10" ht="14.1" customHeight="1" x14ac:dyDescent="0.25">
      <c r="A2657" s="94" t="s">
        <v>2200</v>
      </c>
      <c r="B2657" s="82" t="str">
        <f t="shared" ca="1" si="117"/>
        <v>Servicios de laboratorios de análisis de sangre</v>
      </c>
      <c r="C2657" s="95" t="str">
        <f>IFERROR(VLOOKUP("UD",'Informacion '!P:Q,2,FALSE),"")</f>
        <v>Unidad</v>
      </c>
      <c r="D2657" s="94">
        <v>4</v>
      </c>
      <c r="E2657" s="84">
        <v>494.17</v>
      </c>
      <c r="F2657" s="83">
        <f t="shared" ca="1" si="118"/>
        <v>1976.68</v>
      </c>
    </row>
    <row r="2658" spans="1:10" ht="14.1" customHeight="1" x14ac:dyDescent="0.25">
      <c r="A2658" s="94" t="s">
        <v>2200</v>
      </c>
      <c r="B2658" s="82" t="str">
        <f t="shared" ca="1" si="117"/>
        <v>Servicios de laboratorios de análisis de sangre</v>
      </c>
      <c r="C2658" s="95" t="str">
        <f>IFERROR(VLOOKUP("UD",'Informacion '!P:Q,2,FALSE),"")</f>
        <v>Unidad</v>
      </c>
      <c r="D2658" s="94">
        <v>4</v>
      </c>
      <c r="E2658" s="84">
        <v>494.2</v>
      </c>
      <c r="F2658" s="83">
        <f t="shared" ca="1" si="118"/>
        <v>1976.8</v>
      </c>
    </row>
    <row r="2659" spans="1:10" ht="14.1" customHeight="1" x14ac:dyDescent="0.25">
      <c r="A2659" s="94" t="s">
        <v>2200</v>
      </c>
      <c r="B2659" s="82" t="str">
        <f t="shared" ca="1" si="117"/>
        <v>Servicios de laboratorios de análisis de sangre</v>
      </c>
      <c r="C2659" s="95" t="str">
        <f>IFERROR(VLOOKUP("UD",'Informacion '!P:Q,2,FALSE),"")</f>
        <v>Unidad</v>
      </c>
      <c r="D2659" s="94">
        <v>50</v>
      </c>
      <c r="E2659" s="84">
        <v>872.92</v>
      </c>
      <c r="F2659" s="83">
        <f t="shared" ca="1" si="118"/>
        <v>43646</v>
      </c>
    </row>
    <row r="2660" spans="1:10" ht="14.1" customHeight="1" x14ac:dyDescent="0.25">
      <c r="A2660" s="94" t="s">
        <v>2200</v>
      </c>
      <c r="B2660" s="82" t="str">
        <f t="shared" ca="1" si="117"/>
        <v>Servicios de laboratorios de análisis de sangre</v>
      </c>
      <c r="C2660" s="95" t="str">
        <f>IFERROR(VLOOKUP("UD",'Informacion '!P:Q,2,FALSE),"")</f>
        <v>Unidad</v>
      </c>
      <c r="D2660" s="94">
        <v>6</v>
      </c>
      <c r="E2660" s="84">
        <v>983.4</v>
      </c>
      <c r="F2660" s="83">
        <f t="shared" ca="1" si="118"/>
        <v>5900.4</v>
      </c>
    </row>
    <row r="2661" spans="1:10" ht="14.1" customHeight="1" x14ac:dyDescent="0.25">
      <c r="A2661" s="94" t="s">
        <v>2200</v>
      </c>
      <c r="B2661" s="82" t="str">
        <f t="shared" ca="1" si="117"/>
        <v>Servicios de laboratorios de análisis de sangre</v>
      </c>
      <c r="C2661" s="95" t="str">
        <f>IFERROR(VLOOKUP("UD",'Informacion '!P:Q,2,FALSE),"")</f>
        <v>Unidad</v>
      </c>
      <c r="D2661" s="94">
        <v>7</v>
      </c>
      <c r="E2661" s="84">
        <v>983.4</v>
      </c>
      <c r="F2661" s="83">
        <f t="shared" ca="1" si="118"/>
        <v>6883.8</v>
      </c>
    </row>
    <row r="2662" spans="1:10" ht="14.1" customHeight="1" x14ac:dyDescent="0.25">
      <c r="A2662" s="94" t="s">
        <v>2200</v>
      </c>
      <c r="B2662" s="82" t="str">
        <f t="shared" ca="1" si="117"/>
        <v>Servicios de laboratorios de análisis de sangre</v>
      </c>
      <c r="C2662" s="95" t="str">
        <f>IFERROR(VLOOKUP("UD",'Informacion '!P:Q,2,FALSE),"")</f>
        <v>Unidad</v>
      </c>
      <c r="D2662" s="94">
        <v>1</v>
      </c>
      <c r="E2662" s="84">
        <v>21024.17</v>
      </c>
      <c r="F2662" s="83">
        <f t="shared" ca="1" si="118"/>
        <v>21024.17</v>
      </c>
    </row>
    <row r="2663" spans="1:10" ht="14.1" customHeight="1" x14ac:dyDescent="0.25">
      <c r="A2663" s="94" t="s">
        <v>2200</v>
      </c>
      <c r="B2663" s="82" t="str">
        <f t="shared" ca="1" si="117"/>
        <v>Servicios de laboratorios de análisis de sangre</v>
      </c>
      <c r="C2663" s="95" t="str">
        <f>IFERROR(VLOOKUP("UD",'Informacion '!P:Q,2,FALSE),"")</f>
        <v>Unidad</v>
      </c>
      <c r="D2663" s="94">
        <v>1</v>
      </c>
      <c r="E2663" s="84">
        <v>21024.17</v>
      </c>
      <c r="F2663" s="83">
        <f t="shared" ca="1" si="118"/>
        <v>21024.17</v>
      </c>
    </row>
    <row r="2664" spans="1:10" ht="14.1" customHeight="1" x14ac:dyDescent="0.25">
      <c r="E2664" s="96" t="s">
        <v>7213</v>
      </c>
      <c r="F2664" s="87">
        <f ca="1">SUM(Table97[MONTO TOTAL ESTIMADO])</f>
        <v>9143687.2600000016</v>
      </c>
      <c r="H2664" s="39" t="str">
        <f>C2599</f>
        <v>Bienes</v>
      </c>
      <c r="I2664" s="39" t="str">
        <f>E2599</f>
        <v>No</v>
      </c>
      <c r="J2664" s="39" t="str">
        <f>D2599</f>
        <v>Excepción - Bienes o servicios con exclusividad</v>
      </c>
    </row>
    <row r="2666" spans="1:10" ht="33.950000000000003" customHeight="1" x14ac:dyDescent="0.25">
      <c r="A2666" s="77" t="s">
        <v>17233</v>
      </c>
      <c r="B2666" s="77" t="s">
        <v>4237</v>
      </c>
      <c r="C2666" s="77" t="s">
        <v>4743</v>
      </c>
      <c r="D2666" s="77" t="s">
        <v>9891</v>
      </c>
      <c r="E2666" s="77" t="s">
        <v>3089</v>
      </c>
      <c r="F2666" s="77" t="s">
        <v>18141</v>
      </c>
    </row>
    <row r="2667" spans="1:10" ht="14.1" customHeight="1" x14ac:dyDescent="0.25">
      <c r="A2667" s="79" t="s">
        <v>48</v>
      </c>
      <c r="B2667" s="79" t="s">
        <v>13290</v>
      </c>
      <c r="C2667" s="79" t="s">
        <v>17215</v>
      </c>
      <c r="D2667" s="79" t="s">
        <v>17798</v>
      </c>
      <c r="E2667" s="79" t="s">
        <v>18247</v>
      </c>
      <c r="F2667" s="79"/>
    </row>
    <row r="2668" spans="1:10" ht="14.1" customHeight="1" x14ac:dyDescent="0.25">
      <c r="A2668" s="2" t="s">
        <v>6643</v>
      </c>
      <c r="B2668" s="80" t="s">
        <v>1046</v>
      </c>
      <c r="C2668" s="90">
        <v>43739</v>
      </c>
      <c r="D2668" s="2" t="s">
        <v>59</v>
      </c>
      <c r="E2668" s="92" t="s">
        <v>20066</v>
      </c>
      <c r="F2668" s="93" t="s">
        <v>5684</v>
      </c>
    </row>
    <row r="2669" spans="1:10" ht="14.1" customHeight="1" x14ac:dyDescent="0.25">
      <c r="A2669" s="1"/>
      <c r="B2669" s="80" t="s">
        <v>10788</v>
      </c>
      <c r="C2669" s="91">
        <f>IF(C2668="","",IF(AND(MONTH(C2668)&gt;=1,MONTH(C2668)&lt;=3),1,IF(AND(MONTH(C2668)&gt;=4,MONTH(C2668)&lt;=6),2,IF(AND(MONTH(C2668)&gt;=7,MONTH(C2668)&lt;=9),3,4))))</f>
        <v>4</v>
      </c>
      <c r="D2669" s="1"/>
      <c r="E2669" s="92" t="s">
        <v>14822</v>
      </c>
      <c r="F2669" s="93"/>
    </row>
    <row r="2670" spans="1:10" ht="14.1" customHeight="1" x14ac:dyDescent="0.25">
      <c r="A2670" s="1"/>
      <c r="B2670" s="80" t="s">
        <v>13758</v>
      </c>
      <c r="C2670" s="90">
        <v>43830</v>
      </c>
      <c r="D2670" s="1"/>
      <c r="E2670" s="92" t="s">
        <v>18636</v>
      </c>
      <c r="F2670" s="93"/>
    </row>
    <row r="2671" spans="1:10" ht="14.1" customHeight="1" x14ac:dyDescent="0.25">
      <c r="A2671" s="1"/>
      <c r="B2671" s="80" t="s">
        <v>10788</v>
      </c>
      <c r="C2671" s="91">
        <f>IF(C2670="","",IF(AND(MONTH(C2670)&gt;=1,MONTH(C2670)&lt;=3),1,IF(AND(MONTH(C2670)&gt;=4,MONTH(C2670)&lt;=6),2,IF(AND(MONTH(C2670)&gt;=7,MONTH(C2670)&lt;=9),3,4))))</f>
        <v>4</v>
      </c>
      <c r="D2671" s="1"/>
      <c r="E2671" s="92" t="s">
        <v>15990</v>
      </c>
      <c r="F2671" s="93"/>
    </row>
    <row r="2673" spans="1:6" ht="14.1" customHeight="1" x14ac:dyDescent="0.25">
      <c r="A2673" s="85" t="s">
        <v>15474</v>
      </c>
      <c r="B2673" s="85" t="s">
        <v>5027</v>
      </c>
      <c r="C2673" s="85" t="s">
        <v>17461</v>
      </c>
      <c r="D2673" s="85" t="s">
        <v>3935</v>
      </c>
      <c r="E2673" s="85" t="s">
        <v>10722</v>
      </c>
      <c r="F2673" s="85" t="s">
        <v>18237</v>
      </c>
    </row>
    <row r="2674" spans="1:6" ht="14.1" customHeight="1" x14ac:dyDescent="0.25">
      <c r="A2674" s="94" t="s">
        <v>10483</v>
      </c>
      <c r="B267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674" s="95" t="str">
        <f>IFERROR(VLOOKUP("UD",'Informacion '!P:Q,2,FALSE),"")</f>
        <v>Unidad</v>
      </c>
      <c r="D2674" s="94">
        <v>14</v>
      </c>
      <c r="E2674" s="84">
        <v>510.62</v>
      </c>
      <c r="F2674" s="83">
        <f t="shared" ref="F2674:F2690" ca="1" si="119">INDIRECT(ADDRESS(ROW(),COLUMN()-2,4))*INDIRECT(ADDRESS(ROW(),COLUMN()-1,4))</f>
        <v>7148.68</v>
      </c>
    </row>
    <row r="2675" spans="1:6" ht="14.1" customHeight="1" x14ac:dyDescent="0.25">
      <c r="A2675" s="94" t="s">
        <v>10483</v>
      </c>
      <c r="B2675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675" s="95" t="str">
        <f>IFERROR(VLOOKUP("UD",'Informacion '!P:Q,2,FALSE),"")</f>
        <v>Unidad</v>
      </c>
      <c r="D2675" s="94">
        <v>14</v>
      </c>
      <c r="E2675" s="84">
        <v>564.67999999999995</v>
      </c>
      <c r="F2675" s="83">
        <f t="shared" ca="1" si="119"/>
        <v>7905.5199999999995</v>
      </c>
    </row>
    <row r="2676" spans="1:6" ht="14.1" customHeight="1" x14ac:dyDescent="0.25">
      <c r="A2676" s="94" t="s">
        <v>18181</v>
      </c>
      <c r="B2676" s="82" t="str">
        <f t="shared" ref="B2676:B2686" ca="1" si="120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2676" s="95" t="str">
        <f>IFERROR(VLOOKUP("UD",'Informacion '!P:Q,2,FALSE),"")</f>
        <v>Unidad</v>
      </c>
      <c r="D2676" s="94">
        <v>4</v>
      </c>
      <c r="E2676" s="84">
        <v>48.38</v>
      </c>
      <c r="F2676" s="83">
        <f t="shared" ca="1" si="119"/>
        <v>193.52</v>
      </c>
    </row>
    <row r="2677" spans="1:6" ht="14.1" customHeight="1" x14ac:dyDescent="0.25">
      <c r="A2677" s="94" t="s">
        <v>18181</v>
      </c>
      <c r="B2677" s="82" t="str">
        <f t="shared" ca="1" si="120"/>
        <v>Kits de cricotiroidotomía o tubo traqueal para servicios médicos de emergencia</v>
      </c>
      <c r="C2677" s="95" t="str">
        <f>IFERROR(VLOOKUP("UD",'Informacion '!P:Q,2,FALSE),"")</f>
        <v>Unidad</v>
      </c>
      <c r="D2677" s="94">
        <v>10</v>
      </c>
      <c r="E2677" s="84">
        <v>236</v>
      </c>
      <c r="F2677" s="83">
        <f t="shared" ca="1" si="119"/>
        <v>2360</v>
      </c>
    </row>
    <row r="2678" spans="1:6" ht="14.1" customHeight="1" x14ac:dyDescent="0.25">
      <c r="A2678" s="94" t="s">
        <v>18181</v>
      </c>
      <c r="B2678" s="82" t="str">
        <f t="shared" ca="1" si="120"/>
        <v>Kits de cricotiroidotomía o tubo traqueal para servicios médicos de emergencia</v>
      </c>
      <c r="C2678" s="95" t="str">
        <f>IFERROR(VLOOKUP("UD",'Informacion '!P:Q,2,FALSE),"")</f>
        <v>Unidad</v>
      </c>
      <c r="D2678" s="94">
        <v>6</v>
      </c>
      <c r="E2678" s="84">
        <v>236</v>
      </c>
      <c r="F2678" s="83">
        <f t="shared" ca="1" si="119"/>
        <v>1416</v>
      </c>
    </row>
    <row r="2679" spans="1:6" ht="14.1" customHeight="1" x14ac:dyDescent="0.25">
      <c r="A2679" s="94" t="s">
        <v>18181</v>
      </c>
      <c r="B2679" s="82" t="str">
        <f t="shared" ca="1" si="120"/>
        <v>Kits de cricotiroidotomía o tubo traqueal para servicios médicos de emergencia</v>
      </c>
      <c r="C2679" s="95" t="str">
        <f>IFERROR(VLOOKUP("UD",'Informacion '!P:Q,2,FALSE),"")</f>
        <v>Unidad</v>
      </c>
      <c r="D2679" s="94">
        <v>6</v>
      </c>
      <c r="E2679" s="84">
        <v>235.79</v>
      </c>
      <c r="F2679" s="83">
        <f t="shared" ca="1" si="119"/>
        <v>1414.74</v>
      </c>
    </row>
    <row r="2680" spans="1:6" ht="14.1" customHeight="1" x14ac:dyDescent="0.25">
      <c r="A2680" s="94" t="s">
        <v>18181</v>
      </c>
      <c r="B2680" s="82" t="str">
        <f t="shared" ca="1" si="120"/>
        <v>Kits de cricotiroidotomía o tubo traqueal para servicios médicos de emergencia</v>
      </c>
      <c r="C2680" s="95" t="str">
        <f>IFERROR(VLOOKUP("UD",'Informacion '!P:Q,2,FALSE),"")</f>
        <v>Unidad</v>
      </c>
      <c r="D2680" s="94">
        <v>4</v>
      </c>
      <c r="E2680" s="84">
        <v>34</v>
      </c>
      <c r="F2680" s="83">
        <f t="shared" ca="1" si="119"/>
        <v>136</v>
      </c>
    </row>
    <row r="2681" spans="1:6" ht="14.1" customHeight="1" x14ac:dyDescent="0.25">
      <c r="A2681" s="94" t="s">
        <v>18181</v>
      </c>
      <c r="B2681" s="82" t="str">
        <f t="shared" ca="1" si="120"/>
        <v>Kits de cricotiroidotomía o tubo traqueal para servicios médicos de emergencia</v>
      </c>
      <c r="C2681" s="95" t="str">
        <f>IFERROR(VLOOKUP("UD",'Informacion '!P:Q,2,FALSE),"")</f>
        <v>Unidad</v>
      </c>
      <c r="D2681" s="94">
        <v>4</v>
      </c>
      <c r="E2681" s="84">
        <v>27.03</v>
      </c>
      <c r="F2681" s="83">
        <f t="shared" ca="1" si="119"/>
        <v>108.12</v>
      </c>
    </row>
    <row r="2682" spans="1:6" ht="14.1" customHeight="1" x14ac:dyDescent="0.25">
      <c r="A2682" s="94" t="s">
        <v>18181</v>
      </c>
      <c r="B2682" s="82" t="str">
        <f t="shared" ca="1" si="120"/>
        <v>Kits de cricotiroidotomía o tubo traqueal para servicios médicos de emergencia</v>
      </c>
      <c r="C2682" s="95" t="str">
        <f>IFERROR(VLOOKUP("UD",'Informacion '!P:Q,2,FALSE),"")</f>
        <v>Unidad</v>
      </c>
      <c r="D2682" s="94">
        <v>4</v>
      </c>
      <c r="E2682" s="84">
        <v>32.659999999999997</v>
      </c>
      <c r="F2682" s="83">
        <f t="shared" ca="1" si="119"/>
        <v>130.63999999999999</v>
      </c>
    </row>
    <row r="2683" spans="1:6" ht="14.1" customHeight="1" x14ac:dyDescent="0.25">
      <c r="A2683" s="94" t="s">
        <v>18181</v>
      </c>
      <c r="B2683" s="82" t="str">
        <f t="shared" ca="1" si="120"/>
        <v>Kits de cricotiroidotomía o tubo traqueal para servicios médicos de emergencia</v>
      </c>
      <c r="C2683" s="95" t="str">
        <f>IFERROR(VLOOKUP("UD",'Informacion '!P:Q,2,FALSE),"")</f>
        <v>Unidad</v>
      </c>
      <c r="D2683" s="94">
        <v>4</v>
      </c>
      <c r="E2683" s="84">
        <v>41.47</v>
      </c>
      <c r="F2683" s="83">
        <f t="shared" ca="1" si="119"/>
        <v>165.88</v>
      </c>
    </row>
    <row r="2684" spans="1:6" ht="14.1" customHeight="1" x14ac:dyDescent="0.25">
      <c r="A2684" s="94" t="s">
        <v>18181</v>
      </c>
      <c r="B2684" s="82" t="str">
        <f t="shared" ca="1" si="120"/>
        <v>Kits de cricotiroidotomía o tubo traqueal para servicios médicos de emergencia</v>
      </c>
      <c r="C2684" s="95" t="str">
        <f>IFERROR(VLOOKUP("UD",'Informacion '!P:Q,2,FALSE),"")</f>
        <v>Unidad</v>
      </c>
      <c r="D2684" s="94">
        <v>28</v>
      </c>
      <c r="E2684" s="84">
        <v>28.04</v>
      </c>
      <c r="F2684" s="83">
        <f t="shared" ca="1" si="119"/>
        <v>785.12</v>
      </c>
    </row>
    <row r="2685" spans="1:6" ht="14.1" customHeight="1" x14ac:dyDescent="0.25">
      <c r="A2685" s="94" t="s">
        <v>18181</v>
      </c>
      <c r="B2685" s="82" t="str">
        <f t="shared" ca="1" si="120"/>
        <v>Kits de cricotiroidotomía o tubo traqueal para servicios médicos de emergencia</v>
      </c>
      <c r="C2685" s="95" t="str">
        <f>IFERROR(VLOOKUP("UD",'Informacion '!P:Q,2,FALSE),"")</f>
        <v>Unidad</v>
      </c>
      <c r="D2685" s="94">
        <v>50</v>
      </c>
      <c r="E2685" s="84">
        <v>23.97</v>
      </c>
      <c r="F2685" s="83">
        <f t="shared" ca="1" si="119"/>
        <v>1198.5</v>
      </c>
    </row>
    <row r="2686" spans="1:6" ht="14.1" customHeight="1" x14ac:dyDescent="0.25">
      <c r="A2686" s="94" t="s">
        <v>18181</v>
      </c>
      <c r="B2686" s="82" t="str">
        <f t="shared" ca="1" si="120"/>
        <v>Kits de cricotiroidotomía o tubo traqueal para servicios médicos de emergencia</v>
      </c>
      <c r="C2686" s="95" t="str">
        <f>IFERROR(VLOOKUP("UD",'Informacion '!P:Q,2,FALSE),"")</f>
        <v>Unidad</v>
      </c>
      <c r="D2686" s="94">
        <v>18</v>
      </c>
      <c r="E2686" s="84">
        <v>29.09</v>
      </c>
      <c r="F2686" s="83">
        <f t="shared" ca="1" si="119"/>
        <v>523.62</v>
      </c>
    </row>
    <row r="2687" spans="1:6" ht="14.1" customHeight="1" x14ac:dyDescent="0.25">
      <c r="A2687" s="94" t="s">
        <v>4226</v>
      </c>
      <c r="B2687" s="82" t="str">
        <f ca="1">IFERROR(INDEX(UNSPSCDes,MATCH(INDIRECT(ADDRESS(ROW(),COLUMN()-1,4)),UNSPSCCode,0)),IF(INDIRECT(ADDRESS(ROW(),COLUMN()-1,4))="10141609","Sujetadores",""))</f>
        <v>Sujetadores</v>
      </c>
      <c r="C2687" s="95" t="str">
        <f>IFERROR(VLOOKUP("UD",'Informacion '!P:Q,2,FALSE),"")</f>
        <v>Unidad</v>
      </c>
      <c r="D2687" s="94">
        <v>26</v>
      </c>
      <c r="E2687" s="84">
        <v>667.88</v>
      </c>
      <c r="F2687" s="83">
        <f t="shared" ca="1" si="119"/>
        <v>17364.88</v>
      </c>
    </row>
    <row r="2688" spans="1:6" ht="14.1" customHeight="1" x14ac:dyDescent="0.25">
      <c r="A2688" s="94" t="s">
        <v>10550</v>
      </c>
      <c r="B268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2688" s="95" t="str">
        <f>IFERROR(VLOOKUP("UD",'Informacion '!P:Q,2,FALSE),"")</f>
        <v>Unidad</v>
      </c>
      <c r="D2688" s="94">
        <v>8</v>
      </c>
      <c r="E2688" s="84">
        <v>3500</v>
      </c>
      <c r="F2688" s="83">
        <f t="shared" ca="1" si="119"/>
        <v>28000</v>
      </c>
    </row>
    <row r="2689" spans="1:10" ht="14.1" customHeight="1" x14ac:dyDescent="0.25">
      <c r="A2689" s="94" t="s">
        <v>4226</v>
      </c>
      <c r="B2689" s="82" t="str">
        <f ca="1">IFERROR(INDEX(UNSPSCDes,MATCH(INDIRECT(ADDRESS(ROW(),COLUMN()-1,4)),UNSPSCCode,0)),IF(INDIRECT(ADDRESS(ROW(),COLUMN()-1,4))="10141609","Sujetadores",""))</f>
        <v>Sujetadores</v>
      </c>
      <c r="C2689" s="95" t="str">
        <f>IFERROR(VLOOKUP("UD",'Informacion '!P:Q,2,FALSE),"")</f>
        <v>Unidad</v>
      </c>
      <c r="D2689" s="94">
        <v>24</v>
      </c>
      <c r="E2689" s="84">
        <v>1005.8</v>
      </c>
      <c r="F2689" s="83">
        <f t="shared" ca="1" si="119"/>
        <v>24139.199999999997</v>
      </c>
    </row>
    <row r="2690" spans="1:10" ht="14.1" customHeight="1" x14ac:dyDescent="0.25">
      <c r="A2690" s="94" t="s">
        <v>18181</v>
      </c>
      <c r="B2690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2690" s="95" t="str">
        <f>IFERROR(VLOOKUP("UD",'Informacion '!P:Q,2,FALSE),"")</f>
        <v>Unidad</v>
      </c>
      <c r="D2690" s="94">
        <v>6</v>
      </c>
      <c r="E2690" s="84">
        <v>45369</v>
      </c>
      <c r="F2690" s="83">
        <f t="shared" ca="1" si="119"/>
        <v>272214</v>
      </c>
    </row>
    <row r="2691" spans="1:10" ht="14.1" customHeight="1" x14ac:dyDescent="0.25">
      <c r="E2691" s="96" t="s">
        <v>7213</v>
      </c>
      <c r="F2691" s="87">
        <f ca="1">SUM(Table98[MONTO TOTAL ESTIMADO])</f>
        <v>365204.42</v>
      </c>
      <c r="H2691" s="39" t="str">
        <f>C2667</f>
        <v>Bienes</v>
      </c>
      <c r="I2691" s="39" t="str">
        <f>E2667</f>
        <v>No</v>
      </c>
      <c r="J2691" s="39" t="str">
        <f>D2667</f>
        <v>Compras Menores</v>
      </c>
    </row>
    <row r="2693" spans="1:10" ht="33.950000000000003" customHeight="1" x14ac:dyDescent="0.25">
      <c r="A2693" s="77" t="s">
        <v>17233</v>
      </c>
      <c r="B2693" s="77" t="s">
        <v>4237</v>
      </c>
      <c r="C2693" s="77" t="s">
        <v>4743</v>
      </c>
      <c r="D2693" s="77" t="s">
        <v>9891</v>
      </c>
      <c r="E2693" s="77" t="s">
        <v>3089</v>
      </c>
      <c r="F2693" s="77" t="s">
        <v>18141</v>
      </c>
    </row>
    <row r="2694" spans="1:10" ht="14.1" customHeight="1" x14ac:dyDescent="0.25">
      <c r="A2694" s="79" t="s">
        <v>9381</v>
      </c>
      <c r="B2694" s="79" t="s">
        <v>6486</v>
      </c>
      <c r="C2694" s="79" t="s">
        <v>17215</v>
      </c>
      <c r="D2694" s="79" t="s">
        <v>15249</v>
      </c>
      <c r="E2694" s="79" t="s">
        <v>18247</v>
      </c>
      <c r="F2694" s="79"/>
    </row>
    <row r="2695" spans="1:10" ht="14.1" customHeight="1" x14ac:dyDescent="0.25">
      <c r="A2695" s="2" t="s">
        <v>6643</v>
      </c>
      <c r="B2695" s="80" t="s">
        <v>1046</v>
      </c>
      <c r="C2695" s="90">
        <v>43556</v>
      </c>
      <c r="D2695" s="2" t="s">
        <v>59</v>
      </c>
      <c r="E2695" s="92" t="s">
        <v>20066</v>
      </c>
      <c r="F2695" s="93"/>
    </row>
    <row r="2696" spans="1:10" ht="14.1" customHeight="1" x14ac:dyDescent="0.25">
      <c r="A2696" s="1"/>
      <c r="B2696" s="80" t="s">
        <v>10788</v>
      </c>
      <c r="C2696" s="91">
        <f>IF(C2695="","",IF(AND(MONTH(C2695)&gt;=1,MONTH(C2695)&lt;=3),1,IF(AND(MONTH(C2695)&gt;=4,MONTH(C2695)&lt;=6),2,IF(AND(MONTH(C2695)&gt;=7,MONTH(C2695)&lt;=9),3,4))))</f>
        <v>2</v>
      </c>
      <c r="D2696" s="1"/>
      <c r="E2696" s="92" t="s">
        <v>14822</v>
      </c>
      <c r="F2696" s="93"/>
    </row>
    <row r="2697" spans="1:10" ht="14.1" customHeight="1" x14ac:dyDescent="0.25">
      <c r="A2697" s="1"/>
      <c r="B2697" s="80" t="s">
        <v>13758</v>
      </c>
      <c r="C2697" s="90">
        <v>43644</v>
      </c>
      <c r="D2697" s="1"/>
      <c r="E2697" s="92" t="s">
        <v>18636</v>
      </c>
      <c r="F2697" s="93"/>
    </row>
    <row r="2698" spans="1:10" ht="14.1" customHeight="1" x14ac:dyDescent="0.25">
      <c r="A2698" s="1"/>
      <c r="B2698" s="80" t="s">
        <v>10788</v>
      </c>
      <c r="C2698" s="91">
        <f>IF(C2697="","",IF(AND(MONTH(C2697)&gt;=1,MONTH(C2697)&lt;=3),1,IF(AND(MONTH(C2697)&gt;=4,MONTH(C2697)&lt;=6),2,IF(AND(MONTH(C2697)&gt;=7,MONTH(C2697)&lt;=9),3,4))))</f>
        <v>2</v>
      </c>
      <c r="D2698" s="1"/>
      <c r="E2698" s="92" t="s">
        <v>15990</v>
      </c>
      <c r="F2698" s="93"/>
    </row>
    <row r="2700" spans="1:10" ht="14.1" customHeight="1" x14ac:dyDescent="0.25">
      <c r="A2700" s="85" t="s">
        <v>15474</v>
      </c>
      <c r="B2700" s="85" t="s">
        <v>5027</v>
      </c>
      <c r="C2700" s="85" t="s">
        <v>17461</v>
      </c>
      <c r="D2700" s="85" t="s">
        <v>3935</v>
      </c>
      <c r="E2700" s="85" t="s">
        <v>10722</v>
      </c>
      <c r="F2700" s="85" t="s">
        <v>18237</v>
      </c>
    </row>
    <row r="2701" spans="1:10" ht="14.1" customHeight="1" x14ac:dyDescent="0.25">
      <c r="A2701" s="94" t="s">
        <v>395</v>
      </c>
      <c r="B2701" s="82" t="str">
        <f ca="1">IFERROR(INDEX(UNSPSCDes,MATCH(INDIRECT(ADDRESS(ROW(),COLUMN()-1,4)),UNSPSCCode,0)),IF(INDIRECT(ADDRESS(ROW(),COLUMN()-1,4))="14111703","Toallas de papel",""))</f>
        <v>Toallas de papel</v>
      </c>
      <c r="C2701" s="95" t="str">
        <f>IFERROR(VLOOKUP("UD",'Informacion '!P:Q,2,FALSE),"")</f>
        <v>Unidad</v>
      </c>
      <c r="D2701" s="94">
        <v>500</v>
      </c>
      <c r="E2701" s="84">
        <v>1401.84</v>
      </c>
      <c r="F2701" s="83">
        <f t="shared" ref="F2701:F2732" ca="1" si="121">INDIRECT(ADDRESS(ROW(),COLUMN()-2,4))*INDIRECT(ADDRESS(ROW(),COLUMN()-1,4))</f>
        <v>700920</v>
      </c>
    </row>
    <row r="2702" spans="1:10" ht="14.1" customHeight="1" x14ac:dyDescent="0.25">
      <c r="A2702" s="94" t="s">
        <v>7445</v>
      </c>
      <c r="B2702" s="82" t="str">
        <f ca="1">IFERROR(INDEX(UNSPSCDes,MATCH(INDIRECT(ADDRESS(ROW(),COLUMN()-1,4)),UNSPSCCode,0)),IF(INDIRECT(ADDRESS(ROW(),COLUMN()-1,4))="14111704","Papel higiénico",""))</f>
        <v>Papel higiénico</v>
      </c>
      <c r="C2702" s="95" t="str">
        <f>IFERROR(VLOOKUP("UD",'Informacion '!P:Q,2,FALSE),"")</f>
        <v>Unidad</v>
      </c>
      <c r="D2702" s="94">
        <v>640</v>
      </c>
      <c r="E2702" s="84">
        <v>529</v>
      </c>
      <c r="F2702" s="83">
        <f t="shared" ca="1" si="121"/>
        <v>338560</v>
      </c>
    </row>
    <row r="2703" spans="1:10" ht="14.1" customHeight="1" x14ac:dyDescent="0.25">
      <c r="A2703" s="94" t="s">
        <v>12096</v>
      </c>
      <c r="B2703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2703" s="95" t="str">
        <f>IFERROR(VLOOKUP("UD",'Informacion '!P:Q,2,FALSE),"")</f>
        <v>Unidad</v>
      </c>
      <c r="D2703" s="94">
        <v>200</v>
      </c>
      <c r="E2703" s="84">
        <v>90</v>
      </c>
      <c r="F2703" s="83">
        <f t="shared" ca="1" si="121"/>
        <v>18000</v>
      </c>
    </row>
    <row r="2704" spans="1:10" ht="14.1" customHeight="1" x14ac:dyDescent="0.25">
      <c r="A2704" s="94" t="s">
        <v>12096</v>
      </c>
      <c r="B2704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2704" s="95" t="str">
        <f>IFERROR(VLOOKUP("UD",'Informacion '!P:Q,2,FALSE),"")</f>
        <v>Unidad</v>
      </c>
      <c r="D2704" s="94">
        <v>200</v>
      </c>
      <c r="E2704" s="84">
        <v>90</v>
      </c>
      <c r="F2704" s="83">
        <f t="shared" ca="1" si="121"/>
        <v>18000</v>
      </c>
    </row>
    <row r="2705" spans="1:6" ht="14.1" customHeight="1" x14ac:dyDescent="0.25">
      <c r="A2705" s="94" t="s">
        <v>12096</v>
      </c>
      <c r="B2705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2705" s="95" t="str">
        <f>IFERROR(VLOOKUP("UD",'Informacion '!P:Q,2,FALSE),"")</f>
        <v>Unidad</v>
      </c>
      <c r="D2705" s="94">
        <v>200</v>
      </c>
      <c r="E2705" s="84">
        <v>90</v>
      </c>
      <c r="F2705" s="83">
        <f t="shared" ca="1" si="121"/>
        <v>18000</v>
      </c>
    </row>
    <row r="2706" spans="1:6" ht="14.1" customHeight="1" x14ac:dyDescent="0.25">
      <c r="A2706" s="94" t="s">
        <v>1878</v>
      </c>
      <c r="B2706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706" s="95" t="str">
        <f>IFERROR(VLOOKUP("UD",'Informacion '!P:Q,2,FALSE),"")</f>
        <v>Unidad</v>
      </c>
      <c r="D2706" s="94">
        <v>20</v>
      </c>
      <c r="E2706" s="84">
        <v>1100</v>
      </c>
      <c r="F2706" s="83">
        <f t="shared" ca="1" si="121"/>
        <v>22000</v>
      </c>
    </row>
    <row r="2707" spans="1:6" ht="14.1" customHeight="1" x14ac:dyDescent="0.25">
      <c r="A2707" s="94" t="s">
        <v>1878</v>
      </c>
      <c r="B2707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707" s="95" t="str">
        <f>IFERROR(VLOOKUP("UD",'Informacion '!P:Q,2,FALSE),"")</f>
        <v>Unidad</v>
      </c>
      <c r="D2707" s="94">
        <v>10</v>
      </c>
      <c r="E2707" s="84">
        <v>1200</v>
      </c>
      <c r="F2707" s="83">
        <f t="shared" ca="1" si="121"/>
        <v>12000</v>
      </c>
    </row>
    <row r="2708" spans="1:6" ht="14.1" customHeight="1" x14ac:dyDescent="0.25">
      <c r="A2708" s="94" t="s">
        <v>1878</v>
      </c>
      <c r="B2708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708" s="95" t="str">
        <f>IFERROR(VLOOKUP("UD",'Informacion '!P:Q,2,FALSE),"")</f>
        <v>Unidad</v>
      </c>
      <c r="D2708" s="94">
        <v>5</v>
      </c>
      <c r="E2708" s="84">
        <v>1250</v>
      </c>
      <c r="F2708" s="83">
        <f t="shared" ca="1" si="121"/>
        <v>6250</v>
      </c>
    </row>
    <row r="2709" spans="1:6" ht="14.1" customHeight="1" x14ac:dyDescent="0.25">
      <c r="A2709" s="94" t="s">
        <v>6997</v>
      </c>
      <c r="B2709" s="82" t="str">
        <f ca="1">IFERROR(INDEX(UNSPSCDes,MATCH(INDIRECT(ADDRESS(ROW(),COLUMN()-1,4)),UNSPSCCode,0)),IF(INDIRECT(ADDRESS(ROW(),COLUMN()-1,4))="52121703","Paños para lavar",""))</f>
        <v>Paños para lavar</v>
      </c>
      <c r="C2709" s="95" t="str">
        <f>IFERROR(VLOOKUP("UD",'Informacion '!P:Q,2,FALSE),"")</f>
        <v>Unidad</v>
      </c>
      <c r="D2709" s="94">
        <v>50</v>
      </c>
      <c r="E2709" s="84">
        <v>560</v>
      </c>
      <c r="F2709" s="83">
        <f t="shared" ca="1" si="121"/>
        <v>28000</v>
      </c>
    </row>
    <row r="2710" spans="1:6" ht="14.1" customHeight="1" x14ac:dyDescent="0.25">
      <c r="A2710" s="94" t="s">
        <v>6997</v>
      </c>
      <c r="B2710" s="82" t="str">
        <f ca="1">IFERROR(INDEX(UNSPSCDes,MATCH(INDIRECT(ADDRESS(ROW(),COLUMN()-1,4)),UNSPSCCode,0)),IF(INDIRECT(ADDRESS(ROW(),COLUMN()-1,4))="52121703","Paños para lavar",""))</f>
        <v>Paños para lavar</v>
      </c>
      <c r="C2710" s="95" t="str">
        <f>IFERROR(VLOOKUP("UD",'Informacion '!P:Q,2,FALSE),"")</f>
        <v>Unidad</v>
      </c>
      <c r="D2710" s="94">
        <v>50</v>
      </c>
      <c r="E2710" s="84">
        <v>820</v>
      </c>
      <c r="F2710" s="83">
        <f t="shared" ca="1" si="121"/>
        <v>41000</v>
      </c>
    </row>
    <row r="2711" spans="1:6" ht="14.1" customHeight="1" x14ac:dyDescent="0.25">
      <c r="A2711" s="94" t="s">
        <v>6997</v>
      </c>
      <c r="B2711" s="82" t="str">
        <f ca="1">IFERROR(INDEX(UNSPSCDes,MATCH(INDIRECT(ADDRESS(ROW(),COLUMN()-1,4)),UNSPSCCode,0)),IF(INDIRECT(ADDRESS(ROW(),COLUMN()-1,4))="52121703","Paños para lavar",""))</f>
        <v>Paños para lavar</v>
      </c>
      <c r="C2711" s="95" t="str">
        <f>IFERROR(VLOOKUP("UD",'Informacion '!P:Q,2,FALSE),"")</f>
        <v>Unidad</v>
      </c>
      <c r="D2711" s="94">
        <v>50</v>
      </c>
      <c r="E2711" s="84">
        <v>835</v>
      </c>
      <c r="F2711" s="83">
        <f t="shared" ca="1" si="121"/>
        <v>41750</v>
      </c>
    </row>
    <row r="2712" spans="1:6" ht="14.1" customHeight="1" x14ac:dyDescent="0.25">
      <c r="A2712" s="94" t="s">
        <v>1878</v>
      </c>
      <c r="B2712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712" s="95" t="str">
        <f>IFERROR(VLOOKUP("UD",'Informacion '!P:Q,2,FALSE),"")</f>
        <v>Unidad</v>
      </c>
      <c r="D2712" s="94">
        <v>18</v>
      </c>
      <c r="E2712" s="84">
        <v>985</v>
      </c>
      <c r="F2712" s="83">
        <f t="shared" ca="1" si="121"/>
        <v>17730</v>
      </c>
    </row>
    <row r="2713" spans="1:6" ht="14.1" customHeight="1" x14ac:dyDescent="0.25">
      <c r="A2713" s="94" t="s">
        <v>1878</v>
      </c>
      <c r="B2713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713" s="95" t="str">
        <f>IFERROR(VLOOKUP("UD",'Informacion '!P:Q,2,FALSE),"")</f>
        <v>Unidad</v>
      </c>
      <c r="D2713" s="94">
        <v>18</v>
      </c>
      <c r="E2713" s="84">
        <v>1690</v>
      </c>
      <c r="F2713" s="83">
        <f t="shared" ca="1" si="121"/>
        <v>30420</v>
      </c>
    </row>
    <row r="2714" spans="1:6" ht="14.1" customHeight="1" x14ac:dyDescent="0.25">
      <c r="A2714" s="94" t="s">
        <v>1878</v>
      </c>
      <c r="B2714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714" s="95" t="str">
        <f>IFERROR(VLOOKUP("UD",'Informacion '!P:Q,2,FALSE),"")</f>
        <v>Unidad</v>
      </c>
      <c r="D2714" s="94">
        <v>18</v>
      </c>
      <c r="E2714" s="84">
        <v>1750</v>
      </c>
      <c r="F2714" s="83">
        <f t="shared" ca="1" si="121"/>
        <v>31500</v>
      </c>
    </row>
    <row r="2715" spans="1:6" ht="14.1" customHeight="1" x14ac:dyDescent="0.25">
      <c r="A2715" s="94" t="s">
        <v>1878</v>
      </c>
      <c r="B2715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715" s="95" t="str">
        <f>IFERROR(VLOOKUP("UD",'Informacion '!P:Q,2,FALSE),"")</f>
        <v>Unidad</v>
      </c>
      <c r="D2715" s="94">
        <v>18</v>
      </c>
      <c r="E2715" s="84">
        <v>1825</v>
      </c>
      <c r="F2715" s="83">
        <f t="shared" ca="1" si="121"/>
        <v>32850</v>
      </c>
    </row>
    <row r="2716" spans="1:6" ht="14.1" customHeight="1" x14ac:dyDescent="0.25">
      <c r="A2716" s="94" t="s">
        <v>6997</v>
      </c>
      <c r="B2716" s="82" t="str">
        <f ca="1">IFERROR(INDEX(UNSPSCDes,MATCH(INDIRECT(ADDRESS(ROW(),COLUMN()-1,4)),UNSPSCCode,0)),IF(INDIRECT(ADDRESS(ROW(),COLUMN()-1,4))="52121703","Paños para lavar",""))</f>
        <v>Paños para lavar</v>
      </c>
      <c r="C2716" s="95" t="str">
        <f>IFERROR(VLOOKUP("UD",'Informacion '!P:Q,2,FALSE),"")</f>
        <v>Unidad</v>
      </c>
      <c r="D2716" s="94">
        <v>30</v>
      </c>
      <c r="E2716" s="84">
        <v>495</v>
      </c>
      <c r="F2716" s="83">
        <f t="shared" ca="1" si="121"/>
        <v>14850</v>
      </c>
    </row>
    <row r="2717" spans="1:6" ht="14.1" customHeight="1" x14ac:dyDescent="0.25">
      <c r="A2717" s="94" t="s">
        <v>6997</v>
      </c>
      <c r="B2717" s="82" t="str">
        <f ca="1">IFERROR(INDEX(UNSPSCDes,MATCH(INDIRECT(ADDRESS(ROW(),COLUMN()-1,4)),UNSPSCCode,0)),IF(INDIRECT(ADDRESS(ROW(),COLUMN()-1,4))="52121703","Paños para lavar",""))</f>
        <v>Paños para lavar</v>
      </c>
      <c r="C2717" s="95" t="str">
        <f>IFERROR(VLOOKUP("UD",'Informacion '!P:Q,2,FALSE),"")</f>
        <v>Unidad</v>
      </c>
      <c r="D2717" s="94">
        <v>30</v>
      </c>
      <c r="E2717" s="84">
        <v>525</v>
      </c>
      <c r="F2717" s="83">
        <f t="shared" ca="1" si="121"/>
        <v>15750</v>
      </c>
    </row>
    <row r="2718" spans="1:6" ht="14.1" customHeight="1" x14ac:dyDescent="0.25">
      <c r="A2718" s="94" t="s">
        <v>6997</v>
      </c>
      <c r="B2718" s="82" t="str">
        <f ca="1">IFERROR(INDEX(UNSPSCDes,MATCH(INDIRECT(ADDRESS(ROW(),COLUMN()-1,4)),UNSPSCCode,0)),IF(INDIRECT(ADDRESS(ROW(),COLUMN()-1,4))="52121703","Paños para lavar",""))</f>
        <v>Paños para lavar</v>
      </c>
      <c r="C2718" s="95" t="str">
        <f>IFERROR(VLOOKUP("UD",'Informacion '!P:Q,2,FALSE),"")</f>
        <v>Unidad</v>
      </c>
      <c r="D2718" s="94">
        <v>30</v>
      </c>
      <c r="E2718" s="84">
        <v>725</v>
      </c>
      <c r="F2718" s="83">
        <f t="shared" ca="1" si="121"/>
        <v>21750</v>
      </c>
    </row>
    <row r="2719" spans="1:6" ht="14.1" customHeight="1" x14ac:dyDescent="0.25">
      <c r="A2719" s="94" t="s">
        <v>6997</v>
      </c>
      <c r="B2719" s="82" t="str">
        <f ca="1">IFERROR(INDEX(UNSPSCDes,MATCH(INDIRECT(ADDRESS(ROW(),COLUMN()-1,4)),UNSPSCCode,0)),IF(INDIRECT(ADDRESS(ROW(),COLUMN()-1,4))="52121703","Paños para lavar",""))</f>
        <v>Paños para lavar</v>
      </c>
      <c r="C2719" s="95" t="str">
        <f>IFERROR(VLOOKUP("UD",'Informacion '!P:Q,2,FALSE),"")</f>
        <v>Unidad</v>
      </c>
      <c r="D2719" s="94">
        <v>30</v>
      </c>
      <c r="E2719" s="84">
        <v>785</v>
      </c>
      <c r="F2719" s="83">
        <f t="shared" ca="1" si="121"/>
        <v>23550</v>
      </c>
    </row>
    <row r="2720" spans="1:6" ht="14.1" customHeight="1" x14ac:dyDescent="0.25">
      <c r="A2720" s="94" t="s">
        <v>1878</v>
      </c>
      <c r="B2720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720" s="95" t="str">
        <f>IFERROR(VLOOKUP("UD",'Informacion '!P:Q,2,FALSE),"")</f>
        <v>Unidad</v>
      </c>
      <c r="D2720" s="94">
        <v>20</v>
      </c>
      <c r="E2720" s="84">
        <v>400</v>
      </c>
      <c r="F2720" s="83">
        <f t="shared" ca="1" si="121"/>
        <v>8000</v>
      </c>
    </row>
    <row r="2721" spans="1:6" ht="14.1" customHeight="1" x14ac:dyDescent="0.25">
      <c r="A2721" s="94" t="s">
        <v>8934</v>
      </c>
      <c r="B2721" s="82" t="str">
        <f ca="1">IFERROR(INDEX(UNSPSCDes,MATCH(INDIRECT(ADDRESS(ROW(),COLUMN()-1,4)),UNSPSCCode,0)),IF(INDIRECT(ADDRESS(ROW(),COLUMN()-1,4))="41121813","Cubetas",""))</f>
        <v>Cubetas</v>
      </c>
      <c r="C2721" s="95" t="str">
        <f>IFERROR(VLOOKUP("UD",'Informacion '!P:Q,2,FALSE),"")</f>
        <v>Unidad</v>
      </c>
      <c r="D2721" s="94">
        <v>8</v>
      </c>
      <c r="E2721" s="84">
        <v>850</v>
      </c>
      <c r="F2721" s="83">
        <f t="shared" ca="1" si="121"/>
        <v>6800</v>
      </c>
    </row>
    <row r="2722" spans="1:6" ht="14.1" customHeight="1" x14ac:dyDescent="0.25">
      <c r="A2722" s="94" t="s">
        <v>8934</v>
      </c>
      <c r="B2722" s="82" t="str">
        <f ca="1">IFERROR(INDEX(UNSPSCDes,MATCH(INDIRECT(ADDRESS(ROW(),COLUMN()-1,4)),UNSPSCCode,0)),IF(INDIRECT(ADDRESS(ROW(),COLUMN()-1,4))="41121813","Cubetas",""))</f>
        <v>Cubetas</v>
      </c>
      <c r="C2722" s="95" t="str">
        <f>IFERROR(VLOOKUP("UD",'Informacion '!P:Q,2,FALSE),"")</f>
        <v>Unidad</v>
      </c>
      <c r="D2722" s="94">
        <v>8</v>
      </c>
      <c r="E2722" s="84">
        <v>1100</v>
      </c>
      <c r="F2722" s="83">
        <f t="shared" ca="1" si="121"/>
        <v>8800</v>
      </c>
    </row>
    <row r="2723" spans="1:6" ht="14.1" customHeight="1" x14ac:dyDescent="0.25">
      <c r="A2723" s="94" t="s">
        <v>8934</v>
      </c>
      <c r="B2723" s="82" t="str">
        <f ca="1">IFERROR(INDEX(UNSPSCDes,MATCH(INDIRECT(ADDRESS(ROW(),COLUMN()-1,4)),UNSPSCCode,0)),IF(INDIRECT(ADDRESS(ROW(),COLUMN()-1,4))="41121813","Cubetas",""))</f>
        <v>Cubetas</v>
      </c>
      <c r="C2723" s="95" t="str">
        <f>IFERROR(VLOOKUP("UD",'Informacion '!P:Q,2,FALSE),"")</f>
        <v>Unidad</v>
      </c>
      <c r="D2723" s="94">
        <v>2</v>
      </c>
      <c r="E2723" s="84">
        <v>5500</v>
      </c>
      <c r="F2723" s="83">
        <f t="shared" ca="1" si="121"/>
        <v>11000</v>
      </c>
    </row>
    <row r="2724" spans="1:6" ht="14.1" customHeight="1" x14ac:dyDescent="0.25">
      <c r="A2724" s="94" t="s">
        <v>3311</v>
      </c>
      <c r="B2724" s="82" t="str">
        <f ca="1">IFERROR(INDEX(UNSPSCDes,MATCH(INDIRECT(ADDRESS(ROW(),COLUMN()-1,4)),UNSPSCCode,0)),IF(INDIRECT(ADDRESS(ROW(),COLUMN()-1,4))="47121701","Bolsas de basura",""))</f>
        <v>Bolsas de basura</v>
      </c>
      <c r="C2724" s="95" t="str">
        <f>IFERROR(VLOOKUP("UD",'Informacion '!P:Q,2,FALSE),"")</f>
        <v>Unidad</v>
      </c>
      <c r="D2724" s="94">
        <v>4</v>
      </c>
      <c r="E2724" s="84">
        <v>3000</v>
      </c>
      <c r="F2724" s="83">
        <f t="shared" ca="1" si="121"/>
        <v>12000</v>
      </c>
    </row>
    <row r="2725" spans="1:6" ht="14.1" customHeight="1" x14ac:dyDescent="0.25">
      <c r="A2725" s="94" t="s">
        <v>3945</v>
      </c>
      <c r="B2725" s="82" t="str">
        <f ca="1">IFERROR(INDEX(UNSPSCDes,MATCH(INDIRECT(ADDRESS(ROW(),COLUMN()-1,4)),UNSPSCCode,0)),IF(INDIRECT(ADDRESS(ROW(),COLUMN()-1,4))="47131604","Escobas",""))</f>
        <v>Escobas</v>
      </c>
      <c r="C2725" s="95" t="str">
        <f>IFERROR(VLOOKUP("UD",'Informacion '!P:Q,2,FALSE),"")</f>
        <v>Unidad</v>
      </c>
      <c r="D2725" s="94">
        <v>25</v>
      </c>
      <c r="E2725" s="84">
        <v>150</v>
      </c>
      <c r="F2725" s="83">
        <f t="shared" ca="1" si="121"/>
        <v>3750</v>
      </c>
    </row>
    <row r="2726" spans="1:6" ht="14.1" customHeight="1" x14ac:dyDescent="0.25">
      <c r="A2726" s="94" t="s">
        <v>3945</v>
      </c>
      <c r="B2726" s="82" t="str">
        <f ca="1">IFERROR(INDEX(UNSPSCDes,MATCH(INDIRECT(ADDRESS(ROW(),COLUMN()-1,4)),UNSPSCCode,0)),IF(INDIRECT(ADDRESS(ROW(),COLUMN()-1,4))="47131604","Escobas",""))</f>
        <v>Escobas</v>
      </c>
      <c r="C2726" s="95" t="str">
        <f>IFERROR(VLOOKUP("UD",'Informacion '!P:Q,2,FALSE),"")</f>
        <v>Unidad</v>
      </c>
      <c r="D2726" s="94">
        <v>20</v>
      </c>
      <c r="E2726" s="84">
        <v>150</v>
      </c>
      <c r="F2726" s="83">
        <f t="shared" ca="1" si="121"/>
        <v>3000</v>
      </c>
    </row>
    <row r="2727" spans="1:6" ht="14.1" customHeight="1" x14ac:dyDescent="0.25">
      <c r="A2727" s="94" t="s">
        <v>3945</v>
      </c>
      <c r="B2727" s="82" t="str">
        <f ca="1">IFERROR(INDEX(UNSPSCDes,MATCH(INDIRECT(ADDRESS(ROW(),COLUMN()-1,4)),UNSPSCCode,0)),IF(INDIRECT(ADDRESS(ROW(),COLUMN()-1,4))="47131604","Escobas",""))</f>
        <v>Escobas</v>
      </c>
      <c r="C2727" s="95" t="str">
        <f>IFERROR(VLOOKUP("UD",'Informacion '!P:Q,2,FALSE),"")</f>
        <v>Unidad</v>
      </c>
      <c r="D2727" s="94">
        <v>40</v>
      </c>
      <c r="E2727" s="84">
        <v>85</v>
      </c>
      <c r="F2727" s="83">
        <f t="shared" ca="1" si="121"/>
        <v>3400</v>
      </c>
    </row>
    <row r="2728" spans="1:6" ht="14.1" customHeight="1" x14ac:dyDescent="0.25">
      <c r="A2728" s="94" t="s">
        <v>12692</v>
      </c>
      <c r="B2728" s="82" t="str">
        <f ca="1">IFERROR(INDEX(UNSPSCDes,MATCH(INDIRECT(ADDRESS(ROW(),COLUMN()-1,4)),UNSPSCCode,0)),IF(INDIRECT(ADDRESS(ROW(),COLUMN()-1,4))="47131605","Cepillos de limpieza",""))</f>
        <v>Cepillos de limpieza</v>
      </c>
      <c r="C2728" s="95" t="str">
        <f>IFERROR(VLOOKUP("UD",'Informacion '!P:Q,2,FALSE),"")</f>
        <v>Unidad</v>
      </c>
      <c r="D2728" s="94">
        <v>30</v>
      </c>
      <c r="E2728" s="84">
        <v>80</v>
      </c>
      <c r="F2728" s="83">
        <f t="shared" ca="1" si="121"/>
        <v>2400</v>
      </c>
    </row>
    <row r="2729" spans="1:6" ht="14.1" customHeight="1" x14ac:dyDescent="0.25">
      <c r="A2729" s="94" t="s">
        <v>182</v>
      </c>
      <c r="B2729" s="82" t="str">
        <f ca="1">IFERROR(INDEX(UNSPSCDes,MATCH(INDIRECT(ADDRESS(ROW(),COLUMN()-1,4)),UNSPSCCode,0)),IF(INDIRECT(ADDRESS(ROW(),COLUMN()-1,4))="47131602","Almohadillas para restregar",""))</f>
        <v>Almohadillas para restregar</v>
      </c>
      <c r="C2729" s="95" t="str">
        <f>IFERROR(VLOOKUP("UD",'Informacion '!P:Q,2,FALSE),"")</f>
        <v>Unidad</v>
      </c>
      <c r="D2729" s="94">
        <v>200</v>
      </c>
      <c r="E2729" s="84">
        <v>7.38</v>
      </c>
      <c r="F2729" s="83">
        <f t="shared" ca="1" si="121"/>
        <v>1476</v>
      </c>
    </row>
    <row r="2730" spans="1:6" ht="14.1" customHeight="1" x14ac:dyDescent="0.25">
      <c r="A2730" s="94" t="s">
        <v>12453</v>
      </c>
      <c r="B2730" s="82" t="str">
        <f ca="1">IFERROR(INDEX(UNSPSCDes,MATCH(INDIRECT(ADDRESS(ROW(),COLUMN()-1,4)),UNSPSCCode,0)),IF(INDIRECT(ADDRESS(ROW(),COLUMN()-1,4))="47131609","Manijas de escobas o traperos",""))</f>
        <v>Manijas de escobas o traperos</v>
      </c>
      <c r="C2730" s="95" t="str">
        <f>IFERROR(VLOOKUP("UD",'Informacion '!P:Q,2,FALSE),"")</f>
        <v>Unidad</v>
      </c>
      <c r="D2730" s="94">
        <v>4</v>
      </c>
      <c r="E2730" s="84">
        <v>175</v>
      </c>
      <c r="F2730" s="83">
        <f t="shared" ca="1" si="121"/>
        <v>700</v>
      </c>
    </row>
    <row r="2731" spans="1:6" ht="14.1" customHeight="1" x14ac:dyDescent="0.25">
      <c r="A2731" s="94" t="s">
        <v>9906</v>
      </c>
      <c r="B2731" s="82" t="str">
        <f ca="1">IFERROR(INDEX(UNSPSCDes,MATCH(INDIRECT(ADDRESS(ROW(),COLUMN()-1,4)),UNSPSCCode,0)),IF(INDIRECT(ADDRESS(ROW(),COLUMN()-1,4))="47131611","Recogedor de basura",""))</f>
        <v>Recogedor de basura</v>
      </c>
      <c r="C2731" s="95" t="str">
        <f>IFERROR(VLOOKUP("UD",'Informacion '!P:Q,2,FALSE),"")</f>
        <v>Unidad</v>
      </c>
      <c r="D2731" s="94">
        <v>20</v>
      </c>
      <c r="E2731" s="84">
        <v>300</v>
      </c>
      <c r="F2731" s="83">
        <f t="shared" ca="1" si="121"/>
        <v>6000</v>
      </c>
    </row>
    <row r="2732" spans="1:6" ht="14.1" customHeight="1" x14ac:dyDescent="0.25">
      <c r="A2732" s="94" t="s">
        <v>3945</v>
      </c>
      <c r="B2732" s="82" t="str">
        <f ca="1">IFERROR(INDEX(UNSPSCDes,MATCH(INDIRECT(ADDRESS(ROW(),COLUMN()-1,4)),UNSPSCCode,0)),IF(INDIRECT(ADDRESS(ROW(),COLUMN()-1,4))="47131604","Escobas",""))</f>
        <v>Escobas</v>
      </c>
      <c r="C2732" s="95" t="str">
        <f>IFERROR(VLOOKUP("UD",'Informacion '!P:Q,2,FALSE),"")</f>
        <v>Unidad</v>
      </c>
      <c r="D2732" s="94">
        <v>15</v>
      </c>
      <c r="E2732" s="84">
        <v>970</v>
      </c>
      <c r="F2732" s="83">
        <f t="shared" ca="1" si="121"/>
        <v>14550</v>
      </c>
    </row>
    <row r="2733" spans="1:6" ht="14.1" customHeight="1" x14ac:dyDescent="0.25">
      <c r="A2733" s="94" t="s">
        <v>6782</v>
      </c>
      <c r="B2733" s="82" t="str">
        <f ca="1">IFERROR(INDEX(UNSPSCDes,MATCH(INDIRECT(ADDRESS(ROW(),COLUMN()-1,4)),UNSPSCCode,0)),IF(INDIRECT(ADDRESS(ROW(),COLUMN()-1,4))="50202301","Agua",""))</f>
        <v>Agua</v>
      </c>
      <c r="C2733" s="95" t="str">
        <f>IFERROR(VLOOKUP("UD",'Informacion '!P:Q,2,FALSE),"")</f>
        <v>Unidad</v>
      </c>
      <c r="D2733" s="94">
        <v>10</v>
      </c>
      <c r="E2733" s="84">
        <v>700</v>
      </c>
      <c r="F2733" s="83">
        <f t="shared" ref="F2733:F2764" ca="1" si="122">INDIRECT(ADDRESS(ROW(),COLUMN()-2,4))*INDIRECT(ADDRESS(ROW(),COLUMN()-1,4))</f>
        <v>7000</v>
      </c>
    </row>
    <row r="2734" spans="1:6" ht="14.1" customHeight="1" x14ac:dyDescent="0.25">
      <c r="A2734" s="94" t="s">
        <v>6442</v>
      </c>
      <c r="B2734" s="82" t="str">
        <f ca="1">IFERROR(INDEX(UNSPSCDes,MATCH(INDIRECT(ADDRESS(ROW(),COLUMN()-1,4)),UNSPSCCode,0)),IF(INDIRECT(ADDRESS(ROW(),COLUMN()-1,4))="47111505","Puestos para equipos de lavandería",""))</f>
        <v>Puestos para equipos de lavandería</v>
      </c>
      <c r="C2734" s="95" t="str">
        <f>IFERROR(VLOOKUP("UD",'Informacion '!P:Q,2,FALSE),"")</f>
        <v>Unidad</v>
      </c>
      <c r="D2734" s="94">
        <v>4</v>
      </c>
      <c r="E2734" s="84">
        <v>2690</v>
      </c>
      <c r="F2734" s="83">
        <f t="shared" ca="1" si="122"/>
        <v>10760</v>
      </c>
    </row>
    <row r="2735" spans="1:6" ht="14.1" customHeight="1" x14ac:dyDescent="0.25">
      <c r="A2735" s="94" t="s">
        <v>3687</v>
      </c>
      <c r="B2735" s="82" t="str">
        <f ca="1">IFERROR(INDEX(UNSPSCDes,MATCH(INDIRECT(ADDRESS(ROW(),COLUMN()-1,4)),UNSPSCCode,0)),IF(INDIRECT(ADDRESS(ROW(),COLUMN()-1,4))="40141742","Atomizadores",""))</f>
        <v>Atomizadores</v>
      </c>
      <c r="C2735" s="95" t="str">
        <f>IFERROR(VLOOKUP("UD",'Informacion '!P:Q,2,FALSE),"")</f>
        <v>Unidad</v>
      </c>
      <c r="D2735" s="94">
        <v>80</v>
      </c>
      <c r="E2735" s="84">
        <v>50</v>
      </c>
      <c r="F2735" s="83">
        <f t="shared" ca="1" si="122"/>
        <v>4000</v>
      </c>
    </row>
    <row r="2736" spans="1:6" ht="14.1" customHeight="1" x14ac:dyDescent="0.25">
      <c r="A2736" s="94" t="s">
        <v>5832</v>
      </c>
      <c r="B2736" s="82" t="str">
        <f ca="1">IFERROR(INDEX(UNSPSCDes,MATCH(INDIRECT(ADDRESS(ROW(),COLUMN()-1,4)),UNSPSCCode,0)),IF(INDIRECT(ADDRESS(ROW(),COLUMN()-1,4))="47131618","Traperos húmedos",""))</f>
        <v>Traperos húmedos</v>
      </c>
      <c r="C2736" s="95" t="str">
        <f>IFERROR(VLOOKUP("UD",'Informacion '!P:Q,2,FALSE),"")</f>
        <v>Unidad</v>
      </c>
      <c r="D2736" s="94">
        <v>115</v>
      </c>
      <c r="E2736" s="84">
        <v>115</v>
      </c>
      <c r="F2736" s="83">
        <f t="shared" ca="1" si="122"/>
        <v>13225</v>
      </c>
    </row>
    <row r="2737" spans="1:6" ht="14.1" customHeight="1" x14ac:dyDescent="0.25">
      <c r="A2737" s="94" t="s">
        <v>5832</v>
      </c>
      <c r="B2737" s="82" t="str">
        <f ca="1">IFERROR(INDEX(UNSPSCDes,MATCH(INDIRECT(ADDRESS(ROW(),COLUMN()-1,4)),UNSPSCCode,0)),IF(INDIRECT(ADDRESS(ROW(),COLUMN()-1,4))="47131618","Traperos húmedos",""))</f>
        <v>Traperos húmedos</v>
      </c>
      <c r="C2737" s="95" t="str">
        <f>IFERROR(VLOOKUP("UD",'Informacion '!P:Q,2,FALSE),"")</f>
        <v>Unidad</v>
      </c>
      <c r="D2737" s="94">
        <v>150</v>
      </c>
      <c r="E2737" s="84">
        <v>150</v>
      </c>
      <c r="F2737" s="83">
        <f t="shared" ca="1" si="122"/>
        <v>22500</v>
      </c>
    </row>
    <row r="2738" spans="1:6" ht="14.1" customHeight="1" x14ac:dyDescent="0.25">
      <c r="A2738" s="94" t="s">
        <v>6997</v>
      </c>
      <c r="B2738" s="82" t="str">
        <f ca="1">IFERROR(INDEX(UNSPSCDes,MATCH(INDIRECT(ADDRESS(ROW(),COLUMN()-1,4)),UNSPSCCode,0)),IF(INDIRECT(ADDRESS(ROW(),COLUMN()-1,4))="52121703","Paños para lavar",""))</f>
        <v>Paños para lavar</v>
      </c>
      <c r="C2738" s="95" t="str">
        <f>IFERROR(VLOOKUP("UD",'Informacion '!P:Q,2,FALSE),"")</f>
        <v>Unidad</v>
      </c>
      <c r="D2738" s="94">
        <v>65</v>
      </c>
      <c r="E2738" s="84">
        <v>55</v>
      </c>
      <c r="F2738" s="83">
        <f t="shared" ca="1" si="122"/>
        <v>3575</v>
      </c>
    </row>
    <row r="2739" spans="1:6" ht="14.1" customHeight="1" x14ac:dyDescent="0.25">
      <c r="A2739" s="94" t="s">
        <v>16872</v>
      </c>
      <c r="B2739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2739" s="95" t="str">
        <f>IFERROR(VLOOKUP("UD",'Informacion '!P:Q,2,FALSE),"")</f>
        <v>Unidad</v>
      </c>
      <c r="D2739" s="94">
        <v>25</v>
      </c>
      <c r="E2739" s="84">
        <v>265</v>
      </c>
      <c r="F2739" s="83">
        <f t="shared" ca="1" si="122"/>
        <v>6625</v>
      </c>
    </row>
    <row r="2740" spans="1:6" ht="14.1" customHeight="1" x14ac:dyDescent="0.25">
      <c r="A2740" s="94" t="s">
        <v>13448</v>
      </c>
      <c r="B2740" s="82" t="str">
        <f ca="1">IFERROR(INDEX(UNSPSCDes,MATCH(INDIRECT(ADDRESS(ROW(),COLUMN()-1,4)),UNSPSCCode,0)),IF(INDIRECT(ADDRESS(ROW(),COLUMN()-1,4))="30201803","Unidades para contenedores",""))</f>
        <v>Unidades para contenedores</v>
      </c>
      <c r="C2740" s="95" t="str">
        <f>IFERROR(VLOOKUP("UD",'Informacion '!P:Q,2,FALSE),"")</f>
        <v>Unidad</v>
      </c>
      <c r="D2740" s="94">
        <v>60</v>
      </c>
      <c r="E2740" s="84">
        <v>200</v>
      </c>
      <c r="F2740" s="83">
        <f t="shared" ca="1" si="122"/>
        <v>12000</v>
      </c>
    </row>
    <row r="2741" spans="1:6" ht="14.1" customHeight="1" x14ac:dyDescent="0.25">
      <c r="A2741" s="94" t="s">
        <v>13448</v>
      </c>
      <c r="B2741" s="82" t="str">
        <f ca="1">IFERROR(INDEX(UNSPSCDes,MATCH(INDIRECT(ADDRESS(ROW(),COLUMN()-1,4)),UNSPSCCode,0)),IF(INDIRECT(ADDRESS(ROW(),COLUMN()-1,4))="30201803","Unidades para contenedores",""))</f>
        <v>Unidades para contenedores</v>
      </c>
      <c r="C2741" s="95" t="str">
        <f>IFERROR(VLOOKUP("UD",'Informacion '!P:Q,2,FALSE),"")</f>
        <v>Unidad</v>
      </c>
      <c r="D2741" s="94">
        <v>60</v>
      </c>
      <c r="E2741" s="84">
        <v>225</v>
      </c>
      <c r="F2741" s="83">
        <f t="shared" ca="1" si="122"/>
        <v>13500</v>
      </c>
    </row>
    <row r="2742" spans="1:6" ht="14.1" customHeight="1" x14ac:dyDescent="0.25">
      <c r="A2742" s="94" t="s">
        <v>13448</v>
      </c>
      <c r="B2742" s="82" t="str">
        <f ca="1">IFERROR(INDEX(UNSPSCDes,MATCH(INDIRECT(ADDRESS(ROW(),COLUMN()-1,4)),UNSPSCCode,0)),IF(INDIRECT(ADDRESS(ROW(),COLUMN()-1,4))="30201803","Unidades para contenedores",""))</f>
        <v>Unidades para contenedores</v>
      </c>
      <c r="C2742" s="95" t="str">
        <f>IFERROR(VLOOKUP("UD",'Informacion '!P:Q,2,FALSE),"")</f>
        <v>Unidad</v>
      </c>
      <c r="D2742" s="94">
        <v>65</v>
      </c>
      <c r="E2742" s="84">
        <v>375</v>
      </c>
      <c r="F2742" s="83">
        <f t="shared" ca="1" si="122"/>
        <v>24375</v>
      </c>
    </row>
    <row r="2743" spans="1:6" ht="14.1" customHeight="1" x14ac:dyDescent="0.25">
      <c r="A2743" s="94" t="s">
        <v>13448</v>
      </c>
      <c r="B2743" s="82" t="str">
        <f ca="1">IFERROR(INDEX(UNSPSCDes,MATCH(INDIRECT(ADDRESS(ROW(),COLUMN()-1,4)),UNSPSCCode,0)),IF(INDIRECT(ADDRESS(ROW(),COLUMN()-1,4))="30201803","Unidades para contenedores",""))</f>
        <v>Unidades para contenedores</v>
      </c>
      <c r="C2743" s="95" t="str">
        <f>IFERROR(VLOOKUP("UD",'Informacion '!P:Q,2,FALSE),"")</f>
        <v>Unidad</v>
      </c>
      <c r="D2743" s="94">
        <v>85</v>
      </c>
      <c r="E2743" s="84">
        <v>450</v>
      </c>
      <c r="F2743" s="83">
        <f t="shared" ca="1" si="122"/>
        <v>38250</v>
      </c>
    </row>
    <row r="2744" spans="1:6" ht="14.1" customHeight="1" x14ac:dyDescent="0.25">
      <c r="A2744" s="94" t="s">
        <v>13448</v>
      </c>
      <c r="B2744" s="82" t="str">
        <f ca="1">IFERROR(INDEX(UNSPSCDes,MATCH(INDIRECT(ADDRESS(ROW(),COLUMN()-1,4)),UNSPSCCode,0)),IF(INDIRECT(ADDRESS(ROW(),COLUMN()-1,4))="30201803","Unidades para contenedores",""))</f>
        <v>Unidades para contenedores</v>
      </c>
      <c r="C2744" s="95" t="str">
        <f>IFERROR(VLOOKUP("UD",'Informacion '!P:Q,2,FALSE),"")</f>
        <v>Unidad</v>
      </c>
      <c r="D2744" s="94">
        <v>90</v>
      </c>
      <c r="E2744" s="84">
        <v>200</v>
      </c>
      <c r="F2744" s="83">
        <f t="shared" ca="1" si="122"/>
        <v>18000</v>
      </c>
    </row>
    <row r="2745" spans="1:6" ht="14.1" customHeight="1" x14ac:dyDescent="0.25">
      <c r="A2745" s="94" t="s">
        <v>3311</v>
      </c>
      <c r="B2745" s="82" t="str">
        <f t="shared" ref="B2745:B2752" ca="1" si="123">IFERROR(INDEX(UNSPSCDes,MATCH(INDIRECT(ADDRESS(ROW(),COLUMN()-1,4)),UNSPSCCode,0)),IF(INDIRECT(ADDRESS(ROW(),COLUMN()-1,4))="47121701","Bolsas de basura",""))</f>
        <v>Bolsas de basura</v>
      </c>
      <c r="C2745" s="95" t="str">
        <f>IFERROR(VLOOKUP("UD",'Informacion '!P:Q,2,FALSE),"")</f>
        <v>Unidad</v>
      </c>
      <c r="D2745" s="94">
        <v>35000</v>
      </c>
      <c r="E2745" s="84">
        <v>0.75</v>
      </c>
      <c r="F2745" s="83">
        <f t="shared" ca="1" si="122"/>
        <v>26250</v>
      </c>
    </row>
    <row r="2746" spans="1:6" ht="14.1" customHeight="1" x14ac:dyDescent="0.25">
      <c r="A2746" s="94" t="s">
        <v>3311</v>
      </c>
      <c r="B2746" s="82" t="str">
        <f t="shared" ca="1" si="123"/>
        <v>Bolsas de basura</v>
      </c>
      <c r="C2746" s="95" t="str">
        <f>IFERROR(VLOOKUP("UD",'Informacion '!P:Q,2,FALSE),"")</f>
        <v>Unidad</v>
      </c>
      <c r="D2746" s="94">
        <v>6000</v>
      </c>
      <c r="E2746" s="84">
        <v>2.4500000000000002</v>
      </c>
      <c r="F2746" s="83">
        <f t="shared" ca="1" si="122"/>
        <v>14700.000000000002</v>
      </c>
    </row>
    <row r="2747" spans="1:6" ht="14.1" customHeight="1" x14ac:dyDescent="0.25">
      <c r="A2747" s="94" t="s">
        <v>3311</v>
      </c>
      <c r="B2747" s="82" t="str">
        <f t="shared" ca="1" si="123"/>
        <v>Bolsas de basura</v>
      </c>
      <c r="C2747" s="95" t="str">
        <f>IFERROR(VLOOKUP("UD",'Informacion '!P:Q,2,FALSE),"")</f>
        <v>Unidad</v>
      </c>
      <c r="D2747" s="94">
        <v>12000</v>
      </c>
      <c r="E2747" s="84">
        <v>3.32</v>
      </c>
      <c r="F2747" s="83">
        <f t="shared" ca="1" si="122"/>
        <v>39840</v>
      </c>
    </row>
    <row r="2748" spans="1:6" ht="14.1" customHeight="1" x14ac:dyDescent="0.25">
      <c r="A2748" s="94" t="s">
        <v>3311</v>
      </c>
      <c r="B2748" s="82" t="str">
        <f t="shared" ca="1" si="123"/>
        <v>Bolsas de basura</v>
      </c>
      <c r="C2748" s="95" t="str">
        <f>IFERROR(VLOOKUP("UD",'Informacion '!P:Q,2,FALSE),"")</f>
        <v>Unidad</v>
      </c>
      <c r="D2748" s="94">
        <v>8000</v>
      </c>
      <c r="E2748" s="84">
        <v>8.0500000000000007</v>
      </c>
      <c r="F2748" s="83">
        <f t="shared" ca="1" si="122"/>
        <v>64400.000000000007</v>
      </c>
    </row>
    <row r="2749" spans="1:6" ht="14.1" customHeight="1" x14ac:dyDescent="0.25">
      <c r="A2749" s="94" t="s">
        <v>3311</v>
      </c>
      <c r="B2749" s="82" t="str">
        <f t="shared" ca="1" si="123"/>
        <v>Bolsas de basura</v>
      </c>
      <c r="C2749" s="95" t="str">
        <f>IFERROR(VLOOKUP("UD",'Informacion '!P:Q,2,FALSE),"")</f>
        <v>Unidad</v>
      </c>
      <c r="D2749" s="94">
        <v>35000</v>
      </c>
      <c r="E2749" s="84">
        <v>1.88</v>
      </c>
      <c r="F2749" s="83">
        <f t="shared" ca="1" si="122"/>
        <v>65800</v>
      </c>
    </row>
    <row r="2750" spans="1:6" ht="14.1" customHeight="1" x14ac:dyDescent="0.25">
      <c r="A2750" s="94" t="s">
        <v>3311</v>
      </c>
      <c r="B2750" s="82" t="str">
        <f t="shared" ca="1" si="123"/>
        <v>Bolsas de basura</v>
      </c>
      <c r="C2750" s="95" t="str">
        <f>IFERROR(VLOOKUP("UD",'Informacion '!P:Q,2,FALSE),"")</f>
        <v>Unidad</v>
      </c>
      <c r="D2750" s="94">
        <v>6000</v>
      </c>
      <c r="E2750" s="84">
        <v>2.4500000000000002</v>
      </c>
      <c r="F2750" s="83">
        <f t="shared" ca="1" si="122"/>
        <v>14700.000000000002</v>
      </c>
    </row>
    <row r="2751" spans="1:6" ht="14.1" customHeight="1" x14ac:dyDescent="0.25">
      <c r="A2751" s="94" t="s">
        <v>3311</v>
      </c>
      <c r="B2751" s="82" t="str">
        <f t="shared" ca="1" si="123"/>
        <v>Bolsas de basura</v>
      </c>
      <c r="C2751" s="95" t="str">
        <f>IFERROR(VLOOKUP("UD",'Informacion '!P:Q,2,FALSE),"")</f>
        <v>Unidad</v>
      </c>
      <c r="D2751" s="94">
        <v>6000</v>
      </c>
      <c r="E2751" s="84">
        <v>5.0999999999999996</v>
      </c>
      <c r="F2751" s="83">
        <f t="shared" ca="1" si="122"/>
        <v>30599.999999999996</v>
      </c>
    </row>
    <row r="2752" spans="1:6" ht="14.1" customHeight="1" x14ac:dyDescent="0.25">
      <c r="A2752" s="94" t="s">
        <v>3311</v>
      </c>
      <c r="B2752" s="82" t="str">
        <f t="shared" ca="1" si="123"/>
        <v>Bolsas de basura</v>
      </c>
      <c r="C2752" s="95" t="str">
        <f>IFERROR(VLOOKUP("UD",'Informacion '!P:Q,2,FALSE),"")</f>
        <v>Unidad</v>
      </c>
      <c r="D2752" s="94">
        <v>6000</v>
      </c>
      <c r="E2752" s="84">
        <v>10</v>
      </c>
      <c r="F2752" s="83">
        <f t="shared" ca="1" si="122"/>
        <v>60000</v>
      </c>
    </row>
    <row r="2753" spans="1:10" ht="14.1" customHeight="1" x14ac:dyDescent="0.25">
      <c r="A2753" s="94" t="s">
        <v>16889</v>
      </c>
      <c r="B2753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2753" s="95" t="str">
        <f>IFERROR(VLOOKUP("UD",'Informacion '!P:Q,2,FALSE),"")</f>
        <v>Unidad</v>
      </c>
      <c r="D2753" s="94">
        <v>580</v>
      </c>
      <c r="E2753" s="84">
        <v>85</v>
      </c>
      <c r="F2753" s="83">
        <f t="shared" ca="1" si="122"/>
        <v>49300</v>
      </c>
    </row>
    <row r="2754" spans="1:10" ht="14.1" customHeight="1" x14ac:dyDescent="0.25">
      <c r="A2754" s="94" t="s">
        <v>16889</v>
      </c>
      <c r="B2754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2754" s="95" t="str">
        <f>IFERROR(VLOOKUP("UD",'Informacion '!P:Q,2,FALSE),"")</f>
        <v>Unidad</v>
      </c>
      <c r="D2754" s="94">
        <v>385</v>
      </c>
      <c r="E2754" s="84">
        <v>325</v>
      </c>
      <c r="F2754" s="83">
        <f t="shared" ca="1" si="122"/>
        <v>125125</v>
      </c>
    </row>
    <row r="2755" spans="1:10" ht="14.1" customHeight="1" x14ac:dyDescent="0.25">
      <c r="A2755" s="94" t="s">
        <v>16889</v>
      </c>
      <c r="B2755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2755" s="95" t="str">
        <f>IFERROR(VLOOKUP("UD",'Informacion '!P:Q,2,FALSE),"")</f>
        <v>Unidad</v>
      </c>
      <c r="D2755" s="94">
        <v>35</v>
      </c>
      <c r="E2755" s="84">
        <v>350</v>
      </c>
      <c r="F2755" s="83">
        <f t="shared" ca="1" si="122"/>
        <v>12250</v>
      </c>
    </row>
    <row r="2756" spans="1:10" ht="14.1" customHeight="1" x14ac:dyDescent="0.25">
      <c r="A2756" s="94" t="s">
        <v>16889</v>
      </c>
      <c r="B2756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2756" s="95" t="str">
        <f>IFERROR(VLOOKUP("UD",'Informacion '!P:Q,2,FALSE),"")</f>
        <v>Unidad</v>
      </c>
      <c r="D2756" s="94">
        <v>165</v>
      </c>
      <c r="E2756" s="84">
        <v>260</v>
      </c>
      <c r="F2756" s="83">
        <f t="shared" ca="1" si="122"/>
        <v>42900</v>
      </c>
    </row>
    <row r="2757" spans="1:10" ht="14.1" customHeight="1" x14ac:dyDescent="0.25">
      <c r="A2757" s="94" t="s">
        <v>2417</v>
      </c>
      <c r="B2757" s="82" t="str">
        <f ca="1">IFERROR(INDEX(UNSPSCDes,MATCH(INDIRECT(ADDRESS(ROW(),COLUMN()-1,4)),UNSPSCCode,0)),IF(INDIRECT(ADDRESS(ROW(),COLUMN()-1,4))="47131503","Gamuzas o cueros para lavar",""))</f>
        <v>Gamuzas o cueros para lavar</v>
      </c>
      <c r="C2757" s="95" t="str">
        <f>IFERROR(VLOOKUP("UD",'Informacion '!P:Q,2,FALSE),"")</f>
        <v>Unidad</v>
      </c>
      <c r="D2757" s="94">
        <v>4</v>
      </c>
      <c r="E2757" s="84">
        <v>650</v>
      </c>
      <c r="F2757" s="83">
        <f t="shared" ca="1" si="122"/>
        <v>2600</v>
      </c>
    </row>
    <row r="2758" spans="1:10" ht="14.1" customHeight="1" x14ac:dyDescent="0.25">
      <c r="A2758" s="94" t="s">
        <v>2417</v>
      </c>
      <c r="B2758" s="82" t="str">
        <f ca="1">IFERROR(INDEX(UNSPSCDes,MATCH(INDIRECT(ADDRESS(ROW(),COLUMN()-1,4)),UNSPSCCode,0)),IF(INDIRECT(ADDRESS(ROW(),COLUMN()-1,4))="47131503","Gamuzas o cueros para lavar",""))</f>
        <v>Gamuzas o cueros para lavar</v>
      </c>
      <c r="C2758" s="95" t="str">
        <f>IFERROR(VLOOKUP("UD",'Informacion '!P:Q,2,FALSE),"")</f>
        <v>Unidad</v>
      </c>
      <c r="D2758" s="94">
        <v>110</v>
      </c>
      <c r="E2758" s="84">
        <v>45</v>
      </c>
      <c r="F2758" s="83">
        <f t="shared" ca="1" si="122"/>
        <v>4950</v>
      </c>
    </row>
    <row r="2759" spans="1:10" ht="14.1" customHeight="1" x14ac:dyDescent="0.25">
      <c r="A2759" s="94" t="s">
        <v>2417</v>
      </c>
      <c r="B2759" s="82" t="str">
        <f ca="1">IFERROR(INDEX(UNSPSCDes,MATCH(INDIRECT(ADDRESS(ROW(),COLUMN()-1,4)),UNSPSCCode,0)),IF(INDIRECT(ADDRESS(ROW(),COLUMN()-1,4))="47131503","Gamuzas o cueros para lavar",""))</f>
        <v>Gamuzas o cueros para lavar</v>
      </c>
      <c r="C2759" s="95" t="str">
        <f>IFERROR(VLOOKUP("UD",'Informacion '!P:Q,2,FALSE),"")</f>
        <v>Unidad</v>
      </c>
      <c r="D2759" s="94">
        <v>55</v>
      </c>
      <c r="E2759" s="84">
        <v>50</v>
      </c>
      <c r="F2759" s="83">
        <f t="shared" ca="1" si="122"/>
        <v>2750</v>
      </c>
    </row>
    <row r="2760" spans="1:10" ht="14.1" customHeight="1" x14ac:dyDescent="0.25">
      <c r="A2760" s="94" t="s">
        <v>10729</v>
      </c>
      <c r="B2760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2760" s="95" t="str">
        <f>IFERROR(VLOOKUP("UD",'Informacion '!P:Q,2,FALSE),"")</f>
        <v>Unidad</v>
      </c>
      <c r="D2760" s="94">
        <v>3</v>
      </c>
      <c r="E2760" s="84">
        <v>45000</v>
      </c>
      <c r="F2760" s="83">
        <f t="shared" ca="1" si="122"/>
        <v>135000</v>
      </c>
    </row>
    <row r="2761" spans="1:10" ht="14.1" customHeight="1" x14ac:dyDescent="0.25">
      <c r="A2761" s="94" t="s">
        <v>2417</v>
      </c>
      <c r="B2761" s="82" t="str">
        <f ca="1">IFERROR(INDEX(UNSPSCDes,MATCH(INDIRECT(ADDRESS(ROW(),COLUMN()-1,4)),UNSPSCCode,0)),IF(INDIRECT(ADDRESS(ROW(),COLUMN()-1,4))="47131503","Gamuzas o cueros para lavar",""))</f>
        <v>Gamuzas o cueros para lavar</v>
      </c>
      <c r="C2761" s="95" t="str">
        <f>IFERROR(VLOOKUP("UD",'Informacion '!P:Q,2,FALSE),"")</f>
        <v>Unidad</v>
      </c>
      <c r="D2761" s="94">
        <v>2</v>
      </c>
      <c r="E2761" s="84">
        <v>650</v>
      </c>
      <c r="F2761" s="83">
        <f t="shared" ca="1" si="122"/>
        <v>1300</v>
      </c>
    </row>
    <row r="2762" spans="1:10" ht="14.1" customHeight="1" x14ac:dyDescent="0.25">
      <c r="A2762" s="94" t="s">
        <v>2417</v>
      </c>
      <c r="B2762" s="82" t="str">
        <f ca="1">IFERROR(INDEX(UNSPSCDes,MATCH(INDIRECT(ADDRESS(ROW(),COLUMN()-1,4)),UNSPSCCode,0)),IF(INDIRECT(ADDRESS(ROW(),COLUMN()-1,4))="47131503","Gamuzas o cueros para lavar",""))</f>
        <v>Gamuzas o cueros para lavar</v>
      </c>
      <c r="C2762" s="95" t="str">
        <f>IFERROR(VLOOKUP("UD",'Informacion '!P:Q,2,FALSE),"")</f>
        <v>Unidad</v>
      </c>
      <c r="D2762" s="94">
        <v>100</v>
      </c>
      <c r="E2762" s="84">
        <v>45</v>
      </c>
      <c r="F2762" s="83">
        <f t="shared" ca="1" si="122"/>
        <v>4500</v>
      </c>
    </row>
    <row r="2763" spans="1:10" ht="14.1" customHeight="1" x14ac:dyDescent="0.25">
      <c r="A2763" s="94" t="s">
        <v>2417</v>
      </c>
      <c r="B2763" s="82" t="str">
        <f ca="1">IFERROR(INDEX(UNSPSCDes,MATCH(INDIRECT(ADDRESS(ROW(),COLUMN()-1,4)),UNSPSCCode,0)),IF(INDIRECT(ADDRESS(ROW(),COLUMN()-1,4))="47131503","Gamuzas o cueros para lavar",""))</f>
        <v>Gamuzas o cueros para lavar</v>
      </c>
      <c r="C2763" s="95" t="str">
        <f>IFERROR(VLOOKUP("UD",'Informacion '!P:Q,2,FALSE),"")</f>
        <v>Unidad</v>
      </c>
      <c r="D2763" s="94">
        <v>50</v>
      </c>
      <c r="E2763" s="84">
        <v>50</v>
      </c>
      <c r="F2763" s="83">
        <f t="shared" ca="1" si="122"/>
        <v>2500</v>
      </c>
    </row>
    <row r="2764" spans="1:10" ht="14.1" customHeight="1" x14ac:dyDescent="0.25">
      <c r="A2764" s="94" t="s">
        <v>10729</v>
      </c>
      <c r="B2764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2764" s="95" t="str">
        <f>IFERROR(VLOOKUP("UD",'Informacion '!P:Q,2,FALSE),"")</f>
        <v>Unidad</v>
      </c>
      <c r="D2764" s="94">
        <v>1</v>
      </c>
      <c r="E2764" s="84">
        <v>55460</v>
      </c>
      <c r="F2764" s="83">
        <f t="shared" ca="1" si="122"/>
        <v>55460</v>
      </c>
    </row>
    <row r="2765" spans="1:10" ht="14.1" customHeight="1" x14ac:dyDescent="0.25">
      <c r="E2765" s="96" t="s">
        <v>7213</v>
      </c>
      <c r="F2765" s="87">
        <f ca="1">SUM(Table99[MONTO TOTAL ESTIMADO])</f>
        <v>2443491</v>
      </c>
      <c r="H2765" s="39" t="str">
        <f>C2694</f>
        <v>Bienes</v>
      </c>
      <c r="I2765" s="39" t="str">
        <f>E2694</f>
        <v>No</v>
      </c>
      <c r="J2765" s="39" t="str">
        <f>D2694</f>
        <v>Comparacion de Precios</v>
      </c>
    </row>
    <row r="2767" spans="1:10" ht="33.950000000000003" customHeight="1" x14ac:dyDescent="0.25">
      <c r="A2767" s="77" t="s">
        <v>17233</v>
      </c>
      <c r="B2767" s="77" t="s">
        <v>4237</v>
      </c>
      <c r="C2767" s="77" t="s">
        <v>4743</v>
      </c>
      <c r="D2767" s="77" t="s">
        <v>9891</v>
      </c>
      <c r="E2767" s="77" t="s">
        <v>3089</v>
      </c>
      <c r="F2767" s="77" t="s">
        <v>18141</v>
      </c>
    </row>
    <row r="2768" spans="1:10" ht="14.1" customHeight="1" x14ac:dyDescent="0.25">
      <c r="A2768" s="79" t="s">
        <v>6683</v>
      </c>
      <c r="B2768" s="79" t="s">
        <v>7142</v>
      </c>
      <c r="C2768" s="79" t="s">
        <v>17215</v>
      </c>
      <c r="D2768" s="79" t="s">
        <v>15249</v>
      </c>
      <c r="E2768" s="79" t="s">
        <v>18247</v>
      </c>
      <c r="F2768" s="79"/>
    </row>
    <row r="2769" spans="1:6" ht="14.1" customHeight="1" x14ac:dyDescent="0.25">
      <c r="A2769" s="2" t="s">
        <v>6643</v>
      </c>
      <c r="B2769" s="80" t="s">
        <v>1046</v>
      </c>
      <c r="C2769" s="90">
        <v>43556</v>
      </c>
      <c r="D2769" s="2" t="s">
        <v>59</v>
      </c>
      <c r="E2769" s="92" t="s">
        <v>20066</v>
      </c>
      <c r="F2769" s="93"/>
    </row>
    <row r="2770" spans="1:6" ht="14.1" customHeight="1" x14ac:dyDescent="0.25">
      <c r="A2770" s="1"/>
      <c r="B2770" s="80" t="s">
        <v>10788</v>
      </c>
      <c r="C2770" s="91">
        <f>IF(C2769="","",IF(AND(MONTH(C2769)&gt;=1,MONTH(C2769)&lt;=3),1,IF(AND(MONTH(C2769)&gt;=4,MONTH(C2769)&lt;=6),2,IF(AND(MONTH(C2769)&gt;=7,MONTH(C2769)&lt;=9),3,4))))</f>
        <v>2</v>
      </c>
      <c r="D2770" s="1"/>
      <c r="E2770" s="92" t="s">
        <v>14822</v>
      </c>
      <c r="F2770" s="93"/>
    </row>
    <row r="2771" spans="1:6" ht="14.1" customHeight="1" x14ac:dyDescent="0.25">
      <c r="A2771" s="1"/>
      <c r="B2771" s="80" t="s">
        <v>13758</v>
      </c>
      <c r="C2771" s="90">
        <v>43644</v>
      </c>
      <c r="D2771" s="1"/>
      <c r="E2771" s="92" t="s">
        <v>18636</v>
      </c>
      <c r="F2771" s="93"/>
    </row>
    <row r="2772" spans="1:6" ht="14.1" customHeight="1" x14ac:dyDescent="0.25">
      <c r="A2772" s="1"/>
      <c r="B2772" s="80" t="s">
        <v>10788</v>
      </c>
      <c r="C2772" s="91">
        <f>IF(C2771="","",IF(AND(MONTH(C2771)&gt;=1,MONTH(C2771)&lt;=3),1,IF(AND(MONTH(C2771)&gt;=4,MONTH(C2771)&lt;=6),2,IF(AND(MONTH(C2771)&gt;=7,MONTH(C2771)&lt;=9),3,4))))</f>
        <v>2</v>
      </c>
      <c r="D2772" s="1"/>
      <c r="E2772" s="92" t="s">
        <v>15990</v>
      </c>
      <c r="F2772" s="93"/>
    </row>
    <row r="2774" spans="1:6" ht="14.1" customHeight="1" x14ac:dyDescent="0.25">
      <c r="A2774" s="85" t="s">
        <v>15474</v>
      </c>
      <c r="B2774" s="85" t="s">
        <v>5027</v>
      </c>
      <c r="C2774" s="85" t="s">
        <v>17461</v>
      </c>
      <c r="D2774" s="85" t="s">
        <v>3935</v>
      </c>
      <c r="E2774" s="85" t="s">
        <v>10722</v>
      </c>
      <c r="F2774" s="85" t="s">
        <v>18237</v>
      </c>
    </row>
    <row r="2775" spans="1:6" ht="14.1" customHeight="1" x14ac:dyDescent="0.25">
      <c r="A2775" s="94" t="s">
        <v>8061</v>
      </c>
      <c r="B2775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775" s="95" t="str">
        <f>IFERROR(VLOOKUP("UD",'Informacion '!P:Q,2,FALSE),"")</f>
        <v>Unidad</v>
      </c>
      <c r="D2775" s="94">
        <v>39</v>
      </c>
      <c r="E2775" s="84">
        <v>28.68</v>
      </c>
      <c r="F2775" s="83">
        <f t="shared" ref="F2775:F2787" ca="1" si="124">INDIRECT(ADDRESS(ROW(),COLUMN()-2,4))*INDIRECT(ADDRESS(ROW(),COLUMN()-1,4))</f>
        <v>1118.52</v>
      </c>
    </row>
    <row r="2776" spans="1:6" ht="14.1" customHeight="1" x14ac:dyDescent="0.25">
      <c r="A2776" s="94" t="s">
        <v>8061</v>
      </c>
      <c r="B2776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776" s="95" t="str">
        <f>IFERROR(VLOOKUP("UD",'Informacion '!P:Q,2,FALSE),"")</f>
        <v>Unidad</v>
      </c>
      <c r="D2776" s="94">
        <v>2</v>
      </c>
      <c r="E2776" s="84">
        <v>47.82</v>
      </c>
      <c r="F2776" s="83">
        <f t="shared" ca="1" si="124"/>
        <v>95.64</v>
      </c>
    </row>
    <row r="2777" spans="1:6" ht="14.1" customHeight="1" x14ac:dyDescent="0.25">
      <c r="A2777" s="94" t="s">
        <v>8061</v>
      </c>
      <c r="B2777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777" s="95" t="str">
        <f>IFERROR(VLOOKUP("UD",'Informacion '!P:Q,2,FALSE),"")</f>
        <v>Unidad</v>
      </c>
      <c r="D2777" s="94">
        <v>24</v>
      </c>
      <c r="E2777" s="84">
        <v>2.98</v>
      </c>
      <c r="F2777" s="83">
        <f t="shared" ca="1" si="124"/>
        <v>71.52</v>
      </c>
    </row>
    <row r="2778" spans="1:6" ht="14.1" customHeight="1" x14ac:dyDescent="0.25">
      <c r="A2778" s="94" t="s">
        <v>8061</v>
      </c>
      <c r="B2778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778" s="95" t="str">
        <f>IFERROR(VLOOKUP("UD",'Informacion '!P:Q,2,FALSE),"")</f>
        <v>Unidad</v>
      </c>
      <c r="D2778" s="94">
        <v>111</v>
      </c>
      <c r="E2778" s="84">
        <v>42.48</v>
      </c>
      <c r="F2778" s="83">
        <f t="shared" ca="1" si="124"/>
        <v>4715.28</v>
      </c>
    </row>
    <row r="2779" spans="1:6" ht="14.1" customHeight="1" x14ac:dyDescent="0.25">
      <c r="A2779" s="94" t="s">
        <v>8061</v>
      </c>
      <c r="B2779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779" s="95" t="str">
        <f>IFERROR(VLOOKUP("UD",'Informacion '!P:Q,2,FALSE),"")</f>
        <v>Unidad</v>
      </c>
      <c r="D2779" s="94">
        <v>4</v>
      </c>
      <c r="E2779" s="84">
        <v>96</v>
      </c>
      <c r="F2779" s="83">
        <f t="shared" ca="1" si="124"/>
        <v>384</v>
      </c>
    </row>
    <row r="2780" spans="1:6" ht="14.1" customHeight="1" x14ac:dyDescent="0.25">
      <c r="A2780" s="94" t="s">
        <v>3831</v>
      </c>
      <c r="B2780" s="82" t="str">
        <f ca="1">IFERROR(INDEX(UNSPSCDes,MATCH(INDIRECT(ADDRESS(ROW(),COLUMN()-1,4)),UNSPSCCode,0)),IF(INDIRECT(ADDRESS(ROW(),COLUMN()-1,4))="42132105","Sábanas para hospital",""))</f>
        <v>Sábanas para hospital</v>
      </c>
      <c r="C2780" s="95" t="str">
        <f>IFERROR(VLOOKUP("UD",'Informacion '!P:Q,2,FALSE),"")</f>
        <v>Unidad</v>
      </c>
      <c r="D2780" s="94">
        <v>2638</v>
      </c>
      <c r="E2780" s="84">
        <v>16.399999999999999</v>
      </c>
      <c r="F2780" s="83">
        <f t="shared" ca="1" si="124"/>
        <v>43263.199999999997</v>
      </c>
    </row>
    <row r="2781" spans="1:6" ht="14.1" customHeight="1" x14ac:dyDescent="0.25">
      <c r="A2781" s="94" t="s">
        <v>8061</v>
      </c>
      <c r="B2781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781" s="95" t="str">
        <f>IFERROR(VLOOKUP("UD",'Informacion '!P:Q,2,FALSE),"")</f>
        <v>Unidad</v>
      </c>
      <c r="D2781" s="94">
        <v>48</v>
      </c>
      <c r="E2781" s="84">
        <v>66.42</v>
      </c>
      <c r="F2781" s="83">
        <f t="shared" ca="1" si="124"/>
        <v>3188.16</v>
      </c>
    </row>
    <row r="2782" spans="1:6" ht="14.1" customHeight="1" x14ac:dyDescent="0.25">
      <c r="A2782" s="94" t="s">
        <v>8061</v>
      </c>
      <c r="B2782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782" s="95" t="str">
        <f>IFERROR(VLOOKUP("UD",'Informacion '!P:Q,2,FALSE),"")</f>
        <v>Unidad</v>
      </c>
      <c r="D2782" s="94">
        <v>3609</v>
      </c>
      <c r="E2782" s="84">
        <v>1.8</v>
      </c>
      <c r="F2782" s="83">
        <f t="shared" ca="1" si="124"/>
        <v>6496.2</v>
      </c>
    </row>
    <row r="2783" spans="1:6" ht="14.1" customHeight="1" x14ac:dyDescent="0.25">
      <c r="A2783" s="94" t="s">
        <v>17014</v>
      </c>
      <c r="B2783" s="82" t="str">
        <f ca="1">IFERROR(INDEX(UNSPSCDes,MATCH(INDIRECT(ADDRESS(ROW(),COLUMN()-1,4)),UNSPSCCode,0)),IF(INDIRECT(ADDRESS(ROW(),COLUMN()-1,4))="53102306","Pañales para adulto",""))</f>
        <v>Pañales para adulto</v>
      </c>
      <c r="C2783" s="95" t="str">
        <f>IFERROR(VLOOKUP("UD",'Informacion '!P:Q,2,FALSE),"")</f>
        <v>Unidad</v>
      </c>
      <c r="D2783" s="94">
        <v>597</v>
      </c>
      <c r="E2783" s="84">
        <v>26.55</v>
      </c>
      <c r="F2783" s="83">
        <f t="shared" ca="1" si="124"/>
        <v>15850.35</v>
      </c>
    </row>
    <row r="2784" spans="1:6" ht="14.1" customHeight="1" x14ac:dyDescent="0.25">
      <c r="A2784" s="94" t="s">
        <v>3151</v>
      </c>
      <c r="B2784" s="82" t="str">
        <f ca="1">IFERROR(INDEX(UNSPSCDes,MATCH(INDIRECT(ADDRESS(ROW(),COLUMN()-1,4)),UNSPSCCode,0)),IF(INDIRECT(ADDRESS(ROW(),COLUMN()-1,4))="42131702","Batas de cirugía",""))</f>
        <v>Batas de cirugía</v>
      </c>
      <c r="C2784" s="95" t="str">
        <f>IFERROR(VLOOKUP("UD",'Informacion '!P:Q,2,FALSE),"")</f>
        <v>Unidad</v>
      </c>
      <c r="D2784" s="94">
        <v>2152</v>
      </c>
      <c r="E2784" s="84">
        <v>158.72999999999999</v>
      </c>
      <c r="F2784" s="83">
        <f t="shared" ca="1" si="124"/>
        <v>341586.95999999996</v>
      </c>
    </row>
    <row r="2785" spans="1:10" ht="14.1" customHeight="1" x14ac:dyDescent="0.25">
      <c r="A2785" s="94" t="s">
        <v>8339</v>
      </c>
      <c r="B2785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2785" s="95" t="str">
        <f>IFERROR(VLOOKUP("UD",'Informacion '!P:Q,2,FALSE),"")</f>
        <v>Unidad</v>
      </c>
      <c r="D2785" s="94">
        <v>111537</v>
      </c>
      <c r="E2785" s="84">
        <v>2.62</v>
      </c>
      <c r="F2785" s="83">
        <f t="shared" ca="1" si="124"/>
        <v>292226.94</v>
      </c>
    </row>
    <row r="2786" spans="1:10" ht="14.1" customHeight="1" x14ac:dyDescent="0.25">
      <c r="A2786" s="94" t="s">
        <v>13127</v>
      </c>
      <c r="B2786" s="82" t="str">
        <f ca="1">IFERROR(INDEX(UNSPSCDes,MATCH(INDIRECT(ADDRESS(ROW(),COLUMN()-1,4)),UNSPSCCode,0)),IF(INDIRECT(ADDRESS(ROW(),COLUMN()-1,4))="42132205","Guantes de cirugía",""))</f>
        <v>Guantes de cirugía</v>
      </c>
      <c r="C2786" s="95" t="str">
        <f>IFERROR(VLOOKUP("UD",'Informacion '!P:Q,2,FALSE),"")</f>
        <v>Unidad</v>
      </c>
      <c r="D2786" s="94">
        <v>2201</v>
      </c>
      <c r="E2786" s="84">
        <v>11.97</v>
      </c>
      <c r="F2786" s="83">
        <f t="shared" ca="1" si="124"/>
        <v>26345.97</v>
      </c>
    </row>
    <row r="2787" spans="1:10" ht="14.1" customHeight="1" x14ac:dyDescent="0.25">
      <c r="A2787" s="94" t="s">
        <v>3506</v>
      </c>
      <c r="B2787" s="82" t="str">
        <f ca="1">IFERROR(INDEX(UNSPSCDes,MATCH(INDIRECT(ADDRESS(ROW(),COLUMN()-1,4)),UNSPSCCode,0)),IF(INDIRECT(ADDRESS(ROW(),COLUMN()-1,4))="42142802","Prendas o soporte para compresión o vasculares",""))</f>
        <v>Prendas o soporte para compresión o vasculares</v>
      </c>
      <c r="C2787" s="95" t="str">
        <f>IFERROR(VLOOKUP("UD",'Informacion '!P:Q,2,FALSE),"")</f>
        <v>Unidad</v>
      </c>
      <c r="D2787" s="94">
        <v>6</v>
      </c>
      <c r="E2787" s="84">
        <v>3014.25</v>
      </c>
      <c r="F2787" s="83">
        <f t="shared" ca="1" si="124"/>
        <v>18085.5</v>
      </c>
    </row>
    <row r="2788" spans="1:10" ht="14.1" customHeight="1" x14ac:dyDescent="0.25">
      <c r="E2788" s="96" t="s">
        <v>7213</v>
      </c>
      <c r="F2788" s="87">
        <f ca="1">SUM(Table100[MONTO TOTAL ESTIMADO])</f>
        <v>753428.24</v>
      </c>
      <c r="H2788" s="39" t="str">
        <f>C2768</f>
        <v>Bienes</v>
      </c>
      <c r="I2788" s="39" t="str">
        <f>E2768</f>
        <v>No</v>
      </c>
      <c r="J2788" s="39" t="str">
        <f>D2768</f>
        <v>Comparacion de Precios</v>
      </c>
    </row>
    <row r="2790" spans="1:10" ht="33.950000000000003" customHeight="1" x14ac:dyDescent="0.25">
      <c r="A2790" s="77" t="s">
        <v>17233</v>
      </c>
      <c r="B2790" s="77" t="s">
        <v>4237</v>
      </c>
      <c r="C2790" s="77" t="s">
        <v>4743</v>
      </c>
      <c r="D2790" s="77" t="s">
        <v>9891</v>
      </c>
      <c r="E2790" s="77" t="s">
        <v>3089</v>
      </c>
      <c r="F2790" s="77" t="s">
        <v>18141</v>
      </c>
    </row>
    <row r="2791" spans="1:10" ht="14.1" customHeight="1" x14ac:dyDescent="0.25">
      <c r="A2791" s="79" t="s">
        <v>12348</v>
      </c>
      <c r="B2791" s="79" t="s">
        <v>7142</v>
      </c>
      <c r="C2791" s="79" t="s">
        <v>17215</v>
      </c>
      <c r="D2791" s="79" t="s">
        <v>17798</v>
      </c>
      <c r="E2791" s="79" t="s">
        <v>18247</v>
      </c>
      <c r="F2791" s="79"/>
    </row>
    <row r="2792" spans="1:10" ht="14.1" customHeight="1" x14ac:dyDescent="0.25">
      <c r="A2792" s="2" t="s">
        <v>6643</v>
      </c>
      <c r="B2792" s="80" t="s">
        <v>1046</v>
      </c>
      <c r="C2792" s="90">
        <v>43647</v>
      </c>
      <c r="D2792" s="2" t="s">
        <v>59</v>
      </c>
      <c r="E2792" s="92" t="s">
        <v>20066</v>
      </c>
      <c r="F2792" s="93"/>
    </row>
    <row r="2793" spans="1:10" ht="14.1" customHeight="1" x14ac:dyDescent="0.25">
      <c r="A2793" s="1"/>
      <c r="B2793" s="80" t="s">
        <v>10788</v>
      </c>
      <c r="C2793" s="91">
        <f>IF(C2792="","",IF(AND(MONTH(C2792)&gt;=1,MONTH(C2792)&lt;=3),1,IF(AND(MONTH(C2792)&gt;=4,MONTH(C2792)&lt;=6),2,IF(AND(MONTH(C2792)&gt;=7,MONTH(C2792)&lt;=9),3,4))))</f>
        <v>3</v>
      </c>
      <c r="D2793" s="1"/>
      <c r="E2793" s="92" t="s">
        <v>14822</v>
      </c>
      <c r="F2793" s="93"/>
    </row>
    <row r="2794" spans="1:10" ht="14.1" customHeight="1" x14ac:dyDescent="0.25">
      <c r="A2794" s="1"/>
      <c r="B2794" s="80" t="s">
        <v>13758</v>
      </c>
      <c r="C2794" s="90">
        <v>43738</v>
      </c>
      <c r="D2794" s="1"/>
      <c r="E2794" s="92" t="s">
        <v>18636</v>
      </c>
      <c r="F2794" s="93"/>
    </row>
    <row r="2795" spans="1:10" ht="14.1" customHeight="1" x14ac:dyDescent="0.25">
      <c r="A2795" s="1"/>
      <c r="B2795" s="80" t="s">
        <v>10788</v>
      </c>
      <c r="C2795" s="91">
        <f>IF(C2794="","",IF(AND(MONTH(C2794)&gt;=1,MONTH(C2794)&lt;=3),1,IF(AND(MONTH(C2794)&gt;=4,MONTH(C2794)&lt;=6),2,IF(AND(MONTH(C2794)&gt;=7,MONTH(C2794)&lt;=9),3,4))))</f>
        <v>3</v>
      </c>
      <c r="D2795" s="1"/>
      <c r="E2795" s="92" t="s">
        <v>15990</v>
      </c>
      <c r="F2795" s="93"/>
    </row>
    <row r="2797" spans="1:10" ht="14.1" customHeight="1" x14ac:dyDescent="0.25">
      <c r="A2797" s="85" t="s">
        <v>15474</v>
      </c>
      <c r="B2797" s="85" t="s">
        <v>5027</v>
      </c>
      <c r="C2797" s="85" t="s">
        <v>17461</v>
      </c>
      <c r="D2797" s="85" t="s">
        <v>3935</v>
      </c>
      <c r="E2797" s="85" t="s">
        <v>10722</v>
      </c>
      <c r="F2797" s="85" t="s">
        <v>18237</v>
      </c>
    </row>
    <row r="2798" spans="1:10" ht="14.1" customHeight="1" x14ac:dyDescent="0.25">
      <c r="A2798" s="94" t="s">
        <v>8061</v>
      </c>
      <c r="B2798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798" s="95" t="str">
        <f>IFERROR(VLOOKUP("UD",'Informacion '!P:Q,2,FALSE),"")</f>
        <v>Unidad</v>
      </c>
      <c r="D2798" s="94">
        <v>44</v>
      </c>
      <c r="E2798" s="84">
        <v>28.66</v>
      </c>
      <c r="F2798" s="83">
        <f t="shared" ref="F2798:F2811" ca="1" si="125">INDIRECT(ADDRESS(ROW(),COLUMN()-2,4))*INDIRECT(ADDRESS(ROW(),COLUMN()-1,4))</f>
        <v>1261.04</v>
      </c>
    </row>
    <row r="2799" spans="1:10" ht="14.1" customHeight="1" x14ac:dyDescent="0.25">
      <c r="A2799" s="94" t="s">
        <v>8061</v>
      </c>
      <c r="B2799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799" s="95" t="str">
        <f>IFERROR(VLOOKUP("UD",'Informacion '!P:Q,2,FALSE),"")</f>
        <v>Unidad</v>
      </c>
      <c r="D2799" s="94">
        <v>3</v>
      </c>
      <c r="E2799" s="84">
        <v>47.82</v>
      </c>
      <c r="F2799" s="83">
        <f t="shared" ca="1" si="125"/>
        <v>143.46</v>
      </c>
    </row>
    <row r="2800" spans="1:10" ht="14.1" customHeight="1" x14ac:dyDescent="0.25">
      <c r="A2800" s="94" t="s">
        <v>8061</v>
      </c>
      <c r="B2800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800" s="95" t="str">
        <f>IFERROR(VLOOKUP("UD",'Informacion '!P:Q,2,FALSE),"")</f>
        <v>Unidad</v>
      </c>
      <c r="D2800" s="94">
        <v>28</v>
      </c>
      <c r="E2800" s="84">
        <v>2.98</v>
      </c>
      <c r="F2800" s="83">
        <f t="shared" ca="1" si="125"/>
        <v>83.44</v>
      </c>
    </row>
    <row r="2801" spans="1:10" ht="14.1" customHeight="1" x14ac:dyDescent="0.25">
      <c r="A2801" s="94" t="s">
        <v>8061</v>
      </c>
      <c r="B2801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801" s="95" t="str">
        <f>IFERROR(VLOOKUP("UD",'Informacion '!P:Q,2,FALSE),"")</f>
        <v>Unidad</v>
      </c>
      <c r="D2801" s="94">
        <v>128</v>
      </c>
      <c r="E2801" s="84">
        <v>42.48</v>
      </c>
      <c r="F2801" s="83">
        <f t="shared" ca="1" si="125"/>
        <v>5437.44</v>
      </c>
    </row>
    <row r="2802" spans="1:10" ht="14.1" customHeight="1" x14ac:dyDescent="0.25">
      <c r="A2802" s="94" t="s">
        <v>8061</v>
      </c>
      <c r="B2802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802" s="95" t="str">
        <f>IFERROR(VLOOKUP("UD",'Informacion '!P:Q,2,FALSE),"")</f>
        <v>Unidad</v>
      </c>
      <c r="D2802" s="94">
        <v>13</v>
      </c>
      <c r="E2802" s="84">
        <v>96</v>
      </c>
      <c r="F2802" s="83">
        <f t="shared" ca="1" si="125"/>
        <v>1248</v>
      </c>
    </row>
    <row r="2803" spans="1:10" ht="14.1" customHeight="1" x14ac:dyDescent="0.25">
      <c r="A2803" s="94" t="s">
        <v>3831</v>
      </c>
      <c r="B2803" s="82" t="str">
        <f ca="1">IFERROR(INDEX(UNSPSCDes,MATCH(INDIRECT(ADDRESS(ROW(),COLUMN()-1,4)),UNSPSCCode,0)),IF(INDIRECT(ADDRESS(ROW(),COLUMN()-1,4))="42132105","Sábanas para hospital",""))</f>
        <v>Sábanas para hospital</v>
      </c>
      <c r="C2803" s="95" t="str">
        <f>IFERROR(VLOOKUP("UD",'Informacion '!P:Q,2,FALSE),"")</f>
        <v>Unidad</v>
      </c>
      <c r="D2803" s="94">
        <v>2749</v>
      </c>
      <c r="E2803" s="84">
        <v>16.399999999999999</v>
      </c>
      <c r="F2803" s="83">
        <f t="shared" ca="1" si="125"/>
        <v>45083.6</v>
      </c>
    </row>
    <row r="2804" spans="1:10" ht="14.1" customHeight="1" x14ac:dyDescent="0.25">
      <c r="A2804" s="94" t="s">
        <v>8061</v>
      </c>
      <c r="B2804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804" s="95" t="str">
        <f>IFERROR(VLOOKUP("UD",'Informacion '!P:Q,2,FALSE),"")</f>
        <v>Unidad</v>
      </c>
      <c r="D2804" s="94">
        <v>51</v>
      </c>
      <c r="E2804" s="84">
        <v>66.42</v>
      </c>
      <c r="F2804" s="83">
        <f t="shared" ca="1" si="125"/>
        <v>3387.42</v>
      </c>
    </row>
    <row r="2805" spans="1:10" ht="14.1" customHeight="1" x14ac:dyDescent="0.25">
      <c r="A2805" s="94" t="s">
        <v>8061</v>
      </c>
      <c r="B2805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2805" s="95" t="str">
        <f>IFERROR(VLOOKUP("UD",'Informacion '!P:Q,2,FALSE),"")</f>
        <v>Unidad</v>
      </c>
      <c r="D2805" s="94">
        <v>3805</v>
      </c>
      <c r="E2805" s="84">
        <v>2.36</v>
      </c>
      <c r="F2805" s="83">
        <f t="shared" ca="1" si="125"/>
        <v>8979.7999999999993</v>
      </c>
    </row>
    <row r="2806" spans="1:10" ht="14.1" customHeight="1" x14ac:dyDescent="0.25">
      <c r="A2806" s="94" t="s">
        <v>17014</v>
      </c>
      <c r="B2806" s="82" t="str">
        <f ca="1">IFERROR(INDEX(UNSPSCDes,MATCH(INDIRECT(ADDRESS(ROW(),COLUMN()-1,4)),UNSPSCCode,0)),IF(INDIRECT(ADDRESS(ROW(),COLUMN()-1,4))="53102306","Pañales para adulto",""))</f>
        <v>Pañales para adulto</v>
      </c>
      <c r="C2806" s="95" t="str">
        <f>IFERROR(VLOOKUP("UD",'Informacion '!P:Q,2,FALSE),"")</f>
        <v>Unidad</v>
      </c>
      <c r="D2806" s="94">
        <v>597</v>
      </c>
      <c r="E2806" s="84">
        <v>26.55</v>
      </c>
      <c r="F2806" s="83">
        <f t="shared" ca="1" si="125"/>
        <v>15850.35</v>
      </c>
    </row>
    <row r="2807" spans="1:10" ht="14.1" customHeight="1" x14ac:dyDescent="0.25">
      <c r="A2807" s="94" t="s">
        <v>3151</v>
      </c>
      <c r="B2807" s="82" t="str">
        <f ca="1">IFERROR(INDEX(UNSPSCDes,MATCH(INDIRECT(ADDRESS(ROW(),COLUMN()-1,4)),UNSPSCCode,0)),IF(INDIRECT(ADDRESS(ROW(),COLUMN()-1,4))="42131702","Batas de cirugía",""))</f>
        <v>Batas de cirugía</v>
      </c>
      <c r="C2807" s="95" t="str">
        <f>IFERROR(VLOOKUP("UD",'Informacion '!P:Q,2,FALSE),"")</f>
        <v>Unidad</v>
      </c>
      <c r="D2807" s="94">
        <v>2196</v>
      </c>
      <c r="E2807" s="84">
        <v>158.72999999999999</v>
      </c>
      <c r="F2807" s="83">
        <f t="shared" ca="1" si="125"/>
        <v>348571.07999999996</v>
      </c>
    </row>
    <row r="2808" spans="1:10" ht="14.1" customHeight="1" x14ac:dyDescent="0.25">
      <c r="A2808" s="94" t="s">
        <v>3151</v>
      </c>
      <c r="B2808" s="82" t="str">
        <f ca="1">IFERROR(INDEX(UNSPSCDes,MATCH(INDIRECT(ADDRESS(ROW(),COLUMN()-1,4)),UNSPSCCode,0)),IF(INDIRECT(ADDRESS(ROW(),COLUMN()-1,4))="42131702","Batas de cirugía",""))</f>
        <v>Batas de cirugía</v>
      </c>
      <c r="C2808" s="95" t="str">
        <f>IFERROR(VLOOKUP("UD",'Informacion '!P:Q,2,FALSE),"")</f>
        <v>Unidad</v>
      </c>
      <c r="D2808" s="94">
        <v>505</v>
      </c>
      <c r="E2808" s="84">
        <v>17.95</v>
      </c>
      <c r="F2808" s="83">
        <f t="shared" ca="1" si="125"/>
        <v>9064.75</v>
      </c>
    </row>
    <row r="2809" spans="1:10" ht="14.1" customHeight="1" x14ac:dyDescent="0.25">
      <c r="A2809" s="94" t="s">
        <v>8339</v>
      </c>
      <c r="B2809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2809" s="95" t="str">
        <f>IFERROR(VLOOKUP("UD",'Informacion '!P:Q,2,FALSE),"")</f>
        <v>Unidad</v>
      </c>
      <c r="D2809" s="94">
        <v>114621</v>
      </c>
      <c r="E2809" s="84">
        <v>2.62</v>
      </c>
      <c r="F2809" s="83">
        <f t="shared" ca="1" si="125"/>
        <v>300307.02</v>
      </c>
    </row>
    <row r="2810" spans="1:10" ht="14.1" customHeight="1" x14ac:dyDescent="0.25">
      <c r="A2810" s="94" t="s">
        <v>13127</v>
      </c>
      <c r="B2810" s="82" t="str">
        <f ca="1">IFERROR(INDEX(UNSPSCDes,MATCH(INDIRECT(ADDRESS(ROW(),COLUMN()-1,4)),UNSPSCCode,0)),IF(INDIRECT(ADDRESS(ROW(),COLUMN()-1,4))="42132205","Guantes de cirugía",""))</f>
        <v>Guantes de cirugía</v>
      </c>
      <c r="C2810" s="95" t="str">
        <f>IFERROR(VLOOKUP("UD",'Informacion '!P:Q,2,FALSE),"")</f>
        <v>Unidad</v>
      </c>
      <c r="D2810" s="94">
        <v>2246</v>
      </c>
      <c r="E2810" s="84">
        <v>11.97</v>
      </c>
      <c r="F2810" s="83">
        <f t="shared" ca="1" si="125"/>
        <v>26884.620000000003</v>
      </c>
    </row>
    <row r="2811" spans="1:10" ht="14.1" customHeight="1" x14ac:dyDescent="0.25">
      <c r="A2811" s="94" t="s">
        <v>3506</v>
      </c>
      <c r="B2811" s="82" t="str">
        <f ca="1">IFERROR(INDEX(UNSPSCDes,MATCH(INDIRECT(ADDRESS(ROW(),COLUMN()-1,4)),UNSPSCCode,0)),IF(INDIRECT(ADDRESS(ROW(),COLUMN()-1,4))="42142802","Prendas o soporte para compresión o vasculares",""))</f>
        <v>Prendas o soporte para compresión o vasculares</v>
      </c>
      <c r="C2811" s="95" t="str">
        <f>IFERROR(VLOOKUP("UD",'Informacion '!P:Q,2,FALSE),"")</f>
        <v>Unidad</v>
      </c>
      <c r="D2811" s="94">
        <v>7</v>
      </c>
      <c r="E2811" s="84">
        <v>3014.25</v>
      </c>
      <c r="F2811" s="83">
        <f t="shared" ca="1" si="125"/>
        <v>21099.75</v>
      </c>
    </row>
    <row r="2812" spans="1:10" ht="14.1" customHeight="1" x14ac:dyDescent="0.25">
      <c r="E2812" s="96" t="s">
        <v>7213</v>
      </c>
      <c r="F2812" s="87">
        <f ca="1">SUM(Table101[MONTO TOTAL ESTIMADO])</f>
        <v>787401.7699999999</v>
      </c>
      <c r="H2812" s="39" t="str">
        <f>C2791</f>
        <v>Bienes</v>
      </c>
      <c r="I2812" s="39" t="str">
        <f>E2791</f>
        <v>No</v>
      </c>
      <c r="J2812" s="39" t="str">
        <f>D2791</f>
        <v>Compras Menores</v>
      </c>
    </row>
    <row r="2814" spans="1:10" ht="33.950000000000003" customHeight="1" x14ac:dyDescent="0.25">
      <c r="A2814" s="77" t="s">
        <v>17233</v>
      </c>
      <c r="B2814" s="77" t="s">
        <v>4237</v>
      </c>
      <c r="C2814" s="77" t="s">
        <v>4743</v>
      </c>
      <c r="D2814" s="77" t="s">
        <v>9891</v>
      </c>
      <c r="E2814" s="77" t="s">
        <v>3089</v>
      </c>
      <c r="F2814" s="77" t="s">
        <v>18141</v>
      </c>
    </row>
    <row r="2815" spans="1:10" ht="14.1" customHeight="1" x14ac:dyDescent="0.25">
      <c r="A2815" s="79" t="s">
        <v>4969</v>
      </c>
      <c r="B2815" s="79" t="s">
        <v>7182</v>
      </c>
      <c r="C2815" s="79" t="s">
        <v>17215</v>
      </c>
      <c r="D2815" s="79" t="s">
        <v>15249</v>
      </c>
      <c r="E2815" s="79" t="s">
        <v>18247</v>
      </c>
      <c r="F2815" s="79"/>
    </row>
    <row r="2816" spans="1:10" ht="14.1" customHeight="1" x14ac:dyDescent="0.25">
      <c r="A2816" s="2" t="s">
        <v>6643</v>
      </c>
      <c r="B2816" s="80" t="s">
        <v>1046</v>
      </c>
      <c r="C2816" s="90">
        <v>43647</v>
      </c>
      <c r="D2816" s="2" t="s">
        <v>59</v>
      </c>
      <c r="E2816" s="92" t="s">
        <v>20066</v>
      </c>
      <c r="F2816" s="93"/>
    </row>
    <row r="2817" spans="1:6" ht="14.1" customHeight="1" x14ac:dyDescent="0.25">
      <c r="A2817" s="1"/>
      <c r="B2817" s="80" t="s">
        <v>10788</v>
      </c>
      <c r="C2817" s="91">
        <f>IF(C2816="","",IF(AND(MONTH(C2816)&gt;=1,MONTH(C2816)&lt;=3),1,IF(AND(MONTH(C2816)&gt;=4,MONTH(C2816)&lt;=6),2,IF(AND(MONTH(C2816)&gt;=7,MONTH(C2816)&lt;=9),3,4))))</f>
        <v>3</v>
      </c>
      <c r="D2817" s="1"/>
      <c r="E2817" s="92" t="s">
        <v>14822</v>
      </c>
      <c r="F2817" s="93"/>
    </row>
    <row r="2818" spans="1:6" ht="14.1" customHeight="1" x14ac:dyDescent="0.25">
      <c r="A2818" s="1"/>
      <c r="B2818" s="80" t="s">
        <v>13758</v>
      </c>
      <c r="C2818" s="90">
        <v>43738</v>
      </c>
      <c r="D2818" s="1"/>
      <c r="E2818" s="92" t="s">
        <v>18636</v>
      </c>
      <c r="F2818" s="93"/>
    </row>
    <row r="2819" spans="1:6" ht="14.1" customHeight="1" x14ac:dyDescent="0.25">
      <c r="A2819" s="1"/>
      <c r="B2819" s="80" t="s">
        <v>10788</v>
      </c>
      <c r="C2819" s="91">
        <f>IF(C2818="","",IF(AND(MONTH(C2818)&gt;=1,MONTH(C2818)&lt;=3),1,IF(AND(MONTH(C2818)&gt;=4,MONTH(C2818)&lt;=6),2,IF(AND(MONTH(C2818)&gt;=7,MONTH(C2818)&lt;=9),3,4))))</f>
        <v>3</v>
      </c>
      <c r="D2819" s="1"/>
      <c r="E2819" s="92" t="s">
        <v>15990</v>
      </c>
      <c r="F2819" s="93"/>
    </row>
    <row r="2821" spans="1:6" ht="14.1" customHeight="1" x14ac:dyDescent="0.25">
      <c r="A2821" s="85" t="s">
        <v>15474</v>
      </c>
      <c r="B2821" s="85" t="s">
        <v>5027</v>
      </c>
      <c r="C2821" s="85" t="s">
        <v>17461</v>
      </c>
      <c r="D2821" s="85" t="s">
        <v>3935</v>
      </c>
      <c r="E2821" s="85" t="s">
        <v>10722</v>
      </c>
      <c r="F2821" s="85" t="s">
        <v>18237</v>
      </c>
    </row>
    <row r="2822" spans="1:6" ht="14.1" customHeight="1" x14ac:dyDescent="0.25">
      <c r="A2822" s="94" t="s">
        <v>395</v>
      </c>
      <c r="B2822" s="82" t="str">
        <f ca="1">IFERROR(INDEX(UNSPSCDes,MATCH(INDIRECT(ADDRESS(ROW(),COLUMN()-1,4)),UNSPSCCode,0)),IF(INDIRECT(ADDRESS(ROW(),COLUMN()-1,4))="14111703","Toallas de papel",""))</f>
        <v>Toallas de papel</v>
      </c>
      <c r="C2822" s="95" t="str">
        <f>IFERROR(VLOOKUP("UD",'Informacion '!P:Q,2,FALSE),"")</f>
        <v>Unidad</v>
      </c>
      <c r="D2822" s="94">
        <v>500</v>
      </c>
      <c r="E2822" s="84">
        <v>1401.84</v>
      </c>
      <c r="F2822" s="83">
        <f t="shared" ref="F2822:F2853" ca="1" si="126">INDIRECT(ADDRESS(ROW(),COLUMN()-2,4))*INDIRECT(ADDRESS(ROW(),COLUMN()-1,4))</f>
        <v>700920</v>
      </c>
    </row>
    <row r="2823" spans="1:6" ht="14.1" customHeight="1" x14ac:dyDescent="0.25">
      <c r="A2823" s="94" t="s">
        <v>7445</v>
      </c>
      <c r="B2823" s="82" t="str">
        <f ca="1">IFERROR(INDEX(UNSPSCDes,MATCH(INDIRECT(ADDRESS(ROW(),COLUMN()-1,4)),UNSPSCCode,0)),IF(INDIRECT(ADDRESS(ROW(),COLUMN()-1,4))="14111704","Papel higiénico",""))</f>
        <v>Papel higiénico</v>
      </c>
      <c r="C2823" s="95" t="str">
        <f>IFERROR(VLOOKUP("UD",'Informacion '!P:Q,2,FALSE),"")</f>
        <v>Unidad</v>
      </c>
      <c r="D2823" s="94">
        <v>640</v>
      </c>
      <c r="E2823" s="84">
        <v>529.82000000000005</v>
      </c>
      <c r="F2823" s="83">
        <f t="shared" ca="1" si="126"/>
        <v>339084.80000000005</v>
      </c>
    </row>
    <row r="2824" spans="1:6" ht="14.1" customHeight="1" x14ac:dyDescent="0.25">
      <c r="A2824" s="94" t="s">
        <v>12096</v>
      </c>
      <c r="B2824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2824" s="95" t="str">
        <f>IFERROR(VLOOKUP("UD",'Informacion '!P:Q,2,FALSE),"")</f>
        <v>Unidad</v>
      </c>
      <c r="D2824" s="94">
        <v>200</v>
      </c>
      <c r="E2824" s="84">
        <v>90</v>
      </c>
      <c r="F2824" s="83">
        <f t="shared" ca="1" si="126"/>
        <v>18000</v>
      </c>
    </row>
    <row r="2825" spans="1:6" ht="14.1" customHeight="1" x14ac:dyDescent="0.25">
      <c r="A2825" s="94" t="s">
        <v>12096</v>
      </c>
      <c r="B2825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2825" s="95" t="str">
        <f>IFERROR(VLOOKUP("UD",'Informacion '!P:Q,2,FALSE),"")</f>
        <v>Unidad</v>
      </c>
      <c r="D2825" s="94">
        <v>200</v>
      </c>
      <c r="E2825" s="84">
        <v>90</v>
      </c>
      <c r="F2825" s="83">
        <f t="shared" ca="1" si="126"/>
        <v>18000</v>
      </c>
    </row>
    <row r="2826" spans="1:6" ht="14.1" customHeight="1" x14ac:dyDescent="0.25">
      <c r="A2826" s="94" t="s">
        <v>12096</v>
      </c>
      <c r="B2826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2826" s="95" t="str">
        <f>IFERROR(VLOOKUP("UD",'Informacion '!P:Q,2,FALSE),"")</f>
        <v>Unidad</v>
      </c>
      <c r="D2826" s="94">
        <v>200</v>
      </c>
      <c r="E2826" s="84">
        <v>90</v>
      </c>
      <c r="F2826" s="83">
        <f t="shared" ca="1" si="126"/>
        <v>18000</v>
      </c>
    </row>
    <row r="2827" spans="1:6" ht="14.1" customHeight="1" x14ac:dyDescent="0.25">
      <c r="A2827" s="94" t="s">
        <v>1878</v>
      </c>
      <c r="B2827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27" s="95" t="str">
        <f>IFERROR(VLOOKUP("UD",'Informacion '!P:Q,2,FALSE),"")</f>
        <v>Unidad</v>
      </c>
      <c r="D2827" s="94">
        <v>20</v>
      </c>
      <c r="E2827" s="84">
        <v>1100</v>
      </c>
      <c r="F2827" s="83">
        <f t="shared" ca="1" si="126"/>
        <v>22000</v>
      </c>
    </row>
    <row r="2828" spans="1:6" ht="14.1" customHeight="1" x14ac:dyDescent="0.25">
      <c r="A2828" s="94" t="s">
        <v>1878</v>
      </c>
      <c r="B2828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28" s="95" t="str">
        <f>IFERROR(VLOOKUP("UD",'Informacion '!P:Q,2,FALSE),"")</f>
        <v>Unidad</v>
      </c>
      <c r="D2828" s="94">
        <v>10</v>
      </c>
      <c r="E2828" s="84">
        <v>1200</v>
      </c>
      <c r="F2828" s="83">
        <f t="shared" ca="1" si="126"/>
        <v>12000</v>
      </c>
    </row>
    <row r="2829" spans="1:6" ht="14.1" customHeight="1" x14ac:dyDescent="0.25">
      <c r="A2829" s="94" t="s">
        <v>1878</v>
      </c>
      <c r="B2829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29" s="95" t="str">
        <f>IFERROR(VLOOKUP("UD",'Informacion '!P:Q,2,FALSE),"")</f>
        <v>Unidad</v>
      </c>
      <c r="D2829" s="94">
        <v>5</v>
      </c>
      <c r="E2829" s="84">
        <v>1250</v>
      </c>
      <c r="F2829" s="83">
        <f t="shared" ca="1" si="126"/>
        <v>6250</v>
      </c>
    </row>
    <row r="2830" spans="1:6" ht="14.1" customHeight="1" x14ac:dyDescent="0.25">
      <c r="A2830" s="94" t="s">
        <v>6997</v>
      </c>
      <c r="B2830" s="82" t="str">
        <f ca="1">IFERROR(INDEX(UNSPSCDes,MATCH(INDIRECT(ADDRESS(ROW(),COLUMN()-1,4)),UNSPSCCode,0)),IF(INDIRECT(ADDRESS(ROW(),COLUMN()-1,4))="52121703","Paños para lavar",""))</f>
        <v>Paños para lavar</v>
      </c>
      <c r="C2830" s="95" t="str">
        <f>IFERROR(VLOOKUP("UD",'Informacion '!P:Q,2,FALSE),"")</f>
        <v>Unidad</v>
      </c>
      <c r="D2830" s="94">
        <v>50</v>
      </c>
      <c r="E2830" s="84">
        <v>560</v>
      </c>
      <c r="F2830" s="83">
        <f t="shared" ca="1" si="126"/>
        <v>28000</v>
      </c>
    </row>
    <row r="2831" spans="1:6" ht="14.1" customHeight="1" x14ac:dyDescent="0.25">
      <c r="A2831" s="94" t="s">
        <v>6997</v>
      </c>
      <c r="B2831" s="82" t="str">
        <f ca="1">IFERROR(INDEX(UNSPSCDes,MATCH(INDIRECT(ADDRESS(ROW(),COLUMN()-1,4)),UNSPSCCode,0)),IF(INDIRECT(ADDRESS(ROW(),COLUMN()-1,4))="52121703","Paños para lavar",""))</f>
        <v>Paños para lavar</v>
      </c>
      <c r="C2831" s="95" t="str">
        <f>IFERROR(VLOOKUP("UD",'Informacion '!P:Q,2,FALSE),"")</f>
        <v>Unidad</v>
      </c>
      <c r="D2831" s="94">
        <v>50</v>
      </c>
      <c r="E2831" s="84">
        <v>820</v>
      </c>
      <c r="F2831" s="83">
        <f t="shared" ca="1" si="126"/>
        <v>41000</v>
      </c>
    </row>
    <row r="2832" spans="1:6" ht="14.1" customHeight="1" x14ac:dyDescent="0.25">
      <c r="A2832" s="94" t="s">
        <v>6997</v>
      </c>
      <c r="B2832" s="82" t="str">
        <f ca="1">IFERROR(INDEX(UNSPSCDes,MATCH(INDIRECT(ADDRESS(ROW(),COLUMN()-1,4)),UNSPSCCode,0)),IF(INDIRECT(ADDRESS(ROW(),COLUMN()-1,4))="52121703","Paños para lavar",""))</f>
        <v>Paños para lavar</v>
      </c>
      <c r="C2832" s="95" t="str">
        <f>IFERROR(VLOOKUP("UD",'Informacion '!P:Q,2,FALSE),"")</f>
        <v>Unidad</v>
      </c>
      <c r="D2832" s="94">
        <v>50</v>
      </c>
      <c r="E2832" s="84">
        <v>835</v>
      </c>
      <c r="F2832" s="83">
        <f t="shared" ca="1" si="126"/>
        <v>41750</v>
      </c>
    </row>
    <row r="2833" spans="1:6" ht="14.1" customHeight="1" x14ac:dyDescent="0.25">
      <c r="A2833" s="94" t="s">
        <v>6997</v>
      </c>
      <c r="B2833" s="82" t="str">
        <f ca="1">IFERROR(INDEX(UNSPSCDes,MATCH(INDIRECT(ADDRESS(ROW(),COLUMN()-1,4)),UNSPSCCode,0)),IF(INDIRECT(ADDRESS(ROW(),COLUMN()-1,4))="52121703","Paños para lavar",""))</f>
        <v>Paños para lavar</v>
      </c>
      <c r="C2833" s="95" t="str">
        <f>IFERROR(VLOOKUP("UD",'Informacion '!P:Q,2,FALSE),"")</f>
        <v>Unidad</v>
      </c>
      <c r="D2833" s="94">
        <v>10</v>
      </c>
      <c r="E2833" s="84">
        <v>875</v>
      </c>
      <c r="F2833" s="83">
        <f t="shared" ca="1" si="126"/>
        <v>8750</v>
      </c>
    </row>
    <row r="2834" spans="1:6" ht="14.1" customHeight="1" x14ac:dyDescent="0.25">
      <c r="A2834" s="94" t="s">
        <v>1878</v>
      </c>
      <c r="B2834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34" s="95" t="str">
        <f>IFERROR(VLOOKUP("UD",'Informacion '!P:Q,2,FALSE),"")</f>
        <v>Unidad</v>
      </c>
      <c r="D2834" s="94">
        <v>18</v>
      </c>
      <c r="E2834" s="84">
        <v>985</v>
      </c>
      <c r="F2834" s="83">
        <f t="shared" ca="1" si="126"/>
        <v>17730</v>
      </c>
    </row>
    <row r="2835" spans="1:6" ht="14.1" customHeight="1" x14ac:dyDescent="0.25">
      <c r="A2835" s="94" t="s">
        <v>1878</v>
      </c>
      <c r="B2835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35" s="95" t="str">
        <f>IFERROR(VLOOKUP("UD",'Informacion '!P:Q,2,FALSE),"")</f>
        <v>Unidad</v>
      </c>
      <c r="D2835" s="94">
        <v>18</v>
      </c>
      <c r="E2835" s="84">
        <v>1690</v>
      </c>
      <c r="F2835" s="83">
        <f t="shared" ca="1" si="126"/>
        <v>30420</v>
      </c>
    </row>
    <row r="2836" spans="1:6" ht="14.1" customHeight="1" x14ac:dyDescent="0.25">
      <c r="A2836" s="94" t="s">
        <v>1878</v>
      </c>
      <c r="B2836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36" s="95" t="str">
        <f>IFERROR(VLOOKUP("UD",'Informacion '!P:Q,2,FALSE),"")</f>
        <v>Unidad</v>
      </c>
      <c r="D2836" s="94">
        <v>18</v>
      </c>
      <c r="E2836" s="84">
        <v>1750</v>
      </c>
      <c r="F2836" s="83">
        <f t="shared" ca="1" si="126"/>
        <v>31500</v>
      </c>
    </row>
    <row r="2837" spans="1:6" ht="14.1" customHeight="1" x14ac:dyDescent="0.25">
      <c r="A2837" s="94" t="s">
        <v>1878</v>
      </c>
      <c r="B2837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37" s="95" t="str">
        <f>IFERROR(VLOOKUP("UD",'Informacion '!P:Q,2,FALSE),"")</f>
        <v>Unidad</v>
      </c>
      <c r="D2837" s="94">
        <v>18</v>
      </c>
      <c r="E2837" s="84">
        <v>1825</v>
      </c>
      <c r="F2837" s="83">
        <f t="shared" ca="1" si="126"/>
        <v>32850</v>
      </c>
    </row>
    <row r="2838" spans="1:6" ht="14.1" customHeight="1" x14ac:dyDescent="0.25">
      <c r="A2838" s="94" t="s">
        <v>6997</v>
      </c>
      <c r="B2838" s="82" t="str">
        <f ca="1">IFERROR(INDEX(UNSPSCDes,MATCH(INDIRECT(ADDRESS(ROW(),COLUMN()-1,4)),UNSPSCCode,0)),IF(INDIRECT(ADDRESS(ROW(),COLUMN()-1,4))="52121703","Paños para lavar",""))</f>
        <v>Paños para lavar</v>
      </c>
      <c r="C2838" s="95" t="str">
        <f>IFERROR(VLOOKUP("UD",'Informacion '!P:Q,2,FALSE),"")</f>
        <v>Unidad</v>
      </c>
      <c r="D2838" s="94">
        <v>30</v>
      </c>
      <c r="E2838" s="84">
        <v>495</v>
      </c>
      <c r="F2838" s="83">
        <f t="shared" ca="1" si="126"/>
        <v>14850</v>
      </c>
    </row>
    <row r="2839" spans="1:6" ht="14.1" customHeight="1" x14ac:dyDescent="0.25">
      <c r="A2839" s="94" t="s">
        <v>6997</v>
      </c>
      <c r="B2839" s="82" t="str">
        <f ca="1">IFERROR(INDEX(UNSPSCDes,MATCH(INDIRECT(ADDRESS(ROW(),COLUMN()-1,4)),UNSPSCCode,0)),IF(INDIRECT(ADDRESS(ROW(),COLUMN()-1,4))="52121703","Paños para lavar",""))</f>
        <v>Paños para lavar</v>
      </c>
      <c r="C2839" s="95" t="str">
        <f>IFERROR(VLOOKUP("UD",'Informacion '!P:Q,2,FALSE),"")</f>
        <v>Unidad</v>
      </c>
      <c r="D2839" s="94">
        <v>30</v>
      </c>
      <c r="E2839" s="84">
        <v>525</v>
      </c>
      <c r="F2839" s="83">
        <f t="shared" ca="1" si="126"/>
        <v>15750</v>
      </c>
    </row>
    <row r="2840" spans="1:6" ht="14.1" customHeight="1" x14ac:dyDescent="0.25">
      <c r="A2840" s="94" t="s">
        <v>6997</v>
      </c>
      <c r="B2840" s="82" t="str">
        <f ca="1">IFERROR(INDEX(UNSPSCDes,MATCH(INDIRECT(ADDRESS(ROW(),COLUMN()-1,4)),UNSPSCCode,0)),IF(INDIRECT(ADDRESS(ROW(),COLUMN()-1,4))="52121703","Paños para lavar",""))</f>
        <v>Paños para lavar</v>
      </c>
      <c r="C2840" s="95" t="str">
        <f>IFERROR(VLOOKUP("UD",'Informacion '!P:Q,2,FALSE),"")</f>
        <v>Unidad</v>
      </c>
      <c r="D2840" s="94">
        <v>30</v>
      </c>
      <c r="E2840" s="84">
        <v>725</v>
      </c>
      <c r="F2840" s="83">
        <f t="shared" ca="1" si="126"/>
        <v>21750</v>
      </c>
    </row>
    <row r="2841" spans="1:6" ht="14.1" customHeight="1" x14ac:dyDescent="0.25">
      <c r="A2841" s="94" t="s">
        <v>6997</v>
      </c>
      <c r="B2841" s="82" t="str">
        <f ca="1">IFERROR(INDEX(UNSPSCDes,MATCH(INDIRECT(ADDRESS(ROW(),COLUMN()-1,4)),UNSPSCCode,0)),IF(INDIRECT(ADDRESS(ROW(),COLUMN()-1,4))="52121703","Paños para lavar",""))</f>
        <v>Paños para lavar</v>
      </c>
      <c r="C2841" s="95" t="str">
        <f>IFERROR(VLOOKUP("UD",'Informacion '!P:Q,2,FALSE),"")</f>
        <v>Unidad</v>
      </c>
      <c r="D2841" s="94">
        <v>30</v>
      </c>
      <c r="E2841" s="84">
        <v>785</v>
      </c>
      <c r="F2841" s="83">
        <f t="shared" ca="1" si="126"/>
        <v>23550</v>
      </c>
    </row>
    <row r="2842" spans="1:6" ht="14.1" customHeight="1" x14ac:dyDescent="0.25">
      <c r="A2842" s="94" t="s">
        <v>1878</v>
      </c>
      <c r="B2842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2842" s="95" t="str">
        <f>IFERROR(VLOOKUP("UD",'Informacion '!P:Q,2,FALSE),"")</f>
        <v>Unidad</v>
      </c>
      <c r="D2842" s="94">
        <v>5</v>
      </c>
      <c r="E2842" s="84">
        <v>400</v>
      </c>
      <c r="F2842" s="83">
        <f t="shared" ca="1" si="126"/>
        <v>2000</v>
      </c>
    </row>
    <row r="2843" spans="1:6" ht="14.1" customHeight="1" x14ac:dyDescent="0.25">
      <c r="A2843" s="94" t="s">
        <v>8934</v>
      </c>
      <c r="B2843" s="82" t="str">
        <f ca="1">IFERROR(INDEX(UNSPSCDes,MATCH(INDIRECT(ADDRESS(ROW(),COLUMN()-1,4)),UNSPSCCode,0)),IF(INDIRECT(ADDRESS(ROW(),COLUMN()-1,4))="41121813","Cubetas",""))</f>
        <v>Cubetas</v>
      </c>
      <c r="C2843" s="95" t="str">
        <f>IFERROR(VLOOKUP("UD",'Informacion '!P:Q,2,FALSE),"")</f>
        <v>Unidad</v>
      </c>
      <c r="D2843" s="94">
        <v>8</v>
      </c>
      <c r="E2843" s="84">
        <v>850</v>
      </c>
      <c r="F2843" s="83">
        <f t="shared" ca="1" si="126"/>
        <v>6800</v>
      </c>
    </row>
    <row r="2844" spans="1:6" ht="14.1" customHeight="1" x14ac:dyDescent="0.25">
      <c r="A2844" s="94" t="s">
        <v>8934</v>
      </c>
      <c r="B2844" s="82" t="str">
        <f ca="1">IFERROR(INDEX(UNSPSCDes,MATCH(INDIRECT(ADDRESS(ROW(),COLUMN()-1,4)),UNSPSCCode,0)),IF(INDIRECT(ADDRESS(ROW(),COLUMN()-1,4))="41121813","Cubetas",""))</f>
        <v>Cubetas</v>
      </c>
      <c r="C2844" s="95" t="str">
        <f>IFERROR(VLOOKUP("UD",'Informacion '!P:Q,2,FALSE),"")</f>
        <v>Unidad</v>
      </c>
      <c r="D2844" s="94">
        <v>8</v>
      </c>
      <c r="E2844" s="84">
        <v>1100</v>
      </c>
      <c r="F2844" s="83">
        <f t="shared" ca="1" si="126"/>
        <v>8800</v>
      </c>
    </row>
    <row r="2845" spans="1:6" ht="14.1" customHeight="1" x14ac:dyDescent="0.25">
      <c r="A2845" s="94" t="s">
        <v>8934</v>
      </c>
      <c r="B2845" s="82" t="str">
        <f ca="1">IFERROR(INDEX(UNSPSCDes,MATCH(INDIRECT(ADDRESS(ROW(),COLUMN()-1,4)),UNSPSCCode,0)),IF(INDIRECT(ADDRESS(ROW(),COLUMN()-1,4))="41121813","Cubetas",""))</f>
        <v>Cubetas</v>
      </c>
      <c r="C2845" s="95" t="str">
        <f>IFERROR(VLOOKUP("UD",'Informacion '!P:Q,2,FALSE),"")</f>
        <v>Unidad</v>
      </c>
      <c r="D2845" s="94">
        <v>2</v>
      </c>
      <c r="E2845" s="84">
        <v>5500</v>
      </c>
      <c r="F2845" s="83">
        <f t="shared" ca="1" si="126"/>
        <v>11000</v>
      </c>
    </row>
    <row r="2846" spans="1:6" ht="14.1" customHeight="1" x14ac:dyDescent="0.25">
      <c r="A2846" s="94" t="s">
        <v>3311</v>
      </c>
      <c r="B2846" s="82" t="str">
        <f ca="1">IFERROR(INDEX(UNSPSCDes,MATCH(INDIRECT(ADDRESS(ROW(),COLUMN()-1,4)),UNSPSCCode,0)),IF(INDIRECT(ADDRESS(ROW(),COLUMN()-1,4))="47121701","Bolsas de basura",""))</f>
        <v>Bolsas de basura</v>
      </c>
      <c r="C2846" s="95" t="str">
        <f>IFERROR(VLOOKUP("UD",'Informacion '!P:Q,2,FALSE),"")</f>
        <v>Unidad</v>
      </c>
      <c r="D2846" s="94">
        <v>2</v>
      </c>
      <c r="E2846" s="84">
        <v>3000</v>
      </c>
      <c r="F2846" s="83">
        <f t="shared" ca="1" si="126"/>
        <v>6000</v>
      </c>
    </row>
    <row r="2847" spans="1:6" ht="14.1" customHeight="1" x14ac:dyDescent="0.25">
      <c r="A2847" s="94" t="s">
        <v>3945</v>
      </c>
      <c r="B2847" s="82" t="str">
        <f ca="1">IFERROR(INDEX(UNSPSCDes,MATCH(INDIRECT(ADDRESS(ROW(),COLUMN()-1,4)),UNSPSCCode,0)),IF(INDIRECT(ADDRESS(ROW(),COLUMN()-1,4))="47131604","Escobas",""))</f>
        <v>Escobas</v>
      </c>
      <c r="C2847" s="95" t="str">
        <f>IFERROR(VLOOKUP("UD",'Informacion '!P:Q,2,FALSE),"")</f>
        <v>Unidad</v>
      </c>
      <c r="D2847" s="94">
        <v>25</v>
      </c>
      <c r="E2847" s="84">
        <v>150</v>
      </c>
      <c r="F2847" s="83">
        <f t="shared" ca="1" si="126"/>
        <v>3750</v>
      </c>
    </row>
    <row r="2848" spans="1:6" ht="14.1" customHeight="1" x14ac:dyDescent="0.25">
      <c r="A2848" s="94" t="s">
        <v>3945</v>
      </c>
      <c r="B2848" s="82" t="str">
        <f ca="1">IFERROR(INDEX(UNSPSCDes,MATCH(INDIRECT(ADDRESS(ROW(),COLUMN()-1,4)),UNSPSCCode,0)),IF(INDIRECT(ADDRESS(ROW(),COLUMN()-1,4))="47131604","Escobas",""))</f>
        <v>Escobas</v>
      </c>
      <c r="C2848" s="95" t="str">
        <f>IFERROR(VLOOKUP("UD",'Informacion '!P:Q,2,FALSE),"")</f>
        <v>Unidad</v>
      </c>
      <c r="D2848" s="94">
        <v>20</v>
      </c>
      <c r="E2848" s="84">
        <v>150</v>
      </c>
      <c r="F2848" s="83">
        <f t="shared" ca="1" si="126"/>
        <v>3000</v>
      </c>
    </row>
    <row r="2849" spans="1:6" ht="14.1" customHeight="1" x14ac:dyDescent="0.25">
      <c r="A2849" s="94" t="s">
        <v>3945</v>
      </c>
      <c r="B2849" s="82" t="str">
        <f ca="1">IFERROR(INDEX(UNSPSCDes,MATCH(INDIRECT(ADDRESS(ROW(),COLUMN()-1,4)),UNSPSCCode,0)),IF(INDIRECT(ADDRESS(ROW(),COLUMN()-1,4))="47131604","Escobas",""))</f>
        <v>Escobas</v>
      </c>
      <c r="C2849" s="95" t="str">
        <f>IFERROR(VLOOKUP("UD",'Informacion '!P:Q,2,FALSE),"")</f>
        <v>Unidad</v>
      </c>
      <c r="D2849" s="94">
        <v>40</v>
      </c>
      <c r="E2849" s="84">
        <v>85</v>
      </c>
      <c r="F2849" s="83">
        <f t="shared" ca="1" si="126"/>
        <v>3400</v>
      </c>
    </row>
    <row r="2850" spans="1:6" ht="14.1" customHeight="1" x14ac:dyDescent="0.25">
      <c r="A2850" s="94" t="s">
        <v>12692</v>
      </c>
      <c r="B2850" s="82" t="str">
        <f ca="1">IFERROR(INDEX(UNSPSCDes,MATCH(INDIRECT(ADDRESS(ROW(),COLUMN()-1,4)),UNSPSCCode,0)),IF(INDIRECT(ADDRESS(ROW(),COLUMN()-1,4))="47131605","Cepillos de limpieza",""))</f>
        <v>Cepillos de limpieza</v>
      </c>
      <c r="C2850" s="95" t="str">
        <f>IFERROR(VLOOKUP("UD",'Informacion '!P:Q,2,FALSE),"")</f>
        <v>Unidad</v>
      </c>
      <c r="D2850" s="94">
        <v>30</v>
      </c>
      <c r="E2850" s="84">
        <v>80</v>
      </c>
      <c r="F2850" s="83">
        <f t="shared" ca="1" si="126"/>
        <v>2400</v>
      </c>
    </row>
    <row r="2851" spans="1:6" ht="14.1" customHeight="1" x14ac:dyDescent="0.25">
      <c r="A2851" s="94" t="s">
        <v>182</v>
      </c>
      <c r="B2851" s="82" t="str">
        <f ca="1">IFERROR(INDEX(UNSPSCDes,MATCH(INDIRECT(ADDRESS(ROW(),COLUMN()-1,4)),UNSPSCCode,0)),IF(INDIRECT(ADDRESS(ROW(),COLUMN()-1,4))="47131602","Almohadillas para restregar",""))</f>
        <v>Almohadillas para restregar</v>
      </c>
      <c r="C2851" s="95" t="str">
        <f>IFERROR(VLOOKUP("UD",'Informacion '!P:Q,2,FALSE),"")</f>
        <v>Unidad</v>
      </c>
      <c r="D2851" s="94">
        <v>200</v>
      </c>
      <c r="E2851" s="84">
        <v>7.38</v>
      </c>
      <c r="F2851" s="83">
        <f t="shared" ca="1" si="126"/>
        <v>1476</v>
      </c>
    </row>
    <row r="2852" spans="1:6" ht="14.1" customHeight="1" x14ac:dyDescent="0.25">
      <c r="A2852" s="94" t="s">
        <v>12453</v>
      </c>
      <c r="B2852" s="82" t="str">
        <f ca="1">IFERROR(INDEX(UNSPSCDes,MATCH(INDIRECT(ADDRESS(ROW(),COLUMN()-1,4)),UNSPSCCode,0)),IF(INDIRECT(ADDRESS(ROW(),COLUMN()-1,4))="47131609","Manijas de escobas o traperos",""))</f>
        <v>Manijas de escobas o traperos</v>
      </c>
      <c r="C2852" s="95" t="str">
        <f>IFERROR(VLOOKUP("UD",'Informacion '!P:Q,2,FALSE),"")</f>
        <v>Unidad</v>
      </c>
      <c r="D2852" s="94">
        <v>4</v>
      </c>
      <c r="E2852" s="84">
        <v>175</v>
      </c>
      <c r="F2852" s="83">
        <f t="shared" ca="1" si="126"/>
        <v>700</v>
      </c>
    </row>
    <row r="2853" spans="1:6" ht="14.1" customHeight="1" x14ac:dyDescent="0.25">
      <c r="A2853" s="94" t="s">
        <v>9906</v>
      </c>
      <c r="B2853" s="82" t="str">
        <f ca="1">IFERROR(INDEX(UNSPSCDes,MATCH(INDIRECT(ADDRESS(ROW(),COLUMN()-1,4)),UNSPSCCode,0)),IF(INDIRECT(ADDRESS(ROW(),COLUMN()-1,4))="47131611","Recogedor de basura",""))</f>
        <v>Recogedor de basura</v>
      </c>
      <c r="C2853" s="95" t="str">
        <f>IFERROR(VLOOKUP("UD",'Informacion '!P:Q,2,FALSE),"")</f>
        <v>Unidad</v>
      </c>
      <c r="D2853" s="94">
        <v>20</v>
      </c>
      <c r="E2853" s="84">
        <v>300</v>
      </c>
      <c r="F2853" s="83">
        <f t="shared" ca="1" si="126"/>
        <v>6000</v>
      </c>
    </row>
    <row r="2854" spans="1:6" ht="14.1" customHeight="1" x14ac:dyDescent="0.25">
      <c r="A2854" s="94" t="s">
        <v>3945</v>
      </c>
      <c r="B2854" s="82" t="str">
        <f ca="1">IFERROR(INDEX(UNSPSCDes,MATCH(INDIRECT(ADDRESS(ROW(),COLUMN()-1,4)),UNSPSCCode,0)),IF(INDIRECT(ADDRESS(ROW(),COLUMN()-1,4))="47131604","Escobas",""))</f>
        <v>Escobas</v>
      </c>
      <c r="C2854" s="95" t="str">
        <f>IFERROR(VLOOKUP("UD",'Informacion '!P:Q,2,FALSE),"")</f>
        <v>Unidad</v>
      </c>
      <c r="D2854" s="94">
        <v>15</v>
      </c>
      <c r="E2854" s="84">
        <v>970</v>
      </c>
      <c r="F2854" s="83">
        <f t="shared" ref="F2854:F2889" ca="1" si="127">INDIRECT(ADDRESS(ROW(),COLUMN()-2,4))*INDIRECT(ADDRESS(ROW(),COLUMN()-1,4))</f>
        <v>14550</v>
      </c>
    </row>
    <row r="2855" spans="1:6" ht="14.1" customHeight="1" x14ac:dyDescent="0.25">
      <c r="A2855" s="94" t="s">
        <v>6782</v>
      </c>
      <c r="B2855" s="82" t="str">
        <f ca="1">IFERROR(INDEX(UNSPSCDes,MATCH(INDIRECT(ADDRESS(ROW(),COLUMN()-1,4)),UNSPSCCode,0)),IF(INDIRECT(ADDRESS(ROW(),COLUMN()-1,4))="50202301","Agua",""))</f>
        <v>Agua</v>
      </c>
      <c r="C2855" s="95" t="str">
        <f>IFERROR(VLOOKUP("UD",'Informacion '!P:Q,2,FALSE),"")</f>
        <v>Unidad</v>
      </c>
      <c r="D2855" s="94">
        <v>10</v>
      </c>
      <c r="E2855" s="84">
        <v>700</v>
      </c>
      <c r="F2855" s="83">
        <f t="shared" ca="1" si="127"/>
        <v>7000</v>
      </c>
    </row>
    <row r="2856" spans="1:6" ht="14.1" customHeight="1" x14ac:dyDescent="0.25">
      <c r="A2856" s="94" t="s">
        <v>6782</v>
      </c>
      <c r="B2856" s="82" t="str">
        <f ca="1">IFERROR(INDEX(UNSPSCDes,MATCH(INDIRECT(ADDRESS(ROW(),COLUMN()-1,4)),UNSPSCCode,0)),IF(INDIRECT(ADDRESS(ROW(),COLUMN()-1,4))="50202301","Agua",""))</f>
        <v>Agua</v>
      </c>
      <c r="C2856" s="95" t="str">
        <f>IFERROR(VLOOKUP("UD",'Informacion '!P:Q,2,FALSE),"")</f>
        <v>Unidad</v>
      </c>
      <c r="D2856" s="94">
        <v>10</v>
      </c>
      <c r="E2856" s="84">
        <v>400</v>
      </c>
      <c r="F2856" s="83">
        <f t="shared" ca="1" si="127"/>
        <v>4000</v>
      </c>
    </row>
    <row r="2857" spans="1:6" ht="14.1" customHeight="1" x14ac:dyDescent="0.25">
      <c r="A2857" s="94" t="s">
        <v>6442</v>
      </c>
      <c r="B2857" s="82" t="str">
        <f ca="1">IFERROR(INDEX(UNSPSCDes,MATCH(INDIRECT(ADDRESS(ROW(),COLUMN()-1,4)),UNSPSCCode,0)),IF(INDIRECT(ADDRESS(ROW(),COLUMN()-1,4))="47111505","Puestos para equipos de lavandería",""))</f>
        <v>Puestos para equipos de lavandería</v>
      </c>
      <c r="C2857" s="95" t="str">
        <f>IFERROR(VLOOKUP("UD",'Informacion '!P:Q,2,FALSE),"")</f>
        <v>Unidad</v>
      </c>
      <c r="D2857" s="94">
        <v>4</v>
      </c>
      <c r="E2857" s="84">
        <v>2690</v>
      </c>
      <c r="F2857" s="83">
        <f t="shared" ca="1" si="127"/>
        <v>10760</v>
      </c>
    </row>
    <row r="2858" spans="1:6" ht="14.1" customHeight="1" x14ac:dyDescent="0.25">
      <c r="A2858" s="94" t="s">
        <v>3687</v>
      </c>
      <c r="B2858" s="82" t="str">
        <f ca="1">IFERROR(INDEX(UNSPSCDes,MATCH(INDIRECT(ADDRESS(ROW(),COLUMN()-1,4)),UNSPSCCode,0)),IF(INDIRECT(ADDRESS(ROW(),COLUMN()-1,4))="40141742","Atomizadores",""))</f>
        <v>Atomizadores</v>
      </c>
      <c r="C2858" s="95" t="str">
        <f>IFERROR(VLOOKUP("UD",'Informacion '!P:Q,2,FALSE),"")</f>
        <v>Unidad</v>
      </c>
      <c r="D2858" s="94">
        <v>80</v>
      </c>
      <c r="E2858" s="84">
        <v>50</v>
      </c>
      <c r="F2858" s="83">
        <f t="shared" ca="1" si="127"/>
        <v>4000</v>
      </c>
    </row>
    <row r="2859" spans="1:6" ht="14.1" customHeight="1" x14ac:dyDescent="0.25">
      <c r="A2859" s="94" t="s">
        <v>5832</v>
      </c>
      <c r="B2859" s="82" t="str">
        <f ca="1">IFERROR(INDEX(UNSPSCDes,MATCH(INDIRECT(ADDRESS(ROW(),COLUMN()-1,4)),UNSPSCCode,0)),IF(INDIRECT(ADDRESS(ROW(),COLUMN()-1,4))="47131618","Traperos húmedos",""))</f>
        <v>Traperos húmedos</v>
      </c>
      <c r="C2859" s="95" t="str">
        <f>IFERROR(VLOOKUP("UD",'Informacion '!P:Q,2,FALSE),"")</f>
        <v>Unidad</v>
      </c>
      <c r="D2859" s="94">
        <v>115</v>
      </c>
      <c r="E2859" s="84">
        <v>115</v>
      </c>
      <c r="F2859" s="83">
        <f t="shared" ca="1" si="127"/>
        <v>13225</v>
      </c>
    </row>
    <row r="2860" spans="1:6" ht="14.1" customHeight="1" x14ac:dyDescent="0.25">
      <c r="A2860" s="94" t="s">
        <v>5832</v>
      </c>
      <c r="B2860" s="82" t="str">
        <f ca="1">IFERROR(INDEX(UNSPSCDes,MATCH(INDIRECT(ADDRESS(ROW(),COLUMN()-1,4)),UNSPSCCode,0)),IF(INDIRECT(ADDRESS(ROW(),COLUMN()-1,4))="47131618","Traperos húmedos",""))</f>
        <v>Traperos húmedos</v>
      </c>
      <c r="C2860" s="95" t="str">
        <f>IFERROR(VLOOKUP("UD",'Informacion '!P:Q,2,FALSE),"")</f>
        <v>Unidad</v>
      </c>
      <c r="D2860" s="94">
        <v>150</v>
      </c>
      <c r="E2860" s="84">
        <v>150</v>
      </c>
      <c r="F2860" s="83">
        <f t="shared" ca="1" si="127"/>
        <v>22500</v>
      </c>
    </row>
    <row r="2861" spans="1:6" ht="14.1" customHeight="1" x14ac:dyDescent="0.25">
      <c r="A2861" s="94" t="s">
        <v>6997</v>
      </c>
      <c r="B2861" s="82" t="str">
        <f ca="1">IFERROR(INDEX(UNSPSCDes,MATCH(INDIRECT(ADDRESS(ROW(),COLUMN()-1,4)),UNSPSCCode,0)),IF(INDIRECT(ADDRESS(ROW(),COLUMN()-1,4))="52121703","Paños para lavar",""))</f>
        <v>Paños para lavar</v>
      </c>
      <c r="C2861" s="95" t="str">
        <f>IFERROR(VLOOKUP("UD",'Informacion '!P:Q,2,FALSE),"")</f>
        <v>Unidad</v>
      </c>
      <c r="D2861" s="94">
        <v>65</v>
      </c>
      <c r="E2861" s="84">
        <v>55</v>
      </c>
      <c r="F2861" s="83">
        <f t="shared" ca="1" si="127"/>
        <v>3575</v>
      </c>
    </row>
    <row r="2862" spans="1:6" ht="14.1" customHeight="1" x14ac:dyDescent="0.25">
      <c r="A2862" s="94" t="s">
        <v>16872</v>
      </c>
      <c r="B2862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2862" s="95" t="str">
        <f>IFERROR(VLOOKUP("UD",'Informacion '!P:Q,2,FALSE),"")</f>
        <v>Unidad</v>
      </c>
      <c r="D2862" s="94">
        <v>25</v>
      </c>
      <c r="E2862" s="84">
        <v>265</v>
      </c>
      <c r="F2862" s="83">
        <f t="shared" ca="1" si="127"/>
        <v>6625</v>
      </c>
    </row>
    <row r="2863" spans="1:6" ht="14.1" customHeight="1" x14ac:dyDescent="0.25">
      <c r="A2863" s="94" t="s">
        <v>13448</v>
      </c>
      <c r="B2863" s="82" t="str">
        <f ca="1">IFERROR(INDEX(UNSPSCDes,MATCH(INDIRECT(ADDRESS(ROW(),COLUMN()-1,4)),UNSPSCCode,0)),IF(INDIRECT(ADDRESS(ROW(),COLUMN()-1,4))="30201803","Unidades para contenedores",""))</f>
        <v>Unidades para contenedores</v>
      </c>
      <c r="C2863" s="95" t="str">
        <f>IFERROR(VLOOKUP("UD",'Informacion '!P:Q,2,FALSE),"")</f>
        <v>Unidad</v>
      </c>
      <c r="D2863" s="94">
        <v>70</v>
      </c>
      <c r="E2863" s="84">
        <v>200</v>
      </c>
      <c r="F2863" s="83">
        <f t="shared" ca="1" si="127"/>
        <v>14000</v>
      </c>
    </row>
    <row r="2864" spans="1:6" ht="14.1" customHeight="1" x14ac:dyDescent="0.25">
      <c r="A2864" s="94" t="s">
        <v>13448</v>
      </c>
      <c r="B2864" s="82" t="str">
        <f ca="1">IFERROR(INDEX(UNSPSCDes,MATCH(INDIRECT(ADDRESS(ROW(),COLUMN()-1,4)),UNSPSCCode,0)),IF(INDIRECT(ADDRESS(ROW(),COLUMN()-1,4))="30201803","Unidades para contenedores",""))</f>
        <v>Unidades para contenedores</v>
      </c>
      <c r="C2864" s="95" t="str">
        <f>IFERROR(VLOOKUP("UD",'Informacion '!P:Q,2,FALSE),"")</f>
        <v>Unidad</v>
      </c>
      <c r="D2864" s="94">
        <v>60</v>
      </c>
      <c r="E2864" s="84">
        <v>225</v>
      </c>
      <c r="F2864" s="83">
        <f t="shared" ca="1" si="127"/>
        <v>13500</v>
      </c>
    </row>
    <row r="2865" spans="1:6" ht="14.1" customHeight="1" x14ac:dyDescent="0.25">
      <c r="A2865" s="94" t="s">
        <v>13448</v>
      </c>
      <c r="B2865" s="82" t="str">
        <f ca="1">IFERROR(INDEX(UNSPSCDes,MATCH(INDIRECT(ADDRESS(ROW(),COLUMN()-1,4)),UNSPSCCode,0)),IF(INDIRECT(ADDRESS(ROW(),COLUMN()-1,4))="30201803","Unidades para contenedores",""))</f>
        <v>Unidades para contenedores</v>
      </c>
      <c r="C2865" s="95" t="str">
        <f>IFERROR(VLOOKUP("UD",'Informacion '!P:Q,2,FALSE),"")</f>
        <v>Unidad</v>
      </c>
      <c r="D2865" s="94">
        <v>80</v>
      </c>
      <c r="E2865" s="84">
        <v>375</v>
      </c>
      <c r="F2865" s="83">
        <f t="shared" ca="1" si="127"/>
        <v>30000</v>
      </c>
    </row>
    <row r="2866" spans="1:6" ht="14.1" customHeight="1" x14ac:dyDescent="0.25">
      <c r="A2866" s="94" t="s">
        <v>13448</v>
      </c>
      <c r="B2866" s="82" t="str">
        <f ca="1">IFERROR(INDEX(UNSPSCDes,MATCH(INDIRECT(ADDRESS(ROW(),COLUMN()-1,4)),UNSPSCCode,0)),IF(INDIRECT(ADDRESS(ROW(),COLUMN()-1,4))="30201803","Unidades para contenedores",""))</f>
        <v>Unidades para contenedores</v>
      </c>
      <c r="C2866" s="95" t="str">
        <f>IFERROR(VLOOKUP("UD",'Informacion '!P:Q,2,FALSE),"")</f>
        <v>Unidad</v>
      </c>
      <c r="D2866" s="94">
        <v>90</v>
      </c>
      <c r="E2866" s="84">
        <v>450</v>
      </c>
      <c r="F2866" s="83">
        <f t="shared" ca="1" si="127"/>
        <v>40500</v>
      </c>
    </row>
    <row r="2867" spans="1:6" ht="14.1" customHeight="1" x14ac:dyDescent="0.25">
      <c r="A2867" s="94" t="s">
        <v>13448</v>
      </c>
      <c r="B2867" s="82" t="str">
        <f ca="1">IFERROR(INDEX(UNSPSCDes,MATCH(INDIRECT(ADDRESS(ROW(),COLUMN()-1,4)),UNSPSCCode,0)),IF(INDIRECT(ADDRESS(ROW(),COLUMN()-1,4))="30201803","Unidades para contenedores",""))</f>
        <v>Unidades para contenedores</v>
      </c>
      <c r="C2867" s="95" t="str">
        <f>IFERROR(VLOOKUP("UD",'Informacion '!P:Q,2,FALSE),"")</f>
        <v>Unidad</v>
      </c>
      <c r="D2867" s="94">
        <v>90</v>
      </c>
      <c r="E2867" s="84">
        <v>200</v>
      </c>
      <c r="F2867" s="83">
        <f t="shared" ca="1" si="127"/>
        <v>18000</v>
      </c>
    </row>
    <row r="2868" spans="1:6" ht="14.1" customHeight="1" x14ac:dyDescent="0.25">
      <c r="A2868" s="94" t="s">
        <v>3311</v>
      </c>
      <c r="B2868" s="82" t="str">
        <f t="shared" ref="B2868:B2875" ca="1" si="128">IFERROR(INDEX(UNSPSCDes,MATCH(INDIRECT(ADDRESS(ROW(),COLUMN()-1,4)),UNSPSCCode,0)),IF(INDIRECT(ADDRESS(ROW(),COLUMN()-1,4))="47121701","Bolsas de basura",""))</f>
        <v>Bolsas de basura</v>
      </c>
      <c r="C2868" s="95" t="str">
        <f>IFERROR(VLOOKUP("UD",'Informacion '!P:Q,2,FALSE),"")</f>
        <v>Unidad</v>
      </c>
      <c r="D2868" s="94">
        <v>35000</v>
      </c>
      <c r="E2868" s="84">
        <v>0.75</v>
      </c>
      <c r="F2868" s="83">
        <f t="shared" ca="1" si="127"/>
        <v>26250</v>
      </c>
    </row>
    <row r="2869" spans="1:6" ht="14.1" customHeight="1" x14ac:dyDescent="0.25">
      <c r="A2869" s="94" t="s">
        <v>3311</v>
      </c>
      <c r="B2869" s="82" t="str">
        <f t="shared" ca="1" si="128"/>
        <v>Bolsas de basura</v>
      </c>
      <c r="C2869" s="95" t="str">
        <f>IFERROR(VLOOKUP("UD",'Informacion '!P:Q,2,FALSE),"")</f>
        <v>Unidad</v>
      </c>
      <c r="D2869" s="94">
        <v>6000</v>
      </c>
      <c r="E2869" s="84">
        <v>2.4500000000000002</v>
      </c>
      <c r="F2869" s="83">
        <f t="shared" ca="1" si="127"/>
        <v>14700.000000000002</v>
      </c>
    </row>
    <row r="2870" spans="1:6" ht="14.1" customHeight="1" x14ac:dyDescent="0.25">
      <c r="A2870" s="94" t="s">
        <v>3311</v>
      </c>
      <c r="B2870" s="82" t="str">
        <f t="shared" ca="1" si="128"/>
        <v>Bolsas de basura</v>
      </c>
      <c r="C2870" s="95" t="str">
        <f>IFERROR(VLOOKUP("UD",'Informacion '!P:Q,2,FALSE),"")</f>
        <v>Unidad</v>
      </c>
      <c r="D2870" s="94">
        <v>12000</v>
      </c>
      <c r="E2870" s="84">
        <v>3.32</v>
      </c>
      <c r="F2870" s="83">
        <f t="shared" ca="1" si="127"/>
        <v>39840</v>
      </c>
    </row>
    <row r="2871" spans="1:6" ht="14.1" customHeight="1" x14ac:dyDescent="0.25">
      <c r="A2871" s="94" t="s">
        <v>3311</v>
      </c>
      <c r="B2871" s="82" t="str">
        <f t="shared" ca="1" si="128"/>
        <v>Bolsas de basura</v>
      </c>
      <c r="C2871" s="95" t="str">
        <f>IFERROR(VLOOKUP("UD",'Informacion '!P:Q,2,FALSE),"")</f>
        <v>Unidad</v>
      </c>
      <c r="D2871" s="94">
        <v>8000</v>
      </c>
      <c r="E2871" s="84">
        <v>8.0500000000000007</v>
      </c>
      <c r="F2871" s="83">
        <f t="shared" ca="1" si="127"/>
        <v>64400.000000000007</v>
      </c>
    </row>
    <row r="2872" spans="1:6" ht="14.1" customHeight="1" x14ac:dyDescent="0.25">
      <c r="A2872" s="94" t="s">
        <v>3311</v>
      </c>
      <c r="B2872" s="82" t="str">
        <f t="shared" ca="1" si="128"/>
        <v>Bolsas de basura</v>
      </c>
      <c r="C2872" s="95" t="str">
        <f>IFERROR(VLOOKUP("UD",'Informacion '!P:Q,2,FALSE),"")</f>
        <v>Unidad</v>
      </c>
      <c r="D2872" s="94">
        <v>35000</v>
      </c>
      <c r="E2872" s="84">
        <v>1.88</v>
      </c>
      <c r="F2872" s="83">
        <f t="shared" ca="1" si="127"/>
        <v>65800</v>
      </c>
    </row>
    <row r="2873" spans="1:6" ht="14.1" customHeight="1" x14ac:dyDescent="0.25">
      <c r="A2873" s="94" t="s">
        <v>3311</v>
      </c>
      <c r="B2873" s="82" t="str">
        <f t="shared" ca="1" si="128"/>
        <v>Bolsas de basura</v>
      </c>
      <c r="C2873" s="95" t="str">
        <f>IFERROR(VLOOKUP("UD",'Informacion '!P:Q,2,FALSE),"")</f>
        <v>Unidad</v>
      </c>
      <c r="D2873" s="94">
        <v>6000</v>
      </c>
      <c r="E2873" s="84">
        <v>2.4500000000000002</v>
      </c>
      <c r="F2873" s="83">
        <f t="shared" ca="1" si="127"/>
        <v>14700.000000000002</v>
      </c>
    </row>
    <row r="2874" spans="1:6" ht="14.1" customHeight="1" x14ac:dyDescent="0.25">
      <c r="A2874" s="94" t="s">
        <v>3311</v>
      </c>
      <c r="B2874" s="82" t="str">
        <f t="shared" ca="1" si="128"/>
        <v>Bolsas de basura</v>
      </c>
      <c r="C2874" s="95" t="str">
        <f>IFERROR(VLOOKUP("UD",'Informacion '!P:Q,2,FALSE),"")</f>
        <v>Unidad</v>
      </c>
      <c r="D2874" s="94">
        <v>6000</v>
      </c>
      <c r="E2874" s="84">
        <v>5.0999999999999996</v>
      </c>
      <c r="F2874" s="83">
        <f t="shared" ca="1" si="127"/>
        <v>30599.999999999996</v>
      </c>
    </row>
    <row r="2875" spans="1:6" ht="14.1" customHeight="1" x14ac:dyDescent="0.25">
      <c r="A2875" s="94" t="s">
        <v>3311</v>
      </c>
      <c r="B2875" s="82" t="str">
        <f t="shared" ca="1" si="128"/>
        <v>Bolsas de basura</v>
      </c>
      <c r="C2875" s="95" t="str">
        <f>IFERROR(VLOOKUP("UD",'Informacion '!P:Q,2,FALSE),"")</f>
        <v>Unidad</v>
      </c>
      <c r="D2875" s="94">
        <v>6000</v>
      </c>
      <c r="E2875" s="84">
        <v>10</v>
      </c>
      <c r="F2875" s="83">
        <f t="shared" ca="1" si="127"/>
        <v>60000</v>
      </c>
    </row>
    <row r="2876" spans="1:6" ht="14.1" customHeight="1" x14ac:dyDescent="0.25">
      <c r="A2876" s="94" t="s">
        <v>16889</v>
      </c>
      <c r="B2876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2876" s="95" t="str">
        <f>IFERROR(VLOOKUP("UD",'Informacion '!P:Q,2,FALSE),"")</f>
        <v>Unidad</v>
      </c>
      <c r="D2876" s="94">
        <v>580</v>
      </c>
      <c r="E2876" s="84">
        <v>85</v>
      </c>
      <c r="F2876" s="83">
        <f t="shared" ca="1" si="127"/>
        <v>49300</v>
      </c>
    </row>
    <row r="2877" spans="1:6" ht="14.1" customHeight="1" x14ac:dyDescent="0.25">
      <c r="A2877" s="94" t="s">
        <v>16889</v>
      </c>
      <c r="B2877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2877" s="95" t="str">
        <f>IFERROR(VLOOKUP("UD",'Informacion '!P:Q,2,FALSE),"")</f>
        <v>Unidad</v>
      </c>
      <c r="D2877" s="94">
        <v>400</v>
      </c>
      <c r="E2877" s="84">
        <v>325</v>
      </c>
      <c r="F2877" s="83">
        <f t="shared" ca="1" si="127"/>
        <v>130000</v>
      </c>
    </row>
    <row r="2878" spans="1:6" ht="14.1" customHeight="1" x14ac:dyDescent="0.25">
      <c r="A2878" s="94" t="s">
        <v>16889</v>
      </c>
      <c r="B2878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2878" s="95" t="str">
        <f>IFERROR(VLOOKUP("UD",'Informacion '!P:Q,2,FALSE),"")</f>
        <v>Unidad</v>
      </c>
      <c r="D2878" s="94">
        <v>35</v>
      </c>
      <c r="E2878" s="84">
        <v>350</v>
      </c>
      <c r="F2878" s="83">
        <f t="shared" ca="1" si="127"/>
        <v>12250</v>
      </c>
    </row>
    <row r="2879" spans="1:6" ht="14.1" customHeight="1" x14ac:dyDescent="0.25">
      <c r="A2879" s="94" t="s">
        <v>16889</v>
      </c>
      <c r="B2879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2879" s="95" t="str">
        <f>IFERROR(VLOOKUP("UD",'Informacion '!P:Q,2,FALSE),"")</f>
        <v>Unidad</v>
      </c>
      <c r="D2879" s="94">
        <v>165</v>
      </c>
      <c r="E2879" s="84">
        <v>260</v>
      </c>
      <c r="F2879" s="83">
        <f t="shared" ca="1" si="127"/>
        <v>42900</v>
      </c>
    </row>
    <row r="2880" spans="1:6" ht="14.1" customHeight="1" x14ac:dyDescent="0.25">
      <c r="A2880" s="94" t="s">
        <v>2417</v>
      </c>
      <c r="B2880" s="82" t="str">
        <f ca="1">IFERROR(INDEX(UNSPSCDes,MATCH(INDIRECT(ADDRESS(ROW(),COLUMN()-1,4)),UNSPSCCode,0)),IF(INDIRECT(ADDRESS(ROW(),COLUMN()-1,4))="47131503","Gamuzas o cueros para lavar",""))</f>
        <v>Gamuzas o cueros para lavar</v>
      </c>
      <c r="C2880" s="95" t="str">
        <f>IFERROR(VLOOKUP("UD",'Informacion '!P:Q,2,FALSE),"")</f>
        <v>Unidad</v>
      </c>
      <c r="D2880" s="94">
        <v>4</v>
      </c>
      <c r="E2880" s="84">
        <v>650</v>
      </c>
      <c r="F2880" s="83">
        <f t="shared" ca="1" si="127"/>
        <v>2600</v>
      </c>
    </row>
    <row r="2881" spans="1:10" ht="14.1" customHeight="1" x14ac:dyDescent="0.25">
      <c r="A2881" s="94" t="s">
        <v>2417</v>
      </c>
      <c r="B2881" s="82" t="str">
        <f ca="1">IFERROR(INDEX(UNSPSCDes,MATCH(INDIRECT(ADDRESS(ROW(),COLUMN()-1,4)),UNSPSCCode,0)),IF(INDIRECT(ADDRESS(ROW(),COLUMN()-1,4))="47131503","Gamuzas o cueros para lavar",""))</f>
        <v>Gamuzas o cueros para lavar</v>
      </c>
      <c r="C2881" s="95" t="str">
        <f>IFERROR(VLOOKUP("UD",'Informacion '!P:Q,2,FALSE),"")</f>
        <v>Unidad</v>
      </c>
      <c r="D2881" s="94">
        <v>110</v>
      </c>
      <c r="E2881" s="84">
        <v>45</v>
      </c>
      <c r="F2881" s="83">
        <f t="shared" ca="1" si="127"/>
        <v>4950</v>
      </c>
    </row>
    <row r="2882" spans="1:10" ht="14.1" customHeight="1" x14ac:dyDescent="0.25">
      <c r="A2882" s="94" t="s">
        <v>2417</v>
      </c>
      <c r="B2882" s="82" t="str">
        <f ca="1">IFERROR(INDEX(UNSPSCDes,MATCH(INDIRECT(ADDRESS(ROW(),COLUMN()-1,4)),UNSPSCCode,0)),IF(INDIRECT(ADDRESS(ROW(),COLUMN()-1,4))="47131503","Gamuzas o cueros para lavar",""))</f>
        <v>Gamuzas o cueros para lavar</v>
      </c>
      <c r="C2882" s="95" t="str">
        <f>IFERROR(VLOOKUP("UD",'Informacion '!P:Q,2,FALSE),"")</f>
        <v>Unidad</v>
      </c>
      <c r="D2882" s="94">
        <v>55</v>
      </c>
      <c r="E2882" s="84">
        <v>50</v>
      </c>
      <c r="F2882" s="83">
        <f t="shared" ca="1" si="127"/>
        <v>2750</v>
      </c>
    </row>
    <row r="2883" spans="1:10" ht="14.1" customHeight="1" x14ac:dyDescent="0.25">
      <c r="A2883" s="94" t="s">
        <v>14712</v>
      </c>
      <c r="B2883" s="82" t="str">
        <f ca="1">IFERROR(INDEX(UNSPSCDes,MATCH(INDIRECT(ADDRESS(ROW(),COLUMN()-1,4)),UNSPSCCode,0)),IF(INDIRECT(ADDRESS(ROW(),COLUMN()-1,4))="76111501","Servicios de limpieza de edificios",""))</f>
        <v>Servicios de limpieza de edificios</v>
      </c>
      <c r="C2883" s="95" t="str">
        <f>IFERROR(VLOOKUP("UD",'Informacion '!P:Q,2,FALSE),"")</f>
        <v>Unidad</v>
      </c>
      <c r="D2883" s="94">
        <v>1</v>
      </c>
      <c r="E2883" s="84">
        <v>350000</v>
      </c>
      <c r="F2883" s="83">
        <f t="shared" ca="1" si="127"/>
        <v>350000</v>
      </c>
    </row>
    <row r="2884" spans="1:10" ht="14.1" customHeight="1" x14ac:dyDescent="0.25">
      <c r="A2884" s="94" t="s">
        <v>10729</v>
      </c>
      <c r="B2884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2884" s="95" t="str">
        <f>IFERROR(VLOOKUP("UD",'Informacion '!P:Q,2,FALSE),"")</f>
        <v>Unidad</v>
      </c>
      <c r="D2884" s="94">
        <v>3</v>
      </c>
      <c r="E2884" s="84">
        <v>45000</v>
      </c>
      <c r="F2884" s="83">
        <f t="shared" ca="1" si="127"/>
        <v>135000</v>
      </c>
    </row>
    <row r="2885" spans="1:10" ht="14.1" customHeight="1" x14ac:dyDescent="0.25">
      <c r="A2885" s="94" t="s">
        <v>10729</v>
      </c>
      <c r="B2885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2885" s="95" t="str">
        <f>IFERROR(VLOOKUP("UD",'Informacion '!P:Q,2,FALSE),"")</f>
        <v>Unidad</v>
      </c>
      <c r="D2885" s="94">
        <v>1</v>
      </c>
      <c r="E2885" s="84">
        <v>5900</v>
      </c>
      <c r="F2885" s="83">
        <f t="shared" ca="1" si="127"/>
        <v>5900</v>
      </c>
    </row>
    <row r="2886" spans="1:10" ht="14.1" customHeight="1" x14ac:dyDescent="0.25">
      <c r="A2886" s="94" t="s">
        <v>2417</v>
      </c>
      <c r="B2886" s="82" t="str">
        <f ca="1">IFERROR(INDEX(UNSPSCDes,MATCH(INDIRECT(ADDRESS(ROW(),COLUMN()-1,4)),UNSPSCCode,0)),IF(INDIRECT(ADDRESS(ROW(),COLUMN()-1,4))="47131503","Gamuzas o cueros para lavar",""))</f>
        <v>Gamuzas o cueros para lavar</v>
      </c>
      <c r="C2886" s="95" t="str">
        <f>IFERROR(VLOOKUP("UD",'Informacion '!P:Q,2,FALSE),"")</f>
        <v>Unidad</v>
      </c>
      <c r="D2886" s="94">
        <v>2</v>
      </c>
      <c r="E2886" s="84">
        <v>650</v>
      </c>
      <c r="F2886" s="83">
        <f t="shared" ca="1" si="127"/>
        <v>1300</v>
      </c>
    </row>
    <row r="2887" spans="1:10" ht="14.1" customHeight="1" x14ac:dyDescent="0.25">
      <c r="A2887" s="94" t="s">
        <v>2417</v>
      </c>
      <c r="B2887" s="82" t="str">
        <f ca="1">IFERROR(INDEX(UNSPSCDes,MATCH(INDIRECT(ADDRESS(ROW(),COLUMN()-1,4)),UNSPSCCode,0)),IF(INDIRECT(ADDRESS(ROW(),COLUMN()-1,4))="47131503","Gamuzas o cueros para lavar",""))</f>
        <v>Gamuzas o cueros para lavar</v>
      </c>
      <c r="C2887" s="95" t="str">
        <f>IFERROR(VLOOKUP("UD",'Informacion '!P:Q,2,FALSE),"")</f>
        <v>Unidad</v>
      </c>
      <c r="D2887" s="94">
        <v>100</v>
      </c>
      <c r="E2887" s="84">
        <v>45</v>
      </c>
      <c r="F2887" s="83">
        <f t="shared" ca="1" si="127"/>
        <v>4500</v>
      </c>
    </row>
    <row r="2888" spans="1:10" ht="14.1" customHeight="1" x14ac:dyDescent="0.25">
      <c r="A2888" s="94" t="s">
        <v>2417</v>
      </c>
      <c r="B2888" s="82" t="str">
        <f ca="1">IFERROR(INDEX(UNSPSCDes,MATCH(INDIRECT(ADDRESS(ROW(),COLUMN()-1,4)),UNSPSCCode,0)),IF(INDIRECT(ADDRESS(ROW(),COLUMN()-1,4))="47131503","Gamuzas o cueros para lavar",""))</f>
        <v>Gamuzas o cueros para lavar</v>
      </c>
      <c r="C2888" s="95" t="str">
        <f>IFERROR(VLOOKUP("UD",'Informacion '!P:Q,2,FALSE),"")</f>
        <v>Unidad</v>
      </c>
      <c r="D2888" s="94">
        <v>50</v>
      </c>
      <c r="E2888" s="84">
        <v>50</v>
      </c>
      <c r="F2888" s="83">
        <f t="shared" ca="1" si="127"/>
        <v>2500</v>
      </c>
    </row>
    <row r="2889" spans="1:10" ht="14.1" customHeight="1" x14ac:dyDescent="0.25">
      <c r="A2889" s="94" t="s">
        <v>10729</v>
      </c>
      <c r="B2889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2889" s="95" t="str">
        <f>IFERROR(VLOOKUP("UD",'Informacion '!P:Q,2,FALSE),"")</f>
        <v>Unidad</v>
      </c>
      <c r="D2889" s="94">
        <v>1</v>
      </c>
      <c r="E2889" s="84">
        <v>55460</v>
      </c>
      <c r="F2889" s="83">
        <f t="shared" ca="1" si="127"/>
        <v>55460</v>
      </c>
    </row>
    <row r="2890" spans="1:10" ht="14.1" customHeight="1" x14ac:dyDescent="0.25">
      <c r="E2890" s="96" t="s">
        <v>7213</v>
      </c>
      <c r="F2890" s="87">
        <f ca="1">SUM(Table102[MONTO TOTAL ESTIMADO])</f>
        <v>2815415.8</v>
      </c>
      <c r="H2890" s="39" t="str">
        <f>C2815</f>
        <v>Bienes</v>
      </c>
      <c r="I2890" s="39" t="str">
        <f>E2815</f>
        <v>No</v>
      </c>
      <c r="J2890" s="39" t="str">
        <f>D2815</f>
        <v>Comparacion de Precios</v>
      </c>
    </row>
    <row r="2892" spans="1:10" ht="33.950000000000003" customHeight="1" x14ac:dyDescent="0.25">
      <c r="A2892" s="77" t="s">
        <v>17233</v>
      </c>
      <c r="B2892" s="77" t="s">
        <v>4237</v>
      </c>
      <c r="C2892" s="77" t="s">
        <v>4743</v>
      </c>
      <c r="D2892" s="77" t="s">
        <v>9891</v>
      </c>
      <c r="E2892" s="77" t="s">
        <v>3089</v>
      </c>
      <c r="F2892" s="77" t="s">
        <v>18141</v>
      </c>
    </row>
    <row r="2893" spans="1:10" ht="14.1" customHeight="1" x14ac:dyDescent="0.25">
      <c r="A2893" s="79" t="s">
        <v>12601</v>
      </c>
      <c r="B2893" s="79" t="s">
        <v>79</v>
      </c>
      <c r="C2893" s="79" t="s">
        <v>17215</v>
      </c>
      <c r="D2893" s="79" t="s">
        <v>17798</v>
      </c>
      <c r="E2893" s="79" t="s">
        <v>18247</v>
      </c>
      <c r="F2893" s="79"/>
    </row>
    <row r="2894" spans="1:10" ht="14.1" customHeight="1" x14ac:dyDescent="0.25">
      <c r="A2894" s="2" t="s">
        <v>6643</v>
      </c>
      <c r="B2894" s="80" t="s">
        <v>1046</v>
      </c>
      <c r="C2894" s="90">
        <v>43467</v>
      </c>
      <c r="D2894" s="2" t="s">
        <v>59</v>
      </c>
      <c r="E2894" s="92" t="s">
        <v>20066</v>
      </c>
      <c r="F2894" s="93" t="s">
        <v>5684</v>
      </c>
    </row>
    <row r="2895" spans="1:10" ht="14.1" customHeight="1" x14ac:dyDescent="0.25">
      <c r="A2895" s="1"/>
      <c r="B2895" s="80" t="s">
        <v>10788</v>
      </c>
      <c r="C2895" s="91">
        <f>IF(C2894="","",IF(AND(MONTH(C2894)&gt;=1,MONTH(C2894)&lt;=3),1,IF(AND(MONTH(C2894)&gt;=4,MONTH(C2894)&lt;=6),2,IF(AND(MONTH(C2894)&gt;=7,MONTH(C2894)&lt;=9),3,4))))</f>
        <v>1</v>
      </c>
      <c r="D2895" s="1"/>
      <c r="E2895" s="92" t="s">
        <v>14822</v>
      </c>
      <c r="F2895" s="93"/>
    </row>
    <row r="2896" spans="1:10" ht="14.1" customHeight="1" x14ac:dyDescent="0.25">
      <c r="A2896" s="1"/>
      <c r="B2896" s="80" t="s">
        <v>13758</v>
      </c>
      <c r="C2896" s="90">
        <v>43553</v>
      </c>
      <c r="D2896" s="1"/>
      <c r="E2896" s="92" t="s">
        <v>18636</v>
      </c>
      <c r="F2896" s="93"/>
    </row>
    <row r="2897" spans="1:6" ht="14.1" customHeight="1" x14ac:dyDescent="0.25">
      <c r="A2897" s="1"/>
      <c r="B2897" s="80" t="s">
        <v>10788</v>
      </c>
      <c r="C2897" s="91">
        <f>IF(C2896="","",IF(AND(MONTH(C2896)&gt;=1,MONTH(C2896)&lt;=3),1,IF(AND(MONTH(C2896)&gt;=4,MONTH(C2896)&lt;=6),2,IF(AND(MONTH(C2896)&gt;=7,MONTH(C2896)&lt;=9),3,4))))</f>
        <v>1</v>
      </c>
      <c r="D2897" s="1"/>
      <c r="E2897" s="92" t="s">
        <v>15990</v>
      </c>
      <c r="F2897" s="93"/>
    </row>
    <row r="2899" spans="1:6" ht="14.1" customHeight="1" x14ac:dyDescent="0.25">
      <c r="A2899" s="85" t="s">
        <v>15474</v>
      </c>
      <c r="B2899" s="85" t="s">
        <v>5027</v>
      </c>
      <c r="C2899" s="85" t="s">
        <v>17461</v>
      </c>
      <c r="D2899" s="85" t="s">
        <v>3935</v>
      </c>
      <c r="E2899" s="85" t="s">
        <v>10722</v>
      </c>
      <c r="F2899" s="85" t="s">
        <v>18237</v>
      </c>
    </row>
    <row r="2900" spans="1:6" ht="14.1" customHeight="1" x14ac:dyDescent="0.25">
      <c r="A2900" s="94" t="s">
        <v>9475</v>
      </c>
      <c r="B2900" s="82" t="str">
        <f ca="1">IFERROR(INDEX(UNSPSCDes,MATCH(INDIRECT(ADDRESS(ROW(),COLUMN()-1,4)),UNSPSCCode,0)),IF(INDIRECT(ADDRESS(ROW(),COLUMN()-1,4))="42221503","Catéteres venosos centrales",""))</f>
        <v>Catéteres venosos centrales</v>
      </c>
      <c r="C2900" s="95" t="str">
        <f>IFERROR(VLOOKUP("UD",'Informacion '!P:Q,2,FALSE),"")</f>
        <v>Unidad</v>
      </c>
      <c r="D2900" s="94">
        <v>35</v>
      </c>
      <c r="E2900" s="84">
        <v>1952.87</v>
      </c>
      <c r="F2900" s="83">
        <f t="shared" ref="F2900:F2945" ca="1" si="129">INDIRECT(ADDRESS(ROW(),COLUMN()-2,4))*INDIRECT(ADDRESS(ROW(),COLUMN()-1,4))</f>
        <v>68350.45</v>
      </c>
    </row>
    <row r="2901" spans="1:6" ht="14.1" customHeight="1" x14ac:dyDescent="0.25">
      <c r="A2901" s="94" t="s">
        <v>18811</v>
      </c>
      <c r="B2901" s="82" t="str">
        <f t="shared" ref="B2901:B2906" ca="1" si="130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2901" s="95" t="str">
        <f>IFERROR(VLOOKUP("UD",'Informacion '!P:Q,2,FALSE),"")</f>
        <v>Unidad</v>
      </c>
      <c r="D2901" s="94">
        <v>34</v>
      </c>
      <c r="E2901" s="84">
        <v>110</v>
      </c>
      <c r="F2901" s="83">
        <f t="shared" ca="1" si="129"/>
        <v>3740</v>
      </c>
    </row>
    <row r="2902" spans="1:6" ht="14.1" customHeight="1" x14ac:dyDescent="0.25">
      <c r="A2902" s="94" t="s">
        <v>18811</v>
      </c>
      <c r="B2902" s="82" t="str">
        <f t="shared" ca="1" si="130"/>
        <v>Bandejas mayo para el canto o puestos mayo para uso quirúrgico o sus accesorios</v>
      </c>
      <c r="C2902" s="95" t="str">
        <f>IFERROR(VLOOKUP("UD",'Informacion '!P:Q,2,FALSE),"")</f>
        <v>Unidad</v>
      </c>
      <c r="D2902" s="94">
        <v>4</v>
      </c>
      <c r="E2902" s="84">
        <v>149.74</v>
      </c>
      <c r="F2902" s="83">
        <f t="shared" ca="1" si="129"/>
        <v>598.96</v>
      </c>
    </row>
    <row r="2903" spans="1:6" ht="14.1" customHeight="1" x14ac:dyDescent="0.25">
      <c r="A2903" s="94" t="s">
        <v>18811</v>
      </c>
      <c r="B2903" s="82" t="str">
        <f t="shared" ca="1" si="130"/>
        <v>Bandejas mayo para el canto o puestos mayo para uso quirúrgico o sus accesorios</v>
      </c>
      <c r="C2903" s="95" t="str">
        <f>IFERROR(VLOOKUP("UD",'Informacion '!P:Q,2,FALSE),"")</f>
        <v>Unidad</v>
      </c>
      <c r="D2903" s="94">
        <v>7</v>
      </c>
      <c r="E2903" s="84">
        <v>53.1</v>
      </c>
      <c r="F2903" s="83">
        <f t="shared" ca="1" si="129"/>
        <v>371.7</v>
      </c>
    </row>
    <row r="2904" spans="1:6" ht="14.1" customHeight="1" x14ac:dyDescent="0.25">
      <c r="A2904" s="94" t="s">
        <v>18811</v>
      </c>
      <c r="B2904" s="82" t="str">
        <f t="shared" ca="1" si="130"/>
        <v>Bandejas mayo para el canto o puestos mayo para uso quirúrgico o sus accesorios</v>
      </c>
      <c r="C2904" s="95" t="str">
        <f>IFERROR(VLOOKUP("UD",'Informacion '!P:Q,2,FALSE),"")</f>
        <v>Unidad</v>
      </c>
      <c r="D2904" s="94">
        <v>10</v>
      </c>
      <c r="E2904" s="84">
        <v>170.62</v>
      </c>
      <c r="F2904" s="83">
        <f t="shared" ca="1" si="129"/>
        <v>1706.2</v>
      </c>
    </row>
    <row r="2905" spans="1:6" ht="14.1" customHeight="1" x14ac:dyDescent="0.25">
      <c r="A2905" s="94" t="s">
        <v>18811</v>
      </c>
      <c r="B2905" s="82" t="str">
        <f t="shared" ca="1" si="130"/>
        <v>Bandejas mayo para el canto o puestos mayo para uso quirúrgico o sus accesorios</v>
      </c>
      <c r="C2905" s="95" t="str">
        <f>IFERROR(VLOOKUP("UD",'Informacion '!P:Q,2,FALSE),"")</f>
        <v>Unidad</v>
      </c>
      <c r="D2905" s="94">
        <v>5</v>
      </c>
      <c r="E2905" s="84">
        <v>167.45</v>
      </c>
      <c r="F2905" s="83">
        <f t="shared" ca="1" si="129"/>
        <v>837.25</v>
      </c>
    </row>
    <row r="2906" spans="1:6" ht="14.1" customHeight="1" x14ac:dyDescent="0.25">
      <c r="A2906" s="94" t="s">
        <v>18811</v>
      </c>
      <c r="B2906" s="82" t="str">
        <f t="shared" ca="1" si="130"/>
        <v>Bandejas mayo para el canto o puestos mayo para uso quirúrgico o sus accesorios</v>
      </c>
      <c r="C2906" s="95" t="str">
        <f>IFERROR(VLOOKUP("UD",'Informacion '!P:Q,2,FALSE),"")</f>
        <v>Unidad</v>
      </c>
      <c r="D2906" s="94">
        <v>16</v>
      </c>
      <c r="E2906" s="84">
        <v>56.65</v>
      </c>
      <c r="F2906" s="83">
        <f t="shared" ca="1" si="129"/>
        <v>906.4</v>
      </c>
    </row>
    <row r="2907" spans="1:6" ht="14.1" customHeight="1" x14ac:dyDescent="0.25">
      <c r="A2907" s="94" t="s">
        <v>10248</v>
      </c>
      <c r="B2907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2907" s="95" t="str">
        <f>IFERROR(VLOOKUP("UD",'Informacion '!P:Q,2,FALSE),"")</f>
        <v>Unidad</v>
      </c>
      <c r="D2907" s="94">
        <v>3</v>
      </c>
      <c r="E2907" s="84">
        <v>83.44</v>
      </c>
      <c r="F2907" s="83">
        <f t="shared" ca="1" si="129"/>
        <v>250.32</v>
      </c>
    </row>
    <row r="2908" spans="1:6" ht="14.1" customHeight="1" x14ac:dyDescent="0.25">
      <c r="A2908" s="94" t="s">
        <v>12824</v>
      </c>
      <c r="B290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08" s="95" t="str">
        <f>IFERROR(VLOOKUP("UD",'Informacion '!P:Q,2,FALSE),"")</f>
        <v>Unidad</v>
      </c>
      <c r="D2908" s="94">
        <v>29</v>
      </c>
      <c r="E2908" s="84">
        <v>52.5</v>
      </c>
      <c r="F2908" s="83">
        <f t="shared" ca="1" si="129"/>
        <v>1522.5</v>
      </c>
    </row>
    <row r="2909" spans="1:6" ht="14.1" customHeight="1" x14ac:dyDescent="0.25">
      <c r="A2909" s="94" t="s">
        <v>8742</v>
      </c>
      <c r="B2909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2909" s="95" t="str">
        <f>IFERROR(VLOOKUP("UD",'Informacion '!P:Q,2,FALSE),"")</f>
        <v>Unidad</v>
      </c>
      <c r="D2909" s="94">
        <v>1</v>
      </c>
      <c r="E2909" s="84">
        <v>848.28</v>
      </c>
      <c r="F2909" s="83">
        <f t="shared" ca="1" si="129"/>
        <v>848.28</v>
      </c>
    </row>
    <row r="2910" spans="1:6" ht="14.1" customHeight="1" x14ac:dyDescent="0.25">
      <c r="A2910" s="94" t="s">
        <v>3767</v>
      </c>
      <c r="B291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2910" s="95" t="str">
        <f>IFERROR(VLOOKUP("UD",'Informacion '!P:Q,2,FALSE),"")</f>
        <v>Unidad</v>
      </c>
      <c r="D2910" s="94">
        <v>627</v>
      </c>
      <c r="E2910" s="84">
        <v>45</v>
      </c>
      <c r="F2910" s="83">
        <f t="shared" ca="1" si="129"/>
        <v>28215</v>
      </c>
    </row>
    <row r="2911" spans="1:6" ht="14.1" customHeight="1" x14ac:dyDescent="0.25">
      <c r="A2911" s="94" t="s">
        <v>3767</v>
      </c>
      <c r="B2911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2911" s="95" t="str">
        <f>IFERROR(VLOOKUP("UD",'Informacion '!P:Q,2,FALSE),"")</f>
        <v>Unidad</v>
      </c>
      <c r="D2911" s="94">
        <v>1955</v>
      </c>
      <c r="E2911" s="84">
        <v>71.989999999999995</v>
      </c>
      <c r="F2911" s="83">
        <f t="shared" ca="1" si="129"/>
        <v>140740.44999999998</v>
      </c>
    </row>
    <row r="2912" spans="1:6" ht="14.1" customHeight="1" x14ac:dyDescent="0.25">
      <c r="A2912" s="94" t="s">
        <v>3767</v>
      </c>
      <c r="B2912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2912" s="95" t="str">
        <f>IFERROR(VLOOKUP("UD",'Informacion '!P:Q,2,FALSE),"")</f>
        <v>Unidad</v>
      </c>
      <c r="D2912" s="94">
        <v>2246</v>
      </c>
      <c r="E2912" s="84">
        <v>72</v>
      </c>
      <c r="F2912" s="83">
        <f t="shared" ca="1" si="129"/>
        <v>161712</v>
      </c>
    </row>
    <row r="2913" spans="1:6" ht="14.1" customHeight="1" x14ac:dyDescent="0.25">
      <c r="A2913" s="94" t="s">
        <v>10045</v>
      </c>
      <c r="B2913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2913" s="95" t="str">
        <f>IFERROR(VLOOKUP("UD",'Informacion '!P:Q,2,FALSE),"")</f>
        <v>Unidad</v>
      </c>
      <c r="D2913" s="94">
        <v>1</v>
      </c>
      <c r="E2913" s="84">
        <v>470.93</v>
      </c>
      <c r="F2913" s="83">
        <f t="shared" ca="1" si="129"/>
        <v>470.93</v>
      </c>
    </row>
    <row r="2914" spans="1:6" ht="14.1" customHeight="1" x14ac:dyDescent="0.25">
      <c r="A2914" s="94" t="s">
        <v>10045</v>
      </c>
      <c r="B2914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2914" s="95" t="str">
        <f>IFERROR(VLOOKUP("UD",'Informacion '!P:Q,2,FALSE),"")</f>
        <v>Unidad</v>
      </c>
      <c r="D2914" s="94">
        <v>2</v>
      </c>
      <c r="E2914" s="84">
        <v>470.93</v>
      </c>
      <c r="F2914" s="83">
        <f t="shared" ca="1" si="129"/>
        <v>941.86</v>
      </c>
    </row>
    <row r="2915" spans="1:6" ht="14.1" customHeight="1" x14ac:dyDescent="0.25">
      <c r="A2915" s="94" t="s">
        <v>10045</v>
      </c>
      <c r="B2915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2915" s="95" t="str">
        <f>IFERROR(VLOOKUP("UD",'Informacion '!P:Q,2,FALSE),"")</f>
        <v>Unidad</v>
      </c>
      <c r="D2915" s="94">
        <v>6</v>
      </c>
      <c r="E2915" s="84">
        <v>470.93</v>
      </c>
      <c r="F2915" s="83">
        <f t="shared" ca="1" si="129"/>
        <v>2825.58</v>
      </c>
    </row>
    <row r="2916" spans="1:6" ht="14.1" customHeight="1" x14ac:dyDescent="0.25">
      <c r="A2916" s="94" t="s">
        <v>10045</v>
      </c>
      <c r="B2916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2916" s="95" t="str">
        <f>IFERROR(VLOOKUP("UD",'Informacion '!P:Q,2,FALSE),"")</f>
        <v>Unidad</v>
      </c>
      <c r="D2916" s="94">
        <v>6</v>
      </c>
      <c r="E2916" s="84">
        <v>470.93</v>
      </c>
      <c r="F2916" s="83">
        <f t="shared" ca="1" si="129"/>
        <v>2825.58</v>
      </c>
    </row>
    <row r="2917" spans="1:6" ht="14.1" customHeight="1" x14ac:dyDescent="0.25">
      <c r="A2917" s="94" t="s">
        <v>18410</v>
      </c>
      <c r="B2917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2917" s="95" t="str">
        <f>IFERROR(VLOOKUP("UD",'Informacion '!P:Q,2,FALSE),"")</f>
        <v>Unidad</v>
      </c>
      <c r="D2917" s="94">
        <v>1</v>
      </c>
      <c r="E2917" s="84">
        <v>13957.95</v>
      </c>
      <c r="F2917" s="83">
        <f t="shared" ca="1" si="129"/>
        <v>13957.95</v>
      </c>
    </row>
    <row r="2918" spans="1:6" ht="14.1" customHeight="1" x14ac:dyDescent="0.25">
      <c r="A2918" s="94" t="s">
        <v>18410</v>
      </c>
      <c r="B2918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2918" s="95" t="str">
        <f>IFERROR(VLOOKUP("UD",'Informacion '!P:Q,2,FALSE),"")</f>
        <v>Unidad</v>
      </c>
      <c r="D2918" s="94">
        <v>1</v>
      </c>
      <c r="E2918" s="84">
        <v>15031.87</v>
      </c>
      <c r="F2918" s="83">
        <f t="shared" ca="1" si="129"/>
        <v>15031.87</v>
      </c>
    </row>
    <row r="2919" spans="1:6" ht="14.1" customHeight="1" x14ac:dyDescent="0.25">
      <c r="A2919" s="94" t="s">
        <v>3767</v>
      </c>
      <c r="B2919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2919" s="95" t="str">
        <f>IFERROR(VLOOKUP("UD",'Informacion '!P:Q,2,FALSE),"")</f>
        <v>Unidad</v>
      </c>
      <c r="D2919" s="94">
        <v>51</v>
      </c>
      <c r="E2919" s="84">
        <v>45</v>
      </c>
      <c r="F2919" s="83">
        <f t="shared" ca="1" si="129"/>
        <v>2295</v>
      </c>
    </row>
    <row r="2920" spans="1:6" ht="14.1" customHeight="1" x14ac:dyDescent="0.25">
      <c r="A2920" s="94" t="s">
        <v>3767</v>
      </c>
      <c r="B292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2920" s="95" t="str">
        <f>IFERROR(VLOOKUP("UD",'Informacion '!P:Q,2,FALSE),"")</f>
        <v>Unidad</v>
      </c>
      <c r="D2920" s="94">
        <v>2904</v>
      </c>
      <c r="E2920" s="84">
        <v>45</v>
      </c>
      <c r="F2920" s="83">
        <f t="shared" ca="1" si="129"/>
        <v>130680</v>
      </c>
    </row>
    <row r="2921" spans="1:6" ht="14.1" customHeight="1" x14ac:dyDescent="0.25">
      <c r="A2921" s="94" t="s">
        <v>12824</v>
      </c>
      <c r="B292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21" s="95" t="str">
        <f>IFERROR(VLOOKUP("UD",'Informacion '!P:Q,2,FALSE),"")</f>
        <v>Unidad</v>
      </c>
      <c r="D2921" s="94">
        <v>4</v>
      </c>
      <c r="E2921" s="84">
        <v>1153.49</v>
      </c>
      <c r="F2921" s="83">
        <f t="shared" ca="1" si="129"/>
        <v>4613.96</v>
      </c>
    </row>
    <row r="2922" spans="1:6" ht="14.1" customHeight="1" x14ac:dyDescent="0.25">
      <c r="A2922" s="94" t="s">
        <v>12824</v>
      </c>
      <c r="B292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22" s="95" t="str">
        <f>IFERROR(VLOOKUP("UD",'Informacion '!P:Q,2,FALSE),"")</f>
        <v>Unidad</v>
      </c>
      <c r="D2922" s="94">
        <v>9</v>
      </c>
      <c r="E2922" s="84">
        <v>1947</v>
      </c>
      <c r="F2922" s="83">
        <f t="shared" ca="1" si="129"/>
        <v>17523</v>
      </c>
    </row>
    <row r="2923" spans="1:6" ht="14.1" customHeight="1" x14ac:dyDescent="0.25">
      <c r="A2923" s="94" t="s">
        <v>10248</v>
      </c>
      <c r="B2923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2923" s="95" t="str">
        <f>IFERROR(VLOOKUP("UD",'Informacion '!P:Q,2,FALSE),"")</f>
        <v>Unidad</v>
      </c>
      <c r="D2923" s="94">
        <v>351</v>
      </c>
      <c r="E2923" s="84">
        <v>83.44</v>
      </c>
      <c r="F2923" s="83">
        <f t="shared" ca="1" si="129"/>
        <v>29287.439999999999</v>
      </c>
    </row>
    <row r="2924" spans="1:6" ht="14.1" customHeight="1" x14ac:dyDescent="0.25">
      <c r="A2924" s="94" t="s">
        <v>12824</v>
      </c>
      <c r="B292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24" s="95" t="str">
        <f>IFERROR(VLOOKUP("UD",'Informacion '!P:Q,2,FALSE),"")</f>
        <v>Unidad</v>
      </c>
      <c r="D2924" s="94">
        <v>2</v>
      </c>
      <c r="E2924" s="84">
        <v>19.37</v>
      </c>
      <c r="F2924" s="83">
        <f t="shared" ca="1" si="129"/>
        <v>38.74</v>
      </c>
    </row>
    <row r="2925" spans="1:6" ht="14.1" customHeight="1" x14ac:dyDescent="0.25">
      <c r="A2925" s="94" t="s">
        <v>12824</v>
      </c>
      <c r="B292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25" s="95" t="str">
        <f>IFERROR(VLOOKUP("UD",'Informacion '!P:Q,2,FALSE),"")</f>
        <v>Unidad</v>
      </c>
      <c r="D2925" s="94">
        <v>11</v>
      </c>
      <c r="E2925" s="84">
        <v>36.520000000000003</v>
      </c>
      <c r="F2925" s="83">
        <f t="shared" ca="1" si="129"/>
        <v>401.72</v>
      </c>
    </row>
    <row r="2926" spans="1:6" ht="14.1" customHeight="1" x14ac:dyDescent="0.25">
      <c r="A2926" s="94" t="s">
        <v>16391</v>
      </c>
      <c r="B2926" s="82" t="str">
        <f ca="1">IFERROR(INDEX(UNSPSCDes,MATCH(INDIRECT(ADDRESS(ROW(),COLUMN()-1,4)),UNSPSCCode,0)),IF(INDIRECT(ADDRESS(ROW(),COLUMN()-1,4))="42142615","Accesorios para jeringas",""))</f>
        <v>Accesorios para jeringas</v>
      </c>
      <c r="C2926" s="95" t="str">
        <f>IFERROR(VLOOKUP("UD",'Informacion '!P:Q,2,FALSE),"")</f>
        <v>Unidad</v>
      </c>
      <c r="D2926" s="94">
        <v>154</v>
      </c>
      <c r="E2926" s="84">
        <v>122</v>
      </c>
      <c r="F2926" s="83">
        <f t="shared" ca="1" si="129"/>
        <v>18788</v>
      </c>
    </row>
    <row r="2927" spans="1:6" ht="14.1" customHeight="1" x14ac:dyDescent="0.25">
      <c r="A2927" s="94" t="s">
        <v>12824</v>
      </c>
      <c r="B292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27" s="95" t="str">
        <f>IFERROR(VLOOKUP("UD",'Informacion '!P:Q,2,FALSE),"")</f>
        <v>Unidad</v>
      </c>
      <c r="D2927" s="94">
        <v>2</v>
      </c>
      <c r="E2927" s="84">
        <v>29.5</v>
      </c>
      <c r="F2927" s="83">
        <f t="shared" ca="1" si="129"/>
        <v>59</v>
      </c>
    </row>
    <row r="2928" spans="1:6" ht="14.1" customHeight="1" x14ac:dyDescent="0.25">
      <c r="A2928" s="94" t="s">
        <v>13621</v>
      </c>
      <c r="B2928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2928" s="95" t="str">
        <f>IFERROR(VLOOKUP("UD",'Informacion '!P:Q,2,FALSE),"")</f>
        <v>Unidad</v>
      </c>
      <c r="D2928" s="94">
        <v>14</v>
      </c>
      <c r="E2928" s="84">
        <v>2288.0300000000002</v>
      </c>
      <c r="F2928" s="83">
        <f t="shared" ca="1" si="129"/>
        <v>32032.420000000002</v>
      </c>
    </row>
    <row r="2929" spans="1:6" ht="14.1" customHeight="1" x14ac:dyDescent="0.25">
      <c r="A2929" s="94" t="s">
        <v>9475</v>
      </c>
      <c r="B2929" s="82" t="str">
        <f ca="1">IFERROR(INDEX(UNSPSCDes,MATCH(INDIRECT(ADDRESS(ROW(),COLUMN()-1,4)),UNSPSCCode,0)),IF(INDIRECT(ADDRESS(ROW(),COLUMN()-1,4))="42221503","Catéteres venosos centrales",""))</f>
        <v>Catéteres venosos centrales</v>
      </c>
      <c r="C2929" s="95" t="str">
        <f>IFERROR(VLOOKUP("UD",'Informacion '!P:Q,2,FALSE),"")</f>
        <v>Unidad</v>
      </c>
      <c r="D2929" s="94">
        <v>21</v>
      </c>
      <c r="E2929" s="84">
        <v>1657</v>
      </c>
      <c r="F2929" s="83">
        <f t="shared" ca="1" si="129"/>
        <v>34797</v>
      </c>
    </row>
    <row r="2930" spans="1:6" ht="14.1" customHeight="1" x14ac:dyDescent="0.25">
      <c r="A2930" s="94" t="s">
        <v>12824</v>
      </c>
      <c r="B293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30" s="95" t="str">
        <f>IFERROR(VLOOKUP("UD",'Informacion '!P:Q,2,FALSE),"")</f>
        <v>Unidad</v>
      </c>
      <c r="D2930" s="94">
        <v>1</v>
      </c>
      <c r="E2930" s="84">
        <v>9.44</v>
      </c>
      <c r="F2930" s="83">
        <f t="shared" ca="1" si="129"/>
        <v>9.44</v>
      </c>
    </row>
    <row r="2931" spans="1:6" ht="14.1" customHeight="1" x14ac:dyDescent="0.25">
      <c r="A2931" s="94" t="s">
        <v>10483</v>
      </c>
      <c r="B2931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931" s="95" t="str">
        <f>IFERROR(VLOOKUP("UD",'Informacion '!P:Q,2,FALSE),"")</f>
        <v>Unidad</v>
      </c>
      <c r="D2931" s="94">
        <v>5</v>
      </c>
      <c r="E2931" s="84">
        <v>4181.9799999999996</v>
      </c>
      <c r="F2931" s="83">
        <f t="shared" ca="1" si="129"/>
        <v>20909.899999999998</v>
      </c>
    </row>
    <row r="2932" spans="1:6" ht="14.1" customHeight="1" x14ac:dyDescent="0.25">
      <c r="A2932" s="94" t="s">
        <v>12824</v>
      </c>
      <c r="B293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32" s="95" t="str">
        <f>IFERROR(VLOOKUP("UD",'Informacion '!P:Q,2,FALSE),"")</f>
        <v>Unidad</v>
      </c>
      <c r="D2932" s="94">
        <v>2</v>
      </c>
      <c r="E2932" s="84">
        <v>4218.5</v>
      </c>
      <c r="F2932" s="83">
        <f t="shared" ca="1" si="129"/>
        <v>8437</v>
      </c>
    </row>
    <row r="2933" spans="1:6" ht="14.1" customHeight="1" x14ac:dyDescent="0.25">
      <c r="A2933" s="94" t="s">
        <v>10483</v>
      </c>
      <c r="B2933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2933" s="95" t="str">
        <f>IFERROR(VLOOKUP("UD",'Informacion '!P:Q,2,FALSE),"")</f>
        <v>Unidad</v>
      </c>
      <c r="D2933" s="94">
        <v>3</v>
      </c>
      <c r="E2933" s="84">
        <v>4235.93</v>
      </c>
      <c r="F2933" s="83">
        <f t="shared" ca="1" si="129"/>
        <v>12707.79</v>
      </c>
    </row>
    <row r="2934" spans="1:6" ht="14.1" customHeight="1" x14ac:dyDescent="0.25">
      <c r="A2934" s="94" t="s">
        <v>13499</v>
      </c>
      <c r="B2934" s="82" t="str">
        <f ca="1">IFERROR(INDEX(UNSPSCDes,MATCH(INDIRECT(ADDRESS(ROW(),COLUMN()-1,4)),UNSPSCCode,0)),IF(INDIRECT(ADDRESS(ROW(),COLUMN()-1,4))="41104019","Colectores de muestras",""))</f>
        <v>Colectores de muestras</v>
      </c>
      <c r="C2934" s="95" t="str">
        <f>IFERROR(VLOOKUP("UD",'Informacion '!P:Q,2,FALSE),"")</f>
        <v>Unidad</v>
      </c>
      <c r="D2934" s="94">
        <v>2</v>
      </c>
      <c r="E2934" s="84">
        <v>422.55</v>
      </c>
      <c r="F2934" s="83">
        <f t="shared" ca="1" si="129"/>
        <v>845.1</v>
      </c>
    </row>
    <row r="2935" spans="1:6" ht="14.1" customHeight="1" x14ac:dyDescent="0.25">
      <c r="A2935" s="94" t="s">
        <v>9475</v>
      </c>
      <c r="B2935" s="82" t="str">
        <f ca="1">IFERROR(INDEX(UNSPSCDes,MATCH(INDIRECT(ADDRESS(ROW(),COLUMN()-1,4)),UNSPSCCode,0)),IF(INDIRECT(ADDRESS(ROW(),COLUMN()-1,4))="42221503","Catéteres venosos centrales",""))</f>
        <v>Catéteres venosos centrales</v>
      </c>
      <c r="C2935" s="95" t="str">
        <f>IFERROR(VLOOKUP("UD",'Informacion '!P:Q,2,FALSE),"")</f>
        <v>Unidad</v>
      </c>
      <c r="D2935" s="94">
        <v>2</v>
      </c>
      <c r="E2935" s="84">
        <v>1699.2</v>
      </c>
      <c r="F2935" s="83">
        <f t="shared" ca="1" si="129"/>
        <v>3398.4</v>
      </c>
    </row>
    <row r="2936" spans="1:6" ht="14.1" customHeight="1" x14ac:dyDescent="0.25">
      <c r="A2936" s="94" t="s">
        <v>8459</v>
      </c>
      <c r="B2936" s="82" t="str">
        <f ca="1">IFERROR(INDEX(UNSPSCDes,MATCH(INDIRECT(ADDRESS(ROW(),COLUMN()-1,4)),UNSPSCCode,0)),IF(INDIRECT(ADDRESS(ROW(),COLUMN()-1,4))="42211503","Dispositivos de posicionamiento",""))</f>
        <v>Dispositivos de posicionamiento</v>
      </c>
      <c r="C2936" s="95" t="str">
        <f>IFERROR(VLOOKUP("UD",'Informacion '!P:Q,2,FALSE),"")</f>
        <v>Unidad</v>
      </c>
      <c r="D2936" s="94">
        <v>5</v>
      </c>
      <c r="E2936" s="84">
        <v>1025.42</v>
      </c>
      <c r="F2936" s="83">
        <f t="shared" ca="1" si="129"/>
        <v>5127.1000000000004</v>
      </c>
    </row>
    <row r="2937" spans="1:6" ht="14.1" customHeight="1" x14ac:dyDescent="0.25">
      <c r="A2937" s="94" t="s">
        <v>3742</v>
      </c>
      <c r="B2937" s="82" t="str">
        <f ca="1">IFERROR(INDEX(UNSPSCDes,MATCH(INDIRECT(ADDRESS(ROW(),COLUMN()-1,4)),UNSPSCCode,0)),IF(INDIRECT(ADDRESS(ROW(),COLUMN()-1,4))="42271909","Accesorios de vías aéreas artificiales",""))</f>
        <v>Accesorios de vías aéreas artificiales</v>
      </c>
      <c r="C2937" s="95" t="str">
        <f>IFERROR(VLOOKUP("UD",'Informacion '!P:Q,2,FALSE),"")</f>
        <v>Unidad</v>
      </c>
      <c r="D2937" s="94">
        <v>10</v>
      </c>
      <c r="E2937" s="84">
        <v>5.48</v>
      </c>
      <c r="F2937" s="83">
        <f t="shared" ca="1" si="129"/>
        <v>54.800000000000004</v>
      </c>
    </row>
    <row r="2938" spans="1:6" ht="14.1" customHeight="1" x14ac:dyDescent="0.25">
      <c r="A2938" s="94" t="s">
        <v>8742</v>
      </c>
      <c r="B2938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2938" s="95" t="str">
        <f>IFERROR(VLOOKUP("UD",'Informacion '!P:Q,2,FALSE),"")</f>
        <v>Unidad</v>
      </c>
      <c r="D2938" s="94">
        <v>4</v>
      </c>
      <c r="E2938" s="84">
        <v>68.09</v>
      </c>
      <c r="F2938" s="83">
        <f t="shared" ca="1" si="129"/>
        <v>272.36</v>
      </c>
    </row>
    <row r="2939" spans="1:6" ht="14.1" customHeight="1" x14ac:dyDescent="0.25">
      <c r="A2939" s="94" t="s">
        <v>18410</v>
      </c>
      <c r="B2939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2939" s="95" t="str">
        <f>IFERROR(VLOOKUP("UD",'Informacion '!P:Q,2,FALSE),"")</f>
        <v>Unidad</v>
      </c>
      <c r="D2939" s="94">
        <v>2</v>
      </c>
      <c r="E2939" s="84">
        <v>21574.26</v>
      </c>
      <c r="F2939" s="83">
        <f t="shared" ca="1" si="129"/>
        <v>43148.52</v>
      </c>
    </row>
    <row r="2940" spans="1:6" ht="14.1" customHeight="1" x14ac:dyDescent="0.25">
      <c r="A2940" s="94" t="s">
        <v>10045</v>
      </c>
      <c r="B2940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2940" s="95" t="str">
        <f>IFERROR(VLOOKUP("UD",'Informacion '!P:Q,2,FALSE),"")</f>
        <v>Unidad</v>
      </c>
      <c r="D2940" s="94">
        <v>2</v>
      </c>
      <c r="E2940" s="84">
        <v>537.98</v>
      </c>
      <c r="F2940" s="83">
        <f t="shared" ca="1" si="129"/>
        <v>1075.96</v>
      </c>
    </row>
    <row r="2941" spans="1:6" ht="14.1" customHeight="1" x14ac:dyDescent="0.25">
      <c r="A2941" s="94" t="s">
        <v>9475</v>
      </c>
      <c r="B2941" s="82" t="str">
        <f ca="1">IFERROR(INDEX(UNSPSCDes,MATCH(INDIRECT(ADDRESS(ROW(),COLUMN()-1,4)),UNSPSCCode,0)),IF(INDIRECT(ADDRESS(ROW(),COLUMN()-1,4))="42221503","Catéteres venosos centrales",""))</f>
        <v>Catéteres venosos centrales</v>
      </c>
      <c r="C2941" s="95" t="str">
        <f>IFERROR(VLOOKUP("UD",'Informacion '!P:Q,2,FALSE),"")</f>
        <v>Unidad</v>
      </c>
      <c r="D2941" s="94">
        <v>2</v>
      </c>
      <c r="E2941" s="84">
        <v>1457.6</v>
      </c>
      <c r="F2941" s="83">
        <f t="shared" ca="1" si="129"/>
        <v>2915.2</v>
      </c>
    </row>
    <row r="2942" spans="1:6" ht="14.1" customHeight="1" x14ac:dyDescent="0.25">
      <c r="A2942" s="94" t="s">
        <v>12824</v>
      </c>
      <c r="B294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42" s="95" t="str">
        <f>IFERROR(VLOOKUP("UD",'Informacion '!P:Q,2,FALSE),"")</f>
        <v>Unidad</v>
      </c>
      <c r="D2942" s="94">
        <v>8</v>
      </c>
      <c r="E2942" s="84">
        <v>1246.08</v>
      </c>
      <c r="F2942" s="83">
        <f t="shared" ca="1" si="129"/>
        <v>9968.64</v>
      </c>
    </row>
    <row r="2943" spans="1:6" ht="14.1" customHeight="1" x14ac:dyDescent="0.25">
      <c r="A2943" s="94" t="s">
        <v>12824</v>
      </c>
      <c r="B294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2943" s="95" t="str">
        <f>IFERROR(VLOOKUP("UD",'Informacion '!P:Q,2,FALSE),"")</f>
        <v>Unidad</v>
      </c>
      <c r="D2943" s="94">
        <v>12</v>
      </c>
      <c r="E2943" s="84">
        <v>1246</v>
      </c>
      <c r="F2943" s="83">
        <f t="shared" ca="1" si="129"/>
        <v>14952</v>
      </c>
    </row>
    <row r="2944" spans="1:6" ht="14.1" customHeight="1" x14ac:dyDescent="0.25">
      <c r="A2944" s="94" t="s">
        <v>2711</v>
      </c>
      <c r="B2944" s="82" t="str">
        <f ca="1">IFERROR(INDEX(UNSPSCDes,MATCH(INDIRECT(ADDRESS(ROW(),COLUMN()-1,4)),UNSPSCCode,0)),IF(INDIRECT(ADDRESS(ROW(),COLUMN()-1,4))="42295206","Unidades de cirugía endoscópica",""))</f>
        <v>Unidades de cirugía endoscópica</v>
      </c>
      <c r="C2944" s="95" t="str">
        <f>IFERROR(VLOOKUP("UD",'Informacion '!P:Q,2,FALSE),"")</f>
        <v>Unidad</v>
      </c>
      <c r="D2944" s="94">
        <v>12</v>
      </c>
      <c r="E2944" s="84">
        <v>11.89</v>
      </c>
      <c r="F2944" s="83">
        <f t="shared" ca="1" si="129"/>
        <v>142.68</v>
      </c>
    </row>
    <row r="2945" spans="1:10" ht="14.1" customHeight="1" x14ac:dyDescent="0.25">
      <c r="A2945" s="94" t="s">
        <v>3636</v>
      </c>
      <c r="B2945" s="82" t="str">
        <f ca="1">IFERROR(INDEX(UNSPSCDes,MATCH(INDIRECT(ADDRESS(ROW(),COLUMN()-1,4)),UNSPSCCode,0)),IF(INDIRECT(ADDRESS(ROW(),COLUMN()-1,4))="42271915","Accesorios de traqueotomía",""))</f>
        <v>Accesorios de traqueotomía</v>
      </c>
      <c r="C2945" s="95" t="str">
        <f>IFERROR(VLOOKUP("UD",'Informacion '!P:Q,2,FALSE),"")</f>
        <v>Unidad</v>
      </c>
      <c r="D2945" s="94">
        <v>1</v>
      </c>
      <c r="E2945" s="84">
        <v>4484</v>
      </c>
      <c r="F2945" s="83">
        <f t="shared" ca="1" si="129"/>
        <v>4484</v>
      </c>
    </row>
    <row r="2946" spans="1:10" ht="14.1" customHeight="1" x14ac:dyDescent="0.25">
      <c r="E2946" s="96" t="s">
        <v>7213</v>
      </c>
      <c r="F2946" s="87">
        <f ca="1">SUM(Table103[MONTO TOTAL ESTIMADO])</f>
        <v>844818.45</v>
      </c>
      <c r="H2946" s="39" t="str">
        <f>C2893</f>
        <v>Bienes</v>
      </c>
      <c r="I2946" s="39" t="str">
        <f>E2893</f>
        <v>No</v>
      </c>
      <c r="J2946" s="39" t="str">
        <f>D2893</f>
        <v>Compras Menores</v>
      </c>
    </row>
    <row r="2948" spans="1:10" ht="33.950000000000003" customHeight="1" x14ac:dyDescent="0.25">
      <c r="A2948" s="77" t="s">
        <v>17233</v>
      </c>
      <c r="B2948" s="77" t="s">
        <v>4237</v>
      </c>
      <c r="C2948" s="77" t="s">
        <v>4743</v>
      </c>
      <c r="D2948" s="77" t="s">
        <v>9891</v>
      </c>
      <c r="E2948" s="77" t="s">
        <v>3089</v>
      </c>
      <c r="F2948" s="77" t="s">
        <v>18141</v>
      </c>
    </row>
    <row r="2949" spans="1:10" ht="14.1" customHeight="1" x14ac:dyDescent="0.25">
      <c r="A2949" s="79" t="s">
        <v>5960</v>
      </c>
      <c r="B2949" s="79" t="s">
        <v>3729</v>
      </c>
      <c r="C2949" s="79" t="s">
        <v>17215</v>
      </c>
      <c r="D2949" s="79" t="s">
        <v>12255</v>
      </c>
      <c r="E2949" s="79" t="s">
        <v>18247</v>
      </c>
      <c r="F2949" s="79"/>
    </row>
    <row r="2950" spans="1:10" ht="14.1" customHeight="1" x14ac:dyDescent="0.25">
      <c r="A2950" s="2" t="s">
        <v>6643</v>
      </c>
      <c r="B2950" s="80" t="s">
        <v>1046</v>
      </c>
      <c r="C2950" s="90">
        <v>43556</v>
      </c>
      <c r="D2950" s="2" t="s">
        <v>59</v>
      </c>
      <c r="E2950" s="92" t="s">
        <v>20066</v>
      </c>
      <c r="F2950" s="93"/>
    </row>
    <row r="2951" spans="1:10" ht="14.1" customHeight="1" x14ac:dyDescent="0.25">
      <c r="A2951" s="1"/>
      <c r="B2951" s="80" t="s">
        <v>10788</v>
      </c>
      <c r="C2951" s="91">
        <f>IF(C2950="","",IF(AND(MONTH(C2950)&gt;=1,MONTH(C2950)&lt;=3),1,IF(AND(MONTH(C2950)&gt;=4,MONTH(C2950)&lt;=6),2,IF(AND(MONTH(C2950)&gt;=7,MONTH(C2950)&lt;=9),3,4))))</f>
        <v>2</v>
      </c>
      <c r="D2951" s="1"/>
      <c r="E2951" s="92" t="s">
        <v>14822</v>
      </c>
      <c r="F2951" s="93"/>
    </row>
    <row r="2952" spans="1:10" ht="14.1" customHeight="1" x14ac:dyDescent="0.25">
      <c r="A2952" s="1"/>
      <c r="B2952" s="80" t="s">
        <v>13758</v>
      </c>
      <c r="C2952" s="90">
        <v>43644</v>
      </c>
      <c r="D2952" s="1"/>
      <c r="E2952" s="92" t="s">
        <v>18636</v>
      </c>
      <c r="F2952" s="93"/>
    </row>
    <row r="2953" spans="1:10" ht="14.1" customHeight="1" x14ac:dyDescent="0.25">
      <c r="A2953" s="1"/>
      <c r="B2953" s="80" t="s">
        <v>10788</v>
      </c>
      <c r="C2953" s="91">
        <f>IF(C2952="","",IF(AND(MONTH(C2952)&gt;=1,MONTH(C2952)&lt;=3),1,IF(AND(MONTH(C2952)&gt;=4,MONTH(C2952)&lt;=6),2,IF(AND(MONTH(C2952)&gt;=7,MONTH(C2952)&lt;=9),3,4))))</f>
        <v>2</v>
      </c>
      <c r="D2953" s="1"/>
      <c r="E2953" s="92" t="s">
        <v>15990</v>
      </c>
      <c r="F2953" s="93"/>
    </row>
    <row r="2955" spans="1:10" ht="14.1" customHeight="1" x14ac:dyDescent="0.25">
      <c r="A2955" s="85" t="s">
        <v>15474</v>
      </c>
      <c r="B2955" s="85" t="s">
        <v>5027</v>
      </c>
      <c r="C2955" s="85" t="s">
        <v>17461</v>
      </c>
      <c r="D2955" s="85" t="s">
        <v>3935</v>
      </c>
      <c r="E2955" s="85" t="s">
        <v>10722</v>
      </c>
      <c r="F2955" s="85" t="s">
        <v>18237</v>
      </c>
    </row>
    <row r="2956" spans="1:10" ht="14.1" customHeight="1" x14ac:dyDescent="0.25">
      <c r="A2956" s="94" t="s">
        <v>2200</v>
      </c>
      <c r="B2956" s="82" t="str">
        <f t="shared" ref="B2956:B2987" ca="1" si="13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2956" s="95" t="str">
        <f>IFERROR(VLOOKUP("UD",'Informacion '!P:Q,2,FALSE),"")</f>
        <v>Unidad</v>
      </c>
      <c r="D2956" s="94">
        <v>79</v>
      </c>
      <c r="E2956" s="84">
        <v>62.69</v>
      </c>
      <c r="F2956" s="83">
        <f t="shared" ref="F2956:F2987" ca="1" si="132">INDIRECT(ADDRESS(ROW(),COLUMN()-2,4))*INDIRECT(ADDRESS(ROW(),COLUMN()-1,4))</f>
        <v>4952.51</v>
      </c>
    </row>
    <row r="2957" spans="1:10" ht="14.1" customHeight="1" x14ac:dyDescent="0.25">
      <c r="A2957" s="94" t="s">
        <v>2200</v>
      </c>
      <c r="B2957" s="82" t="str">
        <f t="shared" ca="1" si="131"/>
        <v>Servicios de laboratorios de análisis de sangre</v>
      </c>
      <c r="C2957" s="95" t="str">
        <f>IFERROR(VLOOKUP("UD",'Informacion '!P:Q,2,FALSE),"")</f>
        <v>Unidad</v>
      </c>
      <c r="D2957" s="94">
        <v>3</v>
      </c>
      <c r="E2957" s="84">
        <v>16808.400000000001</v>
      </c>
      <c r="F2957" s="83">
        <f t="shared" ca="1" si="132"/>
        <v>50425.200000000004</v>
      </c>
    </row>
    <row r="2958" spans="1:10" ht="14.1" customHeight="1" x14ac:dyDescent="0.25">
      <c r="A2958" s="94" t="s">
        <v>2200</v>
      </c>
      <c r="B2958" s="82" t="str">
        <f t="shared" ca="1" si="131"/>
        <v>Servicios de laboratorios de análisis de sangre</v>
      </c>
      <c r="C2958" s="95" t="str">
        <f>IFERROR(VLOOKUP("UD",'Informacion '!P:Q,2,FALSE),"")</f>
        <v>Unidad</v>
      </c>
      <c r="D2958" s="94">
        <v>23</v>
      </c>
      <c r="E2958" s="84">
        <v>7832</v>
      </c>
      <c r="F2958" s="83">
        <f t="shared" ca="1" si="132"/>
        <v>180136</v>
      </c>
    </row>
    <row r="2959" spans="1:10" ht="14.1" customHeight="1" x14ac:dyDescent="0.25">
      <c r="A2959" s="94" t="s">
        <v>2200</v>
      </c>
      <c r="B2959" s="82" t="str">
        <f t="shared" ca="1" si="131"/>
        <v>Servicios de laboratorios de análisis de sangre</v>
      </c>
      <c r="C2959" s="95" t="str">
        <f>IFERROR(VLOOKUP("UD",'Informacion '!P:Q,2,FALSE),"")</f>
        <v>Unidad</v>
      </c>
      <c r="D2959" s="94">
        <v>6</v>
      </c>
      <c r="E2959" s="84">
        <v>15812.92</v>
      </c>
      <c r="F2959" s="83">
        <f t="shared" ca="1" si="132"/>
        <v>94877.52</v>
      </c>
    </row>
    <row r="2960" spans="1:10" ht="14.1" customHeight="1" x14ac:dyDescent="0.25">
      <c r="A2960" s="94" t="s">
        <v>2200</v>
      </c>
      <c r="B2960" s="82" t="str">
        <f t="shared" ca="1" si="131"/>
        <v>Servicios de laboratorios de análisis de sangre</v>
      </c>
      <c r="C2960" s="95" t="str">
        <f>IFERROR(VLOOKUP("UD",'Informacion '!P:Q,2,FALSE),"")</f>
        <v>Unidad</v>
      </c>
      <c r="D2960" s="94">
        <v>6</v>
      </c>
      <c r="E2960" s="84">
        <v>27578.29</v>
      </c>
      <c r="F2960" s="83">
        <f t="shared" ca="1" si="132"/>
        <v>165469.74</v>
      </c>
    </row>
    <row r="2961" spans="1:6" ht="14.1" customHeight="1" x14ac:dyDescent="0.25">
      <c r="A2961" s="94" t="s">
        <v>2200</v>
      </c>
      <c r="B2961" s="82" t="str">
        <f t="shared" ca="1" si="131"/>
        <v>Servicios de laboratorios de análisis de sangre</v>
      </c>
      <c r="C2961" s="95" t="str">
        <f>IFERROR(VLOOKUP("UD",'Informacion '!P:Q,2,FALSE),"")</f>
        <v>Unidad</v>
      </c>
      <c r="D2961" s="94">
        <v>4</v>
      </c>
      <c r="E2961" s="84">
        <v>23936</v>
      </c>
      <c r="F2961" s="83">
        <f t="shared" ca="1" si="132"/>
        <v>95744</v>
      </c>
    </row>
    <row r="2962" spans="1:6" ht="14.1" customHeight="1" x14ac:dyDescent="0.25">
      <c r="A2962" s="94" t="s">
        <v>2200</v>
      </c>
      <c r="B2962" s="82" t="str">
        <f t="shared" ca="1" si="131"/>
        <v>Servicios de laboratorios de análisis de sangre</v>
      </c>
      <c r="C2962" s="95" t="str">
        <f>IFERROR(VLOOKUP("UD",'Informacion '!P:Q,2,FALSE),"")</f>
        <v>Unidad</v>
      </c>
      <c r="D2962" s="94">
        <v>6</v>
      </c>
      <c r="E2962" s="84">
        <v>17926.2</v>
      </c>
      <c r="F2962" s="83">
        <f t="shared" ca="1" si="132"/>
        <v>107557.20000000001</v>
      </c>
    </row>
    <row r="2963" spans="1:6" ht="14.1" customHeight="1" x14ac:dyDescent="0.25">
      <c r="A2963" s="94" t="s">
        <v>2200</v>
      </c>
      <c r="B2963" s="82" t="str">
        <f t="shared" ca="1" si="131"/>
        <v>Servicios de laboratorios de análisis de sangre</v>
      </c>
      <c r="C2963" s="95" t="str">
        <f>IFERROR(VLOOKUP("UD",'Informacion '!P:Q,2,FALSE),"")</f>
        <v>Unidad</v>
      </c>
      <c r="D2963" s="94">
        <v>3</v>
      </c>
      <c r="E2963" s="84">
        <v>7946.36</v>
      </c>
      <c r="F2963" s="83">
        <f t="shared" ca="1" si="132"/>
        <v>23839.079999999998</v>
      </c>
    </row>
    <row r="2964" spans="1:6" ht="14.1" customHeight="1" x14ac:dyDescent="0.25">
      <c r="A2964" s="94" t="s">
        <v>2200</v>
      </c>
      <c r="B2964" s="82" t="str">
        <f t="shared" ca="1" si="131"/>
        <v>Servicios de laboratorios de análisis de sangre</v>
      </c>
      <c r="C2964" s="95" t="str">
        <f>IFERROR(VLOOKUP("UD",'Informacion '!P:Q,2,FALSE),"")</f>
        <v>Unidad</v>
      </c>
      <c r="D2964" s="94">
        <v>376</v>
      </c>
      <c r="E2964" s="84">
        <v>21.84</v>
      </c>
      <c r="F2964" s="83">
        <f t="shared" ca="1" si="132"/>
        <v>8211.84</v>
      </c>
    </row>
    <row r="2965" spans="1:6" ht="14.1" customHeight="1" x14ac:dyDescent="0.25">
      <c r="A2965" s="94" t="s">
        <v>2200</v>
      </c>
      <c r="B2965" s="82" t="str">
        <f t="shared" ca="1" si="131"/>
        <v>Servicios de laboratorios de análisis de sangre</v>
      </c>
      <c r="C2965" s="95" t="str">
        <f>IFERROR(VLOOKUP("UD",'Informacion '!P:Q,2,FALSE),"")</f>
        <v>Unidad</v>
      </c>
      <c r="D2965" s="94">
        <v>1078</v>
      </c>
      <c r="E2965" s="84">
        <v>24.59</v>
      </c>
      <c r="F2965" s="83">
        <f t="shared" ca="1" si="132"/>
        <v>26508.02</v>
      </c>
    </row>
    <row r="2966" spans="1:6" ht="14.1" customHeight="1" x14ac:dyDescent="0.25">
      <c r="A2966" s="94" t="s">
        <v>2200</v>
      </c>
      <c r="B2966" s="82" t="str">
        <f t="shared" ca="1" si="131"/>
        <v>Servicios de laboratorios de análisis de sangre</v>
      </c>
      <c r="C2966" s="95" t="str">
        <f>IFERROR(VLOOKUP("UD",'Informacion '!P:Q,2,FALSE),"")</f>
        <v>Unidad</v>
      </c>
      <c r="D2966" s="94">
        <v>857</v>
      </c>
      <c r="E2966" s="84">
        <v>24.61</v>
      </c>
      <c r="F2966" s="83">
        <f t="shared" ca="1" si="132"/>
        <v>21090.77</v>
      </c>
    </row>
    <row r="2967" spans="1:6" ht="14.1" customHeight="1" x14ac:dyDescent="0.25">
      <c r="A2967" s="94" t="s">
        <v>2200</v>
      </c>
      <c r="B2967" s="82" t="str">
        <f t="shared" ca="1" si="131"/>
        <v>Servicios de laboratorios de análisis de sangre</v>
      </c>
      <c r="C2967" s="95" t="str">
        <f>IFERROR(VLOOKUP("UD",'Informacion '!P:Q,2,FALSE),"")</f>
        <v>Unidad</v>
      </c>
      <c r="D2967" s="94">
        <v>2966</v>
      </c>
      <c r="E2967" s="84">
        <v>24.44</v>
      </c>
      <c r="F2967" s="83">
        <f t="shared" ca="1" si="132"/>
        <v>72489.040000000008</v>
      </c>
    </row>
    <row r="2968" spans="1:6" ht="14.1" customHeight="1" x14ac:dyDescent="0.25">
      <c r="A2968" s="94" t="s">
        <v>2200</v>
      </c>
      <c r="B2968" s="82" t="str">
        <f t="shared" ca="1" si="131"/>
        <v>Servicios de laboratorios de análisis de sangre</v>
      </c>
      <c r="C2968" s="95" t="str">
        <f>IFERROR(VLOOKUP("UD",'Informacion '!P:Q,2,FALSE),"")</f>
        <v>Unidad</v>
      </c>
      <c r="D2968" s="94">
        <v>469</v>
      </c>
      <c r="E2968" s="84">
        <v>26.12</v>
      </c>
      <c r="F2968" s="83">
        <f t="shared" ca="1" si="132"/>
        <v>12250.28</v>
      </c>
    </row>
    <row r="2969" spans="1:6" ht="14.1" customHeight="1" x14ac:dyDescent="0.25">
      <c r="A2969" s="94" t="s">
        <v>2200</v>
      </c>
      <c r="B2969" s="82" t="str">
        <f t="shared" ca="1" si="131"/>
        <v>Servicios de laboratorios de análisis de sangre</v>
      </c>
      <c r="C2969" s="95" t="str">
        <f>IFERROR(VLOOKUP("UD",'Informacion '!P:Q,2,FALSE),"")</f>
        <v>Unidad</v>
      </c>
      <c r="D2969" s="94">
        <v>3526</v>
      </c>
      <c r="E2969" s="84">
        <v>24.49</v>
      </c>
      <c r="F2969" s="83">
        <f t="shared" ca="1" si="132"/>
        <v>86351.739999999991</v>
      </c>
    </row>
    <row r="2970" spans="1:6" ht="14.1" customHeight="1" x14ac:dyDescent="0.25">
      <c r="A2970" s="94" t="s">
        <v>2200</v>
      </c>
      <c r="B2970" s="82" t="str">
        <f t="shared" ca="1" si="131"/>
        <v>Servicios de laboratorios de análisis de sangre</v>
      </c>
      <c r="C2970" s="95" t="str">
        <f>IFERROR(VLOOKUP("UD",'Informacion '!P:Q,2,FALSE),"")</f>
        <v>Unidad</v>
      </c>
      <c r="D2970" s="94">
        <v>979</v>
      </c>
      <c r="E2970" s="84">
        <v>24.59</v>
      </c>
      <c r="F2970" s="83">
        <f t="shared" ca="1" si="132"/>
        <v>24073.61</v>
      </c>
    </row>
    <row r="2971" spans="1:6" ht="14.1" customHeight="1" x14ac:dyDescent="0.25">
      <c r="A2971" s="94" t="s">
        <v>2200</v>
      </c>
      <c r="B2971" s="82" t="str">
        <f t="shared" ca="1" si="131"/>
        <v>Servicios de laboratorios de análisis de sangre</v>
      </c>
      <c r="C2971" s="95" t="str">
        <f>IFERROR(VLOOKUP("UD",'Informacion '!P:Q,2,FALSE),"")</f>
        <v>Unidad</v>
      </c>
      <c r="D2971" s="94">
        <v>750</v>
      </c>
      <c r="E2971" s="84">
        <v>24.59</v>
      </c>
      <c r="F2971" s="83">
        <f t="shared" ca="1" si="132"/>
        <v>18442.5</v>
      </c>
    </row>
    <row r="2972" spans="1:6" ht="14.1" customHeight="1" x14ac:dyDescent="0.25">
      <c r="A2972" s="94" t="s">
        <v>2200</v>
      </c>
      <c r="B2972" s="82" t="str">
        <f t="shared" ca="1" si="131"/>
        <v>Servicios de laboratorios de análisis de sangre</v>
      </c>
      <c r="C2972" s="95" t="str">
        <f>IFERROR(VLOOKUP("UD",'Informacion '!P:Q,2,FALSE),"")</f>
        <v>Unidad</v>
      </c>
      <c r="D2972" s="94">
        <v>3</v>
      </c>
      <c r="E2972" s="84">
        <v>14.48</v>
      </c>
      <c r="F2972" s="83">
        <f t="shared" ca="1" si="132"/>
        <v>43.44</v>
      </c>
    </row>
    <row r="2973" spans="1:6" ht="14.1" customHeight="1" x14ac:dyDescent="0.25">
      <c r="A2973" s="94" t="s">
        <v>2200</v>
      </c>
      <c r="B2973" s="82" t="str">
        <f t="shared" ca="1" si="131"/>
        <v>Servicios de laboratorios de análisis de sangre</v>
      </c>
      <c r="C2973" s="95" t="str">
        <f>IFERROR(VLOOKUP("UD",'Informacion '!P:Q,2,FALSE),"")</f>
        <v>Unidad</v>
      </c>
      <c r="D2973" s="94">
        <v>3</v>
      </c>
      <c r="E2973" s="84">
        <v>24.58</v>
      </c>
      <c r="F2973" s="83">
        <f t="shared" ca="1" si="132"/>
        <v>73.739999999999995</v>
      </c>
    </row>
    <row r="2974" spans="1:6" ht="14.1" customHeight="1" x14ac:dyDescent="0.25">
      <c r="A2974" s="94" t="s">
        <v>2200</v>
      </c>
      <c r="B2974" s="82" t="str">
        <f t="shared" ca="1" si="131"/>
        <v>Servicios de laboratorios de análisis de sangre</v>
      </c>
      <c r="C2974" s="95" t="str">
        <f>IFERROR(VLOOKUP("UD",'Informacion '!P:Q,2,FALSE),"")</f>
        <v>Unidad</v>
      </c>
      <c r="D2974" s="94">
        <v>1567</v>
      </c>
      <c r="E2974" s="84">
        <v>24.56</v>
      </c>
      <c r="F2974" s="83">
        <f t="shared" ca="1" si="132"/>
        <v>38485.519999999997</v>
      </c>
    </row>
    <row r="2975" spans="1:6" ht="14.1" customHeight="1" x14ac:dyDescent="0.25">
      <c r="A2975" s="94" t="s">
        <v>2200</v>
      </c>
      <c r="B2975" s="82" t="str">
        <f t="shared" ca="1" si="131"/>
        <v>Servicios de laboratorios de análisis de sangre</v>
      </c>
      <c r="C2975" s="95" t="str">
        <f>IFERROR(VLOOKUP("UD",'Informacion '!P:Q,2,FALSE),"")</f>
        <v>Unidad</v>
      </c>
      <c r="D2975" s="94">
        <v>94</v>
      </c>
      <c r="E2975" s="84">
        <v>24.72</v>
      </c>
      <c r="F2975" s="83">
        <f t="shared" ca="1" si="132"/>
        <v>2323.6799999999998</v>
      </c>
    </row>
    <row r="2976" spans="1:6" ht="14.1" customHeight="1" x14ac:dyDescent="0.25">
      <c r="A2976" s="94" t="s">
        <v>2200</v>
      </c>
      <c r="B2976" s="82" t="str">
        <f t="shared" ca="1" si="131"/>
        <v>Servicios de laboratorios de análisis de sangre</v>
      </c>
      <c r="C2976" s="95" t="str">
        <f>IFERROR(VLOOKUP("UD",'Informacion '!P:Q,2,FALSE),"")</f>
        <v>Unidad</v>
      </c>
      <c r="D2976" s="94">
        <v>32</v>
      </c>
      <c r="E2976" s="84">
        <v>24.72</v>
      </c>
      <c r="F2976" s="83">
        <f t="shared" ca="1" si="132"/>
        <v>791.04</v>
      </c>
    </row>
    <row r="2977" spans="1:6" ht="14.1" customHeight="1" x14ac:dyDescent="0.25">
      <c r="A2977" s="94" t="s">
        <v>2200</v>
      </c>
      <c r="B2977" s="82" t="str">
        <f t="shared" ca="1" si="131"/>
        <v>Servicios de laboratorios de análisis de sangre</v>
      </c>
      <c r="C2977" s="95" t="str">
        <f>IFERROR(VLOOKUP("UD",'Informacion '!P:Q,2,FALSE),"")</f>
        <v>Unidad</v>
      </c>
      <c r="D2977" s="94">
        <v>2544</v>
      </c>
      <c r="E2977" s="84">
        <v>24.62</v>
      </c>
      <c r="F2977" s="83">
        <f t="shared" ca="1" si="132"/>
        <v>62633.280000000006</v>
      </c>
    </row>
    <row r="2978" spans="1:6" ht="14.1" customHeight="1" x14ac:dyDescent="0.25">
      <c r="A2978" s="94" t="s">
        <v>2200</v>
      </c>
      <c r="B2978" s="82" t="str">
        <f t="shared" ca="1" si="131"/>
        <v>Servicios de laboratorios de análisis de sangre</v>
      </c>
      <c r="C2978" s="95" t="str">
        <f>IFERROR(VLOOKUP("UD",'Informacion '!P:Q,2,FALSE),"")</f>
        <v>Unidad</v>
      </c>
      <c r="D2978" s="94">
        <v>5385</v>
      </c>
      <c r="E2978" s="84">
        <v>24.6</v>
      </c>
      <c r="F2978" s="83">
        <f t="shared" ca="1" si="132"/>
        <v>132471</v>
      </c>
    </row>
    <row r="2979" spans="1:6" ht="14.1" customHeight="1" x14ac:dyDescent="0.25">
      <c r="A2979" s="94" t="s">
        <v>2200</v>
      </c>
      <c r="B2979" s="82" t="str">
        <f t="shared" ca="1" si="131"/>
        <v>Servicios de laboratorios de análisis de sangre</v>
      </c>
      <c r="C2979" s="95" t="str">
        <f>IFERROR(VLOOKUP("UD",'Informacion '!P:Q,2,FALSE),"")</f>
        <v>Unidad</v>
      </c>
      <c r="D2979" s="94">
        <v>1324</v>
      </c>
      <c r="E2979" s="84">
        <v>24.93</v>
      </c>
      <c r="F2979" s="83">
        <f t="shared" ca="1" si="132"/>
        <v>33007.32</v>
      </c>
    </row>
    <row r="2980" spans="1:6" ht="14.1" customHeight="1" x14ac:dyDescent="0.25">
      <c r="A2980" s="94" t="s">
        <v>2200</v>
      </c>
      <c r="B2980" s="82" t="str">
        <f t="shared" ca="1" si="131"/>
        <v>Servicios de laboratorios de análisis de sangre</v>
      </c>
      <c r="C2980" s="95" t="str">
        <f>IFERROR(VLOOKUP("UD",'Informacion '!P:Q,2,FALSE),"")</f>
        <v>Unidad</v>
      </c>
      <c r="D2980" s="94">
        <v>376</v>
      </c>
      <c r="E2980" s="84">
        <v>31.2</v>
      </c>
      <c r="F2980" s="83">
        <f t="shared" ca="1" si="132"/>
        <v>11731.199999999999</v>
      </c>
    </row>
    <row r="2981" spans="1:6" ht="14.1" customHeight="1" x14ac:dyDescent="0.25">
      <c r="A2981" s="94" t="s">
        <v>2200</v>
      </c>
      <c r="B2981" s="82" t="str">
        <f t="shared" ca="1" si="131"/>
        <v>Servicios de laboratorios de análisis de sangre</v>
      </c>
      <c r="C2981" s="95" t="str">
        <f>IFERROR(VLOOKUP("UD",'Informacion '!P:Q,2,FALSE),"")</f>
        <v>Unidad</v>
      </c>
      <c r="D2981" s="94">
        <v>6056</v>
      </c>
      <c r="E2981" s="84">
        <v>24.61</v>
      </c>
      <c r="F2981" s="83">
        <f t="shared" ca="1" si="132"/>
        <v>149038.16</v>
      </c>
    </row>
    <row r="2982" spans="1:6" ht="14.1" customHeight="1" x14ac:dyDescent="0.25">
      <c r="A2982" s="94" t="s">
        <v>2200</v>
      </c>
      <c r="B2982" s="82" t="str">
        <f t="shared" ca="1" si="131"/>
        <v>Servicios de laboratorios de análisis de sangre</v>
      </c>
      <c r="C2982" s="95" t="str">
        <f>IFERROR(VLOOKUP("UD",'Informacion '!P:Q,2,FALSE),"")</f>
        <v>Unidad</v>
      </c>
      <c r="D2982" s="94">
        <v>823</v>
      </c>
      <c r="E2982" s="84">
        <v>168.63</v>
      </c>
      <c r="F2982" s="83">
        <f t="shared" ca="1" si="132"/>
        <v>138782.49</v>
      </c>
    </row>
    <row r="2983" spans="1:6" ht="14.1" customHeight="1" x14ac:dyDescent="0.25">
      <c r="A2983" s="94" t="s">
        <v>2200</v>
      </c>
      <c r="B2983" s="82" t="str">
        <f t="shared" ca="1" si="131"/>
        <v>Servicios de laboratorios de análisis de sangre</v>
      </c>
      <c r="C2983" s="95" t="str">
        <f>IFERROR(VLOOKUP("UD",'Informacion '!P:Q,2,FALSE),"")</f>
        <v>Unidad</v>
      </c>
      <c r="D2983" s="94">
        <v>1967</v>
      </c>
      <c r="E2983" s="84">
        <v>81.83</v>
      </c>
      <c r="F2983" s="83">
        <f t="shared" ca="1" si="132"/>
        <v>160959.60999999999</v>
      </c>
    </row>
    <row r="2984" spans="1:6" ht="14.1" customHeight="1" x14ac:dyDescent="0.25">
      <c r="A2984" s="94" t="s">
        <v>2200</v>
      </c>
      <c r="B2984" s="82" t="str">
        <f t="shared" ca="1" si="131"/>
        <v>Servicios de laboratorios de análisis de sangre</v>
      </c>
      <c r="C2984" s="95" t="str">
        <f>IFERROR(VLOOKUP("UD",'Informacion '!P:Q,2,FALSE),"")</f>
        <v>Unidad</v>
      </c>
      <c r="D2984" s="94">
        <v>344</v>
      </c>
      <c r="E2984" s="84">
        <v>24.6</v>
      </c>
      <c r="F2984" s="83">
        <f t="shared" ca="1" si="132"/>
        <v>8462.4</v>
      </c>
    </row>
    <row r="2985" spans="1:6" ht="14.1" customHeight="1" x14ac:dyDescent="0.25">
      <c r="A2985" s="94" t="s">
        <v>2200</v>
      </c>
      <c r="B2985" s="82" t="str">
        <f t="shared" ca="1" si="131"/>
        <v>Servicios de laboratorios de análisis de sangre</v>
      </c>
      <c r="C2985" s="95" t="str">
        <f>IFERROR(VLOOKUP("UD",'Informacion '!P:Q,2,FALSE),"")</f>
        <v>Unidad</v>
      </c>
      <c r="D2985" s="94">
        <v>1468</v>
      </c>
      <c r="E2985" s="84">
        <v>24.62</v>
      </c>
      <c r="F2985" s="83">
        <f t="shared" ca="1" si="132"/>
        <v>36142.160000000003</v>
      </c>
    </row>
    <row r="2986" spans="1:6" ht="14.1" customHeight="1" x14ac:dyDescent="0.25">
      <c r="A2986" s="94" t="s">
        <v>2200</v>
      </c>
      <c r="B2986" s="82" t="str">
        <f t="shared" ca="1" si="131"/>
        <v>Servicios de laboratorios de análisis de sangre</v>
      </c>
      <c r="C2986" s="95" t="str">
        <f>IFERROR(VLOOKUP("UD",'Informacion '!P:Q,2,FALSE),"")</f>
        <v>Unidad</v>
      </c>
      <c r="D2986" s="94">
        <v>352</v>
      </c>
      <c r="E2986" s="84">
        <v>115.95</v>
      </c>
      <c r="F2986" s="83">
        <f t="shared" ca="1" si="132"/>
        <v>40814.400000000001</v>
      </c>
    </row>
    <row r="2987" spans="1:6" ht="14.1" customHeight="1" x14ac:dyDescent="0.25">
      <c r="A2987" s="94" t="s">
        <v>2200</v>
      </c>
      <c r="B2987" s="82" t="str">
        <f t="shared" ca="1" si="131"/>
        <v>Servicios de laboratorios de análisis de sangre</v>
      </c>
      <c r="C2987" s="95" t="str">
        <f>IFERROR(VLOOKUP("UD",'Informacion '!P:Q,2,FALSE),"")</f>
        <v>Unidad</v>
      </c>
      <c r="D2987" s="94">
        <v>586</v>
      </c>
      <c r="E2987" s="84">
        <v>29.55</v>
      </c>
      <c r="F2987" s="83">
        <f t="shared" ca="1" si="132"/>
        <v>17316.3</v>
      </c>
    </row>
    <row r="2988" spans="1:6" ht="14.1" customHeight="1" x14ac:dyDescent="0.25">
      <c r="A2988" s="94" t="s">
        <v>2200</v>
      </c>
      <c r="B2988" s="82" t="str">
        <f t="shared" ref="B2988:B3013" ca="1" si="133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2988" s="95" t="str">
        <f>IFERROR(VLOOKUP("CAJ",'Informacion '!P:Q,2,FALSE),"")</f>
        <v>Caja</v>
      </c>
      <c r="D2988" s="94">
        <v>5</v>
      </c>
      <c r="E2988" s="84">
        <v>2473.62</v>
      </c>
      <c r="F2988" s="83">
        <f t="shared" ref="F2988:F3013" ca="1" si="134">INDIRECT(ADDRESS(ROW(),COLUMN()-2,4))*INDIRECT(ADDRESS(ROW(),COLUMN()-1,4))</f>
        <v>12368.099999999999</v>
      </c>
    </row>
    <row r="2989" spans="1:6" ht="14.1" customHeight="1" x14ac:dyDescent="0.25">
      <c r="A2989" s="94" t="s">
        <v>2200</v>
      </c>
      <c r="B2989" s="82" t="str">
        <f t="shared" ca="1" si="133"/>
        <v>Servicios de laboratorios de análisis de sangre</v>
      </c>
      <c r="C2989" s="95" t="str">
        <f>IFERROR(VLOOKUP("UD",'Informacion '!P:Q,2,FALSE),"")</f>
        <v>Unidad</v>
      </c>
      <c r="D2989" s="94">
        <v>1062</v>
      </c>
      <c r="E2989" s="84">
        <v>24.6</v>
      </c>
      <c r="F2989" s="83">
        <f t="shared" ca="1" si="134"/>
        <v>26125.200000000001</v>
      </c>
    </row>
    <row r="2990" spans="1:6" ht="14.1" customHeight="1" x14ac:dyDescent="0.25">
      <c r="A2990" s="94" t="s">
        <v>2200</v>
      </c>
      <c r="B2990" s="82" t="str">
        <f t="shared" ca="1" si="133"/>
        <v>Servicios de laboratorios de análisis de sangre</v>
      </c>
      <c r="C2990" s="95" t="str">
        <f>IFERROR(VLOOKUP("UD",'Informacion '!P:Q,2,FALSE),"")</f>
        <v>Unidad</v>
      </c>
      <c r="D2990" s="94">
        <v>5000</v>
      </c>
      <c r="E2990" s="84">
        <v>5.09</v>
      </c>
      <c r="F2990" s="83">
        <f t="shared" ca="1" si="134"/>
        <v>25450</v>
      </c>
    </row>
    <row r="2991" spans="1:6" ht="14.1" customHeight="1" x14ac:dyDescent="0.25">
      <c r="A2991" s="94" t="s">
        <v>2200</v>
      </c>
      <c r="B2991" s="82" t="str">
        <f t="shared" ca="1" si="133"/>
        <v>Servicios de laboratorios de análisis de sangre</v>
      </c>
      <c r="C2991" s="95" t="str">
        <f>IFERROR(VLOOKUP("UD",'Informacion '!P:Q,2,FALSE),"")</f>
        <v>Unidad</v>
      </c>
      <c r="D2991" s="94">
        <v>7000</v>
      </c>
      <c r="E2991" s="84">
        <v>1.94</v>
      </c>
      <c r="F2991" s="83">
        <f t="shared" ca="1" si="134"/>
        <v>13580</v>
      </c>
    </row>
    <row r="2992" spans="1:6" ht="14.1" customHeight="1" x14ac:dyDescent="0.25">
      <c r="A2992" s="94" t="s">
        <v>2200</v>
      </c>
      <c r="B2992" s="82" t="str">
        <f t="shared" ca="1" si="133"/>
        <v>Servicios de laboratorios de análisis de sangre</v>
      </c>
      <c r="C2992" s="95" t="str">
        <f>IFERROR(VLOOKUP("UD",'Informacion '!P:Q,2,FALSE),"")</f>
        <v>Unidad</v>
      </c>
      <c r="D2992" s="94">
        <v>2685</v>
      </c>
      <c r="E2992" s="84">
        <v>24.63</v>
      </c>
      <c r="F2992" s="83">
        <f t="shared" ca="1" si="134"/>
        <v>66131.55</v>
      </c>
    </row>
    <row r="2993" spans="1:6" ht="14.1" customHeight="1" x14ac:dyDescent="0.25">
      <c r="A2993" s="94" t="s">
        <v>2200</v>
      </c>
      <c r="B2993" s="82" t="str">
        <f t="shared" ca="1" si="133"/>
        <v>Servicios de laboratorios de análisis de sangre</v>
      </c>
      <c r="C2993" s="95" t="str">
        <f>IFERROR(VLOOKUP("UD",'Informacion '!P:Q,2,FALSE),"")</f>
        <v>Unidad</v>
      </c>
      <c r="D2993" s="94">
        <v>4277</v>
      </c>
      <c r="E2993" s="84">
        <v>24.63</v>
      </c>
      <c r="F2993" s="83">
        <f t="shared" ca="1" si="134"/>
        <v>105342.51</v>
      </c>
    </row>
    <row r="2994" spans="1:6" ht="14.1" customHeight="1" x14ac:dyDescent="0.25">
      <c r="A2994" s="94" t="s">
        <v>2200</v>
      </c>
      <c r="B2994" s="82" t="str">
        <f t="shared" ca="1" si="133"/>
        <v>Servicios de laboratorios de análisis de sangre</v>
      </c>
      <c r="C2994" s="95" t="str">
        <f>IFERROR(VLOOKUP("UD",'Informacion '!P:Q,2,FALSE),"")</f>
        <v>Unidad</v>
      </c>
      <c r="D2994" s="94">
        <v>6</v>
      </c>
      <c r="E2994" s="84">
        <v>38900</v>
      </c>
      <c r="F2994" s="83">
        <f t="shared" ca="1" si="134"/>
        <v>233400</v>
      </c>
    </row>
    <row r="2995" spans="1:6" ht="14.1" customHeight="1" x14ac:dyDescent="0.25">
      <c r="A2995" s="94" t="s">
        <v>2200</v>
      </c>
      <c r="B2995" s="82" t="str">
        <f t="shared" ca="1" si="133"/>
        <v>Servicios de laboratorios de análisis de sangre</v>
      </c>
      <c r="C2995" s="95" t="str">
        <f>IFERROR(VLOOKUP("UD",'Informacion '!P:Q,2,FALSE),"")</f>
        <v>Unidad</v>
      </c>
      <c r="D2995" s="94">
        <v>111</v>
      </c>
      <c r="E2995" s="84">
        <v>48.5</v>
      </c>
      <c r="F2995" s="83">
        <f t="shared" ca="1" si="134"/>
        <v>5383.5</v>
      </c>
    </row>
    <row r="2996" spans="1:6" ht="14.1" customHeight="1" x14ac:dyDescent="0.25">
      <c r="A2996" s="94" t="s">
        <v>2200</v>
      </c>
      <c r="B2996" s="82" t="str">
        <f t="shared" ca="1" si="133"/>
        <v>Servicios de laboratorios de análisis de sangre</v>
      </c>
      <c r="C2996" s="95" t="str">
        <f>IFERROR(VLOOKUP("UD",'Informacion '!P:Q,2,FALSE),"")</f>
        <v>Unidad</v>
      </c>
      <c r="D2996" s="94">
        <v>3</v>
      </c>
      <c r="E2996" s="84">
        <v>14142.36</v>
      </c>
      <c r="F2996" s="83">
        <f t="shared" ca="1" si="134"/>
        <v>42427.08</v>
      </c>
    </row>
    <row r="2997" spans="1:6" ht="14.1" customHeight="1" x14ac:dyDescent="0.25">
      <c r="A2997" s="94" t="s">
        <v>2200</v>
      </c>
      <c r="B2997" s="82" t="str">
        <f t="shared" ca="1" si="133"/>
        <v>Servicios de laboratorios de análisis de sangre</v>
      </c>
      <c r="C2997" s="95" t="str">
        <f>IFERROR(VLOOKUP("UD",'Informacion '!P:Q,2,FALSE),"")</f>
        <v>Unidad</v>
      </c>
      <c r="D2997" s="94">
        <v>4</v>
      </c>
      <c r="E2997" s="84">
        <v>3824.94</v>
      </c>
      <c r="F2997" s="83">
        <f t="shared" ca="1" si="134"/>
        <v>15299.76</v>
      </c>
    </row>
    <row r="2998" spans="1:6" ht="14.1" customHeight="1" x14ac:dyDescent="0.25">
      <c r="A2998" s="94" t="s">
        <v>2200</v>
      </c>
      <c r="B2998" s="82" t="str">
        <f t="shared" ca="1" si="133"/>
        <v>Servicios de laboratorios de análisis de sangre</v>
      </c>
      <c r="C2998" s="95" t="str">
        <f>IFERROR(VLOOKUP("UD",'Informacion '!P:Q,2,FALSE),"")</f>
        <v>Unidad</v>
      </c>
      <c r="D2998" s="94">
        <v>3</v>
      </c>
      <c r="E2998" s="84">
        <v>3205.05</v>
      </c>
      <c r="F2998" s="83">
        <f t="shared" ca="1" si="134"/>
        <v>9615.1500000000015</v>
      </c>
    </row>
    <row r="2999" spans="1:6" ht="14.1" customHeight="1" x14ac:dyDescent="0.25">
      <c r="A2999" s="94" t="s">
        <v>2200</v>
      </c>
      <c r="B2999" s="82" t="str">
        <f t="shared" ca="1" si="133"/>
        <v>Servicios de laboratorios de análisis de sangre</v>
      </c>
      <c r="C2999" s="95" t="str">
        <f>IFERROR(VLOOKUP("UD",'Informacion '!P:Q,2,FALSE),"")</f>
        <v>Unidad</v>
      </c>
      <c r="D2999" s="94">
        <v>4833</v>
      </c>
      <c r="E2999" s="84">
        <v>21.84</v>
      </c>
      <c r="F2999" s="83">
        <f t="shared" ca="1" si="134"/>
        <v>105552.72</v>
      </c>
    </row>
    <row r="3000" spans="1:6" ht="14.1" customHeight="1" x14ac:dyDescent="0.25">
      <c r="A3000" s="94" t="s">
        <v>2200</v>
      </c>
      <c r="B3000" s="82" t="str">
        <f t="shared" ca="1" si="133"/>
        <v>Servicios de laboratorios de análisis de sangre</v>
      </c>
      <c r="C3000" s="95" t="str">
        <f>IFERROR(VLOOKUP("UD",'Informacion '!P:Q,2,FALSE),"")</f>
        <v>Unidad</v>
      </c>
      <c r="D3000" s="94">
        <v>261</v>
      </c>
      <c r="E3000" s="84">
        <v>162.5</v>
      </c>
      <c r="F3000" s="83">
        <f t="shared" ca="1" si="134"/>
        <v>42412.5</v>
      </c>
    </row>
    <row r="3001" spans="1:6" ht="14.1" customHeight="1" x14ac:dyDescent="0.25">
      <c r="A3001" s="94" t="s">
        <v>2200</v>
      </c>
      <c r="B3001" s="82" t="str">
        <f t="shared" ca="1" si="133"/>
        <v>Servicios de laboratorios de análisis de sangre</v>
      </c>
      <c r="C3001" s="95" t="str">
        <f>IFERROR(VLOOKUP("UD",'Informacion '!P:Q,2,FALSE),"")</f>
        <v>Unidad</v>
      </c>
      <c r="D3001" s="94">
        <v>4</v>
      </c>
      <c r="E3001" s="84">
        <v>6912</v>
      </c>
      <c r="F3001" s="83">
        <f t="shared" ca="1" si="134"/>
        <v>27648</v>
      </c>
    </row>
    <row r="3002" spans="1:6" ht="14.1" customHeight="1" x14ac:dyDescent="0.25">
      <c r="A3002" s="94" t="s">
        <v>2200</v>
      </c>
      <c r="B3002" s="82" t="str">
        <f t="shared" ca="1" si="133"/>
        <v>Servicios de laboratorios de análisis de sangre</v>
      </c>
      <c r="C3002" s="95" t="str">
        <f>IFERROR(VLOOKUP("UD",'Informacion '!P:Q,2,FALSE),"")</f>
        <v>Unidad</v>
      </c>
      <c r="D3002" s="94">
        <v>854</v>
      </c>
      <c r="E3002" s="84">
        <v>68.739999999999995</v>
      </c>
      <c r="F3002" s="83">
        <f t="shared" ca="1" si="134"/>
        <v>58703.96</v>
      </c>
    </row>
    <row r="3003" spans="1:6" ht="14.1" customHeight="1" x14ac:dyDescent="0.25">
      <c r="A3003" s="94" t="s">
        <v>2200</v>
      </c>
      <c r="B3003" s="82" t="str">
        <f t="shared" ca="1" si="133"/>
        <v>Servicios de laboratorios de análisis de sangre</v>
      </c>
      <c r="C3003" s="95" t="str">
        <f>IFERROR(VLOOKUP("UD",'Informacion '!P:Q,2,FALSE),"")</f>
        <v>Unidad</v>
      </c>
      <c r="D3003" s="94">
        <v>2566</v>
      </c>
      <c r="E3003" s="84">
        <v>21.84</v>
      </c>
      <c r="F3003" s="83">
        <f t="shared" ca="1" si="134"/>
        <v>56041.440000000002</v>
      </c>
    </row>
    <row r="3004" spans="1:6" ht="14.1" customHeight="1" x14ac:dyDescent="0.25">
      <c r="A3004" s="94" t="s">
        <v>2200</v>
      </c>
      <c r="B3004" s="82" t="str">
        <f t="shared" ca="1" si="133"/>
        <v>Servicios de laboratorios de análisis de sangre</v>
      </c>
      <c r="C3004" s="95" t="str">
        <f>IFERROR(VLOOKUP("UD",'Informacion '!P:Q,2,FALSE),"")</f>
        <v>Unidad</v>
      </c>
      <c r="D3004" s="94">
        <v>2</v>
      </c>
      <c r="E3004" s="84">
        <v>2558.17</v>
      </c>
      <c r="F3004" s="83">
        <f t="shared" ca="1" si="134"/>
        <v>5116.34</v>
      </c>
    </row>
    <row r="3005" spans="1:6" ht="14.1" customHeight="1" x14ac:dyDescent="0.25">
      <c r="A3005" s="94" t="s">
        <v>2200</v>
      </c>
      <c r="B3005" s="82" t="str">
        <f t="shared" ca="1" si="133"/>
        <v>Servicios de laboratorios de análisis de sangre</v>
      </c>
      <c r="C3005" s="95" t="str">
        <f>IFERROR(VLOOKUP("UD",'Informacion '!P:Q,2,FALSE),"")</f>
        <v>Unidad</v>
      </c>
      <c r="D3005" s="94">
        <v>31401</v>
      </c>
      <c r="E3005" s="84">
        <v>213.52</v>
      </c>
      <c r="F3005" s="83">
        <f t="shared" ca="1" si="134"/>
        <v>6704741.5200000005</v>
      </c>
    </row>
    <row r="3006" spans="1:6" ht="14.1" customHeight="1" x14ac:dyDescent="0.25">
      <c r="A3006" s="94" t="s">
        <v>2200</v>
      </c>
      <c r="B3006" s="82" t="str">
        <f t="shared" ca="1" si="133"/>
        <v>Servicios de laboratorios de análisis de sangre</v>
      </c>
      <c r="C3006" s="95" t="str">
        <f>IFERROR(VLOOKUP("UD",'Informacion '!P:Q,2,FALSE),"")</f>
        <v>Unidad</v>
      </c>
      <c r="D3006" s="94">
        <v>209</v>
      </c>
      <c r="E3006" s="84">
        <v>65.5</v>
      </c>
      <c r="F3006" s="83">
        <f t="shared" ca="1" si="134"/>
        <v>13689.5</v>
      </c>
    </row>
    <row r="3007" spans="1:6" ht="14.1" customHeight="1" x14ac:dyDescent="0.25">
      <c r="A3007" s="94" t="s">
        <v>2200</v>
      </c>
      <c r="B3007" s="82" t="str">
        <f t="shared" ca="1" si="133"/>
        <v>Servicios de laboratorios de análisis de sangre</v>
      </c>
      <c r="C3007" s="95" t="str">
        <f>IFERROR(VLOOKUP("UD",'Informacion '!P:Q,2,FALSE),"")</f>
        <v>Unidad</v>
      </c>
      <c r="D3007" s="94">
        <v>5</v>
      </c>
      <c r="E3007" s="84">
        <v>494.17</v>
      </c>
      <c r="F3007" s="83">
        <f t="shared" ca="1" si="134"/>
        <v>2470.85</v>
      </c>
    </row>
    <row r="3008" spans="1:6" ht="14.1" customHeight="1" x14ac:dyDescent="0.25">
      <c r="A3008" s="94" t="s">
        <v>2200</v>
      </c>
      <c r="B3008" s="82" t="str">
        <f t="shared" ca="1" si="133"/>
        <v>Servicios de laboratorios de análisis de sangre</v>
      </c>
      <c r="C3008" s="95" t="str">
        <f>IFERROR(VLOOKUP("UD",'Informacion '!P:Q,2,FALSE),"")</f>
        <v>Unidad</v>
      </c>
      <c r="D3008" s="94">
        <v>5</v>
      </c>
      <c r="E3008" s="84">
        <v>494.2</v>
      </c>
      <c r="F3008" s="83">
        <f t="shared" ca="1" si="134"/>
        <v>2471</v>
      </c>
    </row>
    <row r="3009" spans="1:10" ht="14.1" customHeight="1" x14ac:dyDescent="0.25">
      <c r="A3009" s="94" t="s">
        <v>2200</v>
      </c>
      <c r="B3009" s="82" t="str">
        <f t="shared" ca="1" si="133"/>
        <v>Servicios de laboratorios de análisis de sangre</v>
      </c>
      <c r="C3009" s="95" t="str">
        <f>IFERROR(VLOOKUP("UD",'Informacion '!P:Q,2,FALSE),"")</f>
        <v>Unidad</v>
      </c>
      <c r="D3009" s="94">
        <v>51</v>
      </c>
      <c r="E3009" s="84">
        <v>872.92</v>
      </c>
      <c r="F3009" s="83">
        <f t="shared" ca="1" si="134"/>
        <v>44518.92</v>
      </c>
    </row>
    <row r="3010" spans="1:10" ht="14.1" customHeight="1" x14ac:dyDescent="0.25">
      <c r="A3010" s="94" t="s">
        <v>2200</v>
      </c>
      <c r="B3010" s="82" t="str">
        <f t="shared" ca="1" si="133"/>
        <v>Servicios de laboratorios de análisis de sangre</v>
      </c>
      <c r="C3010" s="95" t="str">
        <f>IFERROR(VLOOKUP("UD",'Informacion '!P:Q,2,FALSE),"")</f>
        <v>Unidad</v>
      </c>
      <c r="D3010" s="94">
        <v>7</v>
      </c>
      <c r="E3010" s="84">
        <v>983.4</v>
      </c>
      <c r="F3010" s="83">
        <f t="shared" ca="1" si="134"/>
        <v>6883.8</v>
      </c>
    </row>
    <row r="3011" spans="1:10" ht="14.1" customHeight="1" x14ac:dyDescent="0.25">
      <c r="A3011" s="94" t="s">
        <v>2200</v>
      </c>
      <c r="B3011" s="82" t="str">
        <f t="shared" ca="1" si="133"/>
        <v>Servicios de laboratorios de análisis de sangre</v>
      </c>
      <c r="C3011" s="95" t="str">
        <f>IFERROR(VLOOKUP("UD",'Informacion '!P:Q,2,FALSE),"")</f>
        <v>Unidad</v>
      </c>
      <c r="D3011" s="94">
        <v>8</v>
      </c>
      <c r="E3011" s="84">
        <v>983.4</v>
      </c>
      <c r="F3011" s="83">
        <f t="shared" ca="1" si="134"/>
        <v>7867.2</v>
      </c>
    </row>
    <row r="3012" spans="1:10" ht="14.1" customHeight="1" x14ac:dyDescent="0.25">
      <c r="A3012" s="94" t="s">
        <v>2200</v>
      </c>
      <c r="B3012" s="82" t="str">
        <f t="shared" ca="1" si="133"/>
        <v>Servicios de laboratorios de análisis de sangre</v>
      </c>
      <c r="C3012" s="95" t="str">
        <f>IFERROR(VLOOKUP("UD",'Informacion '!P:Q,2,FALSE),"")</f>
        <v>Unidad</v>
      </c>
      <c r="D3012" s="94">
        <v>2</v>
      </c>
      <c r="E3012" s="84">
        <v>21024.17</v>
      </c>
      <c r="F3012" s="83">
        <f t="shared" ca="1" si="134"/>
        <v>42048.34</v>
      </c>
    </row>
    <row r="3013" spans="1:10" ht="14.1" customHeight="1" x14ac:dyDescent="0.25">
      <c r="A3013" s="94" t="s">
        <v>2200</v>
      </c>
      <c r="B3013" s="82" t="str">
        <f t="shared" ca="1" si="133"/>
        <v>Servicios de laboratorios de análisis de sangre</v>
      </c>
      <c r="C3013" s="95" t="str">
        <f>IFERROR(VLOOKUP("UD",'Informacion '!P:Q,2,FALSE),"")</f>
        <v>Unidad</v>
      </c>
      <c r="D3013" s="94">
        <v>2</v>
      </c>
      <c r="E3013" s="84">
        <v>21024.17</v>
      </c>
      <c r="F3013" s="83">
        <f t="shared" ca="1" si="134"/>
        <v>42048.34</v>
      </c>
    </row>
    <row r="3014" spans="1:10" ht="14.1" customHeight="1" x14ac:dyDescent="0.25">
      <c r="E3014" s="96" t="s">
        <v>7213</v>
      </c>
      <c r="F3014" s="87">
        <f ca="1">SUM(Table104[MONTO TOTAL ESTIMADO])</f>
        <v>9542832.0699999984</v>
      </c>
      <c r="H3014" s="39" t="str">
        <f>C2949</f>
        <v>Bienes</v>
      </c>
      <c r="I3014" s="39" t="str">
        <f>E2949</f>
        <v>No</v>
      </c>
      <c r="J3014" s="39" t="str">
        <f>D2949</f>
        <v>Excepción - Bienes o servicios con exclusividad</v>
      </c>
    </row>
    <row r="3016" spans="1:10" ht="33.950000000000003" customHeight="1" x14ac:dyDescent="0.25">
      <c r="A3016" s="77" t="s">
        <v>17233</v>
      </c>
      <c r="B3016" s="77" t="s">
        <v>4237</v>
      </c>
      <c r="C3016" s="77" t="s">
        <v>4743</v>
      </c>
      <c r="D3016" s="77" t="s">
        <v>9891</v>
      </c>
      <c r="E3016" s="77" t="s">
        <v>3089</v>
      </c>
      <c r="F3016" s="77" t="s">
        <v>18141</v>
      </c>
    </row>
    <row r="3017" spans="1:10" ht="14.1" customHeight="1" x14ac:dyDescent="0.25">
      <c r="A3017" s="79" t="s">
        <v>12353</v>
      </c>
      <c r="B3017" s="79" t="s">
        <v>5721</v>
      </c>
      <c r="C3017" s="79" t="s">
        <v>17215</v>
      </c>
      <c r="D3017" s="79" t="s">
        <v>17798</v>
      </c>
      <c r="E3017" s="79" t="s">
        <v>18247</v>
      </c>
      <c r="F3017" s="79"/>
    </row>
    <row r="3018" spans="1:10" ht="14.1" customHeight="1" x14ac:dyDescent="0.25">
      <c r="A3018" s="2" t="s">
        <v>6643</v>
      </c>
      <c r="B3018" s="80" t="s">
        <v>1046</v>
      </c>
      <c r="C3018" s="90">
        <v>43739</v>
      </c>
      <c r="D3018" s="2" t="s">
        <v>59</v>
      </c>
      <c r="E3018" s="92" t="s">
        <v>20066</v>
      </c>
      <c r="F3018" s="93" t="s">
        <v>5684</v>
      </c>
    </row>
    <row r="3019" spans="1:10" ht="14.1" customHeight="1" x14ac:dyDescent="0.25">
      <c r="A3019" s="1"/>
      <c r="B3019" s="80" t="s">
        <v>10788</v>
      </c>
      <c r="C3019" s="91">
        <f>IF(C3018="","",IF(AND(MONTH(C3018)&gt;=1,MONTH(C3018)&lt;=3),1,IF(AND(MONTH(C3018)&gt;=4,MONTH(C3018)&lt;=6),2,IF(AND(MONTH(C3018)&gt;=7,MONTH(C3018)&lt;=9),3,4))))</f>
        <v>4</v>
      </c>
      <c r="D3019" s="1"/>
      <c r="E3019" s="92" t="s">
        <v>14822</v>
      </c>
      <c r="F3019" s="93"/>
    </row>
    <row r="3020" spans="1:10" ht="14.1" customHeight="1" x14ac:dyDescent="0.25">
      <c r="A3020" s="1"/>
      <c r="B3020" s="80" t="s">
        <v>13758</v>
      </c>
      <c r="C3020" s="90">
        <v>43830</v>
      </c>
      <c r="D3020" s="1"/>
      <c r="E3020" s="92" t="s">
        <v>18636</v>
      </c>
      <c r="F3020" s="93"/>
    </row>
    <row r="3021" spans="1:10" ht="14.1" customHeight="1" x14ac:dyDescent="0.25">
      <c r="A3021" s="1"/>
      <c r="B3021" s="80" t="s">
        <v>10788</v>
      </c>
      <c r="C3021" s="91">
        <f>IF(C3020="","",IF(AND(MONTH(C3020)&gt;=1,MONTH(C3020)&lt;=3),1,IF(AND(MONTH(C3020)&gt;=4,MONTH(C3020)&lt;=6),2,IF(AND(MONTH(C3020)&gt;=7,MONTH(C3020)&lt;=9),3,4))))</f>
        <v>4</v>
      </c>
      <c r="D3021" s="1"/>
      <c r="E3021" s="92" t="s">
        <v>15990</v>
      </c>
      <c r="F3021" s="93"/>
    </row>
    <row r="3023" spans="1:10" ht="14.1" customHeight="1" x14ac:dyDescent="0.25">
      <c r="A3023" s="85" t="s">
        <v>15474</v>
      </c>
      <c r="B3023" s="85" t="s">
        <v>5027</v>
      </c>
      <c r="C3023" s="85" t="s">
        <v>17461</v>
      </c>
      <c r="D3023" s="85" t="s">
        <v>3935</v>
      </c>
      <c r="E3023" s="85" t="s">
        <v>10722</v>
      </c>
      <c r="F3023" s="85" t="s">
        <v>18237</v>
      </c>
    </row>
    <row r="3024" spans="1:10" ht="14.1" customHeight="1" x14ac:dyDescent="0.25">
      <c r="A3024" s="94" t="s">
        <v>8061</v>
      </c>
      <c r="B3024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3024" s="95" t="str">
        <f>IFERROR(VLOOKUP("UD",'Informacion '!P:Q,2,FALSE),"")</f>
        <v>Unidad</v>
      </c>
      <c r="D3024" s="94">
        <v>49</v>
      </c>
      <c r="E3024" s="84">
        <v>28.66</v>
      </c>
      <c r="F3024" s="83">
        <f t="shared" ref="F3024:F3037" ca="1" si="135">INDIRECT(ADDRESS(ROW(),COLUMN()-2,4))*INDIRECT(ADDRESS(ROW(),COLUMN()-1,4))</f>
        <v>1404.34</v>
      </c>
    </row>
    <row r="3025" spans="1:10" ht="14.1" customHeight="1" x14ac:dyDescent="0.25">
      <c r="A3025" s="94" t="s">
        <v>8061</v>
      </c>
      <c r="B3025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3025" s="95" t="str">
        <f>IFERROR(VLOOKUP("UD",'Informacion '!P:Q,2,FALSE),"")</f>
        <v>Unidad</v>
      </c>
      <c r="D3025" s="94">
        <v>4</v>
      </c>
      <c r="E3025" s="84">
        <v>47.82</v>
      </c>
      <c r="F3025" s="83">
        <f t="shared" ca="1" si="135"/>
        <v>191.28</v>
      </c>
    </row>
    <row r="3026" spans="1:10" ht="14.1" customHeight="1" x14ac:dyDescent="0.25">
      <c r="A3026" s="94" t="s">
        <v>8061</v>
      </c>
      <c r="B3026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3026" s="95" t="str">
        <f>IFERROR(VLOOKUP("UD",'Informacion '!P:Q,2,FALSE),"")</f>
        <v>Unidad</v>
      </c>
      <c r="D3026" s="94">
        <v>32</v>
      </c>
      <c r="E3026" s="84">
        <v>2.98</v>
      </c>
      <c r="F3026" s="83">
        <f t="shared" ca="1" si="135"/>
        <v>95.36</v>
      </c>
    </row>
    <row r="3027" spans="1:10" ht="14.1" customHeight="1" x14ac:dyDescent="0.25">
      <c r="A3027" s="94" t="s">
        <v>8061</v>
      </c>
      <c r="B3027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3027" s="95" t="str">
        <f>IFERROR(VLOOKUP("UD",'Informacion '!P:Q,2,FALSE),"")</f>
        <v>Unidad</v>
      </c>
      <c r="D3027" s="94">
        <v>194</v>
      </c>
      <c r="E3027" s="84">
        <v>42.48</v>
      </c>
      <c r="F3027" s="83">
        <f t="shared" ca="1" si="135"/>
        <v>8241.119999999999</v>
      </c>
    </row>
    <row r="3028" spans="1:10" ht="14.1" customHeight="1" x14ac:dyDescent="0.25">
      <c r="A3028" s="94" t="s">
        <v>8061</v>
      </c>
      <c r="B3028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3028" s="95" t="str">
        <f>IFERROR(VLOOKUP("UD",'Informacion '!P:Q,2,FALSE),"")</f>
        <v>Unidad</v>
      </c>
      <c r="D3028" s="94">
        <v>17</v>
      </c>
      <c r="E3028" s="84">
        <v>96</v>
      </c>
      <c r="F3028" s="83">
        <f t="shared" ca="1" si="135"/>
        <v>1632</v>
      </c>
    </row>
    <row r="3029" spans="1:10" ht="14.1" customHeight="1" x14ac:dyDescent="0.25">
      <c r="A3029" s="94" t="s">
        <v>3831</v>
      </c>
      <c r="B3029" s="82" t="str">
        <f ca="1">IFERROR(INDEX(UNSPSCDes,MATCH(INDIRECT(ADDRESS(ROW(),COLUMN()-1,4)),UNSPSCCode,0)),IF(INDIRECT(ADDRESS(ROW(),COLUMN()-1,4))="42132105","Sábanas para hospital",""))</f>
        <v>Sábanas para hospital</v>
      </c>
      <c r="C3029" s="95" t="str">
        <f>IFERROR(VLOOKUP("UD",'Informacion '!P:Q,2,FALSE),"")</f>
        <v>Unidad</v>
      </c>
      <c r="D3029" s="94">
        <v>2829</v>
      </c>
      <c r="E3029" s="84">
        <v>16.399999999999999</v>
      </c>
      <c r="F3029" s="83">
        <f t="shared" ca="1" si="135"/>
        <v>46395.6</v>
      </c>
    </row>
    <row r="3030" spans="1:10" ht="14.1" customHeight="1" x14ac:dyDescent="0.25">
      <c r="A3030" s="94" t="s">
        <v>8061</v>
      </c>
      <c r="B3030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3030" s="95" t="str">
        <f>IFERROR(VLOOKUP("UD",'Informacion '!P:Q,2,FALSE),"")</f>
        <v>Unidad</v>
      </c>
      <c r="D3030" s="94">
        <v>54</v>
      </c>
      <c r="E3030" s="84">
        <v>66.42</v>
      </c>
      <c r="F3030" s="83">
        <f t="shared" ca="1" si="135"/>
        <v>3586.6800000000003</v>
      </c>
    </row>
    <row r="3031" spans="1:10" ht="14.1" customHeight="1" x14ac:dyDescent="0.25">
      <c r="A3031" s="94" t="s">
        <v>8061</v>
      </c>
      <c r="B3031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3031" s="95" t="str">
        <f>IFERROR(VLOOKUP("UD",'Informacion '!P:Q,2,FALSE),"")</f>
        <v>Unidad</v>
      </c>
      <c r="D3031" s="94">
        <v>3903</v>
      </c>
      <c r="E3031" s="84">
        <v>2.36</v>
      </c>
      <c r="F3031" s="83">
        <f t="shared" ca="1" si="135"/>
        <v>9211.08</v>
      </c>
    </row>
    <row r="3032" spans="1:10" ht="14.1" customHeight="1" x14ac:dyDescent="0.25">
      <c r="A3032" s="94" t="s">
        <v>17014</v>
      </c>
      <c r="B3032" s="82" t="str">
        <f ca="1">IFERROR(INDEX(UNSPSCDes,MATCH(INDIRECT(ADDRESS(ROW(),COLUMN()-1,4)),UNSPSCCode,0)),IF(INDIRECT(ADDRESS(ROW(),COLUMN()-1,4))="53102306","Pañales para adulto",""))</f>
        <v>Pañales para adulto</v>
      </c>
      <c r="C3032" s="95" t="str">
        <f>IFERROR(VLOOKUP("UD",'Informacion '!P:Q,2,FALSE),"")</f>
        <v>Unidad</v>
      </c>
      <c r="D3032" s="94">
        <v>611</v>
      </c>
      <c r="E3032" s="84">
        <v>26.55</v>
      </c>
      <c r="F3032" s="83">
        <f t="shared" ca="1" si="135"/>
        <v>16222.050000000001</v>
      </c>
    </row>
    <row r="3033" spans="1:10" ht="14.1" customHeight="1" x14ac:dyDescent="0.25">
      <c r="A3033" s="94" t="s">
        <v>3151</v>
      </c>
      <c r="B3033" s="82" t="str">
        <f ca="1">IFERROR(INDEX(UNSPSCDes,MATCH(INDIRECT(ADDRESS(ROW(),COLUMN()-1,4)),UNSPSCCode,0)),IF(INDIRECT(ADDRESS(ROW(),COLUMN()-1,4))="42131702","Batas de cirugía",""))</f>
        <v>Batas de cirugía</v>
      </c>
      <c r="C3033" s="95" t="str">
        <f>IFERROR(VLOOKUP("UD",'Informacion '!P:Q,2,FALSE),"")</f>
        <v>Unidad</v>
      </c>
      <c r="D3033" s="94">
        <v>2297</v>
      </c>
      <c r="E3033" s="84">
        <v>82.6</v>
      </c>
      <c r="F3033" s="83">
        <f t="shared" ca="1" si="135"/>
        <v>189732.19999999998</v>
      </c>
    </row>
    <row r="3034" spans="1:10" ht="14.1" customHeight="1" x14ac:dyDescent="0.25">
      <c r="A3034" s="94" t="s">
        <v>3151</v>
      </c>
      <c r="B3034" s="82" t="str">
        <f ca="1">IFERROR(INDEX(UNSPSCDes,MATCH(INDIRECT(ADDRESS(ROW(),COLUMN()-1,4)),UNSPSCCode,0)),IF(INDIRECT(ADDRESS(ROW(),COLUMN()-1,4))="42131702","Batas de cirugía",""))</f>
        <v>Batas de cirugía</v>
      </c>
      <c r="C3034" s="95" t="str">
        <f>IFERROR(VLOOKUP("UD",'Informacion '!P:Q,2,FALSE),"")</f>
        <v>Unidad</v>
      </c>
      <c r="D3034" s="94">
        <v>525</v>
      </c>
      <c r="E3034" s="84">
        <v>17.95</v>
      </c>
      <c r="F3034" s="83">
        <f t="shared" ca="1" si="135"/>
        <v>9423.75</v>
      </c>
    </row>
    <row r="3035" spans="1:10" ht="14.1" customHeight="1" x14ac:dyDescent="0.25">
      <c r="A3035" s="94" t="s">
        <v>8339</v>
      </c>
      <c r="B3035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3035" s="95" t="str">
        <f>IFERROR(VLOOKUP("UD",'Informacion '!P:Q,2,FALSE),"")</f>
        <v>Unidad</v>
      </c>
      <c r="D3035" s="94">
        <v>116916</v>
      </c>
      <c r="E3035" s="84">
        <v>2.62</v>
      </c>
      <c r="F3035" s="83">
        <f t="shared" ca="1" si="135"/>
        <v>306319.92</v>
      </c>
    </row>
    <row r="3036" spans="1:10" ht="14.1" customHeight="1" x14ac:dyDescent="0.25">
      <c r="A3036" s="94" t="s">
        <v>13127</v>
      </c>
      <c r="B3036" s="82" t="str">
        <f ca="1">IFERROR(INDEX(UNSPSCDes,MATCH(INDIRECT(ADDRESS(ROW(),COLUMN()-1,4)),UNSPSCCode,0)),IF(INDIRECT(ADDRESS(ROW(),COLUMN()-1,4))="42132205","Guantes de cirugía",""))</f>
        <v>Guantes de cirugía</v>
      </c>
      <c r="C3036" s="95" t="str">
        <f>IFERROR(VLOOKUP("UD",'Informacion '!P:Q,2,FALSE),"")</f>
        <v>Unidad</v>
      </c>
      <c r="D3036" s="94">
        <v>2291</v>
      </c>
      <c r="E3036" s="84">
        <v>11.97</v>
      </c>
      <c r="F3036" s="83">
        <f t="shared" ca="1" si="135"/>
        <v>27423.27</v>
      </c>
    </row>
    <row r="3037" spans="1:10" ht="14.1" customHeight="1" x14ac:dyDescent="0.25">
      <c r="A3037" s="94" t="s">
        <v>3506</v>
      </c>
      <c r="B3037" s="82" t="str">
        <f ca="1">IFERROR(INDEX(UNSPSCDes,MATCH(INDIRECT(ADDRESS(ROW(),COLUMN()-1,4)),UNSPSCCode,0)),IF(INDIRECT(ADDRESS(ROW(),COLUMN()-1,4))="42142802","Prendas o soporte para compresión o vasculares",""))</f>
        <v>Prendas o soporte para compresión o vasculares</v>
      </c>
      <c r="C3037" s="95" t="str">
        <f>IFERROR(VLOOKUP("UD",'Informacion '!P:Q,2,FALSE),"")</f>
        <v>Unidad</v>
      </c>
      <c r="D3037" s="94">
        <v>8</v>
      </c>
      <c r="E3037" s="84">
        <v>3014.25</v>
      </c>
      <c r="F3037" s="83">
        <f t="shared" ca="1" si="135"/>
        <v>24114</v>
      </c>
    </row>
    <row r="3038" spans="1:10" ht="14.1" customHeight="1" x14ac:dyDescent="0.25">
      <c r="E3038" s="96" t="s">
        <v>7213</v>
      </c>
      <c r="F3038" s="87">
        <f ca="1">SUM(Table105[MONTO TOTAL ESTIMADO])</f>
        <v>643992.64999999991</v>
      </c>
      <c r="H3038" s="39" t="str">
        <f>C3017</f>
        <v>Bienes</v>
      </c>
      <c r="I3038" s="39" t="str">
        <f>E3017</f>
        <v>No</v>
      </c>
      <c r="J3038" s="39" t="str">
        <f>D3017</f>
        <v>Compras Menores</v>
      </c>
    </row>
    <row r="3040" spans="1:10" ht="33.950000000000003" customHeight="1" x14ac:dyDescent="0.25">
      <c r="A3040" s="77" t="s">
        <v>17233</v>
      </c>
      <c r="B3040" s="77" t="s">
        <v>4237</v>
      </c>
      <c r="C3040" s="77" t="s">
        <v>4743</v>
      </c>
      <c r="D3040" s="77" t="s">
        <v>9891</v>
      </c>
      <c r="E3040" s="77" t="s">
        <v>3089</v>
      </c>
      <c r="F3040" s="77" t="s">
        <v>18141</v>
      </c>
    </row>
    <row r="3041" spans="1:6" ht="14.1" customHeight="1" x14ac:dyDescent="0.25">
      <c r="A3041" s="79" t="s">
        <v>1283</v>
      </c>
      <c r="B3041" s="79" t="s">
        <v>12711</v>
      </c>
      <c r="C3041" s="79" t="s">
        <v>17215</v>
      </c>
      <c r="D3041" s="79" t="s">
        <v>15249</v>
      </c>
      <c r="E3041" s="79" t="s">
        <v>18247</v>
      </c>
      <c r="F3041" s="79"/>
    </row>
    <row r="3042" spans="1:6" ht="14.1" customHeight="1" x14ac:dyDescent="0.25">
      <c r="A3042" s="2" t="s">
        <v>6643</v>
      </c>
      <c r="B3042" s="80" t="s">
        <v>1046</v>
      </c>
      <c r="C3042" s="90">
        <v>43739</v>
      </c>
      <c r="D3042" s="2" t="s">
        <v>59</v>
      </c>
      <c r="E3042" s="92" t="s">
        <v>20066</v>
      </c>
      <c r="F3042" s="93"/>
    </row>
    <row r="3043" spans="1:6" ht="14.1" customHeight="1" x14ac:dyDescent="0.25">
      <c r="A3043" s="1"/>
      <c r="B3043" s="80" t="s">
        <v>10788</v>
      </c>
      <c r="C3043" s="91">
        <f>IF(C3042="","",IF(AND(MONTH(C3042)&gt;=1,MONTH(C3042)&lt;=3),1,IF(AND(MONTH(C3042)&gt;=4,MONTH(C3042)&lt;=6),2,IF(AND(MONTH(C3042)&gt;=7,MONTH(C3042)&lt;=9),3,4))))</f>
        <v>4</v>
      </c>
      <c r="D3043" s="1"/>
      <c r="E3043" s="92" t="s">
        <v>14822</v>
      </c>
      <c r="F3043" s="93"/>
    </row>
    <row r="3044" spans="1:6" ht="14.1" customHeight="1" x14ac:dyDescent="0.25">
      <c r="A3044" s="1"/>
      <c r="B3044" s="80" t="s">
        <v>13758</v>
      </c>
      <c r="C3044" s="90">
        <v>43830</v>
      </c>
      <c r="D3044" s="1"/>
      <c r="E3044" s="92" t="s">
        <v>18636</v>
      </c>
      <c r="F3044" s="93"/>
    </row>
    <row r="3045" spans="1:6" ht="14.1" customHeight="1" x14ac:dyDescent="0.25">
      <c r="A3045" s="1"/>
      <c r="B3045" s="80" t="s">
        <v>10788</v>
      </c>
      <c r="C3045" s="91">
        <f>IF(C3044="","",IF(AND(MONTH(C3044)&gt;=1,MONTH(C3044)&lt;=3),1,IF(AND(MONTH(C3044)&gt;=4,MONTH(C3044)&lt;=6),2,IF(AND(MONTH(C3044)&gt;=7,MONTH(C3044)&lt;=9),3,4))))</f>
        <v>4</v>
      </c>
      <c r="D3045" s="1"/>
      <c r="E3045" s="92" t="s">
        <v>15990</v>
      </c>
      <c r="F3045" s="93"/>
    </row>
    <row r="3047" spans="1:6" ht="14.1" customHeight="1" x14ac:dyDescent="0.25">
      <c r="A3047" s="85" t="s">
        <v>15474</v>
      </c>
      <c r="B3047" s="85" t="s">
        <v>5027</v>
      </c>
      <c r="C3047" s="85" t="s">
        <v>17461</v>
      </c>
      <c r="D3047" s="85" t="s">
        <v>3935</v>
      </c>
      <c r="E3047" s="85" t="s">
        <v>10722</v>
      </c>
      <c r="F3047" s="85" t="s">
        <v>18237</v>
      </c>
    </row>
    <row r="3048" spans="1:6" ht="14.1" customHeight="1" x14ac:dyDescent="0.25">
      <c r="A3048" s="94" t="s">
        <v>395</v>
      </c>
      <c r="B3048" s="82" t="str">
        <f ca="1">IFERROR(INDEX(UNSPSCDes,MATCH(INDIRECT(ADDRESS(ROW(),COLUMN()-1,4)),UNSPSCCode,0)),IF(INDIRECT(ADDRESS(ROW(),COLUMN()-1,4))="14111703","Toallas de papel",""))</f>
        <v>Toallas de papel</v>
      </c>
      <c r="C3048" s="95" t="str">
        <f>IFERROR(VLOOKUP("UD",'Informacion '!P:Q,2,FALSE),"")</f>
        <v>Unidad</v>
      </c>
      <c r="D3048" s="94">
        <v>500</v>
      </c>
      <c r="E3048" s="84">
        <v>1401.84</v>
      </c>
      <c r="F3048" s="83">
        <f t="shared" ref="F3048:F3079" ca="1" si="136">INDIRECT(ADDRESS(ROW(),COLUMN()-2,4))*INDIRECT(ADDRESS(ROW(),COLUMN()-1,4))</f>
        <v>700920</v>
      </c>
    </row>
    <row r="3049" spans="1:6" ht="14.1" customHeight="1" x14ac:dyDescent="0.25">
      <c r="A3049" s="94" t="s">
        <v>7445</v>
      </c>
      <c r="B3049" s="82" t="str">
        <f ca="1">IFERROR(INDEX(UNSPSCDes,MATCH(INDIRECT(ADDRESS(ROW(),COLUMN()-1,4)),UNSPSCCode,0)),IF(INDIRECT(ADDRESS(ROW(),COLUMN()-1,4))="14111704","Papel higiénico",""))</f>
        <v>Papel higiénico</v>
      </c>
      <c r="C3049" s="95" t="str">
        <f>IFERROR(VLOOKUP("UD",'Informacion '!P:Q,2,FALSE),"")</f>
        <v>Unidad</v>
      </c>
      <c r="D3049" s="94">
        <v>640</v>
      </c>
      <c r="E3049" s="84">
        <v>529.82000000000005</v>
      </c>
      <c r="F3049" s="83">
        <f t="shared" ca="1" si="136"/>
        <v>339084.80000000005</v>
      </c>
    </row>
    <row r="3050" spans="1:6" ht="14.1" customHeight="1" x14ac:dyDescent="0.25">
      <c r="A3050" s="94" t="s">
        <v>12096</v>
      </c>
      <c r="B3050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3050" s="95" t="str">
        <f>IFERROR(VLOOKUP("UD",'Informacion '!P:Q,2,FALSE),"")</f>
        <v>Unidad</v>
      </c>
      <c r="D3050" s="94">
        <v>200</v>
      </c>
      <c r="E3050" s="84">
        <v>90</v>
      </c>
      <c r="F3050" s="83">
        <f t="shared" ca="1" si="136"/>
        <v>18000</v>
      </c>
    </row>
    <row r="3051" spans="1:6" ht="14.1" customHeight="1" x14ac:dyDescent="0.25">
      <c r="A3051" s="94" t="s">
        <v>12096</v>
      </c>
      <c r="B3051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3051" s="95" t="str">
        <f>IFERROR(VLOOKUP("UD",'Informacion '!P:Q,2,FALSE),"")</f>
        <v>Unidad</v>
      </c>
      <c r="D3051" s="94">
        <v>200</v>
      </c>
      <c r="E3051" s="84">
        <v>90</v>
      </c>
      <c r="F3051" s="83">
        <f t="shared" ca="1" si="136"/>
        <v>18000</v>
      </c>
    </row>
    <row r="3052" spans="1:6" ht="14.1" customHeight="1" x14ac:dyDescent="0.25">
      <c r="A3052" s="94" t="s">
        <v>12096</v>
      </c>
      <c r="B3052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3052" s="95" t="str">
        <f>IFERROR(VLOOKUP("UD",'Informacion '!P:Q,2,FALSE),"")</f>
        <v>Unidad</v>
      </c>
      <c r="D3052" s="94">
        <v>200</v>
      </c>
      <c r="E3052" s="84">
        <v>90</v>
      </c>
      <c r="F3052" s="83">
        <f t="shared" ca="1" si="136"/>
        <v>18000</v>
      </c>
    </row>
    <row r="3053" spans="1:6" ht="14.1" customHeight="1" x14ac:dyDescent="0.25">
      <c r="A3053" s="94" t="s">
        <v>1878</v>
      </c>
      <c r="B3053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3053" s="95" t="str">
        <f>IFERROR(VLOOKUP("UD",'Informacion '!P:Q,2,FALSE),"")</f>
        <v>Unidad</v>
      </c>
      <c r="D3053" s="94">
        <v>20</v>
      </c>
      <c r="E3053" s="84">
        <v>1100</v>
      </c>
      <c r="F3053" s="83">
        <f t="shared" ca="1" si="136"/>
        <v>22000</v>
      </c>
    </row>
    <row r="3054" spans="1:6" ht="14.1" customHeight="1" x14ac:dyDescent="0.25">
      <c r="A3054" s="94" t="s">
        <v>1878</v>
      </c>
      <c r="B3054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3054" s="95" t="str">
        <f>IFERROR(VLOOKUP("UD",'Informacion '!P:Q,2,FALSE),"")</f>
        <v>Unidad</v>
      </c>
      <c r="D3054" s="94">
        <v>10</v>
      </c>
      <c r="E3054" s="84">
        <v>1200</v>
      </c>
      <c r="F3054" s="83">
        <f t="shared" ca="1" si="136"/>
        <v>12000</v>
      </c>
    </row>
    <row r="3055" spans="1:6" ht="14.1" customHeight="1" x14ac:dyDescent="0.25">
      <c r="A3055" s="94" t="s">
        <v>1878</v>
      </c>
      <c r="B3055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3055" s="95" t="str">
        <f>IFERROR(VLOOKUP("UD",'Informacion '!P:Q,2,FALSE),"")</f>
        <v>Unidad</v>
      </c>
      <c r="D3055" s="94">
        <v>5</v>
      </c>
      <c r="E3055" s="84">
        <v>1250</v>
      </c>
      <c r="F3055" s="83">
        <f t="shared" ca="1" si="136"/>
        <v>6250</v>
      </c>
    </row>
    <row r="3056" spans="1:6" ht="14.1" customHeight="1" x14ac:dyDescent="0.25">
      <c r="A3056" s="94" t="s">
        <v>1878</v>
      </c>
      <c r="B3056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3056" s="95" t="str">
        <f>IFERROR(VLOOKUP("UD",'Informacion '!P:Q,2,FALSE),"")</f>
        <v>Unidad</v>
      </c>
      <c r="D3056" s="94">
        <v>10</v>
      </c>
      <c r="E3056" s="84">
        <v>1300</v>
      </c>
      <c r="F3056" s="83">
        <f t="shared" ca="1" si="136"/>
        <v>13000</v>
      </c>
    </row>
    <row r="3057" spans="1:6" ht="14.1" customHeight="1" x14ac:dyDescent="0.25">
      <c r="A3057" s="94" t="s">
        <v>6997</v>
      </c>
      <c r="B3057" s="82" t="str">
        <f ca="1">IFERROR(INDEX(UNSPSCDes,MATCH(INDIRECT(ADDRESS(ROW(),COLUMN()-1,4)),UNSPSCCode,0)),IF(INDIRECT(ADDRESS(ROW(),COLUMN()-1,4))="52121703","Paños para lavar",""))</f>
        <v>Paños para lavar</v>
      </c>
      <c r="C3057" s="95" t="str">
        <f>IFERROR(VLOOKUP("UD",'Informacion '!P:Q,2,FALSE),"")</f>
        <v>Unidad</v>
      </c>
      <c r="D3057" s="94">
        <v>50</v>
      </c>
      <c r="E3057" s="84">
        <v>560</v>
      </c>
      <c r="F3057" s="83">
        <f t="shared" ca="1" si="136"/>
        <v>28000</v>
      </c>
    </row>
    <row r="3058" spans="1:6" ht="14.1" customHeight="1" x14ac:dyDescent="0.25">
      <c r="A3058" s="94" t="s">
        <v>6997</v>
      </c>
      <c r="B3058" s="82" t="str">
        <f ca="1">IFERROR(INDEX(UNSPSCDes,MATCH(INDIRECT(ADDRESS(ROW(),COLUMN()-1,4)),UNSPSCCode,0)),IF(INDIRECT(ADDRESS(ROW(),COLUMN()-1,4))="52121703","Paños para lavar",""))</f>
        <v>Paños para lavar</v>
      </c>
      <c r="C3058" s="95" t="str">
        <f>IFERROR(VLOOKUP("UD",'Informacion '!P:Q,2,FALSE),"")</f>
        <v>Unidad</v>
      </c>
      <c r="D3058" s="94">
        <v>50</v>
      </c>
      <c r="E3058" s="84">
        <v>820</v>
      </c>
      <c r="F3058" s="83">
        <f t="shared" ca="1" si="136"/>
        <v>41000</v>
      </c>
    </row>
    <row r="3059" spans="1:6" ht="14.1" customHeight="1" x14ac:dyDescent="0.25">
      <c r="A3059" s="94" t="s">
        <v>6997</v>
      </c>
      <c r="B3059" s="82" t="str">
        <f ca="1">IFERROR(INDEX(UNSPSCDes,MATCH(INDIRECT(ADDRESS(ROW(),COLUMN()-1,4)),UNSPSCCode,0)),IF(INDIRECT(ADDRESS(ROW(),COLUMN()-1,4))="52121703","Paños para lavar",""))</f>
        <v>Paños para lavar</v>
      </c>
      <c r="C3059" s="95" t="str">
        <f>IFERROR(VLOOKUP("UD",'Informacion '!P:Q,2,FALSE),"")</f>
        <v>Unidad</v>
      </c>
      <c r="D3059" s="94">
        <v>50</v>
      </c>
      <c r="E3059" s="84">
        <v>835</v>
      </c>
      <c r="F3059" s="83">
        <f t="shared" ca="1" si="136"/>
        <v>41750</v>
      </c>
    </row>
    <row r="3060" spans="1:6" ht="14.1" customHeight="1" x14ac:dyDescent="0.25">
      <c r="A3060" s="94" t="s">
        <v>6997</v>
      </c>
      <c r="B3060" s="82" t="str">
        <f ca="1">IFERROR(INDEX(UNSPSCDes,MATCH(INDIRECT(ADDRESS(ROW(),COLUMN()-1,4)),UNSPSCCode,0)),IF(INDIRECT(ADDRESS(ROW(),COLUMN()-1,4))="52121703","Paños para lavar",""))</f>
        <v>Paños para lavar</v>
      </c>
      <c r="C3060" s="95" t="str">
        <f>IFERROR(VLOOKUP("UD",'Informacion '!P:Q,2,FALSE),"")</f>
        <v>Unidad</v>
      </c>
      <c r="D3060" s="94">
        <v>10</v>
      </c>
      <c r="E3060" s="84">
        <v>875</v>
      </c>
      <c r="F3060" s="83">
        <f t="shared" ca="1" si="136"/>
        <v>8750</v>
      </c>
    </row>
    <row r="3061" spans="1:6" ht="14.1" customHeight="1" x14ac:dyDescent="0.25">
      <c r="A3061" s="94" t="s">
        <v>1878</v>
      </c>
      <c r="B3061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3061" s="95" t="str">
        <f>IFERROR(VLOOKUP("UD",'Informacion '!P:Q,2,FALSE),"")</f>
        <v>Unidad</v>
      </c>
      <c r="D3061" s="94">
        <v>18</v>
      </c>
      <c r="E3061" s="84">
        <v>985</v>
      </c>
      <c r="F3061" s="83">
        <f t="shared" ca="1" si="136"/>
        <v>17730</v>
      </c>
    </row>
    <row r="3062" spans="1:6" ht="14.1" customHeight="1" x14ac:dyDescent="0.25">
      <c r="A3062" s="94" t="s">
        <v>1878</v>
      </c>
      <c r="B3062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3062" s="95" t="str">
        <f>IFERROR(VLOOKUP("UD",'Informacion '!P:Q,2,FALSE),"")</f>
        <v>Unidad</v>
      </c>
      <c r="D3062" s="94">
        <v>18</v>
      </c>
      <c r="E3062" s="84">
        <v>1690</v>
      </c>
      <c r="F3062" s="83">
        <f t="shared" ca="1" si="136"/>
        <v>30420</v>
      </c>
    </row>
    <row r="3063" spans="1:6" ht="14.1" customHeight="1" x14ac:dyDescent="0.25">
      <c r="A3063" s="94" t="s">
        <v>1878</v>
      </c>
      <c r="B3063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3063" s="95" t="str">
        <f>IFERROR(VLOOKUP("UD",'Informacion '!P:Q,2,FALSE),"")</f>
        <v>Unidad</v>
      </c>
      <c r="D3063" s="94">
        <v>18</v>
      </c>
      <c r="E3063" s="84">
        <v>1750</v>
      </c>
      <c r="F3063" s="83">
        <f t="shared" ca="1" si="136"/>
        <v>31500</v>
      </c>
    </row>
    <row r="3064" spans="1:6" ht="14.1" customHeight="1" x14ac:dyDescent="0.25">
      <c r="A3064" s="94" t="s">
        <v>1878</v>
      </c>
      <c r="B3064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3064" s="95" t="str">
        <f>IFERROR(VLOOKUP("UD",'Informacion '!P:Q,2,FALSE),"")</f>
        <v>Unidad</v>
      </c>
      <c r="D3064" s="94">
        <v>18</v>
      </c>
      <c r="E3064" s="84">
        <v>1825</v>
      </c>
      <c r="F3064" s="83">
        <f t="shared" ca="1" si="136"/>
        <v>32850</v>
      </c>
    </row>
    <row r="3065" spans="1:6" ht="14.1" customHeight="1" x14ac:dyDescent="0.25">
      <c r="A3065" s="94" t="s">
        <v>6997</v>
      </c>
      <c r="B3065" s="82" t="str">
        <f ca="1">IFERROR(INDEX(UNSPSCDes,MATCH(INDIRECT(ADDRESS(ROW(),COLUMN()-1,4)),UNSPSCCode,0)),IF(INDIRECT(ADDRESS(ROW(),COLUMN()-1,4))="52121703","Paños para lavar",""))</f>
        <v>Paños para lavar</v>
      </c>
      <c r="C3065" s="95" t="str">
        <f>IFERROR(VLOOKUP("UD",'Informacion '!P:Q,2,FALSE),"")</f>
        <v>Unidad</v>
      </c>
      <c r="D3065" s="94">
        <v>30</v>
      </c>
      <c r="E3065" s="84">
        <v>495</v>
      </c>
      <c r="F3065" s="83">
        <f t="shared" ca="1" si="136"/>
        <v>14850</v>
      </c>
    </row>
    <row r="3066" spans="1:6" ht="14.1" customHeight="1" x14ac:dyDescent="0.25">
      <c r="A3066" s="94" t="s">
        <v>6997</v>
      </c>
      <c r="B3066" s="82" t="str">
        <f ca="1">IFERROR(INDEX(UNSPSCDes,MATCH(INDIRECT(ADDRESS(ROW(),COLUMN()-1,4)),UNSPSCCode,0)),IF(INDIRECT(ADDRESS(ROW(),COLUMN()-1,4))="52121703","Paños para lavar",""))</f>
        <v>Paños para lavar</v>
      </c>
      <c r="C3066" s="95" t="str">
        <f>IFERROR(VLOOKUP("UD",'Informacion '!P:Q,2,FALSE),"")</f>
        <v>Unidad</v>
      </c>
      <c r="D3066" s="94">
        <v>30</v>
      </c>
      <c r="E3066" s="84">
        <v>525</v>
      </c>
      <c r="F3066" s="83">
        <f t="shared" ca="1" si="136"/>
        <v>15750</v>
      </c>
    </row>
    <row r="3067" spans="1:6" ht="14.1" customHeight="1" x14ac:dyDescent="0.25">
      <c r="A3067" s="94" t="s">
        <v>6997</v>
      </c>
      <c r="B3067" s="82" t="str">
        <f ca="1">IFERROR(INDEX(UNSPSCDes,MATCH(INDIRECT(ADDRESS(ROW(),COLUMN()-1,4)),UNSPSCCode,0)),IF(INDIRECT(ADDRESS(ROW(),COLUMN()-1,4))="52121703","Paños para lavar",""))</f>
        <v>Paños para lavar</v>
      </c>
      <c r="C3067" s="95" t="str">
        <f>IFERROR(VLOOKUP("UD",'Informacion '!P:Q,2,FALSE),"")</f>
        <v>Unidad</v>
      </c>
      <c r="D3067" s="94">
        <v>30</v>
      </c>
      <c r="E3067" s="84">
        <v>725</v>
      </c>
      <c r="F3067" s="83">
        <f t="shared" ca="1" si="136"/>
        <v>21750</v>
      </c>
    </row>
    <row r="3068" spans="1:6" ht="14.1" customHeight="1" x14ac:dyDescent="0.25">
      <c r="A3068" s="94" t="s">
        <v>6997</v>
      </c>
      <c r="B3068" s="82" t="str">
        <f ca="1">IFERROR(INDEX(UNSPSCDes,MATCH(INDIRECT(ADDRESS(ROW(),COLUMN()-1,4)),UNSPSCCode,0)),IF(INDIRECT(ADDRESS(ROW(),COLUMN()-1,4))="52121703","Paños para lavar",""))</f>
        <v>Paños para lavar</v>
      </c>
      <c r="C3068" s="95" t="str">
        <f>IFERROR(VLOOKUP("UD",'Informacion '!P:Q,2,FALSE),"")</f>
        <v>Unidad</v>
      </c>
      <c r="D3068" s="94">
        <v>30</v>
      </c>
      <c r="E3068" s="84">
        <v>785</v>
      </c>
      <c r="F3068" s="83">
        <f t="shared" ca="1" si="136"/>
        <v>23550</v>
      </c>
    </row>
    <row r="3069" spans="1:6" ht="14.1" customHeight="1" x14ac:dyDescent="0.25">
      <c r="A3069" s="94" t="s">
        <v>1878</v>
      </c>
      <c r="B3069" s="82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3069" s="95" t="str">
        <f>IFERROR(VLOOKUP("UD",'Informacion '!P:Q,2,FALSE),"")</f>
        <v>Unidad</v>
      </c>
      <c r="D3069" s="94">
        <v>5</v>
      </c>
      <c r="E3069" s="84">
        <v>400</v>
      </c>
      <c r="F3069" s="83">
        <f t="shared" ca="1" si="136"/>
        <v>2000</v>
      </c>
    </row>
    <row r="3070" spans="1:6" ht="14.1" customHeight="1" x14ac:dyDescent="0.25">
      <c r="A3070" s="94" t="s">
        <v>8934</v>
      </c>
      <c r="B3070" s="82" t="str">
        <f ca="1">IFERROR(INDEX(UNSPSCDes,MATCH(INDIRECT(ADDRESS(ROW(),COLUMN()-1,4)),UNSPSCCode,0)),IF(INDIRECT(ADDRESS(ROW(),COLUMN()-1,4))="41121813","Cubetas",""))</f>
        <v>Cubetas</v>
      </c>
      <c r="C3070" s="95" t="str">
        <f>IFERROR(VLOOKUP("UD",'Informacion '!P:Q,2,FALSE),"")</f>
        <v>Unidad</v>
      </c>
      <c r="D3070" s="94">
        <v>8</v>
      </c>
      <c r="E3070" s="84">
        <v>850</v>
      </c>
      <c r="F3070" s="83">
        <f t="shared" ca="1" si="136"/>
        <v>6800</v>
      </c>
    </row>
    <row r="3071" spans="1:6" ht="14.1" customHeight="1" x14ac:dyDescent="0.25">
      <c r="A3071" s="94" t="s">
        <v>8934</v>
      </c>
      <c r="B3071" s="82" t="str">
        <f ca="1">IFERROR(INDEX(UNSPSCDes,MATCH(INDIRECT(ADDRESS(ROW(),COLUMN()-1,4)),UNSPSCCode,0)),IF(INDIRECT(ADDRESS(ROW(),COLUMN()-1,4))="41121813","Cubetas",""))</f>
        <v>Cubetas</v>
      </c>
      <c r="C3071" s="95" t="str">
        <f>IFERROR(VLOOKUP("UD",'Informacion '!P:Q,2,FALSE),"")</f>
        <v>Unidad</v>
      </c>
      <c r="D3071" s="94">
        <v>8</v>
      </c>
      <c r="E3071" s="84">
        <v>1100</v>
      </c>
      <c r="F3071" s="83">
        <f t="shared" ca="1" si="136"/>
        <v>8800</v>
      </c>
    </row>
    <row r="3072" spans="1:6" ht="14.1" customHeight="1" x14ac:dyDescent="0.25">
      <c r="A3072" s="94" t="s">
        <v>8934</v>
      </c>
      <c r="B3072" s="82" t="str">
        <f ca="1">IFERROR(INDEX(UNSPSCDes,MATCH(INDIRECT(ADDRESS(ROW(),COLUMN()-1,4)),UNSPSCCode,0)),IF(INDIRECT(ADDRESS(ROW(),COLUMN()-1,4))="41121813","Cubetas",""))</f>
        <v>Cubetas</v>
      </c>
      <c r="C3072" s="95" t="str">
        <f>IFERROR(VLOOKUP("UD",'Informacion '!P:Q,2,FALSE),"")</f>
        <v>Unidad</v>
      </c>
      <c r="D3072" s="94">
        <v>2</v>
      </c>
      <c r="E3072" s="84">
        <v>5500</v>
      </c>
      <c r="F3072" s="83">
        <f t="shared" ca="1" si="136"/>
        <v>11000</v>
      </c>
    </row>
    <row r="3073" spans="1:6" ht="14.1" customHeight="1" x14ac:dyDescent="0.25">
      <c r="A3073" s="94" t="s">
        <v>3311</v>
      </c>
      <c r="B3073" s="82" t="str">
        <f ca="1">IFERROR(INDEX(UNSPSCDes,MATCH(INDIRECT(ADDRESS(ROW(),COLUMN()-1,4)),UNSPSCCode,0)),IF(INDIRECT(ADDRESS(ROW(),COLUMN()-1,4))="47121701","Bolsas de basura",""))</f>
        <v>Bolsas de basura</v>
      </c>
      <c r="C3073" s="95" t="str">
        <f>IFERROR(VLOOKUP("UD",'Informacion '!P:Q,2,FALSE),"")</f>
        <v>Unidad</v>
      </c>
      <c r="D3073" s="94">
        <v>2</v>
      </c>
      <c r="E3073" s="84">
        <v>3000</v>
      </c>
      <c r="F3073" s="83">
        <f t="shared" ca="1" si="136"/>
        <v>6000</v>
      </c>
    </row>
    <row r="3074" spans="1:6" ht="14.1" customHeight="1" x14ac:dyDescent="0.25">
      <c r="A3074" s="94" t="s">
        <v>3945</v>
      </c>
      <c r="B3074" s="82" t="str">
        <f ca="1">IFERROR(INDEX(UNSPSCDes,MATCH(INDIRECT(ADDRESS(ROW(),COLUMN()-1,4)),UNSPSCCode,0)),IF(INDIRECT(ADDRESS(ROW(),COLUMN()-1,4))="47131604","Escobas",""))</f>
        <v>Escobas</v>
      </c>
      <c r="C3074" s="95" t="str">
        <f>IFERROR(VLOOKUP("UD",'Informacion '!P:Q,2,FALSE),"")</f>
        <v>Unidad</v>
      </c>
      <c r="D3074" s="94">
        <v>25</v>
      </c>
      <c r="E3074" s="84">
        <v>150</v>
      </c>
      <c r="F3074" s="83">
        <f t="shared" ca="1" si="136"/>
        <v>3750</v>
      </c>
    </row>
    <row r="3075" spans="1:6" ht="14.1" customHeight="1" x14ac:dyDescent="0.25">
      <c r="A3075" s="94" t="s">
        <v>3945</v>
      </c>
      <c r="B3075" s="82" t="str">
        <f ca="1">IFERROR(INDEX(UNSPSCDes,MATCH(INDIRECT(ADDRESS(ROW(),COLUMN()-1,4)),UNSPSCCode,0)),IF(INDIRECT(ADDRESS(ROW(),COLUMN()-1,4))="47131604","Escobas",""))</f>
        <v>Escobas</v>
      </c>
      <c r="C3075" s="95" t="str">
        <f>IFERROR(VLOOKUP("UD",'Informacion '!P:Q,2,FALSE),"")</f>
        <v>Unidad</v>
      </c>
      <c r="D3075" s="94">
        <v>20</v>
      </c>
      <c r="E3075" s="84">
        <v>150</v>
      </c>
      <c r="F3075" s="83">
        <f t="shared" ca="1" si="136"/>
        <v>3000</v>
      </c>
    </row>
    <row r="3076" spans="1:6" ht="14.1" customHeight="1" x14ac:dyDescent="0.25">
      <c r="A3076" s="94" t="s">
        <v>3945</v>
      </c>
      <c r="B3076" s="82" t="str">
        <f ca="1">IFERROR(INDEX(UNSPSCDes,MATCH(INDIRECT(ADDRESS(ROW(),COLUMN()-1,4)),UNSPSCCode,0)),IF(INDIRECT(ADDRESS(ROW(),COLUMN()-1,4))="47131604","Escobas",""))</f>
        <v>Escobas</v>
      </c>
      <c r="C3076" s="95" t="str">
        <f>IFERROR(VLOOKUP("UD",'Informacion '!P:Q,2,FALSE),"")</f>
        <v>Unidad</v>
      </c>
      <c r="D3076" s="94">
        <v>40</v>
      </c>
      <c r="E3076" s="84">
        <v>85</v>
      </c>
      <c r="F3076" s="83">
        <f t="shared" ca="1" si="136"/>
        <v>3400</v>
      </c>
    </row>
    <row r="3077" spans="1:6" ht="14.1" customHeight="1" x14ac:dyDescent="0.25">
      <c r="A3077" s="94" t="s">
        <v>12692</v>
      </c>
      <c r="B3077" s="82" t="str">
        <f ca="1">IFERROR(INDEX(UNSPSCDes,MATCH(INDIRECT(ADDRESS(ROW(),COLUMN()-1,4)),UNSPSCCode,0)),IF(INDIRECT(ADDRESS(ROW(),COLUMN()-1,4))="47131605","Cepillos de limpieza",""))</f>
        <v>Cepillos de limpieza</v>
      </c>
      <c r="C3077" s="95" t="str">
        <f>IFERROR(VLOOKUP("UD",'Informacion '!P:Q,2,FALSE),"")</f>
        <v>Unidad</v>
      </c>
      <c r="D3077" s="94">
        <v>30</v>
      </c>
      <c r="E3077" s="84">
        <v>80</v>
      </c>
      <c r="F3077" s="83">
        <f t="shared" ca="1" si="136"/>
        <v>2400</v>
      </c>
    </row>
    <row r="3078" spans="1:6" ht="14.1" customHeight="1" x14ac:dyDescent="0.25">
      <c r="A3078" s="94" t="s">
        <v>182</v>
      </c>
      <c r="B3078" s="82" t="str">
        <f ca="1">IFERROR(INDEX(UNSPSCDes,MATCH(INDIRECT(ADDRESS(ROW(),COLUMN()-1,4)),UNSPSCCode,0)),IF(INDIRECT(ADDRESS(ROW(),COLUMN()-1,4))="47131602","Almohadillas para restregar",""))</f>
        <v>Almohadillas para restregar</v>
      </c>
      <c r="C3078" s="95" t="str">
        <f>IFERROR(VLOOKUP("UD",'Informacion '!P:Q,2,FALSE),"")</f>
        <v>Unidad</v>
      </c>
      <c r="D3078" s="94">
        <v>200</v>
      </c>
      <c r="E3078" s="84">
        <v>7.38</v>
      </c>
      <c r="F3078" s="83">
        <f t="shared" ca="1" si="136"/>
        <v>1476</v>
      </c>
    </row>
    <row r="3079" spans="1:6" ht="14.1" customHeight="1" x14ac:dyDescent="0.25">
      <c r="A3079" s="94" t="s">
        <v>12453</v>
      </c>
      <c r="B3079" s="82" t="str">
        <f ca="1">IFERROR(INDEX(UNSPSCDes,MATCH(INDIRECT(ADDRESS(ROW(),COLUMN()-1,4)),UNSPSCCode,0)),IF(INDIRECT(ADDRESS(ROW(),COLUMN()-1,4))="47131609","Manijas de escobas o traperos",""))</f>
        <v>Manijas de escobas o traperos</v>
      </c>
      <c r="C3079" s="95" t="str">
        <f>IFERROR(VLOOKUP("UD",'Informacion '!P:Q,2,FALSE),"")</f>
        <v>Unidad</v>
      </c>
      <c r="D3079" s="94">
        <v>4</v>
      </c>
      <c r="E3079" s="84">
        <v>175</v>
      </c>
      <c r="F3079" s="83">
        <f t="shared" ca="1" si="136"/>
        <v>700</v>
      </c>
    </row>
    <row r="3080" spans="1:6" ht="14.1" customHeight="1" x14ac:dyDescent="0.25">
      <c r="A3080" s="94" t="s">
        <v>9906</v>
      </c>
      <c r="B3080" s="82" t="str">
        <f ca="1">IFERROR(INDEX(UNSPSCDes,MATCH(INDIRECT(ADDRESS(ROW(),COLUMN()-1,4)),UNSPSCCode,0)),IF(INDIRECT(ADDRESS(ROW(),COLUMN()-1,4))="47131611","Recogedor de basura",""))</f>
        <v>Recogedor de basura</v>
      </c>
      <c r="C3080" s="95" t="str">
        <f>IFERROR(VLOOKUP("UD",'Informacion '!P:Q,2,FALSE),"")</f>
        <v>Unidad</v>
      </c>
      <c r="D3080" s="94">
        <v>20</v>
      </c>
      <c r="E3080" s="84">
        <v>300</v>
      </c>
      <c r="F3080" s="83">
        <f t="shared" ref="F3080:F3114" ca="1" si="137">INDIRECT(ADDRESS(ROW(),COLUMN()-2,4))*INDIRECT(ADDRESS(ROW(),COLUMN()-1,4))</f>
        <v>6000</v>
      </c>
    </row>
    <row r="3081" spans="1:6" ht="14.1" customHeight="1" x14ac:dyDescent="0.25">
      <c r="A3081" s="94" t="s">
        <v>3945</v>
      </c>
      <c r="B3081" s="82" t="str">
        <f ca="1">IFERROR(INDEX(UNSPSCDes,MATCH(INDIRECT(ADDRESS(ROW(),COLUMN()-1,4)),UNSPSCCode,0)),IF(INDIRECT(ADDRESS(ROW(),COLUMN()-1,4))="47131604","Escobas",""))</f>
        <v>Escobas</v>
      </c>
      <c r="C3081" s="95" t="str">
        <f>IFERROR(VLOOKUP("UD",'Informacion '!P:Q,2,FALSE),"")</f>
        <v>Unidad</v>
      </c>
      <c r="D3081" s="94">
        <v>15</v>
      </c>
      <c r="E3081" s="84">
        <v>970</v>
      </c>
      <c r="F3081" s="83">
        <f t="shared" ca="1" si="137"/>
        <v>14550</v>
      </c>
    </row>
    <row r="3082" spans="1:6" ht="14.1" customHeight="1" x14ac:dyDescent="0.25">
      <c r="A3082" s="94" t="s">
        <v>6782</v>
      </c>
      <c r="B3082" s="82" t="str">
        <f ca="1">IFERROR(INDEX(UNSPSCDes,MATCH(INDIRECT(ADDRESS(ROW(),COLUMN()-1,4)),UNSPSCCode,0)),IF(INDIRECT(ADDRESS(ROW(),COLUMN()-1,4))="50202301","Agua",""))</f>
        <v>Agua</v>
      </c>
      <c r="C3082" s="95" t="str">
        <f>IFERROR(VLOOKUP("UD",'Informacion '!P:Q,2,FALSE),"")</f>
        <v>Unidad</v>
      </c>
      <c r="D3082" s="94">
        <v>10</v>
      </c>
      <c r="E3082" s="84">
        <v>700</v>
      </c>
      <c r="F3082" s="83">
        <f t="shared" ca="1" si="137"/>
        <v>7000</v>
      </c>
    </row>
    <row r="3083" spans="1:6" ht="14.1" customHeight="1" x14ac:dyDescent="0.25">
      <c r="A3083" s="94" t="s">
        <v>7138</v>
      </c>
      <c r="B3083" s="82" t="str">
        <f ca="1">IFERROR(INDEX(UNSPSCDes,MATCH(INDIRECT(ADDRESS(ROW(),COLUMN()-1,4)),UNSPSCCode,0)),IF(INDIRECT(ADDRESS(ROW(),COLUMN()-1,4))="52151650","Escurridores para uso doméstico",""))</f>
        <v>Escurridores para uso doméstico</v>
      </c>
      <c r="C3083" s="95" t="str">
        <f>IFERROR(VLOOKUP("UD",'Informacion '!P:Q,2,FALSE),"")</f>
        <v>Unidad</v>
      </c>
      <c r="D3083" s="94">
        <v>25</v>
      </c>
      <c r="E3083" s="84">
        <v>100</v>
      </c>
      <c r="F3083" s="83">
        <f t="shared" ca="1" si="137"/>
        <v>2500</v>
      </c>
    </row>
    <row r="3084" spans="1:6" ht="14.1" customHeight="1" x14ac:dyDescent="0.25">
      <c r="A3084" s="94" t="s">
        <v>3687</v>
      </c>
      <c r="B3084" s="82" t="str">
        <f ca="1">IFERROR(INDEX(UNSPSCDes,MATCH(INDIRECT(ADDRESS(ROW(),COLUMN()-1,4)),UNSPSCCode,0)),IF(INDIRECT(ADDRESS(ROW(),COLUMN()-1,4))="40141742","Atomizadores",""))</f>
        <v>Atomizadores</v>
      </c>
      <c r="C3084" s="95" t="str">
        <f>IFERROR(VLOOKUP("UD",'Informacion '!P:Q,2,FALSE),"")</f>
        <v>Unidad</v>
      </c>
      <c r="D3084" s="94">
        <v>80</v>
      </c>
      <c r="E3084" s="84">
        <v>50</v>
      </c>
      <c r="F3084" s="83">
        <f t="shared" ca="1" si="137"/>
        <v>4000</v>
      </c>
    </row>
    <row r="3085" spans="1:6" ht="14.1" customHeight="1" x14ac:dyDescent="0.25">
      <c r="A3085" s="94" t="s">
        <v>5832</v>
      </c>
      <c r="B3085" s="82" t="str">
        <f ca="1">IFERROR(INDEX(UNSPSCDes,MATCH(INDIRECT(ADDRESS(ROW(),COLUMN()-1,4)),UNSPSCCode,0)),IF(INDIRECT(ADDRESS(ROW(),COLUMN()-1,4))="47131618","Traperos húmedos",""))</f>
        <v>Traperos húmedos</v>
      </c>
      <c r="C3085" s="95" t="str">
        <f>IFERROR(VLOOKUP("UD",'Informacion '!P:Q,2,FALSE),"")</f>
        <v>Unidad</v>
      </c>
      <c r="D3085" s="94">
        <v>115</v>
      </c>
      <c r="E3085" s="84">
        <v>115</v>
      </c>
      <c r="F3085" s="83">
        <f t="shared" ca="1" si="137"/>
        <v>13225</v>
      </c>
    </row>
    <row r="3086" spans="1:6" ht="14.1" customHeight="1" x14ac:dyDescent="0.25">
      <c r="A3086" s="94" t="s">
        <v>5832</v>
      </c>
      <c r="B3086" s="82" t="str">
        <f ca="1">IFERROR(INDEX(UNSPSCDes,MATCH(INDIRECT(ADDRESS(ROW(),COLUMN()-1,4)),UNSPSCCode,0)),IF(INDIRECT(ADDRESS(ROW(),COLUMN()-1,4))="47131618","Traperos húmedos",""))</f>
        <v>Traperos húmedos</v>
      </c>
      <c r="C3086" s="95" t="str">
        <f>IFERROR(VLOOKUP("UD",'Informacion '!P:Q,2,FALSE),"")</f>
        <v>Unidad</v>
      </c>
      <c r="D3086" s="94">
        <v>150</v>
      </c>
      <c r="E3086" s="84">
        <v>150</v>
      </c>
      <c r="F3086" s="83">
        <f t="shared" ca="1" si="137"/>
        <v>22500</v>
      </c>
    </row>
    <row r="3087" spans="1:6" ht="14.1" customHeight="1" x14ac:dyDescent="0.25">
      <c r="A3087" s="94" t="s">
        <v>6997</v>
      </c>
      <c r="B3087" s="82" t="str">
        <f ca="1">IFERROR(INDEX(UNSPSCDes,MATCH(INDIRECT(ADDRESS(ROW(),COLUMN()-1,4)),UNSPSCCode,0)),IF(INDIRECT(ADDRESS(ROW(),COLUMN()-1,4))="52121703","Paños para lavar",""))</f>
        <v>Paños para lavar</v>
      </c>
      <c r="C3087" s="95" t="str">
        <f>IFERROR(VLOOKUP("UD",'Informacion '!P:Q,2,FALSE),"")</f>
        <v>Unidad</v>
      </c>
      <c r="D3087" s="94">
        <v>65</v>
      </c>
      <c r="E3087" s="84">
        <v>55</v>
      </c>
      <c r="F3087" s="83">
        <f t="shared" ca="1" si="137"/>
        <v>3575</v>
      </c>
    </row>
    <row r="3088" spans="1:6" ht="14.1" customHeight="1" x14ac:dyDescent="0.25">
      <c r="A3088" s="94" t="s">
        <v>16872</v>
      </c>
      <c r="B3088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3088" s="95" t="str">
        <f>IFERROR(VLOOKUP("UD",'Informacion '!P:Q,2,FALSE),"")</f>
        <v>Unidad</v>
      </c>
      <c r="D3088" s="94">
        <v>25</v>
      </c>
      <c r="E3088" s="84">
        <v>265</v>
      </c>
      <c r="F3088" s="83">
        <f t="shared" ca="1" si="137"/>
        <v>6625</v>
      </c>
    </row>
    <row r="3089" spans="1:6" ht="14.1" customHeight="1" x14ac:dyDescent="0.25">
      <c r="A3089" s="94" t="s">
        <v>17050</v>
      </c>
      <c r="B3089" s="82" t="str">
        <f ca="1">IFERROR(INDEX(UNSPSCDes,MATCH(INDIRECT(ADDRESS(ROW(),COLUMN()-1,4)),UNSPSCCode,0)),IF(INDIRECT(ADDRESS(ROW(),COLUMN()-1,4))="24101709","Transportador de rodillos",""))</f>
        <v>Transportador de rodillos</v>
      </c>
      <c r="C3089" s="95" t="str">
        <f>IFERROR(VLOOKUP("UD",'Informacion '!P:Q,2,FALSE),"")</f>
        <v>Unidad</v>
      </c>
      <c r="D3089" s="94">
        <v>1</v>
      </c>
      <c r="E3089" s="84">
        <v>8500</v>
      </c>
      <c r="F3089" s="83">
        <f t="shared" ca="1" si="137"/>
        <v>8500</v>
      </c>
    </row>
    <row r="3090" spans="1:6" ht="14.1" customHeight="1" x14ac:dyDescent="0.25">
      <c r="A3090" s="94" t="s">
        <v>13448</v>
      </c>
      <c r="B3090" s="82" t="str">
        <f ca="1">IFERROR(INDEX(UNSPSCDes,MATCH(INDIRECT(ADDRESS(ROW(),COLUMN()-1,4)),UNSPSCCode,0)),IF(INDIRECT(ADDRESS(ROW(),COLUMN()-1,4))="30201803","Unidades para contenedores",""))</f>
        <v>Unidades para contenedores</v>
      </c>
      <c r="C3090" s="95" t="str">
        <f>IFERROR(VLOOKUP("UD",'Informacion '!P:Q,2,FALSE),"")</f>
        <v>Unidad</v>
      </c>
      <c r="D3090" s="94">
        <v>70</v>
      </c>
      <c r="E3090" s="84">
        <v>200</v>
      </c>
      <c r="F3090" s="83">
        <f t="shared" ca="1" si="137"/>
        <v>14000</v>
      </c>
    </row>
    <row r="3091" spans="1:6" ht="14.1" customHeight="1" x14ac:dyDescent="0.25">
      <c r="A3091" s="94" t="s">
        <v>13448</v>
      </c>
      <c r="B3091" s="82" t="str">
        <f ca="1">IFERROR(INDEX(UNSPSCDes,MATCH(INDIRECT(ADDRESS(ROW(),COLUMN()-1,4)),UNSPSCCode,0)),IF(INDIRECT(ADDRESS(ROW(),COLUMN()-1,4))="30201803","Unidades para contenedores",""))</f>
        <v>Unidades para contenedores</v>
      </c>
      <c r="C3091" s="95" t="str">
        <f>IFERROR(VLOOKUP("UD",'Informacion '!P:Q,2,FALSE),"")</f>
        <v>Unidad</v>
      </c>
      <c r="D3091" s="94">
        <v>65</v>
      </c>
      <c r="E3091" s="84">
        <v>225</v>
      </c>
      <c r="F3091" s="83">
        <f t="shared" ca="1" si="137"/>
        <v>14625</v>
      </c>
    </row>
    <row r="3092" spans="1:6" ht="14.1" customHeight="1" x14ac:dyDescent="0.25">
      <c r="A3092" s="94" t="s">
        <v>13448</v>
      </c>
      <c r="B3092" s="82" t="str">
        <f ca="1">IFERROR(INDEX(UNSPSCDes,MATCH(INDIRECT(ADDRESS(ROW(),COLUMN()-1,4)),UNSPSCCode,0)),IF(INDIRECT(ADDRESS(ROW(),COLUMN()-1,4))="30201803","Unidades para contenedores",""))</f>
        <v>Unidades para contenedores</v>
      </c>
      <c r="C3092" s="95" t="str">
        <f>IFERROR(VLOOKUP("UD",'Informacion '!P:Q,2,FALSE),"")</f>
        <v>Unidad</v>
      </c>
      <c r="D3092" s="94">
        <v>80</v>
      </c>
      <c r="E3092" s="84">
        <v>375</v>
      </c>
      <c r="F3092" s="83">
        <f t="shared" ca="1" si="137"/>
        <v>30000</v>
      </c>
    </row>
    <row r="3093" spans="1:6" ht="14.1" customHeight="1" x14ac:dyDescent="0.25">
      <c r="A3093" s="94" t="s">
        <v>13448</v>
      </c>
      <c r="B3093" s="82" t="str">
        <f ca="1">IFERROR(INDEX(UNSPSCDes,MATCH(INDIRECT(ADDRESS(ROW(),COLUMN()-1,4)),UNSPSCCode,0)),IF(INDIRECT(ADDRESS(ROW(),COLUMN()-1,4))="30201803","Unidades para contenedores",""))</f>
        <v>Unidades para contenedores</v>
      </c>
      <c r="C3093" s="95" t="str">
        <f>IFERROR(VLOOKUP("UD",'Informacion '!P:Q,2,FALSE),"")</f>
        <v>Unidad</v>
      </c>
      <c r="D3093" s="94">
        <v>90</v>
      </c>
      <c r="E3093" s="84">
        <v>450</v>
      </c>
      <c r="F3093" s="83">
        <f t="shared" ca="1" si="137"/>
        <v>40500</v>
      </c>
    </row>
    <row r="3094" spans="1:6" ht="14.1" customHeight="1" x14ac:dyDescent="0.25">
      <c r="A3094" s="94" t="s">
        <v>13448</v>
      </c>
      <c r="B3094" s="82" t="str">
        <f ca="1">IFERROR(INDEX(UNSPSCDes,MATCH(INDIRECT(ADDRESS(ROW(),COLUMN()-1,4)),UNSPSCCode,0)),IF(INDIRECT(ADDRESS(ROW(),COLUMN()-1,4))="30201803","Unidades para contenedores",""))</f>
        <v>Unidades para contenedores</v>
      </c>
      <c r="C3094" s="95" t="str">
        <f>IFERROR(VLOOKUP("UD",'Informacion '!P:Q,2,FALSE),"")</f>
        <v>Unidad</v>
      </c>
      <c r="D3094" s="94">
        <v>90</v>
      </c>
      <c r="E3094" s="84">
        <v>200</v>
      </c>
      <c r="F3094" s="83">
        <f t="shared" ca="1" si="137"/>
        <v>18000</v>
      </c>
    </row>
    <row r="3095" spans="1:6" ht="14.1" customHeight="1" x14ac:dyDescent="0.25">
      <c r="A3095" s="94" t="s">
        <v>3311</v>
      </c>
      <c r="B3095" s="82" t="str">
        <f t="shared" ref="B3095:B3102" ca="1" si="138">IFERROR(INDEX(UNSPSCDes,MATCH(INDIRECT(ADDRESS(ROW(),COLUMN()-1,4)),UNSPSCCode,0)),IF(INDIRECT(ADDRESS(ROW(),COLUMN()-1,4))="47121701","Bolsas de basura",""))</f>
        <v>Bolsas de basura</v>
      </c>
      <c r="C3095" s="95" t="str">
        <f>IFERROR(VLOOKUP("UD",'Informacion '!P:Q,2,FALSE),"")</f>
        <v>Unidad</v>
      </c>
      <c r="D3095" s="94">
        <v>40000</v>
      </c>
      <c r="E3095" s="84">
        <v>0.75</v>
      </c>
      <c r="F3095" s="83">
        <f t="shared" ca="1" si="137"/>
        <v>30000</v>
      </c>
    </row>
    <row r="3096" spans="1:6" ht="14.1" customHeight="1" x14ac:dyDescent="0.25">
      <c r="A3096" s="94" t="s">
        <v>3311</v>
      </c>
      <c r="B3096" s="82" t="str">
        <f t="shared" ca="1" si="138"/>
        <v>Bolsas de basura</v>
      </c>
      <c r="C3096" s="95" t="str">
        <f>IFERROR(VLOOKUP("UD",'Informacion '!P:Q,2,FALSE),"")</f>
        <v>Unidad</v>
      </c>
      <c r="D3096" s="94">
        <v>8000</v>
      </c>
      <c r="E3096" s="84">
        <v>2.4500000000000002</v>
      </c>
      <c r="F3096" s="83">
        <f t="shared" ca="1" si="137"/>
        <v>19600</v>
      </c>
    </row>
    <row r="3097" spans="1:6" ht="14.1" customHeight="1" x14ac:dyDescent="0.25">
      <c r="A3097" s="94" t="s">
        <v>3311</v>
      </c>
      <c r="B3097" s="82" t="str">
        <f t="shared" ca="1" si="138"/>
        <v>Bolsas de basura</v>
      </c>
      <c r="C3097" s="95" t="str">
        <f>IFERROR(VLOOKUP("UD",'Informacion '!P:Q,2,FALSE),"")</f>
        <v>Unidad</v>
      </c>
      <c r="D3097" s="94">
        <v>15000</v>
      </c>
      <c r="E3097" s="84">
        <v>3.32</v>
      </c>
      <c r="F3097" s="83">
        <f t="shared" ca="1" si="137"/>
        <v>49800</v>
      </c>
    </row>
    <row r="3098" spans="1:6" ht="14.1" customHeight="1" x14ac:dyDescent="0.25">
      <c r="A3098" s="94" t="s">
        <v>3311</v>
      </c>
      <c r="B3098" s="82" t="str">
        <f t="shared" ca="1" si="138"/>
        <v>Bolsas de basura</v>
      </c>
      <c r="C3098" s="95" t="str">
        <f>IFERROR(VLOOKUP("UD",'Informacion '!P:Q,2,FALSE),"")</f>
        <v>Unidad</v>
      </c>
      <c r="D3098" s="94">
        <v>10000</v>
      </c>
      <c r="E3098" s="84">
        <v>8.0500000000000007</v>
      </c>
      <c r="F3098" s="83">
        <f t="shared" ca="1" si="137"/>
        <v>80500</v>
      </c>
    </row>
    <row r="3099" spans="1:6" ht="14.1" customHeight="1" x14ac:dyDescent="0.25">
      <c r="A3099" s="94" t="s">
        <v>3311</v>
      </c>
      <c r="B3099" s="82" t="str">
        <f t="shared" ca="1" si="138"/>
        <v>Bolsas de basura</v>
      </c>
      <c r="C3099" s="95" t="str">
        <f>IFERROR(VLOOKUP("UD",'Informacion '!P:Q,2,FALSE),"")</f>
        <v>Unidad</v>
      </c>
      <c r="D3099" s="94">
        <v>37000</v>
      </c>
      <c r="E3099" s="84">
        <v>1.88</v>
      </c>
      <c r="F3099" s="83">
        <f t="shared" ca="1" si="137"/>
        <v>69560</v>
      </c>
    </row>
    <row r="3100" spans="1:6" ht="14.1" customHeight="1" x14ac:dyDescent="0.25">
      <c r="A3100" s="94" t="s">
        <v>3311</v>
      </c>
      <c r="B3100" s="82" t="str">
        <f t="shared" ca="1" si="138"/>
        <v>Bolsas de basura</v>
      </c>
      <c r="C3100" s="95" t="str">
        <f>IFERROR(VLOOKUP("UD",'Informacion '!P:Q,2,FALSE),"")</f>
        <v>Unidad</v>
      </c>
      <c r="D3100" s="94">
        <v>8000</v>
      </c>
      <c r="E3100" s="84">
        <v>2.4500000000000002</v>
      </c>
      <c r="F3100" s="83">
        <f t="shared" ca="1" si="137"/>
        <v>19600</v>
      </c>
    </row>
    <row r="3101" spans="1:6" ht="14.1" customHeight="1" x14ac:dyDescent="0.25">
      <c r="A3101" s="94" t="s">
        <v>3311</v>
      </c>
      <c r="B3101" s="82" t="str">
        <f t="shared" ca="1" si="138"/>
        <v>Bolsas de basura</v>
      </c>
      <c r="C3101" s="95" t="str">
        <f>IFERROR(VLOOKUP("UD",'Informacion '!P:Q,2,FALSE),"")</f>
        <v>Unidad</v>
      </c>
      <c r="D3101" s="94">
        <v>8000</v>
      </c>
      <c r="E3101" s="84">
        <v>5.0999999999999996</v>
      </c>
      <c r="F3101" s="83">
        <f t="shared" ca="1" si="137"/>
        <v>40800</v>
      </c>
    </row>
    <row r="3102" spans="1:6" ht="14.1" customHeight="1" x14ac:dyDescent="0.25">
      <c r="A3102" s="94" t="s">
        <v>3311</v>
      </c>
      <c r="B3102" s="82" t="str">
        <f t="shared" ca="1" si="138"/>
        <v>Bolsas de basura</v>
      </c>
      <c r="C3102" s="95" t="str">
        <f>IFERROR(VLOOKUP("UD",'Informacion '!P:Q,2,FALSE),"")</f>
        <v>Unidad</v>
      </c>
      <c r="D3102" s="94">
        <v>8000</v>
      </c>
      <c r="E3102" s="84">
        <v>10</v>
      </c>
      <c r="F3102" s="83">
        <f t="shared" ca="1" si="137"/>
        <v>80000</v>
      </c>
    </row>
    <row r="3103" spans="1:6" ht="14.1" customHeight="1" x14ac:dyDescent="0.25">
      <c r="A3103" s="94" t="s">
        <v>16889</v>
      </c>
      <c r="B3103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3103" s="95" t="str">
        <f>IFERROR(VLOOKUP("UD",'Informacion '!P:Q,2,FALSE),"")</f>
        <v>Unidad</v>
      </c>
      <c r="D3103" s="94">
        <v>580</v>
      </c>
      <c r="E3103" s="84">
        <v>85</v>
      </c>
      <c r="F3103" s="83">
        <f t="shared" ca="1" si="137"/>
        <v>49300</v>
      </c>
    </row>
    <row r="3104" spans="1:6" ht="14.1" customHeight="1" x14ac:dyDescent="0.25">
      <c r="A3104" s="94" t="s">
        <v>16889</v>
      </c>
      <c r="B3104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3104" s="95" t="str">
        <f>IFERROR(VLOOKUP("UD",'Informacion '!P:Q,2,FALSE),"")</f>
        <v>Unidad</v>
      </c>
      <c r="D3104" s="94">
        <v>375</v>
      </c>
      <c r="E3104" s="84">
        <v>325</v>
      </c>
      <c r="F3104" s="83">
        <f t="shared" ca="1" si="137"/>
        <v>121875</v>
      </c>
    </row>
    <row r="3105" spans="1:10" ht="14.1" customHeight="1" x14ac:dyDescent="0.25">
      <c r="A3105" s="94" t="s">
        <v>16889</v>
      </c>
      <c r="B3105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3105" s="95" t="str">
        <f>IFERROR(VLOOKUP("UD",'Informacion '!P:Q,2,FALSE),"")</f>
        <v>Unidad</v>
      </c>
      <c r="D3105" s="94">
        <v>35</v>
      </c>
      <c r="E3105" s="84">
        <v>350</v>
      </c>
      <c r="F3105" s="83">
        <f t="shared" ca="1" si="137"/>
        <v>12250</v>
      </c>
    </row>
    <row r="3106" spans="1:10" ht="14.1" customHeight="1" x14ac:dyDescent="0.25">
      <c r="A3106" s="94" t="s">
        <v>16889</v>
      </c>
      <c r="B3106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3106" s="95" t="str">
        <f>IFERROR(VLOOKUP("UD",'Informacion '!P:Q,2,FALSE),"")</f>
        <v>Unidad</v>
      </c>
      <c r="D3106" s="94">
        <v>165</v>
      </c>
      <c r="E3106" s="84">
        <v>260</v>
      </c>
      <c r="F3106" s="83">
        <f t="shared" ca="1" si="137"/>
        <v>42900</v>
      </c>
    </row>
    <row r="3107" spans="1:10" ht="14.1" customHeight="1" x14ac:dyDescent="0.25">
      <c r="A3107" s="94" t="s">
        <v>2417</v>
      </c>
      <c r="B3107" s="82" t="str">
        <f ca="1">IFERROR(INDEX(UNSPSCDes,MATCH(INDIRECT(ADDRESS(ROW(),COLUMN()-1,4)),UNSPSCCode,0)),IF(INDIRECT(ADDRESS(ROW(),COLUMN()-1,4))="47131503","Gamuzas o cueros para lavar",""))</f>
        <v>Gamuzas o cueros para lavar</v>
      </c>
      <c r="C3107" s="95" t="str">
        <f>IFERROR(VLOOKUP("UD",'Informacion '!P:Q,2,FALSE),"")</f>
        <v>Unidad</v>
      </c>
      <c r="D3107" s="94">
        <v>4</v>
      </c>
      <c r="E3107" s="84">
        <v>650</v>
      </c>
      <c r="F3107" s="83">
        <f t="shared" ca="1" si="137"/>
        <v>2600</v>
      </c>
    </row>
    <row r="3108" spans="1:10" ht="14.1" customHeight="1" x14ac:dyDescent="0.25">
      <c r="A3108" s="94" t="s">
        <v>2417</v>
      </c>
      <c r="B3108" s="82" t="str">
        <f ca="1">IFERROR(INDEX(UNSPSCDes,MATCH(INDIRECT(ADDRESS(ROW(),COLUMN()-1,4)),UNSPSCCode,0)),IF(INDIRECT(ADDRESS(ROW(),COLUMN()-1,4))="47131503","Gamuzas o cueros para lavar",""))</f>
        <v>Gamuzas o cueros para lavar</v>
      </c>
      <c r="C3108" s="95" t="str">
        <f>IFERROR(VLOOKUP("UD",'Informacion '!P:Q,2,FALSE),"")</f>
        <v>Unidad</v>
      </c>
      <c r="D3108" s="94">
        <v>110</v>
      </c>
      <c r="E3108" s="84">
        <v>45</v>
      </c>
      <c r="F3108" s="83">
        <f t="shared" ca="1" si="137"/>
        <v>4950</v>
      </c>
    </row>
    <row r="3109" spans="1:10" ht="14.1" customHeight="1" x14ac:dyDescent="0.25">
      <c r="A3109" s="94" t="s">
        <v>2417</v>
      </c>
      <c r="B3109" s="82" t="str">
        <f ca="1">IFERROR(INDEX(UNSPSCDes,MATCH(INDIRECT(ADDRESS(ROW(),COLUMN()-1,4)),UNSPSCCode,0)),IF(INDIRECT(ADDRESS(ROW(),COLUMN()-1,4))="47131503","Gamuzas o cueros para lavar",""))</f>
        <v>Gamuzas o cueros para lavar</v>
      </c>
      <c r="C3109" s="95" t="str">
        <f>IFERROR(VLOOKUP("UD",'Informacion '!P:Q,2,FALSE),"")</f>
        <v>Unidad</v>
      </c>
      <c r="D3109" s="94">
        <v>55</v>
      </c>
      <c r="E3109" s="84">
        <v>50</v>
      </c>
      <c r="F3109" s="83">
        <f t="shared" ca="1" si="137"/>
        <v>2750</v>
      </c>
    </row>
    <row r="3110" spans="1:10" ht="14.1" customHeight="1" x14ac:dyDescent="0.25">
      <c r="A3110" s="94" t="s">
        <v>10729</v>
      </c>
      <c r="B3110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3110" s="95" t="str">
        <f>IFERROR(VLOOKUP("UD",'Informacion '!P:Q,2,FALSE),"")</f>
        <v>Unidad</v>
      </c>
      <c r="D3110" s="94">
        <v>3</v>
      </c>
      <c r="E3110" s="84">
        <v>45000</v>
      </c>
      <c r="F3110" s="83">
        <f t="shared" ca="1" si="137"/>
        <v>135000</v>
      </c>
    </row>
    <row r="3111" spans="1:10" ht="14.1" customHeight="1" x14ac:dyDescent="0.25">
      <c r="A3111" s="94" t="s">
        <v>2417</v>
      </c>
      <c r="B3111" s="82" t="str">
        <f ca="1">IFERROR(INDEX(UNSPSCDes,MATCH(INDIRECT(ADDRESS(ROW(),COLUMN()-1,4)),UNSPSCCode,0)),IF(INDIRECT(ADDRESS(ROW(),COLUMN()-1,4))="47131503","Gamuzas o cueros para lavar",""))</f>
        <v>Gamuzas o cueros para lavar</v>
      </c>
      <c r="C3111" s="95" t="str">
        <f>IFERROR(VLOOKUP("UD",'Informacion '!P:Q,2,FALSE),"")</f>
        <v>Unidad</v>
      </c>
      <c r="D3111" s="94">
        <v>2</v>
      </c>
      <c r="E3111" s="84">
        <v>650</v>
      </c>
      <c r="F3111" s="83">
        <f t="shared" ca="1" si="137"/>
        <v>1300</v>
      </c>
    </row>
    <row r="3112" spans="1:10" ht="14.1" customHeight="1" x14ac:dyDescent="0.25">
      <c r="A3112" s="94" t="s">
        <v>2417</v>
      </c>
      <c r="B3112" s="82" t="str">
        <f ca="1">IFERROR(INDEX(UNSPSCDes,MATCH(INDIRECT(ADDRESS(ROW(),COLUMN()-1,4)),UNSPSCCode,0)),IF(INDIRECT(ADDRESS(ROW(),COLUMN()-1,4))="47131503","Gamuzas o cueros para lavar",""))</f>
        <v>Gamuzas o cueros para lavar</v>
      </c>
      <c r="C3112" s="95" t="str">
        <f>IFERROR(VLOOKUP("UD",'Informacion '!P:Q,2,FALSE),"")</f>
        <v>Unidad</v>
      </c>
      <c r="D3112" s="94">
        <v>100</v>
      </c>
      <c r="E3112" s="84">
        <v>45</v>
      </c>
      <c r="F3112" s="83">
        <f t="shared" ca="1" si="137"/>
        <v>4500</v>
      </c>
    </row>
    <row r="3113" spans="1:10" ht="14.1" customHeight="1" x14ac:dyDescent="0.25">
      <c r="A3113" s="94" t="s">
        <v>2417</v>
      </c>
      <c r="B3113" s="82" t="str">
        <f ca="1">IFERROR(INDEX(UNSPSCDes,MATCH(INDIRECT(ADDRESS(ROW(),COLUMN()-1,4)),UNSPSCCode,0)),IF(INDIRECT(ADDRESS(ROW(),COLUMN()-1,4))="47131503","Gamuzas o cueros para lavar",""))</f>
        <v>Gamuzas o cueros para lavar</v>
      </c>
      <c r="C3113" s="95" t="str">
        <f>IFERROR(VLOOKUP("UD",'Informacion '!P:Q,2,FALSE),"")</f>
        <v>Unidad</v>
      </c>
      <c r="D3113" s="94">
        <v>50</v>
      </c>
      <c r="E3113" s="84">
        <v>50</v>
      </c>
      <c r="F3113" s="83">
        <f t="shared" ca="1" si="137"/>
        <v>2500</v>
      </c>
    </row>
    <row r="3114" spans="1:10" ht="14.1" customHeight="1" x14ac:dyDescent="0.25">
      <c r="A3114" s="94" t="s">
        <v>10729</v>
      </c>
      <c r="B3114" s="82" t="str">
        <f ca="1">IFERROR(INDEX(UNSPSCDes,MATCH(INDIRECT(ADDRESS(ROW(),COLUMN()-1,4)),UNSPSCCode,0)),IF(INDIRECT(ADDRESS(ROW(),COLUMN()-1,4))="72102301","Supervisión de instalación, ajuste o mantenimiento de calderas",""))</f>
        <v>Supervisión de instalación, ajuste o mantenimiento de calderas</v>
      </c>
      <c r="C3114" s="95" t="str">
        <f>IFERROR(VLOOKUP("UD",'Informacion '!P:Q,2,FALSE),"")</f>
        <v>Unidad</v>
      </c>
      <c r="D3114" s="94">
        <v>1</v>
      </c>
      <c r="E3114" s="84">
        <v>55460</v>
      </c>
      <c r="F3114" s="83">
        <f t="shared" ca="1" si="137"/>
        <v>55460</v>
      </c>
    </row>
    <row r="3115" spans="1:10" ht="14.1" customHeight="1" x14ac:dyDescent="0.25">
      <c r="E3115" s="96" t="s">
        <v>7213</v>
      </c>
      <c r="F3115" s="87">
        <f ca="1">SUM(Table106[MONTO TOTAL ESTIMADO])</f>
        <v>2535325.7999999998</v>
      </c>
      <c r="H3115" s="39" t="str">
        <f>C3041</f>
        <v>Bienes</v>
      </c>
      <c r="I3115" s="39" t="str">
        <f>E3041</f>
        <v>No</v>
      </c>
      <c r="J3115" s="39" t="str">
        <f>D3041</f>
        <v>Comparacion de Precios</v>
      </c>
    </row>
    <row r="3117" spans="1:10" ht="33.950000000000003" customHeight="1" x14ac:dyDescent="0.25">
      <c r="A3117" s="77" t="s">
        <v>17233</v>
      </c>
      <c r="B3117" s="77" t="s">
        <v>4237</v>
      </c>
      <c r="C3117" s="77" t="s">
        <v>4743</v>
      </c>
      <c r="D3117" s="77" t="s">
        <v>9891</v>
      </c>
      <c r="E3117" s="77" t="s">
        <v>3089</v>
      </c>
      <c r="F3117" s="77" t="s">
        <v>18141</v>
      </c>
    </row>
    <row r="3118" spans="1:10" ht="14.1" customHeight="1" x14ac:dyDescent="0.25">
      <c r="A3118" s="79" t="s">
        <v>7103</v>
      </c>
      <c r="B3118" s="79" t="s">
        <v>3729</v>
      </c>
      <c r="C3118" s="79" t="s">
        <v>17215</v>
      </c>
      <c r="D3118" s="79" t="s">
        <v>16829</v>
      </c>
      <c r="E3118" s="79" t="s">
        <v>18247</v>
      </c>
      <c r="F3118" s="79"/>
    </row>
    <row r="3119" spans="1:10" ht="14.1" customHeight="1" x14ac:dyDescent="0.25">
      <c r="A3119" s="2" t="s">
        <v>6643</v>
      </c>
      <c r="B3119" s="80" t="s">
        <v>1046</v>
      </c>
      <c r="C3119" s="90">
        <v>43647</v>
      </c>
      <c r="D3119" s="2" t="s">
        <v>59</v>
      </c>
      <c r="E3119" s="92" t="s">
        <v>20066</v>
      </c>
      <c r="F3119" s="93" t="s">
        <v>5684</v>
      </c>
    </row>
    <row r="3120" spans="1:10" ht="14.1" customHeight="1" x14ac:dyDescent="0.25">
      <c r="A3120" s="1"/>
      <c r="B3120" s="80" t="s">
        <v>10788</v>
      </c>
      <c r="C3120" s="91">
        <f>IF(C3119="","",IF(AND(MONTH(C3119)&gt;=1,MONTH(C3119)&lt;=3),1,IF(AND(MONTH(C3119)&gt;=4,MONTH(C3119)&lt;=6),2,IF(AND(MONTH(C3119)&gt;=7,MONTH(C3119)&lt;=9),3,4))))</f>
        <v>3</v>
      </c>
      <c r="D3120" s="1"/>
      <c r="E3120" s="92" t="s">
        <v>14822</v>
      </c>
      <c r="F3120" s="93"/>
    </row>
    <row r="3121" spans="1:6" ht="14.1" customHeight="1" x14ac:dyDescent="0.25">
      <c r="A3121" s="1"/>
      <c r="B3121" s="80" t="s">
        <v>13758</v>
      </c>
      <c r="C3121" s="90">
        <v>43735</v>
      </c>
      <c r="D3121" s="1"/>
      <c r="E3121" s="92" t="s">
        <v>18636</v>
      </c>
      <c r="F3121" s="93"/>
    </row>
    <row r="3122" spans="1:6" ht="14.1" customHeight="1" x14ac:dyDescent="0.25">
      <c r="A3122" s="1"/>
      <c r="B3122" s="80" t="s">
        <v>10788</v>
      </c>
      <c r="C3122" s="91">
        <f>IF(C3121="","",IF(AND(MONTH(C3121)&gt;=1,MONTH(C3121)&lt;=3),1,IF(AND(MONTH(C3121)&gt;=4,MONTH(C3121)&lt;=6),2,IF(AND(MONTH(C3121)&gt;=7,MONTH(C3121)&lt;=9),3,4))))</f>
        <v>3</v>
      </c>
      <c r="D3122" s="1"/>
      <c r="E3122" s="92" t="s">
        <v>15990</v>
      </c>
      <c r="F3122" s="93"/>
    </row>
    <row r="3124" spans="1:6" ht="14.1" customHeight="1" x14ac:dyDescent="0.25">
      <c r="A3124" s="85" t="s">
        <v>15474</v>
      </c>
      <c r="B3124" s="85" t="s">
        <v>5027</v>
      </c>
      <c r="C3124" s="85" t="s">
        <v>17461</v>
      </c>
      <c r="D3124" s="85" t="s">
        <v>3935</v>
      </c>
      <c r="E3124" s="85" t="s">
        <v>10722</v>
      </c>
      <c r="F3124" s="85" t="s">
        <v>18237</v>
      </c>
    </row>
    <row r="3125" spans="1:6" ht="14.1" customHeight="1" x14ac:dyDescent="0.25">
      <c r="A3125" s="94" t="s">
        <v>2200</v>
      </c>
      <c r="B3125" s="82" t="str">
        <f t="shared" ref="B3125:B3156" ca="1" si="139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3125" s="95" t="str">
        <f>IFERROR(VLOOKUP("UD",'Informacion '!P:Q,2,FALSE),"")</f>
        <v>Unidad</v>
      </c>
      <c r="D3125" s="94">
        <v>81</v>
      </c>
      <c r="E3125" s="84">
        <v>62.69</v>
      </c>
      <c r="F3125" s="83">
        <f t="shared" ref="F3125:F3156" ca="1" si="140">INDIRECT(ADDRESS(ROW(),COLUMN()-2,4))*INDIRECT(ADDRESS(ROW(),COLUMN()-1,4))</f>
        <v>5077.8899999999994</v>
      </c>
    </row>
    <row r="3126" spans="1:6" ht="14.1" customHeight="1" x14ac:dyDescent="0.25">
      <c r="A3126" s="94" t="s">
        <v>2200</v>
      </c>
      <c r="B3126" s="82" t="str">
        <f t="shared" ca="1" si="139"/>
        <v>Servicios de laboratorios de análisis de sangre</v>
      </c>
      <c r="C3126" s="95" t="str">
        <f>IFERROR(VLOOKUP("UD",'Informacion '!P:Q,2,FALSE),"")</f>
        <v>Unidad</v>
      </c>
      <c r="D3126" s="94">
        <v>4</v>
      </c>
      <c r="E3126" s="84">
        <v>16808.400000000001</v>
      </c>
      <c r="F3126" s="83">
        <f t="shared" ca="1" si="140"/>
        <v>67233.600000000006</v>
      </c>
    </row>
    <row r="3127" spans="1:6" ht="14.1" customHeight="1" x14ac:dyDescent="0.25">
      <c r="A3127" s="94" t="s">
        <v>2200</v>
      </c>
      <c r="B3127" s="82" t="str">
        <f t="shared" ca="1" si="139"/>
        <v>Servicios de laboratorios de análisis de sangre</v>
      </c>
      <c r="C3127" s="95" t="str">
        <f>IFERROR(VLOOKUP("UD",'Informacion '!P:Q,2,FALSE),"")</f>
        <v>Unidad</v>
      </c>
      <c r="D3127" s="94">
        <v>24</v>
      </c>
      <c r="E3127" s="84">
        <v>7832</v>
      </c>
      <c r="F3127" s="83">
        <f t="shared" ca="1" si="140"/>
        <v>187968</v>
      </c>
    </row>
    <row r="3128" spans="1:6" ht="14.1" customHeight="1" x14ac:dyDescent="0.25">
      <c r="A3128" s="94" t="s">
        <v>2200</v>
      </c>
      <c r="B3128" s="82" t="str">
        <f t="shared" ca="1" si="139"/>
        <v>Servicios de laboratorios de análisis de sangre</v>
      </c>
      <c r="C3128" s="95" t="str">
        <f>IFERROR(VLOOKUP("UD",'Informacion '!P:Q,2,FALSE),"")</f>
        <v>Unidad</v>
      </c>
      <c r="D3128" s="94">
        <v>7</v>
      </c>
      <c r="E3128" s="84">
        <v>15812.92</v>
      </c>
      <c r="F3128" s="83">
        <f t="shared" ca="1" si="140"/>
        <v>110690.44</v>
      </c>
    </row>
    <row r="3129" spans="1:6" ht="14.1" customHeight="1" x14ac:dyDescent="0.25">
      <c r="A3129" s="94" t="s">
        <v>2200</v>
      </c>
      <c r="B3129" s="82" t="str">
        <f t="shared" ca="1" si="139"/>
        <v>Servicios de laboratorios de análisis de sangre</v>
      </c>
      <c r="C3129" s="95" t="str">
        <f>IFERROR(VLOOKUP("UD",'Informacion '!P:Q,2,FALSE),"")</f>
        <v>Unidad</v>
      </c>
      <c r="D3129" s="94">
        <v>7</v>
      </c>
      <c r="E3129" s="84">
        <v>27578.29</v>
      </c>
      <c r="F3129" s="83">
        <f t="shared" ca="1" si="140"/>
        <v>193048.03</v>
      </c>
    </row>
    <row r="3130" spans="1:6" ht="14.1" customHeight="1" x14ac:dyDescent="0.25">
      <c r="A3130" s="94" t="s">
        <v>2200</v>
      </c>
      <c r="B3130" s="82" t="str">
        <f t="shared" ca="1" si="139"/>
        <v>Servicios de laboratorios de análisis de sangre</v>
      </c>
      <c r="C3130" s="95" t="str">
        <f>IFERROR(VLOOKUP("UD",'Informacion '!P:Q,2,FALSE),"")</f>
        <v>Unidad</v>
      </c>
      <c r="D3130" s="94">
        <v>5</v>
      </c>
      <c r="E3130" s="84">
        <v>23936</v>
      </c>
      <c r="F3130" s="83">
        <f t="shared" ca="1" si="140"/>
        <v>119680</v>
      </c>
    </row>
    <row r="3131" spans="1:6" ht="14.1" customHeight="1" x14ac:dyDescent="0.25">
      <c r="A3131" s="94" t="s">
        <v>2200</v>
      </c>
      <c r="B3131" s="82" t="str">
        <f t="shared" ca="1" si="139"/>
        <v>Servicios de laboratorios de análisis de sangre</v>
      </c>
      <c r="C3131" s="95" t="str">
        <f>IFERROR(VLOOKUP("UD",'Informacion '!P:Q,2,FALSE),"")</f>
        <v>Unidad</v>
      </c>
      <c r="D3131" s="94">
        <v>7</v>
      </c>
      <c r="E3131" s="84">
        <v>17926.2</v>
      </c>
      <c r="F3131" s="83">
        <f t="shared" ca="1" si="140"/>
        <v>125483.40000000001</v>
      </c>
    </row>
    <row r="3132" spans="1:6" ht="14.1" customHeight="1" x14ac:dyDescent="0.25">
      <c r="A3132" s="94" t="s">
        <v>2200</v>
      </c>
      <c r="B3132" s="82" t="str">
        <f t="shared" ca="1" si="139"/>
        <v>Servicios de laboratorios de análisis de sangre</v>
      </c>
      <c r="C3132" s="95" t="str">
        <f>IFERROR(VLOOKUP("UD",'Informacion '!P:Q,2,FALSE),"")</f>
        <v>Unidad</v>
      </c>
      <c r="D3132" s="94">
        <v>4</v>
      </c>
      <c r="E3132" s="84">
        <v>7946.36</v>
      </c>
      <c r="F3132" s="83">
        <f t="shared" ca="1" si="140"/>
        <v>31785.439999999999</v>
      </c>
    </row>
    <row r="3133" spans="1:6" ht="14.1" customHeight="1" x14ac:dyDescent="0.25">
      <c r="A3133" s="94" t="s">
        <v>2200</v>
      </c>
      <c r="B3133" s="82" t="str">
        <f t="shared" ca="1" si="139"/>
        <v>Servicios de laboratorios de análisis de sangre</v>
      </c>
      <c r="C3133" s="95" t="str">
        <f>IFERROR(VLOOKUP("UD",'Informacion '!P:Q,2,FALSE),"")</f>
        <v>Unidad</v>
      </c>
      <c r="D3133" s="94">
        <v>384</v>
      </c>
      <c r="E3133" s="84">
        <v>21.84</v>
      </c>
      <c r="F3133" s="83">
        <f t="shared" ca="1" si="140"/>
        <v>8386.56</v>
      </c>
    </row>
    <row r="3134" spans="1:6" ht="14.1" customHeight="1" x14ac:dyDescent="0.25">
      <c r="A3134" s="94" t="s">
        <v>2200</v>
      </c>
      <c r="B3134" s="82" t="str">
        <f t="shared" ca="1" si="139"/>
        <v>Servicios de laboratorios de análisis de sangre</v>
      </c>
      <c r="C3134" s="95" t="str">
        <f>IFERROR(VLOOKUP("UD",'Informacion '!P:Q,2,FALSE),"")</f>
        <v>Unidad</v>
      </c>
      <c r="D3134" s="94">
        <v>1100</v>
      </c>
      <c r="E3134" s="84">
        <v>24.59</v>
      </c>
      <c r="F3134" s="83">
        <f t="shared" ca="1" si="140"/>
        <v>27049</v>
      </c>
    </row>
    <row r="3135" spans="1:6" ht="14.1" customHeight="1" x14ac:dyDescent="0.25">
      <c r="A3135" s="94" t="s">
        <v>2200</v>
      </c>
      <c r="B3135" s="82" t="str">
        <f t="shared" ca="1" si="139"/>
        <v>Servicios de laboratorios de análisis de sangre</v>
      </c>
      <c r="C3135" s="95" t="str">
        <f>IFERROR(VLOOKUP("UD",'Informacion '!P:Q,2,FALSE),"")</f>
        <v>Unidad</v>
      </c>
      <c r="D3135" s="94">
        <v>875</v>
      </c>
      <c r="E3135" s="84">
        <v>24.61</v>
      </c>
      <c r="F3135" s="83">
        <f t="shared" ca="1" si="140"/>
        <v>21533.75</v>
      </c>
    </row>
    <row r="3136" spans="1:6" ht="14.1" customHeight="1" x14ac:dyDescent="0.25">
      <c r="A3136" s="94" t="s">
        <v>2200</v>
      </c>
      <c r="B3136" s="82" t="str">
        <f t="shared" ca="1" si="139"/>
        <v>Servicios de laboratorios de análisis de sangre</v>
      </c>
      <c r="C3136" s="95" t="str">
        <f>IFERROR(VLOOKUP("UD",'Informacion '!P:Q,2,FALSE),"")</f>
        <v>Unidad</v>
      </c>
      <c r="D3136" s="94">
        <v>3026</v>
      </c>
      <c r="E3136" s="84">
        <v>24.44</v>
      </c>
      <c r="F3136" s="83">
        <f t="shared" ca="1" si="140"/>
        <v>73955.44</v>
      </c>
    </row>
    <row r="3137" spans="1:6" ht="14.1" customHeight="1" x14ac:dyDescent="0.25">
      <c r="A3137" s="94" t="s">
        <v>2200</v>
      </c>
      <c r="B3137" s="82" t="str">
        <f t="shared" ca="1" si="139"/>
        <v>Servicios de laboratorios de análisis de sangre</v>
      </c>
      <c r="C3137" s="95" t="str">
        <f>IFERROR(VLOOKUP("UD",'Informacion '!P:Q,2,FALSE),"")</f>
        <v>Unidad</v>
      </c>
      <c r="D3137" s="94">
        <v>479</v>
      </c>
      <c r="E3137" s="84">
        <v>26.12</v>
      </c>
      <c r="F3137" s="83">
        <f t="shared" ca="1" si="140"/>
        <v>12511.480000000001</v>
      </c>
    </row>
    <row r="3138" spans="1:6" ht="14.1" customHeight="1" x14ac:dyDescent="0.25">
      <c r="A3138" s="94" t="s">
        <v>2200</v>
      </c>
      <c r="B3138" s="82" t="str">
        <f t="shared" ca="1" si="139"/>
        <v>Servicios de laboratorios de análisis de sangre</v>
      </c>
      <c r="C3138" s="95" t="str">
        <f>IFERROR(VLOOKUP("UD",'Informacion '!P:Q,2,FALSE),"")</f>
        <v>Unidad</v>
      </c>
      <c r="D3138" s="94">
        <v>3597</v>
      </c>
      <c r="E3138" s="84">
        <v>24.49</v>
      </c>
      <c r="F3138" s="83">
        <f t="shared" ca="1" si="140"/>
        <v>88090.53</v>
      </c>
    </row>
    <row r="3139" spans="1:6" ht="14.1" customHeight="1" x14ac:dyDescent="0.25">
      <c r="A3139" s="94" t="s">
        <v>2200</v>
      </c>
      <c r="B3139" s="82" t="str">
        <f t="shared" ca="1" si="139"/>
        <v>Servicios de laboratorios de análisis de sangre</v>
      </c>
      <c r="C3139" s="95" t="str">
        <f>IFERROR(VLOOKUP("UD",'Informacion '!P:Q,2,FALSE),"")</f>
        <v>Unidad</v>
      </c>
      <c r="D3139" s="94">
        <v>999</v>
      </c>
      <c r="E3139" s="84">
        <v>24.59</v>
      </c>
      <c r="F3139" s="83">
        <f t="shared" ca="1" si="140"/>
        <v>24565.41</v>
      </c>
    </row>
    <row r="3140" spans="1:6" ht="14.1" customHeight="1" x14ac:dyDescent="0.25">
      <c r="A3140" s="94" t="s">
        <v>2200</v>
      </c>
      <c r="B3140" s="82" t="str">
        <f t="shared" ca="1" si="139"/>
        <v>Servicios de laboratorios de análisis de sangre</v>
      </c>
      <c r="C3140" s="95" t="str">
        <f>IFERROR(VLOOKUP("UD",'Informacion '!P:Q,2,FALSE),"")</f>
        <v>Unidad</v>
      </c>
      <c r="D3140" s="94">
        <v>765</v>
      </c>
      <c r="E3140" s="84">
        <v>24.59</v>
      </c>
      <c r="F3140" s="83">
        <f t="shared" ca="1" si="140"/>
        <v>18811.349999999999</v>
      </c>
    </row>
    <row r="3141" spans="1:6" ht="14.1" customHeight="1" x14ac:dyDescent="0.25">
      <c r="A3141" s="94" t="s">
        <v>2200</v>
      </c>
      <c r="B3141" s="82" t="str">
        <f t="shared" ca="1" si="139"/>
        <v>Servicios de laboratorios de análisis de sangre</v>
      </c>
      <c r="C3141" s="95" t="str">
        <f>IFERROR(VLOOKUP("UD",'Informacion '!P:Q,2,FALSE),"")</f>
        <v>Unidad</v>
      </c>
      <c r="D3141" s="94">
        <v>4</v>
      </c>
      <c r="E3141" s="84">
        <v>14.48</v>
      </c>
      <c r="F3141" s="83">
        <f t="shared" ca="1" si="140"/>
        <v>57.92</v>
      </c>
    </row>
    <row r="3142" spans="1:6" ht="14.1" customHeight="1" x14ac:dyDescent="0.25">
      <c r="A3142" s="94" t="s">
        <v>2200</v>
      </c>
      <c r="B3142" s="82" t="str">
        <f t="shared" ca="1" si="139"/>
        <v>Servicios de laboratorios de análisis de sangre</v>
      </c>
      <c r="C3142" s="95" t="str">
        <f>IFERROR(VLOOKUP("UD",'Informacion '!P:Q,2,FALSE),"")</f>
        <v>Unidad</v>
      </c>
      <c r="D3142" s="94">
        <v>4</v>
      </c>
      <c r="E3142" s="84">
        <v>24.58</v>
      </c>
      <c r="F3142" s="83">
        <f t="shared" ca="1" si="140"/>
        <v>98.32</v>
      </c>
    </row>
    <row r="3143" spans="1:6" ht="14.1" customHeight="1" x14ac:dyDescent="0.25">
      <c r="A3143" s="94" t="s">
        <v>2200</v>
      </c>
      <c r="B3143" s="82" t="str">
        <f t="shared" ca="1" si="139"/>
        <v>Servicios de laboratorios de análisis de sangre</v>
      </c>
      <c r="C3143" s="95" t="str">
        <f>IFERROR(VLOOKUP("UD",'Informacion '!P:Q,2,FALSE),"")</f>
        <v>Unidad</v>
      </c>
      <c r="D3143" s="94">
        <v>1599</v>
      </c>
      <c r="E3143" s="84">
        <v>24.56</v>
      </c>
      <c r="F3143" s="83">
        <f t="shared" ca="1" si="140"/>
        <v>39271.439999999995</v>
      </c>
    </row>
    <row r="3144" spans="1:6" ht="14.1" customHeight="1" x14ac:dyDescent="0.25">
      <c r="A3144" s="94" t="s">
        <v>2200</v>
      </c>
      <c r="B3144" s="82" t="str">
        <f t="shared" ca="1" si="139"/>
        <v>Servicios de laboratorios de análisis de sangre</v>
      </c>
      <c r="C3144" s="95" t="str">
        <f>IFERROR(VLOOKUP("UD",'Informacion '!P:Q,2,FALSE),"")</f>
        <v>Unidad</v>
      </c>
      <c r="D3144" s="94">
        <v>96</v>
      </c>
      <c r="E3144" s="84">
        <v>24.72</v>
      </c>
      <c r="F3144" s="83">
        <f t="shared" ca="1" si="140"/>
        <v>2373.12</v>
      </c>
    </row>
    <row r="3145" spans="1:6" ht="14.1" customHeight="1" x14ac:dyDescent="0.25">
      <c r="A3145" s="94" t="s">
        <v>2200</v>
      </c>
      <c r="B3145" s="82" t="str">
        <f t="shared" ca="1" si="139"/>
        <v>Servicios de laboratorios de análisis de sangre</v>
      </c>
      <c r="C3145" s="95" t="str">
        <f>IFERROR(VLOOKUP("UD",'Informacion '!P:Q,2,FALSE),"")</f>
        <v>Unidad</v>
      </c>
      <c r="D3145" s="94">
        <v>33</v>
      </c>
      <c r="E3145" s="84">
        <v>24.72</v>
      </c>
      <c r="F3145" s="83">
        <f t="shared" ca="1" si="140"/>
        <v>815.76</v>
      </c>
    </row>
    <row r="3146" spans="1:6" ht="14.1" customHeight="1" x14ac:dyDescent="0.25">
      <c r="A3146" s="94" t="s">
        <v>2200</v>
      </c>
      <c r="B3146" s="82" t="str">
        <f t="shared" ca="1" si="139"/>
        <v>Servicios de laboratorios de análisis de sangre</v>
      </c>
      <c r="C3146" s="95" t="str">
        <f>IFERROR(VLOOKUP("UD",'Informacion '!P:Q,2,FALSE),"")</f>
        <v>Unidad</v>
      </c>
      <c r="D3146" s="94">
        <v>2595</v>
      </c>
      <c r="E3146" s="84">
        <v>24.62</v>
      </c>
      <c r="F3146" s="83">
        <f t="shared" ca="1" si="140"/>
        <v>63888.9</v>
      </c>
    </row>
    <row r="3147" spans="1:6" ht="14.1" customHeight="1" x14ac:dyDescent="0.25">
      <c r="A3147" s="94" t="s">
        <v>2200</v>
      </c>
      <c r="B3147" s="82" t="str">
        <f t="shared" ca="1" si="139"/>
        <v>Servicios de laboratorios de análisis de sangre</v>
      </c>
      <c r="C3147" s="95" t="str">
        <f>IFERROR(VLOOKUP("UD",'Informacion '!P:Q,2,FALSE),"")</f>
        <v>Unidad</v>
      </c>
      <c r="D3147" s="94">
        <v>5493</v>
      </c>
      <c r="E3147" s="84">
        <v>24.6</v>
      </c>
      <c r="F3147" s="83">
        <f t="shared" ca="1" si="140"/>
        <v>135127.80000000002</v>
      </c>
    </row>
    <row r="3148" spans="1:6" ht="14.1" customHeight="1" x14ac:dyDescent="0.25">
      <c r="A3148" s="94" t="s">
        <v>2200</v>
      </c>
      <c r="B3148" s="82" t="str">
        <f t="shared" ca="1" si="139"/>
        <v>Servicios de laboratorios de análisis de sangre</v>
      </c>
      <c r="C3148" s="95" t="str">
        <f>IFERROR(VLOOKUP("UD",'Informacion '!P:Q,2,FALSE),"")</f>
        <v>Unidad</v>
      </c>
      <c r="D3148" s="94">
        <v>1351</v>
      </c>
      <c r="E3148" s="84">
        <v>24.93</v>
      </c>
      <c r="F3148" s="83">
        <f t="shared" ca="1" si="140"/>
        <v>33680.43</v>
      </c>
    </row>
    <row r="3149" spans="1:6" ht="14.1" customHeight="1" x14ac:dyDescent="0.25">
      <c r="A3149" s="94" t="s">
        <v>2200</v>
      </c>
      <c r="B3149" s="82" t="str">
        <f t="shared" ca="1" si="139"/>
        <v>Servicios de laboratorios de análisis de sangre</v>
      </c>
      <c r="C3149" s="95" t="str">
        <f>IFERROR(VLOOKUP("UD",'Informacion '!P:Q,2,FALSE),"")</f>
        <v>Unidad</v>
      </c>
      <c r="D3149" s="94">
        <v>384</v>
      </c>
      <c r="E3149" s="84">
        <v>31.2</v>
      </c>
      <c r="F3149" s="83">
        <f t="shared" ca="1" si="140"/>
        <v>11980.8</v>
      </c>
    </row>
    <row r="3150" spans="1:6" ht="14.1" customHeight="1" x14ac:dyDescent="0.25">
      <c r="A3150" s="94" t="s">
        <v>2200</v>
      </c>
      <c r="B3150" s="82" t="str">
        <f t="shared" ca="1" si="139"/>
        <v>Servicios de laboratorios de análisis de sangre</v>
      </c>
      <c r="C3150" s="95" t="str">
        <f>IFERROR(VLOOKUP("UD",'Informacion '!P:Q,2,FALSE),"")</f>
        <v>Unidad</v>
      </c>
      <c r="D3150" s="94">
        <v>6178</v>
      </c>
      <c r="E3150" s="84">
        <v>24.61</v>
      </c>
      <c r="F3150" s="83">
        <f t="shared" ca="1" si="140"/>
        <v>152040.57999999999</v>
      </c>
    </row>
    <row r="3151" spans="1:6" ht="14.1" customHeight="1" x14ac:dyDescent="0.25">
      <c r="A3151" s="94" t="s">
        <v>2200</v>
      </c>
      <c r="B3151" s="82" t="str">
        <f t="shared" ca="1" si="139"/>
        <v>Servicios de laboratorios de análisis de sangre</v>
      </c>
      <c r="C3151" s="95" t="str">
        <f>IFERROR(VLOOKUP("UD",'Informacion '!P:Q,2,FALSE),"")</f>
        <v>Unidad</v>
      </c>
      <c r="D3151" s="94">
        <v>840</v>
      </c>
      <c r="E3151" s="84">
        <v>168.63</v>
      </c>
      <c r="F3151" s="83">
        <f t="shared" ca="1" si="140"/>
        <v>141649.19999999998</v>
      </c>
    </row>
    <row r="3152" spans="1:6" ht="14.1" customHeight="1" x14ac:dyDescent="0.25">
      <c r="A3152" s="94" t="s">
        <v>2200</v>
      </c>
      <c r="B3152" s="82" t="str">
        <f t="shared" ca="1" si="139"/>
        <v>Servicios de laboratorios de análisis de sangre</v>
      </c>
      <c r="C3152" s="95" t="str">
        <f>IFERROR(VLOOKUP("UD",'Informacion '!P:Q,2,FALSE),"")</f>
        <v>Unidad</v>
      </c>
      <c r="D3152" s="94">
        <v>2007</v>
      </c>
      <c r="E3152" s="84">
        <v>81.83</v>
      </c>
      <c r="F3152" s="83">
        <f t="shared" ca="1" si="140"/>
        <v>164232.81</v>
      </c>
    </row>
    <row r="3153" spans="1:6" ht="14.1" customHeight="1" x14ac:dyDescent="0.25">
      <c r="A3153" s="94" t="s">
        <v>2200</v>
      </c>
      <c r="B3153" s="82" t="str">
        <f t="shared" ca="1" si="139"/>
        <v>Servicios de laboratorios de análisis de sangre</v>
      </c>
      <c r="C3153" s="95" t="str">
        <f>IFERROR(VLOOKUP("UD",'Informacion '!P:Q,2,FALSE),"")</f>
        <v>Unidad</v>
      </c>
      <c r="D3153" s="94">
        <v>351</v>
      </c>
      <c r="E3153" s="84">
        <v>24.6</v>
      </c>
      <c r="F3153" s="83">
        <f t="shared" ca="1" si="140"/>
        <v>8634.6</v>
      </c>
    </row>
    <row r="3154" spans="1:6" ht="14.1" customHeight="1" x14ac:dyDescent="0.25">
      <c r="A3154" s="94" t="s">
        <v>2200</v>
      </c>
      <c r="B3154" s="82" t="str">
        <f t="shared" ca="1" si="139"/>
        <v>Servicios de laboratorios de análisis de sangre</v>
      </c>
      <c r="C3154" s="95" t="str">
        <f>IFERROR(VLOOKUP("UD",'Informacion '!P:Q,2,FALSE),"")</f>
        <v>Unidad</v>
      </c>
      <c r="D3154" s="94">
        <v>1498</v>
      </c>
      <c r="E3154" s="84">
        <v>24.62</v>
      </c>
      <c r="F3154" s="83">
        <f t="shared" ca="1" si="140"/>
        <v>36880.76</v>
      </c>
    </row>
    <row r="3155" spans="1:6" ht="14.1" customHeight="1" x14ac:dyDescent="0.25">
      <c r="A3155" s="94" t="s">
        <v>2200</v>
      </c>
      <c r="B3155" s="82" t="str">
        <f t="shared" ca="1" si="139"/>
        <v>Servicios de laboratorios de análisis de sangre</v>
      </c>
      <c r="C3155" s="95" t="str">
        <f>IFERROR(VLOOKUP("UD",'Informacion '!P:Q,2,FALSE),"")</f>
        <v>Unidad</v>
      </c>
      <c r="D3155" s="94">
        <v>360</v>
      </c>
      <c r="E3155" s="84">
        <v>115.95</v>
      </c>
      <c r="F3155" s="83">
        <f t="shared" ca="1" si="140"/>
        <v>41742</v>
      </c>
    </row>
    <row r="3156" spans="1:6" ht="14.1" customHeight="1" x14ac:dyDescent="0.25">
      <c r="A3156" s="94" t="s">
        <v>2200</v>
      </c>
      <c r="B3156" s="82" t="str">
        <f t="shared" ca="1" si="139"/>
        <v>Servicios de laboratorios de análisis de sangre</v>
      </c>
      <c r="C3156" s="95" t="str">
        <f>IFERROR(VLOOKUP("UD",'Informacion '!P:Q,2,FALSE),"")</f>
        <v>Unidad</v>
      </c>
      <c r="D3156" s="94">
        <v>598</v>
      </c>
      <c r="E3156" s="84">
        <v>29.55</v>
      </c>
      <c r="F3156" s="83">
        <f t="shared" ca="1" si="140"/>
        <v>17670.900000000001</v>
      </c>
    </row>
    <row r="3157" spans="1:6" ht="14.1" customHeight="1" x14ac:dyDescent="0.25">
      <c r="A3157" s="94" t="s">
        <v>2200</v>
      </c>
      <c r="B3157" s="82" t="str">
        <f t="shared" ref="B3157:B3182" ca="1" si="14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3157" s="95" t="str">
        <f>IFERROR(VLOOKUP("UD",'Informacion '!P:Q,2,FALSE),"")</f>
        <v>Unidad</v>
      </c>
      <c r="D3157" s="94">
        <v>6</v>
      </c>
      <c r="E3157" s="84">
        <v>2473.62</v>
      </c>
      <c r="F3157" s="83">
        <f t="shared" ref="F3157:F3182" ca="1" si="142">INDIRECT(ADDRESS(ROW(),COLUMN()-2,4))*INDIRECT(ADDRESS(ROW(),COLUMN()-1,4))</f>
        <v>14841.72</v>
      </c>
    </row>
    <row r="3158" spans="1:6" ht="14.1" customHeight="1" x14ac:dyDescent="0.25">
      <c r="A3158" s="94" t="s">
        <v>2200</v>
      </c>
      <c r="B3158" s="82" t="str">
        <f t="shared" ca="1" si="141"/>
        <v>Servicios de laboratorios de análisis de sangre</v>
      </c>
      <c r="C3158" s="95" t="str">
        <f>IFERROR(VLOOKUP("UD",'Informacion '!P:Q,2,FALSE),"")</f>
        <v>Unidad</v>
      </c>
      <c r="D3158" s="94">
        <v>1084</v>
      </c>
      <c r="E3158" s="84">
        <v>24.6</v>
      </c>
      <c r="F3158" s="83">
        <f t="shared" ca="1" si="142"/>
        <v>26666.400000000001</v>
      </c>
    </row>
    <row r="3159" spans="1:6" ht="14.1" customHeight="1" x14ac:dyDescent="0.25">
      <c r="A3159" s="94" t="s">
        <v>2200</v>
      </c>
      <c r="B3159" s="82" t="str">
        <f t="shared" ca="1" si="141"/>
        <v>Servicios de laboratorios de análisis de sangre</v>
      </c>
      <c r="C3159" s="95" t="str">
        <f>IFERROR(VLOOKUP("UD",'Informacion '!P:Q,2,FALSE),"")</f>
        <v>Unidad</v>
      </c>
      <c r="D3159" s="94">
        <v>5000</v>
      </c>
      <c r="E3159" s="84">
        <v>5.09</v>
      </c>
      <c r="F3159" s="83">
        <f t="shared" ca="1" si="142"/>
        <v>25450</v>
      </c>
    </row>
    <row r="3160" spans="1:6" ht="14.1" customHeight="1" x14ac:dyDescent="0.25">
      <c r="A3160" s="94" t="s">
        <v>2200</v>
      </c>
      <c r="B3160" s="82" t="str">
        <f t="shared" ca="1" si="141"/>
        <v>Servicios de laboratorios de análisis de sangre</v>
      </c>
      <c r="C3160" s="95" t="str">
        <f>IFERROR(VLOOKUP("UD",'Informacion '!P:Q,2,FALSE),"")</f>
        <v>Unidad</v>
      </c>
      <c r="D3160" s="94">
        <v>7000</v>
      </c>
      <c r="E3160" s="84">
        <v>1.94</v>
      </c>
      <c r="F3160" s="83">
        <f t="shared" ca="1" si="142"/>
        <v>13580</v>
      </c>
    </row>
    <row r="3161" spans="1:6" ht="14.1" customHeight="1" x14ac:dyDescent="0.25">
      <c r="A3161" s="94" t="s">
        <v>2200</v>
      </c>
      <c r="B3161" s="82" t="str">
        <f t="shared" ca="1" si="141"/>
        <v>Servicios de laboratorios de análisis de sangre</v>
      </c>
      <c r="C3161" s="95" t="str">
        <f>IFERROR(VLOOKUP("UD",'Informacion '!P:Q,2,FALSE),"")</f>
        <v>Unidad</v>
      </c>
      <c r="D3161" s="94">
        <v>2739</v>
      </c>
      <c r="E3161" s="84">
        <v>24.63</v>
      </c>
      <c r="F3161" s="83">
        <f t="shared" ca="1" si="142"/>
        <v>67461.569999999992</v>
      </c>
    </row>
    <row r="3162" spans="1:6" ht="14.1" customHeight="1" x14ac:dyDescent="0.25">
      <c r="A3162" s="94" t="s">
        <v>2200</v>
      </c>
      <c r="B3162" s="82" t="str">
        <f t="shared" ca="1" si="141"/>
        <v>Servicios de laboratorios de análisis de sangre</v>
      </c>
      <c r="C3162" s="95" t="str">
        <f>IFERROR(VLOOKUP("UD",'Informacion '!P:Q,2,FALSE),"")</f>
        <v>Unidad</v>
      </c>
      <c r="D3162" s="94">
        <v>4363</v>
      </c>
      <c r="E3162" s="84">
        <v>24.63</v>
      </c>
      <c r="F3162" s="83">
        <f t="shared" ca="1" si="142"/>
        <v>107460.69</v>
      </c>
    </row>
    <row r="3163" spans="1:6" ht="14.1" customHeight="1" x14ac:dyDescent="0.25">
      <c r="A3163" s="94" t="s">
        <v>2200</v>
      </c>
      <c r="B3163" s="82" t="str">
        <f t="shared" ca="1" si="141"/>
        <v>Servicios de laboratorios de análisis de sangre</v>
      </c>
      <c r="C3163" s="95" t="str">
        <f>IFERROR(VLOOKUP("UD",'Informacion '!P:Q,2,FALSE),"")</f>
        <v>Unidad</v>
      </c>
      <c r="D3163" s="94">
        <v>7</v>
      </c>
      <c r="E3163" s="84">
        <v>38900</v>
      </c>
      <c r="F3163" s="83">
        <f t="shared" ca="1" si="142"/>
        <v>272300</v>
      </c>
    </row>
    <row r="3164" spans="1:6" ht="14.1" customHeight="1" x14ac:dyDescent="0.25">
      <c r="A3164" s="94" t="s">
        <v>2200</v>
      </c>
      <c r="B3164" s="82" t="str">
        <f t="shared" ca="1" si="141"/>
        <v>Servicios de laboratorios de análisis de sangre</v>
      </c>
      <c r="C3164" s="95" t="str">
        <f>IFERROR(VLOOKUP("UD",'Informacion '!P:Q,2,FALSE),"")</f>
        <v>Unidad</v>
      </c>
      <c r="D3164" s="94">
        <v>114</v>
      </c>
      <c r="E3164" s="84">
        <v>48.5</v>
      </c>
      <c r="F3164" s="83">
        <f t="shared" ca="1" si="142"/>
        <v>5529</v>
      </c>
    </row>
    <row r="3165" spans="1:6" ht="14.1" customHeight="1" x14ac:dyDescent="0.25">
      <c r="A3165" s="94" t="s">
        <v>2200</v>
      </c>
      <c r="B3165" s="82" t="str">
        <f t="shared" ca="1" si="141"/>
        <v>Servicios de laboratorios de análisis de sangre</v>
      </c>
      <c r="C3165" s="95" t="str">
        <f>IFERROR(VLOOKUP("UD",'Informacion '!P:Q,2,FALSE),"")</f>
        <v>Unidad</v>
      </c>
      <c r="D3165" s="94">
        <v>4</v>
      </c>
      <c r="E3165" s="84">
        <v>14142.36</v>
      </c>
      <c r="F3165" s="83">
        <f t="shared" ca="1" si="142"/>
        <v>56569.440000000002</v>
      </c>
    </row>
    <row r="3166" spans="1:6" ht="14.1" customHeight="1" x14ac:dyDescent="0.25">
      <c r="A3166" s="94" t="s">
        <v>2200</v>
      </c>
      <c r="B3166" s="82" t="str">
        <f t="shared" ca="1" si="141"/>
        <v>Servicios de laboratorios de análisis de sangre</v>
      </c>
      <c r="C3166" s="95" t="str">
        <f>IFERROR(VLOOKUP("UD",'Informacion '!P:Q,2,FALSE),"")</f>
        <v>Unidad</v>
      </c>
      <c r="D3166" s="94">
        <v>5</v>
      </c>
      <c r="E3166" s="84">
        <v>3824.94</v>
      </c>
      <c r="F3166" s="83">
        <f t="shared" ca="1" si="142"/>
        <v>19124.7</v>
      </c>
    </row>
    <row r="3167" spans="1:6" ht="14.1" customHeight="1" x14ac:dyDescent="0.25">
      <c r="A3167" s="94" t="s">
        <v>2200</v>
      </c>
      <c r="B3167" s="82" t="str">
        <f t="shared" ca="1" si="141"/>
        <v>Servicios de laboratorios de análisis de sangre</v>
      </c>
      <c r="C3167" s="95" t="str">
        <f>IFERROR(VLOOKUP("UD",'Informacion '!P:Q,2,FALSE),"")</f>
        <v>Unidad</v>
      </c>
      <c r="D3167" s="94">
        <v>4</v>
      </c>
      <c r="E3167" s="84">
        <v>3205.05</v>
      </c>
      <c r="F3167" s="83">
        <f t="shared" ca="1" si="142"/>
        <v>12820.2</v>
      </c>
    </row>
    <row r="3168" spans="1:6" ht="14.1" customHeight="1" x14ac:dyDescent="0.25">
      <c r="A3168" s="94" t="s">
        <v>2200</v>
      </c>
      <c r="B3168" s="82" t="str">
        <f t="shared" ca="1" si="141"/>
        <v>Servicios de laboratorios de análisis de sangre</v>
      </c>
      <c r="C3168" s="95" t="str">
        <f>IFERROR(VLOOKUP("UD",'Informacion '!P:Q,2,FALSE),"")</f>
        <v>Unidad</v>
      </c>
      <c r="D3168" s="94">
        <v>4930</v>
      </c>
      <c r="E3168" s="84">
        <v>21.84</v>
      </c>
      <c r="F3168" s="83">
        <f t="shared" ca="1" si="142"/>
        <v>107671.2</v>
      </c>
    </row>
    <row r="3169" spans="1:10" ht="14.1" customHeight="1" x14ac:dyDescent="0.25">
      <c r="A3169" s="94" t="s">
        <v>2200</v>
      </c>
      <c r="B3169" s="82" t="str">
        <f t="shared" ca="1" si="141"/>
        <v>Servicios de laboratorios de análisis de sangre</v>
      </c>
      <c r="C3169" s="95" t="str">
        <f>IFERROR(VLOOKUP("UD",'Informacion '!P:Q,2,FALSE),"")</f>
        <v>Unidad</v>
      </c>
      <c r="D3169" s="94">
        <v>267</v>
      </c>
      <c r="E3169" s="84">
        <v>162.5</v>
      </c>
      <c r="F3169" s="83">
        <f t="shared" ca="1" si="142"/>
        <v>43387.5</v>
      </c>
    </row>
    <row r="3170" spans="1:10" ht="14.1" customHeight="1" x14ac:dyDescent="0.25">
      <c r="A3170" s="94" t="s">
        <v>2200</v>
      </c>
      <c r="B3170" s="82" t="str">
        <f t="shared" ca="1" si="141"/>
        <v>Servicios de laboratorios de análisis de sangre</v>
      </c>
      <c r="C3170" s="95" t="str">
        <f>IFERROR(VLOOKUP("UD",'Informacion '!P:Q,2,FALSE),"")</f>
        <v>Unidad</v>
      </c>
      <c r="D3170" s="94">
        <v>5</v>
      </c>
      <c r="E3170" s="84">
        <v>6912</v>
      </c>
      <c r="F3170" s="83">
        <f t="shared" ca="1" si="142"/>
        <v>34560</v>
      </c>
    </row>
    <row r="3171" spans="1:10" ht="14.1" customHeight="1" x14ac:dyDescent="0.25">
      <c r="A3171" s="94" t="s">
        <v>2200</v>
      </c>
      <c r="B3171" s="82" t="str">
        <f t="shared" ca="1" si="141"/>
        <v>Servicios de laboratorios de análisis de sangre</v>
      </c>
      <c r="C3171" s="95" t="str">
        <f>IFERROR(VLOOKUP("UD",'Informacion '!P:Q,2,FALSE),"")</f>
        <v>Unidad</v>
      </c>
      <c r="D3171" s="94">
        <v>872</v>
      </c>
      <c r="E3171" s="84">
        <v>68.739999999999995</v>
      </c>
      <c r="F3171" s="83">
        <f t="shared" ca="1" si="142"/>
        <v>59941.279999999999</v>
      </c>
    </row>
    <row r="3172" spans="1:10" ht="14.1" customHeight="1" x14ac:dyDescent="0.25">
      <c r="A3172" s="94" t="s">
        <v>2200</v>
      </c>
      <c r="B3172" s="82" t="str">
        <f t="shared" ca="1" si="141"/>
        <v>Servicios de laboratorios de análisis de sangre</v>
      </c>
      <c r="C3172" s="95" t="str">
        <f>IFERROR(VLOOKUP("UD",'Informacion '!P:Q,2,FALSE),"")</f>
        <v>Unidad</v>
      </c>
      <c r="D3172" s="94">
        <v>2618</v>
      </c>
      <c r="E3172" s="84">
        <v>21.84</v>
      </c>
      <c r="F3172" s="83">
        <f t="shared" ca="1" si="142"/>
        <v>57177.120000000003</v>
      </c>
    </row>
    <row r="3173" spans="1:10" ht="14.1" customHeight="1" x14ac:dyDescent="0.25">
      <c r="A3173" s="94" t="s">
        <v>2200</v>
      </c>
      <c r="B3173" s="82" t="str">
        <f t="shared" ca="1" si="141"/>
        <v>Servicios de laboratorios de análisis de sangre</v>
      </c>
      <c r="C3173" s="95" t="str">
        <f>IFERROR(VLOOKUP("UD",'Informacion '!P:Q,2,FALSE),"")</f>
        <v>Unidad</v>
      </c>
      <c r="D3173" s="94">
        <v>3</v>
      </c>
      <c r="E3173" s="84">
        <v>2558.17</v>
      </c>
      <c r="F3173" s="83">
        <f t="shared" ca="1" si="142"/>
        <v>7674.51</v>
      </c>
    </row>
    <row r="3174" spans="1:10" ht="14.1" customHeight="1" x14ac:dyDescent="0.25">
      <c r="A3174" s="94" t="s">
        <v>2200</v>
      </c>
      <c r="B3174" s="82" t="str">
        <f t="shared" ca="1" si="141"/>
        <v>Servicios de laboratorios de análisis de sangre</v>
      </c>
      <c r="C3174" s="95" t="str">
        <f>IFERROR(VLOOKUP("UD",'Informacion '!P:Q,2,FALSE),"")</f>
        <v>Unidad</v>
      </c>
      <c r="D3174" s="94">
        <v>32030</v>
      </c>
      <c r="E3174" s="84">
        <v>213.52</v>
      </c>
      <c r="F3174" s="83">
        <f t="shared" ca="1" si="142"/>
        <v>6839045.6000000006</v>
      </c>
    </row>
    <row r="3175" spans="1:10" ht="14.1" customHeight="1" x14ac:dyDescent="0.25">
      <c r="A3175" s="94" t="s">
        <v>2200</v>
      </c>
      <c r="B3175" s="82" t="str">
        <f t="shared" ca="1" si="141"/>
        <v>Servicios de laboratorios de análisis de sangre</v>
      </c>
      <c r="C3175" s="95" t="str">
        <f>IFERROR(VLOOKUP("UD",'Informacion '!P:Q,2,FALSE),"")</f>
        <v>Unidad</v>
      </c>
      <c r="D3175" s="94">
        <v>214</v>
      </c>
      <c r="E3175" s="84">
        <v>65.5</v>
      </c>
      <c r="F3175" s="83">
        <f t="shared" ca="1" si="142"/>
        <v>14017</v>
      </c>
    </row>
    <row r="3176" spans="1:10" ht="14.1" customHeight="1" x14ac:dyDescent="0.25">
      <c r="A3176" s="94" t="s">
        <v>2200</v>
      </c>
      <c r="B3176" s="82" t="str">
        <f t="shared" ca="1" si="141"/>
        <v>Servicios de laboratorios de análisis de sangre</v>
      </c>
      <c r="C3176" s="95" t="str">
        <f>IFERROR(VLOOKUP("UD",'Informacion '!P:Q,2,FALSE),"")</f>
        <v>Unidad</v>
      </c>
      <c r="D3176" s="94">
        <v>6</v>
      </c>
      <c r="E3176" s="84">
        <v>494.17</v>
      </c>
      <c r="F3176" s="83">
        <f t="shared" ca="1" si="142"/>
        <v>2965.02</v>
      </c>
    </row>
    <row r="3177" spans="1:10" ht="14.1" customHeight="1" x14ac:dyDescent="0.25">
      <c r="A3177" s="94" t="s">
        <v>2200</v>
      </c>
      <c r="B3177" s="82" t="str">
        <f t="shared" ca="1" si="141"/>
        <v>Servicios de laboratorios de análisis de sangre</v>
      </c>
      <c r="C3177" s="95" t="str">
        <f>IFERROR(VLOOKUP("UD",'Informacion '!P:Q,2,FALSE),"")</f>
        <v>Unidad</v>
      </c>
      <c r="D3177" s="94">
        <v>6</v>
      </c>
      <c r="E3177" s="84">
        <v>494.2</v>
      </c>
      <c r="F3177" s="83">
        <f t="shared" ca="1" si="142"/>
        <v>2965.2</v>
      </c>
    </row>
    <row r="3178" spans="1:10" ht="14.1" customHeight="1" x14ac:dyDescent="0.25">
      <c r="A3178" s="94" t="s">
        <v>2200</v>
      </c>
      <c r="B3178" s="82" t="str">
        <f t="shared" ca="1" si="141"/>
        <v>Servicios de laboratorios de análisis de sangre</v>
      </c>
      <c r="C3178" s="95" t="str">
        <f>IFERROR(VLOOKUP("UD",'Informacion '!P:Q,2,FALSE),"")</f>
        <v>Unidad</v>
      </c>
      <c r="D3178" s="94">
        <v>53</v>
      </c>
      <c r="E3178" s="84">
        <v>872.92</v>
      </c>
      <c r="F3178" s="83">
        <f t="shared" ca="1" si="142"/>
        <v>46264.759999999995</v>
      </c>
    </row>
    <row r="3179" spans="1:10" ht="14.1" customHeight="1" x14ac:dyDescent="0.25">
      <c r="A3179" s="94" t="s">
        <v>2200</v>
      </c>
      <c r="B3179" s="82" t="str">
        <f t="shared" ca="1" si="141"/>
        <v>Servicios de laboratorios de análisis de sangre</v>
      </c>
      <c r="C3179" s="95" t="str">
        <f>IFERROR(VLOOKUP("UD",'Informacion '!P:Q,2,FALSE),"")</f>
        <v>Unidad</v>
      </c>
      <c r="D3179" s="94">
        <v>8</v>
      </c>
      <c r="E3179" s="84">
        <v>983.4</v>
      </c>
      <c r="F3179" s="83">
        <f t="shared" ca="1" si="142"/>
        <v>7867.2</v>
      </c>
    </row>
    <row r="3180" spans="1:10" ht="14.1" customHeight="1" x14ac:dyDescent="0.25">
      <c r="A3180" s="94" t="s">
        <v>2200</v>
      </c>
      <c r="B3180" s="82" t="str">
        <f t="shared" ca="1" si="141"/>
        <v>Servicios de laboratorios de análisis de sangre</v>
      </c>
      <c r="C3180" s="95" t="str">
        <f>IFERROR(VLOOKUP("UD",'Informacion '!P:Q,2,FALSE),"")</f>
        <v>Unidad</v>
      </c>
      <c r="D3180" s="94">
        <v>9</v>
      </c>
      <c r="E3180" s="84">
        <v>983.4</v>
      </c>
      <c r="F3180" s="83">
        <f t="shared" ca="1" si="142"/>
        <v>8850.6</v>
      </c>
    </row>
    <row r="3181" spans="1:10" ht="14.1" customHeight="1" x14ac:dyDescent="0.25">
      <c r="A3181" s="94" t="s">
        <v>2200</v>
      </c>
      <c r="B3181" s="82" t="str">
        <f t="shared" ca="1" si="141"/>
        <v>Servicios de laboratorios de análisis de sangre</v>
      </c>
      <c r="C3181" s="95" t="str">
        <f>IFERROR(VLOOKUP("UD",'Informacion '!P:Q,2,FALSE),"")</f>
        <v>Unidad</v>
      </c>
      <c r="D3181" s="94">
        <v>3</v>
      </c>
      <c r="E3181" s="84">
        <v>21024.17</v>
      </c>
      <c r="F3181" s="83">
        <f t="shared" ca="1" si="142"/>
        <v>63072.509999999995</v>
      </c>
    </row>
    <row r="3182" spans="1:10" ht="14.1" customHeight="1" x14ac:dyDescent="0.25">
      <c r="A3182" s="94" t="s">
        <v>2200</v>
      </c>
      <c r="B3182" s="82" t="str">
        <f t="shared" ca="1" si="141"/>
        <v>Servicios de laboratorios de análisis de sangre</v>
      </c>
      <c r="C3182" s="95" t="str">
        <f>IFERROR(VLOOKUP("UD",'Informacion '!P:Q,2,FALSE),"")</f>
        <v>Unidad</v>
      </c>
      <c r="D3182" s="94">
        <v>3</v>
      </c>
      <c r="E3182" s="84">
        <v>21024.17</v>
      </c>
      <c r="F3182" s="83">
        <f t="shared" ca="1" si="142"/>
        <v>63072.509999999995</v>
      </c>
    </row>
    <row r="3183" spans="1:10" ht="14.1" customHeight="1" x14ac:dyDescent="0.25">
      <c r="E3183" s="96" t="s">
        <v>7213</v>
      </c>
      <c r="F3183" s="87">
        <f ca="1">SUM(Table107[MONTO TOTAL ESTIMADO])</f>
        <v>9946351.3899999969</v>
      </c>
      <c r="H3183" s="39" t="str">
        <f>C3118</f>
        <v>Bienes</v>
      </c>
      <c r="I3183" s="39" t="str">
        <f>E3118</f>
        <v>No</v>
      </c>
      <c r="J3183" s="39" t="str">
        <f>D3118</f>
        <v/>
      </c>
    </row>
    <row r="3185" spans="1:6" ht="33.950000000000003" customHeight="1" x14ac:dyDescent="0.25">
      <c r="A3185" s="77" t="s">
        <v>17233</v>
      </c>
      <c r="B3185" s="77" t="s">
        <v>4237</v>
      </c>
      <c r="C3185" s="77" t="s">
        <v>4743</v>
      </c>
      <c r="D3185" s="77" t="s">
        <v>9891</v>
      </c>
      <c r="E3185" s="77" t="s">
        <v>3089</v>
      </c>
      <c r="F3185" s="77" t="s">
        <v>18141</v>
      </c>
    </row>
    <row r="3186" spans="1:6" ht="14.1" customHeight="1" x14ac:dyDescent="0.25">
      <c r="A3186" s="79" t="s">
        <v>16591</v>
      </c>
      <c r="B3186" s="79" t="s">
        <v>79</v>
      </c>
      <c r="C3186" s="79" t="s">
        <v>17215</v>
      </c>
      <c r="D3186" s="79" t="s">
        <v>17798</v>
      </c>
      <c r="E3186" s="79" t="s">
        <v>18247</v>
      </c>
      <c r="F3186" s="79"/>
    </row>
    <row r="3187" spans="1:6" ht="14.1" customHeight="1" x14ac:dyDescent="0.25">
      <c r="A3187" s="2" t="s">
        <v>6643</v>
      </c>
      <c r="B3187" s="80" t="s">
        <v>1046</v>
      </c>
      <c r="C3187" s="90">
        <v>43556</v>
      </c>
      <c r="D3187" s="2" t="s">
        <v>59</v>
      </c>
      <c r="E3187" s="92" t="s">
        <v>20066</v>
      </c>
      <c r="F3187" s="93"/>
    </row>
    <row r="3188" spans="1:6" ht="14.1" customHeight="1" x14ac:dyDescent="0.25">
      <c r="A3188" s="1"/>
      <c r="B3188" s="80" t="s">
        <v>10788</v>
      </c>
      <c r="C3188" s="91">
        <f>IF(C3187="","",IF(AND(MONTH(C3187)&gt;=1,MONTH(C3187)&lt;=3),1,IF(AND(MONTH(C3187)&gt;=4,MONTH(C3187)&lt;=6),2,IF(AND(MONTH(C3187)&gt;=7,MONTH(C3187)&lt;=9),3,4))))</f>
        <v>2</v>
      </c>
      <c r="D3188" s="1"/>
      <c r="E3188" s="92" t="s">
        <v>14822</v>
      </c>
      <c r="F3188" s="93"/>
    </row>
    <row r="3189" spans="1:6" ht="14.1" customHeight="1" x14ac:dyDescent="0.25">
      <c r="A3189" s="1"/>
      <c r="B3189" s="80" t="s">
        <v>13758</v>
      </c>
      <c r="C3189" s="90">
        <v>43644</v>
      </c>
      <c r="D3189" s="1"/>
      <c r="E3189" s="92" t="s">
        <v>18636</v>
      </c>
      <c r="F3189" s="93"/>
    </row>
    <row r="3190" spans="1:6" ht="14.1" customHeight="1" x14ac:dyDescent="0.25">
      <c r="A3190" s="1"/>
      <c r="B3190" s="80" t="s">
        <v>10788</v>
      </c>
      <c r="C3190" s="91">
        <f>IF(C3189="","",IF(AND(MONTH(C3189)&gt;=1,MONTH(C3189)&lt;=3),1,IF(AND(MONTH(C3189)&gt;=4,MONTH(C3189)&lt;=6),2,IF(AND(MONTH(C3189)&gt;=7,MONTH(C3189)&lt;=9),3,4))))</f>
        <v>2</v>
      </c>
      <c r="D3190" s="1"/>
      <c r="E3190" s="92" t="s">
        <v>15990</v>
      </c>
      <c r="F3190" s="93"/>
    </row>
    <row r="3192" spans="1:6" ht="14.1" customHeight="1" x14ac:dyDescent="0.25">
      <c r="A3192" s="85" t="s">
        <v>15474</v>
      </c>
      <c r="B3192" s="85" t="s">
        <v>5027</v>
      </c>
      <c r="C3192" s="85" t="s">
        <v>17461</v>
      </c>
      <c r="D3192" s="85" t="s">
        <v>3935</v>
      </c>
      <c r="E3192" s="85" t="s">
        <v>10722</v>
      </c>
      <c r="F3192" s="85" t="s">
        <v>18237</v>
      </c>
    </row>
    <row r="3193" spans="1:6" ht="14.1" customHeight="1" x14ac:dyDescent="0.25">
      <c r="A3193" s="94" t="s">
        <v>9475</v>
      </c>
      <c r="B3193" s="82" t="str">
        <f ca="1">IFERROR(INDEX(UNSPSCDes,MATCH(INDIRECT(ADDRESS(ROW(),COLUMN()-1,4)),UNSPSCCode,0)),IF(INDIRECT(ADDRESS(ROW(),COLUMN()-1,4))="42221503","Catéteres venosos centrales",""))</f>
        <v>Catéteres venosos centrales</v>
      </c>
      <c r="C3193" s="95" t="str">
        <f>IFERROR(VLOOKUP("UD",'Informacion '!P:Q,2,FALSE),"")</f>
        <v>Unidad</v>
      </c>
      <c r="D3193" s="94">
        <v>34</v>
      </c>
      <c r="E3193" s="84">
        <v>1952.87</v>
      </c>
      <c r="F3193" s="83">
        <f t="shared" ref="F3193:F3233" ca="1" si="143">INDIRECT(ADDRESS(ROW(),COLUMN()-2,4))*INDIRECT(ADDRESS(ROW(),COLUMN()-1,4))</f>
        <v>66397.58</v>
      </c>
    </row>
    <row r="3194" spans="1:6" ht="14.1" customHeight="1" x14ac:dyDescent="0.25">
      <c r="A3194" s="94" t="s">
        <v>18811</v>
      </c>
      <c r="B3194" s="82" t="str">
        <f t="shared" ref="B3194:B3199" ca="1" si="144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3194" s="95" t="str">
        <f>IFERROR(VLOOKUP("UD",'Informacion '!P:Q,2,FALSE),"")</f>
        <v>Unidad</v>
      </c>
      <c r="D3194" s="94">
        <v>35</v>
      </c>
      <c r="E3194" s="84">
        <v>110</v>
      </c>
      <c r="F3194" s="83">
        <f t="shared" ca="1" si="143"/>
        <v>3850</v>
      </c>
    </row>
    <row r="3195" spans="1:6" ht="14.1" customHeight="1" x14ac:dyDescent="0.25">
      <c r="A3195" s="94" t="s">
        <v>18811</v>
      </c>
      <c r="B3195" s="82" t="str">
        <f t="shared" ca="1" si="144"/>
        <v>Bandejas mayo para el canto o puestos mayo para uso quirúrgico o sus accesorios</v>
      </c>
      <c r="C3195" s="95" t="str">
        <f>IFERROR(VLOOKUP("UD",'Informacion '!P:Q,2,FALSE),"")</f>
        <v>Unidad</v>
      </c>
      <c r="D3195" s="94">
        <v>6</v>
      </c>
      <c r="E3195" s="84">
        <v>149.74</v>
      </c>
      <c r="F3195" s="83">
        <f t="shared" ca="1" si="143"/>
        <v>898.44</v>
      </c>
    </row>
    <row r="3196" spans="1:6" ht="14.1" customHeight="1" x14ac:dyDescent="0.25">
      <c r="A3196" s="94" t="s">
        <v>18811</v>
      </c>
      <c r="B3196" s="82" t="str">
        <f t="shared" ca="1" si="144"/>
        <v>Bandejas mayo para el canto o puestos mayo para uso quirúrgico o sus accesorios</v>
      </c>
      <c r="C3196" s="95" t="str">
        <f>IFERROR(VLOOKUP("UD",'Informacion '!P:Q,2,FALSE),"")</f>
        <v>Unidad</v>
      </c>
      <c r="D3196" s="94">
        <v>8</v>
      </c>
      <c r="E3196" s="84">
        <v>53.1</v>
      </c>
      <c r="F3196" s="83">
        <f t="shared" ca="1" si="143"/>
        <v>424.8</v>
      </c>
    </row>
    <row r="3197" spans="1:6" ht="14.1" customHeight="1" x14ac:dyDescent="0.25">
      <c r="A3197" s="94" t="s">
        <v>18811</v>
      </c>
      <c r="B3197" s="82" t="str">
        <f t="shared" ca="1" si="144"/>
        <v>Bandejas mayo para el canto o puestos mayo para uso quirúrgico o sus accesorios</v>
      </c>
      <c r="C3197" s="95" t="str">
        <f>IFERROR(VLOOKUP("UD",'Informacion '!P:Q,2,FALSE),"")</f>
        <v>Unidad</v>
      </c>
      <c r="D3197" s="94">
        <v>11</v>
      </c>
      <c r="E3197" s="84">
        <v>170.62</v>
      </c>
      <c r="F3197" s="83">
        <f t="shared" ca="1" si="143"/>
        <v>1876.8200000000002</v>
      </c>
    </row>
    <row r="3198" spans="1:6" ht="14.1" customHeight="1" x14ac:dyDescent="0.25">
      <c r="A3198" s="94" t="s">
        <v>18811</v>
      </c>
      <c r="B3198" s="82" t="str">
        <f t="shared" ca="1" si="144"/>
        <v>Bandejas mayo para el canto o puestos mayo para uso quirúrgico o sus accesorios</v>
      </c>
      <c r="C3198" s="95" t="str">
        <f>IFERROR(VLOOKUP("UD",'Informacion '!P:Q,2,FALSE),"")</f>
        <v>Unidad</v>
      </c>
      <c r="D3198" s="94">
        <v>6</v>
      </c>
      <c r="E3198" s="84">
        <v>167.45</v>
      </c>
      <c r="F3198" s="83">
        <f t="shared" ca="1" si="143"/>
        <v>1004.6999999999999</v>
      </c>
    </row>
    <row r="3199" spans="1:6" ht="14.1" customHeight="1" x14ac:dyDescent="0.25">
      <c r="A3199" s="94" t="s">
        <v>18811</v>
      </c>
      <c r="B3199" s="82" t="str">
        <f t="shared" ca="1" si="144"/>
        <v>Bandejas mayo para el canto o puestos mayo para uso quirúrgico o sus accesorios</v>
      </c>
      <c r="C3199" s="95" t="str">
        <f>IFERROR(VLOOKUP("UD",'Informacion '!P:Q,2,FALSE),"")</f>
        <v>Unidad</v>
      </c>
      <c r="D3199" s="94">
        <v>17</v>
      </c>
      <c r="E3199" s="84">
        <v>56.65</v>
      </c>
      <c r="F3199" s="83">
        <f t="shared" ca="1" si="143"/>
        <v>963.05</v>
      </c>
    </row>
    <row r="3200" spans="1:6" ht="14.1" customHeight="1" x14ac:dyDescent="0.25">
      <c r="A3200" s="94" t="s">
        <v>10248</v>
      </c>
      <c r="B3200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3200" s="95" t="str">
        <f>IFERROR(VLOOKUP("UD",'Informacion '!P:Q,2,FALSE),"")</f>
        <v>Unidad</v>
      </c>
      <c r="D3200" s="94">
        <v>4</v>
      </c>
      <c r="E3200" s="84">
        <v>83.44</v>
      </c>
      <c r="F3200" s="83">
        <f t="shared" ca="1" si="143"/>
        <v>333.76</v>
      </c>
    </row>
    <row r="3201" spans="1:6" ht="14.1" customHeight="1" x14ac:dyDescent="0.25">
      <c r="A3201" s="94" t="s">
        <v>12824</v>
      </c>
      <c r="B320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01" s="95" t="str">
        <f>IFERROR(VLOOKUP("UD",'Informacion '!P:Q,2,FALSE),"")</f>
        <v>Unidad</v>
      </c>
      <c r="D3201" s="94">
        <v>412</v>
      </c>
      <c r="E3201" s="84">
        <v>52.5</v>
      </c>
      <c r="F3201" s="83">
        <f t="shared" ca="1" si="143"/>
        <v>21630</v>
      </c>
    </row>
    <row r="3202" spans="1:6" ht="14.1" customHeight="1" x14ac:dyDescent="0.25">
      <c r="A3202" s="94" t="s">
        <v>8742</v>
      </c>
      <c r="B3202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3202" s="95" t="str">
        <f>IFERROR(VLOOKUP("UD",'Informacion '!P:Q,2,FALSE),"")</f>
        <v>Unidad</v>
      </c>
      <c r="D3202" s="94">
        <v>2</v>
      </c>
      <c r="E3202" s="84">
        <v>848.28</v>
      </c>
      <c r="F3202" s="83">
        <f t="shared" ca="1" si="143"/>
        <v>1696.56</v>
      </c>
    </row>
    <row r="3203" spans="1:6" ht="14.1" customHeight="1" x14ac:dyDescent="0.25">
      <c r="A3203" s="94" t="s">
        <v>3767</v>
      </c>
      <c r="B3203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203" s="95" t="str">
        <f>IFERROR(VLOOKUP("UD",'Informacion '!P:Q,2,FALSE),"")</f>
        <v>Unidad</v>
      </c>
      <c r="D3203" s="94">
        <v>640</v>
      </c>
      <c r="E3203" s="84">
        <v>45</v>
      </c>
      <c r="F3203" s="83">
        <f t="shared" ca="1" si="143"/>
        <v>28800</v>
      </c>
    </row>
    <row r="3204" spans="1:6" ht="14.1" customHeight="1" x14ac:dyDescent="0.25">
      <c r="A3204" s="94" t="s">
        <v>3767</v>
      </c>
      <c r="B3204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204" s="95" t="str">
        <f>IFERROR(VLOOKUP("UD",'Informacion '!P:Q,2,FALSE),"")</f>
        <v>Unidad</v>
      </c>
      <c r="D3204" s="94">
        <v>1998</v>
      </c>
      <c r="E3204" s="84">
        <v>71.989999999999995</v>
      </c>
      <c r="F3204" s="83">
        <f t="shared" ca="1" si="143"/>
        <v>143836.01999999999</v>
      </c>
    </row>
    <row r="3205" spans="1:6" ht="14.1" customHeight="1" x14ac:dyDescent="0.25">
      <c r="A3205" s="94" t="s">
        <v>3767</v>
      </c>
      <c r="B3205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205" s="95" t="str">
        <f>IFERROR(VLOOKUP("UD",'Informacion '!P:Q,2,FALSE),"")</f>
        <v>Unidad</v>
      </c>
      <c r="D3205" s="94">
        <v>2293</v>
      </c>
      <c r="E3205" s="84">
        <v>72</v>
      </c>
      <c r="F3205" s="83">
        <f t="shared" ca="1" si="143"/>
        <v>165096</v>
      </c>
    </row>
    <row r="3206" spans="1:6" ht="14.1" customHeight="1" x14ac:dyDescent="0.25">
      <c r="A3206" s="94" t="s">
        <v>18410</v>
      </c>
      <c r="B3206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3206" s="95" t="str">
        <f>IFERROR(VLOOKUP("UD",'Informacion '!P:Q,2,FALSE),"")</f>
        <v>Unidad</v>
      </c>
      <c r="D3206" s="94">
        <v>2</v>
      </c>
      <c r="E3206" s="84">
        <v>15031.87</v>
      </c>
      <c r="F3206" s="83">
        <f t="shared" ca="1" si="143"/>
        <v>30063.74</v>
      </c>
    </row>
    <row r="3207" spans="1:6" ht="14.1" customHeight="1" x14ac:dyDescent="0.25">
      <c r="A3207" s="94" t="s">
        <v>3767</v>
      </c>
      <c r="B3207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207" s="95" t="str">
        <f>IFERROR(VLOOKUP("UD",'Informacion '!P:Q,2,FALSE),"")</f>
        <v>Unidad</v>
      </c>
      <c r="D3207" s="94">
        <v>53</v>
      </c>
      <c r="E3207" s="84">
        <v>45</v>
      </c>
      <c r="F3207" s="83">
        <f t="shared" ca="1" si="143"/>
        <v>2385</v>
      </c>
    </row>
    <row r="3208" spans="1:6" ht="14.1" customHeight="1" x14ac:dyDescent="0.25">
      <c r="A3208" s="94" t="s">
        <v>3767</v>
      </c>
      <c r="B3208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208" s="95" t="str">
        <f>IFERROR(VLOOKUP("UD",'Informacion '!P:Q,2,FALSE),"")</f>
        <v>Unidad</v>
      </c>
      <c r="D3208" s="94">
        <v>3606</v>
      </c>
      <c r="E3208" s="84">
        <v>45</v>
      </c>
      <c r="F3208" s="83">
        <f t="shared" ca="1" si="143"/>
        <v>162270</v>
      </c>
    </row>
    <row r="3209" spans="1:6" ht="14.1" customHeight="1" x14ac:dyDescent="0.25">
      <c r="A3209" s="94" t="s">
        <v>12824</v>
      </c>
      <c r="B320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09" s="95" t="str">
        <f>IFERROR(VLOOKUP("UD",'Informacion '!P:Q,2,FALSE),"")</f>
        <v>Unidad</v>
      </c>
      <c r="D3209" s="94">
        <v>5</v>
      </c>
      <c r="E3209" s="84">
        <v>1153.49</v>
      </c>
      <c r="F3209" s="83">
        <f t="shared" ca="1" si="143"/>
        <v>5767.45</v>
      </c>
    </row>
    <row r="3210" spans="1:6" ht="14.1" customHeight="1" x14ac:dyDescent="0.25">
      <c r="A3210" s="94" t="s">
        <v>12824</v>
      </c>
      <c r="B321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10" s="95" t="str">
        <f>IFERROR(VLOOKUP("UD",'Informacion '!P:Q,2,FALSE),"")</f>
        <v>Unidad</v>
      </c>
      <c r="D3210" s="94">
        <v>10</v>
      </c>
      <c r="E3210" s="84">
        <v>1947</v>
      </c>
      <c r="F3210" s="83">
        <f t="shared" ca="1" si="143"/>
        <v>19470</v>
      </c>
    </row>
    <row r="3211" spans="1:6" ht="14.1" customHeight="1" x14ac:dyDescent="0.25">
      <c r="A3211" s="94" t="s">
        <v>10248</v>
      </c>
      <c r="B3211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3211" s="95" t="str">
        <f>IFERROR(VLOOKUP("UD",'Informacion '!P:Q,2,FALSE),"")</f>
        <v>Unidad</v>
      </c>
      <c r="D3211" s="94">
        <v>365</v>
      </c>
      <c r="E3211" s="84">
        <v>83.44</v>
      </c>
      <c r="F3211" s="83">
        <f t="shared" ca="1" si="143"/>
        <v>30455.599999999999</v>
      </c>
    </row>
    <row r="3212" spans="1:6" ht="14.1" customHeight="1" x14ac:dyDescent="0.25">
      <c r="A3212" s="94" t="s">
        <v>12824</v>
      </c>
      <c r="B321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12" s="95" t="str">
        <f>IFERROR(VLOOKUP("UD",'Informacion '!P:Q,2,FALSE),"")</f>
        <v>Unidad</v>
      </c>
      <c r="D3212" s="94">
        <v>4</v>
      </c>
      <c r="E3212" s="84">
        <v>19.37</v>
      </c>
      <c r="F3212" s="83">
        <f t="shared" ca="1" si="143"/>
        <v>77.48</v>
      </c>
    </row>
    <row r="3213" spans="1:6" ht="14.1" customHeight="1" x14ac:dyDescent="0.25">
      <c r="A3213" s="94" t="s">
        <v>12824</v>
      </c>
      <c r="B321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13" s="95" t="str">
        <f>IFERROR(VLOOKUP("UD",'Informacion '!P:Q,2,FALSE),"")</f>
        <v>Unidad</v>
      </c>
      <c r="D3213" s="94">
        <v>13</v>
      </c>
      <c r="E3213" s="84">
        <v>36.520000000000003</v>
      </c>
      <c r="F3213" s="83">
        <f t="shared" ca="1" si="143"/>
        <v>474.76000000000005</v>
      </c>
    </row>
    <row r="3214" spans="1:6" ht="14.1" customHeight="1" x14ac:dyDescent="0.25">
      <c r="A3214" s="94" t="s">
        <v>16391</v>
      </c>
      <c r="B3214" s="82" t="str">
        <f ca="1">IFERROR(INDEX(UNSPSCDes,MATCH(INDIRECT(ADDRESS(ROW(),COLUMN()-1,4)),UNSPSCCode,0)),IF(INDIRECT(ADDRESS(ROW(),COLUMN()-1,4))="42142615","Accesorios para jeringas",""))</f>
        <v>Accesorios para jeringas</v>
      </c>
      <c r="C3214" s="95" t="str">
        <f>IFERROR(VLOOKUP("UD",'Informacion '!P:Q,2,FALSE),"")</f>
        <v>Unidad</v>
      </c>
      <c r="D3214" s="94">
        <v>158</v>
      </c>
      <c r="E3214" s="84">
        <v>122</v>
      </c>
      <c r="F3214" s="83">
        <f t="shared" ca="1" si="143"/>
        <v>19276</v>
      </c>
    </row>
    <row r="3215" spans="1:6" ht="14.1" customHeight="1" x14ac:dyDescent="0.25">
      <c r="A3215" s="94" t="s">
        <v>12824</v>
      </c>
      <c r="B321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15" s="95" t="str">
        <f>IFERROR(VLOOKUP("UD",'Informacion '!P:Q,2,FALSE),"")</f>
        <v>Unidad</v>
      </c>
      <c r="D3215" s="94">
        <v>11</v>
      </c>
      <c r="E3215" s="84">
        <v>29.5</v>
      </c>
      <c r="F3215" s="83">
        <f t="shared" ca="1" si="143"/>
        <v>324.5</v>
      </c>
    </row>
    <row r="3216" spans="1:6" ht="14.1" customHeight="1" x14ac:dyDescent="0.25">
      <c r="A3216" s="94" t="s">
        <v>13621</v>
      </c>
      <c r="B3216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3216" s="95" t="str">
        <f>IFERROR(VLOOKUP("UD",'Informacion '!P:Q,2,FALSE),"")</f>
        <v>Unidad</v>
      </c>
      <c r="D3216" s="94">
        <v>21</v>
      </c>
      <c r="E3216" s="84">
        <v>2288.0300000000002</v>
      </c>
      <c r="F3216" s="83">
        <f t="shared" ca="1" si="143"/>
        <v>48048.630000000005</v>
      </c>
    </row>
    <row r="3217" spans="1:6" ht="14.1" customHeight="1" x14ac:dyDescent="0.25">
      <c r="A3217" s="94" t="s">
        <v>9475</v>
      </c>
      <c r="B3217" s="82" t="str">
        <f ca="1">IFERROR(INDEX(UNSPSCDes,MATCH(INDIRECT(ADDRESS(ROW(),COLUMN()-1,4)),UNSPSCCode,0)),IF(INDIRECT(ADDRESS(ROW(),COLUMN()-1,4))="42221503","Catéteres venosos centrales",""))</f>
        <v>Catéteres venosos centrales</v>
      </c>
      <c r="C3217" s="95" t="str">
        <f>IFERROR(VLOOKUP("UD",'Informacion '!P:Q,2,FALSE),"")</f>
        <v>Unidad</v>
      </c>
      <c r="D3217" s="94">
        <v>23</v>
      </c>
      <c r="E3217" s="84">
        <v>1657</v>
      </c>
      <c r="F3217" s="83">
        <f t="shared" ca="1" si="143"/>
        <v>38111</v>
      </c>
    </row>
    <row r="3218" spans="1:6" ht="14.1" customHeight="1" x14ac:dyDescent="0.25">
      <c r="A3218" s="94" t="s">
        <v>12824</v>
      </c>
      <c r="B321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18" s="95" t="str">
        <f>IFERROR(VLOOKUP("UD",'Informacion '!P:Q,2,FALSE),"")</f>
        <v>Unidad</v>
      </c>
      <c r="D3218" s="94">
        <v>2</v>
      </c>
      <c r="E3218" s="84">
        <v>9.44</v>
      </c>
      <c r="F3218" s="83">
        <f t="shared" ca="1" si="143"/>
        <v>18.88</v>
      </c>
    </row>
    <row r="3219" spans="1:6" ht="14.1" customHeight="1" x14ac:dyDescent="0.25">
      <c r="A3219" s="94" t="s">
        <v>10483</v>
      </c>
      <c r="B3219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3219" s="95" t="str">
        <f>IFERROR(VLOOKUP("UD",'Informacion '!P:Q,2,FALSE),"")</f>
        <v>Unidad</v>
      </c>
      <c r="D3219" s="94">
        <v>6</v>
      </c>
      <c r="E3219" s="84">
        <v>4181.9799999999996</v>
      </c>
      <c r="F3219" s="83">
        <f t="shared" ca="1" si="143"/>
        <v>25091.879999999997</v>
      </c>
    </row>
    <row r="3220" spans="1:6" ht="14.1" customHeight="1" x14ac:dyDescent="0.25">
      <c r="A3220" s="94" t="s">
        <v>12824</v>
      </c>
      <c r="B322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20" s="95" t="str">
        <f>IFERROR(VLOOKUP("UD",'Informacion '!P:Q,2,FALSE),"")</f>
        <v>Unidad</v>
      </c>
      <c r="D3220" s="94">
        <v>4</v>
      </c>
      <c r="E3220" s="84">
        <v>4218.5</v>
      </c>
      <c r="F3220" s="83">
        <f t="shared" ca="1" si="143"/>
        <v>16874</v>
      </c>
    </row>
    <row r="3221" spans="1:6" ht="14.1" customHeight="1" x14ac:dyDescent="0.25">
      <c r="A3221" s="94" t="s">
        <v>10483</v>
      </c>
      <c r="B3221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3221" s="95" t="str">
        <f>IFERROR(VLOOKUP("UD",'Informacion '!P:Q,2,FALSE),"")</f>
        <v>Unidad</v>
      </c>
      <c r="D3221" s="94">
        <v>4</v>
      </c>
      <c r="E3221" s="84">
        <v>4235.93</v>
      </c>
      <c r="F3221" s="83">
        <f t="shared" ca="1" si="143"/>
        <v>16943.72</v>
      </c>
    </row>
    <row r="3222" spans="1:6" ht="14.1" customHeight="1" x14ac:dyDescent="0.25">
      <c r="A3222" s="94" t="s">
        <v>13499</v>
      </c>
      <c r="B3222" s="82" t="str">
        <f ca="1">IFERROR(INDEX(UNSPSCDes,MATCH(INDIRECT(ADDRESS(ROW(),COLUMN()-1,4)),UNSPSCCode,0)),IF(INDIRECT(ADDRESS(ROW(),COLUMN()-1,4))="41104019","Colectores de muestras",""))</f>
        <v>Colectores de muestras</v>
      </c>
      <c r="C3222" s="95" t="str">
        <f>IFERROR(VLOOKUP("UD",'Informacion '!P:Q,2,FALSE),"")</f>
        <v>Unidad</v>
      </c>
      <c r="D3222" s="94">
        <v>3</v>
      </c>
      <c r="E3222" s="84">
        <v>422.55</v>
      </c>
      <c r="F3222" s="83">
        <f t="shared" ca="1" si="143"/>
        <v>1267.6500000000001</v>
      </c>
    </row>
    <row r="3223" spans="1:6" ht="14.1" customHeight="1" x14ac:dyDescent="0.25">
      <c r="A3223" s="94" t="s">
        <v>9475</v>
      </c>
      <c r="B3223" s="82" t="str">
        <f ca="1">IFERROR(INDEX(UNSPSCDes,MATCH(INDIRECT(ADDRESS(ROW(),COLUMN()-1,4)),UNSPSCCode,0)),IF(INDIRECT(ADDRESS(ROW(),COLUMN()-1,4))="42221503","Catéteres venosos centrales",""))</f>
        <v>Catéteres venosos centrales</v>
      </c>
      <c r="C3223" s="95" t="str">
        <f>IFERROR(VLOOKUP("UD",'Informacion '!P:Q,2,FALSE),"")</f>
        <v>Unidad</v>
      </c>
      <c r="D3223" s="94">
        <v>3</v>
      </c>
      <c r="E3223" s="84">
        <v>1699.2</v>
      </c>
      <c r="F3223" s="83">
        <f t="shared" ca="1" si="143"/>
        <v>5097.6000000000004</v>
      </c>
    </row>
    <row r="3224" spans="1:6" ht="14.1" customHeight="1" x14ac:dyDescent="0.25">
      <c r="A3224" s="94" t="s">
        <v>8459</v>
      </c>
      <c r="B3224" s="82" t="str">
        <f ca="1">IFERROR(INDEX(UNSPSCDes,MATCH(INDIRECT(ADDRESS(ROW(),COLUMN()-1,4)),UNSPSCCode,0)),IF(INDIRECT(ADDRESS(ROW(),COLUMN()-1,4))="42211503","Dispositivos de posicionamiento",""))</f>
        <v>Dispositivos de posicionamiento</v>
      </c>
      <c r="C3224" s="95" t="str">
        <f>IFERROR(VLOOKUP("UD",'Informacion '!P:Q,2,FALSE),"")</f>
        <v>Unidad</v>
      </c>
      <c r="D3224" s="94">
        <v>5</v>
      </c>
      <c r="E3224" s="84">
        <v>1025.42</v>
      </c>
      <c r="F3224" s="83">
        <f t="shared" ca="1" si="143"/>
        <v>5127.1000000000004</v>
      </c>
    </row>
    <row r="3225" spans="1:6" ht="14.1" customHeight="1" x14ac:dyDescent="0.25">
      <c r="A3225" s="94" t="s">
        <v>3742</v>
      </c>
      <c r="B3225" s="82" t="str">
        <f ca="1">IFERROR(INDEX(UNSPSCDes,MATCH(INDIRECT(ADDRESS(ROW(),COLUMN()-1,4)),UNSPSCCode,0)),IF(INDIRECT(ADDRESS(ROW(),COLUMN()-1,4))="42271909","Accesorios de vías aéreas artificiales",""))</f>
        <v>Accesorios de vías aéreas artificiales</v>
      </c>
      <c r="C3225" s="95" t="str">
        <f>IFERROR(VLOOKUP("UD",'Informacion '!P:Q,2,FALSE),"")</f>
        <v>Unidad</v>
      </c>
      <c r="D3225" s="94">
        <v>11</v>
      </c>
      <c r="E3225" s="84">
        <v>5.48</v>
      </c>
      <c r="F3225" s="83">
        <f t="shared" ca="1" si="143"/>
        <v>60.28</v>
      </c>
    </row>
    <row r="3226" spans="1:6" ht="14.1" customHeight="1" x14ac:dyDescent="0.25">
      <c r="A3226" s="94" t="s">
        <v>8742</v>
      </c>
      <c r="B3226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3226" s="95" t="str">
        <f>IFERROR(VLOOKUP("UD",'Informacion '!P:Q,2,FALSE),"")</f>
        <v>Unidad</v>
      </c>
      <c r="D3226" s="94">
        <v>5</v>
      </c>
      <c r="E3226" s="84">
        <v>68.09</v>
      </c>
      <c r="F3226" s="83">
        <f t="shared" ca="1" si="143"/>
        <v>340.45000000000005</v>
      </c>
    </row>
    <row r="3227" spans="1:6" ht="14.1" customHeight="1" x14ac:dyDescent="0.25">
      <c r="A3227" s="94" t="s">
        <v>18410</v>
      </c>
      <c r="B3227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3227" s="95" t="str">
        <f>IFERROR(VLOOKUP("UD",'Informacion '!P:Q,2,FALSE),"")</f>
        <v>Unidad</v>
      </c>
      <c r="D3227" s="94">
        <v>3</v>
      </c>
      <c r="E3227" s="84">
        <v>21574.26</v>
      </c>
      <c r="F3227" s="83">
        <f t="shared" ca="1" si="143"/>
        <v>64722.78</v>
      </c>
    </row>
    <row r="3228" spans="1:6" ht="14.1" customHeight="1" x14ac:dyDescent="0.25">
      <c r="A3228" s="94" t="s">
        <v>10045</v>
      </c>
      <c r="B3228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3228" s="95" t="str">
        <f>IFERROR(VLOOKUP("UD",'Informacion '!P:Q,2,FALSE),"")</f>
        <v>Unidad</v>
      </c>
      <c r="D3228" s="94">
        <v>3</v>
      </c>
      <c r="E3228" s="84">
        <v>537.98</v>
      </c>
      <c r="F3228" s="83">
        <f t="shared" ca="1" si="143"/>
        <v>1613.94</v>
      </c>
    </row>
    <row r="3229" spans="1:6" ht="14.1" customHeight="1" x14ac:dyDescent="0.25">
      <c r="A3229" s="94" t="s">
        <v>9475</v>
      </c>
      <c r="B3229" s="82" t="str">
        <f ca="1">IFERROR(INDEX(UNSPSCDes,MATCH(INDIRECT(ADDRESS(ROW(),COLUMN()-1,4)),UNSPSCCode,0)),IF(INDIRECT(ADDRESS(ROW(),COLUMN()-1,4))="42221503","Catéteres venosos centrales",""))</f>
        <v>Catéteres venosos centrales</v>
      </c>
      <c r="C3229" s="95" t="str">
        <f>IFERROR(VLOOKUP("UD",'Informacion '!P:Q,2,FALSE),"")</f>
        <v>Unidad</v>
      </c>
      <c r="D3229" s="94">
        <v>4</v>
      </c>
      <c r="E3229" s="84">
        <v>1457.6</v>
      </c>
      <c r="F3229" s="83">
        <f t="shared" ca="1" si="143"/>
        <v>5830.4</v>
      </c>
    </row>
    <row r="3230" spans="1:6" ht="14.1" customHeight="1" x14ac:dyDescent="0.25">
      <c r="A3230" s="94" t="s">
        <v>12824</v>
      </c>
      <c r="B323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30" s="95" t="str">
        <f>IFERROR(VLOOKUP("UD",'Informacion '!P:Q,2,FALSE),"")</f>
        <v>Unidad</v>
      </c>
      <c r="D3230" s="94">
        <v>9</v>
      </c>
      <c r="E3230" s="84">
        <v>1246.08</v>
      </c>
      <c r="F3230" s="83">
        <f t="shared" ca="1" si="143"/>
        <v>11214.72</v>
      </c>
    </row>
    <row r="3231" spans="1:6" ht="14.1" customHeight="1" x14ac:dyDescent="0.25">
      <c r="A3231" s="94" t="s">
        <v>12824</v>
      </c>
      <c r="B323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231" s="95" t="str">
        <f>IFERROR(VLOOKUP("UD",'Informacion '!P:Q,2,FALSE),"")</f>
        <v>Unidad</v>
      </c>
      <c r="D3231" s="94">
        <v>13</v>
      </c>
      <c r="E3231" s="84">
        <v>1246.08</v>
      </c>
      <c r="F3231" s="83">
        <f t="shared" ca="1" si="143"/>
        <v>16199.039999999999</v>
      </c>
    </row>
    <row r="3232" spans="1:6" ht="14.1" customHeight="1" x14ac:dyDescent="0.25">
      <c r="A3232" s="94" t="s">
        <v>2711</v>
      </c>
      <c r="B3232" s="82" t="str">
        <f ca="1">IFERROR(INDEX(UNSPSCDes,MATCH(INDIRECT(ADDRESS(ROW(),COLUMN()-1,4)),UNSPSCCode,0)),IF(INDIRECT(ADDRESS(ROW(),COLUMN()-1,4))="42295206","Unidades de cirugía endoscópica",""))</f>
        <v>Unidades de cirugía endoscópica</v>
      </c>
      <c r="C3232" s="95" t="str">
        <f>IFERROR(VLOOKUP("UD",'Informacion '!P:Q,2,FALSE),"")</f>
        <v>Unidad</v>
      </c>
      <c r="D3232" s="94">
        <v>14</v>
      </c>
      <c r="E3232" s="84">
        <v>11.89</v>
      </c>
      <c r="F3232" s="83">
        <f t="shared" ca="1" si="143"/>
        <v>166.46</v>
      </c>
    </row>
    <row r="3233" spans="1:10" ht="14.1" customHeight="1" x14ac:dyDescent="0.25">
      <c r="A3233" s="94" t="s">
        <v>3636</v>
      </c>
      <c r="B3233" s="82" t="str">
        <f ca="1">IFERROR(INDEX(UNSPSCDes,MATCH(INDIRECT(ADDRESS(ROW(),COLUMN()-1,4)),UNSPSCCode,0)),IF(INDIRECT(ADDRESS(ROW(),COLUMN()-1,4))="42271915","Accesorios de traqueotomía",""))</f>
        <v>Accesorios de traqueotomía</v>
      </c>
      <c r="C3233" s="95" t="str">
        <f>IFERROR(VLOOKUP("UD",'Informacion '!P:Q,2,FALSE),"")</f>
        <v>Unidad</v>
      </c>
      <c r="D3233" s="94">
        <v>2</v>
      </c>
      <c r="E3233" s="84">
        <v>4484</v>
      </c>
      <c r="F3233" s="83">
        <f t="shared" ca="1" si="143"/>
        <v>8968</v>
      </c>
    </row>
    <row r="3234" spans="1:10" ht="14.1" customHeight="1" x14ac:dyDescent="0.25">
      <c r="E3234" s="96" t="s">
        <v>7213</v>
      </c>
      <c r="F3234" s="87">
        <f ca="1">SUM(Table108[MONTO TOTAL ESTIMADO])</f>
        <v>973068.7899999998</v>
      </c>
      <c r="H3234" s="39" t="str">
        <f>C3186</f>
        <v>Bienes</v>
      </c>
      <c r="I3234" s="39" t="str">
        <f>E3186</f>
        <v>No</v>
      </c>
      <c r="J3234" s="39" t="str">
        <f>D3186</f>
        <v>Compras Menores</v>
      </c>
    </row>
    <row r="3236" spans="1:10" ht="33.950000000000003" customHeight="1" x14ac:dyDescent="0.25">
      <c r="A3236" s="77" t="s">
        <v>17233</v>
      </c>
      <c r="B3236" s="77" t="s">
        <v>4237</v>
      </c>
      <c r="C3236" s="77" t="s">
        <v>4743</v>
      </c>
      <c r="D3236" s="77" t="s">
        <v>9891</v>
      </c>
      <c r="E3236" s="77" t="s">
        <v>3089</v>
      </c>
      <c r="F3236" s="77" t="s">
        <v>18141</v>
      </c>
    </row>
    <row r="3237" spans="1:10" ht="14.1" customHeight="1" x14ac:dyDescent="0.25">
      <c r="A3237" s="79" t="s">
        <v>13990</v>
      </c>
      <c r="B3237" s="79" t="s">
        <v>5159</v>
      </c>
      <c r="C3237" s="79" t="s">
        <v>17215</v>
      </c>
      <c r="D3237" s="79" t="s">
        <v>12255</v>
      </c>
      <c r="E3237" s="79" t="s">
        <v>18247</v>
      </c>
      <c r="F3237" s="79"/>
    </row>
    <row r="3238" spans="1:10" ht="14.1" customHeight="1" x14ac:dyDescent="0.25">
      <c r="A3238" s="2" t="s">
        <v>6643</v>
      </c>
      <c r="B3238" s="80" t="s">
        <v>1046</v>
      </c>
      <c r="C3238" s="90">
        <v>43739</v>
      </c>
      <c r="D3238" s="2" t="s">
        <v>59</v>
      </c>
      <c r="E3238" s="92" t="s">
        <v>20066</v>
      </c>
      <c r="F3238" s="93"/>
    </row>
    <row r="3239" spans="1:10" ht="14.1" customHeight="1" x14ac:dyDescent="0.25">
      <c r="A3239" s="1"/>
      <c r="B3239" s="80" t="s">
        <v>10788</v>
      </c>
      <c r="C3239" s="91">
        <f>IF(C3238="","",IF(AND(MONTH(C3238)&gt;=1,MONTH(C3238)&lt;=3),1,IF(AND(MONTH(C3238)&gt;=4,MONTH(C3238)&lt;=6),2,IF(AND(MONTH(C3238)&gt;=7,MONTH(C3238)&lt;=9),3,4))))</f>
        <v>4</v>
      </c>
      <c r="D3239" s="1"/>
      <c r="E3239" s="92" t="s">
        <v>14822</v>
      </c>
      <c r="F3239" s="93"/>
    </row>
    <row r="3240" spans="1:10" ht="14.1" customHeight="1" x14ac:dyDescent="0.25">
      <c r="A3240" s="1"/>
      <c r="B3240" s="80" t="s">
        <v>13758</v>
      </c>
      <c r="C3240" s="90">
        <v>43830</v>
      </c>
      <c r="D3240" s="1"/>
      <c r="E3240" s="92" t="s">
        <v>18636</v>
      </c>
      <c r="F3240" s="93"/>
    </row>
    <row r="3241" spans="1:10" ht="14.1" customHeight="1" x14ac:dyDescent="0.25">
      <c r="A3241" s="1"/>
      <c r="B3241" s="80" t="s">
        <v>10788</v>
      </c>
      <c r="C3241" s="91">
        <f>IF(C3240="","",IF(AND(MONTH(C3240)&gt;=1,MONTH(C3240)&lt;=3),1,IF(AND(MONTH(C3240)&gt;=4,MONTH(C3240)&lt;=6),2,IF(AND(MONTH(C3240)&gt;=7,MONTH(C3240)&lt;=9),3,4))))</f>
        <v>4</v>
      </c>
      <c r="D3241" s="1"/>
      <c r="E3241" s="92" t="s">
        <v>15990</v>
      </c>
      <c r="F3241" s="93"/>
    </row>
    <row r="3243" spans="1:10" ht="14.1" customHeight="1" x14ac:dyDescent="0.25">
      <c r="A3243" s="85" t="s">
        <v>15474</v>
      </c>
      <c r="B3243" s="85" t="s">
        <v>5027</v>
      </c>
      <c r="C3243" s="85" t="s">
        <v>17461</v>
      </c>
      <c r="D3243" s="85" t="s">
        <v>3935</v>
      </c>
      <c r="E3243" s="85" t="s">
        <v>10722</v>
      </c>
      <c r="F3243" s="85" t="s">
        <v>18237</v>
      </c>
    </row>
    <row r="3244" spans="1:10" ht="14.1" customHeight="1" x14ac:dyDescent="0.25">
      <c r="A3244" s="94" t="s">
        <v>2200</v>
      </c>
      <c r="B3244" s="82" t="str">
        <f t="shared" ref="B3244:B3275" ca="1" si="145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3244" s="95" t="str">
        <f>IFERROR(VLOOKUP("UD",'Informacion '!P:Q,2,FALSE),"")</f>
        <v>Unidad</v>
      </c>
      <c r="D3244" s="94">
        <v>83</v>
      </c>
      <c r="E3244" s="84">
        <v>62.69</v>
      </c>
      <c r="F3244" s="83">
        <f t="shared" ref="F3244:F3275" ca="1" si="146">INDIRECT(ADDRESS(ROW(),COLUMN()-2,4))*INDIRECT(ADDRESS(ROW(),COLUMN()-1,4))</f>
        <v>5203.2699999999995</v>
      </c>
    </row>
    <row r="3245" spans="1:10" ht="14.1" customHeight="1" x14ac:dyDescent="0.25">
      <c r="A3245" s="94" t="s">
        <v>2200</v>
      </c>
      <c r="B3245" s="82" t="str">
        <f t="shared" ca="1" si="145"/>
        <v>Servicios de laboratorios de análisis de sangre</v>
      </c>
      <c r="C3245" s="95" t="str">
        <f>IFERROR(VLOOKUP("UD",'Informacion '!P:Q,2,FALSE),"")</f>
        <v>Unidad</v>
      </c>
      <c r="D3245" s="94">
        <v>5</v>
      </c>
      <c r="E3245" s="84">
        <v>16808.400000000001</v>
      </c>
      <c r="F3245" s="83">
        <f t="shared" ca="1" si="146"/>
        <v>84042</v>
      </c>
    </row>
    <row r="3246" spans="1:10" ht="14.1" customHeight="1" x14ac:dyDescent="0.25">
      <c r="A3246" s="94" t="s">
        <v>2200</v>
      </c>
      <c r="B3246" s="82" t="str">
        <f t="shared" ca="1" si="145"/>
        <v>Servicios de laboratorios de análisis de sangre</v>
      </c>
      <c r="C3246" s="95" t="str">
        <f>IFERROR(VLOOKUP("UD",'Informacion '!P:Q,2,FALSE),"")</f>
        <v>Unidad</v>
      </c>
      <c r="D3246" s="94">
        <v>25</v>
      </c>
      <c r="E3246" s="84">
        <v>7832</v>
      </c>
      <c r="F3246" s="83">
        <f t="shared" ca="1" si="146"/>
        <v>195800</v>
      </c>
    </row>
    <row r="3247" spans="1:10" ht="14.1" customHeight="1" x14ac:dyDescent="0.25">
      <c r="A3247" s="94" t="s">
        <v>2200</v>
      </c>
      <c r="B3247" s="82" t="str">
        <f t="shared" ca="1" si="145"/>
        <v>Servicios de laboratorios de análisis de sangre</v>
      </c>
      <c r="C3247" s="95" t="str">
        <f>IFERROR(VLOOKUP("UD",'Informacion '!P:Q,2,FALSE),"")</f>
        <v>Unidad</v>
      </c>
      <c r="D3247" s="94">
        <v>8</v>
      </c>
      <c r="E3247" s="84">
        <v>15812.92</v>
      </c>
      <c r="F3247" s="83">
        <f t="shared" ca="1" si="146"/>
        <v>126503.36</v>
      </c>
    </row>
    <row r="3248" spans="1:10" ht="14.1" customHeight="1" x14ac:dyDescent="0.25">
      <c r="A3248" s="94" t="s">
        <v>2200</v>
      </c>
      <c r="B3248" s="82" t="str">
        <f t="shared" ca="1" si="145"/>
        <v>Servicios de laboratorios de análisis de sangre</v>
      </c>
      <c r="C3248" s="95" t="str">
        <f>IFERROR(VLOOKUP("UD",'Informacion '!P:Q,2,FALSE),"")</f>
        <v>Unidad</v>
      </c>
      <c r="D3248" s="94">
        <v>8</v>
      </c>
      <c r="E3248" s="84">
        <v>27578.29</v>
      </c>
      <c r="F3248" s="83">
        <f t="shared" ca="1" si="146"/>
        <v>220626.32</v>
      </c>
    </row>
    <row r="3249" spans="1:6" ht="14.1" customHeight="1" x14ac:dyDescent="0.25">
      <c r="A3249" s="94" t="s">
        <v>2200</v>
      </c>
      <c r="B3249" s="82" t="str">
        <f t="shared" ca="1" si="145"/>
        <v>Servicios de laboratorios de análisis de sangre</v>
      </c>
      <c r="C3249" s="95" t="str">
        <f>IFERROR(VLOOKUP("UD",'Informacion '!P:Q,2,FALSE),"")</f>
        <v>Unidad</v>
      </c>
      <c r="D3249" s="94">
        <v>6</v>
      </c>
      <c r="E3249" s="84">
        <v>23936</v>
      </c>
      <c r="F3249" s="83">
        <f t="shared" ca="1" si="146"/>
        <v>143616</v>
      </c>
    </row>
    <row r="3250" spans="1:6" ht="14.1" customHeight="1" x14ac:dyDescent="0.25">
      <c r="A3250" s="94" t="s">
        <v>2200</v>
      </c>
      <c r="B3250" s="82" t="str">
        <f t="shared" ca="1" si="145"/>
        <v>Servicios de laboratorios de análisis de sangre</v>
      </c>
      <c r="C3250" s="95" t="str">
        <f>IFERROR(VLOOKUP("UD",'Informacion '!P:Q,2,FALSE),"")</f>
        <v>Unidad</v>
      </c>
      <c r="D3250" s="94">
        <v>8</v>
      </c>
      <c r="E3250" s="84">
        <v>17926.2</v>
      </c>
      <c r="F3250" s="83">
        <f t="shared" ca="1" si="146"/>
        <v>143409.60000000001</v>
      </c>
    </row>
    <row r="3251" spans="1:6" ht="14.1" customHeight="1" x14ac:dyDescent="0.25">
      <c r="A3251" s="94" t="s">
        <v>2200</v>
      </c>
      <c r="B3251" s="82" t="str">
        <f t="shared" ca="1" si="145"/>
        <v>Servicios de laboratorios de análisis de sangre</v>
      </c>
      <c r="C3251" s="95" t="str">
        <f>IFERROR(VLOOKUP("UD",'Informacion '!P:Q,2,FALSE),"")</f>
        <v>Unidad</v>
      </c>
      <c r="D3251" s="94">
        <v>5</v>
      </c>
      <c r="E3251" s="84">
        <v>7946.36</v>
      </c>
      <c r="F3251" s="83">
        <f t="shared" ca="1" si="146"/>
        <v>39731.799999999996</v>
      </c>
    </row>
    <row r="3252" spans="1:6" ht="14.1" customHeight="1" x14ac:dyDescent="0.25">
      <c r="A3252" s="94" t="s">
        <v>2200</v>
      </c>
      <c r="B3252" s="82" t="str">
        <f t="shared" ca="1" si="145"/>
        <v>Servicios de laboratorios de análisis de sangre</v>
      </c>
      <c r="C3252" s="95" t="str">
        <f>IFERROR(VLOOKUP("UD",'Informacion '!P:Q,2,FALSE),"")</f>
        <v>Unidad</v>
      </c>
      <c r="D3252" s="94">
        <v>392</v>
      </c>
      <c r="E3252" s="84">
        <v>21.84</v>
      </c>
      <c r="F3252" s="83">
        <f t="shared" ca="1" si="146"/>
        <v>8561.2800000000007</v>
      </c>
    </row>
    <row r="3253" spans="1:6" ht="14.1" customHeight="1" x14ac:dyDescent="0.25">
      <c r="A3253" s="94" t="s">
        <v>2200</v>
      </c>
      <c r="B3253" s="82" t="str">
        <f t="shared" ca="1" si="145"/>
        <v>Servicios de laboratorios de análisis de sangre</v>
      </c>
      <c r="C3253" s="95" t="str">
        <f>IFERROR(VLOOKUP("UD",'Informacion '!P:Q,2,FALSE),"")</f>
        <v>Unidad</v>
      </c>
      <c r="D3253" s="94">
        <v>1122</v>
      </c>
      <c r="E3253" s="84">
        <v>24.59</v>
      </c>
      <c r="F3253" s="83">
        <f t="shared" ca="1" si="146"/>
        <v>27589.98</v>
      </c>
    </row>
    <row r="3254" spans="1:6" ht="14.1" customHeight="1" x14ac:dyDescent="0.25">
      <c r="A3254" s="94" t="s">
        <v>2200</v>
      </c>
      <c r="B3254" s="82" t="str">
        <f t="shared" ca="1" si="145"/>
        <v>Servicios de laboratorios de análisis de sangre</v>
      </c>
      <c r="C3254" s="95" t="str">
        <f>IFERROR(VLOOKUP("UD",'Informacion '!P:Q,2,FALSE),"")</f>
        <v>Unidad</v>
      </c>
      <c r="D3254" s="94">
        <v>893</v>
      </c>
      <c r="E3254" s="84">
        <v>24.61</v>
      </c>
      <c r="F3254" s="83">
        <f t="shared" ca="1" si="146"/>
        <v>21976.73</v>
      </c>
    </row>
    <row r="3255" spans="1:6" ht="14.1" customHeight="1" x14ac:dyDescent="0.25">
      <c r="A3255" s="94" t="s">
        <v>2200</v>
      </c>
      <c r="B3255" s="82" t="str">
        <f t="shared" ca="1" si="145"/>
        <v>Servicios de laboratorios de análisis de sangre</v>
      </c>
      <c r="C3255" s="95" t="str">
        <f>IFERROR(VLOOKUP("UD",'Informacion '!P:Q,2,FALSE),"")</f>
        <v>Unidad</v>
      </c>
      <c r="D3255" s="94">
        <v>3087</v>
      </c>
      <c r="E3255" s="84">
        <v>24.44</v>
      </c>
      <c r="F3255" s="83">
        <f t="shared" ca="1" si="146"/>
        <v>75446.28</v>
      </c>
    </row>
    <row r="3256" spans="1:6" ht="14.1" customHeight="1" x14ac:dyDescent="0.25">
      <c r="A3256" s="94" t="s">
        <v>2200</v>
      </c>
      <c r="B3256" s="82" t="str">
        <f t="shared" ca="1" si="145"/>
        <v>Servicios de laboratorios de análisis de sangre</v>
      </c>
      <c r="C3256" s="95" t="str">
        <f>IFERROR(VLOOKUP("UD",'Informacion '!P:Q,2,FALSE),"")</f>
        <v>Unidad</v>
      </c>
      <c r="D3256" s="94">
        <v>489</v>
      </c>
      <c r="E3256" s="84">
        <v>26.12</v>
      </c>
      <c r="F3256" s="83">
        <f t="shared" ca="1" si="146"/>
        <v>12772.68</v>
      </c>
    </row>
    <row r="3257" spans="1:6" ht="14.1" customHeight="1" x14ac:dyDescent="0.25">
      <c r="A3257" s="94" t="s">
        <v>2200</v>
      </c>
      <c r="B3257" s="82" t="str">
        <f t="shared" ca="1" si="145"/>
        <v>Servicios de laboratorios de análisis de sangre</v>
      </c>
      <c r="C3257" s="95" t="str">
        <f>IFERROR(VLOOKUP("UD",'Informacion '!P:Q,2,FALSE),"")</f>
        <v>Unidad</v>
      </c>
      <c r="D3257" s="94">
        <v>3669</v>
      </c>
      <c r="E3257" s="84">
        <v>24.49</v>
      </c>
      <c r="F3257" s="83">
        <f t="shared" ca="1" si="146"/>
        <v>89853.81</v>
      </c>
    </row>
    <row r="3258" spans="1:6" ht="14.1" customHeight="1" x14ac:dyDescent="0.25">
      <c r="A3258" s="94" t="s">
        <v>2200</v>
      </c>
      <c r="B3258" s="82" t="str">
        <f t="shared" ca="1" si="145"/>
        <v>Servicios de laboratorios de análisis de sangre</v>
      </c>
      <c r="C3258" s="95" t="str">
        <f>IFERROR(VLOOKUP("UD",'Informacion '!P:Q,2,FALSE),"")</f>
        <v>Unidad</v>
      </c>
      <c r="D3258" s="94">
        <v>1025</v>
      </c>
      <c r="E3258" s="84">
        <v>24.59</v>
      </c>
      <c r="F3258" s="83">
        <f t="shared" ca="1" si="146"/>
        <v>25204.75</v>
      </c>
    </row>
    <row r="3259" spans="1:6" ht="14.1" customHeight="1" x14ac:dyDescent="0.25">
      <c r="A3259" s="94" t="s">
        <v>2200</v>
      </c>
      <c r="B3259" s="82" t="str">
        <f t="shared" ca="1" si="145"/>
        <v>Servicios de laboratorios de análisis de sangre</v>
      </c>
      <c r="C3259" s="95" t="str">
        <f>IFERROR(VLOOKUP("UD",'Informacion '!P:Q,2,FALSE),"")</f>
        <v>Unidad</v>
      </c>
      <c r="D3259" s="94">
        <v>790</v>
      </c>
      <c r="E3259" s="84">
        <v>24.59</v>
      </c>
      <c r="F3259" s="83">
        <f t="shared" ca="1" si="146"/>
        <v>19426.099999999999</v>
      </c>
    </row>
    <row r="3260" spans="1:6" ht="14.1" customHeight="1" x14ac:dyDescent="0.25">
      <c r="A3260" s="94" t="s">
        <v>2200</v>
      </c>
      <c r="B3260" s="82" t="str">
        <f t="shared" ca="1" si="145"/>
        <v>Servicios de laboratorios de análisis de sangre</v>
      </c>
      <c r="C3260" s="95" t="str">
        <f>IFERROR(VLOOKUP("UD",'Informacion '!P:Q,2,FALSE),"")</f>
        <v>Unidad</v>
      </c>
      <c r="D3260" s="94">
        <v>5</v>
      </c>
      <c r="E3260" s="84">
        <v>14.48</v>
      </c>
      <c r="F3260" s="83">
        <f t="shared" ca="1" si="146"/>
        <v>72.400000000000006</v>
      </c>
    </row>
    <row r="3261" spans="1:6" ht="14.1" customHeight="1" x14ac:dyDescent="0.25">
      <c r="A3261" s="94" t="s">
        <v>2200</v>
      </c>
      <c r="B3261" s="82" t="str">
        <f t="shared" ca="1" si="145"/>
        <v>Servicios de laboratorios de análisis de sangre</v>
      </c>
      <c r="C3261" s="95" t="str">
        <f>IFERROR(VLOOKUP("UD",'Informacion '!P:Q,2,FALSE),"")</f>
        <v>Unidad</v>
      </c>
      <c r="D3261" s="94">
        <v>11</v>
      </c>
      <c r="E3261" s="84">
        <v>24.58</v>
      </c>
      <c r="F3261" s="83">
        <f t="shared" ca="1" si="146"/>
        <v>270.38</v>
      </c>
    </row>
    <row r="3262" spans="1:6" ht="14.1" customHeight="1" x14ac:dyDescent="0.25">
      <c r="A3262" s="94" t="s">
        <v>2200</v>
      </c>
      <c r="B3262" s="82" t="str">
        <f t="shared" ca="1" si="145"/>
        <v>Servicios de laboratorios de análisis de sangre</v>
      </c>
      <c r="C3262" s="95" t="str">
        <f>IFERROR(VLOOKUP("UD",'Informacion '!P:Q,2,FALSE),"")</f>
        <v>Unidad</v>
      </c>
      <c r="D3262" s="94">
        <v>1632</v>
      </c>
      <c r="E3262" s="84">
        <v>24.56</v>
      </c>
      <c r="F3262" s="83">
        <f t="shared" ca="1" si="146"/>
        <v>40081.919999999998</v>
      </c>
    </row>
    <row r="3263" spans="1:6" ht="14.1" customHeight="1" x14ac:dyDescent="0.25">
      <c r="A3263" s="94" t="s">
        <v>2200</v>
      </c>
      <c r="B3263" s="82" t="str">
        <f t="shared" ca="1" si="145"/>
        <v>Servicios de laboratorios de análisis de sangre</v>
      </c>
      <c r="C3263" s="95" t="str">
        <f>IFERROR(VLOOKUP("UD",'Informacion '!P:Q,2,FALSE),"")</f>
        <v>Unidad</v>
      </c>
      <c r="D3263" s="94">
        <v>108</v>
      </c>
      <c r="E3263" s="84">
        <v>24.72</v>
      </c>
      <c r="F3263" s="83">
        <f t="shared" ca="1" si="146"/>
        <v>2669.7599999999998</v>
      </c>
    </row>
    <row r="3264" spans="1:6" ht="14.1" customHeight="1" x14ac:dyDescent="0.25">
      <c r="A3264" s="94" t="s">
        <v>2200</v>
      </c>
      <c r="B3264" s="82" t="str">
        <f t="shared" ca="1" si="145"/>
        <v>Servicios de laboratorios de análisis de sangre</v>
      </c>
      <c r="C3264" s="95" t="str">
        <f>IFERROR(VLOOKUP("UD",'Informacion '!P:Q,2,FALSE),"")</f>
        <v>Unidad</v>
      </c>
      <c r="D3264" s="94">
        <v>44</v>
      </c>
      <c r="E3264" s="84">
        <v>24.72</v>
      </c>
      <c r="F3264" s="83">
        <f t="shared" ca="1" si="146"/>
        <v>1087.6799999999998</v>
      </c>
    </row>
    <row r="3265" spans="1:6" ht="14.1" customHeight="1" x14ac:dyDescent="0.25">
      <c r="A3265" s="94" t="s">
        <v>2200</v>
      </c>
      <c r="B3265" s="82" t="str">
        <f t="shared" ca="1" si="145"/>
        <v>Servicios de laboratorios de análisis de sangre</v>
      </c>
      <c r="C3265" s="95" t="str">
        <f>IFERROR(VLOOKUP("UD",'Informacion '!P:Q,2,FALSE),"")</f>
        <v>Unidad</v>
      </c>
      <c r="D3265" s="94">
        <v>2657</v>
      </c>
      <c r="E3265" s="84">
        <v>24.62</v>
      </c>
      <c r="F3265" s="83">
        <f t="shared" ca="1" si="146"/>
        <v>65415.340000000004</v>
      </c>
    </row>
    <row r="3266" spans="1:6" ht="14.1" customHeight="1" x14ac:dyDescent="0.25">
      <c r="A3266" s="94" t="s">
        <v>2200</v>
      </c>
      <c r="B3266" s="82" t="str">
        <f t="shared" ca="1" si="145"/>
        <v>Servicios de laboratorios de análisis de sangre</v>
      </c>
      <c r="C3266" s="95" t="str">
        <f>IFERROR(VLOOKUP("UD",'Informacion '!P:Q,2,FALSE),"")</f>
        <v>Unidad</v>
      </c>
      <c r="D3266" s="94">
        <v>5610</v>
      </c>
      <c r="E3266" s="84">
        <v>24.6</v>
      </c>
      <c r="F3266" s="83">
        <f t="shared" ca="1" si="146"/>
        <v>138006</v>
      </c>
    </row>
    <row r="3267" spans="1:6" ht="14.1" customHeight="1" x14ac:dyDescent="0.25">
      <c r="A3267" s="94" t="s">
        <v>2200</v>
      </c>
      <c r="B3267" s="82" t="str">
        <f t="shared" ca="1" si="145"/>
        <v>Servicios de laboratorios de análisis de sangre</v>
      </c>
      <c r="C3267" s="95" t="str">
        <f>IFERROR(VLOOKUP("UD",'Informacion '!P:Q,2,FALSE),"")</f>
        <v>Unidad</v>
      </c>
      <c r="D3267" s="94">
        <v>1386</v>
      </c>
      <c r="E3267" s="84">
        <v>24.93</v>
      </c>
      <c r="F3267" s="83">
        <f t="shared" ca="1" si="146"/>
        <v>34552.980000000003</v>
      </c>
    </row>
    <row r="3268" spans="1:6" ht="14.1" customHeight="1" x14ac:dyDescent="0.25">
      <c r="A3268" s="94" t="s">
        <v>2200</v>
      </c>
      <c r="B3268" s="82" t="str">
        <f t="shared" ca="1" si="145"/>
        <v>Servicios de laboratorios de análisis de sangre</v>
      </c>
      <c r="C3268" s="95" t="str">
        <f>IFERROR(VLOOKUP("UD",'Informacion '!P:Q,2,FALSE),"")</f>
        <v>Unidad</v>
      </c>
      <c r="D3268" s="94">
        <v>393</v>
      </c>
      <c r="E3268" s="84">
        <v>31.2</v>
      </c>
      <c r="F3268" s="83">
        <f t="shared" ca="1" si="146"/>
        <v>12261.6</v>
      </c>
    </row>
    <row r="3269" spans="1:6" ht="14.1" customHeight="1" x14ac:dyDescent="0.25">
      <c r="A3269" s="94" t="s">
        <v>2200</v>
      </c>
      <c r="B3269" s="82" t="str">
        <f t="shared" ca="1" si="145"/>
        <v>Servicios de laboratorios de análisis de sangre</v>
      </c>
      <c r="C3269" s="95" t="str">
        <f>IFERROR(VLOOKUP("UD",'Informacion '!P:Q,2,FALSE),"")</f>
        <v>Unidad</v>
      </c>
      <c r="D3269" s="94">
        <v>6307</v>
      </c>
      <c r="E3269" s="84">
        <v>24.61</v>
      </c>
      <c r="F3269" s="83">
        <f t="shared" ca="1" si="146"/>
        <v>155215.26999999999</v>
      </c>
    </row>
    <row r="3270" spans="1:6" ht="14.1" customHeight="1" x14ac:dyDescent="0.25">
      <c r="A3270" s="94" t="s">
        <v>2200</v>
      </c>
      <c r="B3270" s="82" t="str">
        <f t="shared" ca="1" si="145"/>
        <v>Servicios de laboratorios de análisis de sangre</v>
      </c>
      <c r="C3270" s="95" t="str">
        <f>IFERROR(VLOOKUP("UD",'Informacion '!P:Q,2,FALSE),"")</f>
        <v>Unidad</v>
      </c>
      <c r="D3270" s="94">
        <v>861</v>
      </c>
      <c r="E3270" s="84">
        <v>168.63</v>
      </c>
      <c r="F3270" s="83">
        <f t="shared" ca="1" si="146"/>
        <v>145190.43</v>
      </c>
    </row>
    <row r="3271" spans="1:6" ht="14.1" customHeight="1" x14ac:dyDescent="0.25">
      <c r="A3271" s="94" t="s">
        <v>2200</v>
      </c>
      <c r="B3271" s="82" t="str">
        <f t="shared" ca="1" si="145"/>
        <v>Servicios de laboratorios de análisis de sangre</v>
      </c>
      <c r="C3271" s="95" t="str">
        <f>IFERROR(VLOOKUP("UD",'Informacion '!P:Q,2,FALSE),"")</f>
        <v>Unidad</v>
      </c>
      <c r="D3271" s="94">
        <v>2053</v>
      </c>
      <c r="E3271" s="84">
        <v>81.83</v>
      </c>
      <c r="F3271" s="83">
        <f t="shared" ca="1" si="146"/>
        <v>167996.99</v>
      </c>
    </row>
    <row r="3272" spans="1:6" ht="14.1" customHeight="1" x14ac:dyDescent="0.25">
      <c r="A3272" s="94" t="s">
        <v>2200</v>
      </c>
      <c r="B3272" s="82" t="str">
        <f t="shared" ca="1" si="145"/>
        <v>Servicios de laboratorios de análisis de sangre</v>
      </c>
      <c r="C3272" s="95" t="str">
        <f>IFERROR(VLOOKUP("UD",'Informacion '!P:Q,2,FALSE),"")</f>
        <v>Unidad</v>
      </c>
      <c r="D3272" s="94">
        <v>368</v>
      </c>
      <c r="E3272" s="84">
        <v>24.6</v>
      </c>
      <c r="F3272" s="83">
        <f t="shared" ca="1" si="146"/>
        <v>9052.8000000000011</v>
      </c>
    </row>
    <row r="3273" spans="1:6" ht="14.1" customHeight="1" x14ac:dyDescent="0.25">
      <c r="A3273" s="94" t="s">
        <v>2200</v>
      </c>
      <c r="B3273" s="82" t="str">
        <f t="shared" ca="1" si="145"/>
        <v>Servicios de laboratorios de análisis de sangre</v>
      </c>
      <c r="C3273" s="95" t="str">
        <f>IFERROR(VLOOKUP("UD",'Informacion '!P:Q,2,FALSE),"")</f>
        <v>Unidad</v>
      </c>
      <c r="D3273" s="94">
        <v>1534</v>
      </c>
      <c r="E3273" s="84">
        <v>24.62</v>
      </c>
      <c r="F3273" s="83">
        <f t="shared" ca="1" si="146"/>
        <v>37767.08</v>
      </c>
    </row>
    <row r="3274" spans="1:6" ht="14.1" customHeight="1" x14ac:dyDescent="0.25">
      <c r="A3274" s="94" t="s">
        <v>2200</v>
      </c>
      <c r="B3274" s="82" t="str">
        <f t="shared" ca="1" si="145"/>
        <v>Servicios de laboratorios de análisis de sangre</v>
      </c>
      <c r="C3274" s="95" t="str">
        <f>IFERROR(VLOOKUP("UD",'Informacion '!P:Q,2,FALSE),"")</f>
        <v>Unidad</v>
      </c>
      <c r="D3274" s="94">
        <v>376</v>
      </c>
      <c r="E3274" s="84">
        <v>115.95</v>
      </c>
      <c r="F3274" s="83">
        <f t="shared" ca="1" si="146"/>
        <v>43597.200000000004</v>
      </c>
    </row>
    <row r="3275" spans="1:6" ht="14.1" customHeight="1" x14ac:dyDescent="0.25">
      <c r="A3275" s="94" t="s">
        <v>2200</v>
      </c>
      <c r="B3275" s="82" t="str">
        <f t="shared" ca="1" si="145"/>
        <v>Servicios de laboratorios de análisis de sangre</v>
      </c>
      <c r="C3275" s="95" t="str">
        <f>IFERROR(VLOOKUP("UD",'Informacion '!P:Q,2,FALSE),"")</f>
        <v>Unidad</v>
      </c>
      <c r="D3275" s="94">
        <v>617</v>
      </c>
      <c r="E3275" s="84">
        <v>29.55</v>
      </c>
      <c r="F3275" s="83">
        <f t="shared" ca="1" si="146"/>
        <v>18232.350000000002</v>
      </c>
    </row>
    <row r="3276" spans="1:6" ht="14.1" customHeight="1" x14ac:dyDescent="0.25">
      <c r="A3276" s="94" t="s">
        <v>2200</v>
      </c>
      <c r="B3276" s="82" t="str">
        <f t="shared" ref="B3276:B3301" ca="1" si="147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3276" s="95" t="str">
        <f>IFERROR(VLOOKUP("UD",'Informacion '!P:Q,2,FALSE),"")</f>
        <v>Unidad</v>
      </c>
      <c r="D3276" s="94">
        <v>13</v>
      </c>
      <c r="E3276" s="84">
        <v>2473.62</v>
      </c>
      <c r="F3276" s="83">
        <f t="shared" ref="F3276:F3312" ca="1" si="148">INDIRECT(ADDRESS(ROW(),COLUMN()-2,4))*INDIRECT(ADDRESS(ROW(),COLUMN()-1,4))</f>
        <v>32157.059999999998</v>
      </c>
    </row>
    <row r="3277" spans="1:6" ht="14.1" customHeight="1" x14ac:dyDescent="0.25">
      <c r="A3277" s="94" t="s">
        <v>2200</v>
      </c>
      <c r="B3277" s="82" t="str">
        <f t="shared" ca="1" si="147"/>
        <v>Servicios de laboratorios de análisis de sangre</v>
      </c>
      <c r="C3277" s="95" t="str">
        <f>IFERROR(VLOOKUP("UD",'Informacion '!P:Q,2,FALSE),"")</f>
        <v>Unidad</v>
      </c>
      <c r="D3277" s="94">
        <v>1106</v>
      </c>
      <c r="E3277" s="84">
        <v>24.6</v>
      </c>
      <c r="F3277" s="83">
        <f t="shared" ca="1" si="148"/>
        <v>27207.600000000002</v>
      </c>
    </row>
    <row r="3278" spans="1:6" ht="14.1" customHeight="1" x14ac:dyDescent="0.25">
      <c r="A3278" s="94" t="s">
        <v>2200</v>
      </c>
      <c r="B3278" s="82" t="str">
        <f t="shared" ca="1" si="147"/>
        <v>Servicios de laboratorios de análisis de sangre</v>
      </c>
      <c r="C3278" s="95" t="str">
        <f>IFERROR(VLOOKUP("UD",'Informacion '!P:Q,2,FALSE),"")</f>
        <v>Unidad</v>
      </c>
      <c r="D3278" s="94">
        <v>5005.09</v>
      </c>
      <c r="E3278" s="84">
        <v>5.09</v>
      </c>
      <c r="F3278" s="83">
        <f t="shared" ca="1" si="148"/>
        <v>25475.908100000001</v>
      </c>
    </row>
    <row r="3279" spans="1:6" ht="14.1" customHeight="1" x14ac:dyDescent="0.25">
      <c r="A3279" s="94" t="s">
        <v>2200</v>
      </c>
      <c r="B3279" s="82" t="str">
        <f t="shared" ca="1" si="147"/>
        <v>Servicios de laboratorios de análisis de sangre</v>
      </c>
      <c r="C3279" s="95" t="str">
        <f>IFERROR(VLOOKUP("UD",'Informacion '!P:Q,2,FALSE),"")</f>
        <v>Unidad</v>
      </c>
      <c r="D3279" s="94">
        <v>7000</v>
      </c>
      <c r="E3279" s="84">
        <v>1.94</v>
      </c>
      <c r="F3279" s="83">
        <f t="shared" ca="1" si="148"/>
        <v>13580</v>
      </c>
    </row>
    <row r="3280" spans="1:6" ht="14.1" customHeight="1" x14ac:dyDescent="0.25">
      <c r="A3280" s="94" t="s">
        <v>2200</v>
      </c>
      <c r="B3280" s="82" t="str">
        <f t="shared" ca="1" si="147"/>
        <v>Servicios de laboratorios de análisis de sangre</v>
      </c>
      <c r="C3280" s="95" t="str">
        <f>IFERROR(VLOOKUP("UD",'Informacion '!P:Q,2,FALSE),"")</f>
        <v>Unidad</v>
      </c>
      <c r="D3280" s="94">
        <v>2803</v>
      </c>
      <c r="E3280" s="84">
        <v>24.63</v>
      </c>
      <c r="F3280" s="83">
        <f t="shared" ca="1" si="148"/>
        <v>69037.89</v>
      </c>
    </row>
    <row r="3281" spans="1:6" ht="14.1" customHeight="1" x14ac:dyDescent="0.25">
      <c r="A3281" s="94" t="s">
        <v>2200</v>
      </c>
      <c r="B3281" s="82" t="str">
        <f t="shared" ca="1" si="147"/>
        <v>Servicios de laboratorios de análisis de sangre</v>
      </c>
      <c r="C3281" s="95" t="str">
        <f>IFERROR(VLOOKUP("UD",'Informacion '!P:Q,2,FALSE),"")</f>
        <v>Unidad</v>
      </c>
      <c r="D3281" s="94">
        <v>4455</v>
      </c>
      <c r="E3281" s="84">
        <v>24.63</v>
      </c>
      <c r="F3281" s="83">
        <f t="shared" ca="1" si="148"/>
        <v>109726.65</v>
      </c>
    </row>
    <row r="3282" spans="1:6" ht="14.1" customHeight="1" x14ac:dyDescent="0.25">
      <c r="A3282" s="94" t="s">
        <v>2200</v>
      </c>
      <c r="B3282" s="82" t="str">
        <f t="shared" ca="1" si="147"/>
        <v>Servicios de laboratorios de análisis de sangre</v>
      </c>
      <c r="C3282" s="95" t="str">
        <f>IFERROR(VLOOKUP("UD",'Informacion '!P:Q,2,FALSE),"")</f>
        <v>Unidad</v>
      </c>
      <c r="D3282" s="94">
        <v>18</v>
      </c>
      <c r="E3282" s="84">
        <v>38900</v>
      </c>
      <c r="F3282" s="83">
        <f t="shared" ca="1" si="148"/>
        <v>700200</v>
      </c>
    </row>
    <row r="3283" spans="1:6" ht="14.1" customHeight="1" x14ac:dyDescent="0.25">
      <c r="A3283" s="94" t="s">
        <v>2200</v>
      </c>
      <c r="B3283" s="82" t="str">
        <f t="shared" ca="1" si="147"/>
        <v>Servicios de laboratorios de análisis de sangre</v>
      </c>
      <c r="C3283" s="95" t="str">
        <f>IFERROR(VLOOKUP("UD",'Informacion '!P:Q,2,FALSE),"")</f>
        <v>Unidad</v>
      </c>
      <c r="D3283" s="94">
        <v>117</v>
      </c>
      <c r="E3283" s="84">
        <v>48.5</v>
      </c>
      <c r="F3283" s="83">
        <f t="shared" ca="1" si="148"/>
        <v>5674.5</v>
      </c>
    </row>
    <row r="3284" spans="1:6" ht="14.1" customHeight="1" x14ac:dyDescent="0.25">
      <c r="A3284" s="94" t="s">
        <v>2200</v>
      </c>
      <c r="B3284" s="82" t="str">
        <f t="shared" ca="1" si="147"/>
        <v>Servicios de laboratorios de análisis de sangre</v>
      </c>
      <c r="C3284" s="95" t="str">
        <f>IFERROR(VLOOKUP("UD",'Informacion '!P:Q,2,FALSE),"")</f>
        <v>Unidad</v>
      </c>
      <c r="D3284" s="94">
        <v>5</v>
      </c>
      <c r="E3284" s="84">
        <v>14142.36</v>
      </c>
      <c r="F3284" s="83">
        <f t="shared" ca="1" si="148"/>
        <v>70711.8</v>
      </c>
    </row>
    <row r="3285" spans="1:6" ht="14.1" customHeight="1" x14ac:dyDescent="0.25">
      <c r="A3285" s="94" t="s">
        <v>2200</v>
      </c>
      <c r="B3285" s="82" t="str">
        <f t="shared" ca="1" si="147"/>
        <v>Servicios de laboratorios de análisis de sangre</v>
      </c>
      <c r="C3285" s="95" t="str">
        <f>IFERROR(VLOOKUP("UD",'Informacion '!P:Q,2,FALSE),"")</f>
        <v>Unidad</v>
      </c>
      <c r="D3285" s="94">
        <v>6</v>
      </c>
      <c r="E3285" s="84">
        <v>3824.94</v>
      </c>
      <c r="F3285" s="83">
        <f t="shared" ca="1" si="148"/>
        <v>22949.64</v>
      </c>
    </row>
    <row r="3286" spans="1:6" ht="14.1" customHeight="1" x14ac:dyDescent="0.25">
      <c r="A3286" s="94" t="s">
        <v>2200</v>
      </c>
      <c r="B3286" s="82" t="str">
        <f t="shared" ca="1" si="147"/>
        <v>Servicios de laboratorios de análisis de sangre</v>
      </c>
      <c r="C3286" s="95" t="str">
        <f>IFERROR(VLOOKUP("UD",'Informacion '!P:Q,2,FALSE),"")</f>
        <v>Unidad</v>
      </c>
      <c r="D3286" s="94">
        <v>11</v>
      </c>
      <c r="E3286" s="84">
        <v>3205.05</v>
      </c>
      <c r="F3286" s="83">
        <f t="shared" ca="1" si="148"/>
        <v>35255.550000000003</v>
      </c>
    </row>
    <row r="3287" spans="1:6" ht="14.1" customHeight="1" x14ac:dyDescent="0.25">
      <c r="A3287" s="94" t="s">
        <v>2200</v>
      </c>
      <c r="B3287" s="82" t="str">
        <f t="shared" ca="1" si="147"/>
        <v>Servicios de laboratorios de análisis de sangre</v>
      </c>
      <c r="C3287" s="95" t="str">
        <f>IFERROR(VLOOKUP("UD",'Informacion '!P:Q,2,FALSE),"")</f>
        <v>Unidad</v>
      </c>
      <c r="D3287" s="94">
        <v>5029</v>
      </c>
      <c r="E3287" s="84">
        <v>21.84</v>
      </c>
      <c r="F3287" s="83">
        <f t="shared" ca="1" si="148"/>
        <v>109833.36</v>
      </c>
    </row>
    <row r="3288" spans="1:6" ht="14.1" customHeight="1" x14ac:dyDescent="0.25">
      <c r="A3288" s="94" t="s">
        <v>2200</v>
      </c>
      <c r="B3288" s="82" t="str">
        <f t="shared" ca="1" si="147"/>
        <v>Servicios de laboratorios de análisis de sangre</v>
      </c>
      <c r="C3288" s="95" t="str">
        <f>IFERROR(VLOOKUP("UD",'Informacion '!P:Q,2,FALSE),"")</f>
        <v>Unidad</v>
      </c>
      <c r="D3288" s="94">
        <v>273</v>
      </c>
      <c r="E3288" s="84">
        <v>162.5</v>
      </c>
      <c r="F3288" s="83">
        <f t="shared" ca="1" si="148"/>
        <v>44362.5</v>
      </c>
    </row>
    <row r="3289" spans="1:6" ht="14.1" customHeight="1" x14ac:dyDescent="0.25">
      <c r="A3289" s="94" t="s">
        <v>2200</v>
      </c>
      <c r="B3289" s="82" t="str">
        <f t="shared" ca="1" si="147"/>
        <v>Servicios de laboratorios de análisis de sangre</v>
      </c>
      <c r="C3289" s="95" t="str">
        <f>IFERROR(VLOOKUP("UD",'Informacion '!P:Q,2,FALSE),"")</f>
        <v>Unidad</v>
      </c>
      <c r="D3289" s="94">
        <v>6</v>
      </c>
      <c r="E3289" s="84">
        <v>6912</v>
      </c>
      <c r="F3289" s="83">
        <f t="shared" ca="1" si="148"/>
        <v>41472</v>
      </c>
    </row>
    <row r="3290" spans="1:6" ht="14.1" customHeight="1" x14ac:dyDescent="0.25">
      <c r="A3290" s="94" t="s">
        <v>2200</v>
      </c>
      <c r="B3290" s="82" t="str">
        <f t="shared" ca="1" si="147"/>
        <v>Servicios de laboratorios de análisis de sangre</v>
      </c>
      <c r="C3290" s="95" t="str">
        <f>IFERROR(VLOOKUP("UD",'Informacion '!P:Q,2,FALSE),"")</f>
        <v>Unidad</v>
      </c>
      <c r="D3290" s="94">
        <v>890</v>
      </c>
      <c r="E3290" s="84">
        <v>68.739999999999995</v>
      </c>
      <c r="F3290" s="83">
        <f t="shared" ca="1" si="148"/>
        <v>61178.6</v>
      </c>
    </row>
    <row r="3291" spans="1:6" ht="14.1" customHeight="1" x14ac:dyDescent="0.25">
      <c r="A3291" s="94" t="s">
        <v>2200</v>
      </c>
      <c r="B3291" s="82" t="str">
        <f t="shared" ca="1" si="147"/>
        <v>Servicios de laboratorios de análisis de sangre</v>
      </c>
      <c r="C3291" s="95" t="str">
        <f>IFERROR(VLOOKUP("UD",'Informacion '!P:Q,2,FALSE),"")</f>
        <v>Unidad</v>
      </c>
      <c r="D3291" s="94">
        <v>2671</v>
      </c>
      <c r="E3291" s="84">
        <v>21.84</v>
      </c>
      <c r="F3291" s="83">
        <f t="shared" ca="1" si="148"/>
        <v>58334.64</v>
      </c>
    </row>
    <row r="3292" spans="1:6" ht="14.1" customHeight="1" x14ac:dyDescent="0.25">
      <c r="A3292" s="94" t="s">
        <v>2200</v>
      </c>
      <c r="B3292" s="82" t="str">
        <f t="shared" ca="1" si="147"/>
        <v>Servicios de laboratorios de análisis de sangre</v>
      </c>
      <c r="C3292" s="95" t="str">
        <f>IFERROR(VLOOKUP("UD",'Informacion '!P:Q,2,FALSE),"")</f>
        <v>Unidad</v>
      </c>
      <c r="D3292" s="94">
        <v>4</v>
      </c>
      <c r="E3292" s="84">
        <v>2558.17</v>
      </c>
      <c r="F3292" s="83">
        <f t="shared" ca="1" si="148"/>
        <v>10232.68</v>
      </c>
    </row>
    <row r="3293" spans="1:6" ht="14.1" customHeight="1" x14ac:dyDescent="0.25">
      <c r="A3293" s="94" t="s">
        <v>2200</v>
      </c>
      <c r="B3293" s="82" t="str">
        <f t="shared" ca="1" si="147"/>
        <v>Servicios de laboratorios de análisis de sangre</v>
      </c>
      <c r="C3293" s="95" t="str">
        <f>IFERROR(VLOOKUP("UD",'Informacion '!P:Q,2,FALSE),"")</f>
        <v>Unidad</v>
      </c>
      <c r="D3293" s="94">
        <v>32671</v>
      </c>
      <c r="E3293" s="84">
        <v>213.52</v>
      </c>
      <c r="F3293" s="83">
        <f t="shared" ca="1" si="148"/>
        <v>6975911.9199999999</v>
      </c>
    </row>
    <row r="3294" spans="1:6" ht="14.1" customHeight="1" x14ac:dyDescent="0.25">
      <c r="A3294" s="94" t="s">
        <v>2200</v>
      </c>
      <c r="B3294" s="82" t="str">
        <f t="shared" ca="1" si="147"/>
        <v>Servicios de laboratorios de análisis de sangre</v>
      </c>
      <c r="C3294" s="95" t="str">
        <f>IFERROR(VLOOKUP("UD",'Informacion '!P:Q,2,FALSE),"")</f>
        <v>Unidad</v>
      </c>
      <c r="D3294" s="94">
        <v>219</v>
      </c>
      <c r="E3294" s="84">
        <v>65.5</v>
      </c>
      <c r="F3294" s="83">
        <f t="shared" ca="1" si="148"/>
        <v>14344.5</v>
      </c>
    </row>
    <row r="3295" spans="1:6" ht="14.1" customHeight="1" x14ac:dyDescent="0.25">
      <c r="A3295" s="94" t="s">
        <v>2200</v>
      </c>
      <c r="B3295" s="82" t="str">
        <f t="shared" ca="1" si="147"/>
        <v>Servicios de laboratorios de análisis de sangre</v>
      </c>
      <c r="C3295" s="95" t="str">
        <f>IFERROR(VLOOKUP("UD",'Informacion '!P:Q,2,FALSE),"")</f>
        <v>Unidad</v>
      </c>
      <c r="D3295" s="94">
        <v>7</v>
      </c>
      <c r="E3295" s="84">
        <v>494.17</v>
      </c>
      <c r="F3295" s="83">
        <f t="shared" ca="1" si="148"/>
        <v>3459.19</v>
      </c>
    </row>
    <row r="3296" spans="1:6" ht="14.1" customHeight="1" x14ac:dyDescent="0.25">
      <c r="A3296" s="94" t="s">
        <v>2200</v>
      </c>
      <c r="B3296" s="82" t="str">
        <f t="shared" ca="1" si="147"/>
        <v>Servicios de laboratorios de análisis de sangre</v>
      </c>
      <c r="C3296" s="95" t="str">
        <f>IFERROR(VLOOKUP("UD",'Informacion '!P:Q,2,FALSE),"")</f>
        <v>Unidad</v>
      </c>
      <c r="D3296" s="94">
        <v>7</v>
      </c>
      <c r="E3296" s="84">
        <v>494.2</v>
      </c>
      <c r="F3296" s="83">
        <f t="shared" ca="1" si="148"/>
        <v>3459.4</v>
      </c>
    </row>
    <row r="3297" spans="1:6" ht="14.1" customHeight="1" x14ac:dyDescent="0.25">
      <c r="A3297" s="94" t="s">
        <v>2200</v>
      </c>
      <c r="B3297" s="82" t="str">
        <f t="shared" ca="1" si="147"/>
        <v>Servicios de laboratorios de análisis de sangre</v>
      </c>
      <c r="C3297" s="95" t="str">
        <f>IFERROR(VLOOKUP("UD",'Informacion '!P:Q,2,FALSE),"")</f>
        <v>Unidad</v>
      </c>
      <c r="D3297" s="94">
        <v>62</v>
      </c>
      <c r="E3297" s="84">
        <v>872.92</v>
      </c>
      <c r="F3297" s="83">
        <f t="shared" ca="1" si="148"/>
        <v>54121.04</v>
      </c>
    </row>
    <row r="3298" spans="1:6" ht="14.1" customHeight="1" x14ac:dyDescent="0.25">
      <c r="A3298" s="94" t="s">
        <v>2200</v>
      </c>
      <c r="B3298" s="82" t="str">
        <f t="shared" ca="1" si="147"/>
        <v>Servicios de laboratorios de análisis de sangre</v>
      </c>
      <c r="C3298" s="95" t="str">
        <f>IFERROR(VLOOKUP("UD",'Informacion '!P:Q,2,FALSE),"")</f>
        <v>Unidad</v>
      </c>
      <c r="D3298" s="94">
        <v>19</v>
      </c>
      <c r="E3298" s="84">
        <v>983.4</v>
      </c>
      <c r="F3298" s="83">
        <f t="shared" ca="1" si="148"/>
        <v>18684.599999999999</v>
      </c>
    </row>
    <row r="3299" spans="1:6" ht="14.1" customHeight="1" x14ac:dyDescent="0.25">
      <c r="A3299" s="94" t="s">
        <v>2200</v>
      </c>
      <c r="B3299" s="82" t="str">
        <f t="shared" ca="1" si="147"/>
        <v>Servicios de laboratorios de análisis de sangre</v>
      </c>
      <c r="C3299" s="95" t="str">
        <f>IFERROR(VLOOKUP("UD",'Informacion '!P:Q,2,FALSE),"")</f>
        <v>Unidad</v>
      </c>
      <c r="D3299" s="94">
        <v>20</v>
      </c>
      <c r="E3299" s="84">
        <v>983.4</v>
      </c>
      <c r="F3299" s="83">
        <f t="shared" ca="1" si="148"/>
        <v>19668</v>
      </c>
    </row>
    <row r="3300" spans="1:6" ht="14.1" customHeight="1" x14ac:dyDescent="0.25">
      <c r="A3300" s="94" t="s">
        <v>2200</v>
      </c>
      <c r="B3300" s="82" t="str">
        <f t="shared" ca="1" si="147"/>
        <v>Servicios de laboratorios de análisis de sangre</v>
      </c>
      <c r="C3300" s="95" t="str">
        <f>IFERROR(VLOOKUP("UD",'Informacion '!P:Q,2,FALSE),"")</f>
        <v>Unidad</v>
      </c>
      <c r="D3300" s="94">
        <v>4</v>
      </c>
      <c r="E3300" s="84">
        <v>21024.17</v>
      </c>
      <c r="F3300" s="83">
        <f t="shared" ca="1" si="148"/>
        <v>84096.68</v>
      </c>
    </row>
    <row r="3301" spans="1:6" ht="14.1" customHeight="1" x14ac:dyDescent="0.25">
      <c r="A3301" s="94" t="s">
        <v>2200</v>
      </c>
      <c r="B3301" s="82" t="str">
        <f t="shared" ca="1" si="147"/>
        <v>Servicios de laboratorios de análisis de sangre</v>
      </c>
      <c r="C3301" s="95" t="str">
        <f>IFERROR(VLOOKUP("UD",'Informacion '!P:Q,2,FALSE),"")</f>
        <v>Unidad</v>
      </c>
      <c r="D3301" s="94">
        <v>4</v>
      </c>
      <c r="E3301" s="84">
        <v>21024.17</v>
      </c>
      <c r="F3301" s="83">
        <f t="shared" ca="1" si="148"/>
        <v>84096.68</v>
      </c>
    </row>
    <row r="3302" spans="1:6" ht="14.1" customHeight="1" x14ac:dyDescent="0.25">
      <c r="A3302" s="94" t="s">
        <v>5138</v>
      </c>
      <c r="B3302" s="82" t="str">
        <f t="shared" ref="B3302:B3308" ca="1" si="149">IFERROR(INDEX(UNSPSCDes,MATCH(INDIRECT(ADDRESS(ROW(),COLUMN()-1,4)),UNSPSCCode,0)),IF(INDIRECT(ADDRESS(ROW(),COLUMN()-1,4))="41103801","Mezcladores de laboratorio",""))</f>
        <v>Mezcladores de laboratorio</v>
      </c>
      <c r="C3302" s="95" t="str">
        <f>IFERROR(VLOOKUP("UD",'Informacion '!P:Q,2,FALSE),"")</f>
        <v>Unidad</v>
      </c>
      <c r="D3302" s="94">
        <v>6</v>
      </c>
      <c r="E3302" s="84">
        <v>62.69</v>
      </c>
      <c r="F3302" s="83">
        <f t="shared" ca="1" si="148"/>
        <v>376.14</v>
      </c>
    </row>
    <row r="3303" spans="1:6" ht="14.1" customHeight="1" x14ac:dyDescent="0.25">
      <c r="A3303" s="94" t="s">
        <v>5138</v>
      </c>
      <c r="B3303" s="82" t="str">
        <f t="shared" ca="1" si="149"/>
        <v>Mezcladores de laboratorio</v>
      </c>
      <c r="C3303" s="95" t="str">
        <f>IFERROR(VLOOKUP("UD",'Informacion '!P:Q,2,FALSE),"")</f>
        <v>Unidad</v>
      </c>
      <c r="D3303" s="94">
        <v>16</v>
      </c>
      <c r="E3303" s="84">
        <v>7832</v>
      </c>
      <c r="F3303" s="83">
        <f t="shared" ca="1" si="148"/>
        <v>125312</v>
      </c>
    </row>
    <row r="3304" spans="1:6" ht="14.1" customHeight="1" x14ac:dyDescent="0.25">
      <c r="A3304" s="94" t="s">
        <v>5138</v>
      </c>
      <c r="B3304" s="82" t="str">
        <f t="shared" ca="1" si="149"/>
        <v>Mezcladores de laboratorio</v>
      </c>
      <c r="C3304" s="95" t="str">
        <f>IFERROR(VLOOKUP("UD",'Informacion '!P:Q,2,FALSE),"")</f>
        <v>Unidad</v>
      </c>
      <c r="D3304" s="94">
        <v>6</v>
      </c>
      <c r="E3304" s="84">
        <v>15812.92</v>
      </c>
      <c r="F3304" s="83">
        <f t="shared" ca="1" si="148"/>
        <v>94877.52</v>
      </c>
    </row>
    <row r="3305" spans="1:6" ht="14.1" customHeight="1" x14ac:dyDescent="0.25">
      <c r="A3305" s="94" t="s">
        <v>5138</v>
      </c>
      <c r="B3305" s="82" t="str">
        <f t="shared" ca="1" si="149"/>
        <v>Mezcladores de laboratorio</v>
      </c>
      <c r="C3305" s="95" t="str">
        <f>IFERROR(VLOOKUP("UD",'Informacion '!P:Q,2,FALSE),"")</f>
        <v>Unidad</v>
      </c>
      <c r="D3305" s="94">
        <v>10</v>
      </c>
      <c r="E3305" s="84">
        <v>27578.29</v>
      </c>
      <c r="F3305" s="83">
        <f t="shared" ca="1" si="148"/>
        <v>275782.90000000002</v>
      </c>
    </row>
    <row r="3306" spans="1:6" ht="14.1" customHeight="1" x14ac:dyDescent="0.25">
      <c r="A3306" s="94" t="s">
        <v>5138</v>
      </c>
      <c r="B3306" s="82" t="str">
        <f t="shared" ca="1" si="149"/>
        <v>Mezcladores de laboratorio</v>
      </c>
      <c r="C3306" s="95" t="str">
        <f>IFERROR(VLOOKUP("UD",'Informacion '!P:Q,2,FALSE),"")</f>
        <v>Unidad</v>
      </c>
      <c r="D3306" s="94">
        <v>6</v>
      </c>
      <c r="E3306" s="84">
        <v>23936</v>
      </c>
      <c r="F3306" s="83">
        <f t="shared" ca="1" si="148"/>
        <v>143616</v>
      </c>
    </row>
    <row r="3307" spans="1:6" ht="14.1" customHeight="1" x14ac:dyDescent="0.25">
      <c r="A3307" s="94" t="s">
        <v>5138</v>
      </c>
      <c r="B3307" s="82" t="str">
        <f t="shared" ca="1" si="149"/>
        <v>Mezcladores de laboratorio</v>
      </c>
      <c r="C3307" s="95" t="str">
        <f>IFERROR(VLOOKUP("UD",'Informacion '!P:Q,2,FALSE),"")</f>
        <v>Unidad</v>
      </c>
      <c r="D3307" s="94">
        <v>18</v>
      </c>
      <c r="E3307" s="84">
        <v>17926.2</v>
      </c>
      <c r="F3307" s="83">
        <f t="shared" ca="1" si="148"/>
        <v>322671.60000000003</v>
      </c>
    </row>
    <row r="3308" spans="1:6" ht="14.1" customHeight="1" x14ac:dyDescent="0.25">
      <c r="A3308" s="94" t="s">
        <v>5138</v>
      </c>
      <c r="B3308" s="82" t="str">
        <f t="shared" ca="1" si="149"/>
        <v>Mezcladores de laboratorio</v>
      </c>
      <c r="C3308" s="95" t="str">
        <f>IFERROR(VLOOKUP("UD",'Informacion '!P:Q,2,FALSE),"")</f>
        <v>Unidad</v>
      </c>
      <c r="D3308" s="94">
        <v>10</v>
      </c>
      <c r="E3308" s="84">
        <v>7946.36</v>
      </c>
      <c r="F3308" s="83">
        <f t="shared" ca="1" si="148"/>
        <v>79463.599999999991</v>
      </c>
    </row>
    <row r="3309" spans="1:6" ht="14.1" customHeight="1" x14ac:dyDescent="0.25">
      <c r="A3309" s="94" t="s">
        <v>16379</v>
      </c>
      <c r="B3309" s="82" t="str">
        <f ca="1">IFERROR(INDEX(UNSPSCDes,MATCH(INDIRECT(ADDRESS(ROW(),COLUMN()-1,4)),UNSPSCCode,0)),IF(INDIRECT(ADDRESS(ROW(),COLUMN()-1,4))="53131608","Jabones",""))</f>
        <v>Jabones</v>
      </c>
      <c r="C3309" s="95" t="str">
        <f>IFERROR(VLOOKUP("UD",'Informacion '!P:Q,2,FALSE),"")</f>
        <v>Unidad</v>
      </c>
      <c r="D3309" s="94">
        <v>1</v>
      </c>
      <c r="E3309" s="84">
        <v>24.59</v>
      </c>
      <c r="F3309" s="83">
        <f t="shared" ca="1" si="148"/>
        <v>24.59</v>
      </c>
    </row>
    <row r="3310" spans="1:6" ht="14.1" customHeight="1" x14ac:dyDescent="0.25">
      <c r="A3310" s="94" t="s">
        <v>16379</v>
      </c>
      <c r="B3310" s="82" t="str">
        <f ca="1">IFERROR(INDEX(UNSPSCDes,MATCH(INDIRECT(ADDRESS(ROW(),COLUMN()-1,4)),UNSPSCCode,0)),IF(INDIRECT(ADDRESS(ROW(),COLUMN()-1,4))="53131608","Jabones",""))</f>
        <v>Jabones</v>
      </c>
      <c r="C3310" s="95" t="str">
        <f>IFERROR(VLOOKUP("UD",'Informacion '!P:Q,2,FALSE),"")</f>
        <v>Unidad</v>
      </c>
      <c r="D3310" s="94">
        <v>7</v>
      </c>
      <c r="E3310" s="84">
        <v>24.61</v>
      </c>
      <c r="F3310" s="83">
        <f t="shared" ca="1" si="148"/>
        <v>172.26999999999998</v>
      </c>
    </row>
    <row r="3311" spans="1:6" ht="14.1" customHeight="1" x14ac:dyDescent="0.25">
      <c r="A3311" s="94" t="s">
        <v>16379</v>
      </c>
      <c r="B3311" s="82" t="str">
        <f ca="1">IFERROR(INDEX(UNSPSCDes,MATCH(INDIRECT(ADDRESS(ROW(),COLUMN()-1,4)),UNSPSCCode,0)),IF(INDIRECT(ADDRESS(ROW(),COLUMN()-1,4))="53131608","Jabones",""))</f>
        <v>Jabones</v>
      </c>
      <c r="C3311" s="95" t="str">
        <f>IFERROR(VLOOKUP("UD",'Informacion '!P:Q,2,FALSE),"")</f>
        <v>Unidad</v>
      </c>
      <c r="D3311" s="94">
        <v>7</v>
      </c>
      <c r="E3311" s="84">
        <v>24.44</v>
      </c>
      <c r="F3311" s="83">
        <f t="shared" ca="1" si="148"/>
        <v>171.08</v>
      </c>
    </row>
    <row r="3312" spans="1:6" ht="14.1" customHeight="1" x14ac:dyDescent="0.25">
      <c r="A3312" s="94" t="s">
        <v>16379</v>
      </c>
      <c r="B3312" s="82" t="str">
        <f ca="1">IFERROR(INDEX(UNSPSCDes,MATCH(INDIRECT(ADDRESS(ROW(),COLUMN()-1,4)),UNSPSCCode,0)),IF(INDIRECT(ADDRESS(ROW(),COLUMN()-1,4))="53131608","Jabones",""))</f>
        <v>Jabones</v>
      </c>
      <c r="C3312" s="95" t="str">
        <f>IFERROR(VLOOKUP("UD",'Informacion '!P:Q,2,FALSE),"")</f>
        <v>Unidad</v>
      </c>
      <c r="D3312" s="94">
        <v>3</v>
      </c>
      <c r="E3312" s="84">
        <v>24.49</v>
      </c>
      <c r="F3312" s="83">
        <f t="shared" ca="1" si="148"/>
        <v>73.47</v>
      </c>
    </row>
    <row r="3313" spans="1:10" ht="14.1" customHeight="1" x14ac:dyDescent="0.25">
      <c r="E3313" s="96" t="s">
        <v>7213</v>
      </c>
      <c r="F3313" s="87">
        <f ca="1">SUM(Table109[MONTO TOTAL ESTIMADO])</f>
        <v>11849007.698099997</v>
      </c>
      <c r="H3313" s="39" t="str">
        <f>C3237</f>
        <v>Bienes</v>
      </c>
      <c r="I3313" s="39" t="str">
        <f>E3237</f>
        <v>No</v>
      </c>
      <c r="J3313" s="39" t="str">
        <f>D3237</f>
        <v>Excepción - Bienes o servicios con exclusividad</v>
      </c>
    </row>
    <row r="3315" spans="1:10" ht="33.950000000000003" customHeight="1" x14ac:dyDescent="0.25">
      <c r="A3315" s="77" t="s">
        <v>17233</v>
      </c>
      <c r="B3315" s="77" t="s">
        <v>4237</v>
      </c>
      <c r="C3315" s="77" t="s">
        <v>4743</v>
      </c>
      <c r="D3315" s="77" t="s">
        <v>9891</v>
      </c>
      <c r="E3315" s="77" t="s">
        <v>3089</v>
      </c>
      <c r="F3315" s="77" t="s">
        <v>18141</v>
      </c>
    </row>
    <row r="3316" spans="1:10" ht="14.1" customHeight="1" x14ac:dyDescent="0.25">
      <c r="A3316" s="79" t="s">
        <v>12661</v>
      </c>
      <c r="B3316" s="79" t="s">
        <v>10013</v>
      </c>
      <c r="C3316" s="79" t="s">
        <v>17215</v>
      </c>
      <c r="D3316" s="79" t="s">
        <v>15249</v>
      </c>
      <c r="E3316" s="79" t="s">
        <v>18247</v>
      </c>
      <c r="F3316" s="79"/>
    </row>
    <row r="3317" spans="1:10" ht="14.1" customHeight="1" x14ac:dyDescent="0.25">
      <c r="A3317" s="2" t="s">
        <v>6643</v>
      </c>
      <c r="B3317" s="80" t="s">
        <v>1046</v>
      </c>
      <c r="C3317" s="90">
        <v>43466</v>
      </c>
      <c r="D3317" s="2" t="s">
        <v>59</v>
      </c>
      <c r="E3317" s="92" t="s">
        <v>20066</v>
      </c>
      <c r="F3317" s="93"/>
    </row>
    <row r="3318" spans="1:10" ht="14.1" customHeight="1" x14ac:dyDescent="0.25">
      <c r="A3318" s="1"/>
      <c r="B3318" s="80" t="s">
        <v>10788</v>
      </c>
      <c r="C3318" s="91">
        <f>IF(C3317="","",IF(AND(MONTH(C3317)&gt;=1,MONTH(C3317)&lt;=3),1,IF(AND(MONTH(C3317)&gt;=4,MONTH(C3317)&lt;=6),2,IF(AND(MONTH(C3317)&gt;=7,MONTH(C3317)&lt;=9),3,4))))</f>
        <v>1</v>
      </c>
      <c r="D3318" s="1"/>
      <c r="E3318" s="92" t="s">
        <v>14822</v>
      </c>
      <c r="F3318" s="93"/>
    </row>
    <row r="3319" spans="1:10" ht="14.1" customHeight="1" x14ac:dyDescent="0.25">
      <c r="A3319" s="1"/>
      <c r="B3319" s="80" t="s">
        <v>13758</v>
      </c>
      <c r="C3319" s="90">
        <v>43553</v>
      </c>
      <c r="D3319" s="1"/>
      <c r="E3319" s="92" t="s">
        <v>18636</v>
      </c>
      <c r="F3319" s="93"/>
    </row>
    <row r="3320" spans="1:10" ht="14.1" customHeight="1" x14ac:dyDescent="0.25">
      <c r="A3320" s="1"/>
      <c r="B3320" s="80" t="s">
        <v>10788</v>
      </c>
      <c r="C3320" s="91">
        <f>IF(C3319="","",IF(AND(MONTH(C3319)&gt;=1,MONTH(C3319)&lt;=3),1,IF(AND(MONTH(C3319)&gt;=4,MONTH(C3319)&lt;=6),2,IF(AND(MONTH(C3319)&gt;=7,MONTH(C3319)&lt;=9),3,4))))</f>
        <v>1</v>
      </c>
      <c r="D3320" s="1"/>
      <c r="E3320" s="92" t="s">
        <v>15990</v>
      </c>
      <c r="F3320" s="93"/>
    </row>
    <row r="3322" spans="1:10" ht="14.1" customHeight="1" x14ac:dyDescent="0.25">
      <c r="A3322" s="85" t="s">
        <v>15474</v>
      </c>
      <c r="B3322" s="85" t="s">
        <v>5027</v>
      </c>
      <c r="C3322" s="85" t="s">
        <v>17461</v>
      </c>
      <c r="D3322" s="85" t="s">
        <v>3935</v>
      </c>
      <c r="E3322" s="85" t="s">
        <v>10722</v>
      </c>
      <c r="F3322" s="85" t="s">
        <v>18237</v>
      </c>
    </row>
    <row r="3323" spans="1:10" ht="14.1" customHeight="1" x14ac:dyDescent="0.25">
      <c r="A3323" s="94" t="s">
        <v>14630</v>
      </c>
      <c r="B3323" s="82" t="str">
        <f ca="1">IFERROR(INDEX(UNSPSCDes,MATCH(INDIRECT(ADDRESS(ROW(),COLUMN()-1,4)),UNSPSCCode,0)),IF(INDIRECT(ADDRESS(ROW(),COLUMN()-1,4))="60121124","Papel kraft",""))</f>
        <v>Papel kraft</v>
      </c>
      <c r="C3323" s="95" t="str">
        <f>IFERROR(VLOOKUP("UD",'Informacion '!P:Q,2,FALSE),"")</f>
        <v>Unidad</v>
      </c>
      <c r="D3323" s="94">
        <v>40</v>
      </c>
      <c r="E3323" s="84">
        <v>1040</v>
      </c>
      <c r="F3323" s="83">
        <f t="shared" ref="F3323:F3354" ca="1" si="150">INDIRECT(ADDRESS(ROW(),COLUMN()-2,4))*INDIRECT(ADDRESS(ROW(),COLUMN()-1,4))</f>
        <v>41600</v>
      </c>
    </row>
    <row r="3324" spans="1:10" ht="14.1" customHeight="1" x14ac:dyDescent="0.25">
      <c r="A3324" s="94" t="s">
        <v>14630</v>
      </c>
      <c r="B3324" s="82" t="str">
        <f ca="1">IFERROR(INDEX(UNSPSCDes,MATCH(INDIRECT(ADDRESS(ROW(),COLUMN()-1,4)),UNSPSCCode,0)),IF(INDIRECT(ADDRESS(ROW(),COLUMN()-1,4))="60121124","Papel kraft",""))</f>
        <v>Papel kraft</v>
      </c>
      <c r="C3324" s="95" t="str">
        <f>IFERROR(VLOOKUP("UD",'Informacion '!P:Q,2,FALSE),"")</f>
        <v>Unidad</v>
      </c>
      <c r="D3324" s="94">
        <v>26</v>
      </c>
      <c r="E3324" s="84">
        <v>247</v>
      </c>
      <c r="F3324" s="83">
        <f t="shared" ca="1" si="150"/>
        <v>6422</v>
      </c>
    </row>
    <row r="3325" spans="1:10" ht="14.1" customHeight="1" x14ac:dyDescent="0.25">
      <c r="A3325" s="94" t="s">
        <v>1868</v>
      </c>
      <c r="B3325" s="82" t="str">
        <f ca="1">IFERROR(INDEX(UNSPSCDes,MATCH(INDIRECT(ADDRESS(ROW(),COLUMN()-1,4)),UNSPSCCode,0)),IF(INDIRECT(ADDRESS(ROW(),COLUMN()-1,4))="14111601","Papel o bolsas o cajas de regalo",""))</f>
        <v>Papel o bolsas o cajas de regalo</v>
      </c>
      <c r="C3325" s="95" t="str">
        <f>IFERROR(VLOOKUP("PAQ",'Informacion '!P:Q,2,FALSE),"")</f>
        <v>Paquete</v>
      </c>
      <c r="D3325" s="94">
        <v>54</v>
      </c>
      <c r="E3325" s="84">
        <v>434</v>
      </c>
      <c r="F3325" s="83">
        <f t="shared" ca="1" si="150"/>
        <v>23436</v>
      </c>
    </row>
    <row r="3326" spans="1:10" ht="14.1" customHeight="1" x14ac:dyDescent="0.25">
      <c r="A3326" s="94" t="s">
        <v>16955</v>
      </c>
      <c r="B3326" s="82" t="str">
        <f ca="1">IFERROR(INDEX(UNSPSCDes,MATCH(INDIRECT(ADDRESS(ROW(),COLUMN()-1,4)),UNSPSCCode,0)),IF(INDIRECT(ADDRESS(ROW(),COLUMN()-1,4))="11101705","Aluminio",""))</f>
        <v>Aluminio</v>
      </c>
      <c r="C3326" s="95" t="str">
        <f>IFERROR(VLOOKUP("UD",'Informacion '!P:Q,2,FALSE),"")</f>
        <v>Unidad</v>
      </c>
      <c r="D3326" s="94">
        <v>26</v>
      </c>
      <c r="E3326" s="84">
        <v>225</v>
      </c>
      <c r="F3326" s="83">
        <f t="shared" ca="1" si="150"/>
        <v>5850</v>
      </c>
    </row>
    <row r="3327" spans="1:10" ht="14.1" customHeight="1" x14ac:dyDescent="0.25">
      <c r="A3327" s="94" t="s">
        <v>11163</v>
      </c>
      <c r="B3327" s="82" t="str">
        <f ca="1">IFERROR(INDEX(UNSPSCDes,MATCH(INDIRECT(ADDRESS(ROW(),COLUMN()-1,4)),UNSPSCCode,0)),IF(INDIRECT(ADDRESS(ROW(),COLUMN()-1,4))="14111705","Servilletas de papel",""))</f>
        <v>Servilletas de papel</v>
      </c>
      <c r="C3327" s="95" t="str">
        <f>IFERROR(VLOOKUP("PAQ",'Informacion '!P:Q,2,FALSE),"")</f>
        <v>Paquete</v>
      </c>
      <c r="D3327" s="94">
        <v>320</v>
      </c>
      <c r="E3327" s="84">
        <v>95</v>
      </c>
      <c r="F3327" s="83">
        <f t="shared" ca="1" si="150"/>
        <v>30400</v>
      </c>
    </row>
    <row r="3328" spans="1:10" ht="14.1" customHeight="1" x14ac:dyDescent="0.25">
      <c r="A3328" s="94" t="s">
        <v>7031</v>
      </c>
      <c r="B3328" s="82" t="str">
        <f ca="1">IFERROR(INDEX(UNSPSCDes,MATCH(INDIRECT(ADDRESS(ROW(),COLUMN()-1,4)),UNSPSCCode,0)),IF(INDIRECT(ADDRESS(ROW(),COLUMN()-1,4))="48101813","Batidoras manuales para uso comercial",""))</f>
        <v>Batidoras manuales para uso comercial</v>
      </c>
      <c r="C3328" s="95" t="str">
        <f>IFERROR(VLOOKUP("UD",'Informacion '!P:Q,2,FALSE),"")</f>
        <v>Unidad</v>
      </c>
      <c r="D3328" s="94">
        <v>1</v>
      </c>
      <c r="E3328" s="84">
        <v>25000</v>
      </c>
      <c r="F3328" s="83">
        <f t="shared" ca="1" si="150"/>
        <v>25000</v>
      </c>
    </row>
    <row r="3329" spans="1:6" ht="14.1" customHeight="1" x14ac:dyDescent="0.25">
      <c r="A3329" s="94" t="s">
        <v>7031</v>
      </c>
      <c r="B3329" s="82" t="str">
        <f ca="1">IFERROR(INDEX(UNSPSCDes,MATCH(INDIRECT(ADDRESS(ROW(),COLUMN()-1,4)),UNSPSCCode,0)),IF(INDIRECT(ADDRESS(ROW(),COLUMN()-1,4))="48101813","Batidoras manuales para uso comercial",""))</f>
        <v>Batidoras manuales para uso comercial</v>
      </c>
      <c r="C3329" s="95" t="str">
        <f>IFERROR(VLOOKUP("UD",'Informacion '!P:Q,2,FALSE),"")</f>
        <v>Unidad</v>
      </c>
      <c r="D3329" s="94">
        <v>1</v>
      </c>
      <c r="E3329" s="84">
        <v>3800</v>
      </c>
      <c r="F3329" s="83">
        <f t="shared" ca="1" si="150"/>
        <v>3800</v>
      </c>
    </row>
    <row r="3330" spans="1:6" ht="14.1" customHeight="1" x14ac:dyDescent="0.25">
      <c r="A3330" s="94" t="s">
        <v>7031</v>
      </c>
      <c r="B3330" s="82" t="str">
        <f ca="1">IFERROR(INDEX(UNSPSCDes,MATCH(INDIRECT(ADDRESS(ROW(),COLUMN()-1,4)),UNSPSCCode,0)),IF(INDIRECT(ADDRESS(ROW(),COLUMN()-1,4))="48101813","Batidoras manuales para uso comercial",""))</f>
        <v>Batidoras manuales para uso comercial</v>
      </c>
      <c r="C3330" s="95" t="str">
        <f>IFERROR(VLOOKUP("UD",'Informacion '!P:Q,2,FALSE),"")</f>
        <v>Unidad</v>
      </c>
      <c r="D3330" s="94">
        <v>1</v>
      </c>
      <c r="E3330" s="84">
        <v>3022</v>
      </c>
      <c r="F3330" s="83">
        <f t="shared" ca="1" si="150"/>
        <v>3022</v>
      </c>
    </row>
    <row r="3331" spans="1:6" ht="14.1" customHeight="1" x14ac:dyDescent="0.25">
      <c r="A3331" s="94" t="s">
        <v>19335</v>
      </c>
      <c r="B3331" s="82" t="str">
        <f ca="1">IFERROR(INDEX(UNSPSCDes,MATCH(INDIRECT(ADDRESS(ROW(),COLUMN()-1,4)),UNSPSCCode,0)),IF(INDIRECT(ADDRESS(ROW(),COLUMN()-1,4))="48101613","Máquinas de amasar para uso comercial",""))</f>
        <v>Máquinas de amasar para uso comercial</v>
      </c>
      <c r="C3331" s="95" t="str">
        <f>IFERROR(VLOOKUP("UD",'Informacion '!P:Q,2,FALSE),"")</f>
        <v>Unidad</v>
      </c>
      <c r="D3331" s="94">
        <v>1</v>
      </c>
      <c r="E3331" s="84">
        <v>8000</v>
      </c>
      <c r="F3331" s="83">
        <f t="shared" ca="1" si="150"/>
        <v>8000</v>
      </c>
    </row>
    <row r="3332" spans="1:6" ht="14.1" customHeight="1" x14ac:dyDescent="0.25">
      <c r="A3332" s="94" t="s">
        <v>17228</v>
      </c>
      <c r="B3332" s="82" t="str">
        <f ca="1">IFERROR(INDEX(UNSPSCDes,MATCH(INDIRECT(ADDRESS(ROW(),COLUMN()-1,4)),UNSPSCCode,0)),IF(INDIRECT(ADDRESS(ROW(),COLUMN()-1,4))="23181801","Equipo y suministros para elaboración de café",""))</f>
        <v>Equipo y suministros para elaboración de café</v>
      </c>
      <c r="C3332" s="95" t="str">
        <f>IFERROR(VLOOKUP("UD",'Informacion '!P:Q,2,FALSE),"")</f>
        <v>Unidad</v>
      </c>
      <c r="D3332" s="94">
        <v>5</v>
      </c>
      <c r="E3332" s="84">
        <v>1300</v>
      </c>
      <c r="F3332" s="83">
        <f t="shared" ca="1" si="150"/>
        <v>6500</v>
      </c>
    </row>
    <row r="3333" spans="1:6" ht="14.1" customHeight="1" x14ac:dyDescent="0.25">
      <c r="A3333" s="94" t="s">
        <v>13689</v>
      </c>
      <c r="B3333" s="82" t="str">
        <f ca="1">IFERROR(INDEX(UNSPSCDes,MATCH(INDIRECT(ADDRESS(ROW(),COLUMN()-1,4)),UNSPSCCode,0)),IF(INDIRECT(ADDRESS(ROW(),COLUMN()-1,4))="48101605","Moledoras de alimentos para uso comercial",""))</f>
        <v>Moledoras de alimentos para uso comercial</v>
      </c>
      <c r="C3333" s="95" t="str">
        <f>IFERROR(VLOOKUP("UD",'Informacion '!P:Q,2,FALSE),"")</f>
        <v>Unidad</v>
      </c>
      <c r="D3333" s="94">
        <v>1</v>
      </c>
      <c r="E3333" s="84">
        <v>28300</v>
      </c>
      <c r="F3333" s="83">
        <f t="shared" ca="1" si="150"/>
        <v>28300</v>
      </c>
    </row>
    <row r="3334" spans="1:6" ht="14.1" customHeight="1" x14ac:dyDescent="0.25">
      <c r="A3334" s="94" t="s">
        <v>9787</v>
      </c>
      <c r="B3334" s="82" t="str">
        <f ca="1">IFERROR(INDEX(UNSPSCDes,MATCH(INDIRECT(ADDRESS(ROW(),COLUMN()-1,4)),UNSPSCCode,0)),IF(INDIRECT(ADDRESS(ROW(),COLUMN()-1,4))="48101607","Exprimidores de jugo para uso comercial",""))</f>
        <v>Exprimidores de jugo para uso comercial</v>
      </c>
      <c r="C3334" s="95" t="str">
        <f>IFERROR(VLOOKUP("UD",'Informacion '!P:Q,2,FALSE),"")</f>
        <v>Unidad</v>
      </c>
      <c r="D3334" s="94">
        <v>1</v>
      </c>
      <c r="E3334" s="84">
        <v>4400</v>
      </c>
      <c r="F3334" s="83">
        <f t="shared" ca="1" si="150"/>
        <v>4400</v>
      </c>
    </row>
    <row r="3335" spans="1:6" ht="14.1" customHeight="1" x14ac:dyDescent="0.25">
      <c r="A3335" s="94" t="s">
        <v>9912</v>
      </c>
      <c r="B3335" s="82" t="str">
        <f ca="1">IFERROR(INDEX(UNSPSCDes,MATCH(INDIRECT(ADDRESS(ROW(),COLUMN()-1,4)),UNSPSCCode,0)),IF(INDIRECT(ADDRESS(ROW(),COLUMN()-1,4))="52151622","Pistola pastelera para uso doméstico",""))</f>
        <v>Pistola pastelera para uso doméstico</v>
      </c>
      <c r="C3335" s="95" t="str">
        <f>IFERROR(VLOOKUP("UD",'Informacion '!P:Q,2,FALSE),"")</f>
        <v>Unidad</v>
      </c>
      <c r="D3335" s="94">
        <v>1</v>
      </c>
      <c r="E3335" s="84">
        <v>1940</v>
      </c>
      <c r="F3335" s="83">
        <f t="shared" ca="1" si="150"/>
        <v>1940</v>
      </c>
    </row>
    <row r="3336" spans="1:6" ht="14.1" customHeight="1" x14ac:dyDescent="0.25">
      <c r="A3336" s="94" t="s">
        <v>12972</v>
      </c>
      <c r="B3336" s="82" t="str">
        <f ca="1">IFERROR(INDEX(UNSPSCDes,MATCH(INDIRECT(ADDRESS(ROW(),COLUMN()-1,4)),UNSPSCCode,0)),IF(INDIRECT(ADDRESS(ROW(),COLUMN()-1,4))="41112220","Termómetros de refrigerador o congelador de laboratorio",""))</f>
        <v>Termómetros de refrigerador o congelador de laboratorio</v>
      </c>
      <c r="C3336" s="95" t="str">
        <f>IFERROR(VLOOKUP("UD",'Informacion '!P:Q,2,FALSE),"")</f>
        <v>Unidad</v>
      </c>
      <c r="D3336" s="94">
        <v>3</v>
      </c>
      <c r="E3336" s="84">
        <v>400</v>
      </c>
      <c r="F3336" s="83">
        <f t="shared" ca="1" si="150"/>
        <v>1200</v>
      </c>
    </row>
    <row r="3337" spans="1:6" ht="14.1" customHeight="1" x14ac:dyDescent="0.25">
      <c r="A3337" s="94" t="s">
        <v>11636</v>
      </c>
      <c r="B3337" s="82" t="str">
        <f ca="1">IFERROR(INDEX(UNSPSCDes,MATCH(INDIRECT(ADDRESS(ROW(),COLUMN()-1,4)),UNSPSCCode,0)),IF(INDIRECT(ADDRESS(ROW(),COLUMN()-1,4))="24121807","Recipientes de plástico",""))</f>
        <v>Recipientes de plástico</v>
      </c>
      <c r="C3337" s="95" t="str">
        <f>IFERROR(VLOOKUP("UD",'Informacion '!P:Q,2,FALSE),"")</f>
        <v>Unidad</v>
      </c>
      <c r="D3337" s="94">
        <v>6</v>
      </c>
      <c r="E3337" s="84">
        <v>985</v>
      </c>
      <c r="F3337" s="83">
        <f t="shared" ca="1" si="150"/>
        <v>5910</v>
      </c>
    </row>
    <row r="3338" spans="1:6" ht="14.1" customHeight="1" x14ac:dyDescent="0.25">
      <c r="A3338" s="94" t="s">
        <v>19995</v>
      </c>
      <c r="B3338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3338" s="95" t="str">
        <f>IFERROR(VLOOKUP("UD",'Informacion '!P:Q,2,FALSE),"")</f>
        <v>Unidad</v>
      </c>
      <c r="D3338" s="94">
        <v>2</v>
      </c>
      <c r="E3338" s="84">
        <v>1500</v>
      </c>
      <c r="F3338" s="83">
        <f t="shared" ca="1" si="150"/>
        <v>3000</v>
      </c>
    </row>
    <row r="3339" spans="1:6" ht="14.1" customHeight="1" x14ac:dyDescent="0.25">
      <c r="A3339" s="94" t="s">
        <v>19995</v>
      </c>
      <c r="B3339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3339" s="95" t="str">
        <f>IFERROR(VLOOKUP("UD",'Informacion '!P:Q,2,FALSE),"")</f>
        <v>Unidad</v>
      </c>
      <c r="D3339" s="94">
        <v>2</v>
      </c>
      <c r="E3339" s="84">
        <v>2200</v>
      </c>
      <c r="F3339" s="83">
        <f t="shared" ca="1" si="150"/>
        <v>4400</v>
      </c>
    </row>
    <row r="3340" spans="1:6" ht="14.1" customHeight="1" x14ac:dyDescent="0.25">
      <c r="A3340" s="94" t="s">
        <v>11533</v>
      </c>
      <c r="B3340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3340" s="95" t="str">
        <f>IFERROR(VLOOKUP("UD",'Informacion '!P:Q,2,FALSE),"")</f>
        <v>Unidad</v>
      </c>
      <c r="D3340" s="94">
        <v>2</v>
      </c>
      <c r="E3340" s="84">
        <v>954</v>
      </c>
      <c r="F3340" s="83">
        <f t="shared" ca="1" si="150"/>
        <v>1908</v>
      </c>
    </row>
    <row r="3341" spans="1:6" ht="14.1" customHeight="1" x14ac:dyDescent="0.25">
      <c r="A3341" s="94" t="s">
        <v>11533</v>
      </c>
      <c r="B3341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3341" s="95" t="str">
        <f>IFERROR(VLOOKUP("UD",'Informacion '!P:Q,2,FALSE),"")</f>
        <v>Unidad</v>
      </c>
      <c r="D3341" s="94">
        <v>2</v>
      </c>
      <c r="E3341" s="84">
        <v>488</v>
      </c>
      <c r="F3341" s="83">
        <f t="shared" ca="1" si="150"/>
        <v>976</v>
      </c>
    </row>
    <row r="3342" spans="1:6" ht="14.1" customHeight="1" x14ac:dyDescent="0.25">
      <c r="A3342" s="94" t="s">
        <v>11533</v>
      </c>
      <c r="B3342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3342" s="95" t="str">
        <f>IFERROR(VLOOKUP("UD",'Informacion '!P:Q,2,FALSE),"")</f>
        <v>Unidad</v>
      </c>
      <c r="D3342" s="94">
        <v>2</v>
      </c>
      <c r="E3342" s="84">
        <v>1235</v>
      </c>
      <c r="F3342" s="83">
        <f t="shared" ca="1" si="150"/>
        <v>2470</v>
      </c>
    </row>
    <row r="3343" spans="1:6" ht="14.1" customHeight="1" x14ac:dyDescent="0.25">
      <c r="A3343" s="94" t="s">
        <v>1985</v>
      </c>
      <c r="B3343" s="82" t="str">
        <f ca="1">IFERROR(INDEX(UNSPSCDes,MATCH(INDIRECT(ADDRESS(ROW(),COLUMN()-1,4)),UNSPSCCode,0)),IF(INDIRECT(ADDRESS(ROW(),COLUMN()-1,4))="52151704","Cucharas para uso doméstico",""))</f>
        <v>Cucharas para uso doméstico</v>
      </c>
      <c r="C3343" s="95" t="str">
        <f>IFERROR(VLOOKUP("UD",'Informacion '!P:Q,2,FALSE),"")</f>
        <v>Unidad</v>
      </c>
      <c r="D3343" s="94">
        <v>2</v>
      </c>
      <c r="E3343" s="84">
        <v>1235</v>
      </c>
      <c r="F3343" s="83">
        <f t="shared" ca="1" si="150"/>
        <v>2470</v>
      </c>
    </row>
    <row r="3344" spans="1:6" ht="14.1" customHeight="1" x14ac:dyDescent="0.25">
      <c r="A3344" s="94" t="s">
        <v>11306</v>
      </c>
      <c r="B3344" s="82" t="str">
        <f ca="1">IFERROR(INDEX(UNSPSCDes,MATCH(INDIRECT(ADDRESS(ROW(),COLUMN()-1,4)),UNSPSCCode,0)),IF(INDIRECT(ADDRESS(ROW(),COLUMN()-1,4))="52152001","Jarras para uso doméstico",""))</f>
        <v>Jarras para uso doméstico</v>
      </c>
      <c r="C3344" s="95" t="str">
        <f>IFERROR(VLOOKUP("UD",'Informacion '!P:Q,2,FALSE),"")</f>
        <v>Unidad</v>
      </c>
      <c r="D3344" s="94">
        <v>100</v>
      </c>
      <c r="E3344" s="84">
        <v>950</v>
      </c>
      <c r="F3344" s="83">
        <f t="shared" ca="1" si="150"/>
        <v>95000</v>
      </c>
    </row>
    <row r="3345" spans="1:6" ht="14.1" customHeight="1" x14ac:dyDescent="0.25">
      <c r="A3345" s="94" t="s">
        <v>11533</v>
      </c>
      <c r="B3345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3345" s="95" t="str">
        <f>IFERROR(VLOOKUP("UD",'Informacion '!P:Q,2,FALSE),"")</f>
        <v>Unidad</v>
      </c>
      <c r="D3345" s="94">
        <v>50</v>
      </c>
      <c r="E3345" s="84">
        <v>180</v>
      </c>
      <c r="F3345" s="83">
        <f t="shared" ca="1" si="150"/>
        <v>9000</v>
      </c>
    </row>
    <row r="3346" spans="1:6" ht="14.1" customHeight="1" x14ac:dyDescent="0.25">
      <c r="A3346" s="94" t="s">
        <v>19860</v>
      </c>
      <c r="B3346" s="82" t="str">
        <f ca="1">IFERROR(INDEX(UNSPSCDes,MATCH(INDIRECT(ADDRESS(ROW(),COLUMN()-1,4)),UNSPSCCode,0)),IF(INDIRECT(ADDRESS(ROW(),COLUMN()-1,4))="48101912","Dispensadores de condimentos para servicio de comidas",""))</f>
        <v>Dispensadores de condimentos para servicio de comidas</v>
      </c>
      <c r="C3346" s="95" t="str">
        <f>IFERROR(VLOOKUP("UD",'Informacion '!P:Q,2,FALSE),"")</f>
        <v>Unidad</v>
      </c>
      <c r="D3346" s="94">
        <v>10</v>
      </c>
      <c r="E3346" s="84">
        <v>50</v>
      </c>
      <c r="F3346" s="83">
        <f t="shared" ca="1" si="150"/>
        <v>500</v>
      </c>
    </row>
    <row r="3347" spans="1:6" ht="14.1" customHeight="1" x14ac:dyDescent="0.25">
      <c r="A3347" s="94" t="s">
        <v>11533</v>
      </c>
      <c r="B3347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3347" s="95" t="str">
        <f>IFERROR(VLOOKUP("UD",'Informacion '!P:Q,2,FALSE),"")</f>
        <v>Unidad</v>
      </c>
      <c r="D3347" s="94">
        <v>50</v>
      </c>
      <c r="E3347" s="84">
        <v>140</v>
      </c>
      <c r="F3347" s="83">
        <f t="shared" ca="1" si="150"/>
        <v>7000</v>
      </c>
    </row>
    <row r="3348" spans="1:6" ht="14.1" customHeight="1" x14ac:dyDescent="0.25">
      <c r="A3348" s="94" t="s">
        <v>9525</v>
      </c>
      <c r="B3348" s="82" t="str">
        <f ca="1">IFERROR(INDEX(UNSPSCDes,MATCH(INDIRECT(ADDRESS(ROW(),COLUMN()-1,4)),UNSPSCCode,0)),IF(INDIRECT(ADDRESS(ROW(),COLUMN()-1,4))="48101903","Vasos para servicio de comidas",""))</f>
        <v>Vasos para servicio de comidas</v>
      </c>
      <c r="C3348" s="95" t="str">
        <f>IFERROR(VLOOKUP("UD",'Informacion '!P:Q,2,FALSE),"")</f>
        <v>Unidad</v>
      </c>
      <c r="D3348" s="94">
        <v>100</v>
      </c>
      <c r="E3348" s="84">
        <v>68</v>
      </c>
      <c r="F3348" s="83">
        <f t="shared" ca="1" si="150"/>
        <v>6800</v>
      </c>
    </row>
    <row r="3349" spans="1:6" ht="14.1" customHeight="1" x14ac:dyDescent="0.25">
      <c r="A3349" s="94" t="s">
        <v>12603</v>
      </c>
      <c r="B3349" s="82" t="str">
        <f ca="1">IFERROR(INDEX(UNSPSCDes,MATCH(INDIRECT(ADDRESS(ROW(),COLUMN()-1,4)),UNSPSCCode,0)),IF(INDIRECT(ADDRESS(ROW(),COLUMN()-1,4))="52152004","Platos para uso doméstico",""))</f>
        <v>Platos para uso doméstico</v>
      </c>
      <c r="C3349" s="95" t="str">
        <f>IFERROR(VLOOKUP("UD",'Informacion '!P:Q,2,FALSE),"")</f>
        <v>Unidad</v>
      </c>
      <c r="D3349" s="94">
        <v>200</v>
      </c>
      <c r="E3349" s="84">
        <v>200</v>
      </c>
      <c r="F3349" s="83">
        <f t="shared" ca="1" si="150"/>
        <v>40000</v>
      </c>
    </row>
    <row r="3350" spans="1:6" ht="14.1" customHeight="1" x14ac:dyDescent="0.25">
      <c r="A3350" s="94" t="s">
        <v>12603</v>
      </c>
      <c r="B3350" s="82" t="str">
        <f ca="1">IFERROR(INDEX(UNSPSCDes,MATCH(INDIRECT(ADDRESS(ROW(),COLUMN()-1,4)),UNSPSCCode,0)),IF(INDIRECT(ADDRESS(ROW(),COLUMN()-1,4))="52152004","Platos para uso doméstico",""))</f>
        <v>Platos para uso doméstico</v>
      </c>
      <c r="C3350" s="95" t="str">
        <f>IFERROR(VLOOKUP("UD",'Informacion '!P:Q,2,FALSE),"")</f>
        <v>Unidad</v>
      </c>
      <c r="D3350" s="94">
        <v>200</v>
      </c>
      <c r="E3350" s="84">
        <v>200</v>
      </c>
      <c r="F3350" s="83">
        <f t="shared" ca="1" si="150"/>
        <v>40000</v>
      </c>
    </row>
    <row r="3351" spans="1:6" ht="14.1" customHeight="1" x14ac:dyDescent="0.25">
      <c r="A3351" s="94" t="s">
        <v>12603</v>
      </c>
      <c r="B3351" s="82" t="str">
        <f ca="1">IFERROR(INDEX(UNSPSCDes,MATCH(INDIRECT(ADDRESS(ROW(),COLUMN()-1,4)),UNSPSCCode,0)),IF(INDIRECT(ADDRESS(ROW(),COLUMN()-1,4))="52152004","Platos para uso doméstico",""))</f>
        <v>Platos para uso doméstico</v>
      </c>
      <c r="C3351" s="95" t="str">
        <f>IFERROR(VLOOKUP("UD",'Informacion '!P:Q,2,FALSE),"")</f>
        <v>Unidad</v>
      </c>
      <c r="D3351" s="94">
        <v>200</v>
      </c>
      <c r="E3351" s="84">
        <v>228</v>
      </c>
      <c r="F3351" s="83">
        <f t="shared" ca="1" si="150"/>
        <v>45600</v>
      </c>
    </row>
    <row r="3352" spans="1:6" ht="14.1" customHeight="1" x14ac:dyDescent="0.25">
      <c r="A3352" s="94" t="s">
        <v>12603</v>
      </c>
      <c r="B3352" s="82" t="str">
        <f ca="1">IFERROR(INDEX(UNSPSCDes,MATCH(INDIRECT(ADDRESS(ROW(),COLUMN()-1,4)),UNSPSCCode,0)),IF(INDIRECT(ADDRESS(ROW(),COLUMN()-1,4))="52152004","Platos para uso doméstico",""))</f>
        <v>Platos para uso doméstico</v>
      </c>
      <c r="C3352" s="95" t="str">
        <f>IFERROR(VLOOKUP("UD",'Informacion '!P:Q,2,FALSE),"")</f>
        <v>Unidad</v>
      </c>
      <c r="D3352" s="94">
        <v>200</v>
      </c>
      <c r="E3352" s="84">
        <v>220</v>
      </c>
      <c r="F3352" s="83">
        <f t="shared" ca="1" si="150"/>
        <v>44000</v>
      </c>
    </row>
    <row r="3353" spans="1:6" ht="14.1" customHeight="1" x14ac:dyDescent="0.25">
      <c r="A3353" s="94" t="s">
        <v>12603</v>
      </c>
      <c r="B3353" s="82" t="str">
        <f ca="1">IFERROR(INDEX(UNSPSCDes,MATCH(INDIRECT(ADDRESS(ROW(),COLUMN()-1,4)),UNSPSCCode,0)),IF(INDIRECT(ADDRESS(ROW(),COLUMN()-1,4))="52152004","Platos para uso doméstico",""))</f>
        <v>Platos para uso doméstico</v>
      </c>
      <c r="C3353" s="95" t="str">
        <f>IFERROR(VLOOKUP("UD",'Informacion '!P:Q,2,FALSE),"")</f>
        <v>Unidad</v>
      </c>
      <c r="D3353" s="94">
        <v>100</v>
      </c>
      <c r="E3353" s="84">
        <v>75</v>
      </c>
      <c r="F3353" s="83">
        <f t="shared" ca="1" si="150"/>
        <v>7500</v>
      </c>
    </row>
    <row r="3354" spans="1:6" ht="14.1" customHeight="1" x14ac:dyDescent="0.25">
      <c r="A3354" s="94" t="s">
        <v>15702</v>
      </c>
      <c r="B3354" s="82" t="str">
        <f ca="1">IFERROR(INDEX(UNSPSCDes,MATCH(INDIRECT(ADDRESS(ROW(),COLUMN()-1,4)),UNSPSCCode,0)),IF(INDIRECT(ADDRESS(ROW(),COLUMN()-1,4))="52151702","Cuchillos para uso doméstico",""))</f>
        <v>Cuchillos para uso doméstico</v>
      </c>
      <c r="C3354" s="95" t="str">
        <f>IFERROR(VLOOKUP("UD",'Informacion '!P:Q,2,FALSE),"")</f>
        <v>Unidad</v>
      </c>
      <c r="D3354" s="94">
        <v>4</v>
      </c>
      <c r="E3354" s="84">
        <v>872</v>
      </c>
      <c r="F3354" s="83">
        <f t="shared" ca="1" si="150"/>
        <v>3488</v>
      </c>
    </row>
    <row r="3355" spans="1:6" ht="14.1" customHeight="1" x14ac:dyDescent="0.25">
      <c r="A3355" s="94" t="s">
        <v>15702</v>
      </c>
      <c r="B3355" s="82" t="str">
        <f ca="1">IFERROR(INDEX(UNSPSCDes,MATCH(INDIRECT(ADDRESS(ROW(),COLUMN()-1,4)),UNSPSCCode,0)),IF(INDIRECT(ADDRESS(ROW(),COLUMN()-1,4))="52151702","Cuchillos para uso doméstico",""))</f>
        <v>Cuchillos para uso doméstico</v>
      </c>
      <c r="C3355" s="95" t="str">
        <f>IFERROR(VLOOKUP("UD",'Informacion '!P:Q,2,FALSE),"")</f>
        <v>Unidad</v>
      </c>
      <c r="D3355" s="94">
        <v>4</v>
      </c>
      <c r="E3355" s="84">
        <v>1654</v>
      </c>
      <c r="F3355" s="83">
        <f t="shared" ref="F3355:F3386" ca="1" si="151">INDIRECT(ADDRESS(ROW(),COLUMN()-2,4))*INDIRECT(ADDRESS(ROW(),COLUMN()-1,4))</f>
        <v>6616</v>
      </c>
    </row>
    <row r="3356" spans="1:6" ht="14.1" customHeight="1" x14ac:dyDescent="0.25">
      <c r="A3356" s="94" t="s">
        <v>15702</v>
      </c>
      <c r="B3356" s="82" t="str">
        <f ca="1">IFERROR(INDEX(UNSPSCDes,MATCH(INDIRECT(ADDRESS(ROW(),COLUMN()-1,4)),UNSPSCCode,0)),IF(INDIRECT(ADDRESS(ROW(),COLUMN()-1,4))="52151702","Cuchillos para uso doméstico",""))</f>
        <v>Cuchillos para uso doméstico</v>
      </c>
      <c r="C3356" s="95" t="str">
        <f>IFERROR(VLOOKUP("UD",'Informacion '!P:Q,2,FALSE),"")</f>
        <v>Unidad</v>
      </c>
      <c r="D3356" s="94">
        <v>6</v>
      </c>
      <c r="E3356" s="84">
        <v>1195</v>
      </c>
      <c r="F3356" s="83">
        <f t="shared" ca="1" si="151"/>
        <v>7170</v>
      </c>
    </row>
    <row r="3357" spans="1:6" ht="14.1" customHeight="1" x14ac:dyDescent="0.25">
      <c r="A3357" s="94" t="s">
        <v>15702</v>
      </c>
      <c r="B3357" s="82" t="str">
        <f ca="1">IFERROR(INDEX(UNSPSCDes,MATCH(INDIRECT(ADDRESS(ROW(),COLUMN()-1,4)),UNSPSCCode,0)),IF(INDIRECT(ADDRESS(ROW(),COLUMN()-1,4))="52151702","Cuchillos para uso doméstico",""))</f>
        <v>Cuchillos para uso doméstico</v>
      </c>
      <c r="C3357" s="95" t="str">
        <f>IFERROR(VLOOKUP("UD",'Informacion '!P:Q,2,FALSE),"")</f>
        <v>Unidad</v>
      </c>
      <c r="D3357" s="94">
        <v>6</v>
      </c>
      <c r="E3357" s="84">
        <v>331</v>
      </c>
      <c r="F3357" s="83">
        <f t="shared" ca="1" si="151"/>
        <v>1986</v>
      </c>
    </row>
    <row r="3358" spans="1:6" ht="14.1" customHeight="1" x14ac:dyDescent="0.25">
      <c r="A3358" s="94" t="s">
        <v>10686</v>
      </c>
      <c r="B3358" s="82" t="str">
        <f ca="1">IFERROR(INDEX(UNSPSCDes,MATCH(INDIRECT(ADDRESS(ROW(),COLUMN()-1,4)),UNSPSCCode,0)),IF(INDIRECT(ADDRESS(ROW(),COLUMN()-1,4))="23181606","Máquina peladora",""))</f>
        <v>Máquina peladora</v>
      </c>
      <c r="C3358" s="95" t="str">
        <f>IFERROR(VLOOKUP("UD",'Informacion '!P:Q,2,FALSE),"")</f>
        <v>Unidad</v>
      </c>
      <c r="D3358" s="94">
        <v>2</v>
      </c>
      <c r="E3358" s="84">
        <v>361</v>
      </c>
      <c r="F3358" s="83">
        <f t="shared" ca="1" si="151"/>
        <v>722</v>
      </c>
    </row>
    <row r="3359" spans="1:6" ht="14.1" customHeight="1" x14ac:dyDescent="0.25">
      <c r="A3359" s="94" t="s">
        <v>5963</v>
      </c>
      <c r="B3359" s="82" t="str">
        <f ca="1">IFERROR(INDEX(UNSPSCDes,MATCH(INDIRECT(ADDRESS(ROW(),COLUMN()-1,4)),UNSPSCCode,0)),IF(INDIRECT(ADDRESS(ROW(),COLUMN()-1,4))="27111909","Espátulas",""))</f>
        <v>Espátulas</v>
      </c>
      <c r="C3359" s="95" t="str">
        <f>IFERROR(VLOOKUP("UD",'Informacion '!P:Q,2,FALSE),"")</f>
        <v>Unidad</v>
      </c>
      <c r="D3359" s="94">
        <v>10</v>
      </c>
      <c r="E3359" s="84">
        <v>270</v>
      </c>
      <c r="F3359" s="83">
        <f t="shared" ca="1" si="151"/>
        <v>2700</v>
      </c>
    </row>
    <row r="3360" spans="1:6" ht="14.1" customHeight="1" x14ac:dyDescent="0.25">
      <c r="A3360" s="94" t="s">
        <v>17995</v>
      </c>
      <c r="B3360" s="82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3360" s="95" t="str">
        <f>IFERROR(VLOOKUP("UD",'Informacion '!P:Q,2,FALSE),"")</f>
        <v>Unidad</v>
      </c>
      <c r="D3360" s="94">
        <v>4</v>
      </c>
      <c r="E3360" s="84">
        <v>370</v>
      </c>
      <c r="F3360" s="83">
        <f t="shared" ca="1" si="151"/>
        <v>1480</v>
      </c>
    </row>
    <row r="3361" spans="1:6" ht="14.1" customHeight="1" x14ac:dyDescent="0.25">
      <c r="A3361" s="94" t="s">
        <v>17995</v>
      </c>
      <c r="B3361" s="82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3361" s="95" t="str">
        <f>IFERROR(VLOOKUP("UD",'Informacion '!P:Q,2,FALSE),"")</f>
        <v>Unidad</v>
      </c>
      <c r="D3361" s="94">
        <v>4</v>
      </c>
      <c r="E3361" s="84">
        <v>465</v>
      </c>
      <c r="F3361" s="83">
        <f t="shared" ca="1" si="151"/>
        <v>1860</v>
      </c>
    </row>
    <row r="3362" spans="1:6" ht="14.1" customHeight="1" x14ac:dyDescent="0.25">
      <c r="A3362" s="94" t="s">
        <v>17995</v>
      </c>
      <c r="B3362" s="82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3362" s="95" t="str">
        <f>IFERROR(VLOOKUP("UD",'Informacion '!P:Q,2,FALSE),"")</f>
        <v>Unidad</v>
      </c>
      <c r="D3362" s="94">
        <v>4</v>
      </c>
      <c r="E3362" s="84">
        <v>272</v>
      </c>
      <c r="F3362" s="83">
        <f t="shared" ca="1" si="151"/>
        <v>1088</v>
      </c>
    </row>
    <row r="3363" spans="1:6" ht="14.1" customHeight="1" x14ac:dyDescent="0.25">
      <c r="A3363" s="94" t="s">
        <v>17995</v>
      </c>
      <c r="B3363" s="82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3363" s="95" t="str">
        <f>IFERROR(VLOOKUP("UD",'Informacion '!P:Q,2,FALSE),"")</f>
        <v>Unidad</v>
      </c>
      <c r="D3363" s="94">
        <v>4</v>
      </c>
      <c r="E3363" s="84">
        <v>188</v>
      </c>
      <c r="F3363" s="83">
        <f t="shared" ca="1" si="151"/>
        <v>752</v>
      </c>
    </row>
    <row r="3364" spans="1:6" ht="14.1" customHeight="1" x14ac:dyDescent="0.25">
      <c r="A3364" s="94" t="s">
        <v>12788</v>
      </c>
      <c r="B3364" s="82" t="str">
        <f ca="1">IFERROR(INDEX(UNSPSCDes,MATCH(INDIRECT(ADDRESS(ROW(),COLUMN()-1,4)),UNSPSCCode,0)),IF(INDIRECT(ADDRESS(ROW(),COLUMN()-1,4))="48101803","Cucharones para uso comercial",""))</f>
        <v>Cucharones para uso comercial</v>
      </c>
      <c r="C3364" s="95" t="str">
        <f>IFERROR(VLOOKUP("UD",'Informacion '!P:Q,2,FALSE),"")</f>
        <v>Unidad</v>
      </c>
      <c r="D3364" s="94">
        <v>4</v>
      </c>
      <c r="E3364" s="84">
        <v>600</v>
      </c>
      <c r="F3364" s="83">
        <f t="shared" ca="1" si="151"/>
        <v>2400</v>
      </c>
    </row>
    <row r="3365" spans="1:6" ht="14.1" customHeight="1" x14ac:dyDescent="0.25">
      <c r="A3365" s="94" t="s">
        <v>12788</v>
      </c>
      <c r="B3365" s="82" t="str">
        <f ca="1">IFERROR(INDEX(UNSPSCDes,MATCH(INDIRECT(ADDRESS(ROW(),COLUMN()-1,4)),UNSPSCCode,0)),IF(INDIRECT(ADDRESS(ROW(),COLUMN()-1,4))="48101803","Cucharones para uso comercial",""))</f>
        <v>Cucharones para uso comercial</v>
      </c>
      <c r="C3365" s="95" t="str">
        <f>IFERROR(VLOOKUP("UD",'Informacion '!P:Q,2,FALSE),"")</f>
        <v>Unidad</v>
      </c>
      <c r="D3365" s="94">
        <v>4</v>
      </c>
      <c r="E3365" s="84">
        <v>305</v>
      </c>
      <c r="F3365" s="83">
        <f t="shared" ca="1" si="151"/>
        <v>1220</v>
      </c>
    </row>
    <row r="3366" spans="1:6" ht="14.1" customHeight="1" x14ac:dyDescent="0.25">
      <c r="A3366" s="94" t="s">
        <v>11636</v>
      </c>
      <c r="B3366" s="82" t="str">
        <f ca="1">IFERROR(INDEX(UNSPSCDes,MATCH(INDIRECT(ADDRESS(ROW(),COLUMN()-1,4)),UNSPSCCode,0)),IF(INDIRECT(ADDRESS(ROW(),COLUMN()-1,4))="24121807","Recipientes de plástico",""))</f>
        <v>Recipientes de plástico</v>
      </c>
      <c r="C3366" s="95" t="str">
        <f>IFERROR(VLOOKUP("UD",'Informacion '!P:Q,2,FALSE),"")</f>
        <v>Unidad</v>
      </c>
      <c r="D3366" s="94">
        <v>10</v>
      </c>
      <c r="E3366" s="84">
        <v>445</v>
      </c>
      <c r="F3366" s="83">
        <f t="shared" ca="1" si="151"/>
        <v>4450</v>
      </c>
    </row>
    <row r="3367" spans="1:6" ht="14.1" customHeight="1" x14ac:dyDescent="0.25">
      <c r="A3367" s="94" t="s">
        <v>11636</v>
      </c>
      <c r="B3367" s="82" t="str">
        <f ca="1">IFERROR(INDEX(UNSPSCDes,MATCH(INDIRECT(ADDRESS(ROW(),COLUMN()-1,4)),UNSPSCCode,0)),IF(INDIRECT(ADDRESS(ROW(),COLUMN()-1,4))="24121807","Recipientes de plástico",""))</f>
        <v>Recipientes de plástico</v>
      </c>
      <c r="C3367" s="95" t="str">
        <f>IFERROR(VLOOKUP("UD",'Informacion '!P:Q,2,FALSE),"")</f>
        <v>Unidad</v>
      </c>
      <c r="D3367" s="94">
        <v>10</v>
      </c>
      <c r="E3367" s="84">
        <v>620</v>
      </c>
      <c r="F3367" s="83">
        <f t="shared" ca="1" si="151"/>
        <v>6200</v>
      </c>
    </row>
    <row r="3368" spans="1:6" ht="14.1" customHeight="1" x14ac:dyDescent="0.25">
      <c r="A3368" s="94" t="s">
        <v>11636</v>
      </c>
      <c r="B3368" s="82" t="str">
        <f ca="1">IFERROR(INDEX(UNSPSCDes,MATCH(INDIRECT(ADDRESS(ROW(),COLUMN()-1,4)),UNSPSCCode,0)),IF(INDIRECT(ADDRESS(ROW(),COLUMN()-1,4))="24121807","Recipientes de plástico",""))</f>
        <v>Recipientes de plástico</v>
      </c>
      <c r="C3368" s="95" t="str">
        <f>IFERROR(VLOOKUP("UD",'Informacion '!P:Q,2,FALSE),"")</f>
        <v>Unidad</v>
      </c>
      <c r="D3368" s="94">
        <v>10</v>
      </c>
      <c r="E3368" s="84">
        <v>3186</v>
      </c>
      <c r="F3368" s="83">
        <f t="shared" ca="1" si="151"/>
        <v>31860</v>
      </c>
    </row>
    <row r="3369" spans="1:6" ht="14.1" customHeight="1" x14ac:dyDescent="0.25">
      <c r="A3369" s="94" t="s">
        <v>11636</v>
      </c>
      <c r="B3369" s="82" t="str">
        <f ca="1">IFERROR(INDEX(UNSPSCDes,MATCH(INDIRECT(ADDRESS(ROW(),COLUMN()-1,4)),UNSPSCCode,0)),IF(INDIRECT(ADDRESS(ROW(),COLUMN()-1,4))="24121807","Recipientes de plástico",""))</f>
        <v>Recipientes de plástico</v>
      </c>
      <c r="C3369" s="95" t="str">
        <f>IFERROR(VLOOKUP("UD",'Informacion '!P:Q,2,FALSE),"")</f>
        <v>Unidad</v>
      </c>
      <c r="D3369" s="94">
        <v>8</v>
      </c>
      <c r="E3369" s="84">
        <v>4366</v>
      </c>
      <c r="F3369" s="83">
        <f t="shared" ca="1" si="151"/>
        <v>34928</v>
      </c>
    </row>
    <row r="3370" spans="1:6" ht="14.1" customHeight="1" x14ac:dyDescent="0.25">
      <c r="A3370" s="94" t="s">
        <v>7739</v>
      </c>
      <c r="B3370" s="82" t="str">
        <f ca="1">IFERROR(INDEX(UNSPSCDes,MATCH(INDIRECT(ADDRESS(ROW(),COLUMN()-1,4)),UNSPSCCode,0)),IF(INDIRECT(ADDRESS(ROW(),COLUMN()-1,4))="41111507","Básculas de mesa",""))</f>
        <v>Básculas de mesa</v>
      </c>
      <c r="C3370" s="95" t="str">
        <f>IFERROR(VLOOKUP("UD",'Informacion '!P:Q,2,FALSE),"")</f>
        <v>Unidad</v>
      </c>
      <c r="D3370" s="94">
        <v>1</v>
      </c>
      <c r="E3370" s="84">
        <v>2280</v>
      </c>
      <c r="F3370" s="83">
        <f t="shared" ca="1" si="151"/>
        <v>2280</v>
      </c>
    </row>
    <row r="3371" spans="1:6" ht="14.1" customHeight="1" x14ac:dyDescent="0.25">
      <c r="A3371" s="94" t="s">
        <v>12603</v>
      </c>
      <c r="B3371" s="82" t="str">
        <f ca="1">IFERROR(INDEX(UNSPSCDes,MATCH(INDIRECT(ADDRESS(ROW(),COLUMN()-1,4)),UNSPSCCode,0)),IF(INDIRECT(ADDRESS(ROW(),COLUMN()-1,4))="52152004","Platos para uso doméstico",""))</f>
        <v>Platos para uso doméstico</v>
      </c>
      <c r="C3371" s="95" t="str">
        <f>IFERROR(VLOOKUP("UD",'Informacion '!P:Q,2,FALSE),"")</f>
        <v>Unidad</v>
      </c>
      <c r="D3371" s="94">
        <v>4</v>
      </c>
      <c r="E3371" s="84">
        <v>718</v>
      </c>
      <c r="F3371" s="83">
        <f t="shared" ca="1" si="151"/>
        <v>2872</v>
      </c>
    </row>
    <row r="3372" spans="1:6" ht="14.1" customHeight="1" x14ac:dyDescent="0.25">
      <c r="A3372" s="94" t="s">
        <v>12603</v>
      </c>
      <c r="B3372" s="82" t="str">
        <f ca="1">IFERROR(INDEX(UNSPSCDes,MATCH(INDIRECT(ADDRESS(ROW(),COLUMN()-1,4)),UNSPSCCode,0)),IF(INDIRECT(ADDRESS(ROW(),COLUMN()-1,4))="52152004","Platos para uso doméstico",""))</f>
        <v>Platos para uso doméstico</v>
      </c>
      <c r="C3372" s="95" t="str">
        <f>IFERROR(VLOOKUP("UD",'Informacion '!P:Q,2,FALSE),"")</f>
        <v>Unidad</v>
      </c>
      <c r="D3372" s="94">
        <v>8</v>
      </c>
      <c r="E3372" s="84">
        <v>790</v>
      </c>
      <c r="F3372" s="83">
        <f t="shared" ca="1" si="151"/>
        <v>6320</v>
      </c>
    </row>
    <row r="3373" spans="1:6" ht="14.1" customHeight="1" x14ac:dyDescent="0.25">
      <c r="A3373" s="94" t="s">
        <v>1965</v>
      </c>
      <c r="B3373" s="82" t="str">
        <f ca="1">IFERROR(INDEX(UNSPSCDes,MATCH(INDIRECT(ADDRESS(ROW(),COLUMN()-1,4)),UNSPSCCode,0)),IF(INDIRECT(ADDRESS(ROW(),COLUMN()-1,4))="52152101","Tazas de café o té para uso doméstico",""))</f>
        <v>Tazas de café o té para uso doméstico</v>
      </c>
      <c r="C3373" s="95" t="str">
        <f>IFERROR(VLOOKUP("UD",'Informacion '!P:Q,2,FALSE),"")</f>
        <v>Unidad</v>
      </c>
      <c r="D3373" s="94">
        <v>55</v>
      </c>
      <c r="E3373" s="84">
        <v>85</v>
      </c>
      <c r="F3373" s="83">
        <f t="shared" ca="1" si="151"/>
        <v>4675</v>
      </c>
    </row>
    <row r="3374" spans="1:6" ht="14.1" customHeight="1" x14ac:dyDescent="0.25">
      <c r="A3374" s="94" t="s">
        <v>16538</v>
      </c>
      <c r="B3374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3374" s="95" t="str">
        <f>IFERROR(VLOOKUP("UD",'Informacion '!P:Q,2,FALSE),"")</f>
        <v>Unidad</v>
      </c>
      <c r="D3374" s="94">
        <v>3</v>
      </c>
      <c r="E3374" s="84">
        <v>8500</v>
      </c>
      <c r="F3374" s="83">
        <f t="shared" ca="1" si="151"/>
        <v>25500</v>
      </c>
    </row>
    <row r="3375" spans="1:6" ht="14.1" customHeight="1" x14ac:dyDescent="0.25">
      <c r="A3375" s="94" t="s">
        <v>12603</v>
      </c>
      <c r="B3375" s="82" t="str">
        <f ca="1">IFERROR(INDEX(UNSPSCDes,MATCH(INDIRECT(ADDRESS(ROW(),COLUMN()-1,4)),UNSPSCCode,0)),IF(INDIRECT(ADDRESS(ROW(),COLUMN()-1,4))="52152004","Platos para uso doméstico",""))</f>
        <v>Platos para uso doméstico</v>
      </c>
      <c r="C3375" s="95" t="str">
        <f>IFERROR(VLOOKUP("UD",'Informacion '!P:Q,2,FALSE),"")</f>
        <v>Unidad</v>
      </c>
      <c r="D3375" s="94">
        <v>3</v>
      </c>
      <c r="E3375" s="84">
        <v>450</v>
      </c>
      <c r="F3375" s="83">
        <f t="shared" ca="1" si="151"/>
        <v>1350</v>
      </c>
    </row>
    <row r="3376" spans="1:6" ht="14.1" customHeight="1" x14ac:dyDescent="0.25">
      <c r="A3376" s="94" t="s">
        <v>11306</v>
      </c>
      <c r="B3376" s="82" t="str">
        <f ca="1">IFERROR(INDEX(UNSPSCDes,MATCH(INDIRECT(ADDRESS(ROW(),COLUMN()-1,4)),UNSPSCCode,0)),IF(INDIRECT(ADDRESS(ROW(),COLUMN()-1,4))="52152001","Jarras para uso doméstico",""))</f>
        <v>Jarras para uso doméstico</v>
      </c>
      <c r="C3376" s="95" t="str">
        <f>IFERROR(VLOOKUP("UD",'Informacion '!P:Q,2,FALSE),"")</f>
        <v>Unidad</v>
      </c>
      <c r="D3376" s="94">
        <v>3</v>
      </c>
      <c r="E3376" s="84">
        <v>600</v>
      </c>
      <c r="F3376" s="83">
        <f t="shared" ca="1" si="151"/>
        <v>1800</v>
      </c>
    </row>
    <row r="3377" spans="1:6" ht="14.1" customHeight="1" x14ac:dyDescent="0.25">
      <c r="A3377" s="94" t="s">
        <v>12107</v>
      </c>
      <c r="B3377" s="82" t="str">
        <f ca="1">IFERROR(INDEX(UNSPSCDes,MATCH(INDIRECT(ADDRESS(ROW(),COLUMN()-1,4)),UNSPSCCode,0)),IF(INDIRECT(ADDRESS(ROW(),COLUMN()-1,4))="27112105","Pinzas",""))</f>
        <v>Pinzas</v>
      </c>
      <c r="C3377" s="95" t="str">
        <f>IFERROR(VLOOKUP("UD",'Informacion '!P:Q,2,FALSE),"")</f>
        <v>Unidad</v>
      </c>
      <c r="D3377" s="94">
        <v>10</v>
      </c>
      <c r="E3377" s="84">
        <v>235</v>
      </c>
      <c r="F3377" s="83">
        <f t="shared" ca="1" si="151"/>
        <v>2350</v>
      </c>
    </row>
    <row r="3378" spans="1:6" ht="14.1" customHeight="1" x14ac:dyDescent="0.25">
      <c r="A3378" s="94" t="s">
        <v>5963</v>
      </c>
      <c r="B3378" s="82" t="str">
        <f ca="1">IFERROR(INDEX(UNSPSCDes,MATCH(INDIRECT(ADDRESS(ROW(),COLUMN()-1,4)),UNSPSCCode,0)),IF(INDIRECT(ADDRESS(ROW(),COLUMN()-1,4))="27111909","Espátulas",""))</f>
        <v>Espátulas</v>
      </c>
      <c r="C3378" s="95" t="str">
        <f>IFERROR(VLOOKUP("UD",'Informacion '!P:Q,2,FALSE),"")</f>
        <v>Unidad</v>
      </c>
      <c r="D3378" s="94">
        <v>5</v>
      </c>
      <c r="E3378" s="84">
        <v>750</v>
      </c>
      <c r="F3378" s="83">
        <f t="shared" ca="1" si="151"/>
        <v>3750</v>
      </c>
    </row>
    <row r="3379" spans="1:6" ht="14.1" customHeight="1" x14ac:dyDescent="0.25">
      <c r="A3379" s="94" t="s">
        <v>11895</v>
      </c>
      <c r="B3379" s="82" t="str">
        <f ca="1">IFERROR(INDEX(UNSPSCDes,MATCH(INDIRECT(ADDRESS(ROW(),COLUMN()-1,4)),UNSPSCCode,0)),IF(INDIRECT(ADDRESS(ROW(),COLUMN()-1,4))="48101505","Cafeteras o máquinas para hacer té helado de uso comercial",""))</f>
        <v>Cafeteras o máquinas para hacer té helado de uso comercial</v>
      </c>
      <c r="C3379" s="95" t="str">
        <f>IFERROR(VLOOKUP("UD",'Informacion '!P:Q,2,FALSE),"")</f>
        <v>Unidad</v>
      </c>
      <c r="D3379" s="94">
        <v>1</v>
      </c>
      <c r="E3379" s="84">
        <v>9500</v>
      </c>
      <c r="F3379" s="83">
        <f t="shared" ca="1" si="151"/>
        <v>9500</v>
      </c>
    </row>
    <row r="3380" spans="1:6" ht="14.1" customHeight="1" x14ac:dyDescent="0.25">
      <c r="A3380" s="94" t="s">
        <v>5569</v>
      </c>
      <c r="B3380" s="82" t="str">
        <f ca="1">IFERROR(INDEX(UNSPSCDes,MATCH(INDIRECT(ADDRESS(ROW(),COLUMN()-1,4)),UNSPSCCode,0)),IF(INDIRECT(ADDRESS(ROW(),COLUMN()-1,4))="48101915","Bandejas para servicio de comidas",""))</f>
        <v>Bandejas para servicio de comidas</v>
      </c>
      <c r="C3380" s="95" t="str">
        <f>IFERROR(VLOOKUP("UD",'Informacion '!P:Q,2,FALSE),"")</f>
        <v>Unidad</v>
      </c>
      <c r="D3380" s="94">
        <v>5</v>
      </c>
      <c r="E3380" s="84">
        <v>800</v>
      </c>
      <c r="F3380" s="83">
        <f t="shared" ca="1" si="151"/>
        <v>4000</v>
      </c>
    </row>
    <row r="3381" spans="1:6" ht="14.1" customHeight="1" x14ac:dyDescent="0.25">
      <c r="A3381" s="94" t="s">
        <v>12603</v>
      </c>
      <c r="B3381" s="82" t="str">
        <f ca="1">IFERROR(INDEX(UNSPSCDes,MATCH(INDIRECT(ADDRESS(ROW(),COLUMN()-1,4)),UNSPSCCode,0)),IF(INDIRECT(ADDRESS(ROW(),COLUMN()-1,4))="52152004","Platos para uso doméstico",""))</f>
        <v>Platos para uso doméstico</v>
      </c>
      <c r="C3381" s="95" t="str">
        <f>IFERROR(VLOOKUP("UD",'Informacion '!P:Q,2,FALSE),"")</f>
        <v>Unidad</v>
      </c>
      <c r="D3381" s="94">
        <v>5</v>
      </c>
      <c r="E3381" s="84">
        <v>350</v>
      </c>
      <c r="F3381" s="83">
        <f t="shared" ca="1" si="151"/>
        <v>1750</v>
      </c>
    </row>
    <row r="3382" spans="1:6" ht="14.1" customHeight="1" x14ac:dyDescent="0.25">
      <c r="A3382" s="94" t="s">
        <v>12603</v>
      </c>
      <c r="B3382" s="82" t="str">
        <f ca="1">IFERROR(INDEX(UNSPSCDes,MATCH(INDIRECT(ADDRESS(ROW(),COLUMN()-1,4)),UNSPSCCode,0)),IF(INDIRECT(ADDRESS(ROW(),COLUMN()-1,4))="52152004","Platos para uso doméstico",""))</f>
        <v>Platos para uso doméstico</v>
      </c>
      <c r="C3382" s="95" t="str">
        <f>IFERROR(VLOOKUP("UD",'Informacion '!P:Q,2,FALSE),"")</f>
        <v>Unidad</v>
      </c>
      <c r="D3382" s="94">
        <v>3</v>
      </c>
      <c r="E3382" s="84">
        <v>400</v>
      </c>
      <c r="F3382" s="83">
        <f t="shared" ca="1" si="151"/>
        <v>1200</v>
      </c>
    </row>
    <row r="3383" spans="1:6" ht="14.1" customHeight="1" x14ac:dyDescent="0.25">
      <c r="A3383" s="94" t="s">
        <v>5569</v>
      </c>
      <c r="B3383" s="82" t="str">
        <f ca="1">IFERROR(INDEX(UNSPSCDes,MATCH(INDIRECT(ADDRESS(ROW(),COLUMN()-1,4)),UNSPSCCode,0)),IF(INDIRECT(ADDRESS(ROW(),COLUMN()-1,4))="48101915","Bandejas para servicio de comidas",""))</f>
        <v>Bandejas para servicio de comidas</v>
      </c>
      <c r="C3383" s="95" t="str">
        <f>IFERROR(VLOOKUP("UD",'Informacion '!P:Q,2,FALSE),"")</f>
        <v>Unidad</v>
      </c>
      <c r="D3383" s="94">
        <v>10</v>
      </c>
      <c r="E3383" s="84">
        <v>600</v>
      </c>
      <c r="F3383" s="83">
        <f t="shared" ca="1" si="151"/>
        <v>6000</v>
      </c>
    </row>
    <row r="3384" spans="1:6" ht="14.1" customHeight="1" x14ac:dyDescent="0.25">
      <c r="A3384" s="94" t="s">
        <v>1049</v>
      </c>
      <c r="B3384" s="82" t="str">
        <f ca="1">IFERROR(INDEX(UNSPSCDes,MATCH(INDIRECT(ADDRESS(ROW(),COLUMN()-1,4)),UNSPSCCode,0)),IF(INDIRECT(ADDRESS(ROW(),COLUMN()-1,4))="52151802","Sartenes para uso doméstico",""))</f>
        <v>Sartenes para uso doméstico</v>
      </c>
      <c r="C3384" s="95" t="str">
        <f>IFERROR(VLOOKUP("UD",'Informacion '!P:Q,2,FALSE),"")</f>
        <v>Unidad</v>
      </c>
      <c r="D3384" s="94">
        <v>6</v>
      </c>
      <c r="E3384" s="84">
        <v>1100</v>
      </c>
      <c r="F3384" s="83">
        <f t="shared" ca="1" si="151"/>
        <v>6600</v>
      </c>
    </row>
    <row r="3385" spans="1:6" ht="14.1" customHeight="1" x14ac:dyDescent="0.25">
      <c r="A3385" s="94" t="s">
        <v>1049</v>
      </c>
      <c r="B3385" s="82" t="str">
        <f ca="1">IFERROR(INDEX(UNSPSCDes,MATCH(INDIRECT(ADDRESS(ROW(),COLUMN()-1,4)),UNSPSCCode,0)),IF(INDIRECT(ADDRESS(ROW(),COLUMN()-1,4))="52151802","Sartenes para uso doméstico",""))</f>
        <v>Sartenes para uso doméstico</v>
      </c>
      <c r="C3385" s="95" t="str">
        <f>IFERROR(VLOOKUP("UD",'Informacion '!P:Q,2,FALSE),"")</f>
        <v>Unidad</v>
      </c>
      <c r="D3385" s="94">
        <v>7</v>
      </c>
      <c r="E3385" s="84">
        <v>1200</v>
      </c>
      <c r="F3385" s="83">
        <f t="shared" ca="1" si="151"/>
        <v>8400</v>
      </c>
    </row>
    <row r="3386" spans="1:6" ht="14.1" customHeight="1" x14ac:dyDescent="0.25">
      <c r="A3386" s="94" t="s">
        <v>11893</v>
      </c>
      <c r="B3386" s="82" t="str">
        <f ca="1">IFERROR(INDEX(UNSPSCDes,MATCH(INDIRECT(ADDRESS(ROW(),COLUMN()-1,4)),UNSPSCCode,0)),IF(INDIRECT(ADDRESS(ROW(),COLUMN()-1,4))="52151807","Ollas para uso doméstico",""))</f>
        <v>Ollas para uso doméstico</v>
      </c>
      <c r="C3386" s="95" t="str">
        <f>IFERROR(VLOOKUP("UD",'Informacion '!P:Q,2,FALSE),"")</f>
        <v>Unidad</v>
      </c>
      <c r="D3386" s="94">
        <v>1</v>
      </c>
      <c r="E3386" s="84">
        <v>7800</v>
      </c>
      <c r="F3386" s="83">
        <f t="shared" ca="1" si="151"/>
        <v>7800</v>
      </c>
    </row>
    <row r="3387" spans="1:6" ht="14.1" customHeight="1" x14ac:dyDescent="0.25">
      <c r="A3387" s="94" t="s">
        <v>319</v>
      </c>
      <c r="B3387" s="82" t="str">
        <f ca="1">IFERROR(INDEX(UNSPSCDes,MATCH(INDIRECT(ADDRESS(ROW(),COLUMN()-1,4)),UNSPSCCode,0)),IF(INDIRECT(ADDRESS(ROW(),COLUMN()-1,4))="52151709","Set de cubiertos",""))</f>
        <v>Set de cubiertos</v>
      </c>
      <c r="C3387" s="95" t="str">
        <f>IFERROR(VLOOKUP("UD",'Informacion '!P:Q,2,FALSE),"")</f>
        <v>Unidad</v>
      </c>
      <c r="D3387" s="94">
        <v>4</v>
      </c>
      <c r="E3387" s="84">
        <v>418</v>
      </c>
      <c r="F3387" s="83">
        <f t="shared" ref="F3387:F3418" ca="1" si="152">INDIRECT(ADDRESS(ROW(),COLUMN()-2,4))*INDIRECT(ADDRESS(ROW(),COLUMN()-1,4))</f>
        <v>1672</v>
      </c>
    </row>
    <row r="3388" spans="1:6" ht="14.1" customHeight="1" x14ac:dyDescent="0.25">
      <c r="A3388" s="94" t="s">
        <v>15245</v>
      </c>
      <c r="B3388" s="82" t="str">
        <f ca="1">IFERROR(INDEX(UNSPSCDes,MATCH(INDIRECT(ADDRESS(ROW(),COLUMN()-1,4)),UNSPSCCode,0)),IF(INDIRECT(ADDRESS(ROW(),COLUMN()-1,4))="49121509","Estufas para acampar o para exteriores",""))</f>
        <v>Estufas para acampar o para exteriores</v>
      </c>
      <c r="C3388" s="95" t="str">
        <f>IFERROR(VLOOKUP("UD",'Informacion '!P:Q,2,FALSE),"")</f>
        <v>Unidad</v>
      </c>
      <c r="D3388" s="94">
        <v>2</v>
      </c>
      <c r="E3388" s="84">
        <v>1325</v>
      </c>
      <c r="F3388" s="83">
        <f t="shared" ca="1" si="152"/>
        <v>2650</v>
      </c>
    </row>
    <row r="3389" spans="1:6" ht="14.1" customHeight="1" x14ac:dyDescent="0.25">
      <c r="A3389" s="94" t="s">
        <v>17008</v>
      </c>
      <c r="B3389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3389" s="95" t="str">
        <f>IFERROR(VLOOKUP("UD",'Informacion '!P:Q,2,FALSE),"")</f>
        <v>Unidad</v>
      </c>
      <c r="D3389" s="94">
        <v>4</v>
      </c>
      <c r="E3389" s="84">
        <v>1000</v>
      </c>
      <c r="F3389" s="83">
        <f t="shared" ca="1" si="152"/>
        <v>4000</v>
      </c>
    </row>
    <row r="3390" spans="1:6" ht="14.1" customHeight="1" x14ac:dyDescent="0.25">
      <c r="A3390" s="94" t="s">
        <v>17008</v>
      </c>
      <c r="B3390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3390" s="95" t="str">
        <f>IFERROR(VLOOKUP("UD",'Informacion '!P:Q,2,FALSE),"")</f>
        <v>Unidad</v>
      </c>
      <c r="D3390" s="94">
        <v>12</v>
      </c>
      <c r="E3390" s="84">
        <v>54</v>
      </c>
      <c r="F3390" s="83">
        <f t="shared" ca="1" si="152"/>
        <v>648</v>
      </c>
    </row>
    <row r="3391" spans="1:6" ht="14.1" customHeight="1" x14ac:dyDescent="0.25">
      <c r="A3391" s="94" t="s">
        <v>17008</v>
      </c>
      <c r="B3391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3391" s="95" t="str">
        <f>IFERROR(VLOOKUP("UD",'Informacion '!P:Q,2,FALSE),"")</f>
        <v>Unidad</v>
      </c>
      <c r="D3391" s="94">
        <v>12</v>
      </c>
      <c r="E3391" s="84">
        <v>85</v>
      </c>
      <c r="F3391" s="83">
        <f t="shared" ca="1" si="152"/>
        <v>1020</v>
      </c>
    </row>
    <row r="3392" spans="1:6" ht="14.1" customHeight="1" x14ac:dyDescent="0.25">
      <c r="A3392" s="94" t="s">
        <v>319</v>
      </c>
      <c r="B3392" s="82" t="str">
        <f ca="1">IFERROR(INDEX(UNSPSCDes,MATCH(INDIRECT(ADDRESS(ROW(),COLUMN()-1,4)),UNSPSCCode,0)),IF(INDIRECT(ADDRESS(ROW(),COLUMN()-1,4))="52151709","Set de cubiertos",""))</f>
        <v>Set de cubiertos</v>
      </c>
      <c r="C3392" s="95" t="str">
        <f>IFERROR(VLOOKUP("UD",'Informacion '!P:Q,2,FALSE),"")</f>
        <v>Unidad</v>
      </c>
      <c r="D3392" s="94">
        <v>100</v>
      </c>
      <c r="E3392" s="84">
        <v>55</v>
      </c>
      <c r="F3392" s="83">
        <f t="shared" ca="1" si="152"/>
        <v>5500</v>
      </c>
    </row>
    <row r="3393" spans="1:6" ht="14.1" customHeight="1" x14ac:dyDescent="0.25">
      <c r="A3393" s="94" t="s">
        <v>319</v>
      </c>
      <c r="B3393" s="82" t="str">
        <f ca="1">IFERROR(INDEX(UNSPSCDes,MATCH(INDIRECT(ADDRESS(ROW(),COLUMN()-1,4)),UNSPSCCode,0)),IF(INDIRECT(ADDRESS(ROW(),COLUMN()-1,4))="52151709","Set de cubiertos",""))</f>
        <v>Set de cubiertos</v>
      </c>
      <c r="C3393" s="95" t="str">
        <f>IFERROR(VLOOKUP("UD",'Informacion '!P:Q,2,FALSE),"")</f>
        <v>Unidad</v>
      </c>
      <c r="D3393" s="94">
        <v>100</v>
      </c>
      <c r="E3393" s="84">
        <v>55</v>
      </c>
      <c r="F3393" s="83">
        <f t="shared" ca="1" si="152"/>
        <v>5500</v>
      </c>
    </row>
    <row r="3394" spans="1:6" ht="14.1" customHeight="1" x14ac:dyDescent="0.25">
      <c r="A3394" s="94" t="s">
        <v>319</v>
      </c>
      <c r="B3394" s="82" t="str">
        <f ca="1">IFERROR(INDEX(UNSPSCDes,MATCH(INDIRECT(ADDRESS(ROW(),COLUMN()-1,4)),UNSPSCCode,0)),IF(INDIRECT(ADDRESS(ROW(),COLUMN()-1,4))="52151709","Set de cubiertos",""))</f>
        <v>Set de cubiertos</v>
      </c>
      <c r="C3394" s="95" t="str">
        <f>IFERROR(VLOOKUP("UD",'Informacion '!P:Q,2,FALSE),"")</f>
        <v>Unidad</v>
      </c>
      <c r="D3394" s="94">
        <v>100</v>
      </c>
      <c r="E3394" s="84">
        <v>88</v>
      </c>
      <c r="F3394" s="83">
        <f t="shared" ca="1" si="152"/>
        <v>8800</v>
      </c>
    </row>
    <row r="3395" spans="1:6" ht="14.1" customHeight="1" x14ac:dyDescent="0.25">
      <c r="A3395" s="94" t="s">
        <v>319</v>
      </c>
      <c r="B3395" s="82" t="str">
        <f ca="1">IFERROR(INDEX(UNSPSCDes,MATCH(INDIRECT(ADDRESS(ROW(),COLUMN()-1,4)),UNSPSCCode,0)),IF(INDIRECT(ADDRESS(ROW(),COLUMN()-1,4))="52151709","Set de cubiertos",""))</f>
        <v>Set de cubiertos</v>
      </c>
      <c r="C3395" s="95" t="str">
        <f>IFERROR(VLOOKUP("UD",'Informacion '!P:Q,2,FALSE),"")</f>
        <v>Unidad</v>
      </c>
      <c r="D3395" s="94">
        <v>100</v>
      </c>
      <c r="E3395" s="84">
        <v>35</v>
      </c>
      <c r="F3395" s="83">
        <f t="shared" ca="1" si="152"/>
        <v>3500</v>
      </c>
    </row>
    <row r="3396" spans="1:6" ht="14.1" customHeight="1" x14ac:dyDescent="0.25">
      <c r="A3396" s="94" t="s">
        <v>319</v>
      </c>
      <c r="B3396" s="82" t="str">
        <f ca="1">IFERROR(INDEX(UNSPSCDes,MATCH(INDIRECT(ADDRESS(ROW(),COLUMN()-1,4)),UNSPSCCode,0)),IF(INDIRECT(ADDRESS(ROW(),COLUMN()-1,4))="52151709","Set de cubiertos",""))</f>
        <v>Set de cubiertos</v>
      </c>
      <c r="C3396" s="95" t="str">
        <f>IFERROR(VLOOKUP("UD",'Informacion '!P:Q,2,FALSE),"")</f>
        <v>Unidad</v>
      </c>
      <c r="D3396" s="94">
        <v>100</v>
      </c>
      <c r="E3396" s="84">
        <v>45</v>
      </c>
      <c r="F3396" s="83">
        <f t="shared" ca="1" si="152"/>
        <v>4500</v>
      </c>
    </row>
    <row r="3397" spans="1:6" ht="14.1" customHeight="1" x14ac:dyDescent="0.25">
      <c r="A3397" s="94" t="s">
        <v>2339</v>
      </c>
      <c r="B3397" s="82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3397" s="95" t="str">
        <f>IFERROR(VLOOKUP("UD",'Informacion '!P:Q,2,FALSE),"")</f>
        <v>Unidad</v>
      </c>
      <c r="D3397" s="94">
        <v>10</v>
      </c>
      <c r="E3397" s="84">
        <v>500</v>
      </c>
      <c r="F3397" s="83">
        <f t="shared" ca="1" si="152"/>
        <v>5000</v>
      </c>
    </row>
    <row r="3398" spans="1:6" ht="14.1" customHeight="1" x14ac:dyDescent="0.25">
      <c r="A3398" s="94" t="s">
        <v>14923</v>
      </c>
      <c r="B3398" s="82" t="str">
        <f ca="1">IFERROR(INDEX(UNSPSCDes,MATCH(INDIRECT(ADDRESS(ROW(),COLUMN()-1,4)),UNSPSCCode,0)),IF(INDIRECT(ADDRESS(ROW(),COLUMN()-1,4))="52152104","Copas para uso doméstico",""))</f>
        <v>Copas para uso doméstico</v>
      </c>
      <c r="C3398" s="95" t="str">
        <f>IFERROR(VLOOKUP("UD",'Informacion '!P:Q,2,FALSE),"")</f>
        <v>Unidad</v>
      </c>
      <c r="D3398" s="94">
        <v>50</v>
      </c>
      <c r="E3398" s="84">
        <v>80</v>
      </c>
      <c r="F3398" s="83">
        <f t="shared" ca="1" si="152"/>
        <v>4000</v>
      </c>
    </row>
    <row r="3399" spans="1:6" ht="14.1" customHeight="1" x14ac:dyDescent="0.25">
      <c r="A3399" s="94" t="s">
        <v>9525</v>
      </c>
      <c r="B3399" s="82" t="str">
        <f ca="1">IFERROR(INDEX(UNSPSCDes,MATCH(INDIRECT(ADDRESS(ROW(),COLUMN()-1,4)),UNSPSCCode,0)),IF(INDIRECT(ADDRESS(ROW(),COLUMN()-1,4))="48101903","Vasos para servicio de comidas",""))</f>
        <v>Vasos para servicio de comidas</v>
      </c>
      <c r="C3399" s="95" t="str">
        <f>IFERROR(VLOOKUP("UD",'Informacion '!P:Q,2,FALSE),"")</f>
        <v>Unidad</v>
      </c>
      <c r="D3399" s="94">
        <v>110</v>
      </c>
      <c r="E3399" s="84">
        <v>25</v>
      </c>
      <c r="F3399" s="83">
        <f t="shared" ca="1" si="152"/>
        <v>2750</v>
      </c>
    </row>
    <row r="3400" spans="1:6" ht="14.1" customHeight="1" x14ac:dyDescent="0.25">
      <c r="A3400" s="94" t="s">
        <v>12603</v>
      </c>
      <c r="B3400" s="82" t="str">
        <f ca="1">IFERROR(INDEX(UNSPSCDes,MATCH(INDIRECT(ADDRESS(ROW(),COLUMN()-1,4)),UNSPSCCode,0)),IF(INDIRECT(ADDRESS(ROW(),COLUMN()-1,4))="52152004","Platos para uso doméstico",""))</f>
        <v>Platos para uso doméstico</v>
      </c>
      <c r="C3400" s="95" t="str">
        <f>IFERROR(VLOOKUP("UD",'Informacion '!P:Q,2,FALSE),"")</f>
        <v>Unidad</v>
      </c>
      <c r="D3400" s="94">
        <v>110</v>
      </c>
      <c r="E3400" s="84">
        <v>50</v>
      </c>
      <c r="F3400" s="83">
        <f t="shared" ca="1" si="152"/>
        <v>5500</v>
      </c>
    </row>
    <row r="3401" spans="1:6" ht="14.1" customHeight="1" x14ac:dyDescent="0.25">
      <c r="A3401" s="94" t="s">
        <v>4788</v>
      </c>
      <c r="B3401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3401" s="95" t="str">
        <f>IFERROR(VLOOKUP("UD",'Informacion '!P:Q,2,FALSE),"")</f>
        <v>Unidad</v>
      </c>
      <c r="D3401" s="94">
        <v>6</v>
      </c>
      <c r="E3401" s="84">
        <v>450</v>
      </c>
      <c r="F3401" s="83">
        <f t="shared" ca="1" si="152"/>
        <v>2700</v>
      </c>
    </row>
    <row r="3402" spans="1:6" ht="14.1" customHeight="1" x14ac:dyDescent="0.25">
      <c r="A3402" s="94" t="s">
        <v>4788</v>
      </c>
      <c r="B3402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3402" s="95" t="str">
        <f>IFERROR(VLOOKUP("UD",'Informacion '!P:Q,2,FALSE),"")</f>
        <v>Unidad</v>
      </c>
      <c r="D3402" s="94">
        <v>4</v>
      </c>
      <c r="E3402" s="84">
        <v>550</v>
      </c>
      <c r="F3402" s="83">
        <f t="shared" ca="1" si="152"/>
        <v>2200</v>
      </c>
    </row>
    <row r="3403" spans="1:6" ht="14.1" customHeight="1" x14ac:dyDescent="0.25">
      <c r="A3403" s="94" t="s">
        <v>4788</v>
      </c>
      <c r="B3403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3403" s="95" t="str">
        <f>IFERROR(VLOOKUP("UD",'Informacion '!P:Q,2,FALSE),"")</f>
        <v>Unidad</v>
      </c>
      <c r="D3403" s="94">
        <v>4</v>
      </c>
      <c r="E3403" s="84">
        <v>700</v>
      </c>
      <c r="F3403" s="83">
        <f t="shared" ca="1" si="152"/>
        <v>2800</v>
      </c>
    </row>
    <row r="3404" spans="1:6" ht="14.1" customHeight="1" x14ac:dyDescent="0.25">
      <c r="A3404" s="94" t="s">
        <v>4788</v>
      </c>
      <c r="B3404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3404" s="95" t="str">
        <f>IFERROR(VLOOKUP("UD",'Informacion '!P:Q,2,FALSE),"")</f>
        <v>Unidad</v>
      </c>
      <c r="D3404" s="94">
        <v>4</v>
      </c>
      <c r="E3404" s="84">
        <v>800</v>
      </c>
      <c r="F3404" s="83">
        <f t="shared" ca="1" si="152"/>
        <v>3200</v>
      </c>
    </row>
    <row r="3405" spans="1:6" ht="14.1" customHeight="1" x14ac:dyDescent="0.25">
      <c r="A3405" s="94" t="s">
        <v>4788</v>
      </c>
      <c r="B3405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3405" s="95" t="str">
        <f>IFERROR(VLOOKUP("UD",'Informacion '!P:Q,2,FALSE),"")</f>
        <v>Unidad</v>
      </c>
      <c r="D3405" s="94">
        <v>4</v>
      </c>
      <c r="E3405" s="84">
        <v>900</v>
      </c>
      <c r="F3405" s="83">
        <f t="shared" ca="1" si="152"/>
        <v>3600</v>
      </c>
    </row>
    <row r="3406" spans="1:6" ht="14.1" customHeight="1" x14ac:dyDescent="0.25">
      <c r="A3406" s="94" t="s">
        <v>4344</v>
      </c>
      <c r="B3406" s="82" t="str">
        <f ca="1">IFERROR(INDEX(UNSPSCDes,MATCH(INDIRECT(ADDRESS(ROW(),COLUMN()-1,4)),UNSPSCCode,0)),IF(INDIRECT(ADDRESS(ROW(),COLUMN()-1,4))="48101531","Ollas o calderas para salmón para uso comercial",""))</f>
        <v>Ollas o calderas para salmón para uso comercial</v>
      </c>
      <c r="C3406" s="95" t="str">
        <f>IFERROR(VLOOKUP("UD",'Informacion '!P:Q,2,FALSE),"")</f>
        <v>Unidad</v>
      </c>
      <c r="D3406" s="94">
        <v>4</v>
      </c>
      <c r="E3406" s="84">
        <v>4000</v>
      </c>
      <c r="F3406" s="83">
        <f t="shared" ca="1" si="152"/>
        <v>16000</v>
      </c>
    </row>
    <row r="3407" spans="1:6" ht="14.1" customHeight="1" x14ac:dyDescent="0.25">
      <c r="A3407" s="94" t="s">
        <v>1985</v>
      </c>
      <c r="B3407" s="82" t="str">
        <f ca="1">IFERROR(INDEX(UNSPSCDes,MATCH(INDIRECT(ADDRESS(ROW(),COLUMN()-1,4)),UNSPSCCode,0)),IF(INDIRECT(ADDRESS(ROW(),COLUMN()-1,4))="52151704","Cucharas para uso doméstico",""))</f>
        <v>Cucharas para uso doméstico</v>
      </c>
      <c r="C3407" s="95" t="str">
        <f>IFERROR(VLOOKUP("UD",'Informacion '!P:Q,2,FALSE),"")</f>
        <v>Unidad</v>
      </c>
      <c r="D3407" s="94">
        <v>2</v>
      </c>
      <c r="E3407" s="84">
        <v>705</v>
      </c>
      <c r="F3407" s="83">
        <f t="shared" ca="1" si="152"/>
        <v>1410</v>
      </c>
    </row>
    <row r="3408" spans="1:6" ht="14.1" customHeight="1" x14ac:dyDescent="0.25">
      <c r="A3408" s="94" t="s">
        <v>1985</v>
      </c>
      <c r="B3408" s="82" t="str">
        <f ca="1">IFERROR(INDEX(UNSPSCDes,MATCH(INDIRECT(ADDRESS(ROW(),COLUMN()-1,4)),UNSPSCCode,0)),IF(INDIRECT(ADDRESS(ROW(),COLUMN()-1,4))="52151704","Cucharas para uso doméstico",""))</f>
        <v>Cucharas para uso doméstico</v>
      </c>
      <c r="C3408" s="95" t="str">
        <f>IFERROR(VLOOKUP("UD",'Informacion '!P:Q,2,FALSE),"")</f>
        <v>Unidad</v>
      </c>
      <c r="D3408" s="94">
        <v>8</v>
      </c>
      <c r="E3408" s="84">
        <v>365</v>
      </c>
      <c r="F3408" s="83">
        <f t="shared" ca="1" si="152"/>
        <v>2920</v>
      </c>
    </row>
    <row r="3409" spans="1:6" ht="14.1" customHeight="1" x14ac:dyDescent="0.25">
      <c r="A3409" s="94" t="s">
        <v>1985</v>
      </c>
      <c r="B3409" s="82" t="str">
        <f ca="1">IFERROR(INDEX(UNSPSCDes,MATCH(INDIRECT(ADDRESS(ROW(),COLUMN()-1,4)),UNSPSCCode,0)),IF(INDIRECT(ADDRESS(ROW(),COLUMN()-1,4))="52151704","Cucharas para uso doméstico",""))</f>
        <v>Cucharas para uso doméstico</v>
      </c>
      <c r="C3409" s="95" t="str">
        <f>IFERROR(VLOOKUP("UD",'Informacion '!P:Q,2,FALSE),"")</f>
        <v>Unidad</v>
      </c>
      <c r="D3409" s="94">
        <v>6</v>
      </c>
      <c r="E3409" s="84">
        <v>365</v>
      </c>
      <c r="F3409" s="83">
        <f t="shared" ca="1" si="152"/>
        <v>2190</v>
      </c>
    </row>
    <row r="3410" spans="1:6" ht="14.1" customHeight="1" x14ac:dyDescent="0.25">
      <c r="A3410" s="94" t="s">
        <v>1985</v>
      </c>
      <c r="B3410" s="82" t="str">
        <f ca="1">IFERROR(INDEX(UNSPSCDes,MATCH(INDIRECT(ADDRESS(ROW(),COLUMN()-1,4)),UNSPSCCode,0)),IF(INDIRECT(ADDRESS(ROW(),COLUMN()-1,4))="52151704","Cucharas para uso doméstico",""))</f>
        <v>Cucharas para uso doméstico</v>
      </c>
      <c r="C3410" s="95" t="str">
        <f>IFERROR(VLOOKUP("UD",'Informacion '!P:Q,2,FALSE),"")</f>
        <v>Unidad</v>
      </c>
      <c r="D3410" s="94">
        <v>6</v>
      </c>
      <c r="E3410" s="84">
        <v>365</v>
      </c>
      <c r="F3410" s="83">
        <f t="shared" ca="1" si="152"/>
        <v>2190</v>
      </c>
    </row>
    <row r="3411" spans="1:6" ht="14.1" customHeight="1" x14ac:dyDescent="0.25">
      <c r="A3411" s="94" t="s">
        <v>2760</v>
      </c>
      <c r="B3411" s="82" t="str">
        <f ca="1">IFERROR(INDEX(UNSPSCDes,MATCH(INDIRECT(ADDRESS(ROW(),COLUMN()-1,4)),UNSPSCCode,0)),IF(INDIRECT(ADDRESS(ROW(),COLUMN()-1,4))="12131707","Encendedores",""))</f>
        <v>Encendedores</v>
      </c>
      <c r="C3411" s="95" t="str">
        <f>IFERROR(VLOOKUP("UD",'Informacion '!P:Q,2,FALSE),"")</f>
        <v>Unidad</v>
      </c>
      <c r="D3411" s="94">
        <v>24</v>
      </c>
      <c r="E3411" s="84">
        <v>130</v>
      </c>
      <c r="F3411" s="83">
        <f t="shared" ca="1" si="152"/>
        <v>3120</v>
      </c>
    </row>
    <row r="3412" spans="1:6" ht="14.1" customHeight="1" x14ac:dyDescent="0.25">
      <c r="A3412" s="94" t="s">
        <v>9149</v>
      </c>
      <c r="B3412" s="82" t="str">
        <f ca="1">IFERROR(INDEX(UNSPSCDes,MATCH(INDIRECT(ADDRESS(ROW(),COLUMN()-1,4)),UNSPSCCode,0)),IF(INDIRECT(ADDRESS(ROW(),COLUMN()-1,4))="12131706","Fósforos",""))</f>
        <v>Fósforos</v>
      </c>
      <c r="C3412" s="95" t="str">
        <f>IFERROR(VLOOKUP("UD",'Informacion '!P:Q,2,FALSE),"")</f>
        <v>Unidad</v>
      </c>
      <c r="D3412" s="94">
        <v>12</v>
      </c>
      <c r="E3412" s="84">
        <v>35</v>
      </c>
      <c r="F3412" s="83">
        <f t="shared" ca="1" si="152"/>
        <v>420</v>
      </c>
    </row>
    <row r="3413" spans="1:6" ht="14.1" customHeight="1" x14ac:dyDescent="0.25">
      <c r="A3413" s="94" t="s">
        <v>17008</v>
      </c>
      <c r="B3413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3413" s="95" t="str">
        <f>IFERROR(VLOOKUP("UD",'Informacion '!P:Q,2,FALSE),"")</f>
        <v>Unidad</v>
      </c>
      <c r="D3413" s="94">
        <v>5</v>
      </c>
      <c r="E3413" s="84">
        <v>108</v>
      </c>
      <c r="F3413" s="83">
        <f t="shared" ca="1" si="152"/>
        <v>540</v>
      </c>
    </row>
    <row r="3414" spans="1:6" ht="14.1" customHeight="1" x14ac:dyDescent="0.25">
      <c r="A3414" s="94" t="s">
        <v>11495</v>
      </c>
      <c r="B3414" s="82" t="str">
        <f ca="1">IFERROR(INDEX(UNSPSCDes,MATCH(INDIRECT(ADDRESS(ROW(),COLUMN()-1,4)),UNSPSCCode,0)),IF(INDIRECT(ADDRESS(ROW(),COLUMN()-1,4))="52151905","Bandejas de horno para uso doméstico",""))</f>
        <v>Bandejas de horno para uso doméstico</v>
      </c>
      <c r="C3414" s="95" t="str">
        <f>IFERROR(VLOOKUP("UD",'Informacion '!P:Q,2,FALSE),"")</f>
        <v>Unidad</v>
      </c>
      <c r="D3414" s="94">
        <v>5</v>
      </c>
      <c r="E3414" s="84">
        <v>150</v>
      </c>
      <c r="F3414" s="83">
        <f t="shared" ca="1" si="152"/>
        <v>750</v>
      </c>
    </row>
    <row r="3415" spans="1:6" ht="14.1" customHeight="1" x14ac:dyDescent="0.25">
      <c r="A3415" s="94" t="s">
        <v>15702</v>
      </c>
      <c r="B3415" s="82" t="str">
        <f ca="1">IFERROR(INDEX(UNSPSCDes,MATCH(INDIRECT(ADDRESS(ROW(),COLUMN()-1,4)),UNSPSCCode,0)),IF(INDIRECT(ADDRESS(ROW(),COLUMN()-1,4))="52151702","Cuchillos para uso doméstico",""))</f>
        <v>Cuchillos para uso doméstico</v>
      </c>
      <c r="C3415" s="95" t="str">
        <f>IFERROR(VLOOKUP("UD",'Informacion '!P:Q,2,FALSE),"")</f>
        <v>Unidad</v>
      </c>
      <c r="D3415" s="94">
        <v>4</v>
      </c>
      <c r="E3415" s="84">
        <v>805</v>
      </c>
      <c r="F3415" s="83">
        <f t="shared" ca="1" si="152"/>
        <v>3220</v>
      </c>
    </row>
    <row r="3416" spans="1:6" ht="14.1" customHeight="1" x14ac:dyDescent="0.25">
      <c r="A3416" s="94" t="s">
        <v>11225</v>
      </c>
      <c r="B3416" s="82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3416" s="95" t="str">
        <f>IFERROR(VLOOKUP("UD",'Informacion '!P:Q,2,FALSE),"")</f>
        <v>Unidad</v>
      </c>
      <c r="D3416" s="94">
        <v>2</v>
      </c>
      <c r="E3416" s="84">
        <v>500</v>
      </c>
      <c r="F3416" s="83">
        <f t="shared" ca="1" si="152"/>
        <v>1000</v>
      </c>
    </row>
    <row r="3417" spans="1:6" ht="14.1" customHeight="1" x14ac:dyDescent="0.25">
      <c r="A3417" s="94" t="s">
        <v>4788</v>
      </c>
      <c r="B3417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3417" s="95" t="str">
        <f>IFERROR(VLOOKUP("UD",'Informacion '!P:Q,2,FALSE),"")</f>
        <v>Unidad</v>
      </c>
      <c r="D3417" s="94">
        <v>5</v>
      </c>
      <c r="E3417" s="84">
        <v>500</v>
      </c>
      <c r="F3417" s="83">
        <f t="shared" ca="1" si="152"/>
        <v>2500</v>
      </c>
    </row>
    <row r="3418" spans="1:6" ht="14.1" customHeight="1" x14ac:dyDescent="0.25">
      <c r="A3418" s="94" t="s">
        <v>4788</v>
      </c>
      <c r="B3418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3418" s="95" t="str">
        <f>IFERROR(VLOOKUP("UD",'Informacion '!P:Q,2,FALSE),"")</f>
        <v>Unidad</v>
      </c>
      <c r="D3418" s="94">
        <v>5</v>
      </c>
      <c r="E3418" s="84">
        <v>1650</v>
      </c>
      <c r="F3418" s="83">
        <f t="shared" ca="1" si="152"/>
        <v>8250</v>
      </c>
    </row>
    <row r="3419" spans="1:6" ht="14.1" customHeight="1" x14ac:dyDescent="0.25">
      <c r="A3419" s="94" t="s">
        <v>13689</v>
      </c>
      <c r="B3419" s="82" t="str">
        <f ca="1">IFERROR(INDEX(UNSPSCDes,MATCH(INDIRECT(ADDRESS(ROW(),COLUMN()-1,4)),UNSPSCCode,0)),IF(INDIRECT(ADDRESS(ROW(),COLUMN()-1,4))="48101605","Moledoras de alimentos para uso comercial",""))</f>
        <v>Moledoras de alimentos para uso comercial</v>
      </c>
      <c r="C3419" s="95" t="str">
        <f>IFERROR(VLOOKUP("UD",'Informacion '!P:Q,2,FALSE),"")</f>
        <v>Unidad</v>
      </c>
      <c r="D3419" s="94">
        <v>2</v>
      </c>
      <c r="E3419" s="84">
        <v>1400</v>
      </c>
      <c r="F3419" s="83">
        <f t="shared" ref="F3419:F3441" ca="1" si="153">INDIRECT(ADDRESS(ROW(),COLUMN()-2,4))*INDIRECT(ADDRESS(ROW(),COLUMN()-1,4))</f>
        <v>2800</v>
      </c>
    </row>
    <row r="3420" spans="1:6" ht="14.1" customHeight="1" x14ac:dyDescent="0.25">
      <c r="A3420" s="94" t="s">
        <v>4788</v>
      </c>
      <c r="B3420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3420" s="95" t="str">
        <f>IFERROR(VLOOKUP("UD",'Informacion '!P:Q,2,FALSE),"")</f>
        <v>Unidad</v>
      </c>
      <c r="D3420" s="94">
        <v>50</v>
      </c>
      <c r="E3420" s="84">
        <v>100</v>
      </c>
      <c r="F3420" s="83">
        <f t="shared" ca="1" si="153"/>
        <v>5000</v>
      </c>
    </row>
    <row r="3421" spans="1:6" ht="14.1" customHeight="1" x14ac:dyDescent="0.25">
      <c r="A3421" s="94" t="s">
        <v>13689</v>
      </c>
      <c r="B3421" s="82" t="str">
        <f ca="1">IFERROR(INDEX(UNSPSCDes,MATCH(INDIRECT(ADDRESS(ROW(),COLUMN()-1,4)),UNSPSCCode,0)),IF(INDIRECT(ADDRESS(ROW(),COLUMN()-1,4))="48101605","Moledoras de alimentos para uso comercial",""))</f>
        <v>Moledoras de alimentos para uso comercial</v>
      </c>
      <c r="C3421" s="95" t="str">
        <f>IFERROR(VLOOKUP("UD",'Informacion '!P:Q,2,FALSE),"")</f>
        <v>Unidad</v>
      </c>
      <c r="D3421" s="94">
        <v>1</v>
      </c>
      <c r="E3421" s="84">
        <v>350</v>
      </c>
      <c r="F3421" s="83">
        <f t="shared" ca="1" si="153"/>
        <v>350</v>
      </c>
    </row>
    <row r="3422" spans="1:6" ht="14.1" customHeight="1" x14ac:dyDescent="0.25">
      <c r="A3422" s="94" t="s">
        <v>19675</v>
      </c>
      <c r="B3422" s="82" t="str">
        <f ca="1">IFERROR(INDEX(UNSPSCDes,MATCH(INDIRECT(ADDRESS(ROW(),COLUMN()-1,4)),UNSPSCCode,0)),IF(INDIRECT(ADDRESS(ROW(),COLUMN()-1,4))="23181603","Máquina picadora",""))</f>
        <v>Máquina picadora</v>
      </c>
      <c r="C3422" s="95" t="str">
        <f>IFERROR(VLOOKUP("UD",'Informacion '!P:Q,2,FALSE),"")</f>
        <v>Unidad</v>
      </c>
      <c r="D3422" s="94">
        <v>2</v>
      </c>
      <c r="E3422" s="84">
        <v>130</v>
      </c>
      <c r="F3422" s="83">
        <f t="shared" ca="1" si="153"/>
        <v>260</v>
      </c>
    </row>
    <row r="3423" spans="1:6" ht="14.1" customHeight="1" x14ac:dyDescent="0.25">
      <c r="A3423" s="94" t="s">
        <v>11225</v>
      </c>
      <c r="B3423" s="82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3423" s="95" t="str">
        <f>IFERROR(VLOOKUP("UD",'Informacion '!P:Q,2,FALSE),"")</f>
        <v>Unidad</v>
      </c>
      <c r="D3423" s="94">
        <v>1</v>
      </c>
      <c r="E3423" s="84">
        <v>450</v>
      </c>
      <c r="F3423" s="83">
        <f t="shared" ca="1" si="153"/>
        <v>450</v>
      </c>
    </row>
    <row r="3424" spans="1:6" ht="14.1" customHeight="1" x14ac:dyDescent="0.25">
      <c r="A3424" s="94" t="s">
        <v>5963</v>
      </c>
      <c r="B3424" s="82" t="str">
        <f ca="1">IFERROR(INDEX(UNSPSCDes,MATCH(INDIRECT(ADDRESS(ROW(),COLUMN()-1,4)),UNSPSCCode,0)),IF(INDIRECT(ADDRESS(ROW(),COLUMN()-1,4))="27111909","Espátulas",""))</f>
        <v>Espátulas</v>
      </c>
      <c r="C3424" s="95" t="str">
        <f>IFERROR(VLOOKUP("UD",'Informacion '!P:Q,2,FALSE),"")</f>
        <v>Unidad</v>
      </c>
      <c r="D3424" s="94">
        <v>1</v>
      </c>
      <c r="E3424" s="84">
        <v>750</v>
      </c>
      <c r="F3424" s="83">
        <f t="shared" ca="1" si="153"/>
        <v>750</v>
      </c>
    </row>
    <row r="3425" spans="1:6" ht="14.1" customHeight="1" x14ac:dyDescent="0.25">
      <c r="A3425" s="94" t="s">
        <v>5963</v>
      </c>
      <c r="B3425" s="82" t="str">
        <f ca="1">IFERROR(INDEX(UNSPSCDes,MATCH(INDIRECT(ADDRESS(ROW(),COLUMN()-1,4)),UNSPSCCode,0)),IF(INDIRECT(ADDRESS(ROW(),COLUMN()-1,4))="27111909","Espátulas",""))</f>
        <v>Espátulas</v>
      </c>
      <c r="C3425" s="95" t="str">
        <f>IFERROR(VLOOKUP("UD",'Informacion '!P:Q,2,FALSE),"")</f>
        <v>Unidad</v>
      </c>
      <c r="D3425" s="94">
        <v>2</v>
      </c>
      <c r="E3425" s="84">
        <v>800</v>
      </c>
      <c r="F3425" s="83">
        <f t="shared" ca="1" si="153"/>
        <v>1600</v>
      </c>
    </row>
    <row r="3426" spans="1:6" ht="14.1" customHeight="1" x14ac:dyDescent="0.25">
      <c r="A3426" s="94" t="s">
        <v>5963</v>
      </c>
      <c r="B3426" s="82" t="str">
        <f ca="1">IFERROR(INDEX(UNSPSCDes,MATCH(INDIRECT(ADDRESS(ROW(),COLUMN()-1,4)),UNSPSCCode,0)),IF(INDIRECT(ADDRESS(ROW(),COLUMN()-1,4))="27111909","Espátulas",""))</f>
        <v>Espátulas</v>
      </c>
      <c r="C3426" s="95" t="str">
        <f>IFERROR(VLOOKUP("UD",'Informacion '!P:Q,2,FALSE),"")</f>
        <v>Unidad</v>
      </c>
      <c r="D3426" s="94">
        <v>2</v>
      </c>
      <c r="E3426" s="84">
        <v>750</v>
      </c>
      <c r="F3426" s="83">
        <f t="shared" ca="1" si="153"/>
        <v>1500</v>
      </c>
    </row>
    <row r="3427" spans="1:6" ht="14.1" customHeight="1" x14ac:dyDescent="0.25">
      <c r="A3427" s="94" t="s">
        <v>1274</v>
      </c>
      <c r="B3427" s="82" t="str">
        <f t="shared" ref="B3427:B3433" ca="1" si="154">IFERROR(INDEX(UNSPSCDes,MATCH(INDIRECT(ADDRESS(ROW(),COLUMN()-1,4)),UNSPSCCode,0)),IF(INDIRECT(ADDRESS(ROW(),COLUMN()-1,4))="52152102","Vasos para beber para uso doméstico",""))</f>
        <v>Vasos para beber para uso doméstico</v>
      </c>
      <c r="C3427" s="95" t="str">
        <f>IFERROR(VLOOKUP("UD",'Informacion '!P:Q,2,FALSE),"")</f>
        <v>Unidad</v>
      </c>
      <c r="D3427" s="94">
        <v>320</v>
      </c>
      <c r="E3427" s="84">
        <v>113.28</v>
      </c>
      <c r="F3427" s="83">
        <f t="shared" ca="1" si="153"/>
        <v>36249.599999999999</v>
      </c>
    </row>
    <row r="3428" spans="1:6" ht="14.1" customHeight="1" x14ac:dyDescent="0.25">
      <c r="A3428" s="94" t="s">
        <v>1274</v>
      </c>
      <c r="B3428" s="82" t="str">
        <f t="shared" ca="1" si="154"/>
        <v>Vasos para beber para uso doméstico</v>
      </c>
      <c r="C3428" s="95" t="str">
        <f>IFERROR(VLOOKUP("CAJ",'Informacion '!P:Q,2,FALSE),"")</f>
        <v>Caja</v>
      </c>
      <c r="D3428" s="94">
        <v>25</v>
      </c>
      <c r="E3428" s="84">
        <v>2955.9</v>
      </c>
      <c r="F3428" s="83">
        <f t="shared" ca="1" si="153"/>
        <v>73897.5</v>
      </c>
    </row>
    <row r="3429" spans="1:6" ht="14.1" customHeight="1" x14ac:dyDescent="0.25">
      <c r="A3429" s="94" t="s">
        <v>1274</v>
      </c>
      <c r="B3429" s="82" t="str">
        <f t="shared" ca="1" si="154"/>
        <v>Vasos para beber para uso doméstico</v>
      </c>
      <c r="C3429" s="95" t="str">
        <f>IFERROR(VLOOKUP("CAJ",'Informacion '!P:Q,2,FALSE),"")</f>
        <v>Caja</v>
      </c>
      <c r="D3429" s="94">
        <v>55</v>
      </c>
      <c r="E3429" s="84">
        <v>2236.1</v>
      </c>
      <c r="F3429" s="83">
        <f t="shared" ca="1" si="153"/>
        <v>122985.5</v>
      </c>
    </row>
    <row r="3430" spans="1:6" ht="14.1" customHeight="1" x14ac:dyDescent="0.25">
      <c r="A3430" s="94" t="s">
        <v>1274</v>
      </c>
      <c r="B3430" s="82" t="str">
        <f t="shared" ca="1" si="154"/>
        <v>Vasos para beber para uso doméstico</v>
      </c>
      <c r="C3430" s="95" t="str">
        <f>IFERROR(VLOOKUP("CAJ",'Informacion '!P:Q,2,FALSE),"")</f>
        <v>Caja</v>
      </c>
      <c r="D3430" s="94">
        <v>40</v>
      </c>
      <c r="E3430" s="84">
        <v>3491.62</v>
      </c>
      <c r="F3430" s="83">
        <f t="shared" ca="1" si="153"/>
        <v>139664.79999999999</v>
      </c>
    </row>
    <row r="3431" spans="1:6" ht="14.1" customHeight="1" x14ac:dyDescent="0.25">
      <c r="A3431" s="94" t="s">
        <v>1274</v>
      </c>
      <c r="B3431" s="82" t="str">
        <f t="shared" ca="1" si="154"/>
        <v>Vasos para beber para uso doméstico</v>
      </c>
      <c r="C3431" s="95" t="str">
        <f>IFERROR(VLOOKUP("CAJ",'Informacion '!P:Q,2,FALSE),"")</f>
        <v>Caja</v>
      </c>
      <c r="D3431" s="94">
        <v>135</v>
      </c>
      <c r="E3431" s="84">
        <v>2250</v>
      </c>
      <c r="F3431" s="83">
        <f t="shared" ca="1" si="153"/>
        <v>303750</v>
      </c>
    </row>
    <row r="3432" spans="1:6" ht="14.1" customHeight="1" x14ac:dyDescent="0.25">
      <c r="A3432" s="94" t="s">
        <v>1274</v>
      </c>
      <c r="B3432" s="82" t="str">
        <f t="shared" ca="1" si="154"/>
        <v>Vasos para beber para uso doméstico</v>
      </c>
      <c r="C3432" s="95" t="str">
        <f>IFERROR(VLOOKUP("CAJ",'Informacion '!P:Q,2,FALSE),"")</f>
        <v>Caja</v>
      </c>
      <c r="D3432" s="94">
        <v>110</v>
      </c>
      <c r="E3432" s="84">
        <v>1950</v>
      </c>
      <c r="F3432" s="83">
        <f t="shared" ca="1" si="153"/>
        <v>214500</v>
      </c>
    </row>
    <row r="3433" spans="1:6" ht="14.1" customHeight="1" x14ac:dyDescent="0.25">
      <c r="A3433" s="94" t="s">
        <v>1274</v>
      </c>
      <c r="B3433" s="82" t="str">
        <f t="shared" ca="1" si="154"/>
        <v>Vasos para beber para uso doméstico</v>
      </c>
      <c r="C3433" s="95" t="str">
        <f>IFERROR(VLOOKUP("CAJ",'Informacion '!P:Q,2,FALSE),"")</f>
        <v>Caja</v>
      </c>
      <c r="D3433" s="94">
        <v>110</v>
      </c>
      <c r="E3433" s="84">
        <v>3100</v>
      </c>
      <c r="F3433" s="83">
        <f t="shared" ca="1" si="153"/>
        <v>341000</v>
      </c>
    </row>
    <row r="3434" spans="1:6" ht="14.1" customHeight="1" x14ac:dyDescent="0.25">
      <c r="A3434" s="94" t="s">
        <v>19779</v>
      </c>
      <c r="B3434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3434" s="95" t="str">
        <f>IFERROR(VLOOKUP("PAQ",'Informacion '!P:Q,2,FALSE),"")</f>
        <v>Paquete</v>
      </c>
      <c r="D3434" s="94">
        <v>110</v>
      </c>
      <c r="E3434" s="84">
        <v>390</v>
      </c>
      <c r="F3434" s="83">
        <f t="shared" ca="1" si="153"/>
        <v>42900</v>
      </c>
    </row>
    <row r="3435" spans="1:6" ht="14.1" customHeight="1" x14ac:dyDescent="0.25">
      <c r="A3435" s="94" t="s">
        <v>19779</v>
      </c>
      <c r="B3435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3435" s="95" t="str">
        <f>IFERROR(VLOOKUP("PAQ",'Informacion '!P:Q,2,FALSE),"")</f>
        <v>Paquete</v>
      </c>
      <c r="D3435" s="94">
        <v>110</v>
      </c>
      <c r="E3435" s="84">
        <v>406</v>
      </c>
      <c r="F3435" s="83">
        <f t="shared" ca="1" si="153"/>
        <v>44660</v>
      </c>
    </row>
    <row r="3436" spans="1:6" ht="14.1" customHeight="1" x14ac:dyDescent="0.25">
      <c r="A3436" s="94" t="s">
        <v>19779</v>
      </c>
      <c r="B3436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3436" s="95" t="str">
        <f>IFERROR(VLOOKUP("CAJ",'Informacion '!P:Q,2,FALSE),"")</f>
        <v>Caja</v>
      </c>
      <c r="D3436" s="94">
        <v>220</v>
      </c>
      <c r="E3436" s="84">
        <v>1875</v>
      </c>
      <c r="F3436" s="83">
        <f t="shared" ca="1" si="153"/>
        <v>412500</v>
      </c>
    </row>
    <row r="3437" spans="1:6" ht="14.1" customHeight="1" x14ac:dyDescent="0.25">
      <c r="A3437" s="94" t="s">
        <v>19779</v>
      </c>
      <c r="B3437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3437" s="95" t="str">
        <f>IFERROR(VLOOKUP("PAQ",'Informacion '!P:Q,2,FALSE),"")</f>
        <v>Paquete</v>
      </c>
      <c r="D3437" s="94">
        <v>26</v>
      </c>
      <c r="E3437" s="84">
        <v>140</v>
      </c>
      <c r="F3437" s="83">
        <f t="shared" ca="1" si="153"/>
        <v>3640</v>
      </c>
    </row>
    <row r="3438" spans="1:6" ht="14.1" customHeight="1" x14ac:dyDescent="0.25">
      <c r="A3438" s="94" t="s">
        <v>11636</v>
      </c>
      <c r="B3438" s="82" t="str">
        <f ca="1">IFERROR(INDEX(UNSPSCDes,MATCH(INDIRECT(ADDRESS(ROW(),COLUMN()-1,4)),UNSPSCCode,0)),IF(INDIRECT(ADDRESS(ROW(),COLUMN()-1,4))="24121807","Recipientes de plástico",""))</f>
        <v>Recipientes de plástico</v>
      </c>
      <c r="C3438" s="95" t="str">
        <f>IFERROR(VLOOKUP("PAQ",'Informacion '!P:Q,2,FALSE),"")</f>
        <v>Paquete</v>
      </c>
      <c r="D3438" s="94">
        <v>610</v>
      </c>
      <c r="E3438" s="84">
        <v>60</v>
      </c>
      <c r="F3438" s="83">
        <f t="shared" ca="1" si="153"/>
        <v>36600</v>
      </c>
    </row>
    <row r="3439" spans="1:6" ht="14.1" customHeight="1" x14ac:dyDescent="0.25">
      <c r="A3439" s="94" t="s">
        <v>19779</v>
      </c>
      <c r="B3439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3439" s="95" t="str">
        <f>IFERROR(VLOOKUP("CAJ",'Informacion '!P:Q,2,FALSE),"")</f>
        <v>Caja</v>
      </c>
      <c r="D3439" s="94">
        <v>12</v>
      </c>
      <c r="E3439" s="84">
        <v>650</v>
      </c>
      <c r="F3439" s="83">
        <f t="shared" ca="1" si="153"/>
        <v>7800</v>
      </c>
    </row>
    <row r="3440" spans="1:6" ht="14.1" customHeight="1" x14ac:dyDescent="0.25">
      <c r="A3440" s="94" t="s">
        <v>19779</v>
      </c>
      <c r="B3440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3440" s="95" t="str">
        <f>IFERROR(VLOOKUP("CAJ",'Informacion '!P:Q,2,FALSE),"")</f>
        <v>Caja</v>
      </c>
      <c r="D3440" s="94">
        <v>135</v>
      </c>
      <c r="E3440" s="84">
        <v>650</v>
      </c>
      <c r="F3440" s="83">
        <f t="shared" ca="1" si="153"/>
        <v>87750</v>
      </c>
    </row>
    <row r="3441" spans="1:10" ht="14.1" customHeight="1" x14ac:dyDescent="0.25">
      <c r="A3441" s="94" t="s">
        <v>19779</v>
      </c>
      <c r="B3441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3441" s="95" t="str">
        <f>IFERROR(VLOOKUP("CAJ",'Informacion '!P:Q,2,FALSE),"")</f>
        <v>Caja</v>
      </c>
      <c r="D3441" s="94">
        <v>135</v>
      </c>
      <c r="E3441" s="84">
        <v>650</v>
      </c>
      <c r="F3441" s="83">
        <f t="shared" ca="1" si="153"/>
        <v>87750</v>
      </c>
    </row>
    <row r="3442" spans="1:10" ht="14.1" customHeight="1" x14ac:dyDescent="0.25">
      <c r="E3442" s="96" t="s">
        <v>7213</v>
      </c>
      <c r="F3442" s="87">
        <f ca="1">SUM(Table110[MONTO TOTAL ESTIMADO])</f>
        <v>2793878.4000000004</v>
      </c>
      <c r="H3442" s="39" t="str">
        <f>C3316</f>
        <v>Bienes</v>
      </c>
      <c r="I3442" s="39" t="str">
        <f>E3316</f>
        <v>No</v>
      </c>
      <c r="J3442" s="39" t="str">
        <f>D3316</f>
        <v>Comparacion de Precios</v>
      </c>
    </row>
    <row r="3444" spans="1:10" ht="33.950000000000003" customHeight="1" x14ac:dyDescent="0.25">
      <c r="A3444" s="77" t="s">
        <v>17233</v>
      </c>
      <c r="B3444" s="77" t="s">
        <v>4237</v>
      </c>
      <c r="C3444" s="77" t="s">
        <v>4743</v>
      </c>
      <c r="D3444" s="77" t="s">
        <v>9891</v>
      </c>
      <c r="E3444" s="77" t="s">
        <v>3089</v>
      </c>
      <c r="F3444" s="77" t="s">
        <v>18141</v>
      </c>
    </row>
    <row r="3445" spans="1:10" ht="14.1" customHeight="1" x14ac:dyDescent="0.25">
      <c r="A3445" s="79" t="s">
        <v>2189</v>
      </c>
      <c r="B3445" s="79" t="s">
        <v>17469</v>
      </c>
      <c r="C3445" s="79" t="s">
        <v>17215</v>
      </c>
      <c r="D3445" s="79" t="s">
        <v>15249</v>
      </c>
      <c r="E3445" s="79" t="s">
        <v>18247</v>
      </c>
      <c r="F3445" s="79"/>
    </row>
    <row r="3446" spans="1:10" ht="14.1" customHeight="1" x14ac:dyDescent="0.25">
      <c r="A3446" s="2" t="s">
        <v>6643</v>
      </c>
      <c r="B3446" s="80" t="s">
        <v>1046</v>
      </c>
      <c r="C3446" s="90">
        <v>43467</v>
      </c>
      <c r="D3446" s="2" t="s">
        <v>59</v>
      </c>
      <c r="E3446" s="92" t="s">
        <v>20066</v>
      </c>
      <c r="F3446" s="93" t="s">
        <v>5684</v>
      </c>
    </row>
    <row r="3447" spans="1:10" ht="14.1" customHeight="1" x14ac:dyDescent="0.25">
      <c r="A3447" s="1"/>
      <c r="B3447" s="80" t="s">
        <v>10788</v>
      </c>
      <c r="C3447" s="91">
        <f>IF(C3446="","",IF(AND(MONTH(C3446)&gt;=1,MONTH(C3446)&lt;=3),1,IF(AND(MONTH(C3446)&gt;=4,MONTH(C3446)&lt;=6),2,IF(AND(MONTH(C3446)&gt;=7,MONTH(C3446)&lt;=9),3,4))))</f>
        <v>1</v>
      </c>
      <c r="D3447" s="1"/>
      <c r="E3447" s="92" t="s">
        <v>14822</v>
      </c>
      <c r="F3447" s="93" t="s">
        <v>17690</v>
      </c>
    </row>
    <row r="3448" spans="1:10" ht="14.1" customHeight="1" x14ac:dyDescent="0.25">
      <c r="A3448" s="1"/>
      <c r="B3448" s="80" t="s">
        <v>13758</v>
      </c>
      <c r="C3448" s="90">
        <v>43553</v>
      </c>
      <c r="D3448" s="1"/>
      <c r="E3448" s="92" t="s">
        <v>18636</v>
      </c>
      <c r="F3448" s="93"/>
    </row>
    <row r="3449" spans="1:10" ht="14.1" customHeight="1" x14ac:dyDescent="0.25">
      <c r="A3449" s="1"/>
      <c r="B3449" s="80" t="s">
        <v>10788</v>
      </c>
      <c r="C3449" s="91">
        <f>IF(C3448="","",IF(AND(MONTH(C3448)&gt;=1,MONTH(C3448)&lt;=3),1,IF(AND(MONTH(C3448)&gt;=4,MONTH(C3448)&lt;=6),2,IF(AND(MONTH(C3448)&gt;=7,MONTH(C3448)&lt;=9),3,4))))</f>
        <v>1</v>
      </c>
      <c r="D3449" s="1"/>
      <c r="E3449" s="92" t="s">
        <v>15990</v>
      </c>
      <c r="F3449" s="93"/>
    </row>
    <row r="3451" spans="1:10" ht="14.1" customHeight="1" x14ac:dyDescent="0.25">
      <c r="A3451" s="85" t="s">
        <v>15474</v>
      </c>
      <c r="B3451" s="85" t="s">
        <v>5027</v>
      </c>
      <c r="C3451" s="85" t="s">
        <v>17461</v>
      </c>
      <c r="D3451" s="85" t="s">
        <v>3935</v>
      </c>
      <c r="E3451" s="85" t="s">
        <v>10722</v>
      </c>
      <c r="F3451" s="85" t="s">
        <v>18237</v>
      </c>
    </row>
    <row r="3452" spans="1:10" ht="14.1" customHeight="1" x14ac:dyDescent="0.25">
      <c r="A3452" s="94" t="s">
        <v>10620</v>
      </c>
      <c r="B3452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3452" s="95" t="str">
        <f>IFERROR(VLOOKUP("UD",'Informacion '!P:Q,2,FALSE),"")</f>
        <v>Unidad</v>
      </c>
      <c r="D3452" s="94">
        <v>60</v>
      </c>
      <c r="E3452" s="84">
        <v>210</v>
      </c>
      <c r="F3452" s="83">
        <f t="shared" ref="F3452:F3483" ca="1" si="155">INDIRECT(ADDRESS(ROW(),COLUMN()-2,4))*INDIRECT(ADDRESS(ROW(),COLUMN()-1,4))</f>
        <v>12600</v>
      </c>
    </row>
    <row r="3453" spans="1:10" ht="14.1" customHeight="1" x14ac:dyDescent="0.25">
      <c r="A3453" s="94" t="s">
        <v>10235</v>
      </c>
      <c r="B3453" s="82" t="str">
        <f ca="1">IFERROR(INDEX(UNSPSCDes,MATCH(INDIRECT(ADDRESS(ROW(),COLUMN()-1,4)),UNSPSCCode,0)),IF(INDIRECT(ADDRESS(ROW(),COLUMN()-1,4))="45131701","Bandejas u organizadores para filminas",""))</f>
        <v>Bandejas u organizadores para filminas</v>
      </c>
      <c r="C3453" s="95" t="str">
        <f>IFERROR(VLOOKUP("UD",'Informacion '!P:Q,2,FALSE),"")</f>
        <v>Unidad</v>
      </c>
      <c r="D3453" s="94">
        <v>150</v>
      </c>
      <c r="E3453" s="84">
        <v>130</v>
      </c>
      <c r="F3453" s="83">
        <f t="shared" ca="1" si="155"/>
        <v>19500</v>
      </c>
    </row>
    <row r="3454" spans="1:10" ht="14.1" customHeight="1" x14ac:dyDescent="0.25">
      <c r="A3454" s="94" t="s">
        <v>8264</v>
      </c>
      <c r="B3454" s="82" t="str">
        <f ca="1">IFERROR(INDEX(UNSPSCDes,MATCH(INDIRECT(ADDRESS(ROW(),COLUMN()-1,4)),UNSPSCCode,0)),IF(INDIRECT(ADDRESS(ROW(),COLUMN()-1,4))="44121701","Bolígrafos",""))</f>
        <v>Bolígrafos</v>
      </c>
      <c r="C3454" s="95" t="str">
        <f>IFERROR(VLOOKUP("UD",'Informacion '!P:Q,2,FALSE),"")</f>
        <v>Unidad</v>
      </c>
      <c r="D3454" s="94">
        <v>1000</v>
      </c>
      <c r="E3454" s="84">
        <v>5</v>
      </c>
      <c r="F3454" s="83">
        <f t="shared" ca="1" si="155"/>
        <v>5000</v>
      </c>
    </row>
    <row r="3455" spans="1:10" ht="14.1" customHeight="1" x14ac:dyDescent="0.25">
      <c r="A3455" s="94" t="s">
        <v>8264</v>
      </c>
      <c r="B3455" s="82" t="str">
        <f ca="1">IFERROR(INDEX(UNSPSCDes,MATCH(INDIRECT(ADDRESS(ROW(),COLUMN()-1,4)),UNSPSCCode,0)),IF(INDIRECT(ADDRESS(ROW(),COLUMN()-1,4))="44121701","Bolígrafos",""))</f>
        <v>Bolígrafos</v>
      </c>
      <c r="C3455" s="95" t="str">
        <f>IFERROR(VLOOKUP("UD",'Informacion '!P:Q,2,FALSE),"")</f>
        <v>Unidad</v>
      </c>
      <c r="D3455" s="94">
        <v>500</v>
      </c>
      <c r="E3455" s="84">
        <v>5</v>
      </c>
      <c r="F3455" s="83">
        <f t="shared" ca="1" si="155"/>
        <v>2500</v>
      </c>
    </row>
    <row r="3456" spans="1:10" ht="14.1" customHeight="1" x14ac:dyDescent="0.25">
      <c r="A3456" s="94" t="s">
        <v>10620</v>
      </c>
      <c r="B3456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3456" s="95" t="str">
        <f>IFERROR(VLOOKUP("UD",'Informacion '!P:Q,2,FALSE),"")</f>
        <v>Unidad</v>
      </c>
      <c r="D3456" s="94">
        <v>150</v>
      </c>
      <c r="E3456" s="84">
        <v>74</v>
      </c>
      <c r="F3456" s="83">
        <f t="shared" ca="1" si="155"/>
        <v>11100</v>
      </c>
    </row>
    <row r="3457" spans="1:6" ht="14.1" customHeight="1" x14ac:dyDescent="0.25">
      <c r="A3457" s="94" t="s">
        <v>10620</v>
      </c>
      <c r="B3457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3457" s="95" t="str">
        <f>IFERROR(VLOOKUP("UD",'Informacion '!P:Q,2,FALSE),"")</f>
        <v>Unidad</v>
      </c>
      <c r="D3457" s="94">
        <v>300</v>
      </c>
      <c r="E3457" s="84">
        <v>66</v>
      </c>
      <c r="F3457" s="83">
        <f t="shared" ca="1" si="155"/>
        <v>19800</v>
      </c>
    </row>
    <row r="3458" spans="1:6" ht="14.1" customHeight="1" x14ac:dyDescent="0.25">
      <c r="A3458" s="94" t="s">
        <v>9471</v>
      </c>
      <c r="B3458" s="82" t="str">
        <f ca="1">IFERROR(INDEX(UNSPSCDes,MATCH(INDIRECT(ADDRESS(ROW(),COLUMN()-1,4)),UNSPSCCode,0)),IF(INDIRECT(ADDRESS(ROW(),COLUMN()-1,4))="44122003","Carpetas",""))</f>
        <v>Carpetas</v>
      </c>
      <c r="C3458" s="95" t="str">
        <f>IFERROR(VLOOKUP("UD",'Informacion '!P:Q,2,FALSE),"")</f>
        <v>Unidad</v>
      </c>
      <c r="D3458" s="94">
        <v>120</v>
      </c>
      <c r="E3458" s="84">
        <v>37</v>
      </c>
      <c r="F3458" s="83">
        <f t="shared" ca="1" si="155"/>
        <v>4440</v>
      </c>
    </row>
    <row r="3459" spans="1:6" ht="14.1" customHeight="1" x14ac:dyDescent="0.25">
      <c r="A3459" s="94" t="s">
        <v>9471</v>
      </c>
      <c r="B3459" s="82" t="str">
        <f ca="1">IFERROR(INDEX(UNSPSCDes,MATCH(INDIRECT(ADDRESS(ROW(),COLUMN()-1,4)),UNSPSCCode,0)),IF(INDIRECT(ADDRESS(ROW(),COLUMN()-1,4))="44122003","Carpetas",""))</f>
        <v>Carpetas</v>
      </c>
      <c r="C3459" s="95" t="str">
        <f>IFERROR(VLOOKUP("UD",'Informacion '!P:Q,2,FALSE),"")</f>
        <v>Unidad</v>
      </c>
      <c r="D3459" s="94">
        <v>120</v>
      </c>
      <c r="E3459" s="84">
        <v>40</v>
      </c>
      <c r="F3459" s="83">
        <f t="shared" ca="1" si="155"/>
        <v>4800</v>
      </c>
    </row>
    <row r="3460" spans="1:6" ht="14.1" customHeight="1" x14ac:dyDescent="0.25">
      <c r="A3460" s="94" t="s">
        <v>9471</v>
      </c>
      <c r="B3460" s="82" t="str">
        <f ca="1">IFERROR(INDEX(UNSPSCDes,MATCH(INDIRECT(ADDRESS(ROW(),COLUMN()-1,4)),UNSPSCCode,0)),IF(INDIRECT(ADDRESS(ROW(),COLUMN()-1,4))="44122003","Carpetas",""))</f>
        <v>Carpetas</v>
      </c>
      <c r="C3460" s="95" t="str">
        <f>IFERROR(VLOOKUP("UD",'Informacion '!P:Q,2,FALSE),"")</f>
        <v>Unidad</v>
      </c>
      <c r="D3460" s="94">
        <v>20</v>
      </c>
      <c r="E3460" s="84">
        <v>114.41</v>
      </c>
      <c r="F3460" s="83">
        <f t="shared" ca="1" si="155"/>
        <v>2288.1999999999998</v>
      </c>
    </row>
    <row r="3461" spans="1:6" ht="14.1" customHeight="1" x14ac:dyDescent="0.25">
      <c r="A3461" s="94" t="s">
        <v>12615</v>
      </c>
      <c r="B3461" s="82" t="str">
        <f ca="1">IFERROR(INDEX(UNSPSCDes,MATCH(INDIRECT(ADDRESS(ROW(),COLUMN()-1,4)),UNSPSCCode,0)),IF(INDIRECT(ADDRESS(ROW(),COLUMN()-1,4))="31201512","Cinta transparente",""))</f>
        <v>Cinta transparente</v>
      </c>
      <c r="C3461" s="95" t="str">
        <f>IFERROR(VLOOKUP("UD",'Informacion '!P:Q,2,FALSE),"")</f>
        <v>Unidad</v>
      </c>
      <c r="D3461" s="94">
        <v>300</v>
      </c>
      <c r="E3461" s="84">
        <v>40</v>
      </c>
      <c r="F3461" s="83">
        <f t="shared" ca="1" si="155"/>
        <v>12000</v>
      </c>
    </row>
    <row r="3462" spans="1:6" ht="14.1" customHeight="1" x14ac:dyDescent="0.25">
      <c r="A3462" s="94" t="s">
        <v>12343</v>
      </c>
      <c r="B3462" s="82" t="str">
        <f ca="1">IFERROR(INDEX(UNSPSCDes,MATCH(INDIRECT(ADDRESS(ROW(),COLUMN()-1,4)),UNSPSCCode,0)),IF(INDIRECT(ADDRESS(ROW(),COLUMN()-1,4))="44122104","Clips para papel",""))</f>
        <v>Clips para papel</v>
      </c>
      <c r="C3462" s="95" t="str">
        <f>IFERROR(VLOOKUP("UD",'Informacion '!P:Q,2,FALSE),"")</f>
        <v>Unidad</v>
      </c>
      <c r="D3462" s="94">
        <v>100</v>
      </c>
      <c r="E3462" s="84">
        <v>80</v>
      </c>
      <c r="F3462" s="83">
        <f t="shared" ca="1" si="155"/>
        <v>8000</v>
      </c>
    </row>
    <row r="3463" spans="1:6" ht="14.1" customHeight="1" x14ac:dyDescent="0.25">
      <c r="A3463" s="94" t="s">
        <v>18241</v>
      </c>
      <c r="B3463" s="82" t="str">
        <f ca="1">IFERROR(INDEX(UNSPSCDes,MATCH(INDIRECT(ADDRESS(ROW(),COLUMN()-1,4)),UNSPSCCode,0)),IF(INDIRECT(ADDRESS(ROW(),COLUMN()-1,4))="44121605","Dispensadores de cinta",""))</f>
        <v>Dispensadores de cinta</v>
      </c>
      <c r="C3463" s="95" t="str">
        <f>IFERROR(VLOOKUP("UD",'Informacion '!P:Q,2,FALSE),"")</f>
        <v>Unidad</v>
      </c>
      <c r="D3463" s="94">
        <v>20</v>
      </c>
      <c r="E3463" s="84">
        <v>120</v>
      </c>
      <c r="F3463" s="83">
        <f t="shared" ca="1" si="155"/>
        <v>2400</v>
      </c>
    </row>
    <row r="3464" spans="1:6" ht="14.1" customHeight="1" x14ac:dyDescent="0.25">
      <c r="A3464" s="94" t="s">
        <v>8264</v>
      </c>
      <c r="B3464" s="82" t="str">
        <f ca="1">IFERROR(INDEX(UNSPSCDes,MATCH(INDIRECT(ADDRESS(ROW(),COLUMN()-1,4)),UNSPSCCode,0)),IF(INDIRECT(ADDRESS(ROW(),COLUMN()-1,4))="44121701","Bolígrafos",""))</f>
        <v>Bolígrafos</v>
      </c>
      <c r="C3464" s="95" t="str">
        <f>IFERROR(VLOOKUP("UD",'Informacion '!P:Q,2,FALSE),"")</f>
        <v>Unidad</v>
      </c>
      <c r="D3464" s="94">
        <v>80</v>
      </c>
      <c r="E3464" s="84">
        <v>25</v>
      </c>
      <c r="F3464" s="83">
        <f t="shared" ca="1" si="155"/>
        <v>2000</v>
      </c>
    </row>
    <row r="3465" spans="1:6" ht="14.1" customHeight="1" x14ac:dyDescent="0.25">
      <c r="A3465" s="94" t="s">
        <v>8264</v>
      </c>
      <c r="B3465" s="82" t="str">
        <f ca="1">IFERROR(INDEX(UNSPSCDes,MATCH(INDIRECT(ADDRESS(ROW(),COLUMN()-1,4)),UNSPSCCode,0)),IF(INDIRECT(ADDRESS(ROW(),COLUMN()-1,4))="44121701","Bolígrafos",""))</f>
        <v>Bolígrafos</v>
      </c>
      <c r="C3465" s="95" t="str">
        <f>IFERROR(VLOOKUP("UD",'Informacion '!P:Q,2,FALSE),"")</f>
        <v>Unidad</v>
      </c>
      <c r="D3465" s="94">
        <v>80</v>
      </c>
      <c r="E3465" s="84">
        <v>25</v>
      </c>
      <c r="F3465" s="83">
        <f t="shared" ca="1" si="155"/>
        <v>2000</v>
      </c>
    </row>
    <row r="3466" spans="1:6" ht="14.1" customHeight="1" x14ac:dyDescent="0.25">
      <c r="A3466" s="94" t="s">
        <v>4861</v>
      </c>
      <c r="B3466" s="82" t="str">
        <f t="shared" ref="B3466:B3471" ca="1" si="156">IFERROR(INDEX(UNSPSCDes,MATCH(INDIRECT(ADDRESS(ROW(),COLUMN()-1,4)),UNSPSCCode,0)),IF(INDIRECT(ADDRESS(ROW(),COLUMN()-1,4))="44122011","Folders",""))</f>
        <v>Folders</v>
      </c>
      <c r="C3466" s="95" t="str">
        <f>IFERROR(VLOOKUP("UD",'Informacion '!P:Q,2,FALSE),"")</f>
        <v>Unidad</v>
      </c>
      <c r="D3466" s="94">
        <v>400</v>
      </c>
      <c r="E3466" s="84">
        <v>150</v>
      </c>
      <c r="F3466" s="83">
        <f t="shared" ca="1" si="155"/>
        <v>60000</v>
      </c>
    </row>
    <row r="3467" spans="1:6" ht="14.1" customHeight="1" x14ac:dyDescent="0.25">
      <c r="A3467" s="94" t="s">
        <v>4861</v>
      </c>
      <c r="B3467" s="82" t="str">
        <f t="shared" ca="1" si="156"/>
        <v>Folders</v>
      </c>
      <c r="C3467" s="95" t="str">
        <f>IFERROR(VLOOKUP("UD",'Informacion '!P:Q,2,FALSE),"")</f>
        <v>Unidad</v>
      </c>
      <c r="D3467" s="94">
        <v>10</v>
      </c>
      <c r="E3467" s="84">
        <v>146.61000000000001</v>
      </c>
      <c r="F3467" s="83">
        <f t="shared" ca="1" si="155"/>
        <v>1466.1000000000001</v>
      </c>
    </row>
    <row r="3468" spans="1:6" ht="14.1" customHeight="1" x14ac:dyDescent="0.25">
      <c r="A3468" s="94" t="s">
        <v>4861</v>
      </c>
      <c r="B3468" s="82" t="str">
        <f t="shared" ca="1" si="156"/>
        <v>Folders</v>
      </c>
      <c r="C3468" s="95" t="str">
        <f>IFERROR(VLOOKUP("UD",'Informacion '!P:Q,2,FALSE),"")</f>
        <v>Unidad</v>
      </c>
      <c r="D3468" s="94">
        <v>60</v>
      </c>
      <c r="E3468" s="84">
        <v>15</v>
      </c>
      <c r="F3468" s="83">
        <f t="shared" ca="1" si="155"/>
        <v>900</v>
      </c>
    </row>
    <row r="3469" spans="1:6" ht="14.1" customHeight="1" x14ac:dyDescent="0.25">
      <c r="A3469" s="94" t="s">
        <v>4861</v>
      </c>
      <c r="B3469" s="82" t="str">
        <f t="shared" ca="1" si="156"/>
        <v>Folders</v>
      </c>
      <c r="C3469" s="95" t="str">
        <f>IFERROR(VLOOKUP("UD",'Informacion '!P:Q,2,FALSE),"")</f>
        <v>Unidad</v>
      </c>
      <c r="D3469" s="94">
        <v>2000</v>
      </c>
      <c r="E3469" s="84">
        <v>180</v>
      </c>
      <c r="F3469" s="83">
        <f t="shared" ca="1" si="155"/>
        <v>360000</v>
      </c>
    </row>
    <row r="3470" spans="1:6" ht="14.1" customHeight="1" x14ac:dyDescent="0.25">
      <c r="A3470" s="94" t="s">
        <v>4861</v>
      </c>
      <c r="B3470" s="82" t="str">
        <f t="shared" ca="1" si="156"/>
        <v>Folders</v>
      </c>
      <c r="C3470" s="95" t="str">
        <f>IFERROR(VLOOKUP("UD",'Informacion '!P:Q,2,FALSE),"")</f>
        <v>Unidad</v>
      </c>
      <c r="D3470" s="94">
        <v>1</v>
      </c>
      <c r="E3470" s="84">
        <v>146.61000000000001</v>
      </c>
      <c r="F3470" s="83">
        <f t="shared" ca="1" si="155"/>
        <v>146.61000000000001</v>
      </c>
    </row>
    <row r="3471" spans="1:6" ht="14.1" customHeight="1" x14ac:dyDescent="0.25">
      <c r="A3471" s="94" t="s">
        <v>4861</v>
      </c>
      <c r="B3471" s="82" t="str">
        <f t="shared" ca="1" si="156"/>
        <v>Folders</v>
      </c>
      <c r="C3471" s="95" t="str">
        <f>IFERROR(VLOOKUP("UD",'Informacion '!P:Q,2,FALSE),"")</f>
        <v>Unidad</v>
      </c>
      <c r="D3471" s="94">
        <v>60</v>
      </c>
      <c r="E3471" s="84">
        <v>160</v>
      </c>
      <c r="F3471" s="83">
        <f t="shared" ca="1" si="155"/>
        <v>9600</v>
      </c>
    </row>
    <row r="3472" spans="1:6" ht="14.1" customHeight="1" x14ac:dyDescent="0.25">
      <c r="A3472" s="94" t="s">
        <v>18744</v>
      </c>
      <c r="B3472" s="82" t="str">
        <f ca="1">IFERROR(INDEX(UNSPSCDes,MATCH(INDIRECT(ADDRESS(ROW(),COLUMN()-1,4)),UNSPSCCode,0)),IF(INDIRECT(ADDRESS(ROW(),COLUMN()-1,4))="44122016","Sujetador de documentos",""))</f>
        <v>Sujetador de documentos</v>
      </c>
      <c r="C3472" s="95" t="str">
        <f>IFERROR(VLOOKUP("UD",'Informacion '!P:Q,2,FALSE),"")</f>
        <v>Unidad</v>
      </c>
      <c r="D3472" s="94">
        <v>100</v>
      </c>
      <c r="E3472" s="84">
        <v>100</v>
      </c>
      <c r="F3472" s="83">
        <f t="shared" ca="1" si="155"/>
        <v>10000</v>
      </c>
    </row>
    <row r="3473" spans="1:6" ht="14.1" customHeight="1" x14ac:dyDescent="0.25">
      <c r="A3473" s="94" t="s">
        <v>7733</v>
      </c>
      <c r="B3473" s="82" t="str">
        <f ca="1">IFERROR(INDEX(UNSPSCDes,MATCH(INDIRECT(ADDRESS(ROW(),COLUMN()-1,4)),UNSPSCCode,0)),IF(INDIRECT(ADDRESS(ROW(),COLUMN()-1,4))="60121535","Borradores de goma",""))</f>
        <v>Borradores de goma</v>
      </c>
      <c r="C3473" s="95" t="str">
        <f>IFERROR(VLOOKUP("UD",'Informacion '!P:Q,2,FALSE),"")</f>
        <v>Unidad</v>
      </c>
      <c r="D3473" s="94">
        <v>25</v>
      </c>
      <c r="E3473" s="84">
        <v>8</v>
      </c>
      <c r="F3473" s="83">
        <f t="shared" ca="1" si="155"/>
        <v>200</v>
      </c>
    </row>
    <row r="3474" spans="1:6" ht="14.1" customHeight="1" x14ac:dyDescent="0.25">
      <c r="A3474" s="94" t="s">
        <v>7733</v>
      </c>
      <c r="B3474" s="82" t="str">
        <f ca="1">IFERROR(INDEX(UNSPSCDes,MATCH(INDIRECT(ADDRESS(ROW(),COLUMN()-1,4)),UNSPSCCode,0)),IF(INDIRECT(ADDRESS(ROW(),COLUMN()-1,4))="60121535","Borradores de goma",""))</f>
        <v>Borradores de goma</v>
      </c>
      <c r="C3474" s="95" t="str">
        <f>IFERROR(VLOOKUP("UD",'Informacion '!P:Q,2,FALSE),"")</f>
        <v>Unidad</v>
      </c>
      <c r="D3474" s="94">
        <v>4000</v>
      </c>
      <c r="E3474" s="84">
        <v>11.57</v>
      </c>
      <c r="F3474" s="83">
        <f t="shared" ca="1" si="155"/>
        <v>46280</v>
      </c>
    </row>
    <row r="3475" spans="1:6" ht="14.1" customHeight="1" x14ac:dyDescent="0.25">
      <c r="A3475" s="94" t="s">
        <v>9432</v>
      </c>
      <c r="B3475" s="82" t="str">
        <f ca="1">IFERROR(INDEX(UNSPSCDes,MATCH(INDIRECT(ADDRESS(ROW(),COLUMN()-1,4)),UNSPSCCode,0)),IF(INDIRECT(ADDRESS(ROW(),COLUMN()-1,4))="44101707","Unidades de grapadoras",""))</f>
        <v>Unidades de grapadoras</v>
      </c>
      <c r="C3475" s="95" t="str">
        <f>IFERROR(VLOOKUP("UD",'Informacion '!P:Q,2,FALSE),"")</f>
        <v>Unidad</v>
      </c>
      <c r="D3475" s="94">
        <v>25</v>
      </c>
      <c r="E3475" s="84">
        <v>220</v>
      </c>
      <c r="F3475" s="83">
        <f t="shared" ca="1" si="155"/>
        <v>5500</v>
      </c>
    </row>
    <row r="3476" spans="1:6" ht="14.1" customHeight="1" x14ac:dyDescent="0.25">
      <c r="A3476" s="94" t="s">
        <v>9432</v>
      </c>
      <c r="B3476" s="82" t="str">
        <f ca="1">IFERROR(INDEX(UNSPSCDes,MATCH(INDIRECT(ADDRESS(ROW(),COLUMN()-1,4)),UNSPSCCode,0)),IF(INDIRECT(ADDRESS(ROW(),COLUMN()-1,4))="44101707","Unidades de grapadoras",""))</f>
        <v>Unidades de grapadoras</v>
      </c>
      <c r="C3476" s="95" t="str">
        <f>IFERROR(VLOOKUP("UD",'Informacion '!P:Q,2,FALSE),"")</f>
        <v>Unidad</v>
      </c>
      <c r="D3476" s="94">
        <v>100</v>
      </c>
      <c r="E3476" s="84">
        <v>180</v>
      </c>
      <c r="F3476" s="83">
        <f t="shared" ca="1" si="155"/>
        <v>18000</v>
      </c>
    </row>
    <row r="3477" spans="1:6" ht="14.1" customHeight="1" x14ac:dyDescent="0.25">
      <c r="A3477" s="94" t="s">
        <v>16064</v>
      </c>
      <c r="B3477" s="82" t="str">
        <f ca="1">IFERROR(INDEX(UNSPSCDes,MATCH(INDIRECT(ADDRESS(ROW(),COLUMN()-1,4)),UNSPSCCode,0)),IF(INDIRECT(ADDRESS(ROW(),COLUMN()-1,4))="44122107","Grapas",""))</f>
        <v>Grapas</v>
      </c>
      <c r="C3477" s="95" t="str">
        <f>IFERROR(VLOOKUP("UD",'Informacion '!P:Q,2,FALSE),"")</f>
        <v>Unidad</v>
      </c>
      <c r="D3477" s="94">
        <v>560</v>
      </c>
      <c r="E3477" s="84">
        <v>32</v>
      </c>
      <c r="F3477" s="83">
        <f t="shared" ca="1" si="155"/>
        <v>17920</v>
      </c>
    </row>
    <row r="3478" spans="1:6" ht="14.1" customHeight="1" x14ac:dyDescent="0.25">
      <c r="A3478" s="94" t="s">
        <v>19311</v>
      </c>
      <c r="B3478" s="82" t="str">
        <f ca="1">IFERROR(INDEX(UNSPSCDes,MATCH(INDIRECT(ADDRESS(ROW(),COLUMN()-1,4)),UNSPSCCode,0)),IF(INDIRECT(ADDRESS(ROW(),COLUMN()-1,4))="44121706","Lápices de madera",""))</f>
        <v>Lápices de madera</v>
      </c>
      <c r="C3478" s="95" t="str">
        <f>IFERROR(VLOOKUP("UD",'Informacion '!P:Q,2,FALSE),"")</f>
        <v>Unidad</v>
      </c>
      <c r="D3478" s="94">
        <v>2000</v>
      </c>
      <c r="E3478" s="84">
        <v>1.68</v>
      </c>
      <c r="F3478" s="83">
        <f t="shared" ca="1" si="155"/>
        <v>3360</v>
      </c>
    </row>
    <row r="3479" spans="1:6" ht="14.1" customHeight="1" x14ac:dyDescent="0.25">
      <c r="A3479" s="94" t="s">
        <v>13568</v>
      </c>
      <c r="B3479" s="82" t="str">
        <f ca="1">IFERROR(INDEX(UNSPSCDes,MATCH(INDIRECT(ADDRESS(ROW(),COLUMN()-1,4)),UNSPSCCode,0)),IF(INDIRECT(ADDRESS(ROW(),COLUMN()-1,4))="14111526","Papel libretas o libros de mensajes telefónicos",""))</f>
        <v>Papel libretas o libros de mensajes telefónicos</v>
      </c>
      <c r="C3479" s="95" t="str">
        <f>IFERROR(VLOOKUP("UD",'Informacion '!P:Q,2,FALSE),"")</f>
        <v>Unidad</v>
      </c>
      <c r="D3479" s="94">
        <v>100</v>
      </c>
      <c r="E3479" s="84">
        <v>40</v>
      </c>
      <c r="F3479" s="83">
        <f t="shared" ca="1" si="155"/>
        <v>4000</v>
      </c>
    </row>
    <row r="3480" spans="1:6" ht="14.1" customHeight="1" x14ac:dyDescent="0.25">
      <c r="A3480" s="94" t="s">
        <v>13568</v>
      </c>
      <c r="B3480" s="82" t="str">
        <f ca="1">IFERROR(INDEX(UNSPSCDes,MATCH(INDIRECT(ADDRESS(ROW(),COLUMN()-1,4)),UNSPSCCode,0)),IF(INDIRECT(ADDRESS(ROW(),COLUMN()-1,4))="14111526","Papel libretas o libros de mensajes telefónicos",""))</f>
        <v>Papel libretas o libros de mensajes telefónicos</v>
      </c>
      <c r="C3480" s="95" t="str">
        <f>IFERROR(VLOOKUP("UD",'Informacion '!P:Q,2,FALSE),"")</f>
        <v>Unidad</v>
      </c>
      <c r="D3480" s="94">
        <v>100</v>
      </c>
      <c r="E3480" s="84">
        <v>152</v>
      </c>
      <c r="F3480" s="83">
        <f t="shared" ca="1" si="155"/>
        <v>15200</v>
      </c>
    </row>
    <row r="3481" spans="1:6" ht="14.1" customHeight="1" x14ac:dyDescent="0.25">
      <c r="A3481" s="94" t="s">
        <v>1318</v>
      </c>
      <c r="B3481" s="82" t="str">
        <f ca="1">IFERROR(INDEX(UNSPSCDes,MATCH(INDIRECT(ADDRESS(ROW(),COLUMN()-1,4)),UNSPSCCode,0)),IF(INDIRECT(ADDRESS(ROW(),COLUMN()-1,4))="43232503","Correctores de ortografía",""))</f>
        <v>Correctores de ortografía</v>
      </c>
      <c r="C3481" s="95" t="str">
        <f>IFERROR(VLOOKUP("UD",'Informacion '!P:Q,2,FALSE),"")</f>
        <v>Unidad</v>
      </c>
      <c r="D3481" s="94">
        <v>300</v>
      </c>
      <c r="E3481" s="84">
        <v>13.25</v>
      </c>
      <c r="F3481" s="83">
        <f t="shared" ca="1" si="155"/>
        <v>3975</v>
      </c>
    </row>
    <row r="3482" spans="1:6" ht="14.1" customHeight="1" x14ac:dyDescent="0.25">
      <c r="A3482" s="94" t="s">
        <v>13068</v>
      </c>
      <c r="B3482" s="82" t="str">
        <f ca="1">IFERROR(INDEX(UNSPSCDes,MATCH(INDIRECT(ADDRESS(ROW(),COLUMN()-1,4)),UNSPSCCode,0)),IF(INDIRECT(ADDRESS(ROW(),COLUMN()-1,4))="44121627","Marcadores de libros",""))</f>
        <v>Marcadores de libros</v>
      </c>
      <c r="C3482" s="95" t="str">
        <f>IFERROR(VLOOKUP("UD",'Informacion '!P:Q,2,FALSE),"")</f>
        <v>Unidad</v>
      </c>
      <c r="D3482" s="94">
        <v>60</v>
      </c>
      <c r="E3482" s="84">
        <v>40</v>
      </c>
      <c r="F3482" s="83">
        <f t="shared" ca="1" si="155"/>
        <v>2400</v>
      </c>
    </row>
    <row r="3483" spans="1:6" ht="14.1" customHeight="1" x14ac:dyDescent="0.25">
      <c r="A3483" s="94" t="s">
        <v>12718</v>
      </c>
      <c r="B3483" s="82" t="str">
        <f ca="1">IFERROR(INDEX(UNSPSCDes,MATCH(INDIRECT(ADDRESS(ROW(),COLUMN()-1,4)),UNSPSCCode,0)),IF(INDIRECT(ADDRESS(ROW(),COLUMN()-1,4))="43201803","Unidades de disco duro",""))</f>
        <v>Unidades de disco duro</v>
      </c>
      <c r="C3483" s="95" t="str">
        <f>IFERROR(VLOOKUP("UD",'Informacion '!P:Q,2,FALSE),"")</f>
        <v>Unidad</v>
      </c>
      <c r="D3483" s="94">
        <v>10</v>
      </c>
      <c r="E3483" s="84">
        <v>450</v>
      </c>
      <c r="F3483" s="83">
        <f t="shared" ca="1" si="155"/>
        <v>4500</v>
      </c>
    </row>
    <row r="3484" spans="1:6" ht="14.1" customHeight="1" x14ac:dyDescent="0.25">
      <c r="A3484" s="94" t="s">
        <v>12718</v>
      </c>
      <c r="B3484" s="82" t="str">
        <f ca="1">IFERROR(INDEX(UNSPSCDes,MATCH(INDIRECT(ADDRESS(ROW(),COLUMN()-1,4)),UNSPSCCode,0)),IF(INDIRECT(ADDRESS(ROW(),COLUMN()-1,4))="43201803","Unidades de disco duro",""))</f>
        <v>Unidades de disco duro</v>
      </c>
      <c r="C3484" s="95" t="str">
        <f>IFERROR(VLOOKUP("UD",'Informacion '!P:Q,2,FALSE),"")</f>
        <v>Unidad</v>
      </c>
      <c r="D3484" s="94">
        <v>30</v>
      </c>
      <c r="E3484" s="84">
        <v>210</v>
      </c>
      <c r="F3484" s="83">
        <f t="shared" ref="F3484:F3505" ca="1" si="157">INDIRECT(ADDRESS(ROW(),COLUMN()-2,4))*INDIRECT(ADDRESS(ROW(),COLUMN()-1,4))</f>
        <v>6300</v>
      </c>
    </row>
    <row r="3485" spans="1:6" ht="14.1" customHeight="1" x14ac:dyDescent="0.25">
      <c r="A3485" s="94" t="s">
        <v>2058</v>
      </c>
      <c r="B3485" s="82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485" s="95" t="str">
        <f>IFERROR(VLOOKUP("RESMA",'Informacion '!P:Q,2,FALSE),"")</f>
        <v>Resma</v>
      </c>
      <c r="D3485" s="94">
        <v>800</v>
      </c>
      <c r="E3485" s="84">
        <v>165</v>
      </c>
      <c r="F3485" s="83">
        <f t="shared" ca="1" si="157"/>
        <v>132000</v>
      </c>
    </row>
    <row r="3486" spans="1:6" ht="14.1" customHeight="1" x14ac:dyDescent="0.25">
      <c r="A3486" s="94" t="s">
        <v>2058</v>
      </c>
      <c r="B3486" s="82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486" s="95" t="str">
        <f>IFERROR(VLOOKUP("RESMA",'Informacion '!P:Q,2,FALSE),"")</f>
        <v>Resma</v>
      </c>
      <c r="D3486" s="94">
        <v>500</v>
      </c>
      <c r="E3486" s="84">
        <v>4.7300000000000004</v>
      </c>
      <c r="F3486" s="83">
        <f t="shared" ca="1" si="157"/>
        <v>2365</v>
      </c>
    </row>
    <row r="3487" spans="1:6" ht="14.1" customHeight="1" x14ac:dyDescent="0.25">
      <c r="A3487" s="94" t="s">
        <v>2058</v>
      </c>
      <c r="B3487" s="82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487" s="95" t="str">
        <f>IFERROR(VLOOKUP("UD",'Informacion '!P:Q,2,FALSE),"")</f>
        <v>Unidad</v>
      </c>
      <c r="D3487" s="94">
        <v>320</v>
      </c>
      <c r="E3487" s="84">
        <v>128.81</v>
      </c>
      <c r="F3487" s="83">
        <f t="shared" ca="1" si="157"/>
        <v>41219.199999999997</v>
      </c>
    </row>
    <row r="3488" spans="1:6" ht="14.1" customHeight="1" x14ac:dyDescent="0.25">
      <c r="A3488" s="94" t="s">
        <v>5262</v>
      </c>
      <c r="B3488" s="82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3488" s="95" t="str">
        <f>IFERROR(VLOOKUP("UD",'Informacion '!P:Q,2,FALSE),"")</f>
        <v>Unidad</v>
      </c>
      <c r="D3488" s="94">
        <v>40</v>
      </c>
      <c r="E3488" s="84">
        <v>163.35</v>
      </c>
      <c r="F3488" s="83">
        <f t="shared" ca="1" si="157"/>
        <v>6534</v>
      </c>
    </row>
    <row r="3489" spans="1:6" ht="14.1" customHeight="1" x14ac:dyDescent="0.25">
      <c r="A3489" s="94" t="s">
        <v>5262</v>
      </c>
      <c r="B3489" s="82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3489" s="95" t="str">
        <f>IFERROR(VLOOKUP("UD",'Informacion '!P:Q,2,FALSE),"")</f>
        <v>Unidad</v>
      </c>
      <c r="D3489" s="94">
        <v>14</v>
      </c>
      <c r="E3489" s="84">
        <v>390</v>
      </c>
      <c r="F3489" s="83">
        <f t="shared" ca="1" si="157"/>
        <v>5460</v>
      </c>
    </row>
    <row r="3490" spans="1:6" ht="14.1" customHeight="1" x14ac:dyDescent="0.25">
      <c r="A3490" s="94" t="s">
        <v>5228</v>
      </c>
      <c r="B3490" s="82" t="str">
        <f ca="1">IFERROR(INDEX(UNSPSCDes,MATCH(INDIRECT(ADDRESS(ROW(),COLUMN()-1,4)),UNSPSCCode,0)),IF(INDIRECT(ADDRESS(ROW(),COLUMN()-1,4))="11111606","Pizarra",""))</f>
        <v>Pizarra</v>
      </c>
      <c r="C3490" s="95" t="str">
        <f>IFERROR(VLOOKUP("UD",'Informacion '!P:Q,2,FALSE),"")</f>
        <v>Unidad</v>
      </c>
      <c r="D3490" s="94">
        <v>50</v>
      </c>
      <c r="E3490" s="84">
        <v>50</v>
      </c>
      <c r="F3490" s="83">
        <f t="shared" ca="1" si="157"/>
        <v>2500</v>
      </c>
    </row>
    <row r="3491" spans="1:6" ht="14.1" customHeight="1" x14ac:dyDescent="0.25">
      <c r="A3491" s="94" t="s">
        <v>16029</v>
      </c>
      <c r="B3491" s="82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3491" s="95" t="str">
        <f>IFERROR(VLOOKUP("UD",'Informacion '!P:Q,2,FALSE),"")</f>
        <v>Unidad</v>
      </c>
      <c r="D3491" s="94">
        <v>48</v>
      </c>
      <c r="E3491" s="84">
        <v>65</v>
      </c>
      <c r="F3491" s="83">
        <f t="shared" ca="1" si="157"/>
        <v>3120</v>
      </c>
    </row>
    <row r="3492" spans="1:6" ht="14.1" customHeight="1" x14ac:dyDescent="0.25">
      <c r="A3492" s="94" t="s">
        <v>1237</v>
      </c>
      <c r="B3492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3492" s="95" t="str">
        <f>IFERROR(VLOOKUP("UD",'Informacion '!P:Q,2,FALSE),"")</f>
        <v>Unidad</v>
      </c>
      <c r="D3492" s="94">
        <v>60</v>
      </c>
      <c r="E3492" s="84">
        <v>7.5</v>
      </c>
      <c r="F3492" s="83">
        <f t="shared" ca="1" si="157"/>
        <v>450</v>
      </c>
    </row>
    <row r="3493" spans="1:6" ht="14.1" customHeight="1" x14ac:dyDescent="0.25">
      <c r="A3493" s="94" t="s">
        <v>17912</v>
      </c>
      <c r="B3493" s="82" t="str">
        <f ca="1">IFERROR(INDEX(UNSPSCDes,MATCH(INDIRECT(ADDRESS(ROW(),COLUMN()-1,4)),UNSPSCCode,0)),IF(INDIRECT(ADDRESS(ROW(),COLUMN()-1,4))="55121606","Etiquetas auto adhesivas",""))</f>
        <v>Etiquetas auto adhesivas</v>
      </c>
      <c r="C3493" s="95" t="str">
        <f>IFERROR(VLOOKUP("UD",'Informacion '!P:Q,2,FALSE),"")</f>
        <v>Unidad</v>
      </c>
      <c r="D3493" s="94">
        <v>480</v>
      </c>
      <c r="E3493" s="84">
        <v>8.56</v>
      </c>
      <c r="F3493" s="83">
        <f t="shared" ca="1" si="157"/>
        <v>4108.8</v>
      </c>
    </row>
    <row r="3494" spans="1:6" ht="14.1" customHeight="1" x14ac:dyDescent="0.25">
      <c r="A3494" s="94" t="s">
        <v>17912</v>
      </c>
      <c r="B3494" s="82" t="str">
        <f ca="1">IFERROR(INDEX(UNSPSCDes,MATCH(INDIRECT(ADDRESS(ROW(),COLUMN()-1,4)),UNSPSCCode,0)),IF(INDIRECT(ADDRESS(ROW(),COLUMN()-1,4))="55121606","Etiquetas auto adhesivas",""))</f>
        <v>Etiquetas auto adhesivas</v>
      </c>
      <c r="C3494" s="95" t="str">
        <f>IFERROR(VLOOKUP("UD",'Informacion '!P:Q,2,FALSE),"")</f>
        <v>Unidad</v>
      </c>
      <c r="D3494" s="94">
        <v>300</v>
      </c>
      <c r="E3494" s="84">
        <v>10</v>
      </c>
      <c r="F3494" s="83">
        <f t="shared" ca="1" si="157"/>
        <v>3000</v>
      </c>
    </row>
    <row r="3495" spans="1:6" ht="14.1" customHeight="1" x14ac:dyDescent="0.25">
      <c r="A3495" s="94" t="s">
        <v>17912</v>
      </c>
      <c r="B3495" s="82" t="str">
        <f ca="1">IFERROR(INDEX(UNSPSCDes,MATCH(INDIRECT(ADDRESS(ROW(),COLUMN()-1,4)),UNSPSCCode,0)),IF(INDIRECT(ADDRESS(ROW(),COLUMN()-1,4))="55121606","Etiquetas auto adhesivas",""))</f>
        <v>Etiquetas auto adhesivas</v>
      </c>
      <c r="C3495" s="95" t="str">
        <f>IFERROR(VLOOKUP("UD",'Informacion '!P:Q,2,FALSE),"")</f>
        <v>Unidad</v>
      </c>
      <c r="D3495" s="94">
        <v>500</v>
      </c>
      <c r="E3495" s="84">
        <v>1.02</v>
      </c>
      <c r="F3495" s="83">
        <f t="shared" ca="1" si="157"/>
        <v>510</v>
      </c>
    </row>
    <row r="3496" spans="1:6" ht="14.1" customHeight="1" x14ac:dyDescent="0.25">
      <c r="A3496" s="94" t="s">
        <v>7962</v>
      </c>
      <c r="B3496" s="82" t="str">
        <f ca="1">IFERROR(INDEX(UNSPSCDes,MATCH(INDIRECT(ADDRESS(ROW(),COLUMN()-1,4)),UNSPSCCode,0)),IF(INDIRECT(ADDRESS(ROW(),COLUMN()-1,4))="55121617","Protectores de etiquetas",""))</f>
        <v>Protectores de etiquetas</v>
      </c>
      <c r="C3496" s="95" t="str">
        <f>IFERROR(VLOOKUP("UD",'Informacion '!P:Q,2,FALSE),"")</f>
        <v>Unidad</v>
      </c>
      <c r="D3496" s="94">
        <v>30</v>
      </c>
      <c r="E3496" s="84">
        <v>6.4</v>
      </c>
      <c r="F3496" s="83">
        <f t="shared" ca="1" si="157"/>
        <v>192</v>
      </c>
    </row>
    <row r="3497" spans="1:6" ht="14.1" customHeight="1" x14ac:dyDescent="0.25">
      <c r="A3497" s="94" t="s">
        <v>10336</v>
      </c>
      <c r="B3497" s="82" t="str">
        <f ca="1">IFERROR(INDEX(UNSPSCDes,MATCH(INDIRECT(ADDRESS(ROW(),COLUMN()-1,4)),UNSPSCCode,0)),IF(INDIRECT(ADDRESS(ROW(),COLUMN()-1,4))="44121716","Resaltadores",""))</f>
        <v>Resaltadores</v>
      </c>
      <c r="C3497" s="95" t="str">
        <f>IFERROR(VLOOKUP("UD",'Informacion '!P:Q,2,FALSE),"")</f>
        <v>Unidad</v>
      </c>
      <c r="D3497" s="94">
        <v>200</v>
      </c>
      <c r="E3497" s="84">
        <v>5.75</v>
      </c>
      <c r="F3497" s="83">
        <f t="shared" ca="1" si="157"/>
        <v>1150</v>
      </c>
    </row>
    <row r="3498" spans="1:6" ht="14.1" customHeight="1" x14ac:dyDescent="0.25">
      <c r="A3498" s="94" t="s">
        <v>10336</v>
      </c>
      <c r="B3498" s="82" t="str">
        <f ca="1">IFERROR(INDEX(UNSPSCDes,MATCH(INDIRECT(ADDRESS(ROW(),COLUMN()-1,4)),UNSPSCCode,0)),IF(INDIRECT(ADDRESS(ROW(),COLUMN()-1,4))="44121716","Resaltadores",""))</f>
        <v>Resaltadores</v>
      </c>
      <c r="C3498" s="95" t="str">
        <f>IFERROR(VLOOKUP("UD",'Informacion '!P:Q,2,FALSE),"")</f>
        <v>Unidad</v>
      </c>
      <c r="D3498" s="94">
        <v>150</v>
      </c>
      <c r="E3498" s="84">
        <v>5.75</v>
      </c>
      <c r="F3498" s="83">
        <f t="shared" ca="1" si="157"/>
        <v>862.5</v>
      </c>
    </row>
    <row r="3499" spans="1:6" ht="14.1" customHeight="1" x14ac:dyDescent="0.25">
      <c r="A3499" s="94" t="s">
        <v>10336</v>
      </c>
      <c r="B3499" s="82" t="str">
        <f ca="1">IFERROR(INDEX(UNSPSCDes,MATCH(INDIRECT(ADDRESS(ROW(),COLUMN()-1,4)),UNSPSCCode,0)),IF(INDIRECT(ADDRESS(ROW(),COLUMN()-1,4))="44121716","Resaltadores",""))</f>
        <v>Resaltadores</v>
      </c>
      <c r="C3499" s="95" t="str">
        <f>IFERROR(VLOOKUP("UD",'Informacion '!P:Q,2,FALSE),"")</f>
        <v>Unidad</v>
      </c>
      <c r="D3499" s="94">
        <v>150</v>
      </c>
      <c r="E3499" s="84">
        <v>5.75</v>
      </c>
      <c r="F3499" s="83">
        <f t="shared" ca="1" si="157"/>
        <v>862.5</v>
      </c>
    </row>
    <row r="3500" spans="1:6" ht="14.1" customHeight="1" x14ac:dyDescent="0.25">
      <c r="A3500" s="94" t="s">
        <v>10336</v>
      </c>
      <c r="B3500" s="82" t="str">
        <f ca="1">IFERROR(INDEX(UNSPSCDes,MATCH(INDIRECT(ADDRESS(ROW(),COLUMN()-1,4)),UNSPSCCode,0)),IF(INDIRECT(ADDRESS(ROW(),COLUMN()-1,4))="44121716","Resaltadores",""))</f>
        <v>Resaltadores</v>
      </c>
      <c r="C3500" s="95" t="str">
        <f>IFERROR(VLOOKUP("UD",'Informacion '!P:Q,2,FALSE),"")</f>
        <v>Unidad</v>
      </c>
      <c r="D3500" s="94">
        <v>150</v>
      </c>
      <c r="E3500" s="84">
        <v>5.75</v>
      </c>
      <c r="F3500" s="83">
        <f t="shared" ca="1" si="157"/>
        <v>862.5</v>
      </c>
    </row>
    <row r="3501" spans="1:6" ht="14.1" customHeight="1" x14ac:dyDescent="0.25">
      <c r="A3501" s="94" t="s">
        <v>2059</v>
      </c>
      <c r="B3501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3501" s="95" t="str">
        <f>IFERROR(VLOOKUP("UD",'Informacion '!P:Q,2,FALSE),"")</f>
        <v>Unidad</v>
      </c>
      <c r="D3501" s="94">
        <v>50</v>
      </c>
      <c r="E3501" s="84">
        <v>12.19</v>
      </c>
      <c r="F3501" s="83">
        <f t="shared" ca="1" si="157"/>
        <v>609.5</v>
      </c>
    </row>
    <row r="3502" spans="1:6" ht="14.1" customHeight="1" x14ac:dyDescent="0.25">
      <c r="A3502" s="94" t="s">
        <v>19772</v>
      </c>
      <c r="B3502" s="82" t="str">
        <f ca="1">IFERROR(INDEX(UNSPSCDes,MATCH(INDIRECT(ADDRESS(ROW(),COLUMN()-1,4)),UNSPSCCode,0)),IF(INDIRECT(ADDRESS(ROW(),COLUMN()-1,4))="44122010","Separadores",""))</f>
        <v>Separadores</v>
      </c>
      <c r="C3502" s="95" t="str">
        <f>IFERROR(VLOOKUP("UD",'Informacion '!P:Q,2,FALSE),"")</f>
        <v>Unidad</v>
      </c>
      <c r="D3502" s="94">
        <v>300</v>
      </c>
      <c r="E3502" s="84">
        <v>2.2999999999999998</v>
      </c>
      <c r="F3502" s="83">
        <f t="shared" ca="1" si="157"/>
        <v>690</v>
      </c>
    </row>
    <row r="3503" spans="1:6" ht="14.1" customHeight="1" x14ac:dyDescent="0.25">
      <c r="A3503" s="94" t="s">
        <v>9221</v>
      </c>
      <c r="B3503" s="82" t="str">
        <f ca="1">IFERROR(INDEX(UNSPSCDes,MATCH(INDIRECT(ADDRESS(ROW(),COLUMN()-1,4)),UNSPSCCode,0)),IF(INDIRECT(ADDRESS(ROW(),COLUMN()-1,4))="44121503","Sobres",""))</f>
        <v>Sobres</v>
      </c>
      <c r="C3503" s="95" t="str">
        <f>IFERROR(VLOOKUP("UD",'Informacion '!P:Q,2,FALSE),"")</f>
        <v>Unidad</v>
      </c>
      <c r="D3503" s="94">
        <v>3500</v>
      </c>
      <c r="E3503" s="84">
        <v>0.66</v>
      </c>
      <c r="F3503" s="83">
        <f t="shared" ca="1" si="157"/>
        <v>2310</v>
      </c>
    </row>
    <row r="3504" spans="1:6" ht="14.1" customHeight="1" x14ac:dyDescent="0.25">
      <c r="A3504" s="94" t="s">
        <v>7136</v>
      </c>
      <c r="B3504" s="82" t="str">
        <f ca="1">IFERROR(INDEX(UNSPSCDes,MATCH(INDIRECT(ADDRESS(ROW(),COLUMN()-1,4)),UNSPSCCode,0)),IF(INDIRECT(ADDRESS(ROW(),COLUMN()-1,4))="44121618","Tijeras",""))</f>
        <v>Tijeras</v>
      </c>
      <c r="C3504" s="95" t="str">
        <f>IFERROR(VLOOKUP("UD",'Informacion '!P:Q,2,FALSE),"")</f>
        <v>Unidad</v>
      </c>
      <c r="D3504" s="94">
        <v>200</v>
      </c>
      <c r="E3504" s="84">
        <v>90</v>
      </c>
      <c r="F3504" s="83">
        <f t="shared" ca="1" si="157"/>
        <v>18000</v>
      </c>
    </row>
    <row r="3505" spans="1:10" ht="14.1" customHeight="1" x14ac:dyDescent="0.25">
      <c r="A3505" s="94" t="s">
        <v>4422</v>
      </c>
      <c r="B3505" s="82" t="str">
        <f ca="1">IFERROR(INDEX(UNSPSCDes,MATCH(INDIRECT(ADDRESS(ROW(),COLUMN()-1,4)),UNSPSCCode,0)),IF(INDIRECT(ADDRESS(ROW(),COLUMN()-1,4))="44103111","Rollos de tinta",""))</f>
        <v>Rollos de tinta</v>
      </c>
      <c r="C3505" s="95" t="str">
        <f>IFERROR(VLOOKUP("UD",'Informacion '!P:Q,2,FALSE),"")</f>
        <v>Unidad</v>
      </c>
      <c r="D3505" s="94">
        <v>60</v>
      </c>
      <c r="E3505" s="84">
        <v>75</v>
      </c>
      <c r="F3505" s="83">
        <f t="shared" ca="1" si="157"/>
        <v>4500</v>
      </c>
    </row>
    <row r="3506" spans="1:10" ht="14.1" customHeight="1" x14ac:dyDescent="0.25">
      <c r="E3506" s="96" t="s">
        <v>7213</v>
      </c>
      <c r="F3506" s="87">
        <f ca="1">SUM(Table111[MONTO TOTAL ESTIMADO])</f>
        <v>909481.91</v>
      </c>
      <c r="H3506" s="39" t="str">
        <f>C3445</f>
        <v>Bienes</v>
      </c>
      <c r="I3506" s="39" t="str">
        <f>E3445</f>
        <v>No</v>
      </c>
      <c r="J3506" s="39" t="str">
        <f>D3445</f>
        <v>Comparacion de Precios</v>
      </c>
    </row>
    <row r="3508" spans="1:10" ht="33.950000000000003" customHeight="1" x14ac:dyDescent="0.25">
      <c r="A3508" s="77" t="s">
        <v>17233</v>
      </c>
      <c r="B3508" s="77" t="s">
        <v>4237</v>
      </c>
      <c r="C3508" s="77" t="s">
        <v>4743</v>
      </c>
      <c r="D3508" s="77" t="s">
        <v>9891</v>
      </c>
      <c r="E3508" s="77" t="s">
        <v>3089</v>
      </c>
      <c r="F3508" s="77" t="s">
        <v>18141</v>
      </c>
    </row>
    <row r="3509" spans="1:10" ht="14.1" customHeight="1" x14ac:dyDescent="0.25">
      <c r="A3509" s="79" t="s">
        <v>11523</v>
      </c>
      <c r="B3509" s="79" t="s">
        <v>5726</v>
      </c>
      <c r="C3509" s="79" t="s">
        <v>17215</v>
      </c>
      <c r="D3509" s="79" t="s">
        <v>15249</v>
      </c>
      <c r="E3509" s="79" t="s">
        <v>18247</v>
      </c>
      <c r="F3509" s="79"/>
    </row>
    <row r="3510" spans="1:10" ht="14.1" customHeight="1" x14ac:dyDescent="0.25">
      <c r="A3510" s="2" t="s">
        <v>6643</v>
      </c>
      <c r="B3510" s="80" t="s">
        <v>1046</v>
      </c>
      <c r="C3510" s="90">
        <v>43556</v>
      </c>
      <c r="D3510" s="2" t="s">
        <v>59</v>
      </c>
      <c r="E3510" s="92" t="s">
        <v>20066</v>
      </c>
      <c r="F3510" s="93"/>
    </row>
    <row r="3511" spans="1:10" ht="14.1" customHeight="1" x14ac:dyDescent="0.25">
      <c r="A3511" s="1"/>
      <c r="B3511" s="80" t="s">
        <v>10788</v>
      </c>
      <c r="C3511" s="91">
        <f>IF(C3510="","",IF(AND(MONTH(C3510)&gt;=1,MONTH(C3510)&lt;=3),1,IF(AND(MONTH(C3510)&gt;=4,MONTH(C3510)&lt;=6),2,IF(AND(MONTH(C3510)&gt;=7,MONTH(C3510)&lt;=9),3,4))))</f>
        <v>2</v>
      </c>
      <c r="D3511" s="1"/>
      <c r="E3511" s="92" t="s">
        <v>14822</v>
      </c>
      <c r="F3511" s="93"/>
    </row>
    <row r="3512" spans="1:10" ht="14.1" customHeight="1" x14ac:dyDescent="0.25">
      <c r="A3512" s="1"/>
      <c r="B3512" s="80" t="s">
        <v>13758</v>
      </c>
      <c r="C3512" s="90">
        <v>43644</v>
      </c>
      <c r="D3512" s="1"/>
      <c r="E3512" s="92" t="s">
        <v>18636</v>
      </c>
      <c r="F3512" s="93"/>
    </row>
    <row r="3513" spans="1:10" ht="14.1" customHeight="1" x14ac:dyDescent="0.25">
      <c r="A3513" s="1"/>
      <c r="B3513" s="80" t="s">
        <v>10788</v>
      </c>
      <c r="C3513" s="91">
        <f>IF(C3512="","",IF(AND(MONTH(C3512)&gt;=1,MONTH(C3512)&lt;=3),1,IF(AND(MONTH(C3512)&gt;=4,MONTH(C3512)&lt;=6),2,IF(AND(MONTH(C3512)&gt;=7,MONTH(C3512)&lt;=9),3,4))))</f>
        <v>2</v>
      </c>
      <c r="D3513" s="1"/>
      <c r="E3513" s="92" t="s">
        <v>15990</v>
      </c>
      <c r="F3513" s="93"/>
    </row>
    <row r="3515" spans="1:10" ht="14.1" customHeight="1" x14ac:dyDescent="0.25">
      <c r="A3515" s="85" t="s">
        <v>15474</v>
      </c>
      <c r="B3515" s="85" t="s">
        <v>5027</v>
      </c>
      <c r="C3515" s="85" t="s">
        <v>17461</v>
      </c>
      <c r="D3515" s="85" t="s">
        <v>3935</v>
      </c>
      <c r="E3515" s="85" t="s">
        <v>10722</v>
      </c>
      <c r="F3515" s="85" t="s">
        <v>18237</v>
      </c>
    </row>
    <row r="3516" spans="1:10" ht="14.1" customHeight="1" x14ac:dyDescent="0.25">
      <c r="A3516" s="94" t="s">
        <v>10235</v>
      </c>
      <c r="B3516" s="82" t="str">
        <f ca="1">IFERROR(INDEX(UNSPSCDes,MATCH(INDIRECT(ADDRESS(ROW(),COLUMN()-1,4)),UNSPSCCode,0)),IF(INDIRECT(ADDRESS(ROW(),COLUMN()-1,4))="45131701","Bandejas u organizadores para filminas",""))</f>
        <v>Bandejas u organizadores para filminas</v>
      </c>
      <c r="C3516" s="95" t="str">
        <f>IFERROR(VLOOKUP("UD",'Informacion '!P:Q,2,FALSE),"")</f>
        <v>Unidad</v>
      </c>
      <c r="D3516" s="94">
        <v>200</v>
      </c>
      <c r="E3516" s="84">
        <v>130</v>
      </c>
      <c r="F3516" s="83">
        <f t="shared" ref="F3516:F3559" ca="1" si="158">INDIRECT(ADDRESS(ROW(),COLUMN()-2,4))*INDIRECT(ADDRESS(ROW(),COLUMN()-1,4))</f>
        <v>26000</v>
      </c>
    </row>
    <row r="3517" spans="1:10" ht="14.1" customHeight="1" x14ac:dyDescent="0.25">
      <c r="A3517" s="94" t="s">
        <v>8264</v>
      </c>
      <c r="B3517" s="82" t="str">
        <f ca="1">IFERROR(INDEX(UNSPSCDes,MATCH(INDIRECT(ADDRESS(ROW(),COLUMN()-1,4)),UNSPSCCode,0)),IF(INDIRECT(ADDRESS(ROW(),COLUMN()-1,4))="44121701","Bolígrafos",""))</f>
        <v>Bolígrafos</v>
      </c>
      <c r="C3517" s="95" t="str">
        <f>IFERROR(VLOOKUP("UD",'Informacion '!P:Q,2,FALSE),"")</f>
        <v>Unidad</v>
      </c>
      <c r="D3517" s="94">
        <v>1000</v>
      </c>
      <c r="E3517" s="84">
        <v>5</v>
      </c>
      <c r="F3517" s="83">
        <f t="shared" ca="1" si="158"/>
        <v>5000</v>
      </c>
    </row>
    <row r="3518" spans="1:10" ht="14.1" customHeight="1" x14ac:dyDescent="0.25">
      <c r="A3518" s="94" t="s">
        <v>8264</v>
      </c>
      <c r="B3518" s="82" t="str">
        <f ca="1">IFERROR(INDEX(UNSPSCDes,MATCH(INDIRECT(ADDRESS(ROW(),COLUMN()-1,4)),UNSPSCCode,0)),IF(INDIRECT(ADDRESS(ROW(),COLUMN()-1,4))="44121701","Bolígrafos",""))</f>
        <v>Bolígrafos</v>
      </c>
      <c r="C3518" s="95" t="str">
        <f>IFERROR(VLOOKUP("UD",'Informacion '!P:Q,2,FALSE),"")</f>
        <v>Unidad</v>
      </c>
      <c r="D3518" s="94">
        <v>500</v>
      </c>
      <c r="E3518" s="84">
        <v>5</v>
      </c>
      <c r="F3518" s="83">
        <f t="shared" ca="1" si="158"/>
        <v>2500</v>
      </c>
    </row>
    <row r="3519" spans="1:10" ht="14.1" customHeight="1" x14ac:dyDescent="0.25">
      <c r="A3519" s="94" t="s">
        <v>9471</v>
      </c>
      <c r="B3519" s="82" t="str">
        <f ca="1">IFERROR(INDEX(UNSPSCDes,MATCH(INDIRECT(ADDRESS(ROW(),COLUMN()-1,4)),UNSPSCCode,0)),IF(INDIRECT(ADDRESS(ROW(),COLUMN()-1,4))="44122003","Carpetas",""))</f>
        <v>Carpetas</v>
      </c>
      <c r="C3519" s="95" t="str">
        <f>IFERROR(VLOOKUP("UD",'Informacion '!P:Q,2,FALSE),"")</f>
        <v>Unidad</v>
      </c>
      <c r="D3519" s="94">
        <v>80</v>
      </c>
      <c r="E3519" s="84">
        <v>37</v>
      </c>
      <c r="F3519" s="83">
        <f t="shared" ca="1" si="158"/>
        <v>2960</v>
      </c>
    </row>
    <row r="3520" spans="1:10" ht="14.1" customHeight="1" x14ac:dyDescent="0.25">
      <c r="A3520" s="94" t="s">
        <v>9471</v>
      </c>
      <c r="B3520" s="82" t="str">
        <f ca="1">IFERROR(INDEX(UNSPSCDes,MATCH(INDIRECT(ADDRESS(ROW(),COLUMN()-1,4)),UNSPSCCode,0)),IF(INDIRECT(ADDRESS(ROW(),COLUMN()-1,4))="44122003","Carpetas",""))</f>
        <v>Carpetas</v>
      </c>
      <c r="C3520" s="95" t="str">
        <f>IFERROR(VLOOKUP("UD",'Informacion '!P:Q,2,FALSE),"")</f>
        <v>Unidad</v>
      </c>
      <c r="D3520" s="94">
        <v>80</v>
      </c>
      <c r="E3520" s="84">
        <v>40</v>
      </c>
      <c r="F3520" s="83">
        <f t="shared" ca="1" si="158"/>
        <v>3200</v>
      </c>
    </row>
    <row r="3521" spans="1:6" ht="14.1" customHeight="1" x14ac:dyDescent="0.25">
      <c r="A3521" s="94" t="s">
        <v>12615</v>
      </c>
      <c r="B3521" s="82" t="str">
        <f ca="1">IFERROR(INDEX(UNSPSCDes,MATCH(INDIRECT(ADDRESS(ROW(),COLUMN()-1,4)),UNSPSCCode,0)),IF(INDIRECT(ADDRESS(ROW(),COLUMN()-1,4))="31201512","Cinta transparente",""))</f>
        <v>Cinta transparente</v>
      </c>
      <c r="C3521" s="95" t="str">
        <f>IFERROR(VLOOKUP("UD",'Informacion '!P:Q,2,FALSE),"")</f>
        <v>Unidad</v>
      </c>
      <c r="D3521" s="94">
        <v>350</v>
      </c>
      <c r="E3521" s="84">
        <v>40</v>
      </c>
      <c r="F3521" s="83">
        <f t="shared" ca="1" si="158"/>
        <v>14000</v>
      </c>
    </row>
    <row r="3522" spans="1:6" ht="14.1" customHeight="1" x14ac:dyDescent="0.25">
      <c r="A3522" s="94" t="s">
        <v>12343</v>
      </c>
      <c r="B3522" s="82" t="str">
        <f ca="1">IFERROR(INDEX(UNSPSCDes,MATCH(INDIRECT(ADDRESS(ROW(),COLUMN()-1,4)),UNSPSCCode,0)),IF(INDIRECT(ADDRESS(ROW(),COLUMN()-1,4))="44122104","Clips para papel",""))</f>
        <v>Clips para papel</v>
      </c>
      <c r="C3522" s="95" t="str">
        <f>IFERROR(VLOOKUP("UD",'Informacion '!P:Q,2,FALSE),"")</f>
        <v>Unidad</v>
      </c>
      <c r="D3522" s="94">
        <v>150</v>
      </c>
      <c r="E3522" s="84">
        <v>80</v>
      </c>
      <c r="F3522" s="83">
        <f t="shared" ca="1" si="158"/>
        <v>12000</v>
      </c>
    </row>
    <row r="3523" spans="1:6" ht="14.1" customHeight="1" x14ac:dyDescent="0.25">
      <c r="A3523" s="94" t="s">
        <v>18241</v>
      </c>
      <c r="B3523" s="82" t="str">
        <f ca="1">IFERROR(INDEX(UNSPSCDes,MATCH(INDIRECT(ADDRESS(ROW(),COLUMN()-1,4)),UNSPSCCode,0)),IF(INDIRECT(ADDRESS(ROW(),COLUMN()-1,4))="44121605","Dispensadores de cinta",""))</f>
        <v>Dispensadores de cinta</v>
      </c>
      <c r="C3523" s="95" t="str">
        <f>IFERROR(VLOOKUP("UD",'Informacion '!P:Q,2,FALSE),"")</f>
        <v>Unidad</v>
      </c>
      <c r="D3523" s="94">
        <v>70</v>
      </c>
      <c r="E3523" s="84">
        <v>120</v>
      </c>
      <c r="F3523" s="83">
        <f t="shared" ca="1" si="158"/>
        <v>8400</v>
      </c>
    </row>
    <row r="3524" spans="1:6" ht="14.1" customHeight="1" x14ac:dyDescent="0.25">
      <c r="A3524" s="94" t="s">
        <v>8264</v>
      </c>
      <c r="B3524" s="82" t="str">
        <f ca="1">IFERROR(INDEX(UNSPSCDes,MATCH(INDIRECT(ADDRESS(ROW(),COLUMN()-1,4)),UNSPSCCode,0)),IF(INDIRECT(ADDRESS(ROW(),COLUMN()-1,4))="44121701","Bolígrafos",""))</f>
        <v>Bolígrafos</v>
      </c>
      <c r="C3524" s="95" t="str">
        <f>IFERROR(VLOOKUP("UD",'Informacion '!P:Q,2,FALSE),"")</f>
        <v>Unidad</v>
      </c>
      <c r="D3524" s="94">
        <v>130</v>
      </c>
      <c r="E3524" s="84">
        <v>25</v>
      </c>
      <c r="F3524" s="83">
        <f t="shared" ca="1" si="158"/>
        <v>3250</v>
      </c>
    </row>
    <row r="3525" spans="1:6" ht="14.1" customHeight="1" x14ac:dyDescent="0.25">
      <c r="A3525" s="94" t="s">
        <v>8264</v>
      </c>
      <c r="B3525" s="82" t="str">
        <f ca="1">IFERROR(INDEX(UNSPSCDes,MATCH(INDIRECT(ADDRESS(ROW(),COLUMN()-1,4)),UNSPSCCode,0)),IF(INDIRECT(ADDRESS(ROW(),COLUMN()-1,4))="44121701","Bolígrafos",""))</f>
        <v>Bolígrafos</v>
      </c>
      <c r="C3525" s="95" t="str">
        <f>IFERROR(VLOOKUP("UD",'Informacion '!P:Q,2,FALSE),"")</f>
        <v>Unidad</v>
      </c>
      <c r="D3525" s="94">
        <v>130</v>
      </c>
      <c r="E3525" s="84">
        <v>25</v>
      </c>
      <c r="F3525" s="83">
        <f t="shared" ca="1" si="158"/>
        <v>3250</v>
      </c>
    </row>
    <row r="3526" spans="1:6" ht="14.1" customHeight="1" x14ac:dyDescent="0.25">
      <c r="A3526" s="94" t="s">
        <v>4861</v>
      </c>
      <c r="B3526" s="82" t="str">
        <f t="shared" ref="B3526:B3531" ca="1" si="159">IFERROR(INDEX(UNSPSCDes,MATCH(INDIRECT(ADDRESS(ROW(),COLUMN()-1,4)),UNSPSCCode,0)),IF(INDIRECT(ADDRESS(ROW(),COLUMN()-1,4))="44122011","Folders",""))</f>
        <v>Folders</v>
      </c>
      <c r="C3526" s="95" t="str">
        <f>IFERROR(VLOOKUP("UD",'Informacion '!P:Q,2,FALSE),"")</f>
        <v>Unidad</v>
      </c>
      <c r="D3526" s="94">
        <v>450</v>
      </c>
      <c r="E3526" s="84">
        <v>150</v>
      </c>
      <c r="F3526" s="83">
        <f t="shared" ca="1" si="158"/>
        <v>67500</v>
      </c>
    </row>
    <row r="3527" spans="1:6" ht="14.1" customHeight="1" x14ac:dyDescent="0.25">
      <c r="A3527" s="94" t="s">
        <v>4861</v>
      </c>
      <c r="B3527" s="82" t="str">
        <f t="shared" ca="1" si="159"/>
        <v>Folders</v>
      </c>
      <c r="C3527" s="95" t="str">
        <f>IFERROR(VLOOKUP("UD",'Informacion '!P:Q,2,FALSE),"")</f>
        <v>Unidad</v>
      </c>
      <c r="D3527" s="94">
        <v>10</v>
      </c>
      <c r="E3527" s="84">
        <v>146.61000000000001</v>
      </c>
      <c r="F3527" s="83">
        <f t="shared" ca="1" si="158"/>
        <v>1466.1000000000001</v>
      </c>
    </row>
    <row r="3528" spans="1:6" ht="14.1" customHeight="1" x14ac:dyDescent="0.25">
      <c r="A3528" s="94" t="s">
        <v>4861</v>
      </c>
      <c r="B3528" s="82" t="str">
        <f t="shared" ca="1" si="159"/>
        <v>Folders</v>
      </c>
      <c r="C3528" s="95" t="str">
        <f>IFERROR(VLOOKUP("UD",'Informacion '!P:Q,2,FALSE),"")</f>
        <v>Unidad</v>
      </c>
      <c r="D3528" s="94">
        <v>110</v>
      </c>
      <c r="E3528" s="84">
        <v>15</v>
      </c>
      <c r="F3528" s="83">
        <f t="shared" ca="1" si="158"/>
        <v>1650</v>
      </c>
    </row>
    <row r="3529" spans="1:6" ht="14.1" customHeight="1" x14ac:dyDescent="0.25">
      <c r="A3529" s="94" t="s">
        <v>4861</v>
      </c>
      <c r="B3529" s="82" t="str">
        <f t="shared" ca="1" si="159"/>
        <v>Folders</v>
      </c>
      <c r="C3529" s="95" t="str">
        <f>IFERROR(VLOOKUP("UD",'Informacion '!P:Q,2,FALSE),"")</f>
        <v>Unidad</v>
      </c>
      <c r="D3529" s="94">
        <v>2050</v>
      </c>
      <c r="E3529" s="84">
        <v>180</v>
      </c>
      <c r="F3529" s="83">
        <f t="shared" ca="1" si="158"/>
        <v>369000</v>
      </c>
    </row>
    <row r="3530" spans="1:6" ht="14.1" customHeight="1" x14ac:dyDescent="0.25">
      <c r="A3530" s="94" t="s">
        <v>4861</v>
      </c>
      <c r="B3530" s="82" t="str">
        <f t="shared" ca="1" si="159"/>
        <v>Folders</v>
      </c>
      <c r="C3530" s="95" t="str">
        <f>IFERROR(VLOOKUP("UD",'Informacion '!P:Q,2,FALSE),"")</f>
        <v>Unidad</v>
      </c>
      <c r="D3530" s="94">
        <v>10</v>
      </c>
      <c r="E3530" s="84">
        <v>146.61000000000001</v>
      </c>
      <c r="F3530" s="83">
        <f t="shared" ca="1" si="158"/>
        <v>1466.1000000000001</v>
      </c>
    </row>
    <row r="3531" spans="1:6" ht="14.1" customHeight="1" x14ac:dyDescent="0.25">
      <c r="A3531" s="94" t="s">
        <v>4861</v>
      </c>
      <c r="B3531" s="82" t="str">
        <f t="shared" ca="1" si="159"/>
        <v>Folders</v>
      </c>
      <c r="C3531" s="95" t="str">
        <f>IFERROR(VLOOKUP("UD",'Informacion '!P:Q,2,FALSE),"")</f>
        <v>Unidad</v>
      </c>
      <c r="D3531" s="94">
        <v>110</v>
      </c>
      <c r="E3531" s="84">
        <v>160</v>
      </c>
      <c r="F3531" s="83">
        <f t="shared" ca="1" si="158"/>
        <v>17600</v>
      </c>
    </row>
    <row r="3532" spans="1:6" ht="14.1" customHeight="1" x14ac:dyDescent="0.25">
      <c r="A3532" s="94" t="s">
        <v>18744</v>
      </c>
      <c r="B3532" s="82" t="str">
        <f ca="1">IFERROR(INDEX(UNSPSCDes,MATCH(INDIRECT(ADDRESS(ROW(),COLUMN()-1,4)),UNSPSCCode,0)),IF(INDIRECT(ADDRESS(ROW(),COLUMN()-1,4))="44122016","Sujetador de documentos",""))</f>
        <v>Sujetador de documentos</v>
      </c>
      <c r="C3532" s="95" t="str">
        <f>IFERROR(VLOOKUP("UD",'Informacion '!P:Q,2,FALSE),"")</f>
        <v>Unidad</v>
      </c>
      <c r="D3532" s="94">
        <v>150</v>
      </c>
      <c r="E3532" s="84">
        <v>100</v>
      </c>
      <c r="F3532" s="83">
        <f t="shared" ca="1" si="158"/>
        <v>15000</v>
      </c>
    </row>
    <row r="3533" spans="1:6" ht="14.1" customHeight="1" x14ac:dyDescent="0.25">
      <c r="A3533" s="94" t="s">
        <v>7733</v>
      </c>
      <c r="B3533" s="82" t="str">
        <f ca="1">IFERROR(INDEX(UNSPSCDes,MATCH(INDIRECT(ADDRESS(ROW(),COLUMN()-1,4)),UNSPSCCode,0)),IF(INDIRECT(ADDRESS(ROW(),COLUMN()-1,4))="60121535","Borradores de goma",""))</f>
        <v>Borradores de goma</v>
      </c>
      <c r="C3533" s="95" t="str">
        <f>IFERROR(VLOOKUP("UD",'Informacion '!P:Q,2,FALSE),"")</f>
        <v>Unidad</v>
      </c>
      <c r="D3533" s="94">
        <v>75</v>
      </c>
      <c r="E3533" s="84">
        <v>8</v>
      </c>
      <c r="F3533" s="83">
        <f t="shared" ca="1" si="158"/>
        <v>600</v>
      </c>
    </row>
    <row r="3534" spans="1:6" ht="14.1" customHeight="1" x14ac:dyDescent="0.25">
      <c r="A3534" s="94" t="s">
        <v>7733</v>
      </c>
      <c r="B3534" s="82" t="str">
        <f ca="1">IFERROR(INDEX(UNSPSCDes,MATCH(INDIRECT(ADDRESS(ROW(),COLUMN()-1,4)),UNSPSCCode,0)),IF(INDIRECT(ADDRESS(ROW(),COLUMN()-1,4))="60121535","Borradores de goma",""))</f>
        <v>Borradores de goma</v>
      </c>
      <c r="C3534" s="95" t="str">
        <f>IFERROR(VLOOKUP("UD",'Informacion '!P:Q,2,FALSE),"")</f>
        <v>Unidad</v>
      </c>
      <c r="D3534" s="94">
        <v>1000</v>
      </c>
      <c r="E3534" s="84">
        <v>11.57</v>
      </c>
      <c r="F3534" s="83">
        <f t="shared" ca="1" si="158"/>
        <v>11570</v>
      </c>
    </row>
    <row r="3535" spans="1:6" ht="14.1" customHeight="1" x14ac:dyDescent="0.25">
      <c r="A3535" s="94" t="s">
        <v>9432</v>
      </c>
      <c r="B3535" s="82" t="str">
        <f ca="1">IFERROR(INDEX(UNSPSCDes,MATCH(INDIRECT(ADDRESS(ROW(),COLUMN()-1,4)),UNSPSCCode,0)),IF(INDIRECT(ADDRESS(ROW(),COLUMN()-1,4))="44101707","Unidades de grapadoras",""))</f>
        <v>Unidades de grapadoras</v>
      </c>
      <c r="C3535" s="95" t="str">
        <f>IFERROR(VLOOKUP("UD",'Informacion '!P:Q,2,FALSE),"")</f>
        <v>Unidad</v>
      </c>
      <c r="D3535" s="94">
        <v>75</v>
      </c>
      <c r="E3535" s="84">
        <v>220</v>
      </c>
      <c r="F3535" s="83">
        <f t="shared" ca="1" si="158"/>
        <v>16500</v>
      </c>
    </row>
    <row r="3536" spans="1:6" ht="14.1" customHeight="1" x14ac:dyDescent="0.25">
      <c r="A3536" s="94" t="s">
        <v>9432</v>
      </c>
      <c r="B3536" s="82" t="str">
        <f ca="1">IFERROR(INDEX(UNSPSCDes,MATCH(INDIRECT(ADDRESS(ROW(),COLUMN()-1,4)),UNSPSCCode,0)),IF(INDIRECT(ADDRESS(ROW(),COLUMN()-1,4))="44101707","Unidades de grapadoras",""))</f>
        <v>Unidades de grapadoras</v>
      </c>
      <c r="C3536" s="95" t="str">
        <f>IFERROR(VLOOKUP("UD",'Informacion '!P:Q,2,FALSE),"")</f>
        <v>Unidad</v>
      </c>
      <c r="D3536" s="94">
        <v>150</v>
      </c>
      <c r="E3536" s="84">
        <v>180</v>
      </c>
      <c r="F3536" s="83">
        <f t="shared" ca="1" si="158"/>
        <v>27000</v>
      </c>
    </row>
    <row r="3537" spans="1:6" ht="14.1" customHeight="1" x14ac:dyDescent="0.25">
      <c r="A3537" s="94" t="s">
        <v>16064</v>
      </c>
      <c r="B3537" s="82" t="str">
        <f ca="1">IFERROR(INDEX(UNSPSCDes,MATCH(INDIRECT(ADDRESS(ROW(),COLUMN()-1,4)),UNSPSCCode,0)),IF(INDIRECT(ADDRESS(ROW(),COLUMN()-1,4))="44122107","Grapas",""))</f>
        <v>Grapas</v>
      </c>
      <c r="C3537" s="95" t="str">
        <f>IFERROR(VLOOKUP("UD",'Informacion '!P:Q,2,FALSE),"")</f>
        <v>Unidad</v>
      </c>
      <c r="D3537" s="94">
        <v>300</v>
      </c>
      <c r="E3537" s="84">
        <v>32</v>
      </c>
      <c r="F3537" s="83">
        <f t="shared" ca="1" si="158"/>
        <v>9600</v>
      </c>
    </row>
    <row r="3538" spans="1:6" ht="14.1" customHeight="1" x14ac:dyDescent="0.25">
      <c r="A3538" s="94" t="s">
        <v>19311</v>
      </c>
      <c r="B3538" s="82" t="str">
        <f ca="1">IFERROR(INDEX(UNSPSCDes,MATCH(INDIRECT(ADDRESS(ROW(),COLUMN()-1,4)),UNSPSCCode,0)),IF(INDIRECT(ADDRESS(ROW(),COLUMN()-1,4))="44121706","Lápices de madera",""))</f>
        <v>Lápices de madera</v>
      </c>
      <c r="C3538" s="95" t="str">
        <f>IFERROR(VLOOKUP("UD",'Informacion '!P:Q,2,FALSE),"")</f>
        <v>Unidad</v>
      </c>
      <c r="D3538" s="94">
        <v>500</v>
      </c>
      <c r="E3538" s="84">
        <v>1.68</v>
      </c>
      <c r="F3538" s="83">
        <f t="shared" ca="1" si="158"/>
        <v>840</v>
      </c>
    </row>
    <row r="3539" spans="1:6" ht="14.1" customHeight="1" x14ac:dyDescent="0.25">
      <c r="A3539" s="94" t="s">
        <v>13568</v>
      </c>
      <c r="B3539" s="82" t="str">
        <f ca="1">IFERROR(INDEX(UNSPSCDes,MATCH(INDIRECT(ADDRESS(ROW(),COLUMN()-1,4)),UNSPSCCode,0)),IF(INDIRECT(ADDRESS(ROW(),COLUMN()-1,4))="14111526","Papel libretas o libros de mensajes telefónicos",""))</f>
        <v>Papel libretas o libros de mensajes telefónicos</v>
      </c>
      <c r="C3539" s="95" t="str">
        <f>IFERROR(VLOOKUP("UD",'Informacion '!P:Q,2,FALSE),"")</f>
        <v>Unidad</v>
      </c>
      <c r="D3539" s="94">
        <v>150</v>
      </c>
      <c r="E3539" s="84">
        <v>40</v>
      </c>
      <c r="F3539" s="83">
        <f t="shared" ca="1" si="158"/>
        <v>6000</v>
      </c>
    </row>
    <row r="3540" spans="1:6" ht="14.1" customHeight="1" x14ac:dyDescent="0.25">
      <c r="A3540" s="94" t="s">
        <v>13568</v>
      </c>
      <c r="B3540" s="82" t="str">
        <f ca="1">IFERROR(INDEX(UNSPSCDes,MATCH(INDIRECT(ADDRESS(ROW(),COLUMN()-1,4)),UNSPSCCode,0)),IF(INDIRECT(ADDRESS(ROW(),COLUMN()-1,4))="14111526","Papel libretas o libros de mensajes telefónicos",""))</f>
        <v>Papel libretas o libros de mensajes telefónicos</v>
      </c>
      <c r="C3540" s="95" t="str">
        <f>IFERROR(VLOOKUP("UD",'Informacion '!P:Q,2,FALSE),"")</f>
        <v>Unidad</v>
      </c>
      <c r="D3540" s="94">
        <v>150</v>
      </c>
      <c r="E3540" s="84">
        <v>152</v>
      </c>
      <c r="F3540" s="83">
        <f t="shared" ca="1" si="158"/>
        <v>22800</v>
      </c>
    </row>
    <row r="3541" spans="1:6" ht="14.1" customHeight="1" x14ac:dyDescent="0.25">
      <c r="A3541" s="94" t="s">
        <v>1318</v>
      </c>
      <c r="B3541" s="82" t="str">
        <f ca="1">IFERROR(INDEX(UNSPSCDes,MATCH(INDIRECT(ADDRESS(ROW(),COLUMN()-1,4)),UNSPSCCode,0)),IF(INDIRECT(ADDRESS(ROW(),COLUMN()-1,4))="43232503","Correctores de ortografía",""))</f>
        <v>Correctores de ortografía</v>
      </c>
      <c r="C3541" s="95" t="str">
        <f>IFERROR(VLOOKUP("UD",'Informacion '!P:Q,2,FALSE),"")</f>
        <v>Unidad</v>
      </c>
      <c r="D3541" s="94">
        <v>350</v>
      </c>
      <c r="E3541" s="84">
        <v>13.25</v>
      </c>
      <c r="F3541" s="83">
        <f t="shared" ca="1" si="158"/>
        <v>4637.5</v>
      </c>
    </row>
    <row r="3542" spans="1:6" ht="14.1" customHeight="1" x14ac:dyDescent="0.25">
      <c r="A3542" s="94" t="s">
        <v>13068</v>
      </c>
      <c r="B3542" s="82" t="str">
        <f ca="1">IFERROR(INDEX(UNSPSCDes,MATCH(INDIRECT(ADDRESS(ROW(),COLUMN()-1,4)),UNSPSCCode,0)),IF(INDIRECT(ADDRESS(ROW(),COLUMN()-1,4))="44121627","Marcadores de libros",""))</f>
        <v>Marcadores de libros</v>
      </c>
      <c r="C3542" s="95" t="str">
        <f>IFERROR(VLOOKUP("UD",'Informacion '!P:Q,2,FALSE),"")</f>
        <v>Unidad</v>
      </c>
      <c r="D3542" s="94">
        <v>110</v>
      </c>
      <c r="E3542" s="84">
        <v>40</v>
      </c>
      <c r="F3542" s="83">
        <f t="shared" ca="1" si="158"/>
        <v>4400</v>
      </c>
    </row>
    <row r="3543" spans="1:6" ht="14.1" customHeight="1" x14ac:dyDescent="0.25">
      <c r="A3543" s="94" t="s">
        <v>12718</v>
      </c>
      <c r="B3543" s="82" t="str">
        <f ca="1">IFERROR(INDEX(UNSPSCDes,MATCH(INDIRECT(ADDRESS(ROW(),COLUMN()-1,4)),UNSPSCCode,0)),IF(INDIRECT(ADDRESS(ROW(),COLUMN()-1,4))="43201803","Unidades de disco duro",""))</f>
        <v>Unidades de disco duro</v>
      </c>
      <c r="C3543" s="95" t="str">
        <f>IFERROR(VLOOKUP("UD",'Informacion '!P:Q,2,FALSE),"")</f>
        <v>Unidad</v>
      </c>
      <c r="D3543" s="94">
        <v>60</v>
      </c>
      <c r="E3543" s="84">
        <v>450</v>
      </c>
      <c r="F3543" s="83">
        <f t="shared" ca="1" si="158"/>
        <v>27000</v>
      </c>
    </row>
    <row r="3544" spans="1:6" ht="14.1" customHeight="1" x14ac:dyDescent="0.25">
      <c r="A3544" s="94" t="s">
        <v>12718</v>
      </c>
      <c r="B3544" s="82" t="str">
        <f ca="1">IFERROR(INDEX(UNSPSCDes,MATCH(INDIRECT(ADDRESS(ROW(),COLUMN()-1,4)),UNSPSCCode,0)),IF(INDIRECT(ADDRESS(ROW(),COLUMN()-1,4))="43201803","Unidades de disco duro",""))</f>
        <v>Unidades de disco duro</v>
      </c>
      <c r="C3544" s="95" t="str">
        <f>IFERROR(VLOOKUP("UD",'Informacion '!P:Q,2,FALSE),"")</f>
        <v>Unidad</v>
      </c>
      <c r="D3544" s="94">
        <v>80</v>
      </c>
      <c r="E3544" s="84">
        <v>210</v>
      </c>
      <c r="F3544" s="83">
        <f t="shared" ca="1" si="158"/>
        <v>16800</v>
      </c>
    </row>
    <row r="3545" spans="1:6" ht="14.1" customHeight="1" x14ac:dyDescent="0.25">
      <c r="A3545" s="94" t="s">
        <v>2058</v>
      </c>
      <c r="B3545" s="82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545" s="95" t="str">
        <f>IFERROR(VLOOKUP("UD",'Informacion '!P:Q,2,FALSE),"")</f>
        <v>Unidad</v>
      </c>
      <c r="D3545" s="94">
        <v>700</v>
      </c>
      <c r="E3545" s="84">
        <v>165</v>
      </c>
      <c r="F3545" s="83">
        <f t="shared" ca="1" si="158"/>
        <v>115500</v>
      </c>
    </row>
    <row r="3546" spans="1:6" ht="14.1" customHeight="1" x14ac:dyDescent="0.25">
      <c r="A3546" s="94" t="s">
        <v>2058</v>
      </c>
      <c r="B3546" s="82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546" s="95" t="str">
        <f>IFERROR(VLOOKUP("UD",'Informacion '!P:Q,2,FALSE),"")</f>
        <v>Unidad</v>
      </c>
      <c r="D3546" s="94">
        <v>600</v>
      </c>
      <c r="E3546" s="84">
        <v>165</v>
      </c>
      <c r="F3546" s="83">
        <f t="shared" ca="1" si="158"/>
        <v>99000</v>
      </c>
    </row>
    <row r="3547" spans="1:6" ht="14.1" customHeight="1" x14ac:dyDescent="0.25">
      <c r="A3547" s="94" t="s">
        <v>5262</v>
      </c>
      <c r="B3547" s="82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3547" s="95" t="str">
        <f>IFERROR(VLOOKUP("UD",'Informacion '!P:Q,2,FALSE),"")</f>
        <v>Unidad</v>
      </c>
      <c r="D3547" s="94">
        <v>90</v>
      </c>
      <c r="E3547" s="84">
        <v>128.81</v>
      </c>
      <c r="F3547" s="83">
        <f t="shared" ca="1" si="158"/>
        <v>11592.9</v>
      </c>
    </row>
    <row r="3548" spans="1:6" ht="14.1" customHeight="1" x14ac:dyDescent="0.25">
      <c r="A3548" s="94" t="s">
        <v>5262</v>
      </c>
      <c r="B3548" s="82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3548" s="95" t="str">
        <f>IFERROR(VLOOKUP("UD",'Informacion '!P:Q,2,FALSE),"")</f>
        <v>Unidad</v>
      </c>
      <c r="D3548" s="94">
        <v>64</v>
      </c>
      <c r="E3548" s="84">
        <v>163.35</v>
      </c>
      <c r="F3548" s="83">
        <f t="shared" ca="1" si="158"/>
        <v>10454.4</v>
      </c>
    </row>
    <row r="3549" spans="1:6" ht="14.1" customHeight="1" x14ac:dyDescent="0.25">
      <c r="A3549" s="94" t="s">
        <v>5228</v>
      </c>
      <c r="B3549" s="82" t="str">
        <f ca="1">IFERROR(INDEX(UNSPSCDes,MATCH(INDIRECT(ADDRESS(ROW(),COLUMN()-1,4)),UNSPSCCode,0)),IF(INDIRECT(ADDRESS(ROW(),COLUMN()-1,4))="11111606","Pizarra",""))</f>
        <v>Pizarra</v>
      </c>
      <c r="C3549" s="95" t="str">
        <f>IFERROR(VLOOKUP("UD",'Informacion '!P:Q,2,FALSE),"")</f>
        <v>Unidad</v>
      </c>
      <c r="D3549" s="94">
        <v>100</v>
      </c>
      <c r="E3549" s="84">
        <v>390</v>
      </c>
      <c r="F3549" s="83">
        <f t="shared" ca="1" si="158"/>
        <v>39000</v>
      </c>
    </row>
    <row r="3550" spans="1:6" ht="14.1" customHeight="1" x14ac:dyDescent="0.25">
      <c r="A3550" s="94" t="s">
        <v>16029</v>
      </c>
      <c r="B3550" s="82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3550" s="95" t="str">
        <f>IFERROR(VLOOKUP("UD",'Informacion '!P:Q,2,FALSE),"")</f>
        <v>Unidad</v>
      </c>
      <c r="D3550" s="94">
        <v>98</v>
      </c>
      <c r="E3550" s="84">
        <v>50</v>
      </c>
      <c r="F3550" s="83">
        <f t="shared" ca="1" si="158"/>
        <v>4900</v>
      </c>
    </row>
    <row r="3551" spans="1:6" ht="14.1" customHeight="1" x14ac:dyDescent="0.25">
      <c r="A3551" s="94" t="s">
        <v>1237</v>
      </c>
      <c r="B3551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3551" s="95" t="str">
        <f>IFERROR(VLOOKUP("UD",'Informacion '!P:Q,2,FALSE),"")</f>
        <v>Unidad</v>
      </c>
      <c r="D3551" s="94">
        <v>110</v>
      </c>
      <c r="E3551" s="84">
        <v>65</v>
      </c>
      <c r="F3551" s="83">
        <f t="shared" ca="1" si="158"/>
        <v>7150</v>
      </c>
    </row>
    <row r="3552" spans="1:6" ht="14.1" customHeight="1" x14ac:dyDescent="0.25">
      <c r="A3552" s="94" t="s">
        <v>17912</v>
      </c>
      <c r="B3552" s="82" t="str">
        <f ca="1">IFERROR(INDEX(UNSPSCDes,MATCH(INDIRECT(ADDRESS(ROW(),COLUMN()-1,4)),UNSPSCCode,0)),IF(INDIRECT(ADDRESS(ROW(),COLUMN()-1,4))="55121606","Etiquetas auto adhesivas",""))</f>
        <v>Etiquetas auto adhesivas</v>
      </c>
      <c r="C3552" s="95" t="str">
        <f>IFERROR(VLOOKUP("UD",'Informacion '!P:Q,2,FALSE),"")</f>
        <v>Unidad</v>
      </c>
      <c r="D3552" s="94">
        <v>530</v>
      </c>
      <c r="E3552" s="84">
        <v>7.5</v>
      </c>
      <c r="F3552" s="83">
        <f t="shared" ca="1" si="158"/>
        <v>3975</v>
      </c>
    </row>
    <row r="3553" spans="1:10" ht="14.1" customHeight="1" x14ac:dyDescent="0.25">
      <c r="A3553" s="94" t="s">
        <v>17912</v>
      </c>
      <c r="B3553" s="82" t="str">
        <f ca="1">IFERROR(INDEX(UNSPSCDes,MATCH(INDIRECT(ADDRESS(ROW(),COLUMN()-1,4)),UNSPSCCode,0)),IF(INDIRECT(ADDRESS(ROW(),COLUMN()-1,4))="55121606","Etiquetas auto adhesivas",""))</f>
        <v>Etiquetas auto adhesivas</v>
      </c>
      <c r="C3553" s="95" t="str">
        <f>IFERROR(VLOOKUP("UD",'Informacion '!P:Q,2,FALSE),"")</f>
        <v>Unidad</v>
      </c>
      <c r="D3553" s="94">
        <v>350</v>
      </c>
      <c r="E3553" s="84">
        <v>8.56</v>
      </c>
      <c r="F3553" s="83">
        <f t="shared" ca="1" si="158"/>
        <v>2996</v>
      </c>
    </row>
    <row r="3554" spans="1:10" ht="14.1" customHeight="1" x14ac:dyDescent="0.25">
      <c r="A3554" s="94" t="s">
        <v>17912</v>
      </c>
      <c r="B3554" s="82" t="str">
        <f ca="1">IFERROR(INDEX(UNSPSCDes,MATCH(INDIRECT(ADDRESS(ROW(),COLUMN()-1,4)),UNSPSCCode,0)),IF(INDIRECT(ADDRESS(ROW(),COLUMN()-1,4))="55121606","Etiquetas auto adhesivas",""))</f>
        <v>Etiquetas auto adhesivas</v>
      </c>
      <c r="C3554" s="95" t="str">
        <f>IFERROR(VLOOKUP("UD",'Informacion '!P:Q,2,FALSE),"")</f>
        <v>Unidad</v>
      </c>
      <c r="D3554" s="94">
        <v>550</v>
      </c>
      <c r="E3554" s="84">
        <v>10</v>
      </c>
      <c r="F3554" s="83">
        <f t="shared" ca="1" si="158"/>
        <v>5500</v>
      </c>
    </row>
    <row r="3555" spans="1:10" ht="14.1" customHeight="1" x14ac:dyDescent="0.25">
      <c r="A3555" s="94" t="s">
        <v>17912</v>
      </c>
      <c r="B3555" s="82" t="str">
        <f ca="1">IFERROR(INDEX(UNSPSCDes,MATCH(INDIRECT(ADDRESS(ROW(),COLUMN()-1,4)),UNSPSCCode,0)),IF(INDIRECT(ADDRESS(ROW(),COLUMN()-1,4))="55121606","Etiquetas auto adhesivas",""))</f>
        <v>Etiquetas auto adhesivas</v>
      </c>
      <c r="C3555" s="95" t="str">
        <f>IFERROR(VLOOKUP("UD",'Informacion '!P:Q,2,FALSE),"")</f>
        <v>Unidad</v>
      </c>
      <c r="D3555" s="94">
        <v>80</v>
      </c>
      <c r="E3555" s="84">
        <v>1.02</v>
      </c>
      <c r="F3555" s="83">
        <f t="shared" ca="1" si="158"/>
        <v>81.599999999999994</v>
      </c>
    </row>
    <row r="3556" spans="1:10" ht="14.1" customHeight="1" x14ac:dyDescent="0.25">
      <c r="A3556" s="94" t="s">
        <v>19772</v>
      </c>
      <c r="B3556" s="82" t="str">
        <f ca="1">IFERROR(INDEX(UNSPSCDes,MATCH(INDIRECT(ADDRESS(ROW(),COLUMN()-1,4)),UNSPSCCode,0)),IF(INDIRECT(ADDRESS(ROW(),COLUMN()-1,4))="44122010","Separadores",""))</f>
        <v>Separadores</v>
      </c>
      <c r="C3556" s="95" t="str">
        <f>IFERROR(VLOOKUP("UD",'Informacion '!P:Q,2,FALSE),"")</f>
        <v>Unidad</v>
      </c>
      <c r="D3556" s="94">
        <v>350</v>
      </c>
      <c r="E3556" s="84">
        <v>2.2999999999999998</v>
      </c>
      <c r="F3556" s="83">
        <f t="shared" ca="1" si="158"/>
        <v>804.99999999999989</v>
      </c>
    </row>
    <row r="3557" spans="1:10" ht="14.1" customHeight="1" x14ac:dyDescent="0.25">
      <c r="A3557" s="94" t="s">
        <v>9221</v>
      </c>
      <c r="B3557" s="82" t="str">
        <f ca="1">IFERROR(INDEX(UNSPSCDes,MATCH(INDIRECT(ADDRESS(ROW(),COLUMN()-1,4)),UNSPSCCode,0)),IF(INDIRECT(ADDRESS(ROW(),COLUMN()-1,4))="44121503","Sobres",""))</f>
        <v>Sobres</v>
      </c>
      <c r="C3557" s="95" t="str">
        <f>IFERROR(VLOOKUP("UD",'Informacion '!P:Q,2,FALSE),"")</f>
        <v>Unidad</v>
      </c>
      <c r="D3557" s="94">
        <v>10000</v>
      </c>
      <c r="E3557" s="84">
        <v>0.66</v>
      </c>
      <c r="F3557" s="83">
        <f t="shared" ca="1" si="158"/>
        <v>6600</v>
      </c>
    </row>
    <row r="3558" spans="1:10" ht="14.1" customHeight="1" x14ac:dyDescent="0.25">
      <c r="A3558" s="94" t="s">
        <v>7136</v>
      </c>
      <c r="B3558" s="82" t="str">
        <f ca="1">IFERROR(INDEX(UNSPSCDes,MATCH(INDIRECT(ADDRESS(ROW(),COLUMN()-1,4)),UNSPSCCode,0)),IF(INDIRECT(ADDRESS(ROW(),COLUMN()-1,4))="44121618","Tijeras",""))</f>
        <v>Tijeras</v>
      </c>
      <c r="C3558" s="95" t="str">
        <f>IFERROR(VLOOKUP("UD",'Informacion '!P:Q,2,FALSE),"")</f>
        <v>Unidad</v>
      </c>
      <c r="D3558" s="94">
        <v>250</v>
      </c>
      <c r="E3558" s="84">
        <v>90</v>
      </c>
      <c r="F3558" s="83">
        <f t="shared" ca="1" si="158"/>
        <v>22500</v>
      </c>
    </row>
    <row r="3559" spans="1:10" ht="14.1" customHeight="1" x14ac:dyDescent="0.25">
      <c r="A3559" s="94" t="s">
        <v>4422</v>
      </c>
      <c r="B3559" s="82" t="str">
        <f ca="1">IFERROR(INDEX(UNSPSCDes,MATCH(INDIRECT(ADDRESS(ROW(),COLUMN()-1,4)),UNSPSCCode,0)),IF(INDIRECT(ADDRESS(ROW(),COLUMN()-1,4))="44103111","Rollos de tinta",""))</f>
        <v>Rollos de tinta</v>
      </c>
      <c r="C3559" s="95" t="str">
        <f>IFERROR(VLOOKUP("UD",'Informacion '!P:Q,2,FALSE),"")</f>
        <v>Unidad</v>
      </c>
      <c r="D3559" s="94">
        <v>20</v>
      </c>
      <c r="E3559" s="84">
        <v>75</v>
      </c>
      <c r="F3559" s="83">
        <f t="shared" ca="1" si="158"/>
        <v>1500</v>
      </c>
    </row>
    <row r="3560" spans="1:10" ht="14.1" customHeight="1" x14ac:dyDescent="0.25">
      <c r="E3560" s="96" t="s">
        <v>7213</v>
      </c>
      <c r="F3560" s="87">
        <f ca="1">SUM(Table112[MONTO TOTAL ESTIMADO])</f>
        <v>1033544.6</v>
      </c>
      <c r="H3560" s="39" t="str">
        <f>C3509</f>
        <v>Bienes</v>
      </c>
      <c r="I3560" s="39" t="str">
        <f>E3509</f>
        <v>No</v>
      </c>
      <c r="J3560" s="39" t="str">
        <f>D3509</f>
        <v>Comparacion de Precios</v>
      </c>
    </row>
    <row r="3562" spans="1:10" ht="33.950000000000003" customHeight="1" x14ac:dyDescent="0.25">
      <c r="A3562" s="77" t="s">
        <v>17233</v>
      </c>
      <c r="B3562" s="77" t="s">
        <v>4237</v>
      </c>
      <c r="C3562" s="77" t="s">
        <v>4743</v>
      </c>
      <c r="D3562" s="77" t="s">
        <v>9891</v>
      </c>
      <c r="E3562" s="77" t="s">
        <v>3089</v>
      </c>
      <c r="F3562" s="77" t="s">
        <v>18141</v>
      </c>
    </row>
    <row r="3563" spans="1:10" ht="14.1" customHeight="1" x14ac:dyDescent="0.25">
      <c r="A3563" s="79" t="s">
        <v>6665</v>
      </c>
      <c r="B3563" s="79" t="s">
        <v>8759</v>
      </c>
      <c r="C3563" s="79" t="s">
        <v>17215</v>
      </c>
      <c r="D3563" s="79" t="s">
        <v>15249</v>
      </c>
      <c r="E3563" s="79" t="s">
        <v>18247</v>
      </c>
      <c r="F3563" s="79"/>
    </row>
    <row r="3564" spans="1:10" ht="14.1" customHeight="1" x14ac:dyDescent="0.25">
      <c r="A3564" s="2" t="s">
        <v>6643</v>
      </c>
      <c r="B3564" s="80" t="s">
        <v>1046</v>
      </c>
      <c r="C3564" s="90">
        <v>43648</v>
      </c>
      <c r="D3564" s="2" t="s">
        <v>59</v>
      </c>
      <c r="E3564" s="92" t="s">
        <v>20066</v>
      </c>
      <c r="F3564" s="93"/>
    </row>
    <row r="3565" spans="1:10" ht="14.1" customHeight="1" x14ac:dyDescent="0.25">
      <c r="A3565" s="1"/>
      <c r="B3565" s="80" t="s">
        <v>10788</v>
      </c>
      <c r="C3565" s="91">
        <f>IF(C3564="","",IF(AND(MONTH(C3564)&gt;=1,MONTH(C3564)&lt;=3),1,IF(AND(MONTH(C3564)&gt;=4,MONTH(C3564)&lt;=6),2,IF(AND(MONTH(C3564)&gt;=7,MONTH(C3564)&lt;=9),3,4))))</f>
        <v>3</v>
      </c>
      <c r="D3565" s="1"/>
      <c r="E3565" s="92" t="s">
        <v>14822</v>
      </c>
      <c r="F3565" s="93"/>
    </row>
    <row r="3566" spans="1:10" ht="14.1" customHeight="1" x14ac:dyDescent="0.25">
      <c r="A3566" s="1"/>
      <c r="B3566" s="80" t="s">
        <v>13758</v>
      </c>
      <c r="C3566" s="90">
        <v>43735</v>
      </c>
      <c r="D3566" s="1"/>
      <c r="E3566" s="92" t="s">
        <v>18636</v>
      </c>
      <c r="F3566" s="93"/>
    </row>
    <row r="3567" spans="1:10" ht="14.1" customHeight="1" x14ac:dyDescent="0.25">
      <c r="A3567" s="1"/>
      <c r="B3567" s="80" t="s">
        <v>10788</v>
      </c>
      <c r="C3567" s="91">
        <f>IF(C3566="","",IF(AND(MONTH(C3566)&gt;=1,MONTH(C3566)&lt;=3),1,IF(AND(MONTH(C3566)&gt;=4,MONTH(C3566)&lt;=6),2,IF(AND(MONTH(C3566)&gt;=7,MONTH(C3566)&lt;=9),3,4))))</f>
        <v>3</v>
      </c>
      <c r="D3567" s="1"/>
      <c r="E3567" s="92" t="s">
        <v>15990</v>
      </c>
      <c r="F3567" s="93"/>
    </row>
    <row r="3569" spans="1:6" ht="14.1" customHeight="1" x14ac:dyDescent="0.25">
      <c r="A3569" s="85" t="s">
        <v>15474</v>
      </c>
      <c r="B3569" s="85" t="s">
        <v>5027</v>
      </c>
      <c r="C3569" s="85" t="s">
        <v>17461</v>
      </c>
      <c r="D3569" s="85" t="s">
        <v>3935</v>
      </c>
      <c r="E3569" s="85" t="s">
        <v>10722</v>
      </c>
      <c r="F3569" s="85" t="s">
        <v>18237</v>
      </c>
    </row>
    <row r="3570" spans="1:6" ht="14.1" customHeight="1" x14ac:dyDescent="0.25">
      <c r="A3570" s="94" t="s">
        <v>8264</v>
      </c>
      <c r="B3570" s="82" t="str">
        <f ca="1">IFERROR(INDEX(UNSPSCDes,MATCH(INDIRECT(ADDRESS(ROW(),COLUMN()-1,4)),UNSPSCCode,0)),IF(INDIRECT(ADDRESS(ROW(),COLUMN()-1,4))="44121701","Bolígrafos",""))</f>
        <v>Bolígrafos</v>
      </c>
      <c r="C3570" s="95" t="str">
        <f>IFERROR(VLOOKUP("UD",'Informacion '!P:Q,2,FALSE),"")</f>
        <v>Unidad</v>
      </c>
      <c r="D3570" s="94">
        <v>500</v>
      </c>
      <c r="E3570" s="84">
        <v>5</v>
      </c>
      <c r="F3570" s="83">
        <f t="shared" ref="F3570:F3587" ca="1" si="160">INDIRECT(ADDRESS(ROW(),COLUMN()-2,4))*INDIRECT(ADDRESS(ROW(),COLUMN()-1,4))</f>
        <v>2500</v>
      </c>
    </row>
    <row r="3571" spans="1:6" ht="14.1" customHeight="1" x14ac:dyDescent="0.25">
      <c r="A3571" s="94" t="s">
        <v>8264</v>
      </c>
      <c r="B3571" s="82" t="str">
        <f ca="1">IFERROR(INDEX(UNSPSCDes,MATCH(INDIRECT(ADDRESS(ROW(),COLUMN()-1,4)),UNSPSCCode,0)),IF(INDIRECT(ADDRESS(ROW(),COLUMN()-1,4))="44121701","Bolígrafos",""))</f>
        <v>Bolígrafos</v>
      </c>
      <c r="C3571" s="95" t="str">
        <f>IFERROR(VLOOKUP("UD",'Informacion '!P:Q,2,FALSE),"")</f>
        <v>Unidad</v>
      </c>
      <c r="D3571" s="94">
        <v>300</v>
      </c>
      <c r="E3571" s="84">
        <v>5</v>
      </c>
      <c r="F3571" s="83">
        <f t="shared" ca="1" si="160"/>
        <v>1500</v>
      </c>
    </row>
    <row r="3572" spans="1:6" ht="14.1" customHeight="1" x14ac:dyDescent="0.25">
      <c r="A3572" s="94" t="s">
        <v>9471</v>
      </c>
      <c r="B3572" s="82" t="str">
        <f ca="1">IFERROR(INDEX(UNSPSCDes,MATCH(INDIRECT(ADDRESS(ROW(),COLUMN()-1,4)),UNSPSCCode,0)),IF(INDIRECT(ADDRESS(ROW(),COLUMN()-1,4))="44122003","Carpetas",""))</f>
        <v>Carpetas</v>
      </c>
      <c r="C3572" s="95" t="str">
        <f>IFERROR(VLOOKUP("UD",'Informacion '!P:Q,2,FALSE),"")</f>
        <v>Unidad</v>
      </c>
      <c r="D3572" s="94">
        <v>100</v>
      </c>
      <c r="E3572" s="84">
        <v>37</v>
      </c>
      <c r="F3572" s="83">
        <f t="shared" ca="1" si="160"/>
        <v>3700</v>
      </c>
    </row>
    <row r="3573" spans="1:6" ht="14.1" customHeight="1" x14ac:dyDescent="0.25">
      <c r="A3573" s="94" t="s">
        <v>9471</v>
      </c>
      <c r="B3573" s="82" t="str">
        <f ca="1">IFERROR(INDEX(UNSPSCDes,MATCH(INDIRECT(ADDRESS(ROW(),COLUMN()-1,4)),UNSPSCCode,0)),IF(INDIRECT(ADDRESS(ROW(),COLUMN()-1,4))="44122003","Carpetas",""))</f>
        <v>Carpetas</v>
      </c>
      <c r="C3573" s="95" t="str">
        <f>IFERROR(VLOOKUP("UD",'Informacion '!P:Q,2,FALSE),"")</f>
        <v>Unidad</v>
      </c>
      <c r="D3573" s="94">
        <v>100</v>
      </c>
      <c r="E3573" s="84">
        <v>40</v>
      </c>
      <c r="F3573" s="83">
        <f t="shared" ca="1" si="160"/>
        <v>4000</v>
      </c>
    </row>
    <row r="3574" spans="1:6" ht="14.1" customHeight="1" x14ac:dyDescent="0.25">
      <c r="A3574" s="94" t="s">
        <v>12615</v>
      </c>
      <c r="B3574" s="82" t="str">
        <f ca="1">IFERROR(INDEX(UNSPSCDes,MATCH(INDIRECT(ADDRESS(ROW(),COLUMN()-1,4)),UNSPSCCode,0)),IF(INDIRECT(ADDRESS(ROW(),COLUMN()-1,4))="31201512","Cinta transparente",""))</f>
        <v>Cinta transparente</v>
      </c>
      <c r="C3574" s="95" t="str">
        <f>IFERROR(VLOOKUP("UD",'Informacion '!P:Q,2,FALSE),"")</f>
        <v>Unidad</v>
      </c>
      <c r="D3574" s="94">
        <v>200</v>
      </c>
      <c r="E3574" s="84">
        <v>40</v>
      </c>
      <c r="F3574" s="83">
        <f t="shared" ca="1" si="160"/>
        <v>8000</v>
      </c>
    </row>
    <row r="3575" spans="1:6" ht="14.1" customHeight="1" x14ac:dyDescent="0.25">
      <c r="A3575" s="94" t="s">
        <v>4861</v>
      </c>
      <c r="B3575" s="82" t="str">
        <f ca="1">IFERROR(INDEX(UNSPSCDes,MATCH(INDIRECT(ADDRESS(ROW(),COLUMN()-1,4)),UNSPSCCode,0)),IF(INDIRECT(ADDRESS(ROW(),COLUMN()-1,4))="44122011","Folders",""))</f>
        <v>Folders</v>
      </c>
      <c r="C3575" s="95" t="str">
        <f>IFERROR(VLOOKUP("UD",'Informacion '!P:Q,2,FALSE),"")</f>
        <v>Unidad</v>
      </c>
      <c r="D3575" s="94">
        <v>300</v>
      </c>
      <c r="E3575" s="84">
        <v>150</v>
      </c>
      <c r="F3575" s="83">
        <f t="shared" ca="1" si="160"/>
        <v>45000</v>
      </c>
    </row>
    <row r="3576" spans="1:6" ht="14.1" customHeight="1" x14ac:dyDescent="0.25">
      <c r="A3576" s="94" t="s">
        <v>4861</v>
      </c>
      <c r="B3576" s="82" t="str">
        <f ca="1">IFERROR(INDEX(UNSPSCDes,MATCH(INDIRECT(ADDRESS(ROW(),COLUMN()-1,4)),UNSPSCCode,0)),IF(INDIRECT(ADDRESS(ROW(),COLUMN()-1,4))="44122011","Folders",""))</f>
        <v>Folders</v>
      </c>
      <c r="C3576" s="95" t="str">
        <f>IFERROR(VLOOKUP("UD",'Informacion '!P:Q,2,FALSE),"")</f>
        <v>Unidad</v>
      </c>
      <c r="D3576" s="94">
        <v>1900</v>
      </c>
      <c r="E3576" s="84">
        <v>180</v>
      </c>
      <c r="F3576" s="83">
        <f t="shared" ca="1" si="160"/>
        <v>342000</v>
      </c>
    </row>
    <row r="3577" spans="1:6" ht="14.1" customHeight="1" x14ac:dyDescent="0.25">
      <c r="A3577" s="94" t="s">
        <v>7733</v>
      </c>
      <c r="B3577" s="82" t="str">
        <f ca="1">IFERROR(INDEX(UNSPSCDes,MATCH(INDIRECT(ADDRESS(ROW(),COLUMN()-1,4)),UNSPSCCode,0)),IF(INDIRECT(ADDRESS(ROW(),COLUMN()-1,4))="60121535","Borradores de goma",""))</f>
        <v>Borradores de goma</v>
      </c>
      <c r="C3577" s="95" t="str">
        <f>IFERROR(VLOOKUP("UD",'Informacion '!P:Q,2,FALSE),"")</f>
        <v>Unidad</v>
      </c>
      <c r="D3577" s="94">
        <v>800</v>
      </c>
      <c r="E3577" s="84">
        <v>11.57</v>
      </c>
      <c r="F3577" s="83">
        <f t="shared" ca="1" si="160"/>
        <v>9256</v>
      </c>
    </row>
    <row r="3578" spans="1:6" ht="14.1" customHeight="1" x14ac:dyDescent="0.25">
      <c r="A3578" s="94" t="s">
        <v>16064</v>
      </c>
      <c r="B3578" s="82" t="str">
        <f ca="1">IFERROR(INDEX(UNSPSCDes,MATCH(INDIRECT(ADDRESS(ROW(),COLUMN()-1,4)),UNSPSCCode,0)),IF(INDIRECT(ADDRESS(ROW(),COLUMN()-1,4))="44122107","Grapas",""))</f>
        <v>Grapas</v>
      </c>
      <c r="C3578" s="95" t="str">
        <f>IFERROR(VLOOKUP("UD",'Informacion '!P:Q,2,FALSE),"")</f>
        <v>Unidad</v>
      </c>
      <c r="D3578" s="94">
        <v>400</v>
      </c>
      <c r="E3578" s="84">
        <v>32</v>
      </c>
      <c r="F3578" s="83">
        <f t="shared" ca="1" si="160"/>
        <v>12800</v>
      </c>
    </row>
    <row r="3579" spans="1:6" ht="14.1" customHeight="1" x14ac:dyDescent="0.25">
      <c r="A3579" s="94" t="s">
        <v>19311</v>
      </c>
      <c r="B3579" s="82" t="str">
        <f ca="1">IFERROR(INDEX(UNSPSCDes,MATCH(INDIRECT(ADDRESS(ROW(),COLUMN()-1,4)),UNSPSCCode,0)),IF(INDIRECT(ADDRESS(ROW(),COLUMN()-1,4))="44121706","Lápices de madera",""))</f>
        <v>Lápices de madera</v>
      </c>
      <c r="C3579" s="95" t="str">
        <f>IFERROR(VLOOKUP("UD",'Informacion '!P:Q,2,FALSE),"")</f>
        <v>Unidad</v>
      </c>
      <c r="D3579" s="94">
        <v>200</v>
      </c>
      <c r="E3579" s="84">
        <v>1.68</v>
      </c>
      <c r="F3579" s="83">
        <f t="shared" ca="1" si="160"/>
        <v>336</v>
      </c>
    </row>
    <row r="3580" spans="1:6" ht="14.1" customHeight="1" x14ac:dyDescent="0.25">
      <c r="A3580" s="94" t="s">
        <v>1318</v>
      </c>
      <c r="B3580" s="82" t="str">
        <f ca="1">IFERROR(INDEX(UNSPSCDes,MATCH(INDIRECT(ADDRESS(ROW(),COLUMN()-1,4)),UNSPSCCode,0)),IF(INDIRECT(ADDRESS(ROW(),COLUMN()-1,4))="43232503","Correctores de ortografía",""))</f>
        <v>Correctores de ortografía</v>
      </c>
      <c r="C3580" s="95" t="str">
        <f>IFERROR(VLOOKUP("UD",'Informacion '!P:Q,2,FALSE),"")</f>
        <v>Unidad</v>
      </c>
      <c r="D3580" s="94">
        <v>200</v>
      </c>
      <c r="E3580" s="84">
        <v>13.25</v>
      </c>
      <c r="F3580" s="83">
        <f t="shared" ca="1" si="160"/>
        <v>2650</v>
      </c>
    </row>
    <row r="3581" spans="1:6" ht="14.1" customHeight="1" x14ac:dyDescent="0.25">
      <c r="A3581" s="94" t="s">
        <v>2058</v>
      </c>
      <c r="B3581" s="82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581" s="95" t="str">
        <f>IFERROR(VLOOKUP("RESMA",'Informacion '!P:Q,2,FALSE),"")</f>
        <v>Resma</v>
      </c>
      <c r="D3581" s="94">
        <v>500</v>
      </c>
      <c r="E3581" s="84">
        <v>165</v>
      </c>
      <c r="F3581" s="83">
        <f t="shared" ca="1" si="160"/>
        <v>82500</v>
      </c>
    </row>
    <row r="3582" spans="1:6" ht="14.1" customHeight="1" x14ac:dyDescent="0.25">
      <c r="A3582" s="94" t="s">
        <v>2058</v>
      </c>
      <c r="B3582" s="82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582" s="95" t="str">
        <f>IFERROR(VLOOKUP("RESMA",'Informacion '!P:Q,2,FALSE),"")</f>
        <v>Resma</v>
      </c>
      <c r="D3582" s="94">
        <v>500</v>
      </c>
      <c r="E3582" s="84">
        <v>165</v>
      </c>
      <c r="F3582" s="83">
        <f t="shared" ca="1" si="160"/>
        <v>82500</v>
      </c>
    </row>
    <row r="3583" spans="1:6" ht="14.1" customHeight="1" x14ac:dyDescent="0.25">
      <c r="A3583" s="94" t="s">
        <v>17912</v>
      </c>
      <c r="B3583" s="82" t="str">
        <f ca="1">IFERROR(INDEX(UNSPSCDes,MATCH(INDIRECT(ADDRESS(ROW(),COLUMN()-1,4)),UNSPSCCode,0)),IF(INDIRECT(ADDRESS(ROW(),COLUMN()-1,4))="55121606","Etiquetas auto adhesivas",""))</f>
        <v>Etiquetas auto adhesivas</v>
      </c>
      <c r="C3583" s="95" t="str">
        <f>IFERROR(VLOOKUP("UD",'Informacion '!P:Q,2,FALSE),"")</f>
        <v>Unidad</v>
      </c>
      <c r="D3583" s="94">
        <v>380</v>
      </c>
      <c r="E3583" s="84">
        <v>7.5</v>
      </c>
      <c r="F3583" s="83">
        <f t="shared" ca="1" si="160"/>
        <v>2850</v>
      </c>
    </row>
    <row r="3584" spans="1:6" ht="14.1" customHeight="1" x14ac:dyDescent="0.25">
      <c r="A3584" s="94" t="s">
        <v>17912</v>
      </c>
      <c r="B3584" s="82" t="str">
        <f ca="1">IFERROR(INDEX(UNSPSCDes,MATCH(INDIRECT(ADDRESS(ROW(),COLUMN()-1,4)),UNSPSCCode,0)),IF(INDIRECT(ADDRESS(ROW(),COLUMN()-1,4))="55121606","Etiquetas auto adhesivas",""))</f>
        <v>Etiquetas auto adhesivas</v>
      </c>
      <c r="C3584" s="95" t="str">
        <f>IFERROR(VLOOKUP("UD",'Informacion '!P:Q,2,FALSE),"")</f>
        <v>Unidad</v>
      </c>
      <c r="D3584" s="94">
        <v>200</v>
      </c>
      <c r="E3584" s="84">
        <v>8.56</v>
      </c>
      <c r="F3584" s="83">
        <f t="shared" ca="1" si="160"/>
        <v>1712</v>
      </c>
    </row>
    <row r="3585" spans="1:10" ht="14.1" customHeight="1" x14ac:dyDescent="0.25">
      <c r="A3585" s="94" t="s">
        <v>17912</v>
      </c>
      <c r="B3585" s="82" t="str">
        <f ca="1">IFERROR(INDEX(UNSPSCDes,MATCH(INDIRECT(ADDRESS(ROW(),COLUMN()-1,4)),UNSPSCCode,0)),IF(INDIRECT(ADDRESS(ROW(),COLUMN()-1,4))="55121606","Etiquetas auto adhesivas",""))</f>
        <v>Etiquetas auto adhesivas</v>
      </c>
      <c r="C3585" s="95" t="str">
        <f>IFERROR(VLOOKUP("UD",'Informacion '!P:Q,2,FALSE),"")</f>
        <v>Unidad</v>
      </c>
      <c r="D3585" s="94">
        <v>400</v>
      </c>
      <c r="E3585" s="84">
        <v>10</v>
      </c>
      <c r="F3585" s="83">
        <f t="shared" ca="1" si="160"/>
        <v>4000</v>
      </c>
    </row>
    <row r="3586" spans="1:10" ht="14.1" customHeight="1" x14ac:dyDescent="0.25">
      <c r="A3586" s="94" t="s">
        <v>19772</v>
      </c>
      <c r="B3586" s="82" t="str">
        <f ca="1">IFERROR(INDEX(UNSPSCDes,MATCH(INDIRECT(ADDRESS(ROW(),COLUMN()-1,4)),UNSPSCCode,0)),IF(INDIRECT(ADDRESS(ROW(),COLUMN()-1,4))="44122010","Separadores",""))</f>
        <v>Separadores</v>
      </c>
      <c r="C3586" s="95" t="str">
        <f>IFERROR(VLOOKUP("UD",'Informacion '!P:Q,2,FALSE),"")</f>
        <v>Unidad</v>
      </c>
      <c r="D3586" s="94">
        <v>200</v>
      </c>
      <c r="E3586" s="84">
        <v>2.2999999999999998</v>
      </c>
      <c r="F3586" s="83">
        <f t="shared" ca="1" si="160"/>
        <v>459.99999999999994</v>
      </c>
    </row>
    <row r="3587" spans="1:10" ht="14.1" customHeight="1" x14ac:dyDescent="0.25">
      <c r="A3587" s="94" t="s">
        <v>7136</v>
      </c>
      <c r="B3587" s="82" t="str">
        <f ca="1">IFERROR(INDEX(UNSPSCDes,MATCH(INDIRECT(ADDRESS(ROW(),COLUMN()-1,4)),UNSPSCCode,0)),IF(INDIRECT(ADDRESS(ROW(),COLUMN()-1,4))="44121618","Tijeras",""))</f>
        <v>Tijeras</v>
      </c>
      <c r="C3587" s="95" t="str">
        <f>IFERROR(VLOOKUP("UD",'Informacion '!P:Q,2,FALSE),"")</f>
        <v>Unidad</v>
      </c>
      <c r="D3587" s="94">
        <v>100</v>
      </c>
      <c r="E3587" s="84">
        <v>90</v>
      </c>
      <c r="F3587" s="83">
        <f t="shared" ca="1" si="160"/>
        <v>9000</v>
      </c>
    </row>
    <row r="3588" spans="1:10" ht="14.1" customHeight="1" x14ac:dyDescent="0.25">
      <c r="E3588" s="96" t="s">
        <v>7213</v>
      </c>
      <c r="F3588" s="87">
        <f ca="1">SUM(Table113[MONTO TOTAL ESTIMADO])</f>
        <v>614764</v>
      </c>
      <c r="H3588" s="39" t="str">
        <f>C3563</f>
        <v>Bienes</v>
      </c>
      <c r="I3588" s="39" t="str">
        <f>E3563</f>
        <v>No</v>
      </c>
      <c r="J3588" s="39" t="str">
        <f>D3563</f>
        <v>Comparacion de Precios</v>
      </c>
    </row>
    <row r="3590" spans="1:10" ht="33.950000000000003" customHeight="1" x14ac:dyDescent="0.25">
      <c r="A3590" s="77" t="s">
        <v>17233</v>
      </c>
      <c r="B3590" s="77" t="s">
        <v>4237</v>
      </c>
      <c r="C3590" s="77" t="s">
        <v>4743</v>
      </c>
      <c r="D3590" s="77" t="s">
        <v>9891</v>
      </c>
      <c r="E3590" s="77" t="s">
        <v>3089</v>
      </c>
      <c r="F3590" s="77" t="s">
        <v>18141</v>
      </c>
    </row>
    <row r="3591" spans="1:10" ht="14.1" customHeight="1" x14ac:dyDescent="0.25">
      <c r="A3591" s="79" t="s">
        <v>8388</v>
      </c>
      <c r="B3591" s="79" t="s">
        <v>15452</v>
      </c>
      <c r="C3591" s="79" t="s">
        <v>17215</v>
      </c>
      <c r="D3591" s="79" t="s">
        <v>15249</v>
      </c>
      <c r="E3591" s="79" t="s">
        <v>18247</v>
      </c>
      <c r="F3591" s="79"/>
    </row>
    <row r="3592" spans="1:10" ht="14.1" customHeight="1" x14ac:dyDescent="0.25">
      <c r="A3592" s="2" t="s">
        <v>6643</v>
      </c>
      <c r="B3592" s="80" t="s">
        <v>1046</v>
      </c>
      <c r="C3592" s="90">
        <v>43740</v>
      </c>
      <c r="D3592" s="2" t="s">
        <v>59</v>
      </c>
      <c r="E3592" s="92" t="s">
        <v>20066</v>
      </c>
      <c r="F3592" s="93"/>
    </row>
    <row r="3593" spans="1:10" ht="14.1" customHeight="1" x14ac:dyDescent="0.25">
      <c r="A3593" s="1"/>
      <c r="B3593" s="80" t="s">
        <v>10788</v>
      </c>
      <c r="C3593" s="91">
        <f>IF(C3592="","",IF(AND(MONTH(C3592)&gt;=1,MONTH(C3592)&lt;=3),1,IF(AND(MONTH(C3592)&gt;=4,MONTH(C3592)&lt;=6),2,IF(AND(MONTH(C3592)&gt;=7,MONTH(C3592)&lt;=9),3,4))))</f>
        <v>4</v>
      </c>
      <c r="D3593" s="1"/>
      <c r="E3593" s="92" t="s">
        <v>14822</v>
      </c>
      <c r="F3593" s="93"/>
    </row>
    <row r="3594" spans="1:10" ht="14.1" customHeight="1" x14ac:dyDescent="0.25">
      <c r="A3594" s="1"/>
      <c r="B3594" s="80" t="s">
        <v>13758</v>
      </c>
      <c r="C3594" s="90">
        <v>43830</v>
      </c>
      <c r="D3594" s="1"/>
      <c r="E3594" s="92" t="s">
        <v>18636</v>
      </c>
      <c r="F3594" s="93"/>
    </row>
    <row r="3595" spans="1:10" ht="14.1" customHeight="1" x14ac:dyDescent="0.25">
      <c r="A3595" s="1"/>
      <c r="B3595" s="80" t="s">
        <v>10788</v>
      </c>
      <c r="C3595" s="91">
        <f>IF(C3594="","",IF(AND(MONTH(C3594)&gt;=1,MONTH(C3594)&lt;=3),1,IF(AND(MONTH(C3594)&gt;=4,MONTH(C3594)&lt;=6),2,IF(AND(MONTH(C3594)&gt;=7,MONTH(C3594)&lt;=9),3,4))))</f>
        <v>4</v>
      </c>
      <c r="D3595" s="1"/>
      <c r="E3595" s="92" t="s">
        <v>15990</v>
      </c>
      <c r="F3595" s="93"/>
    </row>
    <row r="3597" spans="1:10" ht="14.1" customHeight="1" x14ac:dyDescent="0.25">
      <c r="A3597" s="85" t="s">
        <v>15474</v>
      </c>
      <c r="B3597" s="85" t="s">
        <v>5027</v>
      </c>
      <c r="C3597" s="85" t="s">
        <v>17461</v>
      </c>
      <c r="D3597" s="85" t="s">
        <v>3935</v>
      </c>
      <c r="E3597" s="85" t="s">
        <v>10722</v>
      </c>
      <c r="F3597" s="85" t="s">
        <v>18237</v>
      </c>
    </row>
    <row r="3598" spans="1:10" ht="14.1" customHeight="1" x14ac:dyDescent="0.25">
      <c r="A3598" s="94" t="s">
        <v>10235</v>
      </c>
      <c r="B3598" s="82" t="str">
        <f ca="1">IFERROR(INDEX(UNSPSCDes,MATCH(INDIRECT(ADDRESS(ROW(),COLUMN()-1,4)),UNSPSCCode,0)),IF(INDIRECT(ADDRESS(ROW(),COLUMN()-1,4))="45131701","Bandejas u organizadores para filminas",""))</f>
        <v>Bandejas u organizadores para filminas</v>
      </c>
      <c r="C3598" s="95" t="str">
        <f>IFERROR(VLOOKUP("UD",'Informacion '!P:Q,2,FALSE),"")</f>
        <v>Unidad</v>
      </c>
      <c r="D3598" s="94">
        <v>50</v>
      </c>
      <c r="E3598" s="84">
        <v>130</v>
      </c>
      <c r="F3598" s="83">
        <f t="shared" ref="F3598:F3639" ca="1" si="161">INDIRECT(ADDRESS(ROW(),COLUMN()-2,4))*INDIRECT(ADDRESS(ROW(),COLUMN()-1,4))</f>
        <v>6500</v>
      </c>
    </row>
    <row r="3599" spans="1:10" ht="14.1" customHeight="1" x14ac:dyDescent="0.25">
      <c r="A3599" s="94" t="s">
        <v>8264</v>
      </c>
      <c r="B3599" s="82" t="str">
        <f ca="1">IFERROR(INDEX(UNSPSCDes,MATCH(INDIRECT(ADDRESS(ROW(),COLUMN()-1,4)),UNSPSCCode,0)),IF(INDIRECT(ADDRESS(ROW(),COLUMN()-1,4))="44121701","Bolígrafos",""))</f>
        <v>Bolígrafos</v>
      </c>
      <c r="C3599" s="95" t="str">
        <f>IFERROR(VLOOKUP("UD",'Informacion '!P:Q,2,FALSE),"")</f>
        <v>Unidad</v>
      </c>
      <c r="D3599" s="94">
        <v>1000</v>
      </c>
      <c r="E3599" s="84">
        <v>5</v>
      </c>
      <c r="F3599" s="83">
        <f t="shared" ca="1" si="161"/>
        <v>5000</v>
      </c>
    </row>
    <row r="3600" spans="1:10" ht="14.1" customHeight="1" x14ac:dyDescent="0.25">
      <c r="A3600" s="94" t="s">
        <v>8264</v>
      </c>
      <c r="B3600" s="82" t="str">
        <f ca="1">IFERROR(INDEX(UNSPSCDes,MATCH(INDIRECT(ADDRESS(ROW(),COLUMN()-1,4)),UNSPSCCode,0)),IF(INDIRECT(ADDRESS(ROW(),COLUMN()-1,4))="44121701","Bolígrafos",""))</f>
        <v>Bolígrafos</v>
      </c>
      <c r="C3600" s="95" t="str">
        <f>IFERROR(VLOOKUP("UD",'Informacion '!P:Q,2,FALSE),"")</f>
        <v>Unidad</v>
      </c>
      <c r="D3600" s="94">
        <v>500</v>
      </c>
      <c r="E3600" s="84">
        <v>5</v>
      </c>
      <c r="F3600" s="83">
        <f t="shared" ca="1" si="161"/>
        <v>2500</v>
      </c>
    </row>
    <row r="3601" spans="1:6" ht="14.1" customHeight="1" x14ac:dyDescent="0.25">
      <c r="A3601" s="94" t="s">
        <v>12615</v>
      </c>
      <c r="B3601" s="82" t="str">
        <f ca="1">IFERROR(INDEX(UNSPSCDes,MATCH(INDIRECT(ADDRESS(ROW(),COLUMN()-1,4)),UNSPSCCode,0)),IF(INDIRECT(ADDRESS(ROW(),COLUMN()-1,4))="31201512","Cinta transparente",""))</f>
        <v>Cinta transparente</v>
      </c>
      <c r="C3601" s="95" t="str">
        <f>IFERROR(VLOOKUP("UD",'Informacion '!P:Q,2,FALSE),"")</f>
        <v>Unidad</v>
      </c>
      <c r="D3601" s="94">
        <v>400</v>
      </c>
      <c r="E3601" s="84">
        <v>40</v>
      </c>
      <c r="F3601" s="83">
        <f t="shared" ca="1" si="161"/>
        <v>16000</v>
      </c>
    </row>
    <row r="3602" spans="1:6" ht="14.1" customHeight="1" x14ac:dyDescent="0.25">
      <c r="A3602" s="94" t="s">
        <v>12343</v>
      </c>
      <c r="B3602" s="82" t="str">
        <f ca="1">IFERROR(INDEX(UNSPSCDes,MATCH(INDIRECT(ADDRESS(ROW(),COLUMN()-1,4)),UNSPSCCode,0)),IF(INDIRECT(ADDRESS(ROW(),COLUMN()-1,4))="44122104","Clips para papel",""))</f>
        <v>Clips para papel</v>
      </c>
      <c r="C3602" s="95" t="str">
        <f>IFERROR(VLOOKUP("UD",'Informacion '!P:Q,2,FALSE),"")</f>
        <v>Unidad</v>
      </c>
      <c r="D3602" s="94">
        <v>200</v>
      </c>
      <c r="E3602" s="84">
        <v>80</v>
      </c>
      <c r="F3602" s="83">
        <f t="shared" ca="1" si="161"/>
        <v>16000</v>
      </c>
    </row>
    <row r="3603" spans="1:6" ht="14.1" customHeight="1" x14ac:dyDescent="0.25">
      <c r="A3603" s="94" t="s">
        <v>18241</v>
      </c>
      <c r="B3603" s="82" t="str">
        <f ca="1">IFERROR(INDEX(UNSPSCDes,MATCH(INDIRECT(ADDRESS(ROW(),COLUMN()-1,4)),UNSPSCCode,0)),IF(INDIRECT(ADDRESS(ROW(),COLUMN()-1,4))="44121605","Dispensadores de cinta",""))</f>
        <v>Dispensadores de cinta</v>
      </c>
      <c r="C3603" s="95" t="str">
        <f>IFERROR(VLOOKUP("UD",'Informacion '!P:Q,2,FALSE),"")</f>
        <v>Unidad</v>
      </c>
      <c r="D3603" s="94">
        <v>30</v>
      </c>
      <c r="E3603" s="84">
        <v>120</v>
      </c>
      <c r="F3603" s="83">
        <f t="shared" ca="1" si="161"/>
        <v>3600</v>
      </c>
    </row>
    <row r="3604" spans="1:6" ht="14.1" customHeight="1" x14ac:dyDescent="0.25">
      <c r="A3604" s="94" t="s">
        <v>8264</v>
      </c>
      <c r="B3604" s="82" t="str">
        <f ca="1">IFERROR(INDEX(UNSPSCDes,MATCH(INDIRECT(ADDRESS(ROW(),COLUMN()-1,4)),UNSPSCCode,0)),IF(INDIRECT(ADDRESS(ROW(),COLUMN()-1,4))="44121701","Bolígrafos",""))</f>
        <v>Bolígrafos</v>
      </c>
      <c r="C3604" s="95" t="str">
        <f>IFERROR(VLOOKUP("UD",'Informacion '!P:Q,2,FALSE),"")</f>
        <v>Unidad</v>
      </c>
      <c r="D3604" s="94">
        <v>180</v>
      </c>
      <c r="E3604" s="84">
        <v>25</v>
      </c>
      <c r="F3604" s="83">
        <f t="shared" ca="1" si="161"/>
        <v>4500</v>
      </c>
    </row>
    <row r="3605" spans="1:6" ht="14.1" customHeight="1" x14ac:dyDescent="0.25">
      <c r="A3605" s="94" t="s">
        <v>8264</v>
      </c>
      <c r="B3605" s="82" t="str">
        <f ca="1">IFERROR(INDEX(UNSPSCDes,MATCH(INDIRECT(ADDRESS(ROW(),COLUMN()-1,4)),UNSPSCCode,0)),IF(INDIRECT(ADDRESS(ROW(),COLUMN()-1,4))="44121701","Bolígrafos",""))</f>
        <v>Bolígrafos</v>
      </c>
      <c r="C3605" s="95" t="str">
        <f>IFERROR(VLOOKUP("UD",'Informacion '!P:Q,2,FALSE),"")</f>
        <v>Unidad</v>
      </c>
      <c r="D3605" s="94">
        <v>180</v>
      </c>
      <c r="E3605" s="84">
        <v>25</v>
      </c>
      <c r="F3605" s="83">
        <f t="shared" ca="1" si="161"/>
        <v>4500</v>
      </c>
    </row>
    <row r="3606" spans="1:6" ht="14.1" customHeight="1" x14ac:dyDescent="0.25">
      <c r="A3606" s="94" t="s">
        <v>4861</v>
      </c>
      <c r="B3606" s="82" t="str">
        <f t="shared" ref="B3606:B3611" ca="1" si="162">IFERROR(INDEX(UNSPSCDes,MATCH(INDIRECT(ADDRESS(ROW(),COLUMN()-1,4)),UNSPSCCode,0)),IF(INDIRECT(ADDRESS(ROW(),COLUMN()-1,4))="44122011","Folders",""))</f>
        <v>Folders</v>
      </c>
      <c r="C3606" s="95" t="str">
        <f>IFERROR(VLOOKUP("UD",'Informacion '!P:Q,2,FALSE),"")</f>
        <v>Unidad</v>
      </c>
      <c r="D3606" s="94">
        <v>500</v>
      </c>
      <c r="E3606" s="84">
        <v>150</v>
      </c>
      <c r="F3606" s="83">
        <f t="shared" ca="1" si="161"/>
        <v>75000</v>
      </c>
    </row>
    <row r="3607" spans="1:6" ht="14.1" customHeight="1" x14ac:dyDescent="0.25">
      <c r="A3607" s="94" t="s">
        <v>4861</v>
      </c>
      <c r="B3607" s="82" t="str">
        <f t="shared" ca="1" si="162"/>
        <v>Folders</v>
      </c>
      <c r="C3607" s="95" t="str">
        <f>IFERROR(VLOOKUP("UD",'Informacion '!P:Q,2,FALSE),"")</f>
        <v>Unidad</v>
      </c>
      <c r="D3607" s="94">
        <v>10</v>
      </c>
      <c r="E3607" s="84">
        <v>146.61000000000001</v>
      </c>
      <c r="F3607" s="83">
        <f t="shared" ca="1" si="161"/>
        <v>1466.1000000000001</v>
      </c>
    </row>
    <row r="3608" spans="1:6" ht="14.1" customHeight="1" x14ac:dyDescent="0.25">
      <c r="A3608" s="94" t="s">
        <v>4861</v>
      </c>
      <c r="B3608" s="82" t="str">
        <f t="shared" ca="1" si="162"/>
        <v>Folders</v>
      </c>
      <c r="C3608" s="95" t="str">
        <f>IFERROR(VLOOKUP("UD",'Informacion '!P:Q,2,FALSE),"")</f>
        <v>Unidad</v>
      </c>
      <c r="D3608" s="94">
        <v>160</v>
      </c>
      <c r="E3608" s="84">
        <v>15</v>
      </c>
      <c r="F3608" s="83">
        <f t="shared" ca="1" si="161"/>
        <v>2400</v>
      </c>
    </row>
    <row r="3609" spans="1:6" ht="14.1" customHeight="1" x14ac:dyDescent="0.25">
      <c r="A3609" s="94" t="s">
        <v>4861</v>
      </c>
      <c r="B3609" s="82" t="str">
        <f t="shared" ca="1" si="162"/>
        <v>Folders</v>
      </c>
      <c r="C3609" s="95" t="str">
        <f>IFERROR(VLOOKUP("UD",'Informacion '!P:Q,2,FALSE),"")</f>
        <v>Unidad</v>
      </c>
      <c r="D3609" s="94">
        <v>2100</v>
      </c>
      <c r="E3609" s="84">
        <v>180</v>
      </c>
      <c r="F3609" s="83">
        <f t="shared" ca="1" si="161"/>
        <v>378000</v>
      </c>
    </row>
    <row r="3610" spans="1:6" ht="14.1" customHeight="1" x14ac:dyDescent="0.25">
      <c r="A3610" s="94" t="s">
        <v>4861</v>
      </c>
      <c r="B3610" s="82" t="str">
        <f t="shared" ca="1" si="162"/>
        <v>Folders</v>
      </c>
      <c r="C3610" s="95" t="str">
        <f>IFERROR(VLOOKUP("UD",'Informacion '!P:Q,2,FALSE),"")</f>
        <v>Unidad</v>
      </c>
      <c r="D3610" s="94">
        <v>10</v>
      </c>
      <c r="E3610" s="84">
        <v>146.61000000000001</v>
      </c>
      <c r="F3610" s="83">
        <f t="shared" ca="1" si="161"/>
        <v>1466.1000000000001</v>
      </c>
    </row>
    <row r="3611" spans="1:6" ht="14.1" customHeight="1" x14ac:dyDescent="0.25">
      <c r="A3611" s="94" t="s">
        <v>4861</v>
      </c>
      <c r="B3611" s="82" t="str">
        <f t="shared" ca="1" si="162"/>
        <v>Folders</v>
      </c>
      <c r="C3611" s="95" t="str">
        <f>IFERROR(VLOOKUP("UD",'Informacion '!P:Q,2,FALSE),"")</f>
        <v>Unidad</v>
      </c>
      <c r="D3611" s="94">
        <v>160</v>
      </c>
      <c r="E3611" s="84">
        <v>160</v>
      </c>
      <c r="F3611" s="83">
        <f t="shared" ca="1" si="161"/>
        <v>25600</v>
      </c>
    </row>
    <row r="3612" spans="1:6" ht="14.1" customHeight="1" x14ac:dyDescent="0.25">
      <c r="A3612" s="94" t="s">
        <v>18744</v>
      </c>
      <c r="B3612" s="82" t="str">
        <f ca="1">IFERROR(INDEX(UNSPSCDes,MATCH(INDIRECT(ADDRESS(ROW(),COLUMN()-1,4)),UNSPSCCode,0)),IF(INDIRECT(ADDRESS(ROW(),COLUMN()-1,4))="44122016","Sujetador de documentos",""))</f>
        <v>Sujetador de documentos</v>
      </c>
      <c r="C3612" s="95" t="str">
        <f>IFERROR(VLOOKUP("UD",'Informacion '!P:Q,2,FALSE),"")</f>
        <v>Unidad</v>
      </c>
      <c r="D3612" s="94">
        <v>200</v>
      </c>
      <c r="E3612" s="84">
        <v>100</v>
      </c>
      <c r="F3612" s="83">
        <f t="shared" ca="1" si="161"/>
        <v>20000</v>
      </c>
    </row>
    <row r="3613" spans="1:6" ht="14.1" customHeight="1" x14ac:dyDescent="0.25">
      <c r="A3613" s="94" t="s">
        <v>7733</v>
      </c>
      <c r="B3613" s="82" t="str">
        <f ca="1">IFERROR(INDEX(UNSPSCDes,MATCH(INDIRECT(ADDRESS(ROW(),COLUMN()-1,4)),UNSPSCCode,0)),IF(INDIRECT(ADDRESS(ROW(),COLUMN()-1,4))="60121535","Borradores de goma",""))</f>
        <v>Borradores de goma</v>
      </c>
      <c r="C3613" s="95" t="str">
        <f>IFERROR(VLOOKUP("UD",'Informacion '!P:Q,2,FALSE),"")</f>
        <v>Unidad</v>
      </c>
      <c r="D3613" s="94">
        <v>125</v>
      </c>
      <c r="E3613" s="84">
        <v>8</v>
      </c>
      <c r="F3613" s="83">
        <f t="shared" ca="1" si="161"/>
        <v>1000</v>
      </c>
    </row>
    <row r="3614" spans="1:6" ht="14.1" customHeight="1" x14ac:dyDescent="0.25">
      <c r="A3614" s="94" t="s">
        <v>7733</v>
      </c>
      <c r="B3614" s="82" t="str">
        <f ca="1">IFERROR(INDEX(UNSPSCDes,MATCH(INDIRECT(ADDRESS(ROW(),COLUMN()-1,4)),UNSPSCCode,0)),IF(INDIRECT(ADDRESS(ROW(),COLUMN()-1,4))="60121535","Borradores de goma",""))</f>
        <v>Borradores de goma</v>
      </c>
      <c r="C3614" s="95" t="str">
        <f>IFERROR(VLOOKUP("UD",'Informacion '!P:Q,2,FALSE),"")</f>
        <v>Unidad</v>
      </c>
      <c r="D3614" s="94">
        <v>2000</v>
      </c>
      <c r="E3614" s="84">
        <v>11.57</v>
      </c>
      <c r="F3614" s="83">
        <f t="shared" ca="1" si="161"/>
        <v>23140</v>
      </c>
    </row>
    <row r="3615" spans="1:6" ht="14.1" customHeight="1" x14ac:dyDescent="0.25">
      <c r="A3615" s="94" t="s">
        <v>9432</v>
      </c>
      <c r="B3615" s="82" t="str">
        <f ca="1">IFERROR(INDEX(UNSPSCDes,MATCH(INDIRECT(ADDRESS(ROW(),COLUMN()-1,4)),UNSPSCCode,0)),IF(INDIRECT(ADDRESS(ROW(),COLUMN()-1,4))="44101707","Unidades de grapadoras",""))</f>
        <v>Unidades de grapadoras</v>
      </c>
      <c r="C3615" s="95" t="str">
        <f>IFERROR(VLOOKUP("UD",'Informacion '!P:Q,2,FALSE),"")</f>
        <v>Unidad</v>
      </c>
      <c r="D3615" s="94">
        <v>125</v>
      </c>
      <c r="E3615" s="84">
        <v>220</v>
      </c>
      <c r="F3615" s="83">
        <f t="shared" ca="1" si="161"/>
        <v>27500</v>
      </c>
    </row>
    <row r="3616" spans="1:6" ht="14.1" customHeight="1" x14ac:dyDescent="0.25">
      <c r="A3616" s="94" t="s">
        <v>9432</v>
      </c>
      <c r="B3616" s="82" t="str">
        <f ca="1">IFERROR(INDEX(UNSPSCDes,MATCH(INDIRECT(ADDRESS(ROW(),COLUMN()-1,4)),UNSPSCCode,0)),IF(INDIRECT(ADDRESS(ROW(),COLUMN()-1,4))="44101707","Unidades de grapadoras",""))</f>
        <v>Unidades de grapadoras</v>
      </c>
      <c r="C3616" s="95" t="str">
        <f>IFERROR(VLOOKUP("UD",'Informacion '!P:Q,2,FALSE),"")</f>
        <v>Unidad</v>
      </c>
      <c r="D3616" s="94">
        <v>200</v>
      </c>
      <c r="E3616" s="84">
        <v>180</v>
      </c>
      <c r="F3616" s="83">
        <f t="shared" ca="1" si="161"/>
        <v>36000</v>
      </c>
    </row>
    <row r="3617" spans="1:6" ht="14.1" customHeight="1" x14ac:dyDescent="0.25">
      <c r="A3617" s="94" t="s">
        <v>16064</v>
      </c>
      <c r="B3617" s="82" t="str">
        <f ca="1">IFERROR(INDEX(UNSPSCDes,MATCH(INDIRECT(ADDRESS(ROW(),COLUMN()-1,4)),UNSPSCCode,0)),IF(INDIRECT(ADDRESS(ROW(),COLUMN()-1,4))="44122107","Grapas",""))</f>
        <v>Grapas</v>
      </c>
      <c r="C3617" s="95" t="str">
        <f>IFERROR(VLOOKUP("UD",'Informacion '!P:Q,2,FALSE),"")</f>
        <v>Unidad</v>
      </c>
      <c r="D3617" s="94">
        <v>450</v>
      </c>
      <c r="E3617" s="84">
        <v>32</v>
      </c>
      <c r="F3617" s="83">
        <f t="shared" ca="1" si="161"/>
        <v>14400</v>
      </c>
    </row>
    <row r="3618" spans="1:6" ht="14.1" customHeight="1" x14ac:dyDescent="0.25">
      <c r="A3618" s="94" t="s">
        <v>19311</v>
      </c>
      <c r="B3618" s="82" t="str">
        <f ca="1">IFERROR(INDEX(UNSPSCDes,MATCH(INDIRECT(ADDRESS(ROW(),COLUMN()-1,4)),UNSPSCCode,0)),IF(INDIRECT(ADDRESS(ROW(),COLUMN()-1,4))="44121706","Lápices de madera",""))</f>
        <v>Lápices de madera</v>
      </c>
      <c r="C3618" s="95" t="str">
        <f>IFERROR(VLOOKUP("UD",'Informacion '!P:Q,2,FALSE),"")</f>
        <v>Unidad</v>
      </c>
      <c r="D3618" s="94">
        <v>100</v>
      </c>
      <c r="E3618" s="84">
        <v>1.68</v>
      </c>
      <c r="F3618" s="83">
        <f t="shared" ca="1" si="161"/>
        <v>168</v>
      </c>
    </row>
    <row r="3619" spans="1:6" ht="14.1" customHeight="1" x14ac:dyDescent="0.25">
      <c r="A3619" s="94" t="s">
        <v>13568</v>
      </c>
      <c r="B3619" s="82" t="str">
        <f ca="1">IFERROR(INDEX(UNSPSCDes,MATCH(INDIRECT(ADDRESS(ROW(),COLUMN()-1,4)),UNSPSCCode,0)),IF(INDIRECT(ADDRESS(ROW(),COLUMN()-1,4))="14111526","Papel libretas o libros de mensajes telefónicos",""))</f>
        <v>Papel libretas o libros de mensajes telefónicos</v>
      </c>
      <c r="C3619" s="95" t="str">
        <f>IFERROR(VLOOKUP("UD",'Informacion '!P:Q,2,FALSE),"")</f>
        <v>Unidad</v>
      </c>
      <c r="D3619" s="94">
        <v>200</v>
      </c>
      <c r="E3619" s="84">
        <v>40</v>
      </c>
      <c r="F3619" s="83">
        <f t="shared" ca="1" si="161"/>
        <v>8000</v>
      </c>
    </row>
    <row r="3620" spans="1:6" ht="14.1" customHeight="1" x14ac:dyDescent="0.25">
      <c r="A3620" s="94" t="s">
        <v>13568</v>
      </c>
      <c r="B3620" s="82" t="str">
        <f ca="1">IFERROR(INDEX(UNSPSCDes,MATCH(INDIRECT(ADDRESS(ROW(),COLUMN()-1,4)),UNSPSCCode,0)),IF(INDIRECT(ADDRESS(ROW(),COLUMN()-1,4))="14111526","Papel libretas o libros de mensajes telefónicos",""))</f>
        <v>Papel libretas o libros de mensajes telefónicos</v>
      </c>
      <c r="C3620" s="95" t="str">
        <f>IFERROR(VLOOKUP("UD",'Informacion '!P:Q,2,FALSE),"")</f>
        <v>Unidad</v>
      </c>
      <c r="D3620" s="94">
        <v>200</v>
      </c>
      <c r="E3620" s="84">
        <v>152</v>
      </c>
      <c r="F3620" s="83">
        <f t="shared" ca="1" si="161"/>
        <v>30400</v>
      </c>
    </row>
    <row r="3621" spans="1:6" ht="14.1" customHeight="1" x14ac:dyDescent="0.25">
      <c r="A3621" s="94" t="s">
        <v>1318</v>
      </c>
      <c r="B3621" s="82" t="str">
        <f ca="1">IFERROR(INDEX(UNSPSCDes,MATCH(INDIRECT(ADDRESS(ROW(),COLUMN()-1,4)),UNSPSCCode,0)),IF(INDIRECT(ADDRESS(ROW(),COLUMN()-1,4))="43232503","Correctores de ortografía",""))</f>
        <v>Correctores de ortografía</v>
      </c>
      <c r="C3621" s="95" t="str">
        <f>IFERROR(VLOOKUP("UD",'Informacion '!P:Q,2,FALSE),"")</f>
        <v>Unidad</v>
      </c>
      <c r="D3621" s="94">
        <v>400</v>
      </c>
      <c r="E3621" s="84">
        <v>13.25</v>
      </c>
      <c r="F3621" s="83">
        <f t="shared" ca="1" si="161"/>
        <v>5300</v>
      </c>
    </row>
    <row r="3622" spans="1:6" ht="14.1" customHeight="1" x14ac:dyDescent="0.25">
      <c r="A3622" s="94" t="s">
        <v>13068</v>
      </c>
      <c r="B3622" s="82" t="str">
        <f ca="1">IFERROR(INDEX(UNSPSCDes,MATCH(INDIRECT(ADDRESS(ROW(),COLUMN()-1,4)),UNSPSCCode,0)),IF(INDIRECT(ADDRESS(ROW(),COLUMN()-1,4))="44121627","Marcadores de libros",""))</f>
        <v>Marcadores de libros</v>
      </c>
      <c r="C3622" s="95" t="str">
        <f>IFERROR(VLOOKUP("UD",'Informacion '!P:Q,2,FALSE),"")</f>
        <v>Unidad</v>
      </c>
      <c r="D3622" s="94">
        <v>160</v>
      </c>
      <c r="E3622" s="84">
        <v>40</v>
      </c>
      <c r="F3622" s="83">
        <f t="shared" ca="1" si="161"/>
        <v>6400</v>
      </c>
    </row>
    <row r="3623" spans="1:6" ht="14.1" customHeight="1" x14ac:dyDescent="0.25">
      <c r="A3623" s="94" t="s">
        <v>12718</v>
      </c>
      <c r="B3623" s="82" t="str">
        <f ca="1">IFERROR(INDEX(UNSPSCDes,MATCH(INDIRECT(ADDRESS(ROW(),COLUMN()-1,4)),UNSPSCCode,0)),IF(INDIRECT(ADDRESS(ROW(),COLUMN()-1,4))="43201803","Unidades de disco duro",""))</f>
        <v>Unidades de disco duro</v>
      </c>
      <c r="C3623" s="95" t="str">
        <f>IFERROR(VLOOKUP("UD",'Informacion '!P:Q,2,FALSE),"")</f>
        <v>Unidad</v>
      </c>
      <c r="D3623" s="94">
        <v>110</v>
      </c>
      <c r="E3623" s="84">
        <v>450</v>
      </c>
      <c r="F3623" s="83">
        <f t="shared" ca="1" si="161"/>
        <v>49500</v>
      </c>
    </row>
    <row r="3624" spans="1:6" ht="14.1" customHeight="1" x14ac:dyDescent="0.25">
      <c r="A3624" s="94" t="s">
        <v>12718</v>
      </c>
      <c r="B3624" s="82" t="str">
        <f ca="1">IFERROR(INDEX(UNSPSCDes,MATCH(INDIRECT(ADDRESS(ROW(),COLUMN()-1,4)),UNSPSCCode,0)),IF(INDIRECT(ADDRESS(ROW(),COLUMN()-1,4))="43201803","Unidades de disco duro",""))</f>
        <v>Unidades de disco duro</v>
      </c>
      <c r="C3624" s="95" t="str">
        <f>IFERROR(VLOOKUP("UD",'Informacion '!P:Q,2,FALSE),"")</f>
        <v>Unidad</v>
      </c>
      <c r="D3624" s="94">
        <v>130</v>
      </c>
      <c r="E3624" s="84">
        <v>210</v>
      </c>
      <c r="F3624" s="83">
        <f t="shared" ca="1" si="161"/>
        <v>27300</v>
      </c>
    </row>
    <row r="3625" spans="1:6" ht="14.1" customHeight="1" x14ac:dyDescent="0.25">
      <c r="A3625" s="94" t="s">
        <v>2058</v>
      </c>
      <c r="B3625" s="82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625" s="95" t="str">
        <f>IFERROR(VLOOKUP("RESMA",'Informacion '!P:Q,2,FALSE),"")</f>
        <v>Resma</v>
      </c>
      <c r="D3625" s="94">
        <v>800</v>
      </c>
      <c r="E3625" s="84">
        <v>165</v>
      </c>
      <c r="F3625" s="83">
        <f t="shared" ca="1" si="161"/>
        <v>132000</v>
      </c>
    </row>
    <row r="3626" spans="1:6" ht="14.1" customHeight="1" x14ac:dyDescent="0.25">
      <c r="A3626" s="94" t="s">
        <v>2058</v>
      </c>
      <c r="B3626" s="82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3626" s="95" t="str">
        <f>IFERROR(VLOOKUP("RESMA",'Informacion '!P:Q,2,FALSE),"")</f>
        <v>Resma</v>
      </c>
      <c r="D3626" s="94">
        <v>700</v>
      </c>
      <c r="E3626" s="84">
        <v>165</v>
      </c>
      <c r="F3626" s="83">
        <f t="shared" ca="1" si="161"/>
        <v>115500</v>
      </c>
    </row>
    <row r="3627" spans="1:6" ht="14.1" customHeight="1" x14ac:dyDescent="0.25">
      <c r="A3627" s="94" t="s">
        <v>5262</v>
      </c>
      <c r="B3627" s="82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3627" s="95" t="str">
        <f>IFERROR(VLOOKUP("UD",'Informacion '!P:Q,2,FALSE),"")</f>
        <v>Unidad</v>
      </c>
      <c r="D3627" s="94">
        <v>140</v>
      </c>
      <c r="E3627" s="84">
        <v>128.81</v>
      </c>
      <c r="F3627" s="83">
        <f t="shared" ca="1" si="161"/>
        <v>18033.400000000001</v>
      </c>
    </row>
    <row r="3628" spans="1:6" ht="14.1" customHeight="1" x14ac:dyDescent="0.25">
      <c r="A3628" s="94" t="s">
        <v>5262</v>
      </c>
      <c r="B3628" s="82" t="str">
        <f ca="1">IFERROR(INDEX(UNSPSCDes,MATCH(INDIRECT(ADDRESS(ROW(),COLUMN()-1,4)),UNSPSCCode,0)),IF(INDIRECT(ADDRESS(ROW(),COLUMN()-1,4))="44101602","Máquinas perforadoras o para unir papel",""))</f>
        <v>Máquinas perforadoras o para unir papel</v>
      </c>
      <c r="C3628" s="95" t="str">
        <f>IFERROR(VLOOKUP("UD",'Informacion '!P:Q,2,FALSE),"")</f>
        <v>Unidad</v>
      </c>
      <c r="D3628" s="94">
        <v>50</v>
      </c>
      <c r="E3628" s="84">
        <v>163.35</v>
      </c>
      <c r="F3628" s="83">
        <f t="shared" ca="1" si="161"/>
        <v>8167.5</v>
      </c>
    </row>
    <row r="3629" spans="1:6" ht="14.1" customHeight="1" x14ac:dyDescent="0.25">
      <c r="A3629" s="94" t="s">
        <v>5228</v>
      </c>
      <c r="B3629" s="82" t="str">
        <f ca="1">IFERROR(INDEX(UNSPSCDes,MATCH(INDIRECT(ADDRESS(ROW(),COLUMN()-1,4)),UNSPSCCode,0)),IF(INDIRECT(ADDRESS(ROW(),COLUMN()-1,4))="11111606","Pizarra",""))</f>
        <v>Pizarra</v>
      </c>
      <c r="C3629" s="95" t="str">
        <f>IFERROR(VLOOKUP("UD",'Informacion '!P:Q,2,FALSE),"")</f>
        <v>Unidad</v>
      </c>
      <c r="D3629" s="94">
        <v>150</v>
      </c>
      <c r="E3629" s="84">
        <v>390</v>
      </c>
      <c r="F3629" s="83">
        <f t="shared" ca="1" si="161"/>
        <v>58500</v>
      </c>
    </row>
    <row r="3630" spans="1:6" ht="14.1" customHeight="1" x14ac:dyDescent="0.25">
      <c r="A3630" s="94" t="s">
        <v>16029</v>
      </c>
      <c r="B3630" s="82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3630" s="95" t="str">
        <f>IFERROR(VLOOKUP("UD",'Informacion '!P:Q,2,FALSE),"")</f>
        <v>Unidad</v>
      </c>
      <c r="D3630" s="94">
        <v>148</v>
      </c>
      <c r="E3630" s="84">
        <v>50</v>
      </c>
      <c r="F3630" s="83">
        <f t="shared" ca="1" si="161"/>
        <v>7400</v>
      </c>
    </row>
    <row r="3631" spans="1:6" ht="14.1" customHeight="1" x14ac:dyDescent="0.25">
      <c r="A3631" s="94" t="s">
        <v>1237</v>
      </c>
      <c r="B3631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3631" s="95" t="str">
        <f>IFERROR(VLOOKUP("UD",'Informacion '!P:Q,2,FALSE),"")</f>
        <v>Unidad</v>
      </c>
      <c r="D3631" s="94">
        <v>160</v>
      </c>
      <c r="E3631" s="84">
        <v>65</v>
      </c>
      <c r="F3631" s="83">
        <f t="shared" ca="1" si="161"/>
        <v>10400</v>
      </c>
    </row>
    <row r="3632" spans="1:6" ht="14.1" customHeight="1" x14ac:dyDescent="0.25">
      <c r="A3632" s="94" t="s">
        <v>17912</v>
      </c>
      <c r="B3632" s="82" t="str">
        <f ca="1">IFERROR(INDEX(UNSPSCDes,MATCH(INDIRECT(ADDRESS(ROW(),COLUMN()-1,4)),UNSPSCCode,0)),IF(INDIRECT(ADDRESS(ROW(),COLUMN()-1,4))="55121606","Etiquetas auto adhesivas",""))</f>
        <v>Etiquetas auto adhesivas</v>
      </c>
      <c r="C3632" s="95" t="str">
        <f>IFERROR(VLOOKUP("UD",'Informacion '!P:Q,2,FALSE),"")</f>
        <v>Unidad</v>
      </c>
      <c r="D3632" s="94">
        <v>580</v>
      </c>
      <c r="E3632" s="84">
        <v>7.5</v>
      </c>
      <c r="F3632" s="83">
        <f t="shared" ca="1" si="161"/>
        <v>4350</v>
      </c>
    </row>
    <row r="3633" spans="1:10" ht="14.1" customHeight="1" x14ac:dyDescent="0.25">
      <c r="A3633" s="94" t="s">
        <v>17912</v>
      </c>
      <c r="B3633" s="82" t="str">
        <f ca="1">IFERROR(INDEX(UNSPSCDes,MATCH(INDIRECT(ADDRESS(ROW(),COLUMN()-1,4)),UNSPSCCode,0)),IF(INDIRECT(ADDRESS(ROW(),COLUMN()-1,4))="55121606","Etiquetas auto adhesivas",""))</f>
        <v>Etiquetas auto adhesivas</v>
      </c>
      <c r="C3633" s="95" t="str">
        <f>IFERROR(VLOOKUP("UD",'Informacion '!P:Q,2,FALSE),"")</f>
        <v>Unidad</v>
      </c>
      <c r="D3633" s="94">
        <v>400</v>
      </c>
      <c r="E3633" s="84">
        <v>8.56</v>
      </c>
      <c r="F3633" s="83">
        <f t="shared" ca="1" si="161"/>
        <v>3424</v>
      </c>
    </row>
    <row r="3634" spans="1:10" ht="14.1" customHeight="1" x14ac:dyDescent="0.25">
      <c r="A3634" s="94" t="s">
        <v>17912</v>
      </c>
      <c r="B3634" s="82" t="str">
        <f ca="1">IFERROR(INDEX(UNSPSCDes,MATCH(INDIRECT(ADDRESS(ROW(),COLUMN()-1,4)),UNSPSCCode,0)),IF(INDIRECT(ADDRESS(ROW(),COLUMN()-1,4))="55121606","Etiquetas auto adhesivas",""))</f>
        <v>Etiquetas auto adhesivas</v>
      </c>
      <c r="C3634" s="95" t="str">
        <f>IFERROR(VLOOKUP("UD",'Informacion '!P:Q,2,FALSE),"")</f>
        <v>Unidad</v>
      </c>
      <c r="D3634" s="94">
        <v>600</v>
      </c>
      <c r="E3634" s="84">
        <v>10</v>
      </c>
      <c r="F3634" s="83">
        <f t="shared" ca="1" si="161"/>
        <v>6000</v>
      </c>
    </row>
    <row r="3635" spans="1:10" ht="14.1" customHeight="1" x14ac:dyDescent="0.25">
      <c r="A3635" s="94" t="s">
        <v>7962</v>
      </c>
      <c r="B3635" s="82" t="str">
        <f ca="1">IFERROR(INDEX(UNSPSCDes,MATCH(INDIRECT(ADDRESS(ROW(),COLUMN()-1,4)),UNSPSCCode,0)),IF(INDIRECT(ADDRESS(ROW(),COLUMN()-1,4))="55121617","Protectores de etiquetas",""))</f>
        <v>Protectores de etiquetas</v>
      </c>
      <c r="C3635" s="95" t="str">
        <f>IFERROR(VLOOKUP("UD",'Informacion '!P:Q,2,FALSE),"")</f>
        <v>Unidad</v>
      </c>
      <c r="D3635" s="94">
        <v>130</v>
      </c>
      <c r="E3635" s="84">
        <v>1.02</v>
      </c>
      <c r="F3635" s="83">
        <f t="shared" ca="1" si="161"/>
        <v>132.6</v>
      </c>
    </row>
    <row r="3636" spans="1:10" ht="14.1" customHeight="1" x14ac:dyDescent="0.25">
      <c r="A3636" s="94" t="s">
        <v>19772</v>
      </c>
      <c r="B3636" s="82" t="str">
        <f ca="1">IFERROR(INDEX(UNSPSCDes,MATCH(INDIRECT(ADDRESS(ROW(),COLUMN()-1,4)),UNSPSCCode,0)),IF(INDIRECT(ADDRESS(ROW(),COLUMN()-1,4))="44122010","Separadores",""))</f>
        <v>Separadores</v>
      </c>
      <c r="C3636" s="95" t="str">
        <f>IFERROR(VLOOKUP("UD",'Informacion '!P:Q,2,FALSE),"")</f>
        <v>Unidad</v>
      </c>
      <c r="D3636" s="94">
        <v>400</v>
      </c>
      <c r="E3636" s="84">
        <v>2.2999999999999998</v>
      </c>
      <c r="F3636" s="83">
        <f t="shared" ca="1" si="161"/>
        <v>919.99999999999989</v>
      </c>
    </row>
    <row r="3637" spans="1:10" ht="14.1" customHeight="1" x14ac:dyDescent="0.25">
      <c r="A3637" s="94" t="s">
        <v>9221</v>
      </c>
      <c r="B3637" s="82" t="str">
        <f ca="1">IFERROR(INDEX(UNSPSCDes,MATCH(INDIRECT(ADDRESS(ROW(),COLUMN()-1,4)),UNSPSCCode,0)),IF(INDIRECT(ADDRESS(ROW(),COLUMN()-1,4))="44121503","Sobres",""))</f>
        <v>Sobres</v>
      </c>
      <c r="C3637" s="95" t="str">
        <f>IFERROR(VLOOKUP("UD",'Informacion '!P:Q,2,FALSE),"")</f>
        <v>Unidad</v>
      </c>
      <c r="D3637" s="94">
        <v>10000</v>
      </c>
      <c r="E3637" s="84">
        <v>0.66</v>
      </c>
      <c r="F3637" s="83">
        <f t="shared" ca="1" si="161"/>
        <v>6600</v>
      </c>
    </row>
    <row r="3638" spans="1:10" ht="14.1" customHeight="1" x14ac:dyDescent="0.25">
      <c r="A3638" s="94" t="s">
        <v>7136</v>
      </c>
      <c r="B3638" s="82" t="str">
        <f ca="1">IFERROR(INDEX(UNSPSCDes,MATCH(INDIRECT(ADDRESS(ROW(),COLUMN()-1,4)),UNSPSCCode,0)),IF(INDIRECT(ADDRESS(ROW(),COLUMN()-1,4))="44121618","Tijeras",""))</f>
        <v>Tijeras</v>
      </c>
      <c r="C3638" s="95" t="str">
        <f>IFERROR(VLOOKUP("UD",'Informacion '!P:Q,2,FALSE),"")</f>
        <v>Unidad</v>
      </c>
      <c r="D3638" s="94">
        <v>300</v>
      </c>
      <c r="E3638" s="84">
        <v>90</v>
      </c>
      <c r="F3638" s="83">
        <f t="shared" ca="1" si="161"/>
        <v>27000</v>
      </c>
    </row>
    <row r="3639" spans="1:10" ht="14.1" customHeight="1" x14ac:dyDescent="0.25">
      <c r="A3639" s="94" t="s">
        <v>4422</v>
      </c>
      <c r="B3639" s="82" t="str">
        <f ca="1">IFERROR(INDEX(UNSPSCDes,MATCH(INDIRECT(ADDRESS(ROW(),COLUMN()-1,4)),UNSPSCCode,0)),IF(INDIRECT(ADDRESS(ROW(),COLUMN()-1,4))="44103111","Rollos de tinta",""))</f>
        <v>Rollos de tinta</v>
      </c>
      <c r="C3639" s="95" t="str">
        <f>IFERROR(VLOOKUP("UD",'Informacion '!P:Q,2,FALSE),"")</f>
        <v>Unidad</v>
      </c>
      <c r="D3639" s="94">
        <v>30</v>
      </c>
      <c r="E3639" s="84">
        <v>75</v>
      </c>
      <c r="F3639" s="83">
        <f t="shared" ca="1" si="161"/>
        <v>2250</v>
      </c>
    </row>
    <row r="3640" spans="1:10" ht="14.1" customHeight="1" x14ac:dyDescent="0.25">
      <c r="E3640" s="96" t="s">
        <v>7213</v>
      </c>
      <c r="F3640" s="87">
        <f ca="1">SUM(Table114[MONTO TOTAL ESTIMADO])</f>
        <v>1192317.7</v>
      </c>
      <c r="H3640" s="39" t="str">
        <f>C3591</f>
        <v>Bienes</v>
      </c>
      <c r="I3640" s="39" t="str">
        <f>E3591</f>
        <v>No</v>
      </c>
      <c r="J3640" s="39" t="str">
        <f>D3591</f>
        <v>Comparacion de Precios</v>
      </c>
    </row>
    <row r="3642" spans="1:10" ht="33.950000000000003" customHeight="1" x14ac:dyDescent="0.25">
      <c r="A3642" s="77" t="s">
        <v>17233</v>
      </c>
      <c r="B3642" s="77" t="s">
        <v>4237</v>
      </c>
      <c r="C3642" s="77" t="s">
        <v>4743</v>
      </c>
      <c r="D3642" s="77" t="s">
        <v>9891</v>
      </c>
      <c r="E3642" s="77" t="s">
        <v>3089</v>
      </c>
      <c r="F3642" s="77" t="s">
        <v>18141</v>
      </c>
    </row>
    <row r="3643" spans="1:10" ht="14.1" customHeight="1" x14ac:dyDescent="0.25">
      <c r="A3643" s="79" t="s">
        <v>4398</v>
      </c>
      <c r="B3643" s="79" t="s">
        <v>10353</v>
      </c>
      <c r="C3643" s="79" t="s">
        <v>17215</v>
      </c>
      <c r="D3643" s="79" t="s">
        <v>17798</v>
      </c>
      <c r="E3643" s="79" t="s">
        <v>18247</v>
      </c>
      <c r="F3643" s="79"/>
    </row>
    <row r="3644" spans="1:10" ht="14.1" customHeight="1" x14ac:dyDescent="0.25">
      <c r="A3644" s="2" t="s">
        <v>6643</v>
      </c>
      <c r="B3644" s="80" t="s">
        <v>1046</v>
      </c>
      <c r="C3644" s="90">
        <v>43467</v>
      </c>
      <c r="D3644" s="2" t="s">
        <v>59</v>
      </c>
      <c r="E3644" s="92" t="s">
        <v>20066</v>
      </c>
      <c r="F3644" s="93" t="s">
        <v>5684</v>
      </c>
    </row>
    <row r="3645" spans="1:10" ht="14.1" customHeight="1" x14ac:dyDescent="0.25">
      <c r="A3645" s="1"/>
      <c r="B3645" s="80" t="s">
        <v>10788</v>
      </c>
      <c r="C3645" s="91">
        <f>IF(C3644="","",IF(AND(MONTH(C3644)&gt;=1,MONTH(C3644)&lt;=3),1,IF(AND(MONTH(C3644)&gt;=4,MONTH(C3644)&lt;=6),2,IF(AND(MONTH(C3644)&gt;=7,MONTH(C3644)&lt;=9),3,4))))</f>
        <v>1</v>
      </c>
      <c r="D3645" s="1"/>
      <c r="E3645" s="92" t="s">
        <v>14822</v>
      </c>
      <c r="F3645" s="93"/>
    </row>
    <row r="3646" spans="1:10" ht="14.1" customHeight="1" x14ac:dyDescent="0.25">
      <c r="A3646" s="1"/>
      <c r="B3646" s="80" t="s">
        <v>13758</v>
      </c>
      <c r="C3646" s="90">
        <v>43553</v>
      </c>
      <c r="D3646" s="1"/>
      <c r="E3646" s="92" t="s">
        <v>18636</v>
      </c>
      <c r="F3646" s="93"/>
    </row>
    <row r="3647" spans="1:10" ht="14.1" customHeight="1" x14ac:dyDescent="0.25">
      <c r="A3647" s="1"/>
      <c r="B3647" s="80" t="s">
        <v>10788</v>
      </c>
      <c r="C3647" s="91">
        <f>IF(C3646="","",IF(AND(MONTH(C3646)&gt;=1,MONTH(C3646)&lt;=3),1,IF(AND(MONTH(C3646)&gt;=4,MONTH(C3646)&lt;=6),2,IF(AND(MONTH(C3646)&gt;=7,MONTH(C3646)&lt;=9),3,4))))</f>
        <v>1</v>
      </c>
      <c r="D3647" s="1"/>
      <c r="E3647" s="92" t="s">
        <v>15990</v>
      </c>
      <c r="F3647" s="93"/>
    </row>
    <row r="3649" spans="1:6" ht="14.1" customHeight="1" x14ac:dyDescent="0.25">
      <c r="A3649" s="85" t="s">
        <v>15474</v>
      </c>
      <c r="B3649" s="85" t="s">
        <v>5027</v>
      </c>
      <c r="C3649" s="85" t="s">
        <v>17461</v>
      </c>
      <c r="D3649" s="85" t="s">
        <v>3935</v>
      </c>
      <c r="E3649" s="85" t="s">
        <v>10722</v>
      </c>
      <c r="F3649" s="85" t="s">
        <v>18237</v>
      </c>
    </row>
    <row r="3650" spans="1:6" ht="14.1" customHeight="1" x14ac:dyDescent="0.25">
      <c r="A3650" s="94" t="s">
        <v>10966</v>
      </c>
      <c r="B3650" s="82" t="str">
        <f t="shared" ref="B3650:B3657" ca="1" si="163">IFERROR(INDEX(UNSPSCDes,MATCH(INDIRECT(ADDRESS(ROW(),COLUMN()-1,4)),UNSPSCCode,0)),IF(INDIRECT(ADDRESS(ROW(),COLUMN()-1,4))="85121605","Servicios de gastroenterólogos",""))</f>
        <v>Servicios de gastroenterólogos</v>
      </c>
      <c r="C3650" s="95" t="str">
        <f>IFERROR(VLOOKUP("UD",'Informacion '!P:Q,2,FALSE),"")</f>
        <v>Unidad</v>
      </c>
      <c r="D3650" s="94">
        <v>1</v>
      </c>
      <c r="E3650" s="84">
        <v>30000</v>
      </c>
      <c r="F3650" s="83">
        <f t="shared" ref="F3650:F3713" ca="1" si="164">INDIRECT(ADDRESS(ROW(),COLUMN()-2,4))*INDIRECT(ADDRESS(ROW(),COLUMN()-1,4))</f>
        <v>30000</v>
      </c>
    </row>
    <row r="3651" spans="1:6" ht="14.1" customHeight="1" x14ac:dyDescent="0.25">
      <c r="A3651" s="94" t="s">
        <v>10966</v>
      </c>
      <c r="B3651" s="82" t="str">
        <f t="shared" ca="1" si="163"/>
        <v>Servicios de gastroenterólogos</v>
      </c>
      <c r="C3651" s="95" t="str">
        <f>IFERROR(VLOOKUP("UD",'Informacion '!P:Q,2,FALSE),"")</f>
        <v>Unidad</v>
      </c>
      <c r="D3651" s="94">
        <v>1</v>
      </c>
      <c r="E3651" s="84">
        <v>30000</v>
      </c>
      <c r="F3651" s="83">
        <f t="shared" ca="1" si="164"/>
        <v>30000</v>
      </c>
    </row>
    <row r="3652" spans="1:6" ht="14.1" customHeight="1" x14ac:dyDescent="0.25">
      <c r="A3652" s="94" t="s">
        <v>10966</v>
      </c>
      <c r="B3652" s="82" t="str">
        <f t="shared" ca="1" si="163"/>
        <v>Servicios de gastroenterólogos</v>
      </c>
      <c r="C3652" s="95" t="str">
        <f>IFERROR(VLOOKUP("UD",'Informacion '!P:Q,2,FALSE),"")</f>
        <v>Unidad</v>
      </c>
      <c r="D3652" s="94">
        <v>1</v>
      </c>
      <c r="E3652" s="84">
        <v>30000</v>
      </c>
      <c r="F3652" s="83">
        <f t="shared" ca="1" si="164"/>
        <v>30000</v>
      </c>
    </row>
    <row r="3653" spans="1:6" ht="14.1" customHeight="1" x14ac:dyDescent="0.25">
      <c r="A3653" s="94" t="s">
        <v>10966</v>
      </c>
      <c r="B3653" s="82" t="str">
        <f t="shared" ca="1" si="163"/>
        <v>Servicios de gastroenterólogos</v>
      </c>
      <c r="C3653" s="95" t="str">
        <f>IFERROR(VLOOKUP("UD",'Informacion '!P:Q,2,FALSE),"")</f>
        <v>Unidad</v>
      </c>
      <c r="D3653" s="94">
        <v>1</v>
      </c>
      <c r="E3653" s="84">
        <v>30000</v>
      </c>
      <c r="F3653" s="83">
        <f t="shared" ca="1" si="164"/>
        <v>30000</v>
      </c>
    </row>
    <row r="3654" spans="1:6" ht="14.1" customHeight="1" x14ac:dyDescent="0.25">
      <c r="A3654" s="94" t="s">
        <v>10966</v>
      </c>
      <c r="B3654" s="82" t="str">
        <f t="shared" ca="1" si="163"/>
        <v>Servicios de gastroenterólogos</v>
      </c>
      <c r="C3654" s="95" t="str">
        <f>IFERROR(VLOOKUP("UD",'Informacion '!P:Q,2,FALSE),"")</f>
        <v>Unidad</v>
      </c>
      <c r="D3654" s="94">
        <v>1</v>
      </c>
      <c r="E3654" s="84">
        <v>30000</v>
      </c>
      <c r="F3654" s="83">
        <f t="shared" ca="1" si="164"/>
        <v>30000</v>
      </c>
    </row>
    <row r="3655" spans="1:6" ht="14.1" customHeight="1" x14ac:dyDescent="0.25">
      <c r="A3655" s="94" t="s">
        <v>10966</v>
      </c>
      <c r="B3655" s="82" t="str">
        <f t="shared" ca="1" si="163"/>
        <v>Servicios de gastroenterólogos</v>
      </c>
      <c r="C3655" s="95" t="str">
        <f>IFERROR(VLOOKUP("UD",'Informacion '!P:Q,2,FALSE),"")</f>
        <v>Unidad</v>
      </c>
      <c r="D3655" s="94">
        <v>1</v>
      </c>
      <c r="E3655" s="84">
        <v>30000</v>
      </c>
      <c r="F3655" s="83">
        <f t="shared" ca="1" si="164"/>
        <v>30000</v>
      </c>
    </row>
    <row r="3656" spans="1:6" ht="14.1" customHeight="1" x14ac:dyDescent="0.25">
      <c r="A3656" s="94" t="s">
        <v>10966</v>
      </c>
      <c r="B3656" s="82" t="str">
        <f t="shared" ca="1" si="163"/>
        <v>Servicios de gastroenterólogos</v>
      </c>
      <c r="C3656" s="95" t="str">
        <f>IFERROR(VLOOKUP("UD",'Informacion '!P:Q,2,FALSE),"")</f>
        <v>Unidad</v>
      </c>
      <c r="D3656" s="94">
        <v>1</v>
      </c>
      <c r="E3656" s="84">
        <v>30000</v>
      </c>
      <c r="F3656" s="83">
        <f t="shared" ca="1" si="164"/>
        <v>30000</v>
      </c>
    </row>
    <row r="3657" spans="1:6" ht="14.1" customHeight="1" x14ac:dyDescent="0.25">
      <c r="A3657" s="94" t="s">
        <v>10966</v>
      </c>
      <c r="B3657" s="82" t="str">
        <f t="shared" ca="1" si="163"/>
        <v>Servicios de gastroenterólogos</v>
      </c>
      <c r="C3657" s="95" t="str">
        <f>IFERROR(VLOOKUP("UD",'Informacion '!P:Q,2,FALSE),"")</f>
        <v>Unidad</v>
      </c>
      <c r="D3657" s="94">
        <v>1</v>
      </c>
      <c r="E3657" s="84">
        <v>30000</v>
      </c>
      <c r="F3657" s="83">
        <f t="shared" ca="1" si="164"/>
        <v>30000</v>
      </c>
    </row>
    <row r="3658" spans="1:6" ht="14.1" customHeight="1" x14ac:dyDescent="0.25">
      <c r="A3658" s="94" t="s">
        <v>15375</v>
      </c>
      <c r="B3658" s="82" t="str">
        <f ca="1">IFERROR(INDEX(UNSPSCDes,MATCH(INDIRECT(ADDRESS(ROW(),COLUMN()-1,4)),UNSPSCCode,0)),IF(INDIRECT(ADDRESS(ROW(),COLUMN()-1,4))="85121609","Servicios de  cirugía",""))</f>
        <v>Servicios de  cirugía</v>
      </c>
      <c r="C3658" s="95" t="str">
        <f>IFERROR(VLOOKUP("UD",'Informacion '!P:Q,2,FALSE),"")</f>
        <v>Unidad</v>
      </c>
      <c r="D3658" s="94">
        <v>4</v>
      </c>
      <c r="E3658" s="84">
        <v>30000</v>
      </c>
      <c r="F3658" s="83">
        <f t="shared" ca="1" si="164"/>
        <v>120000</v>
      </c>
    </row>
    <row r="3659" spans="1:6" ht="14.1" customHeight="1" x14ac:dyDescent="0.25">
      <c r="A3659" s="94" t="s">
        <v>15375</v>
      </c>
      <c r="B3659" s="82" t="str">
        <f ca="1">IFERROR(INDEX(UNSPSCDes,MATCH(INDIRECT(ADDRESS(ROW(),COLUMN()-1,4)),UNSPSCCode,0)),IF(INDIRECT(ADDRESS(ROW(),COLUMN()-1,4))="85121609","Servicios de  cirugía",""))</f>
        <v>Servicios de  cirugía</v>
      </c>
      <c r="C3659" s="95" t="str">
        <f>IFERROR(VLOOKUP("UD",'Informacion '!P:Q,2,FALSE),"")</f>
        <v>Unidad</v>
      </c>
      <c r="D3659" s="94">
        <v>2</v>
      </c>
      <c r="E3659" s="84">
        <v>13000</v>
      </c>
      <c r="F3659" s="83">
        <f t="shared" ca="1" si="164"/>
        <v>26000</v>
      </c>
    </row>
    <row r="3660" spans="1:6" ht="14.1" customHeight="1" x14ac:dyDescent="0.25">
      <c r="A3660" s="94" t="s">
        <v>15375</v>
      </c>
      <c r="B3660" s="82" t="str">
        <f ca="1">IFERROR(INDEX(UNSPSCDes,MATCH(INDIRECT(ADDRESS(ROW(),COLUMN()-1,4)),UNSPSCCode,0)),IF(INDIRECT(ADDRESS(ROW(),COLUMN()-1,4))="85121609","Servicios de  cirugía",""))</f>
        <v>Servicios de  cirugía</v>
      </c>
      <c r="C3660" s="95" t="str">
        <f>IFERROR(VLOOKUP("UD",'Informacion '!P:Q,2,FALSE),"")</f>
        <v>Unidad</v>
      </c>
      <c r="D3660" s="94">
        <v>2</v>
      </c>
      <c r="E3660" s="84">
        <v>25000</v>
      </c>
      <c r="F3660" s="83">
        <f t="shared" ca="1" si="164"/>
        <v>50000</v>
      </c>
    </row>
    <row r="3661" spans="1:6" ht="14.1" customHeight="1" x14ac:dyDescent="0.25">
      <c r="A3661" s="94" t="s">
        <v>2729</v>
      </c>
      <c r="B3661" s="82" t="str">
        <f ca="1">IFERROR(INDEX(UNSPSCDes,MATCH(INDIRECT(ADDRESS(ROW(),COLUMN()-1,4)),UNSPSCCode,0)),IF(INDIRECT(ADDRESS(ROW(),COLUMN()-1,4))="39101602","Lámparas médicas",""))</f>
        <v>Lámparas médicas</v>
      </c>
      <c r="C3661" s="95" t="str">
        <f>IFERROR(VLOOKUP("UD",'Informacion '!P:Q,2,FALSE),"")</f>
        <v>Unidad</v>
      </c>
      <c r="D3661" s="94">
        <v>5</v>
      </c>
      <c r="E3661" s="84">
        <v>10000</v>
      </c>
      <c r="F3661" s="83">
        <f t="shared" ca="1" si="164"/>
        <v>50000</v>
      </c>
    </row>
    <row r="3662" spans="1:6" ht="14.1" customHeight="1" x14ac:dyDescent="0.25">
      <c r="A3662" s="94" t="s">
        <v>11415</v>
      </c>
      <c r="B3662" s="82" t="str">
        <f ca="1">IFERROR(INDEX(UNSPSCDes,MATCH(INDIRECT(ADDRESS(ROW(),COLUMN()-1,4)),UNSPSCCode,0)),IF(INDIRECT(ADDRESS(ROW(),COLUMN()-1,4))="42201803","Equipos de rayos x para mamografías",""))</f>
        <v>Equipos de rayos x para mamografías</v>
      </c>
      <c r="C3662" s="95" t="str">
        <f>IFERROR(VLOOKUP("UD",'Informacion '!P:Q,2,FALSE),"")</f>
        <v>Unidad</v>
      </c>
      <c r="D3662" s="94">
        <v>1</v>
      </c>
      <c r="E3662" s="84">
        <v>1700000</v>
      </c>
      <c r="F3662" s="83">
        <f t="shared" ca="1" si="164"/>
        <v>1700000</v>
      </c>
    </row>
    <row r="3663" spans="1:6" ht="14.1" customHeight="1" x14ac:dyDescent="0.25">
      <c r="A3663" s="94" t="s">
        <v>1639</v>
      </c>
      <c r="B3663" s="82" t="str">
        <f ca="1">IFERROR(INDEX(UNSPSCDes,MATCH(INDIRECT(ADDRESS(ROW(),COLUMN()-1,4)),UNSPSCCode,0)),IF(INDIRECT(ADDRESS(ROW(),COLUMN()-1,4))="85121808","Servicios de laboratorios de rayos x",""))</f>
        <v>Servicios de laboratorios de rayos x</v>
      </c>
      <c r="C3663" s="95" t="str">
        <f>IFERROR(VLOOKUP("UD",'Informacion '!P:Q,2,FALSE),"")</f>
        <v>Unidad</v>
      </c>
      <c r="D3663" s="94">
        <v>2</v>
      </c>
      <c r="E3663" s="84">
        <v>1035000</v>
      </c>
      <c r="F3663" s="83">
        <f t="shared" ca="1" si="164"/>
        <v>2070000</v>
      </c>
    </row>
    <row r="3664" spans="1:6" ht="14.1" customHeight="1" x14ac:dyDescent="0.25">
      <c r="A3664" s="94" t="s">
        <v>16068</v>
      </c>
      <c r="B3664" s="82" t="str">
        <f ca="1">IFERROR(INDEX(UNSPSCDes,MATCH(INDIRECT(ADDRESS(ROW(),COLUMN()-1,4)),UNSPSCCode,0)),IF(INDIRECT(ADDRESS(ROW(),COLUMN()-1,4))="42201804","Unidades de brazo c de rayos x para uso médico",""))</f>
        <v>Unidades de brazo c de rayos x para uso médico</v>
      </c>
      <c r="C3664" s="95" t="str">
        <f>IFERROR(VLOOKUP("UD",'Informacion '!P:Q,2,FALSE),"")</f>
        <v>Unidad</v>
      </c>
      <c r="D3664" s="94">
        <v>1</v>
      </c>
      <c r="E3664" s="84">
        <v>33000</v>
      </c>
      <c r="F3664" s="83">
        <f t="shared" ca="1" si="164"/>
        <v>33000</v>
      </c>
    </row>
    <row r="3665" spans="1:6" ht="14.1" customHeight="1" x14ac:dyDescent="0.25">
      <c r="A3665" s="94" t="s">
        <v>16068</v>
      </c>
      <c r="B3665" s="82" t="str">
        <f ca="1">IFERROR(INDEX(UNSPSCDes,MATCH(INDIRECT(ADDRESS(ROW(),COLUMN()-1,4)),UNSPSCCode,0)),IF(INDIRECT(ADDRESS(ROW(),COLUMN()-1,4))="42201804","Unidades de brazo c de rayos x para uso médico",""))</f>
        <v>Unidades de brazo c de rayos x para uso médico</v>
      </c>
      <c r="C3665" s="95" t="str">
        <f>IFERROR(VLOOKUP("UD",'Informacion '!P:Q,2,FALSE),"")</f>
        <v>Unidad</v>
      </c>
      <c r="D3665" s="94">
        <v>1</v>
      </c>
      <c r="E3665" s="84">
        <v>33000</v>
      </c>
      <c r="F3665" s="83">
        <f t="shared" ca="1" si="164"/>
        <v>33000</v>
      </c>
    </row>
    <row r="3666" spans="1:6" ht="14.1" customHeight="1" x14ac:dyDescent="0.25">
      <c r="A3666" s="94" t="s">
        <v>1639</v>
      </c>
      <c r="B3666" s="82" t="str">
        <f ca="1">IFERROR(INDEX(UNSPSCDes,MATCH(INDIRECT(ADDRESS(ROW(),COLUMN()-1,4)),UNSPSCCode,0)),IF(INDIRECT(ADDRESS(ROW(),COLUMN()-1,4))="85121808","Servicios de laboratorios de rayos x",""))</f>
        <v>Servicios de laboratorios de rayos x</v>
      </c>
      <c r="C3666" s="95" t="str">
        <f>IFERROR(VLOOKUP("UD",'Informacion '!P:Q,2,FALSE),"")</f>
        <v>Unidad</v>
      </c>
      <c r="D3666" s="94">
        <v>1</v>
      </c>
      <c r="E3666" s="84">
        <v>50000</v>
      </c>
      <c r="F3666" s="83">
        <f t="shared" ca="1" si="164"/>
        <v>50000</v>
      </c>
    </row>
    <row r="3667" spans="1:6" ht="14.1" customHeight="1" x14ac:dyDescent="0.25">
      <c r="A3667" s="94" t="s">
        <v>429</v>
      </c>
      <c r="B3667" s="82" t="str">
        <f ca="1">IFERROR(INDEX(UNSPSCDes,MATCH(INDIRECT(ADDRESS(ROW(),COLUMN()-1,4)),UNSPSCCode,0)),IF(INDIRECT(ADDRESS(ROW(),COLUMN()-1,4))="42203705","Impresoras láser en seco para imágenes o reproductores de imágenes para uso médico",""))</f>
        <v>Impresoras láser en seco para imágenes o reproductores de imágenes para uso médico</v>
      </c>
      <c r="C3667" s="95" t="str">
        <f>IFERROR(VLOOKUP("UD",'Informacion '!P:Q,2,FALSE),"")</f>
        <v>Unidad</v>
      </c>
      <c r="D3667" s="94">
        <v>1</v>
      </c>
      <c r="E3667" s="84">
        <v>15000</v>
      </c>
      <c r="F3667" s="83">
        <f t="shared" ca="1" si="164"/>
        <v>15000</v>
      </c>
    </row>
    <row r="3668" spans="1:6" ht="14.1" customHeight="1" x14ac:dyDescent="0.25">
      <c r="A3668" s="94" t="s">
        <v>429</v>
      </c>
      <c r="B3668" s="82" t="str">
        <f ca="1">IFERROR(INDEX(UNSPSCDes,MATCH(INDIRECT(ADDRESS(ROW(),COLUMN()-1,4)),UNSPSCCode,0)),IF(INDIRECT(ADDRESS(ROW(),COLUMN()-1,4))="42203705","Impresoras láser en seco para imágenes o reproductores de imágenes para uso médico",""))</f>
        <v>Impresoras láser en seco para imágenes o reproductores de imágenes para uso médico</v>
      </c>
      <c r="C3668" s="95" t="str">
        <f>IFERROR(VLOOKUP("UD",'Informacion '!P:Q,2,FALSE),"")</f>
        <v>Unidad</v>
      </c>
      <c r="D3668" s="94">
        <v>1</v>
      </c>
      <c r="E3668" s="84">
        <v>15000</v>
      </c>
      <c r="F3668" s="83">
        <f t="shared" ca="1" si="164"/>
        <v>15000</v>
      </c>
    </row>
    <row r="3669" spans="1:6" ht="14.1" customHeight="1" x14ac:dyDescent="0.25">
      <c r="A3669" s="94" t="s">
        <v>429</v>
      </c>
      <c r="B3669" s="82" t="str">
        <f ca="1">IFERROR(INDEX(UNSPSCDes,MATCH(INDIRECT(ADDRESS(ROW(),COLUMN()-1,4)),UNSPSCCode,0)),IF(INDIRECT(ADDRESS(ROW(),COLUMN()-1,4))="42203705","Impresoras láser en seco para imágenes o reproductores de imágenes para uso médico",""))</f>
        <v>Impresoras láser en seco para imágenes o reproductores de imágenes para uso médico</v>
      </c>
      <c r="C3669" s="95" t="str">
        <f>IFERROR(VLOOKUP("UD",'Informacion '!P:Q,2,FALSE),"")</f>
        <v>Unidad</v>
      </c>
      <c r="D3669" s="94">
        <v>1</v>
      </c>
      <c r="E3669" s="84">
        <v>15000</v>
      </c>
      <c r="F3669" s="83">
        <f t="shared" ca="1" si="164"/>
        <v>15000</v>
      </c>
    </row>
    <row r="3670" spans="1:6" ht="14.1" customHeight="1" x14ac:dyDescent="0.25">
      <c r="A3670" s="94" t="s">
        <v>429</v>
      </c>
      <c r="B3670" s="82" t="str">
        <f ca="1">IFERROR(INDEX(UNSPSCDes,MATCH(INDIRECT(ADDRESS(ROW(),COLUMN()-1,4)),UNSPSCCode,0)),IF(INDIRECT(ADDRESS(ROW(),COLUMN()-1,4))="42203705","Impresoras láser en seco para imágenes o reproductores de imágenes para uso médico",""))</f>
        <v>Impresoras láser en seco para imágenes o reproductores de imágenes para uso médico</v>
      </c>
      <c r="C3670" s="95" t="str">
        <f>IFERROR(VLOOKUP("UD",'Informacion '!P:Q,2,FALSE),"")</f>
        <v>Unidad</v>
      </c>
      <c r="D3670" s="94">
        <v>1</v>
      </c>
      <c r="E3670" s="84">
        <v>15000</v>
      </c>
      <c r="F3670" s="83">
        <f t="shared" ca="1" si="164"/>
        <v>15000</v>
      </c>
    </row>
    <row r="3671" spans="1:6" ht="14.1" customHeight="1" x14ac:dyDescent="0.25">
      <c r="A3671" s="94" t="s">
        <v>429</v>
      </c>
      <c r="B3671" s="82" t="str">
        <f ca="1">IFERROR(INDEX(UNSPSCDes,MATCH(INDIRECT(ADDRESS(ROW(),COLUMN()-1,4)),UNSPSCCode,0)),IF(INDIRECT(ADDRESS(ROW(),COLUMN()-1,4))="42203705","Impresoras láser en seco para imágenes o reproductores de imágenes para uso médico",""))</f>
        <v>Impresoras láser en seco para imágenes o reproductores de imágenes para uso médico</v>
      </c>
      <c r="C3671" s="95" t="str">
        <f>IFERROR(VLOOKUP("UD",'Informacion '!P:Q,2,FALSE),"")</f>
        <v>Unidad</v>
      </c>
      <c r="D3671" s="94">
        <v>1</v>
      </c>
      <c r="E3671" s="84">
        <v>15000</v>
      </c>
      <c r="F3671" s="83">
        <f t="shared" ca="1" si="164"/>
        <v>15000</v>
      </c>
    </row>
    <row r="3672" spans="1:6" ht="14.1" customHeight="1" x14ac:dyDescent="0.25">
      <c r="A3672" s="94" t="s">
        <v>115</v>
      </c>
      <c r="B3672" s="82" t="str">
        <f ca="1">IFERROR(INDEX(UNSPSCDes,MATCH(INDIRECT(ADDRESS(ROW(),COLUMN()-1,4)),UNSPSCCode,0)),IF(INDIRECT(ADDRESS(ROW(),COLUMN()-1,4))="42202901","Unidades de rayos x de baja energía para uso médico",""))</f>
        <v>Unidades de rayos x de baja energía para uso médico</v>
      </c>
      <c r="C3672" s="95" t="str">
        <f>IFERROR(VLOOKUP("UD",'Informacion '!P:Q,2,FALSE),"")</f>
        <v>Unidad</v>
      </c>
      <c r="D3672" s="94">
        <v>1</v>
      </c>
      <c r="E3672" s="84">
        <v>30000</v>
      </c>
      <c r="F3672" s="83">
        <f t="shared" ca="1" si="164"/>
        <v>30000</v>
      </c>
    </row>
    <row r="3673" spans="1:6" ht="14.1" customHeight="1" x14ac:dyDescent="0.25">
      <c r="A3673" s="94" t="s">
        <v>115</v>
      </c>
      <c r="B3673" s="82" t="str">
        <f ca="1">IFERROR(INDEX(UNSPSCDes,MATCH(INDIRECT(ADDRESS(ROW(),COLUMN()-1,4)),UNSPSCCode,0)),IF(INDIRECT(ADDRESS(ROW(),COLUMN()-1,4))="42202901","Unidades de rayos x de baja energía para uso médico",""))</f>
        <v>Unidades de rayos x de baja energía para uso médico</v>
      </c>
      <c r="C3673" s="95" t="str">
        <f>IFERROR(VLOOKUP("UD",'Informacion '!P:Q,2,FALSE),"")</f>
        <v>Unidad</v>
      </c>
      <c r="D3673" s="94">
        <v>1</v>
      </c>
      <c r="E3673" s="84">
        <v>30000</v>
      </c>
      <c r="F3673" s="83">
        <f t="shared" ca="1" si="164"/>
        <v>30000</v>
      </c>
    </row>
    <row r="3674" spans="1:6" ht="14.1" customHeight="1" x14ac:dyDescent="0.25">
      <c r="A3674" s="94" t="s">
        <v>115</v>
      </c>
      <c r="B3674" s="82" t="str">
        <f ca="1">IFERROR(INDEX(UNSPSCDes,MATCH(INDIRECT(ADDRESS(ROW(),COLUMN()-1,4)),UNSPSCCode,0)),IF(INDIRECT(ADDRESS(ROW(),COLUMN()-1,4))="42202901","Unidades de rayos x de baja energía para uso médico",""))</f>
        <v>Unidades de rayos x de baja energía para uso médico</v>
      </c>
      <c r="C3674" s="95" t="str">
        <f>IFERROR(VLOOKUP("UD",'Informacion '!P:Q,2,FALSE),"")</f>
        <v>Unidad</v>
      </c>
      <c r="D3674" s="94">
        <v>1</v>
      </c>
      <c r="E3674" s="84">
        <v>30000</v>
      </c>
      <c r="F3674" s="83">
        <f t="shared" ca="1" si="164"/>
        <v>30000</v>
      </c>
    </row>
    <row r="3675" spans="1:6" ht="14.1" customHeight="1" x14ac:dyDescent="0.25">
      <c r="A3675" s="94" t="s">
        <v>115</v>
      </c>
      <c r="B3675" s="82" t="str">
        <f ca="1">IFERROR(INDEX(UNSPSCDes,MATCH(INDIRECT(ADDRESS(ROW(),COLUMN()-1,4)),UNSPSCCode,0)),IF(INDIRECT(ADDRESS(ROW(),COLUMN()-1,4))="42202901","Unidades de rayos x de baja energía para uso médico",""))</f>
        <v>Unidades de rayos x de baja energía para uso médico</v>
      </c>
      <c r="C3675" s="95" t="str">
        <f>IFERROR(VLOOKUP("UD",'Informacion '!P:Q,2,FALSE),"")</f>
        <v>Unidad</v>
      </c>
      <c r="D3675" s="94">
        <v>1</v>
      </c>
      <c r="E3675" s="84">
        <v>30000</v>
      </c>
      <c r="F3675" s="83">
        <f t="shared" ca="1" si="164"/>
        <v>30000</v>
      </c>
    </row>
    <row r="3676" spans="1:6" ht="14.1" customHeight="1" x14ac:dyDescent="0.25">
      <c r="A3676" s="94" t="s">
        <v>18286</v>
      </c>
      <c r="B3676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3676" s="95" t="str">
        <f>IFERROR(VLOOKUP("UD",'Informacion '!P:Q,2,FALSE),"")</f>
        <v>Unidad</v>
      </c>
      <c r="D3676" s="94">
        <v>5</v>
      </c>
      <c r="E3676" s="84">
        <v>2500</v>
      </c>
      <c r="F3676" s="83">
        <f t="shared" ca="1" si="164"/>
        <v>12500</v>
      </c>
    </row>
    <row r="3677" spans="1:6" ht="14.1" customHeight="1" x14ac:dyDescent="0.25">
      <c r="A3677" s="94" t="s">
        <v>18286</v>
      </c>
      <c r="B3677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3677" s="95" t="str">
        <f>IFERROR(VLOOKUP("UD",'Informacion '!P:Q,2,FALSE),"")</f>
        <v>Unidad</v>
      </c>
      <c r="D3677" s="94">
        <v>5</v>
      </c>
      <c r="E3677" s="84">
        <v>5000</v>
      </c>
      <c r="F3677" s="83">
        <f t="shared" ca="1" si="164"/>
        <v>25000</v>
      </c>
    </row>
    <row r="3678" spans="1:6" ht="14.1" customHeight="1" x14ac:dyDescent="0.25">
      <c r="A3678" s="94" t="s">
        <v>11557</v>
      </c>
      <c r="B3678" s="82" t="str">
        <f ca="1">IFERROR(INDEX(UNSPSCDes,MATCH(INDIRECT(ADDRESS(ROW(),COLUMN()-1,4)),UNSPSCCode,0)),IF(INDIRECT(ADDRESS(ROW(),COLUMN()-1,4))="47101514","Equipos de purificación de agua",""))</f>
        <v>Equipos de purificación de agua</v>
      </c>
      <c r="C3678" s="95" t="str">
        <f>IFERROR(VLOOKUP("UD",'Informacion '!P:Q,2,FALSE),"")</f>
        <v>Unidad</v>
      </c>
      <c r="D3678" s="94">
        <v>1</v>
      </c>
      <c r="E3678" s="84">
        <v>80000</v>
      </c>
      <c r="F3678" s="83">
        <f t="shared" ca="1" si="164"/>
        <v>80000</v>
      </c>
    </row>
    <row r="3679" spans="1:6" ht="14.1" customHeight="1" x14ac:dyDescent="0.25">
      <c r="A3679" s="94" t="s">
        <v>15989</v>
      </c>
      <c r="B3679" s="82" t="str">
        <f ca="1">IFERROR(INDEX(UNSPSCDes,MATCH(INDIRECT(ADDRESS(ROW(),COLUMN()-1,4)),UNSPSCCode,0)),IF(INDIRECT(ADDRESS(ROW(),COLUMN()-1,4))="42272504","Sets o kits de anestesia",""))</f>
        <v>Sets o kits de anestesia</v>
      </c>
      <c r="C3679" s="95" t="str">
        <f>IFERROR(VLOOKUP("UD",'Informacion '!P:Q,2,FALSE),"")</f>
        <v>Unidad</v>
      </c>
      <c r="D3679" s="94">
        <v>5</v>
      </c>
      <c r="E3679" s="84">
        <v>2000</v>
      </c>
      <c r="F3679" s="83">
        <f t="shared" ca="1" si="164"/>
        <v>10000</v>
      </c>
    </row>
    <row r="3680" spans="1:6" ht="14.1" customHeight="1" x14ac:dyDescent="0.25">
      <c r="A3680" s="94" t="s">
        <v>5349</v>
      </c>
      <c r="B3680" s="82" t="str">
        <f ca="1">IFERROR(INDEX(UNSPSCDes,MATCH(INDIRECT(ADDRESS(ROW(),COLUMN()-1,4)),UNSPSCCode,0)),IF(INDIRECT(ADDRESS(ROW(),COLUMN()-1,4))="42291609","Pinzas para uso quirúrgico",""))</f>
        <v>Pinzas para uso quirúrgico</v>
      </c>
      <c r="C3680" s="95" t="str">
        <f>IFERROR(VLOOKUP("UD",'Informacion '!P:Q,2,FALSE),"")</f>
        <v>Unidad</v>
      </c>
      <c r="D3680" s="94">
        <v>2</v>
      </c>
      <c r="E3680" s="84">
        <v>50000</v>
      </c>
      <c r="F3680" s="83">
        <f t="shared" ca="1" si="164"/>
        <v>100000</v>
      </c>
    </row>
    <row r="3681" spans="1:6" ht="14.1" customHeight="1" x14ac:dyDescent="0.25">
      <c r="A3681" s="94" t="s">
        <v>8991</v>
      </c>
      <c r="B3681" s="82" t="str">
        <f ca="1">IFERROR(INDEX(UNSPSCDes,MATCH(INDIRECT(ADDRESS(ROW(),COLUMN()-1,4)),UNSPSCCode,0)),IF(INDIRECT(ADDRESS(ROW(),COLUMN()-1,4))="26101766","Reguladores",""))</f>
        <v>Reguladores</v>
      </c>
      <c r="C3681" s="95" t="str">
        <f>IFERROR(VLOOKUP("UD",'Informacion '!P:Q,2,FALSE),"")</f>
        <v>Unidad</v>
      </c>
      <c r="D3681" s="94">
        <v>1</v>
      </c>
      <c r="E3681" s="84">
        <v>70000</v>
      </c>
      <c r="F3681" s="83">
        <f t="shared" ca="1" si="164"/>
        <v>70000</v>
      </c>
    </row>
    <row r="3682" spans="1:6" ht="14.1" customHeight="1" x14ac:dyDescent="0.25">
      <c r="A3682" s="94" t="s">
        <v>5739</v>
      </c>
      <c r="B3682" s="82" t="str">
        <f ca="1">IFERROR(INDEX(UNSPSCDes,MATCH(INDIRECT(ADDRESS(ROW(),COLUMN()-1,4)),UNSPSCCode,0)),IF(INDIRECT(ADDRESS(ROW(),COLUMN()-1,4))="42251804","Carros de halar o empujar o accesorios para rehabilitación o terapia",""))</f>
        <v>Carros de halar o empujar o accesorios para rehabilitación o terapia</v>
      </c>
      <c r="C3682" s="95" t="str">
        <f>IFERROR(VLOOKUP("UD",'Informacion '!P:Q,2,FALSE),"")</f>
        <v>Unidad</v>
      </c>
      <c r="D3682" s="94">
        <v>3</v>
      </c>
      <c r="E3682" s="84">
        <v>125000</v>
      </c>
      <c r="F3682" s="83">
        <f t="shared" ca="1" si="164"/>
        <v>375000</v>
      </c>
    </row>
    <row r="3683" spans="1:6" ht="14.1" customHeight="1" x14ac:dyDescent="0.25">
      <c r="A3683" s="94" t="s">
        <v>18391</v>
      </c>
      <c r="B3683" s="82" t="str">
        <f ca="1">IFERROR(INDEX(UNSPSCDes,MATCH(INDIRECT(ADDRESS(ROW(),COLUMN()-1,4)),UNSPSCCode,0)),IF(INDIRECT(ADDRESS(ROW(),COLUMN()-1,4))="42271719","Insuflador de oxígeno o sus accesorios",""))</f>
        <v>Insuflador de oxígeno o sus accesorios</v>
      </c>
      <c r="C3683" s="95" t="str">
        <f>IFERROR(VLOOKUP("UD",'Informacion '!P:Q,2,FALSE),"")</f>
        <v>Unidad</v>
      </c>
      <c r="D3683" s="94">
        <v>1</v>
      </c>
      <c r="E3683" s="84">
        <v>1000000</v>
      </c>
      <c r="F3683" s="83">
        <f t="shared" ca="1" si="164"/>
        <v>1000000</v>
      </c>
    </row>
    <row r="3684" spans="1:6" ht="14.1" customHeight="1" x14ac:dyDescent="0.25">
      <c r="A3684" s="94" t="s">
        <v>17394</v>
      </c>
      <c r="B3684" s="82" t="str">
        <f ca="1">IFERROR(INDEX(UNSPSCDes,MATCH(INDIRECT(ADDRESS(ROW(),COLUMN()-1,4)),UNSPSCCode,0)),IF(INDIRECT(ADDRESS(ROW(),COLUMN()-1,4))="42294701","Máquinas o accesorios de corazón y pulmones",""))</f>
        <v>Máquinas o accesorios de corazón y pulmones</v>
      </c>
      <c r="C3684" s="95" t="str">
        <f>IFERROR(VLOOKUP("UD",'Informacion '!P:Q,2,FALSE),"")</f>
        <v>Unidad</v>
      </c>
      <c r="D3684" s="94">
        <v>2</v>
      </c>
      <c r="E3684" s="84">
        <v>390000</v>
      </c>
      <c r="F3684" s="83">
        <f t="shared" ca="1" si="164"/>
        <v>780000</v>
      </c>
    </row>
    <row r="3685" spans="1:6" ht="14.1" customHeight="1" x14ac:dyDescent="0.25">
      <c r="A3685" s="94" t="s">
        <v>1696</v>
      </c>
      <c r="B3685" s="82" t="str">
        <f ca="1">IFERROR(INDEX(UNSPSCDes,MATCH(INDIRECT(ADDRESS(ROW(),COLUMN()-1,4)),UNSPSCCode,0)),IF(INDIRECT(ADDRESS(ROW(),COLUMN()-1,4))="47101504","Equipo de remoción de bacterias",""))</f>
        <v>Equipo de remoción de bacterias</v>
      </c>
      <c r="C3685" s="95" t="str">
        <f>IFERROR(VLOOKUP("UD",'Informacion '!P:Q,2,FALSE),"")</f>
        <v>Unidad</v>
      </c>
      <c r="D3685" s="94">
        <v>20</v>
      </c>
      <c r="E3685" s="84">
        <v>500</v>
      </c>
      <c r="F3685" s="83">
        <f t="shared" ca="1" si="164"/>
        <v>10000</v>
      </c>
    </row>
    <row r="3686" spans="1:6" ht="14.1" customHeight="1" x14ac:dyDescent="0.25">
      <c r="A3686" s="94" t="s">
        <v>3375</v>
      </c>
      <c r="B3686" s="82" t="str">
        <f ca="1">IFERROR(INDEX(UNSPSCDes,MATCH(INDIRECT(ADDRESS(ROW(),COLUMN()-1,4)),UNSPSCCode,0)),IF(INDIRECT(ADDRESS(ROW(),COLUMN()-1,4))="41103202","Máquinas lavadoras para laboratorio",""))</f>
        <v>Máquinas lavadoras para laboratorio</v>
      </c>
      <c r="C3686" s="95" t="str">
        <f>IFERROR(VLOOKUP("UD",'Informacion '!P:Q,2,FALSE),"")</f>
        <v>Unidad</v>
      </c>
      <c r="D3686" s="94">
        <v>2</v>
      </c>
      <c r="E3686" s="84">
        <v>100000</v>
      </c>
      <c r="F3686" s="83">
        <f t="shared" ca="1" si="164"/>
        <v>200000</v>
      </c>
    </row>
    <row r="3687" spans="1:6" ht="14.1" customHeight="1" x14ac:dyDescent="0.25">
      <c r="A3687" s="94" t="s">
        <v>12236</v>
      </c>
      <c r="B3687" s="82" t="str">
        <f ca="1">IFERROR(INDEX(UNSPSCDes,MATCH(INDIRECT(ADDRESS(ROW(),COLUMN()-1,4)),UNSPSCCode,0)),IF(INDIRECT(ADDRESS(ROW(),COLUMN()-1,4))="47111502","Máquinas lavadoras tipo lavandería",""))</f>
        <v>Máquinas lavadoras tipo lavandería</v>
      </c>
      <c r="C3687" s="95" t="str">
        <f>IFERROR(VLOOKUP("UD",'Informacion '!P:Q,2,FALSE),"")</f>
        <v>Unidad</v>
      </c>
      <c r="D3687" s="94">
        <v>1</v>
      </c>
      <c r="E3687" s="84">
        <v>15000</v>
      </c>
      <c r="F3687" s="83">
        <f t="shared" ca="1" si="164"/>
        <v>15000</v>
      </c>
    </row>
    <row r="3688" spans="1:6" ht="14.1" customHeight="1" x14ac:dyDescent="0.25">
      <c r="A3688" s="94" t="s">
        <v>11566</v>
      </c>
      <c r="B3688" s="82" t="str">
        <f ca="1">IFERROR(INDEX(UNSPSCDes,MATCH(INDIRECT(ADDRESS(ROW(),COLUMN()-1,4)),UNSPSCCode,0)),IF(INDIRECT(ADDRESS(ROW(),COLUMN()-1,4))="40101901","Vaporizadores",""))</f>
        <v>Vaporizadores</v>
      </c>
      <c r="C3688" s="95" t="str">
        <f>IFERROR(VLOOKUP("UD",'Informacion '!P:Q,2,FALSE),"")</f>
        <v>Unidad</v>
      </c>
      <c r="D3688" s="94">
        <v>5</v>
      </c>
      <c r="E3688" s="84">
        <v>90000</v>
      </c>
      <c r="F3688" s="83">
        <f t="shared" ca="1" si="164"/>
        <v>450000</v>
      </c>
    </row>
    <row r="3689" spans="1:6" ht="14.1" customHeight="1" x14ac:dyDescent="0.25">
      <c r="A3689" s="94" t="s">
        <v>1313</v>
      </c>
      <c r="B3689" s="82" t="str">
        <f ca="1">IFERROR(INDEX(UNSPSCDes,MATCH(INDIRECT(ADDRESS(ROW(),COLUMN()-1,4)),UNSPSCCode,0)),IF(INDIRECT(ADDRESS(ROW(),COLUMN()-1,4))="41101901","Fuentes de iones",""))</f>
        <v>Fuentes de iones</v>
      </c>
      <c r="C3689" s="95" t="str">
        <f>IFERROR(VLOOKUP("UD",'Informacion '!P:Q,2,FALSE),"")</f>
        <v>Unidad</v>
      </c>
      <c r="D3689" s="94">
        <v>1</v>
      </c>
      <c r="E3689" s="84">
        <v>50000</v>
      </c>
      <c r="F3689" s="83">
        <f t="shared" ca="1" si="164"/>
        <v>50000</v>
      </c>
    </row>
    <row r="3690" spans="1:6" ht="14.1" customHeight="1" x14ac:dyDescent="0.25">
      <c r="A3690" s="94" t="s">
        <v>6197</v>
      </c>
      <c r="B3690" s="82" t="str">
        <f ca="1">IFERROR(INDEX(UNSPSCDes,MATCH(INDIRECT(ADDRESS(ROW(),COLUMN()-1,4)),UNSPSCCode,0)),IF(INDIRECT(ADDRESS(ROW(),COLUMN()-1,4))="42201826","Kits de reparación de aparatos de rayos x para uso médico",""))</f>
        <v>Kits de reparación de aparatos de rayos x para uso médico</v>
      </c>
      <c r="C3690" s="95" t="str">
        <f>IFERROR(VLOOKUP("UD",'Informacion '!P:Q,2,FALSE),"")</f>
        <v>Unidad</v>
      </c>
      <c r="D3690" s="94">
        <v>2</v>
      </c>
      <c r="E3690" s="84">
        <v>300000</v>
      </c>
      <c r="F3690" s="83">
        <f t="shared" ca="1" si="164"/>
        <v>600000</v>
      </c>
    </row>
    <row r="3691" spans="1:6" ht="14.1" customHeight="1" x14ac:dyDescent="0.25">
      <c r="A3691" s="94" t="s">
        <v>19685</v>
      </c>
      <c r="B3691" s="82" t="str">
        <f ca="1">IFERROR(INDEX(UNSPSCDes,MATCH(INDIRECT(ADDRESS(ROW(),COLUMN()-1,4)),UNSPSCCode,0)),IF(INDIRECT(ADDRESS(ROW(),COLUMN()-1,4))="32101524","Variadores de fase",""))</f>
        <v>Variadores de fase</v>
      </c>
      <c r="C3691" s="95" t="str">
        <f>IFERROR(VLOOKUP("UD",'Informacion '!P:Q,2,FALSE),"")</f>
        <v>Unidad</v>
      </c>
      <c r="D3691" s="94">
        <v>1</v>
      </c>
      <c r="E3691" s="84">
        <v>80000</v>
      </c>
      <c r="F3691" s="83">
        <f t="shared" ca="1" si="164"/>
        <v>80000</v>
      </c>
    </row>
    <row r="3692" spans="1:6" ht="14.1" customHeight="1" x14ac:dyDescent="0.25">
      <c r="A3692" s="94" t="s">
        <v>18286</v>
      </c>
      <c r="B3692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3692" s="95" t="str">
        <f>IFERROR(VLOOKUP("UD",'Informacion '!P:Q,2,FALSE),"")</f>
        <v>Unidad</v>
      </c>
      <c r="D3692" s="94">
        <v>5</v>
      </c>
      <c r="E3692" s="84">
        <v>20000</v>
      </c>
      <c r="F3692" s="83">
        <f t="shared" ca="1" si="164"/>
        <v>100000</v>
      </c>
    </row>
    <row r="3693" spans="1:6" ht="14.1" customHeight="1" x14ac:dyDescent="0.25">
      <c r="A3693" s="94" t="s">
        <v>224</v>
      </c>
      <c r="B3693" s="82" t="str">
        <f ca="1">IFERROR(INDEX(UNSPSCDes,MATCH(INDIRECT(ADDRESS(ROW(),COLUMN()-1,4)),UNSPSCCode,0)),IF(INDIRECT(ADDRESS(ROW(),COLUMN()-1,4))="32101617","Tarjetas inteligentes",""))</f>
        <v>Tarjetas inteligentes</v>
      </c>
      <c r="C3693" s="95" t="str">
        <f>IFERROR(VLOOKUP("UD",'Informacion '!P:Q,2,FALSE),"")</f>
        <v>Unidad</v>
      </c>
      <c r="D3693" s="94">
        <v>1</v>
      </c>
      <c r="E3693" s="84">
        <v>100000</v>
      </c>
      <c r="F3693" s="83">
        <f t="shared" ca="1" si="164"/>
        <v>100000</v>
      </c>
    </row>
    <row r="3694" spans="1:6" ht="14.1" customHeight="1" x14ac:dyDescent="0.25">
      <c r="A3694" s="94" t="s">
        <v>14318</v>
      </c>
      <c r="B3694" s="82" t="str">
        <f ca="1">IFERROR(INDEX(UNSPSCDes,MATCH(INDIRECT(ADDRESS(ROW(),COLUMN()-1,4)),UNSPSCCode,0)),IF(INDIRECT(ADDRESS(ROW(),COLUMN()-1,4))="40161803","Papeles filtrantes",""))</f>
        <v>Papeles filtrantes</v>
      </c>
      <c r="C3694" s="95" t="str">
        <f>IFERROR(VLOOKUP("UD",'Informacion '!P:Q,2,FALSE),"")</f>
        <v>Unidad</v>
      </c>
      <c r="D3694" s="94">
        <v>50</v>
      </c>
      <c r="E3694" s="84">
        <v>300</v>
      </c>
      <c r="F3694" s="83">
        <f t="shared" ca="1" si="164"/>
        <v>15000</v>
      </c>
    </row>
    <row r="3695" spans="1:6" ht="14.1" customHeight="1" x14ac:dyDescent="0.25">
      <c r="A3695" s="94" t="s">
        <v>14318</v>
      </c>
      <c r="B3695" s="82" t="str">
        <f ca="1">IFERROR(INDEX(UNSPSCDes,MATCH(INDIRECT(ADDRESS(ROW(),COLUMN()-1,4)),UNSPSCCode,0)),IF(INDIRECT(ADDRESS(ROW(),COLUMN()-1,4))="40161803","Papeles filtrantes",""))</f>
        <v>Papeles filtrantes</v>
      </c>
      <c r="C3695" s="95" t="str">
        <f>IFERROR(VLOOKUP("UD",'Informacion '!P:Q,2,FALSE),"")</f>
        <v>Unidad</v>
      </c>
      <c r="D3695" s="94">
        <v>50</v>
      </c>
      <c r="E3695" s="84">
        <v>300</v>
      </c>
      <c r="F3695" s="83">
        <f t="shared" ca="1" si="164"/>
        <v>15000</v>
      </c>
    </row>
    <row r="3696" spans="1:6" ht="14.1" customHeight="1" x14ac:dyDescent="0.25">
      <c r="A3696" s="94" t="s">
        <v>18286</v>
      </c>
      <c r="B3696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3696" s="95" t="str">
        <f>IFERROR(VLOOKUP("UD",'Informacion '!P:Q,2,FALSE),"")</f>
        <v>Unidad</v>
      </c>
      <c r="D3696" s="94">
        <v>10</v>
      </c>
      <c r="E3696" s="84">
        <v>10000</v>
      </c>
      <c r="F3696" s="83">
        <f t="shared" ca="1" si="164"/>
        <v>100000</v>
      </c>
    </row>
    <row r="3697" spans="1:6" ht="14.1" customHeight="1" x14ac:dyDescent="0.25">
      <c r="A3697" s="94" t="s">
        <v>15896</v>
      </c>
      <c r="B3697" s="82" t="str">
        <f ca="1">IFERROR(INDEX(UNSPSCDes,MATCH(INDIRECT(ADDRESS(ROW(),COLUMN()-1,4)),UNSPSCCode,0)),IF(INDIRECT(ADDRESS(ROW(),COLUMN()-1,4))="42181804","Accesorios para sondas o sensores para oxímetros de pulso",""))</f>
        <v>Accesorios para sondas o sensores para oxímetros de pulso</v>
      </c>
      <c r="C3697" s="95" t="str">
        <f>IFERROR(VLOOKUP("UD",'Informacion '!P:Q,2,FALSE),"")</f>
        <v>Unidad</v>
      </c>
      <c r="D3697" s="94">
        <v>10</v>
      </c>
      <c r="E3697" s="84">
        <v>10000</v>
      </c>
      <c r="F3697" s="83">
        <f t="shared" ca="1" si="164"/>
        <v>100000</v>
      </c>
    </row>
    <row r="3698" spans="1:6" ht="14.1" customHeight="1" x14ac:dyDescent="0.25">
      <c r="A3698" s="94" t="s">
        <v>18286</v>
      </c>
      <c r="B3698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3698" s="95" t="str">
        <f>IFERROR(VLOOKUP("UD",'Informacion '!P:Q,2,FALSE),"")</f>
        <v>Unidad</v>
      </c>
      <c r="D3698" s="94">
        <v>10</v>
      </c>
      <c r="E3698" s="84">
        <v>3500</v>
      </c>
      <c r="F3698" s="83">
        <f t="shared" ca="1" si="164"/>
        <v>35000</v>
      </c>
    </row>
    <row r="3699" spans="1:6" ht="14.1" customHeight="1" x14ac:dyDescent="0.25">
      <c r="A3699" s="94" t="s">
        <v>18286</v>
      </c>
      <c r="B3699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3699" s="95" t="str">
        <f>IFERROR(VLOOKUP("UD",'Informacion '!P:Q,2,FALSE),"")</f>
        <v>Unidad</v>
      </c>
      <c r="D3699" s="94">
        <v>15</v>
      </c>
      <c r="E3699" s="84">
        <v>10000</v>
      </c>
      <c r="F3699" s="83">
        <f t="shared" ca="1" si="164"/>
        <v>150000</v>
      </c>
    </row>
    <row r="3700" spans="1:6" ht="14.1" customHeight="1" x14ac:dyDescent="0.25">
      <c r="A3700" s="94" t="s">
        <v>7030</v>
      </c>
      <c r="B3700" s="82" t="str">
        <f ca="1">IFERROR(INDEX(UNSPSCDes,MATCH(INDIRECT(ADDRESS(ROW(),COLUMN()-1,4)),UNSPSCCode,0)),IF(INDIRECT(ADDRESS(ROW(),COLUMN()-1,4))="42272220","Accesorios para ventiladores",""))</f>
        <v>Accesorios para ventiladores</v>
      </c>
      <c r="C3700" s="95" t="str">
        <f>IFERROR(VLOOKUP("UD",'Informacion '!P:Q,2,FALSE),"")</f>
        <v>Unidad</v>
      </c>
      <c r="D3700" s="94">
        <v>1</v>
      </c>
      <c r="E3700" s="84">
        <v>110000</v>
      </c>
      <c r="F3700" s="83">
        <f t="shared" ca="1" si="164"/>
        <v>110000</v>
      </c>
    </row>
    <row r="3701" spans="1:6" ht="14.1" customHeight="1" x14ac:dyDescent="0.25">
      <c r="A3701" s="94" t="s">
        <v>7030</v>
      </c>
      <c r="B3701" s="82" t="str">
        <f ca="1">IFERROR(INDEX(UNSPSCDes,MATCH(INDIRECT(ADDRESS(ROW(),COLUMN()-1,4)),UNSPSCCode,0)),IF(INDIRECT(ADDRESS(ROW(),COLUMN()-1,4))="42272220","Accesorios para ventiladores",""))</f>
        <v>Accesorios para ventiladores</v>
      </c>
      <c r="C3701" s="95" t="str">
        <f>IFERROR(VLOOKUP("UD",'Informacion '!P:Q,2,FALSE),"")</f>
        <v>Unidad</v>
      </c>
      <c r="D3701" s="94">
        <v>12</v>
      </c>
      <c r="E3701" s="84">
        <v>7000</v>
      </c>
      <c r="F3701" s="83">
        <f t="shared" ca="1" si="164"/>
        <v>84000</v>
      </c>
    </row>
    <row r="3702" spans="1:6" ht="14.1" customHeight="1" x14ac:dyDescent="0.25">
      <c r="A3702" s="94" t="s">
        <v>7030</v>
      </c>
      <c r="B3702" s="82" t="str">
        <f ca="1">IFERROR(INDEX(UNSPSCDes,MATCH(INDIRECT(ADDRESS(ROW(),COLUMN()-1,4)),UNSPSCCode,0)),IF(INDIRECT(ADDRESS(ROW(),COLUMN()-1,4))="42272220","Accesorios para ventiladores",""))</f>
        <v>Accesorios para ventiladores</v>
      </c>
      <c r="C3702" s="95" t="str">
        <f>IFERROR(VLOOKUP("UD",'Informacion '!P:Q,2,FALSE),"")</f>
        <v>Unidad</v>
      </c>
      <c r="D3702" s="94">
        <v>3</v>
      </c>
      <c r="E3702" s="84">
        <v>65000</v>
      </c>
      <c r="F3702" s="83">
        <f t="shared" ca="1" si="164"/>
        <v>195000</v>
      </c>
    </row>
    <row r="3703" spans="1:6" ht="14.1" customHeight="1" x14ac:dyDescent="0.25">
      <c r="A3703" s="94" t="s">
        <v>2729</v>
      </c>
      <c r="B3703" s="82" t="str">
        <f ca="1">IFERROR(INDEX(UNSPSCDes,MATCH(INDIRECT(ADDRESS(ROW(),COLUMN()-1,4)),UNSPSCCode,0)),IF(INDIRECT(ADDRESS(ROW(),COLUMN()-1,4))="39101602","Lámparas médicas",""))</f>
        <v>Lámparas médicas</v>
      </c>
      <c r="C3703" s="95" t="str">
        <f>IFERROR(VLOOKUP("UD",'Informacion '!P:Q,2,FALSE),"")</f>
        <v>Unidad</v>
      </c>
      <c r="D3703" s="94">
        <v>2</v>
      </c>
      <c r="E3703" s="84">
        <v>30000</v>
      </c>
      <c r="F3703" s="83">
        <f t="shared" ca="1" si="164"/>
        <v>60000</v>
      </c>
    </row>
    <row r="3704" spans="1:6" ht="14.1" customHeight="1" x14ac:dyDescent="0.25">
      <c r="A3704" s="94" t="s">
        <v>9701</v>
      </c>
      <c r="B3704" s="82" t="str">
        <f ca="1">IFERROR(INDEX(UNSPSCDes,MATCH(INDIRECT(ADDRESS(ROW(),COLUMN()-1,4)),UNSPSCCode,0)),IF(INDIRECT(ADDRESS(ROW(),COLUMN()-1,4))="42192001","Mesas de examen o procedimientos médicos para uso general",""))</f>
        <v>Mesas de examen o procedimientos médicos para uso general</v>
      </c>
      <c r="C3704" s="95" t="str">
        <f>IFERROR(VLOOKUP("UD",'Informacion '!P:Q,2,FALSE),"")</f>
        <v>Unidad</v>
      </c>
      <c r="D3704" s="94">
        <v>20</v>
      </c>
      <c r="E3704" s="84">
        <v>40000</v>
      </c>
      <c r="F3704" s="83">
        <f t="shared" ca="1" si="164"/>
        <v>800000</v>
      </c>
    </row>
    <row r="3705" spans="1:6" ht="14.1" customHeight="1" x14ac:dyDescent="0.25">
      <c r="A3705" s="94" t="s">
        <v>1063</v>
      </c>
      <c r="B3705" s="82" t="str">
        <f ca="1">IFERROR(INDEX(UNSPSCDes,MATCH(INDIRECT(ADDRESS(ROW(),COLUMN()-1,4)),UNSPSCCode,0)),IF(INDIRECT(ADDRESS(ROW(),COLUMN()-1,4))="42202703","Máquinas de rayos x de ortovoltaje para teleterapia radioterapia",""))</f>
        <v>Máquinas de rayos x de ortovoltaje para teleterapia radioterapia</v>
      </c>
      <c r="C3705" s="95" t="str">
        <f>IFERROR(VLOOKUP("UD",'Informacion '!P:Q,2,FALSE),"")</f>
        <v>Unidad</v>
      </c>
      <c r="D3705" s="94">
        <v>1</v>
      </c>
      <c r="E3705" s="84">
        <v>50000</v>
      </c>
      <c r="F3705" s="83">
        <f t="shared" ca="1" si="164"/>
        <v>50000</v>
      </c>
    </row>
    <row r="3706" spans="1:6" ht="14.1" customHeight="1" x14ac:dyDescent="0.25">
      <c r="A3706" s="94" t="s">
        <v>13372</v>
      </c>
      <c r="B3706" s="82" t="str">
        <f ca="1">IFERROR(INDEX(UNSPSCDes,MATCH(INDIRECT(ADDRESS(ROW(),COLUMN()-1,4)),UNSPSCCode,0)),IF(INDIRECT(ADDRESS(ROW(),COLUMN()-1,4))="20122306","Herramientas de calibración de cable de recuperación",""))</f>
        <v>Herramientas de calibración de cable de recuperación</v>
      </c>
      <c r="C3706" s="95" t="str">
        <f>IFERROR(VLOOKUP("UD",'Informacion '!P:Q,2,FALSE),"")</f>
        <v>Unidad</v>
      </c>
      <c r="D3706" s="94">
        <v>1</v>
      </c>
      <c r="E3706" s="84">
        <v>290000</v>
      </c>
      <c r="F3706" s="83">
        <f t="shared" ca="1" si="164"/>
        <v>290000</v>
      </c>
    </row>
    <row r="3707" spans="1:6" ht="14.1" customHeight="1" x14ac:dyDescent="0.25">
      <c r="A3707" s="94" t="s">
        <v>8594</v>
      </c>
      <c r="B3707" s="82" t="str">
        <f ca="1">IFERROR(INDEX(UNSPSCDes,MATCH(INDIRECT(ADDRESS(ROW(),COLUMN()-1,4)),UNSPSCCode,0)),IF(INDIRECT(ADDRESS(ROW(),COLUMN()-1,4))="41112209","Termostatos",""))</f>
        <v>Termostatos</v>
      </c>
      <c r="C3707" s="95" t="str">
        <f>IFERROR(VLOOKUP("UD",'Informacion '!P:Q,2,FALSE),"")</f>
        <v>Unidad</v>
      </c>
      <c r="D3707" s="94">
        <v>16</v>
      </c>
      <c r="E3707" s="84">
        <v>10000</v>
      </c>
      <c r="F3707" s="83">
        <f t="shared" ca="1" si="164"/>
        <v>160000</v>
      </c>
    </row>
    <row r="3708" spans="1:6" ht="14.1" customHeight="1" x14ac:dyDescent="0.25">
      <c r="A3708" s="94" t="s">
        <v>19341</v>
      </c>
      <c r="B3708" s="82" t="str">
        <f ca="1">IFERROR(INDEX(UNSPSCDes,MATCH(INDIRECT(ADDRESS(ROW(),COLUMN()-1,4)),UNSPSCCode,0)),IF(INDIRECT(ADDRESS(ROW(),COLUMN()-1,4))="56101514","Taburetes",""))</f>
        <v>Taburetes</v>
      </c>
      <c r="C3708" s="95" t="str">
        <f>IFERROR(VLOOKUP("UD",'Informacion '!P:Q,2,FALSE),"")</f>
        <v>Unidad</v>
      </c>
      <c r="D3708" s="94">
        <v>14</v>
      </c>
      <c r="E3708" s="84">
        <v>10000</v>
      </c>
      <c r="F3708" s="83">
        <f t="shared" ca="1" si="164"/>
        <v>140000</v>
      </c>
    </row>
    <row r="3709" spans="1:6" ht="14.1" customHeight="1" x14ac:dyDescent="0.25">
      <c r="A3709" s="94" t="s">
        <v>5135</v>
      </c>
      <c r="B3709" s="82" t="str">
        <f ca="1">IFERROR(INDEX(UNSPSCDes,MATCH(INDIRECT(ADDRESS(ROW(),COLUMN()-1,4)),UNSPSCCode,0)),IF(INDIRECT(ADDRESS(ROW(),COLUMN()-1,4))="39121108","Accesorios del panel de control o distribución",""))</f>
        <v>Accesorios del panel de control o distribución</v>
      </c>
      <c r="C3709" s="95" t="str">
        <f>IFERROR(VLOOKUP("UD",'Informacion '!P:Q,2,FALSE),"")</f>
        <v>Unidad</v>
      </c>
      <c r="D3709" s="94">
        <v>1</v>
      </c>
      <c r="E3709" s="84">
        <v>50000</v>
      </c>
      <c r="F3709" s="83">
        <f t="shared" ca="1" si="164"/>
        <v>50000</v>
      </c>
    </row>
    <row r="3710" spans="1:6" ht="14.1" customHeight="1" x14ac:dyDescent="0.25">
      <c r="A3710" s="94" t="s">
        <v>15450</v>
      </c>
      <c r="B3710" s="82" t="str">
        <f ca="1">IFERROR(INDEX(UNSPSCDes,MATCH(INDIRECT(ADDRESS(ROW(),COLUMN()-1,4)),UNSPSCCode,0)),IF(INDIRECT(ADDRESS(ROW(),COLUMN()-1,4))="81111805","Mantenimiento o soporte de sistemas patentados o autorizados",""))</f>
        <v>Mantenimiento o soporte de sistemas patentados o autorizados</v>
      </c>
      <c r="C3710" s="95" t="str">
        <f>IFERROR(VLOOKUP("UD",'Informacion '!P:Q,2,FALSE),"")</f>
        <v>Unidad</v>
      </c>
      <c r="D3710" s="94">
        <v>1</v>
      </c>
      <c r="E3710" s="84">
        <v>28000</v>
      </c>
      <c r="F3710" s="83">
        <f t="shared" ca="1" si="164"/>
        <v>28000</v>
      </c>
    </row>
    <row r="3711" spans="1:6" ht="14.1" customHeight="1" x14ac:dyDescent="0.25">
      <c r="A3711" s="94" t="s">
        <v>15450</v>
      </c>
      <c r="B3711" s="82" t="str">
        <f ca="1">IFERROR(INDEX(UNSPSCDes,MATCH(INDIRECT(ADDRESS(ROW(),COLUMN()-1,4)),UNSPSCCode,0)),IF(INDIRECT(ADDRESS(ROW(),COLUMN()-1,4))="81111805","Mantenimiento o soporte de sistemas patentados o autorizados",""))</f>
        <v>Mantenimiento o soporte de sistemas patentados o autorizados</v>
      </c>
      <c r="C3711" s="95" t="str">
        <f>IFERROR(VLOOKUP("UD",'Informacion '!P:Q,2,FALSE),"")</f>
        <v>Unidad</v>
      </c>
      <c r="D3711" s="94">
        <v>1</v>
      </c>
      <c r="E3711" s="84">
        <v>13000</v>
      </c>
      <c r="F3711" s="83">
        <f t="shared" ca="1" si="164"/>
        <v>13000</v>
      </c>
    </row>
    <row r="3712" spans="1:6" ht="14.1" customHeight="1" x14ac:dyDescent="0.25">
      <c r="A3712" s="94" t="s">
        <v>15450</v>
      </c>
      <c r="B3712" s="82" t="str">
        <f ca="1">IFERROR(INDEX(UNSPSCDes,MATCH(INDIRECT(ADDRESS(ROW(),COLUMN()-1,4)),UNSPSCCode,0)),IF(INDIRECT(ADDRESS(ROW(),COLUMN()-1,4))="81111805","Mantenimiento o soporte de sistemas patentados o autorizados",""))</f>
        <v>Mantenimiento o soporte de sistemas patentados o autorizados</v>
      </c>
      <c r="C3712" s="95" t="str">
        <f>IFERROR(VLOOKUP("UD",'Informacion '!P:Q,2,FALSE),"")</f>
        <v>Unidad</v>
      </c>
      <c r="D3712" s="94">
        <v>1</v>
      </c>
      <c r="E3712" s="84">
        <v>30000</v>
      </c>
      <c r="F3712" s="83">
        <f t="shared" ca="1" si="164"/>
        <v>30000</v>
      </c>
    </row>
    <row r="3713" spans="1:6" ht="14.1" customHeight="1" x14ac:dyDescent="0.25">
      <c r="A3713" s="94" t="s">
        <v>15450</v>
      </c>
      <c r="B3713" s="82" t="str">
        <f ca="1">IFERROR(INDEX(UNSPSCDes,MATCH(INDIRECT(ADDRESS(ROW(),COLUMN()-1,4)),UNSPSCCode,0)),IF(INDIRECT(ADDRESS(ROW(),COLUMN()-1,4))="81111805","Mantenimiento o soporte de sistemas patentados o autorizados",""))</f>
        <v>Mantenimiento o soporte de sistemas patentados o autorizados</v>
      </c>
      <c r="C3713" s="95" t="str">
        <f>IFERROR(VLOOKUP("UD",'Informacion '!P:Q,2,FALSE),"")</f>
        <v>Unidad</v>
      </c>
      <c r="D3713" s="94">
        <v>1</v>
      </c>
      <c r="E3713" s="84">
        <v>148000</v>
      </c>
      <c r="F3713" s="83">
        <f t="shared" ca="1" si="164"/>
        <v>148000</v>
      </c>
    </row>
    <row r="3714" spans="1:6" ht="14.1" customHeight="1" x14ac:dyDescent="0.25">
      <c r="A3714" s="94" t="s">
        <v>7408</v>
      </c>
      <c r="B3714" s="82" t="str">
        <f ca="1">IFERROR(INDEX(UNSPSCDes,MATCH(INDIRECT(ADDRESS(ROW(),COLUMN()-1,4)),UNSPSCCode,0)),IF(INDIRECT(ADDRESS(ROW(),COLUMN()-1,4))="40151506","Bombas de mano",""))</f>
        <v>Bombas de mano</v>
      </c>
      <c r="C3714" s="95" t="str">
        <f>IFERROR(VLOOKUP("UD",'Informacion '!P:Q,2,FALSE),"")</f>
        <v>Unidad</v>
      </c>
      <c r="D3714" s="94">
        <v>20</v>
      </c>
      <c r="E3714" s="84">
        <v>400</v>
      </c>
      <c r="F3714" s="83">
        <f t="shared" ref="F3714:F3777" ca="1" si="165">INDIRECT(ADDRESS(ROW(),COLUMN()-2,4))*INDIRECT(ADDRESS(ROW(),COLUMN()-1,4))</f>
        <v>8000</v>
      </c>
    </row>
    <row r="3715" spans="1:6" ht="14.1" customHeight="1" x14ac:dyDescent="0.25">
      <c r="A3715" s="94" t="s">
        <v>10699</v>
      </c>
      <c r="B3715" s="82" t="str">
        <f ca="1">IFERROR(INDEX(UNSPSCDes,MATCH(INDIRECT(ADDRESS(ROW(),COLUMN()-1,4)),UNSPSCCode,0)),IF(INDIRECT(ADDRESS(ROW(),COLUMN()-1,4))="41111621","Calibradores",""))</f>
        <v>Calibradores</v>
      </c>
      <c r="C3715" s="95" t="str">
        <f>IFERROR(VLOOKUP("UD",'Informacion '!P:Q,2,FALSE),"")</f>
        <v>Unidad</v>
      </c>
      <c r="D3715" s="94">
        <v>1</v>
      </c>
      <c r="E3715" s="84">
        <v>75000</v>
      </c>
      <c r="F3715" s="83">
        <f t="shared" ca="1" si="165"/>
        <v>75000</v>
      </c>
    </row>
    <row r="3716" spans="1:6" ht="14.1" customHeight="1" x14ac:dyDescent="0.25">
      <c r="A3716" s="94" t="s">
        <v>14095</v>
      </c>
      <c r="B3716" s="82" t="str">
        <f ca="1">IFERROR(INDEX(UNSPSCDes,MATCH(INDIRECT(ADDRESS(ROW(),COLUMN()-1,4)),UNSPSCCode,0)),IF(INDIRECT(ADDRESS(ROW(),COLUMN()-1,4))="42171602","Camillas o accesorios para ambulancias",""))</f>
        <v>Camillas o accesorios para ambulancias</v>
      </c>
      <c r="C3716" s="95" t="str">
        <f>IFERROR(VLOOKUP("UD",'Informacion '!P:Q,2,FALSE),"")</f>
        <v>Unidad</v>
      </c>
      <c r="D3716" s="94">
        <v>3</v>
      </c>
      <c r="E3716" s="84">
        <v>8000</v>
      </c>
      <c r="F3716" s="83">
        <f t="shared" ca="1" si="165"/>
        <v>24000</v>
      </c>
    </row>
    <row r="3717" spans="1:6" ht="14.1" customHeight="1" x14ac:dyDescent="0.25">
      <c r="A3717" s="94" t="s">
        <v>17934</v>
      </c>
      <c r="B3717" s="82" t="str">
        <f ca="1">IFERROR(INDEX(UNSPSCDes,MATCH(INDIRECT(ADDRESS(ROW(),COLUMN()-1,4)),UNSPSCCode,0)),IF(INDIRECT(ADDRESS(ROW(),COLUMN()-1,4))="42182101","Estetoscopios electrónicos o accesorios",""))</f>
        <v>Estetoscopios electrónicos o accesorios</v>
      </c>
      <c r="C3717" s="95" t="str">
        <f>IFERROR(VLOOKUP("UD",'Informacion '!P:Q,2,FALSE),"")</f>
        <v>Unidad</v>
      </c>
      <c r="D3717" s="94">
        <v>6</v>
      </c>
      <c r="E3717" s="84">
        <v>10000</v>
      </c>
      <c r="F3717" s="83">
        <f t="shared" ca="1" si="165"/>
        <v>60000</v>
      </c>
    </row>
    <row r="3718" spans="1:6" ht="14.1" customHeight="1" x14ac:dyDescent="0.25">
      <c r="A3718" s="94" t="s">
        <v>6935</v>
      </c>
      <c r="B3718" s="82" t="str">
        <f ca="1">IFERROR(INDEX(UNSPSCDes,MATCH(INDIRECT(ADDRESS(ROW(),COLUMN()-1,4)),UNSPSCCode,0)),IF(INDIRECT(ADDRESS(ROW(),COLUMN()-1,4))="42161617","Monitores de presión arterial para unidades de hemodiálisis",""))</f>
        <v>Monitores de presión arterial para unidades de hemodiálisis</v>
      </c>
      <c r="C3718" s="95" t="str">
        <f>IFERROR(VLOOKUP("UD",'Informacion '!P:Q,2,FALSE),"")</f>
        <v>Unidad</v>
      </c>
      <c r="D3718" s="94">
        <v>2</v>
      </c>
      <c r="E3718" s="84">
        <v>50000</v>
      </c>
      <c r="F3718" s="83">
        <f t="shared" ca="1" si="165"/>
        <v>100000</v>
      </c>
    </row>
    <row r="3719" spans="1:6" ht="14.1" customHeight="1" x14ac:dyDescent="0.25">
      <c r="A3719" s="94" t="s">
        <v>12</v>
      </c>
      <c r="B3719" s="82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3719" s="95" t="str">
        <f>IFERROR(VLOOKUP("UD",'Informacion '!P:Q,2,FALSE),"")</f>
        <v>Unidad</v>
      </c>
      <c r="D3719" s="94">
        <v>5</v>
      </c>
      <c r="E3719" s="84">
        <v>5000</v>
      </c>
      <c r="F3719" s="83">
        <f t="shared" ca="1" si="165"/>
        <v>25000</v>
      </c>
    </row>
    <row r="3720" spans="1:6" ht="14.1" customHeight="1" x14ac:dyDescent="0.25">
      <c r="A3720" s="94" t="s">
        <v>12</v>
      </c>
      <c r="B3720" s="82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3720" s="95" t="str">
        <f>IFERROR(VLOOKUP("UD",'Informacion '!P:Q,2,FALSE),"")</f>
        <v>Unidad</v>
      </c>
      <c r="D3720" s="94">
        <v>4</v>
      </c>
      <c r="E3720" s="84">
        <v>15000</v>
      </c>
      <c r="F3720" s="83">
        <f t="shared" ca="1" si="165"/>
        <v>60000</v>
      </c>
    </row>
    <row r="3721" spans="1:6" ht="14.1" customHeight="1" x14ac:dyDescent="0.25">
      <c r="A3721" s="94" t="s">
        <v>17934</v>
      </c>
      <c r="B3721" s="82" t="str">
        <f ca="1">IFERROR(INDEX(UNSPSCDes,MATCH(INDIRECT(ADDRESS(ROW(),COLUMN()-1,4)),UNSPSCCode,0)),IF(INDIRECT(ADDRESS(ROW(),COLUMN()-1,4))="42182101","Estetoscopios electrónicos o accesorios",""))</f>
        <v>Estetoscopios electrónicos o accesorios</v>
      </c>
      <c r="C3721" s="95" t="str">
        <f>IFERROR(VLOOKUP("UD",'Informacion '!P:Q,2,FALSE),"")</f>
        <v>Unidad</v>
      </c>
      <c r="D3721" s="94">
        <v>5</v>
      </c>
      <c r="E3721" s="84">
        <v>10000</v>
      </c>
      <c r="F3721" s="83">
        <f t="shared" ca="1" si="165"/>
        <v>50000</v>
      </c>
    </row>
    <row r="3722" spans="1:6" ht="14.1" customHeight="1" x14ac:dyDescent="0.25">
      <c r="A3722" s="94" t="s">
        <v>13839</v>
      </c>
      <c r="B3722" s="82" t="str">
        <f ca="1">IFERROR(INDEX(UNSPSCDes,MATCH(INDIRECT(ADDRESS(ROW(),COLUMN()-1,4)),UNSPSCCode,0)),IF(INDIRECT(ADDRESS(ROW(),COLUMN()-1,4))="41112501","Flujómetros",""))</f>
        <v>Flujómetros</v>
      </c>
      <c r="C3722" s="95" t="str">
        <f>IFERROR(VLOOKUP("UD",'Informacion '!P:Q,2,FALSE),"")</f>
        <v>Unidad</v>
      </c>
      <c r="D3722" s="94">
        <v>31</v>
      </c>
      <c r="E3722" s="84">
        <v>10000</v>
      </c>
      <c r="F3722" s="83">
        <f t="shared" ca="1" si="165"/>
        <v>310000</v>
      </c>
    </row>
    <row r="3723" spans="1:6" ht="14.1" customHeight="1" x14ac:dyDescent="0.25">
      <c r="A3723" s="94" t="s">
        <v>7800</v>
      </c>
      <c r="B3723" s="82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3723" s="95" t="str">
        <f>IFERROR(VLOOKUP("UD",'Informacion '!P:Q,2,FALSE),"")</f>
        <v>Unidad</v>
      </c>
      <c r="D3723" s="94">
        <v>2</v>
      </c>
      <c r="E3723" s="84">
        <v>25000</v>
      </c>
      <c r="F3723" s="83">
        <f t="shared" ca="1" si="165"/>
        <v>50000</v>
      </c>
    </row>
    <row r="3724" spans="1:6" ht="14.1" customHeight="1" x14ac:dyDescent="0.25">
      <c r="A3724" s="94" t="s">
        <v>7800</v>
      </c>
      <c r="B3724" s="82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3724" s="95" t="str">
        <f>IFERROR(VLOOKUP("UD",'Informacion '!P:Q,2,FALSE),"")</f>
        <v>Unidad</v>
      </c>
      <c r="D3724" s="94">
        <v>1</v>
      </c>
      <c r="E3724" s="84">
        <v>12000</v>
      </c>
      <c r="F3724" s="83">
        <f t="shared" ca="1" si="165"/>
        <v>12000</v>
      </c>
    </row>
    <row r="3725" spans="1:6" ht="14.1" customHeight="1" x14ac:dyDescent="0.25">
      <c r="A3725" s="94" t="s">
        <v>318</v>
      </c>
      <c r="B3725" s="82" t="str">
        <f ca="1">IFERROR(INDEX(UNSPSCDes,MATCH(INDIRECT(ADDRESS(ROW(),COLUMN()-1,4)),UNSPSCCode,0)),IF(INDIRECT(ADDRESS(ROW(),COLUMN()-1,4))="24111802","Tanques o cilindros de aire o gas",""))</f>
        <v>Tanques o cilindros de aire o gas</v>
      </c>
      <c r="C3725" s="95" t="str">
        <f>IFERROR(VLOOKUP("UD",'Informacion '!P:Q,2,FALSE),"")</f>
        <v>Unidad</v>
      </c>
      <c r="D3725" s="94">
        <v>1</v>
      </c>
      <c r="E3725" s="84">
        <v>136600</v>
      </c>
      <c r="F3725" s="83">
        <f t="shared" ca="1" si="165"/>
        <v>136600</v>
      </c>
    </row>
    <row r="3726" spans="1:6" ht="14.1" customHeight="1" x14ac:dyDescent="0.25">
      <c r="A3726" s="94" t="s">
        <v>3993</v>
      </c>
      <c r="B3726" s="82" t="str">
        <f ca="1">IFERROR(INDEX(UNSPSCDes,MATCH(INDIRECT(ADDRESS(ROW(),COLUMN()-1,4)),UNSPSCCode,0)),IF(INDIRECT(ADDRESS(ROW(),COLUMN()-1,4))="42261512","Sierras para autopsias",""))</f>
        <v>Sierras para autopsias</v>
      </c>
      <c r="C3726" s="95" t="str">
        <f>IFERROR(VLOOKUP("UD",'Informacion '!P:Q,2,FALSE),"")</f>
        <v>Unidad</v>
      </c>
      <c r="D3726" s="94">
        <v>10</v>
      </c>
      <c r="E3726" s="84">
        <v>7000</v>
      </c>
      <c r="F3726" s="83">
        <f t="shared" ca="1" si="165"/>
        <v>70000</v>
      </c>
    </row>
    <row r="3727" spans="1:6" ht="14.1" customHeight="1" x14ac:dyDescent="0.25">
      <c r="A3727" s="94" t="s">
        <v>11491</v>
      </c>
      <c r="B3727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727" s="95" t="str">
        <f>IFERROR(VLOOKUP("UD",'Informacion '!P:Q,2,FALSE),"")</f>
        <v>Unidad</v>
      </c>
      <c r="D3727" s="94">
        <v>1</v>
      </c>
      <c r="E3727" s="84">
        <v>33000</v>
      </c>
      <c r="F3727" s="83">
        <f t="shared" ca="1" si="165"/>
        <v>33000</v>
      </c>
    </row>
    <row r="3728" spans="1:6" ht="14.1" customHeight="1" x14ac:dyDescent="0.25">
      <c r="A3728" s="94" t="s">
        <v>45</v>
      </c>
      <c r="B3728" s="82" t="str">
        <f ca="1">IFERROR(INDEX(UNSPSCDes,MATCH(INDIRECT(ADDRESS(ROW(),COLUMN()-1,4)),UNSPSCCode,0)),IF(INDIRECT(ADDRESS(ROW(),COLUMN()-1,4))="41103011","Refrigeradores para propósitos generales o neveras congeladores",""))</f>
        <v>Refrigeradores para propósitos generales o neveras congeladores</v>
      </c>
      <c r="C3728" s="95" t="str">
        <f>IFERROR(VLOOKUP("UD",'Informacion '!P:Q,2,FALSE),"")</f>
        <v>Unidad</v>
      </c>
      <c r="D3728" s="94">
        <v>4</v>
      </c>
      <c r="E3728" s="84">
        <v>13000</v>
      </c>
      <c r="F3728" s="83">
        <f t="shared" ca="1" si="165"/>
        <v>52000</v>
      </c>
    </row>
    <row r="3729" spans="1:6" ht="14.1" customHeight="1" x14ac:dyDescent="0.25">
      <c r="A3729" s="94" t="s">
        <v>2062</v>
      </c>
      <c r="B3729" s="82" t="str">
        <f ca="1">IFERROR(INDEX(UNSPSCDes,MATCH(INDIRECT(ADDRESS(ROW(),COLUMN()-1,4)),UNSPSCCode,0)),IF(INDIRECT(ADDRESS(ROW(),COLUMN()-1,4))="31162702","Ruedas",""))</f>
        <v>Ruedas</v>
      </c>
      <c r="C3729" s="95" t="str">
        <f>IFERROR(VLOOKUP("UD",'Informacion '!P:Q,2,FALSE),"")</f>
        <v>Unidad</v>
      </c>
      <c r="D3729" s="94">
        <v>4</v>
      </c>
      <c r="E3729" s="84">
        <v>2500</v>
      </c>
      <c r="F3729" s="83">
        <f t="shared" ca="1" si="165"/>
        <v>10000</v>
      </c>
    </row>
    <row r="3730" spans="1:6" ht="14.1" customHeight="1" x14ac:dyDescent="0.25">
      <c r="A3730" s="94" t="s">
        <v>9202</v>
      </c>
      <c r="B3730" s="82" t="str">
        <f ca="1">IFERROR(INDEX(UNSPSCDes,MATCH(INDIRECT(ADDRESS(ROW(),COLUMN()-1,4)),UNSPSCCode,0)),IF(INDIRECT(ADDRESS(ROW(),COLUMN()-1,4))="30222408","Sala de patología",""))</f>
        <v>Sala de patología</v>
      </c>
      <c r="C3730" s="95" t="str">
        <f>IFERROR(VLOOKUP("UD",'Informacion '!P:Q,2,FALSE),"")</f>
        <v>Unidad</v>
      </c>
      <c r="D3730" s="94">
        <v>1</v>
      </c>
      <c r="E3730" s="84">
        <v>7000</v>
      </c>
      <c r="F3730" s="83">
        <f t="shared" ca="1" si="165"/>
        <v>7000</v>
      </c>
    </row>
    <row r="3731" spans="1:6" ht="14.1" customHeight="1" x14ac:dyDescent="0.25">
      <c r="A3731" s="94" t="s">
        <v>10618</v>
      </c>
      <c r="B3731" s="82" t="str">
        <f ca="1">IFERROR(INDEX(UNSPSCDes,MATCH(INDIRECT(ADDRESS(ROW(),COLUMN()-1,4)),UNSPSCCode,0)),IF(INDIRECT(ADDRESS(ROW(),COLUMN()-1,4))="41102916","Micrótomos",""))</f>
        <v>Micrótomos</v>
      </c>
      <c r="C3731" s="95" t="str">
        <f>IFERROR(VLOOKUP("UD",'Informacion '!P:Q,2,FALSE),"")</f>
        <v>Unidad</v>
      </c>
      <c r="D3731" s="94">
        <v>1</v>
      </c>
      <c r="E3731" s="84">
        <v>25000</v>
      </c>
      <c r="F3731" s="83">
        <f t="shared" ca="1" si="165"/>
        <v>25000</v>
      </c>
    </row>
    <row r="3732" spans="1:6" ht="14.1" customHeight="1" x14ac:dyDescent="0.25">
      <c r="A3732" s="94" t="s">
        <v>2092</v>
      </c>
      <c r="B3732" s="82" t="str">
        <f ca="1">IFERROR(INDEX(UNSPSCDes,MATCH(INDIRECT(ADDRESS(ROW(),COLUMN()-1,4)),UNSPSCCode,0)),IF(INDIRECT(ADDRESS(ROW(),COLUMN()-1,4))="41111704","Iluminadores para microscopios",""))</f>
        <v>Iluminadores para microscopios</v>
      </c>
      <c r="C3732" s="95" t="str">
        <f>IFERROR(VLOOKUP("UD",'Informacion '!P:Q,2,FALSE),"")</f>
        <v>Unidad</v>
      </c>
      <c r="D3732" s="94">
        <v>5</v>
      </c>
      <c r="E3732" s="84">
        <v>2500</v>
      </c>
      <c r="F3732" s="83">
        <f t="shared" ca="1" si="165"/>
        <v>12500</v>
      </c>
    </row>
    <row r="3733" spans="1:6" ht="14.1" customHeight="1" x14ac:dyDescent="0.25">
      <c r="A3733" s="94" t="s">
        <v>10236</v>
      </c>
      <c r="B3733" s="82" t="str">
        <f ca="1">IFERROR(INDEX(UNSPSCDes,MATCH(INDIRECT(ADDRESS(ROW(),COLUMN()-1,4)),UNSPSCCode,0)),IF(INDIRECT(ADDRESS(ROW(),COLUMN()-1,4))="32101626","Microprocesadores",""))</f>
        <v>Microprocesadores</v>
      </c>
      <c r="C3733" s="95" t="str">
        <f>IFERROR(VLOOKUP("UD",'Informacion '!P:Q,2,FALSE),"")</f>
        <v>Unidad</v>
      </c>
      <c r="D3733" s="94">
        <v>1</v>
      </c>
      <c r="E3733" s="84">
        <v>25000</v>
      </c>
      <c r="F3733" s="83">
        <f t="shared" ca="1" si="165"/>
        <v>25000</v>
      </c>
    </row>
    <row r="3734" spans="1:6" ht="14.1" customHeight="1" x14ac:dyDescent="0.25">
      <c r="A3734" s="94" t="s">
        <v>6776</v>
      </c>
      <c r="B3734" s="82" t="str">
        <f ca="1">IFERROR(INDEX(UNSPSCDes,MATCH(INDIRECT(ADDRESS(ROW(),COLUMN()-1,4)),UNSPSCCode,0)),IF(INDIRECT(ADDRESS(ROW(),COLUMN()-1,4))="40141908","Conductos o red de conductos de plomo",""))</f>
        <v>Conductos o red de conductos de plomo</v>
      </c>
      <c r="C3734" s="95" t="str">
        <f>IFERROR(VLOOKUP("UD",'Informacion '!P:Q,2,FALSE),"")</f>
        <v>Unidad</v>
      </c>
      <c r="D3734" s="94">
        <v>1</v>
      </c>
      <c r="E3734" s="84">
        <v>50000</v>
      </c>
      <c r="F3734" s="83">
        <f t="shared" ca="1" si="165"/>
        <v>50000</v>
      </c>
    </row>
    <row r="3735" spans="1:6" ht="14.1" customHeight="1" x14ac:dyDescent="0.25">
      <c r="A3735" s="94" t="s">
        <v>13385</v>
      </c>
      <c r="B3735" s="82" t="str">
        <f ca="1">IFERROR(INDEX(UNSPSCDes,MATCH(INDIRECT(ADDRESS(ROW(),COLUMN()-1,4)),UNSPSCCode,0)),IF(INDIRECT(ADDRESS(ROW(),COLUMN()-1,4))="31161514","Tornillos de soldadura",""))</f>
        <v>Tornillos de soldadura</v>
      </c>
      <c r="C3735" s="95" t="str">
        <f>IFERROR(VLOOKUP("UD",'Informacion '!P:Q,2,FALSE),"")</f>
        <v>Unidad</v>
      </c>
      <c r="D3735" s="94">
        <v>1</v>
      </c>
      <c r="E3735" s="84">
        <v>9500</v>
      </c>
      <c r="F3735" s="83">
        <f t="shared" ca="1" si="165"/>
        <v>9500</v>
      </c>
    </row>
    <row r="3736" spans="1:6" ht="14.1" customHeight="1" x14ac:dyDescent="0.25">
      <c r="A3736" s="94" t="s">
        <v>13051</v>
      </c>
      <c r="B3736" s="82" t="str">
        <f ca="1">IFERROR(INDEX(UNSPSCDes,MATCH(INDIRECT(ADDRESS(ROW(),COLUMN()-1,4)),UNSPSCCode,0)),IF(INDIRECT(ADDRESS(ROW(),COLUMN()-1,4))="42311502","Kits de inicio de vendajes o compresas",""))</f>
        <v>Kits de inicio de vendajes o compresas</v>
      </c>
      <c r="C3736" s="95" t="str">
        <f>IFERROR(VLOOKUP("UD",'Informacion '!P:Q,2,FALSE),"")</f>
        <v>Unidad</v>
      </c>
      <c r="D3736" s="94">
        <v>10</v>
      </c>
      <c r="E3736" s="84">
        <v>1000</v>
      </c>
      <c r="F3736" s="83">
        <f t="shared" ca="1" si="165"/>
        <v>10000</v>
      </c>
    </row>
    <row r="3737" spans="1:6" ht="14.1" customHeight="1" x14ac:dyDescent="0.25">
      <c r="A3737" s="94" t="s">
        <v>7683</v>
      </c>
      <c r="B3737" s="82" t="str">
        <f ca="1">IFERROR(INDEX(UNSPSCDes,MATCH(INDIRECT(ADDRESS(ROW(),COLUMN()-1,4)),UNSPSCCode,0)),IF(INDIRECT(ADDRESS(ROW(),COLUMN()-1,4))="42241802","Fieltros de recubrimiento ortopédico para la espalda o lumbares o para el sacro",""))</f>
        <v>Fieltros de recubrimiento ortopédico para la espalda o lumbares o para el sacro</v>
      </c>
      <c r="C3737" s="95" t="str">
        <f>IFERROR(VLOOKUP("UD",'Informacion '!P:Q,2,FALSE),"")</f>
        <v>Unidad</v>
      </c>
      <c r="D3737" s="94">
        <v>1</v>
      </c>
      <c r="E3737" s="84">
        <v>400000</v>
      </c>
      <c r="F3737" s="83">
        <f t="shared" ca="1" si="165"/>
        <v>400000</v>
      </c>
    </row>
    <row r="3738" spans="1:6" ht="14.1" customHeight="1" x14ac:dyDescent="0.25">
      <c r="A3738" s="94" t="s">
        <v>19130</v>
      </c>
      <c r="B3738" s="82" t="str">
        <f ca="1">IFERROR(INDEX(UNSPSCDes,MATCH(INDIRECT(ADDRESS(ROW(),COLUMN()-1,4)),UNSPSCCode,0)),IF(INDIRECT(ADDRESS(ROW(),COLUMN()-1,4))="42251706","Caminadoras o bicicletas o ejercitadoras de manera de caminar",""))</f>
        <v>Caminadoras o bicicletas o ejercitadoras de manera de caminar</v>
      </c>
      <c r="C3738" s="95" t="str">
        <f>IFERROR(VLOOKUP("UD",'Informacion '!P:Q,2,FALSE),"")</f>
        <v>Unidad</v>
      </c>
      <c r="D3738" s="94">
        <v>1</v>
      </c>
      <c r="E3738" s="84">
        <v>6000</v>
      </c>
      <c r="F3738" s="83">
        <f t="shared" ca="1" si="165"/>
        <v>6000</v>
      </c>
    </row>
    <row r="3739" spans="1:6" ht="14.1" customHeight="1" x14ac:dyDescent="0.25">
      <c r="A3739" s="94" t="s">
        <v>19130</v>
      </c>
      <c r="B3739" s="82" t="str">
        <f ca="1">IFERROR(INDEX(UNSPSCDes,MATCH(INDIRECT(ADDRESS(ROW(),COLUMN()-1,4)),UNSPSCCode,0)),IF(INDIRECT(ADDRESS(ROW(),COLUMN()-1,4))="42251706","Caminadoras o bicicletas o ejercitadoras de manera de caminar",""))</f>
        <v>Caminadoras o bicicletas o ejercitadoras de manera de caminar</v>
      </c>
      <c r="C3739" s="95" t="str">
        <f>IFERROR(VLOOKUP("UD",'Informacion '!P:Q,2,FALSE),"")</f>
        <v>Unidad</v>
      </c>
      <c r="D3739" s="94">
        <v>1</v>
      </c>
      <c r="E3739" s="84">
        <v>6000</v>
      </c>
      <c r="F3739" s="83">
        <f t="shared" ca="1" si="165"/>
        <v>6000</v>
      </c>
    </row>
    <row r="3740" spans="1:6" ht="14.1" customHeight="1" x14ac:dyDescent="0.25">
      <c r="A3740" s="94" t="s">
        <v>19130</v>
      </c>
      <c r="B3740" s="82" t="str">
        <f ca="1">IFERROR(INDEX(UNSPSCDes,MATCH(INDIRECT(ADDRESS(ROW(),COLUMN()-1,4)),UNSPSCCode,0)),IF(INDIRECT(ADDRESS(ROW(),COLUMN()-1,4))="42251706","Caminadoras o bicicletas o ejercitadoras de manera de caminar",""))</f>
        <v>Caminadoras o bicicletas o ejercitadoras de manera de caminar</v>
      </c>
      <c r="C3740" s="95" t="str">
        <f>IFERROR(VLOOKUP("UD",'Informacion '!P:Q,2,FALSE),"")</f>
        <v>Unidad</v>
      </c>
      <c r="D3740" s="94">
        <v>1</v>
      </c>
      <c r="E3740" s="84">
        <v>6000</v>
      </c>
      <c r="F3740" s="83">
        <f t="shared" ca="1" si="165"/>
        <v>6000</v>
      </c>
    </row>
    <row r="3741" spans="1:6" ht="14.1" customHeight="1" x14ac:dyDescent="0.25">
      <c r="A3741" s="94" t="s">
        <v>19130</v>
      </c>
      <c r="B3741" s="82" t="str">
        <f ca="1">IFERROR(INDEX(UNSPSCDes,MATCH(INDIRECT(ADDRESS(ROW(),COLUMN()-1,4)),UNSPSCCode,0)),IF(INDIRECT(ADDRESS(ROW(),COLUMN()-1,4))="42251706","Caminadoras o bicicletas o ejercitadoras de manera de caminar",""))</f>
        <v>Caminadoras o bicicletas o ejercitadoras de manera de caminar</v>
      </c>
      <c r="C3741" s="95" t="str">
        <f>IFERROR(VLOOKUP("UD",'Informacion '!P:Q,2,FALSE),"")</f>
        <v>Unidad</v>
      </c>
      <c r="D3741" s="94">
        <v>1</v>
      </c>
      <c r="E3741" s="84">
        <v>6000</v>
      </c>
      <c r="F3741" s="83">
        <f t="shared" ca="1" si="165"/>
        <v>6000</v>
      </c>
    </row>
    <row r="3742" spans="1:6" ht="14.1" customHeight="1" x14ac:dyDescent="0.25">
      <c r="A3742" s="94" t="s">
        <v>11215</v>
      </c>
      <c r="B3742" s="82" t="str">
        <f ca="1">IFERROR(INDEX(UNSPSCDes,MATCH(INDIRECT(ADDRESS(ROW(),COLUMN()-1,4)),UNSPSCCode,0)),IF(INDIRECT(ADDRESS(ROW(),COLUMN()-1,4))="27111701","Destornilladores",""))</f>
        <v>Destornilladores</v>
      </c>
      <c r="C3742" s="95" t="str">
        <f>IFERROR(VLOOKUP("UD",'Informacion '!P:Q,2,FALSE),"")</f>
        <v>Unidad</v>
      </c>
      <c r="D3742" s="94">
        <v>1</v>
      </c>
      <c r="E3742" s="84">
        <v>400</v>
      </c>
      <c r="F3742" s="83">
        <f t="shared" ca="1" si="165"/>
        <v>400</v>
      </c>
    </row>
    <row r="3743" spans="1:6" ht="14.1" customHeight="1" x14ac:dyDescent="0.25">
      <c r="A3743" s="94" t="s">
        <v>4545</v>
      </c>
      <c r="B3743" s="82" t="str">
        <f ca="1">IFERROR(INDEX(UNSPSCDes,MATCH(INDIRECT(ADDRESS(ROW(),COLUMN()-1,4)),UNSPSCCode,0)),IF(INDIRECT(ADDRESS(ROW(),COLUMN()-1,4))="39121308","Cajas de toma de corriente",""))</f>
        <v>Cajas de toma de corriente</v>
      </c>
      <c r="C3743" s="95" t="str">
        <f>IFERROR(VLOOKUP("UD",'Informacion '!P:Q,2,FALSE),"")</f>
        <v>Unidad</v>
      </c>
      <c r="D3743" s="94">
        <v>25</v>
      </c>
      <c r="E3743" s="84">
        <v>400</v>
      </c>
      <c r="F3743" s="83">
        <f t="shared" ca="1" si="165"/>
        <v>10000</v>
      </c>
    </row>
    <row r="3744" spans="1:6" ht="14.1" customHeight="1" x14ac:dyDescent="0.25">
      <c r="A3744" s="94" t="s">
        <v>561</v>
      </c>
      <c r="B3744" s="82" t="str">
        <f ca="1">IFERROR(INDEX(UNSPSCDes,MATCH(INDIRECT(ADDRESS(ROW(),COLUMN()-1,4)),UNSPSCCode,0)),IF(INDIRECT(ADDRESS(ROW(),COLUMN()-1,4))="39121402","Enchufes eléctricos",""))</f>
        <v>Enchufes eléctricos</v>
      </c>
      <c r="C3744" s="95" t="str">
        <f>IFERROR(VLOOKUP("UD",'Informacion '!P:Q,2,FALSE),"")</f>
        <v>Unidad</v>
      </c>
      <c r="D3744" s="94">
        <v>10</v>
      </c>
      <c r="E3744" s="84">
        <v>420</v>
      </c>
      <c r="F3744" s="83">
        <f t="shared" ca="1" si="165"/>
        <v>4200</v>
      </c>
    </row>
    <row r="3745" spans="1:6" ht="14.1" customHeight="1" x14ac:dyDescent="0.25">
      <c r="A3745" s="94" t="s">
        <v>14015</v>
      </c>
      <c r="B3745" s="82" t="str">
        <f ca="1">IFERROR(INDEX(UNSPSCDes,MATCH(INDIRECT(ADDRESS(ROW(),COLUMN()-1,4)),UNSPSCCode,0)),IF(INDIRECT(ADDRESS(ROW(),COLUMN()-1,4))="42191711","Tanques de aire comprimido o accesorios para uso quirúrgico",""))</f>
        <v>Tanques de aire comprimido o accesorios para uso quirúrgico</v>
      </c>
      <c r="C3745" s="95" t="str">
        <f>IFERROR(VLOOKUP("UD",'Informacion '!P:Q,2,FALSE),"")</f>
        <v>Unidad</v>
      </c>
      <c r="D3745" s="94">
        <v>12</v>
      </c>
      <c r="E3745" s="84">
        <v>500</v>
      </c>
      <c r="F3745" s="83">
        <f t="shared" ca="1" si="165"/>
        <v>6000</v>
      </c>
    </row>
    <row r="3746" spans="1:6" ht="14.1" customHeight="1" x14ac:dyDescent="0.25">
      <c r="A3746" s="94" t="s">
        <v>3616</v>
      </c>
      <c r="B3746" s="82" t="str">
        <f ca="1">IFERROR(INDEX(UNSPSCDes,MATCH(INDIRECT(ADDRESS(ROW(),COLUMN()-1,4)),UNSPSCCode,0)),IF(INDIRECT(ADDRESS(ROW(),COLUMN()-1,4))="42182601","Luces o lámparas de pie para exámenes médicos",""))</f>
        <v>Luces o lámparas de pie para exámenes médicos</v>
      </c>
      <c r="C3746" s="95" t="str">
        <f>IFERROR(VLOOKUP("UD",'Informacion '!P:Q,2,FALSE),"")</f>
        <v>Unidad</v>
      </c>
      <c r="D3746" s="94">
        <v>1</v>
      </c>
      <c r="E3746" s="84">
        <v>3500</v>
      </c>
      <c r="F3746" s="83">
        <f t="shared" ca="1" si="165"/>
        <v>3500</v>
      </c>
    </row>
    <row r="3747" spans="1:6" ht="14.1" customHeight="1" x14ac:dyDescent="0.25">
      <c r="A3747" s="94" t="s">
        <v>11841</v>
      </c>
      <c r="B3747" s="82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3747" s="95" t="str">
        <f>IFERROR(VLOOKUP("UD",'Informacion '!P:Q,2,FALSE),"")</f>
        <v>Unidad</v>
      </c>
      <c r="D3747" s="94">
        <v>5</v>
      </c>
      <c r="E3747" s="84">
        <v>600</v>
      </c>
      <c r="F3747" s="83">
        <f t="shared" ca="1" si="165"/>
        <v>3000</v>
      </c>
    </row>
    <row r="3748" spans="1:6" ht="14.1" customHeight="1" x14ac:dyDescent="0.25">
      <c r="A3748" s="94" t="s">
        <v>11841</v>
      </c>
      <c r="B3748" s="82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3748" s="95" t="str">
        <f>IFERROR(VLOOKUP("UD",'Informacion '!P:Q,2,FALSE),"")</f>
        <v>Unidad</v>
      </c>
      <c r="D3748" s="94">
        <v>4</v>
      </c>
      <c r="E3748" s="84">
        <v>400</v>
      </c>
      <c r="F3748" s="83">
        <f t="shared" ca="1" si="165"/>
        <v>1600</v>
      </c>
    </row>
    <row r="3749" spans="1:6" ht="14.1" customHeight="1" x14ac:dyDescent="0.25">
      <c r="A3749" s="94" t="s">
        <v>11841</v>
      </c>
      <c r="B3749" s="82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3749" s="95" t="str">
        <f>IFERROR(VLOOKUP("UD",'Informacion '!P:Q,2,FALSE),"")</f>
        <v>Unidad</v>
      </c>
      <c r="D3749" s="94">
        <v>5</v>
      </c>
      <c r="E3749" s="84">
        <v>500</v>
      </c>
      <c r="F3749" s="83">
        <f t="shared" ca="1" si="165"/>
        <v>2500</v>
      </c>
    </row>
    <row r="3750" spans="1:6" ht="14.1" customHeight="1" x14ac:dyDescent="0.25">
      <c r="A3750" s="94" t="s">
        <v>8106</v>
      </c>
      <c r="B3750" s="82" t="str">
        <f ca="1">IFERROR(INDEX(UNSPSCDes,MATCH(INDIRECT(ADDRESS(ROW(),COLUMN()-1,4)),UNSPSCCode,0)),IF(INDIRECT(ADDRESS(ROW(),COLUMN()-1,4))="40151601","Compresores de aire",""))</f>
        <v>Compresores de aire</v>
      </c>
      <c r="C3750" s="95" t="str">
        <f>IFERROR(VLOOKUP("UD",'Informacion '!P:Q,2,FALSE),"")</f>
        <v>Unidad</v>
      </c>
      <c r="D3750" s="94">
        <v>1</v>
      </c>
      <c r="E3750" s="84">
        <v>8000</v>
      </c>
      <c r="F3750" s="83">
        <f t="shared" ca="1" si="165"/>
        <v>8000</v>
      </c>
    </row>
    <row r="3751" spans="1:6" ht="14.1" customHeight="1" x14ac:dyDescent="0.25">
      <c r="A3751" s="94" t="s">
        <v>4875</v>
      </c>
      <c r="B3751" s="82" t="str">
        <f ca="1">IFERROR(INDEX(UNSPSCDes,MATCH(INDIRECT(ADDRESS(ROW(),COLUMN()-1,4)),UNSPSCCode,0)),IF(INDIRECT(ADDRESS(ROW(),COLUMN()-1,4))="31211502","Pinturas de agua",""))</f>
        <v>Pinturas de agua</v>
      </c>
      <c r="C3751" s="95" t="str">
        <f>IFERROR(VLOOKUP("UD",'Informacion '!P:Q,2,FALSE),"")</f>
        <v>Unidad</v>
      </c>
      <c r="D3751" s="94">
        <v>1</v>
      </c>
      <c r="E3751" s="84">
        <v>10000</v>
      </c>
      <c r="F3751" s="83">
        <f t="shared" ca="1" si="165"/>
        <v>10000</v>
      </c>
    </row>
    <row r="3752" spans="1:6" ht="14.1" customHeight="1" x14ac:dyDescent="0.25">
      <c r="A3752" s="94" t="s">
        <v>1637</v>
      </c>
      <c r="B3752" s="82" t="str">
        <f ca="1">IFERROR(INDEX(UNSPSCDes,MATCH(INDIRECT(ADDRESS(ROW(),COLUMN()-1,4)),UNSPSCCode,0)),IF(INDIRECT(ADDRESS(ROW(),COLUMN()-1,4))="53111501","Botas para hombre",""))</f>
        <v>Botas para hombre</v>
      </c>
      <c r="C3752" s="95" t="str">
        <f>IFERROR(VLOOKUP("UD",'Informacion '!P:Q,2,FALSE),"")</f>
        <v>Unidad</v>
      </c>
      <c r="D3752" s="94">
        <v>3</v>
      </c>
      <c r="E3752" s="84">
        <v>4000</v>
      </c>
      <c r="F3752" s="83">
        <f t="shared" ca="1" si="165"/>
        <v>12000</v>
      </c>
    </row>
    <row r="3753" spans="1:6" ht="14.1" customHeight="1" x14ac:dyDescent="0.25">
      <c r="A3753" s="94" t="s">
        <v>10162</v>
      </c>
      <c r="B3753" s="82" t="str">
        <f ca="1">IFERROR(INDEX(UNSPSCDes,MATCH(INDIRECT(ADDRESS(ROW(),COLUMN()-1,4)),UNSPSCCode,0)),IF(INDIRECT(ADDRESS(ROW(),COLUMN()-1,4))="31201610","Pegamentos",""))</f>
        <v>Pegamentos</v>
      </c>
      <c r="C3753" s="95" t="str">
        <f>IFERROR(VLOOKUP("UD",'Informacion '!P:Q,2,FALSE),"")</f>
        <v>Unidad</v>
      </c>
      <c r="D3753" s="94">
        <v>5</v>
      </c>
      <c r="E3753" s="84">
        <v>320</v>
      </c>
      <c r="F3753" s="83">
        <f t="shared" ca="1" si="165"/>
        <v>1600</v>
      </c>
    </row>
    <row r="3754" spans="1:6" ht="14.1" customHeight="1" x14ac:dyDescent="0.25">
      <c r="A3754" s="94" t="s">
        <v>11841</v>
      </c>
      <c r="B3754" s="82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3754" s="95" t="str">
        <f>IFERROR(VLOOKUP("UD",'Informacion '!P:Q,2,FALSE),"")</f>
        <v>Unidad</v>
      </c>
      <c r="D3754" s="94">
        <v>1</v>
      </c>
      <c r="E3754" s="84">
        <v>1000</v>
      </c>
      <c r="F3754" s="83">
        <f t="shared" ca="1" si="165"/>
        <v>1000</v>
      </c>
    </row>
    <row r="3755" spans="1:6" ht="14.1" customHeight="1" x14ac:dyDescent="0.25">
      <c r="A3755" s="94" t="s">
        <v>6840</v>
      </c>
      <c r="B3755" s="82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3755" s="95" t="str">
        <f>IFERROR(VLOOKUP("UD",'Informacion '!P:Q,2,FALSE),"")</f>
        <v>Unidad</v>
      </c>
      <c r="D3755" s="94">
        <v>3</v>
      </c>
      <c r="E3755" s="84">
        <v>1000</v>
      </c>
      <c r="F3755" s="83">
        <f t="shared" ca="1" si="165"/>
        <v>3000</v>
      </c>
    </row>
    <row r="3756" spans="1:6" ht="14.1" customHeight="1" x14ac:dyDescent="0.25">
      <c r="A3756" s="94" t="s">
        <v>8565</v>
      </c>
      <c r="B3756" s="82" t="str">
        <f ca="1">IFERROR(INDEX(UNSPSCDes,MATCH(INDIRECT(ADDRESS(ROW(),COLUMN()-1,4)),UNSPSCCode,0)),IF(INDIRECT(ADDRESS(ROW(),COLUMN()-1,4))="47131821","Compuestos desengrasantes",""))</f>
        <v>Compuestos desengrasantes</v>
      </c>
      <c r="C3756" s="95" t="str">
        <f>IFERROR(VLOOKUP("GAL",'Informacion '!P:Q,2,FALSE),"")</f>
        <v>Galón</v>
      </c>
      <c r="D3756" s="94">
        <v>2</v>
      </c>
      <c r="E3756" s="84">
        <v>800</v>
      </c>
      <c r="F3756" s="83">
        <f t="shared" ca="1" si="165"/>
        <v>1600</v>
      </c>
    </row>
    <row r="3757" spans="1:6" ht="14.1" customHeight="1" x14ac:dyDescent="0.25">
      <c r="A3757" s="94" t="s">
        <v>4226</v>
      </c>
      <c r="B3757" s="82" t="str">
        <f ca="1">IFERROR(INDEX(UNSPSCDes,MATCH(INDIRECT(ADDRESS(ROW(),COLUMN()-1,4)),UNSPSCCode,0)),IF(INDIRECT(ADDRESS(ROW(),COLUMN()-1,4))="10141609","Sujetadores",""))</f>
        <v>Sujetadores</v>
      </c>
      <c r="C3757" s="95" t="str">
        <f>IFERROR(VLOOKUP("PAQ",'Informacion '!P:Q,2,FALSE),"")</f>
        <v>Paquete</v>
      </c>
      <c r="D3757" s="94">
        <v>2</v>
      </c>
      <c r="E3757" s="84">
        <v>250</v>
      </c>
      <c r="F3757" s="83">
        <f t="shared" ca="1" si="165"/>
        <v>500</v>
      </c>
    </row>
    <row r="3758" spans="1:6" ht="14.1" customHeight="1" x14ac:dyDescent="0.25">
      <c r="A3758" s="94" t="s">
        <v>1049</v>
      </c>
      <c r="B3758" s="82" t="str">
        <f ca="1">IFERROR(INDEX(UNSPSCDes,MATCH(INDIRECT(ADDRESS(ROW(),COLUMN()-1,4)),UNSPSCCode,0)),IF(INDIRECT(ADDRESS(ROW(),COLUMN()-1,4))="52151802","Sartenes para uso doméstico",""))</f>
        <v>Sartenes para uso doméstico</v>
      </c>
      <c r="C3758" s="95" t="str">
        <f>IFERROR(VLOOKUP("UD",'Informacion '!P:Q,2,FALSE),"")</f>
        <v>Unidad</v>
      </c>
      <c r="D3758" s="94">
        <v>10</v>
      </c>
      <c r="E3758" s="84">
        <v>100</v>
      </c>
      <c r="F3758" s="83">
        <f t="shared" ca="1" si="165"/>
        <v>1000</v>
      </c>
    </row>
    <row r="3759" spans="1:6" ht="14.1" customHeight="1" x14ac:dyDescent="0.25">
      <c r="A3759" s="94" t="s">
        <v>7834</v>
      </c>
      <c r="B3759" s="82" t="str">
        <f ca="1">IFERROR(INDEX(UNSPSCDes,MATCH(INDIRECT(ADDRESS(ROW(),COLUMN()-1,4)),UNSPSCCode,0)),IF(INDIRECT(ADDRESS(ROW(),COLUMN()-1,4))="31171712","Engranajes de tornillo sin fin",""))</f>
        <v>Engranajes de tornillo sin fin</v>
      </c>
      <c r="C3759" s="95" t="str">
        <f>IFERROR(VLOOKUP("UD",'Informacion '!P:Q,2,FALSE),"")</f>
        <v>Unidad</v>
      </c>
      <c r="D3759" s="94">
        <v>1</v>
      </c>
      <c r="E3759" s="84">
        <v>13000</v>
      </c>
      <c r="F3759" s="83">
        <f t="shared" ca="1" si="165"/>
        <v>13000</v>
      </c>
    </row>
    <row r="3760" spans="1:6" ht="14.1" customHeight="1" x14ac:dyDescent="0.25">
      <c r="A3760" s="94" t="s">
        <v>6826</v>
      </c>
      <c r="B3760" s="82" t="str">
        <f ca="1">IFERROR(INDEX(UNSPSCDes,MATCH(INDIRECT(ADDRESS(ROW(),COLUMN()-1,4)),UNSPSCCode,0)),IF(INDIRECT(ADDRESS(ROW(),COLUMN()-1,4))="23101502","Taladros",""))</f>
        <v>Taladros</v>
      </c>
      <c r="C3760" s="95" t="str">
        <f>IFERROR(VLOOKUP("UD",'Informacion '!P:Q,2,FALSE),"")</f>
        <v>Unidad</v>
      </c>
      <c r="D3760" s="94">
        <v>1</v>
      </c>
      <c r="E3760" s="84">
        <v>7000</v>
      </c>
      <c r="F3760" s="83">
        <f t="shared" ca="1" si="165"/>
        <v>7000</v>
      </c>
    </row>
    <row r="3761" spans="1:6" ht="14.1" customHeight="1" x14ac:dyDescent="0.25">
      <c r="A3761" s="94" t="s">
        <v>128</v>
      </c>
      <c r="B3761" s="82" t="str">
        <f ca="1">IFERROR(INDEX(UNSPSCDes,MATCH(INDIRECT(ADDRESS(ROW(),COLUMN()-1,4)),UNSPSCCode,0)),IF(INDIRECT(ADDRESS(ROW(),COLUMN()-1,4))="73181009","Servicios de tarraja con macho",""))</f>
        <v>Servicios de tarraja con macho</v>
      </c>
      <c r="C3761" s="95" t="str">
        <f>IFERROR(VLOOKUP("UD",'Informacion '!P:Q,2,FALSE),"")</f>
        <v>Unidad</v>
      </c>
      <c r="D3761" s="94">
        <v>1</v>
      </c>
      <c r="E3761" s="84">
        <v>8000</v>
      </c>
      <c r="F3761" s="83">
        <f t="shared" ca="1" si="165"/>
        <v>8000</v>
      </c>
    </row>
    <row r="3762" spans="1:6" ht="14.1" customHeight="1" x14ac:dyDescent="0.25">
      <c r="A3762" s="94" t="s">
        <v>10267</v>
      </c>
      <c r="B3762" s="82" t="str">
        <f ca="1">IFERROR(INDEX(UNSPSCDes,MATCH(INDIRECT(ADDRESS(ROW(),COLUMN()-1,4)),UNSPSCCode,0)),IF(INDIRECT(ADDRESS(ROW(),COLUMN()-1,4))="27112126","Alicates planos",""))</f>
        <v>Alicates planos</v>
      </c>
      <c r="C3762" s="95" t="str">
        <f>IFERROR(VLOOKUP("UD",'Informacion '!P:Q,2,FALSE),"")</f>
        <v>Unidad</v>
      </c>
      <c r="D3762" s="94">
        <v>1</v>
      </c>
      <c r="E3762" s="84">
        <v>350</v>
      </c>
      <c r="F3762" s="83">
        <f t="shared" ca="1" si="165"/>
        <v>350</v>
      </c>
    </row>
    <row r="3763" spans="1:6" ht="14.1" customHeight="1" x14ac:dyDescent="0.25">
      <c r="A3763" s="94" t="s">
        <v>18593</v>
      </c>
      <c r="B3763" s="82" t="str">
        <f ca="1">IFERROR(INDEX(UNSPSCDes,MATCH(INDIRECT(ADDRESS(ROW(),COLUMN()-1,4)),UNSPSCCode,0)),IF(INDIRECT(ADDRESS(ROW(),COLUMN()-1,4))="27112128","Alicates de punta curvada",""))</f>
        <v>Alicates de punta curvada</v>
      </c>
      <c r="C3763" s="95" t="str">
        <f>IFERROR(VLOOKUP("UD",'Informacion '!P:Q,2,FALSE),"")</f>
        <v>Unidad</v>
      </c>
      <c r="D3763" s="94">
        <v>1</v>
      </c>
      <c r="E3763" s="84">
        <v>500</v>
      </c>
      <c r="F3763" s="83">
        <f t="shared" ca="1" si="165"/>
        <v>500</v>
      </c>
    </row>
    <row r="3764" spans="1:6" ht="14.1" customHeight="1" x14ac:dyDescent="0.25">
      <c r="A3764" s="94" t="s">
        <v>8198</v>
      </c>
      <c r="B3764" s="82" t="str">
        <f ca="1">IFERROR(INDEX(UNSPSCDes,MATCH(INDIRECT(ADDRESS(ROW(),COLUMN()-1,4)),UNSPSCCode,0)),IF(INDIRECT(ADDRESS(ROW(),COLUMN()-1,4))="24112404","Caja",""))</f>
        <v>Caja</v>
      </c>
      <c r="C3764" s="95" t="str">
        <f>IFERROR(VLOOKUP("UD",'Informacion '!P:Q,2,FALSE),"")</f>
        <v>Unidad</v>
      </c>
      <c r="D3764" s="94">
        <v>1</v>
      </c>
      <c r="E3764" s="84">
        <v>1500</v>
      </c>
      <c r="F3764" s="83">
        <f t="shared" ca="1" si="165"/>
        <v>1500</v>
      </c>
    </row>
    <row r="3765" spans="1:6" ht="14.1" customHeight="1" x14ac:dyDescent="0.25">
      <c r="A3765" s="94" t="s">
        <v>7384</v>
      </c>
      <c r="B3765" s="82" t="str">
        <f ca="1">IFERROR(INDEX(UNSPSCDes,MATCH(INDIRECT(ADDRESS(ROW(),COLUMN()-1,4)),UNSPSCCode,0)),IF(INDIRECT(ADDRESS(ROW(),COLUMN()-1,4))="31161725","Tuercas abrazaderas",""))</f>
        <v>Tuercas abrazaderas</v>
      </c>
      <c r="C3765" s="95" t="str">
        <f>IFERROR(VLOOKUP("UD",'Informacion '!P:Q,2,FALSE),"")</f>
        <v>Unidad</v>
      </c>
      <c r="D3765" s="94">
        <v>100</v>
      </c>
      <c r="E3765" s="84">
        <v>40</v>
      </c>
      <c r="F3765" s="83">
        <f t="shared" ca="1" si="165"/>
        <v>4000</v>
      </c>
    </row>
    <row r="3766" spans="1:6" ht="14.1" customHeight="1" x14ac:dyDescent="0.25">
      <c r="A3766" s="94" t="s">
        <v>7384</v>
      </c>
      <c r="B3766" s="82" t="str">
        <f ca="1">IFERROR(INDEX(UNSPSCDes,MATCH(INDIRECT(ADDRESS(ROW(),COLUMN()-1,4)),UNSPSCCode,0)),IF(INDIRECT(ADDRESS(ROW(),COLUMN()-1,4))="31161725","Tuercas abrazaderas",""))</f>
        <v>Tuercas abrazaderas</v>
      </c>
      <c r="C3766" s="95" t="str">
        <f>IFERROR(VLOOKUP("UD",'Informacion '!P:Q,2,FALSE),"")</f>
        <v>Unidad</v>
      </c>
      <c r="D3766" s="94">
        <v>100</v>
      </c>
      <c r="E3766" s="84">
        <v>6</v>
      </c>
      <c r="F3766" s="83">
        <f t="shared" ca="1" si="165"/>
        <v>600</v>
      </c>
    </row>
    <row r="3767" spans="1:6" ht="14.1" customHeight="1" x14ac:dyDescent="0.25">
      <c r="A3767" s="94" t="s">
        <v>7384</v>
      </c>
      <c r="B3767" s="82" t="str">
        <f ca="1">IFERROR(INDEX(UNSPSCDes,MATCH(INDIRECT(ADDRESS(ROW(),COLUMN()-1,4)),UNSPSCCode,0)),IF(INDIRECT(ADDRESS(ROW(),COLUMN()-1,4))="31161725","Tuercas abrazaderas",""))</f>
        <v>Tuercas abrazaderas</v>
      </c>
      <c r="C3767" s="95" t="str">
        <f>IFERROR(VLOOKUP("UD",'Informacion '!P:Q,2,FALSE),"")</f>
        <v>Unidad</v>
      </c>
      <c r="D3767" s="94">
        <v>100</v>
      </c>
      <c r="E3767" s="84">
        <v>6</v>
      </c>
      <c r="F3767" s="83">
        <f t="shared" ca="1" si="165"/>
        <v>600</v>
      </c>
    </row>
    <row r="3768" spans="1:6" ht="14.1" customHeight="1" x14ac:dyDescent="0.25">
      <c r="A3768" s="94" t="s">
        <v>16789</v>
      </c>
      <c r="B3768" s="82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3768" s="95" t="str">
        <f>IFERROR(VLOOKUP("UD",'Informacion '!P:Q,2,FALSE),"")</f>
        <v>Unidad</v>
      </c>
      <c r="D3768" s="94">
        <v>1</v>
      </c>
      <c r="E3768" s="84">
        <v>8600</v>
      </c>
      <c r="F3768" s="83">
        <f t="shared" ca="1" si="165"/>
        <v>8600</v>
      </c>
    </row>
    <row r="3769" spans="1:6" ht="14.1" customHeight="1" x14ac:dyDescent="0.25">
      <c r="A3769" s="94" t="s">
        <v>1835</v>
      </c>
      <c r="B3769" s="82" t="str">
        <f ca="1">IFERROR(INDEX(UNSPSCDes,MATCH(INDIRECT(ADDRESS(ROW(),COLUMN()-1,4)),UNSPSCCode,0)),IF(INDIRECT(ADDRESS(ROW(),COLUMN()-1,4))="43201538","Enfriadores de unidades de procesamiento central",""))</f>
        <v>Enfriadores de unidades de procesamiento central</v>
      </c>
      <c r="C3769" s="95" t="str">
        <f>IFERROR(VLOOKUP("UD",'Informacion '!P:Q,2,FALSE),"")</f>
        <v>Unidad</v>
      </c>
      <c r="D3769" s="94">
        <v>1</v>
      </c>
      <c r="E3769" s="84">
        <v>6000000</v>
      </c>
      <c r="F3769" s="83">
        <f t="shared" ca="1" si="165"/>
        <v>6000000</v>
      </c>
    </row>
    <row r="3770" spans="1:6" ht="14.1" customHeight="1" x14ac:dyDescent="0.25">
      <c r="A3770" s="94" t="s">
        <v>7383</v>
      </c>
      <c r="B3770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3770" s="95" t="str">
        <f>IFERROR(VLOOKUP("FT",'Informacion '!P:Q,2,FALSE),"")</f>
        <v>Pie</v>
      </c>
      <c r="D3770" s="94">
        <v>1000</v>
      </c>
      <c r="E3770" s="84">
        <v>9.6999999999999993</v>
      </c>
      <c r="F3770" s="83">
        <f t="shared" ca="1" si="165"/>
        <v>9700</v>
      </c>
    </row>
    <row r="3771" spans="1:6" ht="14.1" customHeight="1" x14ac:dyDescent="0.25">
      <c r="A3771" s="94" t="s">
        <v>7383</v>
      </c>
      <c r="B3771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3771" s="95" t="str">
        <f>IFERROR(VLOOKUP("FT",'Informacion '!P:Q,2,FALSE),"")</f>
        <v>Pie</v>
      </c>
      <c r="D3771" s="94">
        <v>1000</v>
      </c>
      <c r="E3771" s="84">
        <v>5.5</v>
      </c>
      <c r="F3771" s="83">
        <f t="shared" ca="1" si="165"/>
        <v>5500</v>
      </c>
    </row>
    <row r="3772" spans="1:6" ht="14.1" customHeight="1" x14ac:dyDescent="0.25">
      <c r="A3772" s="94" t="s">
        <v>7383</v>
      </c>
      <c r="B3772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3772" s="95" t="str">
        <f>IFERROR(VLOOKUP("FT",'Informacion '!P:Q,2,FALSE),"")</f>
        <v>Pie</v>
      </c>
      <c r="D3772" s="94">
        <v>2000</v>
      </c>
      <c r="E3772" s="84">
        <v>4.9000000000000004</v>
      </c>
      <c r="F3772" s="83">
        <f t="shared" ca="1" si="165"/>
        <v>9800</v>
      </c>
    </row>
    <row r="3773" spans="1:6" ht="14.1" customHeight="1" x14ac:dyDescent="0.25">
      <c r="A3773" s="94" t="s">
        <v>7383</v>
      </c>
      <c r="B3773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3773" s="95" t="str">
        <f>IFERROR(VLOOKUP("FT",'Informacion '!P:Q,2,FALSE),"")</f>
        <v>Pie</v>
      </c>
      <c r="D3773" s="94">
        <v>500</v>
      </c>
      <c r="E3773" s="84">
        <v>45.8</v>
      </c>
      <c r="F3773" s="83">
        <f t="shared" ca="1" si="165"/>
        <v>22900</v>
      </c>
    </row>
    <row r="3774" spans="1:6" ht="14.1" customHeight="1" x14ac:dyDescent="0.25">
      <c r="A3774" s="94" t="s">
        <v>4461</v>
      </c>
      <c r="B3774" s="82" t="str">
        <f ca="1">IFERROR(INDEX(UNSPSCDes,MATCH(INDIRECT(ADDRESS(ROW(),COLUMN()-1,4)),UNSPSCCode,0)),IF(INDIRECT(ADDRESS(ROW(),COLUMN()-1,4))="26101758","Ajustadores del balancín",""))</f>
        <v>Ajustadores del balancín</v>
      </c>
      <c r="C3774" s="95" t="str">
        <f>IFERROR(VLOOKUP("UD",'Informacion '!P:Q,2,FALSE),"")</f>
        <v>Unidad</v>
      </c>
      <c r="D3774" s="94">
        <v>30</v>
      </c>
      <c r="E3774" s="84">
        <v>200</v>
      </c>
      <c r="F3774" s="83">
        <f t="shared" ca="1" si="165"/>
        <v>6000</v>
      </c>
    </row>
    <row r="3775" spans="1:6" ht="14.1" customHeight="1" x14ac:dyDescent="0.25">
      <c r="A3775" s="94" t="s">
        <v>19041</v>
      </c>
      <c r="B3775" s="82" t="str">
        <f ca="1">IFERROR(INDEX(UNSPSCDes,MATCH(INDIRECT(ADDRESS(ROW(),COLUMN()-1,4)),UNSPSCCode,0)),IF(INDIRECT(ADDRESS(ROW(),COLUMN()-1,4))="52152006","Bandejas o fuentes para uso doméstico",""))</f>
        <v>Bandejas o fuentes para uso doméstico</v>
      </c>
      <c r="C3775" s="95" t="str">
        <f>IFERROR(VLOOKUP("UD",'Informacion '!P:Q,2,FALSE),"")</f>
        <v>Unidad</v>
      </c>
      <c r="D3775" s="94">
        <v>12</v>
      </c>
      <c r="E3775" s="84">
        <v>55000</v>
      </c>
      <c r="F3775" s="83">
        <f t="shared" ca="1" si="165"/>
        <v>660000</v>
      </c>
    </row>
    <row r="3776" spans="1:6" ht="14.1" customHeight="1" x14ac:dyDescent="0.25">
      <c r="A3776" s="94" t="s">
        <v>19041</v>
      </c>
      <c r="B3776" s="82" t="str">
        <f ca="1">IFERROR(INDEX(UNSPSCDes,MATCH(INDIRECT(ADDRESS(ROW(),COLUMN()-1,4)),UNSPSCCode,0)),IF(INDIRECT(ADDRESS(ROW(),COLUMN()-1,4))="52152006","Bandejas o fuentes para uso doméstico",""))</f>
        <v>Bandejas o fuentes para uso doméstico</v>
      </c>
      <c r="C3776" s="95" t="str">
        <f>IFERROR(VLOOKUP("UD",'Informacion '!P:Q,2,FALSE),"")</f>
        <v>Unidad</v>
      </c>
      <c r="D3776" s="94">
        <v>1</v>
      </c>
      <c r="E3776" s="84">
        <v>178000</v>
      </c>
      <c r="F3776" s="83">
        <f t="shared" ca="1" si="165"/>
        <v>178000</v>
      </c>
    </row>
    <row r="3777" spans="1:6" ht="14.1" customHeight="1" x14ac:dyDescent="0.25">
      <c r="A3777" s="94" t="s">
        <v>9662</v>
      </c>
      <c r="B3777" s="82" t="str">
        <f ca="1">IFERROR(INDEX(UNSPSCDes,MATCH(INDIRECT(ADDRESS(ROW(),COLUMN()-1,4)),UNSPSCCode,0)),IF(INDIRECT(ADDRESS(ROW(),COLUMN()-1,4))="26111701","Baterías recargables",""))</f>
        <v>Baterías recargables</v>
      </c>
      <c r="C3777" s="95" t="str">
        <f>IFERROR(VLOOKUP("UD",'Informacion '!P:Q,2,FALSE),"")</f>
        <v>Unidad</v>
      </c>
      <c r="D3777" s="94">
        <v>4</v>
      </c>
      <c r="E3777" s="84">
        <v>13000</v>
      </c>
      <c r="F3777" s="83">
        <f t="shared" ca="1" si="165"/>
        <v>52000</v>
      </c>
    </row>
    <row r="3778" spans="1:6" ht="14.1" customHeight="1" x14ac:dyDescent="0.25">
      <c r="A3778" s="94" t="s">
        <v>2440</v>
      </c>
      <c r="B3778" s="82" t="str">
        <f ca="1">IFERROR(INDEX(UNSPSCDes,MATCH(INDIRECT(ADDRESS(ROW(),COLUMN()-1,4)),UNSPSCCode,0)),IF(INDIRECT(ADDRESS(ROW(),COLUMN()-1,4))="23171619","Herramientas de perforación",""))</f>
        <v>Herramientas de perforación</v>
      </c>
      <c r="C3778" s="95" t="str">
        <f>IFERROR(VLOOKUP("UD",'Informacion '!P:Q,2,FALSE),"")</f>
        <v>Unidad</v>
      </c>
      <c r="D3778" s="94">
        <v>1</v>
      </c>
      <c r="E3778" s="84">
        <v>50000</v>
      </c>
      <c r="F3778" s="83">
        <f t="shared" ref="F3778:F3841" ca="1" si="166">INDIRECT(ADDRESS(ROW(),COLUMN()-2,4))*INDIRECT(ADDRESS(ROW(),COLUMN()-1,4))</f>
        <v>50000</v>
      </c>
    </row>
    <row r="3779" spans="1:6" ht="14.1" customHeight="1" x14ac:dyDescent="0.25">
      <c r="A3779" s="94" t="s">
        <v>17569</v>
      </c>
      <c r="B3779" s="82" t="str">
        <f ca="1">IFERROR(INDEX(UNSPSCDes,MATCH(INDIRECT(ADDRESS(ROW(),COLUMN()-1,4)),UNSPSCCode,0)),IF(INDIRECT(ADDRESS(ROW(),COLUMN()-1,4))="40151510","Bombas de agua",""))</f>
        <v>Bombas de agua</v>
      </c>
      <c r="C3779" s="95" t="str">
        <f>IFERROR(VLOOKUP("UD",'Informacion '!P:Q,2,FALSE),"")</f>
        <v>Unidad</v>
      </c>
      <c r="D3779" s="94">
        <v>1</v>
      </c>
      <c r="E3779" s="84">
        <v>160000</v>
      </c>
      <c r="F3779" s="83">
        <f t="shared" ca="1" si="166"/>
        <v>160000</v>
      </c>
    </row>
    <row r="3780" spans="1:6" ht="14.1" customHeight="1" x14ac:dyDescent="0.25">
      <c r="A3780" s="94" t="s">
        <v>9883</v>
      </c>
      <c r="B3780" s="82" t="str">
        <f ca="1">IFERROR(INDEX(UNSPSCDes,MATCH(INDIRECT(ADDRESS(ROW(),COLUMN()-1,4)),UNSPSCCode,0)),IF(INDIRECT(ADDRESS(ROW(),COLUMN()-1,4))="39101601","Lámparas halógenas",""))</f>
        <v>Lámparas halógenas</v>
      </c>
      <c r="C3780" s="95" t="str">
        <f>IFERROR(VLOOKUP("CAJ",'Informacion '!P:Q,2,FALSE),"")</f>
        <v>Caja</v>
      </c>
      <c r="D3780" s="94">
        <v>3</v>
      </c>
      <c r="E3780" s="84">
        <v>12000</v>
      </c>
      <c r="F3780" s="83">
        <f t="shared" ca="1" si="166"/>
        <v>36000</v>
      </c>
    </row>
    <row r="3781" spans="1:6" ht="14.1" customHeight="1" x14ac:dyDescent="0.25">
      <c r="A3781" s="94" t="s">
        <v>1887</v>
      </c>
      <c r="B3781" s="82" t="str">
        <f ca="1">IFERROR(INDEX(UNSPSCDes,MATCH(INDIRECT(ADDRESS(ROW(),COLUMN()-1,4)),UNSPSCCode,0)),IF(INDIRECT(ADDRESS(ROW(),COLUMN()-1,4))="56122004","Unidades de bases para lavamanos",""))</f>
        <v>Unidades de bases para lavamanos</v>
      </c>
      <c r="C3781" s="95" t="str">
        <f>IFERROR(VLOOKUP("UD",'Informacion '!P:Q,2,FALSE),"")</f>
        <v>Unidad</v>
      </c>
      <c r="D3781" s="94">
        <v>30</v>
      </c>
      <c r="E3781" s="84">
        <v>200</v>
      </c>
      <c r="F3781" s="83">
        <f t="shared" ca="1" si="166"/>
        <v>6000</v>
      </c>
    </row>
    <row r="3782" spans="1:6" ht="14.1" customHeight="1" x14ac:dyDescent="0.25">
      <c r="A3782" s="94" t="s">
        <v>18264</v>
      </c>
      <c r="B3782" s="82" t="str">
        <f ca="1">IFERROR(INDEX(UNSPSCDes,MATCH(INDIRECT(ADDRESS(ROW(),COLUMN()-1,4)),UNSPSCCode,0)),IF(INDIRECT(ADDRESS(ROW(),COLUMN()-1,4))="46181604","Botas de seguridad",""))</f>
        <v>Botas de seguridad</v>
      </c>
      <c r="C3782" s="95" t="str">
        <f>IFERROR(VLOOKUP("UD",'Informacion '!P:Q,2,FALSE),"")</f>
        <v>Unidad</v>
      </c>
      <c r="D3782" s="94">
        <v>20</v>
      </c>
      <c r="E3782" s="84">
        <v>1550</v>
      </c>
      <c r="F3782" s="83">
        <f t="shared" ca="1" si="166"/>
        <v>31000</v>
      </c>
    </row>
    <row r="3783" spans="1:6" ht="14.1" customHeight="1" x14ac:dyDescent="0.25">
      <c r="A3783" s="94" t="s">
        <v>16983</v>
      </c>
      <c r="B3783" s="82" t="str">
        <f ca="1">IFERROR(INDEX(UNSPSCDes,MATCH(INDIRECT(ADDRESS(ROW(),COLUMN()-1,4)),UNSPSCCode,0)),IF(INDIRECT(ADDRESS(ROW(),COLUMN()-1,4))="30151703","Canaletas",""))</f>
        <v>Canaletas</v>
      </c>
      <c r="C3783" s="95" t="str">
        <f>IFERROR(VLOOKUP("UD",'Informacion '!P:Q,2,FALSE),"")</f>
        <v>Unidad</v>
      </c>
      <c r="D3783" s="94">
        <v>30</v>
      </c>
      <c r="E3783" s="84">
        <v>111.18</v>
      </c>
      <c r="F3783" s="83">
        <f t="shared" ca="1" si="166"/>
        <v>3335.4</v>
      </c>
    </row>
    <row r="3784" spans="1:6" ht="14.1" customHeight="1" x14ac:dyDescent="0.25">
      <c r="A3784" s="94" t="s">
        <v>16983</v>
      </c>
      <c r="B3784" s="82" t="str">
        <f ca="1">IFERROR(INDEX(UNSPSCDes,MATCH(INDIRECT(ADDRESS(ROW(),COLUMN()-1,4)),UNSPSCCode,0)),IF(INDIRECT(ADDRESS(ROW(),COLUMN()-1,4))="30151703","Canaletas",""))</f>
        <v>Canaletas</v>
      </c>
      <c r="C3784" s="95" t="str">
        <f>IFERROR(VLOOKUP("UD",'Informacion '!P:Q,2,FALSE),"")</f>
        <v>Unidad</v>
      </c>
      <c r="D3784" s="94">
        <v>50</v>
      </c>
      <c r="E3784" s="84">
        <v>153.9</v>
      </c>
      <c r="F3784" s="83">
        <f t="shared" ca="1" si="166"/>
        <v>7695</v>
      </c>
    </row>
    <row r="3785" spans="1:6" ht="14.1" customHeight="1" x14ac:dyDescent="0.25">
      <c r="A3785" s="94" t="s">
        <v>3233</v>
      </c>
      <c r="B3785" s="82" t="str">
        <f ca="1">IFERROR(INDEX(UNSPSCDes,MATCH(INDIRECT(ADDRESS(ROW(),COLUMN()-1,4)),UNSPSCCode,0)),IF(INDIRECT(ADDRESS(ROW(),COLUMN()-1,4))="31201521","Cinta metálica",""))</f>
        <v>Cinta metálica</v>
      </c>
      <c r="C3785" s="95" t="str">
        <f>IFERROR(VLOOKUP("UD",'Informacion '!P:Q,2,FALSE),"")</f>
        <v>Unidad</v>
      </c>
      <c r="D3785" s="94">
        <v>12</v>
      </c>
      <c r="E3785" s="84">
        <v>300</v>
      </c>
      <c r="F3785" s="83">
        <f t="shared" ca="1" si="166"/>
        <v>3600</v>
      </c>
    </row>
    <row r="3786" spans="1:6" ht="14.1" customHeight="1" x14ac:dyDescent="0.25">
      <c r="A3786" s="94" t="s">
        <v>3233</v>
      </c>
      <c r="B3786" s="82" t="str">
        <f ca="1">IFERROR(INDEX(UNSPSCDes,MATCH(INDIRECT(ADDRESS(ROW(),COLUMN()-1,4)),UNSPSCCode,0)),IF(INDIRECT(ADDRESS(ROW(),COLUMN()-1,4))="31201521","Cinta metálica",""))</f>
        <v>Cinta metálica</v>
      </c>
      <c r="C3786" s="95" t="str">
        <f>IFERROR(VLOOKUP("UD",'Informacion '!P:Q,2,FALSE),"")</f>
        <v>Unidad</v>
      </c>
      <c r="D3786" s="94">
        <v>4</v>
      </c>
      <c r="E3786" s="84">
        <v>190</v>
      </c>
      <c r="F3786" s="83">
        <f t="shared" ca="1" si="166"/>
        <v>760</v>
      </c>
    </row>
    <row r="3787" spans="1:6" ht="14.1" customHeight="1" x14ac:dyDescent="0.25">
      <c r="A3787" s="94" t="s">
        <v>3233</v>
      </c>
      <c r="B3787" s="82" t="str">
        <f ca="1">IFERROR(INDEX(UNSPSCDes,MATCH(INDIRECT(ADDRESS(ROW(),COLUMN()-1,4)),UNSPSCCode,0)),IF(INDIRECT(ADDRESS(ROW(),COLUMN()-1,4))="31201521","Cinta metálica",""))</f>
        <v>Cinta metálica</v>
      </c>
      <c r="C3787" s="95" t="str">
        <f>IFERROR(VLOOKUP("UD",'Informacion '!P:Q,2,FALSE),"")</f>
        <v>Unidad</v>
      </c>
      <c r="D3787" s="94">
        <v>5</v>
      </c>
      <c r="E3787" s="84">
        <v>2000</v>
      </c>
      <c r="F3787" s="83">
        <f t="shared" ca="1" si="166"/>
        <v>10000</v>
      </c>
    </row>
    <row r="3788" spans="1:6" ht="14.1" customHeight="1" x14ac:dyDescent="0.25">
      <c r="A3788" s="94" t="s">
        <v>10906</v>
      </c>
      <c r="B3788" s="82" t="str">
        <f ca="1">IFERROR(INDEX(UNSPSCDes,MATCH(INDIRECT(ADDRESS(ROW(),COLUMN()-1,4)),UNSPSCCode,0)),IF(INDIRECT(ADDRESS(ROW(),COLUMN()-1,4))="40142604","Codos de tubo",""))</f>
        <v>Codos de tubo</v>
      </c>
      <c r="C3788" s="95" t="str">
        <f>IFERROR(VLOOKUP("UD",'Informacion '!P:Q,2,FALSE),"")</f>
        <v>Unidad</v>
      </c>
      <c r="D3788" s="94">
        <v>5</v>
      </c>
      <c r="E3788" s="84">
        <v>267</v>
      </c>
      <c r="F3788" s="83">
        <f t="shared" ca="1" si="166"/>
        <v>1335</v>
      </c>
    </row>
    <row r="3789" spans="1:6" ht="14.1" customHeight="1" x14ac:dyDescent="0.25">
      <c r="A3789" s="94" t="s">
        <v>10906</v>
      </c>
      <c r="B3789" s="82" t="str">
        <f ca="1">IFERROR(INDEX(UNSPSCDes,MATCH(INDIRECT(ADDRESS(ROW(),COLUMN()-1,4)),UNSPSCCode,0)),IF(INDIRECT(ADDRESS(ROW(),COLUMN()-1,4))="40142604","Codos de tubo",""))</f>
        <v>Codos de tubo</v>
      </c>
      <c r="C3789" s="95" t="str">
        <f>IFERROR(VLOOKUP("UD",'Informacion '!P:Q,2,FALSE),"")</f>
        <v>Unidad</v>
      </c>
      <c r="D3789" s="94">
        <v>50</v>
      </c>
      <c r="E3789" s="84">
        <v>12</v>
      </c>
      <c r="F3789" s="83">
        <f t="shared" ca="1" si="166"/>
        <v>600</v>
      </c>
    </row>
    <row r="3790" spans="1:6" ht="14.1" customHeight="1" x14ac:dyDescent="0.25">
      <c r="A3790" s="94" t="s">
        <v>5484</v>
      </c>
      <c r="B3790" s="82" t="str">
        <f ca="1">IFERROR(INDEX(UNSPSCDes,MATCH(INDIRECT(ADDRESS(ROW(),COLUMN()-1,4)),UNSPSCCode,0)),IF(INDIRECT(ADDRESS(ROW(),COLUMN()-1,4))="49201610","Tubos de resistencia",""))</f>
        <v>Tubos de resistencia</v>
      </c>
      <c r="C3790" s="95" t="str">
        <f>IFERROR(VLOOKUP("UD",'Informacion '!P:Q,2,FALSE),"")</f>
        <v>Unidad</v>
      </c>
      <c r="D3790" s="94">
        <v>50</v>
      </c>
      <c r="E3790" s="84">
        <v>12</v>
      </c>
      <c r="F3790" s="83">
        <f t="shared" ca="1" si="166"/>
        <v>600</v>
      </c>
    </row>
    <row r="3791" spans="1:6" ht="14.1" customHeight="1" x14ac:dyDescent="0.25">
      <c r="A3791" s="94" t="s">
        <v>5484</v>
      </c>
      <c r="B3791" s="82" t="str">
        <f ca="1">IFERROR(INDEX(UNSPSCDes,MATCH(INDIRECT(ADDRESS(ROW(),COLUMN()-1,4)),UNSPSCCode,0)),IF(INDIRECT(ADDRESS(ROW(),COLUMN()-1,4))="49201610","Tubos de resistencia",""))</f>
        <v>Tubos de resistencia</v>
      </c>
      <c r="C3791" s="95" t="str">
        <f>IFERROR(VLOOKUP("UD",'Informacion '!P:Q,2,FALSE),"")</f>
        <v>Unidad</v>
      </c>
      <c r="D3791" s="94">
        <v>20</v>
      </c>
      <c r="E3791" s="84">
        <v>356</v>
      </c>
      <c r="F3791" s="83">
        <f t="shared" ca="1" si="166"/>
        <v>7120</v>
      </c>
    </row>
    <row r="3792" spans="1:6" ht="14.1" customHeight="1" x14ac:dyDescent="0.25">
      <c r="A3792" s="94" t="s">
        <v>5484</v>
      </c>
      <c r="B3792" s="82" t="str">
        <f ca="1">IFERROR(INDEX(UNSPSCDes,MATCH(INDIRECT(ADDRESS(ROW(),COLUMN()-1,4)),UNSPSCCode,0)),IF(INDIRECT(ADDRESS(ROW(),COLUMN()-1,4))="49201610","Tubos de resistencia",""))</f>
        <v>Tubos de resistencia</v>
      </c>
      <c r="C3792" s="95" t="str">
        <f>IFERROR(VLOOKUP("UD",'Informacion '!P:Q,2,FALSE),"")</f>
        <v>Unidad</v>
      </c>
      <c r="D3792" s="94">
        <v>20</v>
      </c>
      <c r="E3792" s="84">
        <v>484</v>
      </c>
      <c r="F3792" s="83">
        <f t="shared" ca="1" si="166"/>
        <v>9680</v>
      </c>
    </row>
    <row r="3793" spans="1:6" ht="14.1" customHeight="1" x14ac:dyDescent="0.25">
      <c r="A3793" s="94" t="s">
        <v>5484</v>
      </c>
      <c r="B3793" s="82" t="str">
        <f ca="1">IFERROR(INDEX(UNSPSCDes,MATCH(INDIRECT(ADDRESS(ROW(),COLUMN()-1,4)),UNSPSCCode,0)),IF(INDIRECT(ADDRESS(ROW(),COLUMN()-1,4))="49201610","Tubos de resistencia",""))</f>
        <v>Tubos de resistencia</v>
      </c>
      <c r="C3793" s="95" t="str">
        <f>IFERROR(VLOOKUP("UD",'Informacion '!P:Q,2,FALSE),"")</f>
        <v>Unidad</v>
      </c>
      <c r="D3793" s="94">
        <v>5</v>
      </c>
      <c r="E3793" s="84">
        <v>584</v>
      </c>
      <c r="F3793" s="83">
        <f t="shared" ca="1" si="166"/>
        <v>2920</v>
      </c>
    </row>
    <row r="3794" spans="1:6" ht="14.1" customHeight="1" x14ac:dyDescent="0.25">
      <c r="A3794" s="94" t="s">
        <v>14015</v>
      </c>
      <c r="B3794" s="82" t="str">
        <f ca="1">IFERROR(INDEX(UNSPSCDes,MATCH(INDIRECT(ADDRESS(ROW(),COLUMN()-1,4)),UNSPSCCode,0)),IF(INDIRECT(ADDRESS(ROW(),COLUMN()-1,4))="42191711","Tanques de aire comprimido o accesorios para uso quirúrgico",""))</f>
        <v>Tanques de aire comprimido o accesorios para uso quirúrgico</v>
      </c>
      <c r="C3794" s="95" t="str">
        <f>IFERROR(VLOOKUP("UD",'Informacion '!P:Q,2,FALSE),"")</f>
        <v>Unidad</v>
      </c>
      <c r="D3794" s="94">
        <v>1</v>
      </c>
      <c r="E3794" s="84">
        <v>10000</v>
      </c>
      <c r="F3794" s="83">
        <f t="shared" ca="1" si="166"/>
        <v>10000</v>
      </c>
    </row>
    <row r="3795" spans="1:6" ht="14.1" customHeight="1" x14ac:dyDescent="0.25">
      <c r="A3795" s="94" t="s">
        <v>12220</v>
      </c>
      <c r="B3795" s="82" t="str">
        <f ca="1">IFERROR(INDEX(UNSPSCDes,MATCH(INDIRECT(ADDRESS(ROW(),COLUMN()-1,4)),UNSPSCCode,0)),IF(INDIRECT(ADDRESS(ROW(),COLUMN()-1,4))="24141705","Tubos plegables",""))</f>
        <v>Tubos plegables</v>
      </c>
      <c r="C3795" s="95" t="str">
        <f>IFERROR(VLOOKUP("FT",'Informacion '!P:Q,2,FALSE),"")</f>
        <v>Pie</v>
      </c>
      <c r="D3795" s="94">
        <v>300</v>
      </c>
      <c r="E3795" s="84">
        <v>2.6</v>
      </c>
      <c r="F3795" s="83">
        <f t="shared" ca="1" si="166"/>
        <v>780</v>
      </c>
    </row>
    <row r="3796" spans="1:6" ht="14.1" customHeight="1" x14ac:dyDescent="0.25">
      <c r="A3796" s="94" t="s">
        <v>7230</v>
      </c>
      <c r="B3796" s="82" t="str">
        <f ca="1">IFERROR(INDEX(UNSPSCDes,MATCH(INDIRECT(ADDRESS(ROW(),COLUMN()-1,4)),UNSPSCCode,0)),IF(INDIRECT(ADDRESS(ROW(),COLUMN()-1,4))="40161505","Filtros de aire",""))</f>
        <v>Filtros de aire</v>
      </c>
      <c r="C3796" s="95" t="str">
        <f>IFERROR(VLOOKUP("UD",'Informacion '!P:Q,2,FALSE),"")</f>
        <v>Unidad</v>
      </c>
      <c r="D3796" s="94">
        <v>1</v>
      </c>
      <c r="E3796" s="84">
        <v>85000</v>
      </c>
      <c r="F3796" s="83">
        <f t="shared" ca="1" si="166"/>
        <v>85000</v>
      </c>
    </row>
    <row r="3797" spans="1:6" ht="14.1" customHeight="1" x14ac:dyDescent="0.25">
      <c r="A3797" s="94" t="s">
        <v>2769</v>
      </c>
      <c r="B3797" s="82" t="str">
        <f ca="1">IFERROR(INDEX(UNSPSCDes,MATCH(INDIRECT(ADDRESS(ROW(),COLUMN()-1,4)),UNSPSCCode,0)),IF(INDIRECT(ADDRESS(ROW(),COLUMN()-1,4))="39121529","Contactores",""))</f>
        <v>Contactores</v>
      </c>
      <c r="C3797" s="95" t="str">
        <f>IFERROR(VLOOKUP("UD",'Informacion '!P:Q,2,FALSE),"")</f>
        <v>Unidad</v>
      </c>
      <c r="D3797" s="94">
        <v>5</v>
      </c>
      <c r="E3797" s="84">
        <v>850</v>
      </c>
      <c r="F3797" s="83">
        <f t="shared" ca="1" si="166"/>
        <v>4250</v>
      </c>
    </row>
    <row r="3798" spans="1:6" ht="14.1" customHeight="1" x14ac:dyDescent="0.25">
      <c r="A3798" s="94" t="s">
        <v>2769</v>
      </c>
      <c r="B3798" s="82" t="str">
        <f ca="1">IFERROR(INDEX(UNSPSCDes,MATCH(INDIRECT(ADDRESS(ROW(),COLUMN()-1,4)),UNSPSCCode,0)),IF(INDIRECT(ADDRESS(ROW(),COLUMN()-1,4))="39121529","Contactores",""))</f>
        <v>Contactores</v>
      </c>
      <c r="C3798" s="95" t="str">
        <f>IFERROR(VLOOKUP("UD",'Informacion '!P:Q,2,FALSE),"")</f>
        <v>Unidad</v>
      </c>
      <c r="D3798" s="94">
        <v>5</v>
      </c>
      <c r="E3798" s="84">
        <v>850</v>
      </c>
      <c r="F3798" s="83">
        <f t="shared" ca="1" si="166"/>
        <v>4250</v>
      </c>
    </row>
    <row r="3799" spans="1:6" ht="14.1" customHeight="1" x14ac:dyDescent="0.25">
      <c r="A3799" s="94" t="s">
        <v>5484</v>
      </c>
      <c r="B3799" s="82" t="str">
        <f ca="1">IFERROR(INDEX(UNSPSCDes,MATCH(INDIRECT(ADDRESS(ROW(),COLUMN()-1,4)),UNSPSCCode,0)),IF(INDIRECT(ADDRESS(ROW(),COLUMN()-1,4))="49201610","Tubos de resistencia",""))</f>
        <v>Tubos de resistencia</v>
      </c>
      <c r="C3799" s="95" t="str">
        <f>IFERROR(VLOOKUP("UD",'Informacion '!P:Q,2,FALSE),"")</f>
        <v>Unidad</v>
      </c>
      <c r="D3799" s="94">
        <v>5</v>
      </c>
      <c r="E3799" s="84">
        <v>484</v>
      </c>
      <c r="F3799" s="83">
        <f t="shared" ca="1" si="166"/>
        <v>2420</v>
      </c>
    </row>
    <row r="3800" spans="1:6" ht="14.1" customHeight="1" x14ac:dyDescent="0.25">
      <c r="A3800" s="94" t="s">
        <v>10872</v>
      </c>
      <c r="B3800" s="82" t="str">
        <f ca="1">IFERROR(INDEX(UNSPSCDes,MATCH(INDIRECT(ADDRESS(ROW(),COLUMN()-1,4)),UNSPSCCode,0)),IF(INDIRECT(ADDRESS(ROW(),COLUMN()-1,4))="31162310","Correas de montaje",""))</f>
        <v>Correas de montaje</v>
      </c>
      <c r="C3800" s="95" t="str">
        <f>IFERROR(VLOOKUP("UD",'Informacion '!P:Q,2,FALSE),"")</f>
        <v>Unidad</v>
      </c>
      <c r="D3800" s="94">
        <v>1</v>
      </c>
      <c r="E3800" s="84">
        <v>52000</v>
      </c>
      <c r="F3800" s="83">
        <f t="shared" ca="1" si="166"/>
        <v>52000</v>
      </c>
    </row>
    <row r="3801" spans="1:6" ht="14.1" customHeight="1" x14ac:dyDescent="0.25">
      <c r="A3801" s="94" t="s">
        <v>5484</v>
      </c>
      <c r="B3801" s="82" t="str">
        <f ca="1">IFERROR(INDEX(UNSPSCDes,MATCH(INDIRECT(ADDRESS(ROW(),COLUMN()-1,4)),UNSPSCCode,0)),IF(INDIRECT(ADDRESS(ROW(),COLUMN()-1,4))="49201610","Tubos de resistencia",""))</f>
        <v>Tubos de resistencia</v>
      </c>
      <c r="C3801" s="95" t="str">
        <f>IFERROR(VLOOKUP("UD",'Informacion '!P:Q,2,FALSE),"")</f>
        <v>Unidad</v>
      </c>
      <c r="D3801" s="94">
        <v>50</v>
      </c>
      <c r="E3801" s="84">
        <v>30</v>
      </c>
      <c r="F3801" s="83">
        <f t="shared" ca="1" si="166"/>
        <v>1500</v>
      </c>
    </row>
    <row r="3802" spans="1:6" ht="14.1" customHeight="1" x14ac:dyDescent="0.25">
      <c r="A3802" s="94" t="s">
        <v>5484</v>
      </c>
      <c r="B3802" s="82" t="str">
        <f ca="1">IFERROR(INDEX(UNSPSCDes,MATCH(INDIRECT(ADDRESS(ROW(),COLUMN()-1,4)),UNSPSCCode,0)),IF(INDIRECT(ADDRESS(ROW(),COLUMN()-1,4))="49201610","Tubos de resistencia",""))</f>
        <v>Tubos de resistencia</v>
      </c>
      <c r="C3802" s="95" t="str">
        <f>IFERROR(VLOOKUP("UD",'Informacion '!P:Q,2,FALSE),"")</f>
        <v>Unidad</v>
      </c>
      <c r="D3802" s="94">
        <v>50</v>
      </c>
      <c r="E3802" s="84">
        <v>30</v>
      </c>
      <c r="F3802" s="83">
        <f t="shared" ca="1" si="166"/>
        <v>1500</v>
      </c>
    </row>
    <row r="3803" spans="1:6" ht="14.1" customHeight="1" x14ac:dyDescent="0.25">
      <c r="A3803" s="94" t="s">
        <v>10906</v>
      </c>
      <c r="B3803" s="82" t="str">
        <f ca="1">IFERROR(INDEX(UNSPSCDes,MATCH(INDIRECT(ADDRESS(ROW(),COLUMN()-1,4)),UNSPSCCode,0)),IF(INDIRECT(ADDRESS(ROW(),COLUMN()-1,4))="40142604","Codos de tubo",""))</f>
        <v>Codos de tubo</v>
      </c>
      <c r="C3803" s="95" t="str">
        <f>IFERROR(VLOOKUP("UD",'Informacion '!P:Q,2,FALSE),"")</f>
        <v>Unidad</v>
      </c>
      <c r="D3803" s="94">
        <v>50</v>
      </c>
      <c r="E3803" s="84">
        <v>30</v>
      </c>
      <c r="F3803" s="83">
        <f t="shared" ca="1" si="166"/>
        <v>1500</v>
      </c>
    </row>
    <row r="3804" spans="1:6" ht="14.1" customHeight="1" x14ac:dyDescent="0.25">
      <c r="A3804" s="94" t="s">
        <v>2094</v>
      </c>
      <c r="B3804" s="82" t="str">
        <f t="shared" ref="B3804:B3809" ca="1" si="167">IFERROR(INDEX(UNSPSCDes,MATCH(INDIRECT(ADDRESS(ROW(),COLUMN()-1,4)),UNSPSCCode,0)),IF(INDIRECT(ADDRESS(ROW(),COLUMN()-1,4))="31181503","Juntas obturadoras de metal",""))</f>
        <v>Juntas obturadoras de metal</v>
      </c>
      <c r="C3804" s="95" t="str">
        <f>IFERROR(VLOOKUP("UD",'Informacion '!P:Q,2,FALSE),"")</f>
        <v>Unidad</v>
      </c>
      <c r="D3804" s="94">
        <v>10</v>
      </c>
      <c r="E3804" s="84">
        <v>300</v>
      </c>
      <c r="F3804" s="83">
        <f t="shared" ca="1" si="166"/>
        <v>3000</v>
      </c>
    </row>
    <row r="3805" spans="1:6" ht="14.1" customHeight="1" x14ac:dyDescent="0.25">
      <c r="A3805" s="94" t="s">
        <v>2094</v>
      </c>
      <c r="B3805" s="82" t="str">
        <f t="shared" ca="1" si="167"/>
        <v>Juntas obturadoras de metal</v>
      </c>
      <c r="C3805" s="95" t="str">
        <f>IFERROR(VLOOKUP("UD",'Informacion '!P:Q,2,FALSE),"")</f>
        <v>Unidad</v>
      </c>
      <c r="D3805" s="94">
        <v>10</v>
      </c>
      <c r="E3805" s="84">
        <v>300</v>
      </c>
      <c r="F3805" s="83">
        <f t="shared" ca="1" si="166"/>
        <v>3000</v>
      </c>
    </row>
    <row r="3806" spans="1:6" ht="14.1" customHeight="1" x14ac:dyDescent="0.25">
      <c r="A3806" s="94" t="s">
        <v>2094</v>
      </c>
      <c r="B3806" s="82" t="str">
        <f t="shared" ca="1" si="167"/>
        <v>Juntas obturadoras de metal</v>
      </c>
      <c r="C3806" s="95" t="str">
        <f>IFERROR(VLOOKUP("UD",'Informacion '!P:Q,2,FALSE),"")</f>
        <v>Unidad</v>
      </c>
      <c r="D3806" s="94">
        <v>10</v>
      </c>
      <c r="E3806" s="84">
        <v>300</v>
      </c>
      <c r="F3806" s="83">
        <f t="shared" ca="1" si="166"/>
        <v>3000</v>
      </c>
    </row>
    <row r="3807" spans="1:6" ht="14.1" customHeight="1" x14ac:dyDescent="0.25">
      <c r="A3807" s="94" t="s">
        <v>2094</v>
      </c>
      <c r="B3807" s="82" t="str">
        <f t="shared" ca="1" si="167"/>
        <v>Juntas obturadoras de metal</v>
      </c>
      <c r="C3807" s="95" t="str">
        <f>IFERROR(VLOOKUP("UD",'Informacion '!P:Q,2,FALSE),"")</f>
        <v>Unidad</v>
      </c>
      <c r="D3807" s="94">
        <v>10</v>
      </c>
      <c r="E3807" s="84">
        <v>450</v>
      </c>
      <c r="F3807" s="83">
        <f t="shared" ca="1" si="166"/>
        <v>4500</v>
      </c>
    </row>
    <row r="3808" spans="1:6" ht="14.1" customHeight="1" x14ac:dyDescent="0.25">
      <c r="A3808" s="94" t="s">
        <v>2094</v>
      </c>
      <c r="B3808" s="82" t="str">
        <f t="shared" ca="1" si="167"/>
        <v>Juntas obturadoras de metal</v>
      </c>
      <c r="C3808" s="95" t="str">
        <f>IFERROR(VLOOKUP("UD",'Informacion '!P:Q,2,FALSE),"")</f>
        <v>Unidad</v>
      </c>
      <c r="D3808" s="94">
        <v>10</v>
      </c>
      <c r="E3808" s="84">
        <v>600</v>
      </c>
      <c r="F3808" s="83">
        <f t="shared" ca="1" si="166"/>
        <v>6000</v>
      </c>
    </row>
    <row r="3809" spans="1:6" ht="14.1" customHeight="1" x14ac:dyDescent="0.25">
      <c r="A3809" s="94" t="s">
        <v>2094</v>
      </c>
      <c r="B3809" s="82" t="str">
        <f t="shared" ca="1" si="167"/>
        <v>Juntas obturadoras de metal</v>
      </c>
      <c r="C3809" s="95" t="str">
        <f>IFERROR(VLOOKUP("UD",'Informacion '!P:Q,2,FALSE),"")</f>
        <v>Unidad</v>
      </c>
      <c r="D3809" s="94">
        <v>2</v>
      </c>
      <c r="E3809" s="84">
        <v>700</v>
      </c>
      <c r="F3809" s="83">
        <f t="shared" ca="1" si="166"/>
        <v>1400</v>
      </c>
    </row>
    <row r="3810" spans="1:6" ht="14.1" customHeight="1" x14ac:dyDescent="0.25">
      <c r="A3810" s="94" t="s">
        <v>17538</v>
      </c>
      <c r="B3810" s="82" t="str">
        <f ca="1">IFERROR(INDEX(UNSPSCDes,MATCH(INDIRECT(ADDRESS(ROW(),COLUMN()-1,4)),UNSPSCCode,0)),IF(INDIRECT(ADDRESS(ROW(),COLUMN()-1,4))="24131503","Cuartos fríos",""))</f>
        <v>Cuartos fríos</v>
      </c>
      <c r="C3810" s="95" t="str">
        <f>IFERROR(VLOOKUP("UD",'Informacion '!P:Q,2,FALSE),"")</f>
        <v>Unidad</v>
      </c>
      <c r="D3810" s="94">
        <v>1</v>
      </c>
      <c r="E3810" s="84">
        <v>8600</v>
      </c>
      <c r="F3810" s="83">
        <f t="shared" ca="1" si="166"/>
        <v>8600</v>
      </c>
    </row>
    <row r="3811" spans="1:6" ht="14.1" customHeight="1" x14ac:dyDescent="0.25">
      <c r="A3811" s="94" t="s">
        <v>14287</v>
      </c>
      <c r="B3811" s="82" t="str">
        <f ca="1">IFERROR(INDEX(UNSPSCDes,MATCH(INDIRECT(ADDRESS(ROW(),COLUMN()-1,4)),UNSPSCCode,0)),IF(INDIRECT(ADDRESS(ROW(),COLUMN()-1,4))="22101708","Extractores",""))</f>
        <v>Extractores</v>
      </c>
      <c r="C3811" s="95" t="str">
        <f>IFERROR(VLOOKUP("UD",'Informacion '!P:Q,2,FALSE),"")</f>
        <v>Unidad</v>
      </c>
      <c r="D3811" s="94">
        <v>10</v>
      </c>
      <c r="E3811" s="84">
        <v>12000</v>
      </c>
      <c r="F3811" s="83">
        <f t="shared" ca="1" si="166"/>
        <v>120000</v>
      </c>
    </row>
    <row r="3812" spans="1:6" ht="14.1" customHeight="1" x14ac:dyDescent="0.25">
      <c r="A3812" s="94" t="s">
        <v>14287</v>
      </c>
      <c r="B3812" s="82" t="str">
        <f ca="1">IFERROR(INDEX(UNSPSCDes,MATCH(INDIRECT(ADDRESS(ROW(),COLUMN()-1,4)),UNSPSCCode,0)),IF(INDIRECT(ADDRESS(ROW(),COLUMN()-1,4))="22101708","Extractores",""))</f>
        <v>Extractores</v>
      </c>
      <c r="C3812" s="95" t="str">
        <f>IFERROR(VLOOKUP("UD",'Informacion '!P:Q,2,FALSE),"")</f>
        <v>Unidad</v>
      </c>
      <c r="D3812" s="94">
        <v>2</v>
      </c>
      <c r="E3812" s="84">
        <v>19000</v>
      </c>
      <c r="F3812" s="83">
        <f t="shared" ca="1" si="166"/>
        <v>38000</v>
      </c>
    </row>
    <row r="3813" spans="1:6" ht="14.1" customHeight="1" x14ac:dyDescent="0.25">
      <c r="A3813" s="94" t="s">
        <v>18360</v>
      </c>
      <c r="B3813" s="82" t="str">
        <f ca="1">IFERROR(INDEX(UNSPSCDes,MATCH(INDIRECT(ADDRESS(ROW(),COLUMN()-1,4)),UNSPSCCode,0)),IF(INDIRECT(ADDRESS(ROW(),COLUMN()-1,4))="11161804","Textil sintético tejido",""))</f>
        <v>Textil sintético tejido</v>
      </c>
      <c r="C3813" s="95" t="str">
        <f>IFERROR(VLOOKUP("FT",'Informacion '!P:Q,2,FALSE),"")</f>
        <v>Pie</v>
      </c>
      <c r="D3813" s="94">
        <v>45</v>
      </c>
      <c r="E3813" s="84">
        <v>186</v>
      </c>
      <c r="F3813" s="83">
        <f t="shared" ca="1" si="166"/>
        <v>8370</v>
      </c>
    </row>
    <row r="3814" spans="1:6" ht="14.1" customHeight="1" x14ac:dyDescent="0.25">
      <c r="A3814" s="94" t="s">
        <v>8065</v>
      </c>
      <c r="B3814" s="82" t="str">
        <f ca="1">IFERROR(INDEX(UNSPSCDes,MATCH(INDIRECT(ADDRESS(ROW(),COLUMN()-1,4)),UNSPSCCode,0)),IF(INDIRECT(ADDRESS(ROW(),COLUMN()-1,4))="44102904","Aerosol de aire comprimido",""))</f>
        <v>Aerosol de aire comprimido</v>
      </c>
      <c r="C3814" s="95" t="str">
        <f>IFERROR(VLOOKUP("UD",'Informacion '!P:Q,2,FALSE),"")</f>
        <v>Unidad</v>
      </c>
      <c r="D3814" s="94">
        <v>1</v>
      </c>
      <c r="E3814" s="84">
        <v>12500</v>
      </c>
      <c r="F3814" s="83">
        <f t="shared" ca="1" si="166"/>
        <v>12500</v>
      </c>
    </row>
    <row r="3815" spans="1:6" ht="14.1" customHeight="1" x14ac:dyDescent="0.25">
      <c r="A3815" s="94" t="s">
        <v>17076</v>
      </c>
      <c r="B3815" s="82" t="str">
        <f ca="1">IFERROR(INDEX(UNSPSCDes,MATCH(INDIRECT(ADDRESS(ROW(),COLUMN()-1,4)),UNSPSCCode,0)),IF(INDIRECT(ADDRESS(ROW(),COLUMN()-1,4))="39111704","Luces proyectantes",""))</f>
        <v>Luces proyectantes</v>
      </c>
      <c r="C3815" s="95" t="str">
        <f>IFERROR(VLOOKUP("UD",'Informacion '!P:Q,2,FALSE),"")</f>
        <v>Unidad</v>
      </c>
      <c r="D3815" s="94">
        <v>3</v>
      </c>
      <c r="E3815" s="84">
        <v>2300</v>
      </c>
      <c r="F3815" s="83">
        <f t="shared" ca="1" si="166"/>
        <v>6900</v>
      </c>
    </row>
    <row r="3816" spans="1:6" ht="14.1" customHeight="1" x14ac:dyDescent="0.25">
      <c r="A3816" s="94" t="s">
        <v>12979</v>
      </c>
      <c r="B3816" s="82" t="str">
        <f ca="1">IFERROR(INDEX(UNSPSCDes,MATCH(INDIRECT(ADDRESS(ROW(),COLUMN()-1,4)),UNSPSCCode,0)),IF(INDIRECT(ADDRESS(ROW(),COLUMN()-1,4))="13102029","Poliuretano termoplástico rígido rptu",""))</f>
        <v>Poliuretano termoplástico rígido rptu</v>
      </c>
      <c r="C3816" s="95" t="str">
        <f>IFERROR(VLOOKUP("UD",'Informacion '!P:Q,2,FALSE),"")</f>
        <v>Unidad</v>
      </c>
      <c r="D3816" s="94">
        <v>8</v>
      </c>
      <c r="E3816" s="84">
        <v>400</v>
      </c>
      <c r="F3816" s="83">
        <f t="shared" ca="1" si="166"/>
        <v>3200</v>
      </c>
    </row>
    <row r="3817" spans="1:6" ht="14.1" customHeight="1" x14ac:dyDescent="0.25">
      <c r="A3817" s="94" t="s">
        <v>10218</v>
      </c>
      <c r="B3817" s="82" t="str">
        <f ca="1">IFERROR(INDEX(UNSPSCDes,MATCH(INDIRECT(ADDRESS(ROW(),COLUMN()-1,4)),UNSPSCCode,0)),IF(INDIRECT(ADDRESS(ROW(),COLUMN()-1,4))="25102001","Tanques",""))</f>
        <v>Tanques</v>
      </c>
      <c r="C3817" s="95" t="str">
        <f>IFERROR(VLOOKUP("UD",'Informacion '!P:Q,2,FALSE),"")</f>
        <v>Unidad</v>
      </c>
      <c r="D3817" s="94">
        <v>5</v>
      </c>
      <c r="E3817" s="84">
        <v>5500</v>
      </c>
      <c r="F3817" s="83">
        <f t="shared" ca="1" si="166"/>
        <v>27500</v>
      </c>
    </row>
    <row r="3818" spans="1:6" ht="14.1" customHeight="1" x14ac:dyDescent="0.25">
      <c r="A3818" s="94" t="s">
        <v>10218</v>
      </c>
      <c r="B3818" s="82" t="str">
        <f ca="1">IFERROR(INDEX(UNSPSCDes,MATCH(INDIRECT(ADDRESS(ROW(),COLUMN()-1,4)),UNSPSCCode,0)),IF(INDIRECT(ADDRESS(ROW(),COLUMN()-1,4))="25102001","Tanques",""))</f>
        <v>Tanques</v>
      </c>
      <c r="C3818" s="95" t="str">
        <f>IFERROR(VLOOKUP("UD",'Informacion '!P:Q,2,FALSE),"")</f>
        <v>Unidad</v>
      </c>
      <c r="D3818" s="94">
        <v>15</v>
      </c>
      <c r="E3818" s="84">
        <v>8000</v>
      </c>
      <c r="F3818" s="83">
        <f t="shared" ca="1" si="166"/>
        <v>120000</v>
      </c>
    </row>
    <row r="3819" spans="1:6" ht="14.1" customHeight="1" x14ac:dyDescent="0.25">
      <c r="A3819" s="94" t="s">
        <v>10218</v>
      </c>
      <c r="B3819" s="82" t="str">
        <f ca="1">IFERROR(INDEX(UNSPSCDes,MATCH(INDIRECT(ADDRESS(ROW(),COLUMN()-1,4)),UNSPSCCode,0)),IF(INDIRECT(ADDRESS(ROW(),COLUMN()-1,4))="25102001","Tanques",""))</f>
        <v>Tanques</v>
      </c>
      <c r="C3819" s="95" t="str">
        <f>IFERROR(VLOOKUP("UD",'Informacion '!P:Q,2,FALSE),"")</f>
        <v>Unidad</v>
      </c>
      <c r="D3819" s="94">
        <v>1</v>
      </c>
      <c r="E3819" s="84">
        <v>6800</v>
      </c>
      <c r="F3819" s="83">
        <f t="shared" ca="1" si="166"/>
        <v>6800</v>
      </c>
    </row>
    <row r="3820" spans="1:6" ht="14.1" customHeight="1" x14ac:dyDescent="0.25">
      <c r="A3820" s="94" t="s">
        <v>11926</v>
      </c>
      <c r="B3820" s="82" t="str">
        <f ca="1">IFERROR(INDEX(UNSPSCDes,MATCH(INDIRECT(ADDRESS(ROW(),COLUMN()-1,4)),UNSPSCCode,0)),IF(INDIRECT(ADDRESS(ROW(),COLUMN()-1,4))="27111508","Sierras",""))</f>
        <v>Sierras</v>
      </c>
      <c r="C3820" s="95" t="str">
        <f>IFERROR(VLOOKUP("UD",'Informacion '!P:Q,2,FALSE),"")</f>
        <v>Unidad</v>
      </c>
      <c r="D3820" s="94">
        <v>50</v>
      </c>
      <c r="E3820" s="84">
        <v>130</v>
      </c>
      <c r="F3820" s="83">
        <f t="shared" ca="1" si="166"/>
        <v>6500</v>
      </c>
    </row>
    <row r="3821" spans="1:6" ht="14.1" customHeight="1" x14ac:dyDescent="0.25">
      <c r="A3821" s="94" t="s">
        <v>11012</v>
      </c>
      <c r="B3821" s="82" t="str">
        <f ca="1">IFERROR(INDEX(UNSPSCDes,MATCH(INDIRECT(ADDRESS(ROW(),COLUMN()-1,4)),UNSPSCCode,0)),IF(INDIRECT(ADDRESS(ROW(),COLUMN()-1,4))="39121525","Interruptores infusibles",""))</f>
        <v>Interruptores infusibles</v>
      </c>
      <c r="C3821" s="95" t="str">
        <f>IFERROR(VLOOKUP("UD",'Informacion '!P:Q,2,FALSE),"")</f>
        <v>Unidad</v>
      </c>
      <c r="D3821" s="94">
        <v>5</v>
      </c>
      <c r="E3821" s="84">
        <v>85</v>
      </c>
      <c r="F3821" s="83">
        <f t="shared" ca="1" si="166"/>
        <v>425</v>
      </c>
    </row>
    <row r="3822" spans="1:6" ht="14.1" customHeight="1" x14ac:dyDescent="0.25">
      <c r="A3822" s="94" t="s">
        <v>11012</v>
      </c>
      <c r="B3822" s="82" t="str">
        <f ca="1">IFERROR(INDEX(UNSPSCDes,MATCH(INDIRECT(ADDRESS(ROW(),COLUMN()-1,4)),UNSPSCCode,0)),IF(INDIRECT(ADDRESS(ROW(),COLUMN()-1,4))="39121525","Interruptores infusibles",""))</f>
        <v>Interruptores infusibles</v>
      </c>
      <c r="C3822" s="95" t="str">
        <f>IFERROR(VLOOKUP("UD",'Informacion '!P:Q,2,FALSE),"")</f>
        <v>Unidad</v>
      </c>
      <c r="D3822" s="94">
        <v>5</v>
      </c>
      <c r="E3822" s="84">
        <v>68</v>
      </c>
      <c r="F3822" s="83">
        <f t="shared" ca="1" si="166"/>
        <v>340</v>
      </c>
    </row>
    <row r="3823" spans="1:6" ht="14.1" customHeight="1" x14ac:dyDescent="0.25">
      <c r="A3823" s="94" t="s">
        <v>1126</v>
      </c>
      <c r="B3823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3823" s="95" t="str">
        <f>IFERROR(VLOOKUP("UD",'Informacion '!P:Q,2,FALSE),"")</f>
        <v>Unidad</v>
      </c>
      <c r="D3823" s="94">
        <v>30</v>
      </c>
      <c r="E3823" s="84">
        <v>400</v>
      </c>
      <c r="F3823" s="83">
        <f t="shared" ca="1" si="166"/>
        <v>12000</v>
      </c>
    </row>
    <row r="3824" spans="1:6" ht="14.1" customHeight="1" x14ac:dyDescent="0.25">
      <c r="A3824" s="94" t="s">
        <v>1126</v>
      </c>
      <c r="B3824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3824" s="95" t="str">
        <f>IFERROR(VLOOKUP("UD",'Informacion '!P:Q,2,FALSE),"")</f>
        <v>Unidad</v>
      </c>
      <c r="D3824" s="94">
        <v>100</v>
      </c>
      <c r="E3824" s="84">
        <v>400</v>
      </c>
      <c r="F3824" s="83">
        <f t="shared" ca="1" si="166"/>
        <v>40000</v>
      </c>
    </row>
    <row r="3825" spans="1:6" ht="14.1" customHeight="1" x14ac:dyDescent="0.25">
      <c r="A3825" s="94" t="s">
        <v>15834</v>
      </c>
      <c r="B3825" s="82" t="str">
        <f ca="1">IFERROR(INDEX(UNSPSCDes,MATCH(INDIRECT(ADDRESS(ROW(),COLUMN()-1,4)),UNSPSCCode,0)),IF(INDIRECT(ADDRESS(ROW(),COLUMN()-1,4))="42131705","Pantalones (“leggings”) de cirugía",""))</f>
        <v>Pantalones (“leggings”) de cirugía</v>
      </c>
      <c r="C3825" s="95" t="str">
        <f>IFERROR(VLOOKUP("UD",'Informacion '!P:Q,2,FALSE),"")</f>
        <v>Unidad</v>
      </c>
      <c r="D3825" s="94">
        <v>36</v>
      </c>
      <c r="E3825" s="84">
        <v>400</v>
      </c>
      <c r="F3825" s="83">
        <f t="shared" ca="1" si="166"/>
        <v>14400</v>
      </c>
    </row>
    <row r="3826" spans="1:6" ht="14.1" customHeight="1" x14ac:dyDescent="0.25">
      <c r="A3826" s="94" t="s">
        <v>15926</v>
      </c>
      <c r="B3826" s="82" t="str">
        <f ca="1">IFERROR(INDEX(UNSPSCDes,MATCH(INDIRECT(ADDRESS(ROW(),COLUMN()-1,4)),UNSPSCCode,0)),IF(INDIRECT(ADDRESS(ROW(),COLUMN()-1,4))="41113601","Amperímetros",""))</f>
        <v>Amperímetros</v>
      </c>
      <c r="C3826" s="95" t="str">
        <f>IFERROR(VLOOKUP("UD",'Informacion '!P:Q,2,FALSE),"")</f>
        <v>Unidad</v>
      </c>
      <c r="D3826" s="94">
        <v>2</v>
      </c>
      <c r="E3826" s="84">
        <v>1200</v>
      </c>
      <c r="F3826" s="83">
        <f t="shared" ca="1" si="166"/>
        <v>2400</v>
      </c>
    </row>
    <row r="3827" spans="1:6" ht="14.1" customHeight="1" x14ac:dyDescent="0.25">
      <c r="A3827" s="94" t="s">
        <v>14491</v>
      </c>
      <c r="B3827" s="82" t="str">
        <f ca="1">IFERROR(INDEX(UNSPSCDes,MATCH(INDIRECT(ADDRESS(ROW(),COLUMN()-1,4)),UNSPSCCode,0)),IF(INDIRECT(ADDRESS(ROW(),COLUMN()-1,4))="30181512","Asientos de inodoro",""))</f>
        <v>Asientos de inodoro</v>
      </c>
      <c r="C3827" s="95" t="str">
        <f>IFERROR(VLOOKUP("UD",'Informacion '!P:Q,2,FALSE),"")</f>
        <v>Unidad</v>
      </c>
      <c r="D3827" s="94">
        <v>30</v>
      </c>
      <c r="E3827" s="84">
        <v>200</v>
      </c>
      <c r="F3827" s="83">
        <f t="shared" ca="1" si="166"/>
        <v>6000</v>
      </c>
    </row>
    <row r="3828" spans="1:6" ht="14.1" customHeight="1" x14ac:dyDescent="0.25">
      <c r="A3828" s="94" t="s">
        <v>9883</v>
      </c>
      <c r="B3828" s="82" t="str">
        <f ca="1">IFERROR(INDEX(UNSPSCDes,MATCH(INDIRECT(ADDRESS(ROW(),COLUMN()-1,4)),UNSPSCCode,0)),IF(INDIRECT(ADDRESS(ROW(),COLUMN()-1,4))="39101601","Lámparas halógenas",""))</f>
        <v>Lámparas halógenas</v>
      </c>
      <c r="C3828" s="95" t="str">
        <f>IFERROR(VLOOKUP("UD",'Informacion '!P:Q,2,FALSE),"")</f>
        <v>Unidad</v>
      </c>
      <c r="D3828" s="94">
        <v>20</v>
      </c>
      <c r="E3828" s="84">
        <v>2000</v>
      </c>
      <c r="F3828" s="83">
        <f t="shared" ca="1" si="166"/>
        <v>40000</v>
      </c>
    </row>
    <row r="3829" spans="1:6" ht="14.1" customHeight="1" x14ac:dyDescent="0.25">
      <c r="A3829" s="94" t="s">
        <v>4223</v>
      </c>
      <c r="B3829" s="82" t="str">
        <f ca="1">IFERROR(INDEX(UNSPSCDes,MATCH(INDIRECT(ADDRESS(ROW(),COLUMN()-1,4)),UNSPSCCode,0)),IF(INDIRECT(ADDRESS(ROW(),COLUMN()-1,4))="71141201","Servicios de limpieza o achique del pozo",""))</f>
        <v>Servicios de limpieza o achique del pozo</v>
      </c>
      <c r="C3829" s="95" t="str">
        <f>IFERROR(VLOOKUP("UD",'Informacion '!P:Q,2,FALSE),"")</f>
        <v>Unidad</v>
      </c>
      <c r="D3829" s="94">
        <v>2</v>
      </c>
      <c r="E3829" s="84">
        <v>25000</v>
      </c>
      <c r="F3829" s="83">
        <f t="shared" ca="1" si="166"/>
        <v>50000</v>
      </c>
    </row>
    <row r="3830" spans="1:6" ht="14.1" customHeight="1" x14ac:dyDescent="0.25">
      <c r="A3830" s="94" t="s">
        <v>19265</v>
      </c>
      <c r="B3830" s="82" t="str">
        <f ca="1">IFERROR(INDEX(UNSPSCDes,MATCH(INDIRECT(ADDRESS(ROW(),COLUMN()-1,4)),UNSPSCCode,0)),IF(INDIRECT(ADDRESS(ROW(),COLUMN()-1,4))="46171505","Llaves",""))</f>
        <v>Llaves</v>
      </c>
      <c r="C3830" s="95" t="str">
        <f>IFERROR(VLOOKUP("UD",'Informacion '!P:Q,2,FALSE),"")</f>
        <v>Unidad</v>
      </c>
      <c r="D3830" s="94">
        <v>20</v>
      </c>
      <c r="E3830" s="84">
        <v>130</v>
      </c>
      <c r="F3830" s="83">
        <f t="shared" ca="1" si="166"/>
        <v>2600</v>
      </c>
    </row>
    <row r="3831" spans="1:6" ht="14.1" customHeight="1" x14ac:dyDescent="0.25">
      <c r="A3831" s="94" t="s">
        <v>19265</v>
      </c>
      <c r="B3831" s="82" t="str">
        <f ca="1">IFERROR(INDEX(UNSPSCDes,MATCH(INDIRECT(ADDRESS(ROW(),COLUMN()-1,4)),UNSPSCCode,0)),IF(INDIRECT(ADDRESS(ROW(),COLUMN()-1,4))="46171505","Llaves",""))</f>
        <v>Llaves</v>
      </c>
      <c r="C3831" s="95" t="str">
        <f>IFERROR(VLOOKUP("UD",'Informacion '!P:Q,2,FALSE),"")</f>
        <v>Unidad</v>
      </c>
      <c r="D3831" s="94">
        <v>20</v>
      </c>
      <c r="E3831" s="84">
        <v>75</v>
      </c>
      <c r="F3831" s="83">
        <f t="shared" ca="1" si="166"/>
        <v>1500</v>
      </c>
    </row>
    <row r="3832" spans="1:6" ht="14.1" customHeight="1" x14ac:dyDescent="0.25">
      <c r="A3832" s="94" t="s">
        <v>4286</v>
      </c>
      <c r="B3832" s="82" t="str">
        <f ca="1">IFERROR(INDEX(UNSPSCDes,MATCH(INDIRECT(ADDRESS(ROW(),COLUMN()-1,4)),UNSPSCCode,0)),IF(INDIRECT(ADDRESS(ROW(),COLUMN()-1,4))="40142008","Mangueras de agua",""))</f>
        <v>Mangueras de agua</v>
      </c>
      <c r="C3832" s="95" t="str">
        <f>IFERROR(VLOOKUP("UD",'Informacion '!P:Q,2,FALSE),"")</f>
        <v>Unidad</v>
      </c>
      <c r="D3832" s="94">
        <v>10</v>
      </c>
      <c r="E3832" s="84">
        <v>2100</v>
      </c>
      <c r="F3832" s="83">
        <f t="shared" ca="1" si="166"/>
        <v>21000</v>
      </c>
    </row>
    <row r="3833" spans="1:6" ht="14.1" customHeight="1" x14ac:dyDescent="0.25">
      <c r="A3833" s="94" t="s">
        <v>4286</v>
      </c>
      <c r="B3833" s="82" t="str">
        <f ca="1">IFERROR(INDEX(UNSPSCDes,MATCH(INDIRECT(ADDRESS(ROW(),COLUMN()-1,4)),UNSPSCCode,0)),IF(INDIRECT(ADDRESS(ROW(),COLUMN()-1,4))="40142008","Mangueras de agua",""))</f>
        <v>Mangueras de agua</v>
      </c>
      <c r="C3833" s="95" t="str">
        <f>IFERROR(VLOOKUP("UD",'Informacion '!P:Q,2,FALSE),"")</f>
        <v>Unidad</v>
      </c>
      <c r="D3833" s="94">
        <v>10</v>
      </c>
      <c r="E3833" s="84">
        <v>2800</v>
      </c>
      <c r="F3833" s="83">
        <f t="shared" ca="1" si="166"/>
        <v>28000</v>
      </c>
    </row>
    <row r="3834" spans="1:6" ht="14.1" customHeight="1" x14ac:dyDescent="0.25">
      <c r="A3834" s="94" t="s">
        <v>4286</v>
      </c>
      <c r="B3834" s="82" t="str">
        <f ca="1">IFERROR(INDEX(UNSPSCDes,MATCH(INDIRECT(ADDRESS(ROW(),COLUMN()-1,4)),UNSPSCCode,0)),IF(INDIRECT(ADDRESS(ROW(),COLUMN()-1,4))="40142008","Mangueras de agua",""))</f>
        <v>Mangueras de agua</v>
      </c>
      <c r="C3834" s="95" t="str">
        <f>IFERROR(VLOOKUP("UD",'Informacion '!P:Q,2,FALSE),"")</f>
        <v>Unidad</v>
      </c>
      <c r="D3834" s="94">
        <v>30</v>
      </c>
      <c r="E3834" s="84">
        <v>200</v>
      </c>
      <c r="F3834" s="83">
        <f t="shared" ca="1" si="166"/>
        <v>6000</v>
      </c>
    </row>
    <row r="3835" spans="1:6" ht="14.1" customHeight="1" x14ac:dyDescent="0.25">
      <c r="A3835" s="94" t="s">
        <v>4286</v>
      </c>
      <c r="B3835" s="82" t="str">
        <f ca="1">IFERROR(INDEX(UNSPSCDes,MATCH(INDIRECT(ADDRESS(ROW(),COLUMN()-1,4)),UNSPSCCode,0)),IF(INDIRECT(ADDRESS(ROW(),COLUMN()-1,4))="40142008","Mangueras de agua",""))</f>
        <v>Mangueras de agua</v>
      </c>
      <c r="C3835" s="95" t="str">
        <f>IFERROR(VLOOKUP("UD",'Informacion '!P:Q,2,FALSE),"")</f>
        <v>Unidad</v>
      </c>
      <c r="D3835" s="94">
        <v>30</v>
      </c>
      <c r="E3835" s="84">
        <v>200</v>
      </c>
      <c r="F3835" s="83">
        <f t="shared" ca="1" si="166"/>
        <v>6000</v>
      </c>
    </row>
    <row r="3836" spans="1:6" ht="14.1" customHeight="1" x14ac:dyDescent="0.25">
      <c r="A3836" s="94" t="s">
        <v>4286</v>
      </c>
      <c r="B3836" s="82" t="str">
        <f ca="1">IFERROR(INDEX(UNSPSCDes,MATCH(INDIRECT(ADDRESS(ROW(),COLUMN()-1,4)),UNSPSCCode,0)),IF(INDIRECT(ADDRESS(ROW(),COLUMN()-1,4))="40142008","Mangueras de agua",""))</f>
        <v>Mangueras de agua</v>
      </c>
      <c r="C3836" s="95" t="str">
        <f>IFERROR(VLOOKUP("UD",'Informacion '!P:Q,2,FALSE),"")</f>
        <v>Unidad</v>
      </c>
      <c r="D3836" s="94">
        <v>30</v>
      </c>
      <c r="E3836" s="84">
        <v>200</v>
      </c>
      <c r="F3836" s="83">
        <f t="shared" ca="1" si="166"/>
        <v>6000</v>
      </c>
    </row>
    <row r="3837" spans="1:6" ht="14.1" customHeight="1" x14ac:dyDescent="0.25">
      <c r="A3837" s="94" t="s">
        <v>9014</v>
      </c>
      <c r="B3837" s="82" t="str">
        <f ca="1">IFERROR(INDEX(UNSPSCDes,MATCH(INDIRECT(ADDRESS(ROW(),COLUMN()-1,4)),UNSPSCCode,0)),IF(INDIRECT(ADDRESS(ROW(),COLUMN()-1,4))="26111722","Adaptador de batería o accesorios",""))</f>
        <v>Adaptador de batería o accesorios</v>
      </c>
      <c r="C3837" s="95" t="str">
        <f>IFERROR(VLOOKUP("UD",'Informacion '!P:Q,2,FALSE),"")</f>
        <v>Unidad</v>
      </c>
      <c r="D3837" s="94">
        <v>1</v>
      </c>
      <c r="E3837" s="84">
        <v>12000</v>
      </c>
      <c r="F3837" s="83">
        <f t="shared" ca="1" si="166"/>
        <v>12000</v>
      </c>
    </row>
    <row r="3838" spans="1:6" ht="14.1" customHeight="1" x14ac:dyDescent="0.25">
      <c r="A3838" s="94" t="s">
        <v>6953</v>
      </c>
      <c r="B3838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3838" s="95" t="str">
        <f>IFERROR(VLOOKUP("UD",'Informacion '!P:Q,2,FALSE),"")</f>
        <v>Unidad</v>
      </c>
      <c r="D3838" s="94">
        <v>1</v>
      </c>
      <c r="E3838" s="84">
        <v>153000</v>
      </c>
      <c r="F3838" s="83">
        <f t="shared" ca="1" si="166"/>
        <v>153000</v>
      </c>
    </row>
    <row r="3839" spans="1:6" ht="14.1" customHeight="1" x14ac:dyDescent="0.25">
      <c r="A3839" s="94" t="s">
        <v>6953</v>
      </c>
      <c r="B3839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3839" s="95" t="str">
        <f>IFERROR(VLOOKUP("UD",'Informacion '!P:Q,2,FALSE),"")</f>
        <v>Unidad</v>
      </c>
      <c r="D3839" s="94">
        <v>1</v>
      </c>
      <c r="E3839" s="84">
        <v>113000</v>
      </c>
      <c r="F3839" s="83">
        <f t="shared" ca="1" si="166"/>
        <v>113000</v>
      </c>
    </row>
    <row r="3840" spans="1:6" ht="14.1" customHeight="1" x14ac:dyDescent="0.25">
      <c r="A3840" s="94" t="s">
        <v>6953</v>
      </c>
      <c r="B3840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3840" s="95" t="str">
        <f>IFERROR(VLOOKUP("UD",'Informacion '!P:Q,2,FALSE),"")</f>
        <v>Unidad</v>
      </c>
      <c r="D3840" s="94">
        <v>1</v>
      </c>
      <c r="E3840" s="84">
        <v>75000</v>
      </c>
      <c r="F3840" s="83">
        <f t="shared" ca="1" si="166"/>
        <v>75000</v>
      </c>
    </row>
    <row r="3841" spans="1:6" ht="14.1" customHeight="1" x14ac:dyDescent="0.25">
      <c r="A3841" s="94" t="s">
        <v>6953</v>
      </c>
      <c r="B3841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3841" s="95" t="str">
        <f>IFERROR(VLOOKUP("UD",'Informacion '!P:Q,2,FALSE),"")</f>
        <v>Unidad</v>
      </c>
      <c r="D3841" s="94">
        <v>1</v>
      </c>
      <c r="E3841" s="84">
        <v>90000</v>
      </c>
      <c r="F3841" s="83">
        <f t="shared" ca="1" si="166"/>
        <v>90000</v>
      </c>
    </row>
    <row r="3842" spans="1:6" ht="14.1" customHeight="1" x14ac:dyDescent="0.25">
      <c r="A3842" s="94" t="s">
        <v>6723</v>
      </c>
      <c r="B3842" s="82" t="str">
        <f ca="1">IFERROR(INDEX(UNSPSCDes,MATCH(INDIRECT(ADDRESS(ROW(),COLUMN()-1,4)),UNSPSCCode,0)),IF(INDIRECT(ADDRESS(ROW(),COLUMN()-1,4))="15101506","Gasolina",""))</f>
        <v>Gasolina</v>
      </c>
      <c r="C3842" s="95" t="str">
        <f>IFERROR(VLOOKUP("GAL",'Informacion '!P:Q,2,FALSE),"")</f>
        <v>Galón</v>
      </c>
      <c r="D3842" s="94">
        <v>3500</v>
      </c>
      <c r="E3842" s="84">
        <v>205</v>
      </c>
      <c r="F3842" s="83">
        <f t="shared" ref="F3842:F3905" ca="1" si="168">INDIRECT(ADDRESS(ROW(),COLUMN()-2,4))*INDIRECT(ADDRESS(ROW(),COLUMN()-1,4))</f>
        <v>717500</v>
      </c>
    </row>
    <row r="3843" spans="1:6" ht="14.1" customHeight="1" x14ac:dyDescent="0.25">
      <c r="A3843" s="94" t="s">
        <v>2062</v>
      </c>
      <c r="B3843" s="82" t="str">
        <f ca="1">IFERROR(INDEX(UNSPSCDes,MATCH(INDIRECT(ADDRESS(ROW(),COLUMN()-1,4)),UNSPSCCode,0)),IF(INDIRECT(ADDRESS(ROW(),COLUMN()-1,4))="31162702","Ruedas",""))</f>
        <v>Ruedas</v>
      </c>
      <c r="C3843" s="95" t="str">
        <f>IFERROR(VLOOKUP("UD",'Informacion '!P:Q,2,FALSE),"")</f>
        <v>Unidad</v>
      </c>
      <c r="D3843" s="94">
        <v>1</v>
      </c>
      <c r="E3843" s="84">
        <v>13000</v>
      </c>
      <c r="F3843" s="83">
        <f t="shared" ca="1" si="168"/>
        <v>13000</v>
      </c>
    </row>
    <row r="3844" spans="1:6" ht="14.1" customHeight="1" x14ac:dyDescent="0.25">
      <c r="A3844" s="94" t="s">
        <v>11215</v>
      </c>
      <c r="B3844" s="82" t="str">
        <f ca="1">IFERROR(INDEX(UNSPSCDes,MATCH(INDIRECT(ADDRESS(ROW(),COLUMN()-1,4)),UNSPSCCode,0)),IF(INDIRECT(ADDRESS(ROW(),COLUMN()-1,4))="27111701","Destornilladores",""))</f>
        <v>Destornilladores</v>
      </c>
      <c r="C3844" s="95" t="str">
        <f>IFERROR(VLOOKUP("UD",'Informacion '!P:Q,2,FALSE),"")</f>
        <v>Unidad</v>
      </c>
      <c r="D3844" s="94">
        <v>1</v>
      </c>
      <c r="E3844" s="84">
        <v>5000</v>
      </c>
      <c r="F3844" s="83">
        <f t="shared" ca="1" si="168"/>
        <v>5000</v>
      </c>
    </row>
    <row r="3845" spans="1:6" ht="14.1" customHeight="1" x14ac:dyDescent="0.25">
      <c r="A3845" s="94" t="s">
        <v>11491</v>
      </c>
      <c r="B3845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845" s="95" t="str">
        <f>IFERROR(VLOOKUP("UD",'Informacion '!P:Q,2,FALSE),"")</f>
        <v>Unidad</v>
      </c>
      <c r="D3845" s="94">
        <v>1</v>
      </c>
      <c r="E3845" s="84">
        <v>200000</v>
      </c>
      <c r="F3845" s="83">
        <f t="shared" ca="1" si="168"/>
        <v>200000</v>
      </c>
    </row>
    <row r="3846" spans="1:6" ht="14.1" customHeight="1" x14ac:dyDescent="0.25">
      <c r="A3846" s="94" t="s">
        <v>3294</v>
      </c>
      <c r="B3846" s="82" t="str">
        <f ca="1">IFERROR(INDEX(UNSPSCDes,MATCH(INDIRECT(ADDRESS(ROW(),COLUMN()-1,4)),UNSPSCCode,0)),IF(INDIRECT(ADDRESS(ROW(),COLUMN()-1,4))="23191004","Mezcladoras intensivas",""))</f>
        <v>Mezcladoras intensivas</v>
      </c>
      <c r="C3846" s="95" t="str">
        <f>IFERROR(VLOOKUP("UD",'Informacion '!P:Q,2,FALSE),"")</f>
        <v>Unidad</v>
      </c>
      <c r="D3846" s="94">
        <v>30</v>
      </c>
      <c r="E3846" s="84">
        <v>2000</v>
      </c>
      <c r="F3846" s="83">
        <f t="shared" ca="1" si="168"/>
        <v>60000</v>
      </c>
    </row>
    <row r="3847" spans="1:6" ht="14.1" customHeight="1" x14ac:dyDescent="0.25">
      <c r="A3847" s="94" t="s">
        <v>3294</v>
      </c>
      <c r="B3847" s="82" t="str">
        <f ca="1">IFERROR(INDEX(UNSPSCDes,MATCH(INDIRECT(ADDRESS(ROW(),COLUMN()-1,4)),UNSPSCCode,0)),IF(INDIRECT(ADDRESS(ROW(),COLUMN()-1,4))="23191004","Mezcladoras intensivas",""))</f>
        <v>Mezcladoras intensivas</v>
      </c>
      <c r="C3847" s="95" t="str">
        <f>IFERROR(VLOOKUP("UD",'Informacion '!P:Q,2,FALSE),"")</f>
        <v>Unidad</v>
      </c>
      <c r="D3847" s="94">
        <v>20</v>
      </c>
      <c r="E3847" s="84">
        <v>2400</v>
      </c>
      <c r="F3847" s="83">
        <f t="shared" ca="1" si="168"/>
        <v>48000</v>
      </c>
    </row>
    <row r="3848" spans="1:6" ht="14.1" customHeight="1" x14ac:dyDescent="0.25">
      <c r="A3848" s="94" t="s">
        <v>10330</v>
      </c>
      <c r="B3848" s="82" t="str">
        <f ca="1">IFERROR(INDEX(UNSPSCDes,MATCH(INDIRECT(ADDRESS(ROW(),COLUMN()-1,4)),UNSPSCCode,0)),IF(INDIRECT(ADDRESS(ROW(),COLUMN()-1,4))="30181504","Lavamanos",""))</f>
        <v>Lavamanos</v>
      </c>
      <c r="C3848" s="95" t="str">
        <f>IFERROR(VLOOKUP("UD",'Informacion '!P:Q,2,FALSE),"")</f>
        <v>Unidad</v>
      </c>
      <c r="D3848" s="94">
        <v>20</v>
      </c>
      <c r="E3848" s="84">
        <v>2400</v>
      </c>
      <c r="F3848" s="83">
        <f t="shared" ca="1" si="168"/>
        <v>48000</v>
      </c>
    </row>
    <row r="3849" spans="1:6" ht="14.1" customHeight="1" x14ac:dyDescent="0.25">
      <c r="A3849" s="94" t="s">
        <v>3294</v>
      </c>
      <c r="B3849" s="82" t="str">
        <f ca="1">IFERROR(INDEX(UNSPSCDes,MATCH(INDIRECT(ADDRESS(ROW(),COLUMN()-1,4)),UNSPSCCode,0)),IF(INDIRECT(ADDRESS(ROW(),COLUMN()-1,4))="23191004","Mezcladoras intensivas",""))</f>
        <v>Mezcladoras intensivas</v>
      </c>
      <c r="C3849" s="95" t="str">
        <f>IFERROR(VLOOKUP("UD",'Informacion '!P:Q,2,FALSE),"")</f>
        <v>Unidad</v>
      </c>
      <c r="D3849" s="94">
        <v>8</v>
      </c>
      <c r="E3849" s="84">
        <v>9000</v>
      </c>
      <c r="F3849" s="83">
        <f t="shared" ca="1" si="168"/>
        <v>72000</v>
      </c>
    </row>
    <row r="3850" spans="1:6" ht="14.1" customHeight="1" x14ac:dyDescent="0.25">
      <c r="A3850" s="94" t="s">
        <v>19498</v>
      </c>
      <c r="B3850" s="82" t="str">
        <f ca="1">IFERROR(INDEX(UNSPSCDes,MATCH(INDIRECT(ADDRESS(ROW(),COLUMN()-1,4)),UNSPSCCode,0)),IF(INDIRECT(ADDRESS(ROW(),COLUMN()-1,4))="23191005","Mezcladoras de rodillo",""))</f>
        <v>Mezcladoras de rodillo</v>
      </c>
      <c r="C3850" s="95" t="str">
        <f>IFERROR(VLOOKUP("UD",'Informacion '!P:Q,2,FALSE),"")</f>
        <v>Unidad</v>
      </c>
      <c r="D3850" s="94">
        <v>20</v>
      </c>
      <c r="E3850" s="84">
        <v>2400</v>
      </c>
      <c r="F3850" s="83">
        <f t="shared" ca="1" si="168"/>
        <v>48000</v>
      </c>
    </row>
    <row r="3851" spans="1:6" ht="14.1" customHeight="1" x14ac:dyDescent="0.25">
      <c r="A3851" s="94" t="s">
        <v>10466</v>
      </c>
      <c r="B3851" s="82" t="str">
        <f ca="1">IFERROR(INDEX(UNSPSCDes,MATCH(INDIRECT(ADDRESS(ROW(),COLUMN()-1,4)),UNSPSCCode,0)),IF(INDIRECT(ADDRESS(ROW(),COLUMN()-1,4))="12163501","Sellantes de cemento",""))</f>
        <v>Sellantes de cemento</v>
      </c>
      <c r="C3851" s="95" t="str">
        <f>IFERROR(VLOOKUP("UD",'Informacion '!P:Q,2,FALSE),"")</f>
        <v>Unidad</v>
      </c>
      <c r="D3851" s="94">
        <v>3</v>
      </c>
      <c r="E3851" s="84">
        <v>1200</v>
      </c>
      <c r="F3851" s="83">
        <f t="shared" ca="1" si="168"/>
        <v>3600</v>
      </c>
    </row>
    <row r="3852" spans="1:6" ht="14.1" customHeight="1" x14ac:dyDescent="0.25">
      <c r="A3852" s="94" t="s">
        <v>10466</v>
      </c>
      <c r="B3852" s="82" t="str">
        <f ca="1">IFERROR(INDEX(UNSPSCDes,MATCH(INDIRECT(ADDRESS(ROW(),COLUMN()-1,4)),UNSPSCCode,0)),IF(INDIRECT(ADDRESS(ROW(),COLUMN()-1,4))="12163501","Sellantes de cemento",""))</f>
        <v>Sellantes de cemento</v>
      </c>
      <c r="C3852" s="95" t="str">
        <f>IFERROR(VLOOKUP("UD",'Informacion '!P:Q,2,FALSE),"")</f>
        <v>Unidad</v>
      </c>
      <c r="D3852" s="94">
        <v>3</v>
      </c>
      <c r="E3852" s="84">
        <v>2200</v>
      </c>
      <c r="F3852" s="83">
        <f t="shared" ca="1" si="168"/>
        <v>6600</v>
      </c>
    </row>
    <row r="3853" spans="1:6" ht="14.1" customHeight="1" x14ac:dyDescent="0.25">
      <c r="A3853" s="94" t="s">
        <v>8226</v>
      </c>
      <c r="B3853" s="82" t="str">
        <f ca="1">IFERROR(INDEX(UNSPSCDes,MATCH(INDIRECT(ADDRESS(ROW(),COLUMN()-1,4)),UNSPSCCode,0)),IF(INDIRECT(ADDRESS(ROW(),COLUMN()-1,4))="39111808","Parrillas",""))</f>
        <v>Parrillas</v>
      </c>
      <c r="C3853" s="95" t="str">
        <f>IFERROR(VLOOKUP("UD",'Informacion '!P:Q,2,FALSE),"")</f>
        <v>Unidad</v>
      </c>
      <c r="D3853" s="94">
        <v>50</v>
      </c>
      <c r="E3853" s="84">
        <v>200</v>
      </c>
      <c r="F3853" s="83">
        <f t="shared" ca="1" si="168"/>
        <v>10000</v>
      </c>
    </row>
    <row r="3854" spans="1:6" ht="14.1" customHeight="1" x14ac:dyDescent="0.25">
      <c r="A3854" s="94" t="s">
        <v>4286</v>
      </c>
      <c r="B3854" s="82" t="str">
        <f ca="1">IFERROR(INDEX(UNSPSCDes,MATCH(INDIRECT(ADDRESS(ROW(),COLUMN()-1,4)),UNSPSCCode,0)),IF(INDIRECT(ADDRESS(ROW(),COLUMN()-1,4))="40142008","Mangueras de agua",""))</f>
        <v>Mangueras de agua</v>
      </c>
      <c r="C3854" s="95" t="str">
        <f>IFERROR(VLOOKUP("UD",'Informacion '!P:Q,2,FALSE),"")</f>
        <v>Unidad</v>
      </c>
      <c r="D3854" s="94">
        <v>50</v>
      </c>
      <c r="E3854" s="84">
        <v>180</v>
      </c>
      <c r="F3854" s="83">
        <f t="shared" ca="1" si="168"/>
        <v>9000</v>
      </c>
    </row>
    <row r="3855" spans="1:6" ht="14.1" customHeight="1" x14ac:dyDescent="0.25">
      <c r="A3855" s="94" t="s">
        <v>4286</v>
      </c>
      <c r="B3855" s="82" t="str">
        <f ca="1">IFERROR(INDEX(UNSPSCDes,MATCH(INDIRECT(ADDRESS(ROW(),COLUMN()-1,4)),UNSPSCCode,0)),IF(INDIRECT(ADDRESS(ROW(),COLUMN()-1,4))="40142008","Mangueras de agua",""))</f>
        <v>Mangueras de agua</v>
      </c>
      <c r="C3855" s="95" t="str">
        <f>IFERROR(VLOOKUP("UD",'Informacion '!P:Q,2,FALSE),"")</f>
        <v>Unidad</v>
      </c>
      <c r="D3855" s="94">
        <v>50</v>
      </c>
      <c r="E3855" s="84">
        <v>197</v>
      </c>
      <c r="F3855" s="83">
        <f t="shared" ca="1" si="168"/>
        <v>9850</v>
      </c>
    </row>
    <row r="3856" spans="1:6" ht="14.1" customHeight="1" x14ac:dyDescent="0.25">
      <c r="A3856" s="94" t="s">
        <v>4286</v>
      </c>
      <c r="B3856" s="82" t="str">
        <f ca="1">IFERROR(INDEX(UNSPSCDes,MATCH(INDIRECT(ADDRESS(ROW(),COLUMN()-1,4)),UNSPSCCode,0)),IF(INDIRECT(ADDRESS(ROW(),COLUMN()-1,4))="40142008","Mangueras de agua",""))</f>
        <v>Mangueras de agua</v>
      </c>
      <c r="C3856" s="95" t="str">
        <f>IFERROR(VLOOKUP("UD",'Informacion '!P:Q,2,FALSE),"")</f>
        <v>Unidad</v>
      </c>
      <c r="D3856" s="94">
        <v>50</v>
      </c>
      <c r="E3856" s="84">
        <v>220</v>
      </c>
      <c r="F3856" s="83">
        <f t="shared" ca="1" si="168"/>
        <v>11000</v>
      </c>
    </row>
    <row r="3857" spans="1:6" ht="14.1" customHeight="1" x14ac:dyDescent="0.25">
      <c r="A3857" s="94" t="s">
        <v>4286</v>
      </c>
      <c r="B3857" s="82" t="str">
        <f ca="1">IFERROR(INDEX(UNSPSCDes,MATCH(INDIRECT(ADDRESS(ROW(),COLUMN()-1,4)),UNSPSCCode,0)),IF(INDIRECT(ADDRESS(ROW(),COLUMN()-1,4))="40142008","Mangueras de agua",""))</f>
        <v>Mangueras de agua</v>
      </c>
      <c r="C3857" s="95" t="str">
        <f>IFERROR(VLOOKUP("UD",'Informacion '!P:Q,2,FALSE),"")</f>
        <v>Unidad</v>
      </c>
      <c r="D3857" s="94">
        <v>50</v>
      </c>
      <c r="E3857" s="84">
        <v>197</v>
      </c>
      <c r="F3857" s="83">
        <f t="shared" ca="1" si="168"/>
        <v>9850</v>
      </c>
    </row>
    <row r="3858" spans="1:6" ht="14.1" customHeight="1" x14ac:dyDescent="0.25">
      <c r="A3858" s="94" t="s">
        <v>3294</v>
      </c>
      <c r="B3858" s="82" t="str">
        <f ca="1">IFERROR(INDEX(UNSPSCDes,MATCH(INDIRECT(ADDRESS(ROW(),COLUMN()-1,4)),UNSPSCCode,0)),IF(INDIRECT(ADDRESS(ROW(),COLUMN()-1,4))="23191004","Mezcladoras intensivas",""))</f>
        <v>Mezcladoras intensivas</v>
      </c>
      <c r="C3858" s="95" t="str">
        <f>IFERROR(VLOOKUP("UD",'Informacion '!P:Q,2,FALSE),"")</f>
        <v>Unidad</v>
      </c>
      <c r="D3858" s="94">
        <v>20</v>
      </c>
      <c r="E3858" s="84">
        <v>2670</v>
      </c>
      <c r="F3858" s="83">
        <f t="shared" ca="1" si="168"/>
        <v>53400</v>
      </c>
    </row>
    <row r="3859" spans="1:6" ht="14.1" customHeight="1" x14ac:dyDescent="0.25">
      <c r="A3859" s="94" t="s">
        <v>3294</v>
      </c>
      <c r="B3859" s="82" t="str">
        <f ca="1">IFERROR(INDEX(UNSPSCDes,MATCH(INDIRECT(ADDRESS(ROW(),COLUMN()-1,4)),UNSPSCCode,0)),IF(INDIRECT(ADDRESS(ROW(),COLUMN()-1,4))="23191004","Mezcladoras intensivas",""))</f>
        <v>Mezcladoras intensivas</v>
      </c>
      <c r="C3859" s="95" t="str">
        <f>IFERROR(VLOOKUP("UD",'Informacion '!P:Q,2,FALSE),"")</f>
        <v>Unidad</v>
      </c>
      <c r="D3859" s="94">
        <v>20</v>
      </c>
      <c r="E3859" s="84">
        <v>2600</v>
      </c>
      <c r="F3859" s="83">
        <f t="shared" ca="1" si="168"/>
        <v>52000</v>
      </c>
    </row>
    <row r="3860" spans="1:6" ht="14.1" customHeight="1" x14ac:dyDescent="0.25">
      <c r="A3860" s="94" t="s">
        <v>3294</v>
      </c>
      <c r="B3860" s="82" t="str">
        <f ca="1">IFERROR(INDEX(UNSPSCDes,MATCH(INDIRECT(ADDRESS(ROW(),COLUMN()-1,4)),UNSPSCCode,0)),IF(INDIRECT(ADDRESS(ROW(),COLUMN()-1,4))="23191004","Mezcladoras intensivas",""))</f>
        <v>Mezcladoras intensivas</v>
      </c>
      <c r="C3860" s="95" t="str">
        <f>IFERROR(VLOOKUP("UD",'Informacion '!P:Q,2,FALSE),"")</f>
        <v>Unidad</v>
      </c>
      <c r="D3860" s="94">
        <v>40</v>
      </c>
      <c r="E3860" s="84">
        <v>2600</v>
      </c>
      <c r="F3860" s="83">
        <f t="shared" ca="1" si="168"/>
        <v>104000</v>
      </c>
    </row>
    <row r="3861" spans="1:6" ht="14.1" customHeight="1" x14ac:dyDescent="0.25">
      <c r="A3861" s="94" t="s">
        <v>12220</v>
      </c>
      <c r="B3861" s="82" t="str">
        <f ca="1">IFERROR(INDEX(UNSPSCDes,MATCH(INDIRECT(ADDRESS(ROW(),COLUMN()-1,4)),UNSPSCCode,0)),IF(INDIRECT(ADDRESS(ROW(),COLUMN()-1,4))="24141705","Tubos plegables",""))</f>
        <v>Tubos plegables</v>
      </c>
      <c r="C3861" s="95" t="str">
        <f>IFERROR(VLOOKUP("UD",'Informacion '!P:Q,2,FALSE),"")</f>
        <v>Unidad</v>
      </c>
      <c r="D3861" s="94">
        <v>30</v>
      </c>
      <c r="E3861" s="84">
        <v>75</v>
      </c>
      <c r="F3861" s="83">
        <f t="shared" ca="1" si="168"/>
        <v>2250</v>
      </c>
    </row>
    <row r="3862" spans="1:6" ht="14.1" customHeight="1" x14ac:dyDescent="0.25">
      <c r="A3862" s="94" t="s">
        <v>19089</v>
      </c>
      <c r="B3862" s="82" t="str">
        <f ca="1">IFERROR(INDEX(UNSPSCDes,MATCH(INDIRECT(ADDRESS(ROW(),COLUMN()-1,4)),UNSPSCCode,0)),IF(INDIRECT(ADDRESS(ROW(),COLUMN()-1,4))="31211505","Pinturas de aceite",""))</f>
        <v>Pinturas de aceite</v>
      </c>
      <c r="C3862" s="95" t="str">
        <f>IFERROR(VLOOKUP("GAL",'Informacion '!P:Q,2,FALSE),"")</f>
        <v>Galón</v>
      </c>
      <c r="D3862" s="94">
        <v>2</v>
      </c>
      <c r="E3862" s="84">
        <v>3735</v>
      </c>
      <c r="F3862" s="83">
        <f t="shared" ca="1" si="168"/>
        <v>7470</v>
      </c>
    </row>
    <row r="3863" spans="1:6" ht="14.1" customHeight="1" x14ac:dyDescent="0.25">
      <c r="A3863" s="94" t="s">
        <v>19089</v>
      </c>
      <c r="B3863" s="82" t="str">
        <f ca="1">IFERROR(INDEX(UNSPSCDes,MATCH(INDIRECT(ADDRESS(ROW(),COLUMN()-1,4)),UNSPSCCode,0)),IF(INDIRECT(ADDRESS(ROW(),COLUMN()-1,4))="31211505","Pinturas de aceite",""))</f>
        <v>Pinturas de aceite</v>
      </c>
      <c r="C3863" s="95" t="str">
        <f>IFERROR(VLOOKUP("GAL",'Informacion '!P:Q,2,FALSE),"")</f>
        <v>Galón</v>
      </c>
      <c r="D3863" s="94">
        <v>4</v>
      </c>
      <c r="E3863" s="84">
        <v>6000</v>
      </c>
      <c r="F3863" s="83">
        <f t="shared" ca="1" si="168"/>
        <v>24000</v>
      </c>
    </row>
    <row r="3864" spans="1:6" ht="14.1" customHeight="1" x14ac:dyDescent="0.25">
      <c r="A3864" s="94" t="s">
        <v>3749</v>
      </c>
      <c r="B3864" s="82" t="str">
        <f ca="1">IFERROR(INDEX(UNSPSCDes,MATCH(INDIRECT(ADDRESS(ROW(),COLUMN()-1,4)),UNSPSCCode,0)),IF(INDIRECT(ADDRESS(ROW(),COLUMN()-1,4))="53102902","Ropa atlética para hombre",""))</f>
        <v>Ropa atlética para hombre</v>
      </c>
      <c r="C3864" s="95" t="str">
        <f>IFERROR(VLOOKUP("UD",'Informacion '!P:Q,2,FALSE),"")</f>
        <v>Unidad</v>
      </c>
      <c r="D3864" s="94">
        <v>20</v>
      </c>
      <c r="E3864" s="84">
        <v>400</v>
      </c>
      <c r="F3864" s="83">
        <f t="shared" ca="1" si="168"/>
        <v>8000</v>
      </c>
    </row>
    <row r="3865" spans="1:6" ht="14.1" customHeight="1" x14ac:dyDescent="0.25">
      <c r="A3865" s="94" t="s">
        <v>19337</v>
      </c>
      <c r="B3865" s="82" t="str">
        <f ca="1">IFERROR(INDEX(UNSPSCDes,MATCH(INDIRECT(ADDRESS(ROW(),COLUMN()-1,4)),UNSPSCCode,0)),IF(INDIRECT(ADDRESS(ROW(),COLUMN()-1,4))="30171504","Puertas de madera",""))</f>
        <v>Puertas de madera</v>
      </c>
      <c r="C3865" s="95" t="str">
        <f>IFERROR(VLOOKUP("UD",'Informacion '!P:Q,2,FALSE),"")</f>
        <v>Unidad</v>
      </c>
      <c r="D3865" s="94">
        <v>1</v>
      </c>
      <c r="E3865" s="84">
        <v>75000</v>
      </c>
      <c r="F3865" s="83">
        <f t="shared" ca="1" si="168"/>
        <v>75000</v>
      </c>
    </row>
    <row r="3866" spans="1:6" ht="14.1" customHeight="1" x14ac:dyDescent="0.25">
      <c r="A3866" s="94" t="s">
        <v>8106</v>
      </c>
      <c r="B3866" s="82" t="str">
        <f ca="1">IFERROR(INDEX(UNSPSCDes,MATCH(INDIRECT(ADDRESS(ROW(),COLUMN()-1,4)),UNSPSCCode,0)),IF(INDIRECT(ADDRESS(ROW(),COLUMN()-1,4))="40151601","Compresores de aire",""))</f>
        <v>Compresores de aire</v>
      </c>
      <c r="C3866" s="95" t="str">
        <f>IFERROR(VLOOKUP("UD",'Informacion '!P:Q,2,FALSE),"")</f>
        <v>Unidad</v>
      </c>
      <c r="D3866" s="94">
        <v>1</v>
      </c>
      <c r="E3866" s="84">
        <v>50000</v>
      </c>
      <c r="F3866" s="83">
        <f t="shared" ca="1" si="168"/>
        <v>50000</v>
      </c>
    </row>
    <row r="3867" spans="1:6" ht="14.1" customHeight="1" x14ac:dyDescent="0.25">
      <c r="A3867" s="94" t="s">
        <v>7687</v>
      </c>
      <c r="B3867" s="82" t="str">
        <f ca="1">IFERROR(INDEX(UNSPSCDes,MATCH(INDIRECT(ADDRESS(ROW(),COLUMN()-1,4)),UNSPSCCode,0)),IF(INDIRECT(ADDRESS(ROW(),COLUMN()-1,4))="27112305","Marcadores o soportes de metal",""))</f>
        <v>Marcadores o soportes de metal</v>
      </c>
      <c r="C3867" s="95" t="str">
        <f>IFERROR(VLOOKUP("UD",'Informacion '!P:Q,2,FALSE),"")</f>
        <v>Unidad</v>
      </c>
      <c r="D3867" s="94">
        <v>20</v>
      </c>
      <c r="E3867" s="84">
        <v>35</v>
      </c>
      <c r="F3867" s="83">
        <f t="shared" ca="1" si="168"/>
        <v>700</v>
      </c>
    </row>
    <row r="3868" spans="1:6" ht="14.1" customHeight="1" x14ac:dyDescent="0.25">
      <c r="A3868" s="94" t="s">
        <v>2228</v>
      </c>
      <c r="B3868" s="82" t="str">
        <f ca="1">IFERROR(INDEX(UNSPSCDes,MATCH(INDIRECT(ADDRESS(ROW(),COLUMN()-1,4)),UNSPSCCode,0)),IF(INDIRECT(ADDRESS(ROW(),COLUMN()-1,4))="26131603","Rejillas de agua",""))</f>
        <v>Rejillas de agua</v>
      </c>
      <c r="C3868" s="95" t="str">
        <f>IFERROR(VLOOKUP("UD",'Informacion '!P:Q,2,FALSE),"")</f>
        <v>Unidad</v>
      </c>
      <c r="D3868" s="94">
        <v>10</v>
      </c>
      <c r="E3868" s="84">
        <v>570</v>
      </c>
      <c r="F3868" s="83">
        <f t="shared" ca="1" si="168"/>
        <v>5700</v>
      </c>
    </row>
    <row r="3869" spans="1:6" ht="14.1" customHeight="1" x14ac:dyDescent="0.25">
      <c r="A3869" s="94" t="s">
        <v>2228</v>
      </c>
      <c r="B3869" s="82" t="str">
        <f ca="1">IFERROR(INDEX(UNSPSCDes,MATCH(INDIRECT(ADDRESS(ROW(),COLUMN()-1,4)),UNSPSCCode,0)),IF(INDIRECT(ADDRESS(ROW(),COLUMN()-1,4))="26131603","Rejillas de agua",""))</f>
        <v>Rejillas de agua</v>
      </c>
      <c r="C3869" s="95" t="str">
        <f>IFERROR(VLOOKUP("UD",'Informacion '!P:Q,2,FALSE),"")</f>
        <v>Unidad</v>
      </c>
      <c r="D3869" s="94">
        <v>5</v>
      </c>
      <c r="E3869" s="84">
        <v>870</v>
      </c>
      <c r="F3869" s="83">
        <f t="shared" ca="1" si="168"/>
        <v>4350</v>
      </c>
    </row>
    <row r="3870" spans="1:6" ht="14.1" customHeight="1" x14ac:dyDescent="0.25">
      <c r="A3870" s="94" t="s">
        <v>12689</v>
      </c>
      <c r="B3870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3870" s="95" t="str">
        <f>IFERROR(VLOOKUP("UD",'Informacion '!P:Q,2,FALSE),"")</f>
        <v>Unidad</v>
      </c>
      <c r="D3870" s="94">
        <v>2</v>
      </c>
      <c r="E3870" s="84">
        <v>85000</v>
      </c>
      <c r="F3870" s="83">
        <f t="shared" ca="1" si="168"/>
        <v>170000</v>
      </c>
    </row>
    <row r="3871" spans="1:6" ht="14.1" customHeight="1" x14ac:dyDescent="0.25">
      <c r="A3871" s="94" t="s">
        <v>14293</v>
      </c>
      <c r="B3871" s="82" t="str">
        <f ca="1">IFERROR(INDEX(UNSPSCDes,MATCH(INDIRECT(ADDRESS(ROW(),COLUMN()-1,4)),UNSPSCCode,0)),IF(INDIRECT(ADDRESS(ROW(),COLUMN()-1,4))="47121809","Sartenes desengrasantes",""))</f>
        <v>Sartenes desengrasantes</v>
      </c>
      <c r="C3871" s="95" t="str">
        <f>IFERROR(VLOOKUP("UD",'Informacion '!P:Q,2,FALSE),"")</f>
        <v>Unidad</v>
      </c>
      <c r="D3871" s="94">
        <v>30</v>
      </c>
      <c r="E3871" s="84">
        <v>50</v>
      </c>
      <c r="F3871" s="83">
        <f t="shared" ca="1" si="168"/>
        <v>1500</v>
      </c>
    </row>
    <row r="3872" spans="1:6" ht="14.1" customHeight="1" x14ac:dyDescent="0.25">
      <c r="A3872" s="94" t="s">
        <v>14120</v>
      </c>
      <c r="B3872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3872" s="95" t="str">
        <f>IFERROR(VLOOKUP("UD",'Informacion '!P:Q,2,FALSE),"")</f>
        <v>Unidad</v>
      </c>
      <c r="D3872" s="94">
        <v>3</v>
      </c>
      <c r="E3872" s="84">
        <v>50000</v>
      </c>
      <c r="F3872" s="83">
        <f t="shared" ca="1" si="168"/>
        <v>150000</v>
      </c>
    </row>
    <row r="3873" spans="1:6" ht="14.1" customHeight="1" x14ac:dyDescent="0.25">
      <c r="A3873" s="94" t="s">
        <v>14120</v>
      </c>
      <c r="B3873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3873" s="95" t="str">
        <f>IFERROR(VLOOKUP("UD",'Informacion '!P:Q,2,FALSE),"")</f>
        <v>Unidad</v>
      </c>
      <c r="D3873" s="94">
        <v>3</v>
      </c>
      <c r="E3873" s="84">
        <v>35000</v>
      </c>
      <c r="F3873" s="83">
        <f t="shared" ca="1" si="168"/>
        <v>105000</v>
      </c>
    </row>
    <row r="3874" spans="1:6" ht="14.1" customHeight="1" x14ac:dyDescent="0.25">
      <c r="A3874" s="94" t="s">
        <v>14120</v>
      </c>
      <c r="B3874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3874" s="95" t="str">
        <f>IFERROR(VLOOKUP("UD",'Informacion '!P:Q,2,FALSE),"")</f>
        <v>Unidad</v>
      </c>
      <c r="D3874" s="94">
        <v>1</v>
      </c>
      <c r="E3874" s="84">
        <v>300000</v>
      </c>
      <c r="F3874" s="83">
        <f t="shared" ca="1" si="168"/>
        <v>300000</v>
      </c>
    </row>
    <row r="3875" spans="1:6" ht="14.1" customHeight="1" x14ac:dyDescent="0.25">
      <c r="A3875" s="94" t="s">
        <v>12220</v>
      </c>
      <c r="B3875" s="82" t="str">
        <f ca="1">IFERROR(INDEX(UNSPSCDes,MATCH(INDIRECT(ADDRESS(ROW(),COLUMN()-1,4)),UNSPSCCode,0)),IF(INDIRECT(ADDRESS(ROW(),COLUMN()-1,4))="24141705","Tubos plegables",""))</f>
        <v>Tubos plegables</v>
      </c>
      <c r="C3875" s="95" t="str">
        <f>IFERROR(VLOOKUP("UD",'Informacion '!P:Q,2,FALSE),"")</f>
        <v>Unidad</v>
      </c>
      <c r="D3875" s="94">
        <v>20</v>
      </c>
      <c r="E3875" s="84">
        <v>687</v>
      </c>
      <c r="F3875" s="83">
        <f t="shared" ca="1" si="168"/>
        <v>13740</v>
      </c>
    </row>
    <row r="3876" spans="1:6" ht="14.1" customHeight="1" x14ac:dyDescent="0.25">
      <c r="A3876" s="94" t="s">
        <v>12220</v>
      </c>
      <c r="B3876" s="82" t="str">
        <f ca="1">IFERROR(INDEX(UNSPSCDes,MATCH(INDIRECT(ADDRESS(ROW(),COLUMN()-1,4)),UNSPSCCode,0)),IF(INDIRECT(ADDRESS(ROW(),COLUMN()-1,4))="24141705","Tubos plegables",""))</f>
        <v>Tubos plegables</v>
      </c>
      <c r="C3876" s="95" t="str">
        <f>IFERROR(VLOOKUP("UD",'Informacion '!P:Q,2,FALSE),"")</f>
        <v>Unidad</v>
      </c>
      <c r="D3876" s="94">
        <v>30</v>
      </c>
      <c r="E3876" s="84">
        <v>200</v>
      </c>
      <c r="F3876" s="83">
        <f t="shared" ca="1" si="168"/>
        <v>6000</v>
      </c>
    </row>
    <row r="3877" spans="1:6" ht="14.1" customHeight="1" x14ac:dyDescent="0.25">
      <c r="A3877" s="94" t="s">
        <v>13889</v>
      </c>
      <c r="B3877" s="82" t="str">
        <f ca="1">IFERROR(INDEX(UNSPSCDes,MATCH(INDIRECT(ADDRESS(ROW(),COLUMN()-1,4)),UNSPSCCode,0)),IF(INDIRECT(ADDRESS(ROW(),COLUMN()-1,4))="12352310","Siliconas",""))</f>
        <v>Siliconas</v>
      </c>
      <c r="C3877" s="95" t="str">
        <f>IFERROR(VLOOKUP("UD",'Informacion '!P:Q,2,FALSE),"")</f>
        <v>Unidad</v>
      </c>
      <c r="D3877" s="94">
        <v>10</v>
      </c>
      <c r="E3877" s="84">
        <v>180</v>
      </c>
      <c r="F3877" s="83">
        <f t="shared" ca="1" si="168"/>
        <v>1800</v>
      </c>
    </row>
    <row r="3878" spans="1:6" ht="14.1" customHeight="1" x14ac:dyDescent="0.25">
      <c r="A3878" s="94" t="s">
        <v>13889</v>
      </c>
      <c r="B3878" s="82" t="str">
        <f ca="1">IFERROR(INDEX(UNSPSCDes,MATCH(INDIRECT(ADDRESS(ROW(),COLUMN()-1,4)),UNSPSCCode,0)),IF(INDIRECT(ADDRESS(ROW(),COLUMN()-1,4))="12352310","Siliconas",""))</f>
        <v>Siliconas</v>
      </c>
      <c r="C3878" s="95" t="str">
        <f>IFERROR(VLOOKUP("CAJ",'Informacion '!P:Q,2,FALSE),"")</f>
        <v>Caja</v>
      </c>
      <c r="D3878" s="94">
        <v>1</v>
      </c>
      <c r="E3878" s="84">
        <v>2000</v>
      </c>
      <c r="F3878" s="83">
        <f t="shared" ca="1" si="168"/>
        <v>2000</v>
      </c>
    </row>
    <row r="3879" spans="1:6" ht="14.1" customHeight="1" x14ac:dyDescent="0.25">
      <c r="A3879" s="94" t="s">
        <v>15043</v>
      </c>
      <c r="B3879" s="82" t="str">
        <f ca="1">IFERROR(INDEX(UNSPSCDes,MATCH(INDIRECT(ADDRESS(ROW(),COLUMN()-1,4)),UNSPSCCode,0)),IF(INDIRECT(ADDRESS(ROW(),COLUMN()-1,4))="41103706","Baños de agua",""))</f>
        <v>Baños de agua</v>
      </c>
      <c r="C3879" s="95" t="str">
        <f>IFERROR(VLOOKUP("UD",'Informacion '!P:Q,2,FALSE),"")</f>
        <v>Unidad</v>
      </c>
      <c r="D3879" s="94">
        <v>1</v>
      </c>
      <c r="E3879" s="84">
        <v>650000</v>
      </c>
      <c r="F3879" s="83">
        <f t="shared" ca="1" si="168"/>
        <v>650000</v>
      </c>
    </row>
    <row r="3880" spans="1:6" ht="14.1" customHeight="1" x14ac:dyDescent="0.25">
      <c r="A3880" s="94" t="s">
        <v>15043</v>
      </c>
      <c r="B3880" s="82" t="str">
        <f ca="1">IFERROR(INDEX(UNSPSCDes,MATCH(INDIRECT(ADDRESS(ROW(),COLUMN()-1,4)),UNSPSCCode,0)),IF(INDIRECT(ADDRESS(ROW(),COLUMN()-1,4))="41103706","Baños de agua",""))</f>
        <v>Baños de agua</v>
      </c>
      <c r="C3880" s="95" t="str">
        <f>IFERROR(VLOOKUP("UD",'Informacion '!P:Q,2,FALSE),"")</f>
        <v>Unidad</v>
      </c>
      <c r="D3880" s="94">
        <v>1</v>
      </c>
      <c r="E3880" s="84">
        <v>400000</v>
      </c>
      <c r="F3880" s="83">
        <f t="shared" ca="1" si="168"/>
        <v>400000</v>
      </c>
    </row>
    <row r="3881" spans="1:6" ht="14.1" customHeight="1" x14ac:dyDescent="0.25">
      <c r="A3881" s="94" t="s">
        <v>12615</v>
      </c>
      <c r="B3881" s="82" t="str">
        <f ca="1">IFERROR(INDEX(UNSPSCDes,MATCH(INDIRECT(ADDRESS(ROW(),COLUMN()-1,4)),UNSPSCCode,0)),IF(INDIRECT(ADDRESS(ROW(),COLUMN()-1,4))="31201512","Cinta transparente",""))</f>
        <v>Cinta transparente</v>
      </c>
      <c r="C3881" s="95" t="str">
        <f>IFERROR(VLOOKUP("UD",'Informacion '!P:Q,2,FALSE),"")</f>
        <v>Unidad</v>
      </c>
      <c r="D3881" s="94">
        <v>15</v>
      </c>
      <c r="E3881" s="84">
        <v>270</v>
      </c>
      <c r="F3881" s="83">
        <f t="shared" ca="1" si="168"/>
        <v>4050</v>
      </c>
    </row>
    <row r="3882" spans="1:6" ht="14.1" customHeight="1" x14ac:dyDescent="0.25">
      <c r="A3882" s="94" t="s">
        <v>12615</v>
      </c>
      <c r="B3882" s="82" t="str">
        <f ca="1">IFERROR(INDEX(UNSPSCDes,MATCH(INDIRECT(ADDRESS(ROW(),COLUMN()-1,4)),UNSPSCCode,0)),IF(INDIRECT(ADDRESS(ROW(),COLUMN()-1,4))="31201512","Cinta transparente",""))</f>
        <v>Cinta transparente</v>
      </c>
      <c r="C3882" s="95" t="str">
        <f>IFERROR(VLOOKUP("UD",'Informacion '!P:Q,2,FALSE),"")</f>
        <v>Unidad</v>
      </c>
      <c r="D3882" s="94">
        <v>10</v>
      </c>
      <c r="E3882" s="84">
        <v>330</v>
      </c>
      <c r="F3882" s="83">
        <f t="shared" ca="1" si="168"/>
        <v>3300</v>
      </c>
    </row>
    <row r="3883" spans="1:6" ht="14.1" customHeight="1" x14ac:dyDescent="0.25">
      <c r="A3883" s="94" t="s">
        <v>12220</v>
      </c>
      <c r="B3883" s="82" t="str">
        <f t="shared" ref="B3883:B3888" ca="1" si="169">IFERROR(INDEX(UNSPSCDes,MATCH(INDIRECT(ADDRESS(ROW(),COLUMN()-1,4)),UNSPSCCode,0)),IF(INDIRECT(ADDRESS(ROW(),COLUMN()-1,4))="24141705","Tubos plegables",""))</f>
        <v>Tubos plegables</v>
      </c>
      <c r="C3883" s="95" t="str">
        <f>IFERROR(VLOOKUP("UD",'Informacion '!P:Q,2,FALSE),"")</f>
        <v>Unidad</v>
      </c>
      <c r="D3883" s="94">
        <v>10</v>
      </c>
      <c r="E3883" s="84">
        <v>83</v>
      </c>
      <c r="F3883" s="83">
        <f t="shared" ca="1" si="168"/>
        <v>830</v>
      </c>
    </row>
    <row r="3884" spans="1:6" ht="14.1" customHeight="1" x14ac:dyDescent="0.25">
      <c r="A3884" s="94" t="s">
        <v>12220</v>
      </c>
      <c r="B3884" s="82" t="str">
        <f t="shared" ca="1" si="169"/>
        <v>Tubos plegables</v>
      </c>
      <c r="C3884" s="95" t="str">
        <f>IFERROR(VLOOKUP("UD",'Informacion '!P:Q,2,FALSE),"")</f>
        <v>Unidad</v>
      </c>
      <c r="D3884" s="94">
        <v>10</v>
      </c>
      <c r="E3884" s="84">
        <v>93</v>
      </c>
      <c r="F3884" s="83">
        <f t="shared" ca="1" si="168"/>
        <v>930</v>
      </c>
    </row>
    <row r="3885" spans="1:6" ht="14.1" customHeight="1" x14ac:dyDescent="0.25">
      <c r="A3885" s="94" t="s">
        <v>12220</v>
      </c>
      <c r="B3885" s="82" t="str">
        <f t="shared" ca="1" si="169"/>
        <v>Tubos plegables</v>
      </c>
      <c r="C3885" s="95" t="str">
        <f>IFERROR(VLOOKUP("UD",'Informacion '!P:Q,2,FALSE),"")</f>
        <v>Unidad</v>
      </c>
      <c r="D3885" s="94">
        <v>10</v>
      </c>
      <c r="E3885" s="84">
        <v>106</v>
      </c>
      <c r="F3885" s="83">
        <f t="shared" ca="1" si="168"/>
        <v>1060</v>
      </c>
    </row>
    <row r="3886" spans="1:6" ht="14.1" customHeight="1" x14ac:dyDescent="0.25">
      <c r="A3886" s="94" t="s">
        <v>12220</v>
      </c>
      <c r="B3886" s="82" t="str">
        <f t="shared" ca="1" si="169"/>
        <v>Tubos plegables</v>
      </c>
      <c r="C3886" s="95" t="str">
        <f>IFERROR(VLOOKUP("UD",'Informacion '!P:Q,2,FALSE),"")</f>
        <v>Unidad</v>
      </c>
      <c r="D3886" s="94">
        <v>10</v>
      </c>
      <c r="E3886" s="84">
        <v>146</v>
      </c>
      <c r="F3886" s="83">
        <f t="shared" ca="1" si="168"/>
        <v>1460</v>
      </c>
    </row>
    <row r="3887" spans="1:6" ht="14.1" customHeight="1" x14ac:dyDescent="0.25">
      <c r="A3887" s="94" t="s">
        <v>12220</v>
      </c>
      <c r="B3887" s="82" t="str">
        <f t="shared" ca="1" si="169"/>
        <v>Tubos plegables</v>
      </c>
      <c r="C3887" s="95" t="str">
        <f>IFERROR(VLOOKUP("UD",'Informacion '!P:Q,2,FALSE),"")</f>
        <v>Unidad</v>
      </c>
      <c r="D3887" s="94">
        <v>10</v>
      </c>
      <c r="E3887" s="84">
        <v>204</v>
      </c>
      <c r="F3887" s="83">
        <f t="shared" ca="1" si="168"/>
        <v>2040</v>
      </c>
    </row>
    <row r="3888" spans="1:6" ht="14.1" customHeight="1" x14ac:dyDescent="0.25">
      <c r="A3888" s="94" t="s">
        <v>12220</v>
      </c>
      <c r="B3888" s="82" t="str">
        <f t="shared" ca="1" si="169"/>
        <v>Tubos plegables</v>
      </c>
      <c r="C3888" s="95" t="str">
        <f>IFERROR(VLOOKUP("UD",'Informacion '!P:Q,2,FALSE),"")</f>
        <v>Unidad</v>
      </c>
      <c r="D3888" s="94">
        <v>10</v>
      </c>
      <c r="E3888" s="84">
        <v>384</v>
      </c>
      <c r="F3888" s="83">
        <f t="shared" ca="1" si="168"/>
        <v>3840</v>
      </c>
    </row>
    <row r="3889" spans="1:6" ht="14.1" customHeight="1" x14ac:dyDescent="0.25">
      <c r="A3889" s="94" t="s">
        <v>11182</v>
      </c>
      <c r="B3889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3889" s="95" t="str">
        <f>IFERROR(VLOOKUP("UD",'Informacion '!P:Q,2,FALSE),"")</f>
        <v>Unidad</v>
      </c>
      <c r="D3889" s="94">
        <v>2</v>
      </c>
      <c r="E3889" s="84">
        <v>3000</v>
      </c>
      <c r="F3889" s="83">
        <f t="shared" ca="1" si="168"/>
        <v>6000</v>
      </c>
    </row>
    <row r="3890" spans="1:6" ht="14.1" customHeight="1" x14ac:dyDescent="0.25">
      <c r="A3890" s="94" t="s">
        <v>11182</v>
      </c>
      <c r="B3890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3890" s="95" t="str">
        <f>IFERROR(VLOOKUP("UD",'Informacion '!P:Q,2,FALSE),"")</f>
        <v>Unidad</v>
      </c>
      <c r="D3890" s="94">
        <v>10</v>
      </c>
      <c r="E3890" s="84">
        <v>2800</v>
      </c>
      <c r="F3890" s="83">
        <f t="shared" ca="1" si="168"/>
        <v>28000</v>
      </c>
    </row>
    <row r="3891" spans="1:6" ht="14.1" customHeight="1" x14ac:dyDescent="0.25">
      <c r="A3891" s="94" t="s">
        <v>10906</v>
      </c>
      <c r="B3891" s="82" t="str">
        <f ca="1">IFERROR(INDEX(UNSPSCDes,MATCH(INDIRECT(ADDRESS(ROW(),COLUMN()-1,4)),UNSPSCCode,0)),IF(INDIRECT(ADDRESS(ROW(),COLUMN()-1,4))="40142604","Codos de tubo",""))</f>
        <v>Codos de tubo</v>
      </c>
      <c r="C3891" s="95" t="str">
        <f>IFERROR(VLOOKUP("UD",'Informacion '!P:Q,2,FALSE),"")</f>
        <v>Unidad</v>
      </c>
      <c r="D3891" s="94">
        <v>4</v>
      </c>
      <c r="E3891" s="84">
        <v>384</v>
      </c>
      <c r="F3891" s="83">
        <f t="shared" ca="1" si="168"/>
        <v>1536</v>
      </c>
    </row>
    <row r="3892" spans="1:6" ht="14.1" customHeight="1" x14ac:dyDescent="0.25">
      <c r="A3892" s="94" t="s">
        <v>12220</v>
      </c>
      <c r="B3892" s="82" t="str">
        <f t="shared" ref="B3892:B3897" ca="1" si="170">IFERROR(INDEX(UNSPSCDes,MATCH(INDIRECT(ADDRESS(ROW(),COLUMN()-1,4)),UNSPSCCode,0)),IF(INDIRECT(ADDRESS(ROW(),COLUMN()-1,4))="24141705","Tubos plegables",""))</f>
        <v>Tubos plegables</v>
      </c>
      <c r="C3892" s="95" t="str">
        <f>IFERROR(VLOOKUP("UD",'Informacion '!P:Q,2,FALSE),"")</f>
        <v>Unidad</v>
      </c>
      <c r="D3892" s="94">
        <v>5</v>
      </c>
      <c r="E3892" s="84">
        <v>2000</v>
      </c>
      <c r="F3892" s="83">
        <f t="shared" ca="1" si="168"/>
        <v>10000</v>
      </c>
    </row>
    <row r="3893" spans="1:6" ht="14.1" customHeight="1" x14ac:dyDescent="0.25">
      <c r="A3893" s="94" t="s">
        <v>12220</v>
      </c>
      <c r="B3893" s="82" t="str">
        <f t="shared" ca="1" si="170"/>
        <v>Tubos plegables</v>
      </c>
      <c r="C3893" s="95" t="str">
        <f>IFERROR(VLOOKUP("UD",'Informacion '!P:Q,2,FALSE),"")</f>
        <v>Unidad</v>
      </c>
      <c r="D3893" s="94">
        <v>5</v>
      </c>
      <c r="E3893" s="84">
        <v>2200</v>
      </c>
      <c r="F3893" s="83">
        <f t="shared" ca="1" si="168"/>
        <v>11000</v>
      </c>
    </row>
    <row r="3894" spans="1:6" ht="14.1" customHeight="1" x14ac:dyDescent="0.25">
      <c r="A3894" s="94" t="s">
        <v>12220</v>
      </c>
      <c r="B3894" s="82" t="str">
        <f t="shared" ca="1" si="170"/>
        <v>Tubos plegables</v>
      </c>
      <c r="C3894" s="95" t="str">
        <f>IFERROR(VLOOKUP("UD",'Informacion '!P:Q,2,FALSE),"")</f>
        <v>Unidad</v>
      </c>
      <c r="D3894" s="94">
        <v>5</v>
      </c>
      <c r="E3894" s="84">
        <v>2400</v>
      </c>
      <c r="F3894" s="83">
        <f t="shared" ca="1" si="168"/>
        <v>12000</v>
      </c>
    </row>
    <row r="3895" spans="1:6" ht="14.1" customHeight="1" x14ac:dyDescent="0.25">
      <c r="A3895" s="94" t="s">
        <v>12220</v>
      </c>
      <c r="B3895" s="82" t="str">
        <f t="shared" ca="1" si="170"/>
        <v>Tubos plegables</v>
      </c>
      <c r="C3895" s="95" t="str">
        <f>IFERROR(VLOOKUP("UD",'Informacion '!P:Q,2,FALSE),"")</f>
        <v>Unidad</v>
      </c>
      <c r="D3895" s="94">
        <v>2</v>
      </c>
      <c r="E3895" s="84">
        <v>2600</v>
      </c>
      <c r="F3895" s="83">
        <f t="shared" ca="1" si="168"/>
        <v>5200</v>
      </c>
    </row>
    <row r="3896" spans="1:6" ht="14.1" customHeight="1" x14ac:dyDescent="0.25">
      <c r="A3896" s="94" t="s">
        <v>12220</v>
      </c>
      <c r="B3896" s="82" t="str">
        <f t="shared" ca="1" si="170"/>
        <v>Tubos plegables</v>
      </c>
      <c r="C3896" s="95" t="str">
        <f>IFERROR(VLOOKUP("UD",'Informacion '!P:Q,2,FALSE),"")</f>
        <v>Unidad</v>
      </c>
      <c r="D3896" s="94">
        <v>2</v>
      </c>
      <c r="E3896" s="84">
        <v>3200</v>
      </c>
      <c r="F3896" s="83">
        <f t="shared" ca="1" si="168"/>
        <v>6400</v>
      </c>
    </row>
    <row r="3897" spans="1:6" ht="14.1" customHeight="1" x14ac:dyDescent="0.25">
      <c r="A3897" s="94" t="s">
        <v>12220</v>
      </c>
      <c r="B3897" s="82" t="str">
        <f t="shared" ca="1" si="170"/>
        <v>Tubos plegables</v>
      </c>
      <c r="C3897" s="95" t="str">
        <f>IFERROR(VLOOKUP("UD",'Informacion '!P:Q,2,FALSE),"")</f>
        <v>Unidad</v>
      </c>
      <c r="D3897" s="94">
        <v>1</v>
      </c>
      <c r="E3897" s="84">
        <v>4500</v>
      </c>
      <c r="F3897" s="83">
        <f t="shared" ca="1" si="168"/>
        <v>4500</v>
      </c>
    </row>
    <row r="3898" spans="1:6" ht="14.1" customHeight="1" x14ac:dyDescent="0.25">
      <c r="A3898" s="94" t="s">
        <v>8594</v>
      </c>
      <c r="B3898" s="82" t="str">
        <f ca="1">IFERROR(INDEX(UNSPSCDes,MATCH(INDIRECT(ADDRESS(ROW(),COLUMN()-1,4)),UNSPSCCode,0)),IF(INDIRECT(ADDRESS(ROW(),COLUMN()-1,4))="41112209","Termostatos",""))</f>
        <v>Termostatos</v>
      </c>
      <c r="C3898" s="95" t="str">
        <f>IFERROR(VLOOKUP("UD",'Informacion '!P:Q,2,FALSE),"")</f>
        <v>Unidad</v>
      </c>
      <c r="D3898" s="94">
        <v>6</v>
      </c>
      <c r="E3898" s="84">
        <v>3200</v>
      </c>
      <c r="F3898" s="83">
        <f t="shared" ca="1" si="168"/>
        <v>19200</v>
      </c>
    </row>
    <row r="3899" spans="1:6" ht="14.1" customHeight="1" x14ac:dyDescent="0.25">
      <c r="A3899" s="94" t="s">
        <v>14429</v>
      </c>
      <c r="B3899" s="82" t="str">
        <f ca="1">IFERROR(INDEX(UNSPSCDes,MATCH(INDIRECT(ADDRESS(ROW(),COLUMN()-1,4)),UNSPSCCode,0)),IF(INDIRECT(ADDRESS(ROW(),COLUMN()-1,4))="27112014","Cortadora de pasto",""))</f>
        <v>Cortadora de pasto</v>
      </c>
      <c r="C3899" s="95" t="str">
        <f>IFERROR(VLOOKUP("UD",'Informacion '!P:Q,2,FALSE),"")</f>
        <v>Unidad</v>
      </c>
      <c r="D3899" s="94">
        <v>4</v>
      </c>
      <c r="E3899" s="84">
        <v>470</v>
      </c>
      <c r="F3899" s="83">
        <f t="shared" ca="1" si="168"/>
        <v>1880</v>
      </c>
    </row>
    <row r="3900" spans="1:6" ht="14.1" customHeight="1" x14ac:dyDescent="0.25">
      <c r="A3900" s="94" t="s">
        <v>15860</v>
      </c>
      <c r="B3900" s="82" t="str">
        <f ca="1">IFERROR(INDEX(UNSPSCDes,MATCH(INDIRECT(ADDRESS(ROW(),COLUMN()-1,4)),UNSPSCCode,0)),IF(INDIRECT(ADDRESS(ROW(),COLUMN()-1,4))="27111704","Enchufes",""))</f>
        <v>Enchufes</v>
      </c>
      <c r="C3900" s="95" t="str">
        <f>IFERROR(VLOOKUP("UD",'Informacion '!P:Q,2,FALSE),"")</f>
        <v>Unidad</v>
      </c>
      <c r="D3900" s="94">
        <v>30</v>
      </c>
      <c r="E3900" s="84">
        <v>102</v>
      </c>
      <c r="F3900" s="83">
        <f t="shared" ca="1" si="168"/>
        <v>3060</v>
      </c>
    </row>
    <row r="3901" spans="1:6" ht="14.1" customHeight="1" x14ac:dyDescent="0.25">
      <c r="A3901" s="94" t="s">
        <v>15860</v>
      </c>
      <c r="B3901" s="82" t="str">
        <f ca="1">IFERROR(INDEX(UNSPSCDes,MATCH(INDIRECT(ADDRESS(ROW(),COLUMN()-1,4)),UNSPSCCode,0)),IF(INDIRECT(ADDRESS(ROW(),COLUMN()-1,4))="27111704","Enchufes",""))</f>
        <v>Enchufes</v>
      </c>
      <c r="C3901" s="95" t="str">
        <f>IFERROR(VLOOKUP("UD",'Informacion '!P:Q,2,FALSE),"")</f>
        <v>Unidad</v>
      </c>
      <c r="D3901" s="94">
        <v>50</v>
      </c>
      <c r="E3901" s="84">
        <v>276</v>
      </c>
      <c r="F3901" s="83">
        <f t="shared" ca="1" si="168"/>
        <v>13800</v>
      </c>
    </row>
    <row r="3902" spans="1:6" ht="14.1" customHeight="1" x14ac:dyDescent="0.25">
      <c r="A3902" s="94" t="s">
        <v>12220</v>
      </c>
      <c r="B3902" s="82" t="str">
        <f ca="1">IFERROR(INDEX(UNSPSCDes,MATCH(INDIRECT(ADDRESS(ROW(),COLUMN()-1,4)),UNSPSCCode,0)),IF(INDIRECT(ADDRESS(ROW(),COLUMN()-1,4))="24141705","Tubos plegables",""))</f>
        <v>Tubos plegables</v>
      </c>
      <c r="C3902" s="95" t="str">
        <f>IFERROR(VLOOKUP("UD",'Informacion '!P:Q,2,FALSE),"")</f>
        <v>Unidad</v>
      </c>
      <c r="D3902" s="94">
        <v>20</v>
      </c>
      <c r="E3902" s="84">
        <v>500</v>
      </c>
      <c r="F3902" s="83">
        <f t="shared" ca="1" si="168"/>
        <v>10000</v>
      </c>
    </row>
    <row r="3903" spans="1:6" ht="14.1" customHeight="1" x14ac:dyDescent="0.25">
      <c r="A3903" s="94" t="s">
        <v>12220</v>
      </c>
      <c r="B3903" s="82" t="str">
        <f ca="1">IFERROR(INDEX(UNSPSCDes,MATCH(INDIRECT(ADDRESS(ROW(),COLUMN()-1,4)),UNSPSCCode,0)),IF(INDIRECT(ADDRESS(ROW(),COLUMN()-1,4))="24141705","Tubos plegables",""))</f>
        <v>Tubos plegables</v>
      </c>
      <c r="C3903" s="95" t="str">
        <f>IFERROR(VLOOKUP("UD",'Informacion '!P:Q,2,FALSE),"")</f>
        <v>Unidad</v>
      </c>
      <c r="D3903" s="94">
        <v>10</v>
      </c>
      <c r="E3903" s="84">
        <v>150</v>
      </c>
      <c r="F3903" s="83">
        <f t="shared" ca="1" si="168"/>
        <v>1500</v>
      </c>
    </row>
    <row r="3904" spans="1:6" ht="14.1" customHeight="1" x14ac:dyDescent="0.25">
      <c r="A3904" s="94" t="s">
        <v>640</v>
      </c>
      <c r="B3904" s="82" t="str">
        <f ca="1">IFERROR(INDEX(UNSPSCDes,MATCH(INDIRECT(ADDRESS(ROW(),COLUMN()-1,4)),UNSPSCCode,0)),IF(INDIRECT(ADDRESS(ROW(),COLUMN()-1,4))="40142102","Tubería de hierro dúctil",""))</f>
        <v>Tubería de hierro dúctil</v>
      </c>
      <c r="C3904" s="95" t="str">
        <f>IFERROR(VLOOKUP("UD",'Informacion '!P:Q,2,FALSE),"")</f>
        <v>Unidad</v>
      </c>
      <c r="D3904" s="94">
        <v>5</v>
      </c>
      <c r="E3904" s="84">
        <v>484</v>
      </c>
      <c r="F3904" s="83">
        <f t="shared" ca="1" si="168"/>
        <v>2420</v>
      </c>
    </row>
    <row r="3905" spans="1:6" ht="14.1" customHeight="1" x14ac:dyDescent="0.25">
      <c r="A3905" s="94" t="s">
        <v>16872</v>
      </c>
      <c r="B3905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3905" s="95" t="str">
        <f>IFERROR(VLOOKUP("UD",'Informacion '!P:Q,2,FALSE),"")</f>
        <v>Unidad</v>
      </c>
      <c r="D3905" s="94">
        <v>25</v>
      </c>
      <c r="E3905" s="84">
        <v>260</v>
      </c>
      <c r="F3905" s="83">
        <f t="shared" ca="1" si="168"/>
        <v>6500</v>
      </c>
    </row>
    <row r="3906" spans="1:6" ht="14.1" customHeight="1" x14ac:dyDescent="0.25">
      <c r="A3906" s="94" t="s">
        <v>16872</v>
      </c>
      <c r="B3906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3906" s="95" t="str">
        <f>IFERROR(VLOOKUP("UD",'Informacion '!P:Q,2,FALSE),"")</f>
        <v>Unidad</v>
      </c>
      <c r="D3906" s="94">
        <v>25</v>
      </c>
      <c r="E3906" s="84">
        <v>260</v>
      </c>
      <c r="F3906" s="83">
        <f t="shared" ref="F3906:F3957" ca="1" si="171">INDIRECT(ADDRESS(ROW(),COLUMN()-2,4))*INDIRECT(ADDRESS(ROW(),COLUMN()-1,4))</f>
        <v>6500</v>
      </c>
    </row>
    <row r="3907" spans="1:6" ht="14.1" customHeight="1" x14ac:dyDescent="0.25">
      <c r="A3907" s="94" t="s">
        <v>16872</v>
      </c>
      <c r="B3907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3907" s="95" t="str">
        <f>IFERROR(VLOOKUP("UD",'Informacion '!P:Q,2,FALSE),"")</f>
        <v>Unidad</v>
      </c>
      <c r="D3907" s="94">
        <v>30</v>
      </c>
      <c r="E3907" s="84">
        <v>300</v>
      </c>
      <c r="F3907" s="83">
        <f t="shared" ca="1" si="171"/>
        <v>9000</v>
      </c>
    </row>
    <row r="3908" spans="1:6" ht="14.1" customHeight="1" x14ac:dyDescent="0.25">
      <c r="A3908" s="94" t="s">
        <v>16872</v>
      </c>
      <c r="B3908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3908" s="95" t="str">
        <f>IFERROR(VLOOKUP("UD",'Informacion '!P:Q,2,FALSE),"")</f>
        <v>Unidad</v>
      </c>
      <c r="D3908" s="94">
        <v>30</v>
      </c>
      <c r="E3908" s="84">
        <v>300</v>
      </c>
      <c r="F3908" s="83">
        <f t="shared" ca="1" si="171"/>
        <v>9000</v>
      </c>
    </row>
    <row r="3909" spans="1:6" ht="14.1" customHeight="1" x14ac:dyDescent="0.25">
      <c r="A3909" s="94" t="s">
        <v>11215</v>
      </c>
      <c r="B3909" s="82" t="str">
        <f ca="1">IFERROR(INDEX(UNSPSCDes,MATCH(INDIRECT(ADDRESS(ROW(),COLUMN()-1,4)),UNSPSCCode,0)),IF(INDIRECT(ADDRESS(ROW(),COLUMN()-1,4))="27111701","Destornilladores",""))</f>
        <v>Destornilladores</v>
      </c>
      <c r="C3909" s="95" t="str">
        <f>IFERROR(VLOOKUP("UD",'Informacion '!P:Q,2,FALSE),"")</f>
        <v>Unidad</v>
      </c>
      <c r="D3909" s="94">
        <v>5</v>
      </c>
      <c r="E3909" s="84">
        <v>120</v>
      </c>
      <c r="F3909" s="83">
        <f t="shared" ca="1" si="171"/>
        <v>600</v>
      </c>
    </row>
    <row r="3910" spans="1:6" ht="14.1" customHeight="1" x14ac:dyDescent="0.25">
      <c r="A3910" s="94" t="s">
        <v>11215</v>
      </c>
      <c r="B3910" s="82" t="str">
        <f ca="1">IFERROR(INDEX(UNSPSCDes,MATCH(INDIRECT(ADDRESS(ROW(),COLUMN()-1,4)),UNSPSCCode,0)),IF(INDIRECT(ADDRESS(ROW(),COLUMN()-1,4))="27111701","Destornilladores",""))</f>
        <v>Destornilladores</v>
      </c>
      <c r="C3910" s="95" t="str">
        <f>IFERROR(VLOOKUP("UD",'Informacion '!P:Q,2,FALSE),"")</f>
        <v>Unidad</v>
      </c>
      <c r="D3910" s="94">
        <v>5</v>
      </c>
      <c r="E3910" s="84">
        <v>120</v>
      </c>
      <c r="F3910" s="83">
        <f t="shared" ca="1" si="171"/>
        <v>600</v>
      </c>
    </row>
    <row r="3911" spans="1:6" ht="14.1" customHeight="1" x14ac:dyDescent="0.25">
      <c r="A3911" s="94" t="s">
        <v>14643</v>
      </c>
      <c r="B3911" s="82" t="str">
        <f ca="1">IFERROR(INDEX(UNSPSCDes,MATCH(INDIRECT(ADDRESS(ROW(),COLUMN()-1,4)),UNSPSCCode,0)),IF(INDIRECT(ADDRESS(ROW(),COLUMN()-1,4))="27111710","Llaves allen",""))</f>
        <v>Llaves allen</v>
      </c>
      <c r="C3911" s="95" t="str">
        <f>IFERROR(VLOOKUP("UD",'Informacion '!P:Q,2,FALSE),"")</f>
        <v>Unidad</v>
      </c>
      <c r="D3911" s="94">
        <v>5</v>
      </c>
      <c r="E3911" s="84">
        <v>320</v>
      </c>
      <c r="F3911" s="83">
        <f t="shared" ca="1" si="171"/>
        <v>1600</v>
      </c>
    </row>
    <row r="3912" spans="1:6" ht="14.1" customHeight="1" x14ac:dyDescent="0.25">
      <c r="A3912" s="94" t="s">
        <v>11215</v>
      </c>
      <c r="B3912" s="82" t="str">
        <f ca="1">IFERROR(INDEX(UNSPSCDes,MATCH(INDIRECT(ADDRESS(ROW(),COLUMN()-1,4)),UNSPSCCode,0)),IF(INDIRECT(ADDRESS(ROW(),COLUMN()-1,4))="27111701","Destornilladores",""))</f>
        <v>Destornilladores</v>
      </c>
      <c r="C3912" s="95" t="str">
        <f>IFERROR(VLOOKUP("UD",'Informacion '!P:Q,2,FALSE),"")</f>
        <v>Unidad</v>
      </c>
      <c r="D3912" s="94">
        <v>5</v>
      </c>
      <c r="E3912" s="84">
        <v>700</v>
      </c>
      <c r="F3912" s="83">
        <f t="shared" ca="1" si="171"/>
        <v>3500</v>
      </c>
    </row>
    <row r="3913" spans="1:6" ht="14.1" customHeight="1" x14ac:dyDescent="0.25">
      <c r="A3913" s="94" t="s">
        <v>4478</v>
      </c>
      <c r="B3913" s="82" t="str">
        <f ca="1">IFERROR(INDEX(UNSPSCDes,MATCH(INDIRECT(ADDRESS(ROW(),COLUMN()-1,4)),UNSPSCCode,0)),IF(INDIRECT(ADDRESS(ROW(),COLUMN()-1,4))="27111702","Llaves para tuercas",""))</f>
        <v>Llaves para tuercas</v>
      </c>
      <c r="C3913" s="95" t="str">
        <f>IFERROR(VLOOKUP("UD",'Informacion '!P:Q,2,FALSE),"")</f>
        <v>Unidad</v>
      </c>
      <c r="D3913" s="94">
        <v>5</v>
      </c>
      <c r="E3913" s="84">
        <v>1800</v>
      </c>
      <c r="F3913" s="83">
        <f t="shared" ca="1" si="171"/>
        <v>9000</v>
      </c>
    </row>
    <row r="3914" spans="1:6" ht="14.1" customHeight="1" x14ac:dyDescent="0.25">
      <c r="A3914" s="94" t="s">
        <v>4478</v>
      </c>
      <c r="B3914" s="82" t="str">
        <f ca="1">IFERROR(INDEX(UNSPSCDes,MATCH(INDIRECT(ADDRESS(ROW(),COLUMN()-1,4)),UNSPSCCode,0)),IF(INDIRECT(ADDRESS(ROW(),COLUMN()-1,4))="27111702","Llaves para tuercas",""))</f>
        <v>Llaves para tuercas</v>
      </c>
      <c r="C3914" s="95" t="str">
        <f>IFERROR(VLOOKUP("UD",'Informacion '!P:Q,2,FALSE),"")</f>
        <v>Unidad</v>
      </c>
      <c r="D3914" s="94">
        <v>2</v>
      </c>
      <c r="E3914" s="84">
        <v>2100</v>
      </c>
      <c r="F3914" s="83">
        <f t="shared" ca="1" si="171"/>
        <v>4200</v>
      </c>
    </row>
    <row r="3915" spans="1:6" ht="14.1" customHeight="1" x14ac:dyDescent="0.25">
      <c r="A3915" s="94" t="s">
        <v>4478</v>
      </c>
      <c r="B3915" s="82" t="str">
        <f ca="1">IFERROR(INDEX(UNSPSCDes,MATCH(INDIRECT(ADDRESS(ROW(),COLUMN()-1,4)),UNSPSCCode,0)),IF(INDIRECT(ADDRESS(ROW(),COLUMN()-1,4))="27111702","Llaves para tuercas",""))</f>
        <v>Llaves para tuercas</v>
      </c>
      <c r="C3915" s="95" t="str">
        <f>IFERROR(VLOOKUP("UD",'Informacion '!P:Q,2,FALSE),"")</f>
        <v>Unidad</v>
      </c>
      <c r="D3915" s="94">
        <v>2</v>
      </c>
      <c r="E3915" s="84">
        <v>2144</v>
      </c>
      <c r="F3915" s="83">
        <f t="shared" ca="1" si="171"/>
        <v>4288</v>
      </c>
    </row>
    <row r="3916" spans="1:6" ht="14.1" customHeight="1" x14ac:dyDescent="0.25">
      <c r="A3916" s="94" t="s">
        <v>7402</v>
      </c>
      <c r="B3916" s="82" t="str">
        <f ca="1">IFERROR(INDEX(UNSPSCDes,MATCH(INDIRECT(ADDRESS(ROW(),COLUMN()-1,4)),UNSPSCCode,0)),IF(INDIRECT(ADDRESS(ROW(),COLUMN()-1,4))="27112125","Alicates de punta redonda",""))</f>
        <v>Alicates de punta redonda</v>
      </c>
      <c r="C3916" s="95" t="str">
        <f>IFERROR(VLOOKUP("UD",'Informacion '!P:Q,2,FALSE),"")</f>
        <v>Unidad</v>
      </c>
      <c r="D3916" s="94">
        <v>5</v>
      </c>
      <c r="E3916" s="84">
        <v>400</v>
      </c>
      <c r="F3916" s="83">
        <f t="shared" ca="1" si="171"/>
        <v>2000</v>
      </c>
    </row>
    <row r="3917" spans="1:6" ht="14.1" customHeight="1" x14ac:dyDescent="0.25">
      <c r="A3917" s="94" t="s">
        <v>2524</v>
      </c>
      <c r="B3917" s="82" t="str">
        <f ca="1">IFERROR(INDEX(UNSPSCDes,MATCH(INDIRECT(ADDRESS(ROW(),COLUMN()-1,4)),UNSPSCCode,0)),IF(INDIRECT(ADDRESS(ROW(),COLUMN()-1,4))="41103311","Manómetros",""))</f>
        <v>Manómetros</v>
      </c>
      <c r="C3917" s="95" t="str">
        <f>IFERROR(VLOOKUP("UD",'Informacion '!P:Q,2,FALSE),"")</f>
        <v>Unidad</v>
      </c>
      <c r="D3917" s="94">
        <v>2</v>
      </c>
      <c r="E3917" s="84">
        <v>1350</v>
      </c>
      <c r="F3917" s="83">
        <f t="shared" ca="1" si="171"/>
        <v>2700</v>
      </c>
    </row>
    <row r="3918" spans="1:6" ht="14.1" customHeight="1" x14ac:dyDescent="0.25">
      <c r="A3918" s="94" t="s">
        <v>8565</v>
      </c>
      <c r="B3918" s="82" t="str">
        <f ca="1">IFERROR(INDEX(UNSPSCDes,MATCH(INDIRECT(ADDRESS(ROW(),COLUMN()-1,4)),UNSPSCCode,0)),IF(INDIRECT(ADDRESS(ROW(),COLUMN()-1,4))="47131821","Compuestos desengrasantes",""))</f>
        <v>Compuestos desengrasantes</v>
      </c>
      <c r="C3918" s="95" t="str">
        <f>IFERROR(VLOOKUP("UD",'Informacion '!P:Q,2,FALSE),"")</f>
        <v>Unidad</v>
      </c>
      <c r="D3918" s="94">
        <v>12</v>
      </c>
      <c r="E3918" s="84">
        <v>250</v>
      </c>
      <c r="F3918" s="83">
        <f t="shared" ca="1" si="171"/>
        <v>3000</v>
      </c>
    </row>
    <row r="3919" spans="1:6" ht="14.1" customHeight="1" x14ac:dyDescent="0.25">
      <c r="A3919" s="94" t="s">
        <v>13983</v>
      </c>
      <c r="B3919" s="82" t="str">
        <f ca="1">IFERROR(INDEX(UNSPSCDes,MATCH(INDIRECT(ADDRESS(ROW(),COLUMN()-1,4)),UNSPSCCode,0)),IF(INDIRECT(ADDRESS(ROW(),COLUMN()-1,4))="23231001","Portaherramientas",""))</f>
        <v>Portaherramientas</v>
      </c>
      <c r="C3919" s="95" t="str">
        <f>IFERROR(VLOOKUP("UD",'Informacion '!P:Q,2,FALSE),"")</f>
        <v>Unidad</v>
      </c>
      <c r="D3919" s="94">
        <v>6</v>
      </c>
      <c r="E3919" s="84">
        <v>1000</v>
      </c>
      <c r="F3919" s="83">
        <f t="shared" ca="1" si="171"/>
        <v>6000</v>
      </c>
    </row>
    <row r="3920" spans="1:6" ht="14.1" customHeight="1" x14ac:dyDescent="0.25">
      <c r="A3920" s="94" t="s">
        <v>8656</v>
      </c>
      <c r="B3920" s="82" t="str">
        <f ca="1">IFERROR(INDEX(UNSPSCDes,MATCH(INDIRECT(ADDRESS(ROW(),COLUMN()-1,4)),UNSPSCCode,0)),IF(INDIRECT(ADDRESS(ROW(),COLUMN()-1,4))="26121536","Cordón de extensión",""))</f>
        <v>Cordón de extensión</v>
      </c>
      <c r="C3920" s="95" t="str">
        <f>IFERROR(VLOOKUP("UD",'Informacion '!P:Q,2,FALSE),"")</f>
        <v>Unidad</v>
      </c>
      <c r="D3920" s="94">
        <v>3</v>
      </c>
      <c r="E3920" s="84">
        <v>600</v>
      </c>
      <c r="F3920" s="83">
        <f t="shared" ca="1" si="171"/>
        <v>1800</v>
      </c>
    </row>
    <row r="3921" spans="1:6" ht="14.1" customHeight="1" x14ac:dyDescent="0.25">
      <c r="A3921" s="94" t="s">
        <v>787</v>
      </c>
      <c r="B3921" s="82" t="str">
        <f ca="1">IFERROR(INDEX(UNSPSCDes,MATCH(INDIRECT(ADDRESS(ROW(),COLUMN()-1,4)),UNSPSCCode,0)),IF(INDIRECT(ADDRESS(ROW(),COLUMN()-1,4))="31162405","Tensores",""))</f>
        <v>Tensores</v>
      </c>
      <c r="C3921" s="95" t="str">
        <f>IFERROR(VLOOKUP("UD",'Informacion '!P:Q,2,FALSE),"")</f>
        <v>Unidad</v>
      </c>
      <c r="D3921" s="94">
        <v>2</v>
      </c>
      <c r="E3921" s="84">
        <v>600</v>
      </c>
      <c r="F3921" s="83">
        <f t="shared" ca="1" si="171"/>
        <v>1200</v>
      </c>
    </row>
    <row r="3922" spans="1:6" ht="14.1" customHeight="1" x14ac:dyDescent="0.25">
      <c r="A3922" s="94" t="s">
        <v>2765</v>
      </c>
      <c r="B3922" s="82" t="str">
        <f ca="1">IFERROR(INDEX(UNSPSCDes,MATCH(INDIRECT(ADDRESS(ROW(),COLUMN()-1,4)),UNSPSCCode,0)),IF(INDIRECT(ADDRESS(ROW(),COLUMN()-1,4))="31171804","Poleas",""))</f>
        <v>Poleas</v>
      </c>
      <c r="C3922" s="95" t="str">
        <f>IFERROR(VLOOKUP("UD",'Informacion '!P:Q,2,FALSE),"")</f>
        <v>Unidad</v>
      </c>
      <c r="D3922" s="94">
        <v>2</v>
      </c>
      <c r="E3922" s="84">
        <v>850</v>
      </c>
      <c r="F3922" s="83">
        <f t="shared" ca="1" si="171"/>
        <v>1700</v>
      </c>
    </row>
    <row r="3923" spans="1:6" ht="14.1" customHeight="1" x14ac:dyDescent="0.25">
      <c r="A3923" s="94" t="s">
        <v>11215</v>
      </c>
      <c r="B3923" s="82" t="str">
        <f ca="1">IFERROR(INDEX(UNSPSCDes,MATCH(INDIRECT(ADDRESS(ROW(),COLUMN()-1,4)),UNSPSCCode,0)),IF(INDIRECT(ADDRESS(ROW(),COLUMN()-1,4))="27111701","Destornilladores",""))</f>
        <v>Destornilladores</v>
      </c>
      <c r="C3923" s="95" t="str">
        <f>IFERROR(VLOOKUP("UD",'Informacion '!P:Q,2,FALSE),"")</f>
        <v>Unidad</v>
      </c>
      <c r="D3923" s="94">
        <v>3</v>
      </c>
      <c r="E3923" s="84">
        <v>1200</v>
      </c>
      <c r="F3923" s="83">
        <f t="shared" ca="1" si="171"/>
        <v>3600</v>
      </c>
    </row>
    <row r="3924" spans="1:6" ht="14.1" customHeight="1" x14ac:dyDescent="0.25">
      <c r="A3924" s="94" t="s">
        <v>7569</v>
      </c>
      <c r="B3924" s="82" t="str">
        <f ca="1">IFERROR(INDEX(UNSPSCDes,MATCH(INDIRECT(ADDRESS(ROW(),COLUMN()-1,4)),UNSPSCCode,0)),IF(INDIRECT(ADDRESS(ROW(),COLUMN()-1,4))="41111714","Lupas",""))</f>
        <v>Lupas</v>
      </c>
      <c r="C3924" s="95" t="str">
        <f>IFERROR(VLOOKUP("UD",'Informacion '!P:Q,2,FALSE),"")</f>
        <v>Unidad</v>
      </c>
      <c r="D3924" s="94">
        <v>3</v>
      </c>
      <c r="E3924" s="84">
        <v>600</v>
      </c>
      <c r="F3924" s="83">
        <f t="shared" ca="1" si="171"/>
        <v>1800</v>
      </c>
    </row>
    <row r="3925" spans="1:6" ht="14.1" customHeight="1" x14ac:dyDescent="0.25">
      <c r="A3925" s="94" t="s">
        <v>4478</v>
      </c>
      <c r="B3925" s="82" t="str">
        <f ca="1">IFERROR(INDEX(UNSPSCDes,MATCH(INDIRECT(ADDRESS(ROW(),COLUMN()-1,4)),UNSPSCCode,0)),IF(INDIRECT(ADDRESS(ROW(),COLUMN()-1,4))="27111702","Llaves para tuercas",""))</f>
        <v>Llaves para tuercas</v>
      </c>
      <c r="C3925" s="95" t="str">
        <f>IFERROR(VLOOKUP("UD",'Informacion '!P:Q,2,FALSE),"")</f>
        <v>Unidad</v>
      </c>
      <c r="D3925" s="94">
        <v>2</v>
      </c>
      <c r="E3925" s="84">
        <v>1500</v>
      </c>
      <c r="F3925" s="83">
        <f t="shared" ca="1" si="171"/>
        <v>3000</v>
      </c>
    </row>
    <row r="3926" spans="1:6" ht="14.1" customHeight="1" x14ac:dyDescent="0.25">
      <c r="A3926" s="94" t="s">
        <v>4478</v>
      </c>
      <c r="B3926" s="82" t="str">
        <f ca="1">IFERROR(INDEX(UNSPSCDes,MATCH(INDIRECT(ADDRESS(ROW(),COLUMN()-1,4)),UNSPSCCode,0)),IF(INDIRECT(ADDRESS(ROW(),COLUMN()-1,4))="27111702","Llaves para tuercas",""))</f>
        <v>Llaves para tuercas</v>
      </c>
      <c r="C3926" s="95" t="str">
        <f>IFERROR(VLOOKUP("UD",'Informacion '!P:Q,2,FALSE),"")</f>
        <v>Unidad</v>
      </c>
      <c r="D3926" s="94">
        <v>2</v>
      </c>
      <c r="E3926" s="84">
        <v>2400</v>
      </c>
      <c r="F3926" s="83">
        <f t="shared" ca="1" si="171"/>
        <v>4800</v>
      </c>
    </row>
    <row r="3927" spans="1:6" ht="14.1" customHeight="1" x14ac:dyDescent="0.25">
      <c r="A3927" s="94" t="s">
        <v>4478</v>
      </c>
      <c r="B3927" s="82" t="str">
        <f ca="1">IFERROR(INDEX(UNSPSCDes,MATCH(INDIRECT(ADDRESS(ROW(),COLUMN()-1,4)),UNSPSCCode,0)),IF(INDIRECT(ADDRESS(ROW(),COLUMN()-1,4))="27111702","Llaves para tuercas",""))</f>
        <v>Llaves para tuercas</v>
      </c>
      <c r="C3927" s="95" t="str">
        <f>IFERROR(VLOOKUP("UD",'Informacion '!P:Q,2,FALSE),"")</f>
        <v>Unidad</v>
      </c>
      <c r="D3927" s="94">
        <v>3</v>
      </c>
      <c r="E3927" s="84">
        <v>3200</v>
      </c>
      <c r="F3927" s="83">
        <f t="shared" ca="1" si="171"/>
        <v>9600</v>
      </c>
    </row>
    <row r="3928" spans="1:6" ht="14.1" customHeight="1" x14ac:dyDescent="0.25">
      <c r="A3928" s="94" t="s">
        <v>4478</v>
      </c>
      <c r="B3928" s="82" t="str">
        <f ca="1">IFERROR(INDEX(UNSPSCDes,MATCH(INDIRECT(ADDRESS(ROW(),COLUMN()-1,4)),UNSPSCCode,0)),IF(INDIRECT(ADDRESS(ROW(),COLUMN()-1,4))="27111702","Llaves para tuercas",""))</f>
        <v>Llaves para tuercas</v>
      </c>
      <c r="C3928" s="95" t="str">
        <f>IFERROR(VLOOKUP("UD",'Informacion '!P:Q,2,FALSE),"")</f>
        <v>Unidad</v>
      </c>
      <c r="D3928" s="94">
        <v>2</v>
      </c>
      <c r="E3928" s="84">
        <v>3400</v>
      </c>
      <c r="F3928" s="83">
        <f t="shared" ca="1" si="171"/>
        <v>6800</v>
      </c>
    </row>
    <row r="3929" spans="1:6" ht="14.1" customHeight="1" x14ac:dyDescent="0.25">
      <c r="A3929" s="94" t="s">
        <v>5833</v>
      </c>
      <c r="B3929" s="82" t="str">
        <f ca="1">IFERROR(INDEX(UNSPSCDes,MATCH(INDIRECT(ADDRESS(ROW(),COLUMN()-1,4)),UNSPSCCode,0)),IF(INDIRECT(ADDRESS(ROW(),COLUMN()-1,4))="22101502","Niveladoras",""))</f>
        <v>Niveladoras</v>
      </c>
      <c r="C3929" s="95" t="str">
        <f>IFERROR(VLOOKUP("UD",'Informacion '!P:Q,2,FALSE),"")</f>
        <v>Unidad</v>
      </c>
      <c r="D3929" s="94">
        <v>3</v>
      </c>
      <c r="E3929" s="84">
        <v>600</v>
      </c>
      <c r="F3929" s="83">
        <f t="shared" ca="1" si="171"/>
        <v>1800</v>
      </c>
    </row>
    <row r="3930" spans="1:6" ht="14.1" customHeight="1" x14ac:dyDescent="0.25">
      <c r="A3930" s="94" t="s">
        <v>5164</v>
      </c>
      <c r="B3930" s="82" t="str">
        <f ca="1">IFERROR(INDEX(UNSPSCDes,MATCH(INDIRECT(ADDRESS(ROW(),COLUMN()-1,4)),UNSPSCCode,0)),IF(INDIRECT(ADDRESS(ROW(),COLUMN()-1,4))="27111801","Cintas métricas",""))</f>
        <v>Cintas métricas</v>
      </c>
      <c r="C3930" s="95" t="str">
        <f>IFERROR(VLOOKUP("UD",'Informacion '!P:Q,2,FALSE),"")</f>
        <v>Unidad</v>
      </c>
      <c r="D3930" s="94">
        <v>5</v>
      </c>
      <c r="E3930" s="84">
        <v>600</v>
      </c>
      <c r="F3930" s="83">
        <f t="shared" ca="1" si="171"/>
        <v>3000</v>
      </c>
    </row>
    <row r="3931" spans="1:6" ht="14.1" customHeight="1" x14ac:dyDescent="0.25">
      <c r="A3931" s="94" t="s">
        <v>17216</v>
      </c>
      <c r="B3931" s="82" t="str">
        <f ca="1">IFERROR(INDEX(UNSPSCDes,MATCH(INDIRECT(ADDRESS(ROW(),COLUMN()-1,4)),UNSPSCCode,0)),IF(INDIRECT(ADDRESS(ROW(),COLUMN()-1,4))="27111602","Martillos",""))</f>
        <v>Martillos</v>
      </c>
      <c r="C3931" s="95" t="str">
        <f>IFERROR(VLOOKUP("UD",'Informacion '!P:Q,2,FALSE),"")</f>
        <v>Unidad</v>
      </c>
      <c r="D3931" s="94">
        <v>2</v>
      </c>
      <c r="E3931" s="84">
        <v>400</v>
      </c>
      <c r="F3931" s="83">
        <f t="shared" ca="1" si="171"/>
        <v>800</v>
      </c>
    </row>
    <row r="3932" spans="1:6" ht="14.1" customHeight="1" x14ac:dyDescent="0.25">
      <c r="A3932" s="94" t="s">
        <v>17216</v>
      </c>
      <c r="B3932" s="82" t="str">
        <f ca="1">IFERROR(INDEX(UNSPSCDes,MATCH(INDIRECT(ADDRESS(ROW(),COLUMN()-1,4)),UNSPSCCode,0)),IF(INDIRECT(ADDRESS(ROW(),COLUMN()-1,4))="27111602","Martillos",""))</f>
        <v>Martillos</v>
      </c>
      <c r="C3932" s="95" t="str">
        <f>IFERROR(VLOOKUP("UD",'Informacion '!P:Q,2,FALSE),"")</f>
        <v>Unidad</v>
      </c>
      <c r="D3932" s="94">
        <v>2</v>
      </c>
      <c r="E3932" s="84">
        <v>600</v>
      </c>
      <c r="F3932" s="83">
        <f t="shared" ca="1" si="171"/>
        <v>1200</v>
      </c>
    </row>
    <row r="3933" spans="1:6" ht="14.1" customHeight="1" x14ac:dyDescent="0.25">
      <c r="A3933" s="94" t="s">
        <v>11215</v>
      </c>
      <c r="B3933" s="82" t="str">
        <f ca="1">IFERROR(INDEX(UNSPSCDes,MATCH(INDIRECT(ADDRESS(ROW(),COLUMN()-1,4)),UNSPSCCode,0)),IF(INDIRECT(ADDRESS(ROW(),COLUMN()-1,4))="27111701","Destornilladores",""))</f>
        <v>Destornilladores</v>
      </c>
      <c r="C3933" s="95" t="str">
        <f>IFERROR(VLOOKUP("UD",'Informacion '!P:Q,2,FALSE),"")</f>
        <v>Unidad</v>
      </c>
      <c r="D3933" s="94">
        <v>3</v>
      </c>
      <c r="E3933" s="84">
        <v>700</v>
      </c>
      <c r="F3933" s="83">
        <f t="shared" ca="1" si="171"/>
        <v>2100</v>
      </c>
    </row>
    <row r="3934" spans="1:6" ht="14.1" customHeight="1" x14ac:dyDescent="0.25">
      <c r="A3934" s="94" t="s">
        <v>17216</v>
      </c>
      <c r="B3934" s="82" t="str">
        <f ca="1">IFERROR(INDEX(UNSPSCDes,MATCH(INDIRECT(ADDRESS(ROW(),COLUMN()-1,4)),UNSPSCCode,0)),IF(INDIRECT(ADDRESS(ROW(),COLUMN()-1,4))="27111602","Martillos",""))</f>
        <v>Martillos</v>
      </c>
      <c r="C3934" s="95" t="str">
        <f>IFERROR(VLOOKUP("UD",'Informacion '!P:Q,2,FALSE),"")</f>
        <v>Unidad</v>
      </c>
      <c r="D3934" s="94">
        <v>4</v>
      </c>
      <c r="E3934" s="84">
        <v>450</v>
      </c>
      <c r="F3934" s="83">
        <f t="shared" ca="1" si="171"/>
        <v>1800</v>
      </c>
    </row>
    <row r="3935" spans="1:6" ht="14.1" customHeight="1" x14ac:dyDescent="0.25">
      <c r="A3935" s="94" t="s">
        <v>10267</v>
      </c>
      <c r="B3935" s="82" t="str">
        <f ca="1">IFERROR(INDEX(UNSPSCDes,MATCH(INDIRECT(ADDRESS(ROW(),COLUMN()-1,4)),UNSPSCCode,0)),IF(INDIRECT(ADDRESS(ROW(),COLUMN()-1,4))="27112126","Alicates planos",""))</f>
        <v>Alicates planos</v>
      </c>
      <c r="C3935" s="95" t="str">
        <f>IFERROR(VLOOKUP("UD",'Informacion '!P:Q,2,FALSE),"")</f>
        <v>Unidad</v>
      </c>
      <c r="D3935" s="94">
        <v>4</v>
      </c>
      <c r="E3935" s="84">
        <v>3500</v>
      </c>
      <c r="F3935" s="83">
        <f t="shared" ca="1" si="171"/>
        <v>14000</v>
      </c>
    </row>
    <row r="3936" spans="1:6" ht="14.1" customHeight="1" x14ac:dyDescent="0.25">
      <c r="A3936" s="94" t="s">
        <v>10267</v>
      </c>
      <c r="B3936" s="82" t="str">
        <f ca="1">IFERROR(INDEX(UNSPSCDes,MATCH(INDIRECT(ADDRESS(ROW(),COLUMN()-1,4)),UNSPSCCode,0)),IF(INDIRECT(ADDRESS(ROW(),COLUMN()-1,4))="27112126","Alicates planos",""))</f>
        <v>Alicates planos</v>
      </c>
      <c r="C3936" s="95" t="str">
        <f>IFERROR(VLOOKUP("UD",'Informacion '!P:Q,2,FALSE),"")</f>
        <v>Unidad</v>
      </c>
      <c r="D3936" s="94">
        <v>4</v>
      </c>
      <c r="E3936" s="84">
        <v>1500</v>
      </c>
      <c r="F3936" s="83">
        <f t="shared" ca="1" si="171"/>
        <v>6000</v>
      </c>
    </row>
    <row r="3937" spans="1:6" ht="14.1" customHeight="1" x14ac:dyDescent="0.25">
      <c r="A3937" s="94" t="s">
        <v>10686</v>
      </c>
      <c r="B3937" s="82" t="str">
        <f ca="1">IFERROR(INDEX(UNSPSCDes,MATCH(INDIRECT(ADDRESS(ROW(),COLUMN()-1,4)),UNSPSCCode,0)),IF(INDIRECT(ADDRESS(ROW(),COLUMN()-1,4))="23181606","Máquina peladora",""))</f>
        <v>Máquina peladora</v>
      </c>
      <c r="C3937" s="95" t="str">
        <f>IFERROR(VLOOKUP("UD",'Informacion '!P:Q,2,FALSE),"")</f>
        <v>Unidad</v>
      </c>
      <c r="D3937" s="94">
        <v>4</v>
      </c>
      <c r="E3937" s="84">
        <v>400</v>
      </c>
      <c r="F3937" s="83">
        <f t="shared" ca="1" si="171"/>
        <v>1600</v>
      </c>
    </row>
    <row r="3938" spans="1:6" ht="14.1" customHeight="1" x14ac:dyDescent="0.25">
      <c r="A3938" s="94" t="s">
        <v>11215</v>
      </c>
      <c r="B3938" s="82" t="str">
        <f ca="1">IFERROR(INDEX(UNSPSCDes,MATCH(INDIRECT(ADDRESS(ROW(),COLUMN()-1,4)),UNSPSCCode,0)),IF(INDIRECT(ADDRESS(ROW(),COLUMN()-1,4))="27111701","Destornilladores",""))</f>
        <v>Destornilladores</v>
      </c>
      <c r="C3938" s="95" t="str">
        <f>IFERROR(VLOOKUP("UD",'Informacion '!P:Q,2,FALSE),"")</f>
        <v>Unidad</v>
      </c>
      <c r="D3938" s="94">
        <v>4</v>
      </c>
      <c r="E3938" s="84">
        <v>400</v>
      </c>
      <c r="F3938" s="83">
        <f t="shared" ca="1" si="171"/>
        <v>1600</v>
      </c>
    </row>
    <row r="3939" spans="1:6" ht="14.1" customHeight="1" x14ac:dyDescent="0.25">
      <c r="A3939" s="94" t="s">
        <v>17393</v>
      </c>
      <c r="B3939" s="82" t="str">
        <f ca="1">IFERROR(INDEX(UNSPSCDes,MATCH(INDIRECT(ADDRESS(ROW(),COLUMN()-1,4)),UNSPSCCode,0)),IF(INDIRECT(ADDRESS(ROW(),COLUMN()-1,4))="26101743","Válvulas de motor",""))</f>
        <v>Válvulas de motor</v>
      </c>
      <c r="C3939" s="95" t="str">
        <f>IFERROR(VLOOKUP("UD",'Informacion '!P:Q,2,FALSE),"")</f>
        <v>Unidad</v>
      </c>
      <c r="D3939" s="94">
        <v>5</v>
      </c>
      <c r="E3939" s="84">
        <v>5000</v>
      </c>
      <c r="F3939" s="83">
        <f t="shared" ca="1" si="171"/>
        <v>25000</v>
      </c>
    </row>
    <row r="3940" spans="1:6" ht="14.1" customHeight="1" x14ac:dyDescent="0.25">
      <c r="A3940" s="94" t="s">
        <v>9202</v>
      </c>
      <c r="B3940" s="82" t="str">
        <f ca="1">IFERROR(INDEX(UNSPSCDes,MATCH(INDIRECT(ADDRESS(ROW(),COLUMN()-1,4)),UNSPSCCode,0)),IF(INDIRECT(ADDRESS(ROW(),COLUMN()-1,4))="30222408","Sala de patología",""))</f>
        <v>Sala de patología</v>
      </c>
      <c r="C3940" s="95" t="str">
        <f>IFERROR(VLOOKUP("UD",'Informacion '!P:Q,2,FALSE),"")</f>
        <v>Unidad</v>
      </c>
      <c r="D3940" s="94">
        <v>1</v>
      </c>
      <c r="E3940" s="84">
        <v>250000</v>
      </c>
      <c r="F3940" s="83">
        <f t="shared" ca="1" si="171"/>
        <v>250000</v>
      </c>
    </row>
    <row r="3941" spans="1:6" ht="14.1" customHeight="1" x14ac:dyDescent="0.25">
      <c r="A3941" s="94" t="s">
        <v>9037</v>
      </c>
      <c r="B3941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3941" s="95" t="str">
        <f>IFERROR(VLOOKUP("UD",'Informacion '!P:Q,2,FALSE),"")</f>
        <v>Unidad</v>
      </c>
      <c r="D3941" s="94">
        <v>1</v>
      </c>
      <c r="E3941" s="84">
        <v>4200000</v>
      </c>
      <c r="F3941" s="83">
        <f t="shared" ca="1" si="171"/>
        <v>4200000</v>
      </c>
    </row>
    <row r="3942" spans="1:6" ht="14.1" customHeight="1" x14ac:dyDescent="0.25">
      <c r="A3942" s="94" t="s">
        <v>9037</v>
      </c>
      <c r="B3942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3942" s="95" t="str">
        <f>IFERROR(VLOOKUP("UD",'Informacion '!P:Q,2,FALSE),"")</f>
        <v>Unidad</v>
      </c>
      <c r="D3942" s="94">
        <v>1</v>
      </c>
      <c r="E3942" s="84">
        <v>3000000</v>
      </c>
      <c r="F3942" s="83">
        <f t="shared" ca="1" si="171"/>
        <v>3000000</v>
      </c>
    </row>
    <row r="3943" spans="1:6" ht="14.1" customHeight="1" x14ac:dyDescent="0.25">
      <c r="A3943" s="94" t="s">
        <v>9037</v>
      </c>
      <c r="B3943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3943" s="95" t="str">
        <f>IFERROR(VLOOKUP("UD",'Informacion '!P:Q,2,FALSE),"")</f>
        <v>Unidad</v>
      </c>
      <c r="D3943" s="94">
        <v>1</v>
      </c>
      <c r="E3943" s="84">
        <v>3500000</v>
      </c>
      <c r="F3943" s="83">
        <f t="shared" ca="1" si="171"/>
        <v>3500000</v>
      </c>
    </row>
    <row r="3944" spans="1:6" ht="14.1" customHeight="1" x14ac:dyDescent="0.25">
      <c r="A3944" s="94" t="s">
        <v>9037</v>
      </c>
      <c r="B3944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3944" s="95" t="str">
        <f>IFERROR(VLOOKUP("UD",'Informacion '!P:Q,2,FALSE),"")</f>
        <v>Unidad</v>
      </c>
      <c r="D3944" s="94">
        <v>1</v>
      </c>
      <c r="E3944" s="84">
        <v>56000</v>
      </c>
      <c r="F3944" s="83">
        <f t="shared" ca="1" si="171"/>
        <v>56000</v>
      </c>
    </row>
    <row r="3945" spans="1:6" ht="14.1" customHeight="1" x14ac:dyDescent="0.25">
      <c r="A3945" s="94" t="s">
        <v>14120</v>
      </c>
      <c r="B3945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3945" s="95" t="str">
        <f>IFERROR(VLOOKUP("UD",'Informacion '!P:Q,2,FALSE),"")</f>
        <v>Unidad</v>
      </c>
      <c r="D3945" s="94">
        <v>1</v>
      </c>
      <c r="E3945" s="84">
        <v>56000</v>
      </c>
      <c r="F3945" s="83">
        <f t="shared" ca="1" si="171"/>
        <v>56000</v>
      </c>
    </row>
    <row r="3946" spans="1:6" ht="14.1" customHeight="1" x14ac:dyDescent="0.25">
      <c r="A3946" s="94" t="s">
        <v>7726</v>
      </c>
      <c r="B3946" s="82" t="str">
        <f ca="1">IFERROR(INDEX(UNSPSCDes,MATCH(INDIRECT(ADDRESS(ROW(),COLUMN()-1,4)),UNSPSCCode,0)),IF(INDIRECT(ADDRESS(ROW(),COLUMN()-1,4))="40101801","Radiadores",""))</f>
        <v>Radiadores</v>
      </c>
      <c r="C3946" s="95" t="str">
        <f>IFERROR(VLOOKUP("UD",'Informacion '!P:Q,2,FALSE),"")</f>
        <v>Unidad</v>
      </c>
      <c r="D3946" s="94">
        <v>1</v>
      </c>
      <c r="E3946" s="84">
        <v>56000</v>
      </c>
      <c r="F3946" s="83">
        <f t="shared" ca="1" si="171"/>
        <v>56000</v>
      </c>
    </row>
    <row r="3947" spans="1:6" ht="14.1" customHeight="1" x14ac:dyDescent="0.25">
      <c r="A3947" s="94" t="s">
        <v>1639</v>
      </c>
      <c r="B3947" s="82" t="str">
        <f ca="1">IFERROR(INDEX(UNSPSCDes,MATCH(INDIRECT(ADDRESS(ROW(),COLUMN()-1,4)),UNSPSCCode,0)),IF(INDIRECT(ADDRESS(ROW(),COLUMN()-1,4))="85121808","Servicios de laboratorios de rayos x",""))</f>
        <v>Servicios de laboratorios de rayos x</v>
      </c>
      <c r="C3947" s="95" t="str">
        <f>IFERROR(VLOOKUP("UD",'Informacion '!P:Q,2,FALSE),"")</f>
        <v>Unidad</v>
      </c>
      <c r="D3947" s="94">
        <v>1</v>
      </c>
      <c r="E3947" s="84">
        <v>130000</v>
      </c>
      <c r="F3947" s="83">
        <f t="shared" ca="1" si="171"/>
        <v>130000</v>
      </c>
    </row>
    <row r="3948" spans="1:6" ht="14.1" customHeight="1" x14ac:dyDescent="0.25">
      <c r="A3948" s="94" t="s">
        <v>10409</v>
      </c>
      <c r="B3948" s="82" t="str">
        <f ca="1">IFERROR(INDEX(UNSPSCDes,MATCH(INDIRECT(ADDRESS(ROW(),COLUMN()-1,4)),UNSPSCCode,0)),IF(INDIRECT(ADDRESS(ROW(),COLUMN()-1,4))="42201813","Unidades de tomografía de rayos x para uso médico",""))</f>
        <v>Unidades de tomografía de rayos x para uso médico</v>
      </c>
      <c r="C3948" s="95" t="str">
        <f>IFERROR(VLOOKUP("UD",'Informacion '!P:Q,2,FALSE),"")</f>
        <v>Unidad</v>
      </c>
      <c r="D3948" s="94">
        <v>1</v>
      </c>
      <c r="E3948" s="84">
        <v>500000</v>
      </c>
      <c r="F3948" s="83">
        <f t="shared" ca="1" si="171"/>
        <v>500000</v>
      </c>
    </row>
    <row r="3949" spans="1:6" ht="14.1" customHeight="1" x14ac:dyDescent="0.25">
      <c r="A3949" s="94" t="s">
        <v>17604</v>
      </c>
      <c r="B3949" s="82" t="str">
        <f ca="1">IFERROR(INDEX(UNSPSCDes,MATCH(INDIRECT(ADDRESS(ROW(),COLUMN()-1,4)),UNSPSCCode,0)),IF(INDIRECT(ADDRESS(ROW(),COLUMN()-1,4))="60104807","Equipo de resonancia",""))</f>
        <v>Equipo de resonancia</v>
      </c>
      <c r="C3949" s="95" t="str">
        <f>IFERROR(VLOOKUP("UD",'Informacion '!P:Q,2,FALSE),"")</f>
        <v>Unidad</v>
      </c>
      <c r="D3949" s="94">
        <v>1</v>
      </c>
      <c r="E3949" s="84">
        <v>806000</v>
      </c>
      <c r="F3949" s="83">
        <f t="shared" ca="1" si="171"/>
        <v>806000</v>
      </c>
    </row>
    <row r="3950" spans="1:6" ht="14.1" customHeight="1" x14ac:dyDescent="0.25">
      <c r="A3950" s="94" t="s">
        <v>1214</v>
      </c>
      <c r="B3950" s="82" t="str">
        <f ca="1">IFERROR(INDEX(UNSPSCDes,MATCH(INDIRECT(ADDRESS(ROW(),COLUMN()-1,4)),UNSPSCCode,0)),IF(INDIRECT(ADDRESS(ROW(),COLUMN()-1,4))="42202001","Cámaras gamma de uso general para uso médico",""))</f>
        <v>Cámaras gamma de uso general para uso médico</v>
      </c>
      <c r="C3950" s="95" t="str">
        <f>IFERROR(VLOOKUP("UD",'Informacion '!P:Q,2,FALSE),"")</f>
        <v>Unidad</v>
      </c>
      <c r="D3950" s="94">
        <v>1</v>
      </c>
      <c r="E3950" s="84">
        <v>200000</v>
      </c>
      <c r="F3950" s="83">
        <f t="shared" ca="1" si="171"/>
        <v>200000</v>
      </c>
    </row>
    <row r="3951" spans="1:6" ht="14.1" customHeight="1" x14ac:dyDescent="0.25">
      <c r="A3951" s="94" t="s">
        <v>6736</v>
      </c>
      <c r="B3951" s="82" t="str">
        <f ca="1">IFERROR(INDEX(UNSPSCDes,MATCH(INDIRECT(ADDRESS(ROW(),COLUMN()-1,4)),UNSPSCCode,0)),IF(INDIRECT(ADDRESS(ROW(),COLUMN()-1,4))="39121002","Transformadores de suministro de potencia",""))</f>
        <v>Transformadores de suministro de potencia</v>
      </c>
      <c r="C3951" s="95" t="str">
        <f>IFERROR(VLOOKUP("UD",'Informacion '!P:Q,2,FALSE),"")</f>
        <v>Unidad</v>
      </c>
      <c r="D3951" s="94">
        <v>1</v>
      </c>
      <c r="E3951" s="84">
        <v>150000</v>
      </c>
      <c r="F3951" s="83">
        <f t="shared" ca="1" si="171"/>
        <v>150000</v>
      </c>
    </row>
    <row r="3952" spans="1:6" ht="14.1" customHeight="1" x14ac:dyDescent="0.25">
      <c r="A3952" s="94" t="s">
        <v>13372</v>
      </c>
      <c r="B3952" s="82" t="str">
        <f ca="1">IFERROR(INDEX(UNSPSCDes,MATCH(INDIRECT(ADDRESS(ROW(),COLUMN()-1,4)),UNSPSCCode,0)),IF(INDIRECT(ADDRESS(ROW(),COLUMN()-1,4))="20122306","Herramientas de calibración de cable de recuperación",""))</f>
        <v>Herramientas de calibración de cable de recuperación</v>
      </c>
      <c r="C3952" s="95" t="str">
        <f>IFERROR(VLOOKUP("UD",'Informacion '!P:Q,2,FALSE),"")</f>
        <v>Unidad</v>
      </c>
      <c r="D3952" s="94">
        <v>1</v>
      </c>
      <c r="E3952" s="84">
        <v>400000</v>
      </c>
      <c r="F3952" s="83">
        <f t="shared" ca="1" si="171"/>
        <v>400000</v>
      </c>
    </row>
    <row r="3953" spans="1:10" ht="14.1" customHeight="1" x14ac:dyDescent="0.25">
      <c r="A3953" s="94" t="s">
        <v>11415</v>
      </c>
      <c r="B3953" s="82" t="str">
        <f ca="1">IFERROR(INDEX(UNSPSCDes,MATCH(INDIRECT(ADDRESS(ROW(),COLUMN()-1,4)),UNSPSCCode,0)),IF(INDIRECT(ADDRESS(ROW(),COLUMN()-1,4))="42201803","Equipos de rayos x para mamografías",""))</f>
        <v>Equipos de rayos x para mamografías</v>
      </c>
      <c r="C3953" s="95" t="str">
        <f>IFERROR(VLOOKUP("UD",'Informacion '!P:Q,2,FALSE),"")</f>
        <v>Unidad</v>
      </c>
      <c r="D3953" s="94">
        <v>1</v>
      </c>
      <c r="E3953" s="84">
        <v>159000</v>
      </c>
      <c r="F3953" s="83">
        <f t="shared" ca="1" si="171"/>
        <v>159000</v>
      </c>
    </row>
    <row r="3954" spans="1:10" ht="14.1" customHeight="1" x14ac:dyDescent="0.25">
      <c r="A3954" s="94" t="s">
        <v>8863</v>
      </c>
      <c r="B3954" s="82" t="str">
        <f ca="1">IFERROR(INDEX(UNSPSCDes,MATCH(INDIRECT(ADDRESS(ROW(),COLUMN()-1,4)),UNSPSCCode,0)),IF(INDIRECT(ADDRESS(ROW(),COLUMN()-1,4))="26141806","Herramientas especiales para recintos radiactivos",""))</f>
        <v>Herramientas especiales para recintos radiactivos</v>
      </c>
      <c r="C3954" s="95" t="str">
        <f>IFERROR(VLOOKUP("UD",'Informacion '!P:Q,2,FALSE),"")</f>
        <v>Unidad</v>
      </c>
      <c r="D3954" s="94">
        <v>1</v>
      </c>
      <c r="E3954" s="84">
        <v>100000</v>
      </c>
      <c r="F3954" s="83">
        <f t="shared" ca="1" si="171"/>
        <v>100000</v>
      </c>
    </row>
    <row r="3955" spans="1:10" ht="14.1" customHeight="1" x14ac:dyDescent="0.25">
      <c r="A3955" s="94" t="s">
        <v>12657</v>
      </c>
      <c r="B3955" s="82" t="str">
        <f ca="1">IFERROR(INDEX(UNSPSCDes,MATCH(INDIRECT(ADDRESS(ROW(),COLUMN()-1,4)),UNSPSCCode,0)),IF(INDIRECT(ADDRESS(ROW(),COLUMN()-1,4))="27131605","Cortina de aire",""))</f>
        <v>Cortina de aire</v>
      </c>
      <c r="C3955" s="95" t="str">
        <f>IFERROR(VLOOKUP("UD",'Informacion '!P:Q,2,FALSE),"")</f>
        <v>Unidad</v>
      </c>
      <c r="D3955" s="94">
        <v>12</v>
      </c>
      <c r="E3955" s="84">
        <v>9000</v>
      </c>
      <c r="F3955" s="83">
        <f t="shared" ca="1" si="171"/>
        <v>108000</v>
      </c>
    </row>
    <row r="3956" spans="1:10" ht="14.1" customHeight="1" x14ac:dyDescent="0.25">
      <c r="A3956" s="94" t="s">
        <v>12597</v>
      </c>
      <c r="B3956" s="82" t="str">
        <f ca="1">IFERROR(INDEX(UNSPSCDes,MATCH(INDIRECT(ADDRESS(ROW(),COLUMN()-1,4)),UNSPSCCode,0)),IF(INDIRECT(ADDRESS(ROW(),COLUMN()-1,4))="42281503","Esterilizadores de filtro",""))</f>
        <v>Esterilizadores de filtro</v>
      </c>
      <c r="C3956" s="95" t="str">
        <f>IFERROR(VLOOKUP("UD",'Informacion '!P:Q,2,FALSE),"")</f>
        <v>Unidad</v>
      </c>
      <c r="D3956" s="94">
        <v>1</v>
      </c>
      <c r="E3956" s="84">
        <v>45000</v>
      </c>
      <c r="F3956" s="83">
        <f t="shared" ca="1" si="171"/>
        <v>45000</v>
      </c>
    </row>
    <row r="3957" spans="1:10" ht="14.1" customHeight="1" x14ac:dyDescent="0.25">
      <c r="A3957" s="94" t="s">
        <v>14120</v>
      </c>
      <c r="B3957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3957" s="95" t="str">
        <f>IFERROR(VLOOKUP("UD",'Informacion '!P:Q,2,FALSE),"")</f>
        <v>Unidad</v>
      </c>
      <c r="D3957" s="94">
        <v>1</v>
      </c>
      <c r="E3957" s="84">
        <v>6500</v>
      </c>
      <c r="F3957" s="83">
        <f t="shared" ca="1" si="171"/>
        <v>6500</v>
      </c>
    </row>
    <row r="3958" spans="1:10" ht="14.1" customHeight="1" x14ac:dyDescent="0.25">
      <c r="E3958" s="96" t="s">
        <v>7213</v>
      </c>
      <c r="F3958" s="87">
        <f ca="1">SUM(Table115[MONTO TOTAL ESTIMADO])</f>
        <v>38943334.399999999</v>
      </c>
      <c r="H3958" s="39" t="str">
        <f>C3643</f>
        <v>Bienes</v>
      </c>
      <c r="I3958" s="39" t="str">
        <f>E3643</f>
        <v>No</v>
      </c>
      <c r="J3958" s="39" t="str">
        <f>D3643</f>
        <v>Compras Menores</v>
      </c>
    </row>
    <row r="3960" spans="1:10" ht="33.950000000000003" customHeight="1" x14ac:dyDescent="0.25">
      <c r="A3960" s="77" t="s">
        <v>17233</v>
      </c>
      <c r="B3960" s="77" t="s">
        <v>4237</v>
      </c>
      <c r="C3960" s="77" t="s">
        <v>4743</v>
      </c>
      <c r="D3960" s="77" t="s">
        <v>9891</v>
      </c>
      <c r="E3960" s="77" t="s">
        <v>3089</v>
      </c>
      <c r="F3960" s="77" t="s">
        <v>18141</v>
      </c>
    </row>
    <row r="3961" spans="1:10" ht="14.1" customHeight="1" x14ac:dyDescent="0.25">
      <c r="A3961" s="79" t="s">
        <v>608</v>
      </c>
      <c r="B3961" s="79" t="s">
        <v>79</v>
      </c>
      <c r="C3961" s="79" t="s">
        <v>17215</v>
      </c>
      <c r="D3961" s="79" t="s">
        <v>17798</v>
      </c>
      <c r="E3961" s="79" t="s">
        <v>18247</v>
      </c>
      <c r="F3961" s="79"/>
    </row>
    <row r="3962" spans="1:10" ht="14.1" customHeight="1" x14ac:dyDescent="0.25">
      <c r="A3962" s="2" t="s">
        <v>6643</v>
      </c>
      <c r="B3962" s="80" t="s">
        <v>1046</v>
      </c>
      <c r="C3962" s="90">
        <v>43647</v>
      </c>
      <c r="D3962" s="2" t="s">
        <v>59</v>
      </c>
      <c r="E3962" s="92" t="s">
        <v>20066</v>
      </c>
      <c r="F3962" s="93"/>
    </row>
    <row r="3963" spans="1:10" ht="14.1" customHeight="1" x14ac:dyDescent="0.25">
      <c r="A3963" s="1"/>
      <c r="B3963" s="80" t="s">
        <v>10788</v>
      </c>
      <c r="C3963" s="91">
        <f>IF(C3962="","",IF(AND(MONTH(C3962)&gt;=1,MONTH(C3962)&lt;=3),1,IF(AND(MONTH(C3962)&gt;=4,MONTH(C3962)&lt;=6),2,IF(AND(MONTH(C3962)&gt;=7,MONTH(C3962)&lt;=9),3,4))))</f>
        <v>3</v>
      </c>
      <c r="D3963" s="1"/>
      <c r="E3963" s="92" t="s">
        <v>14822</v>
      </c>
      <c r="F3963" s="93"/>
    </row>
    <row r="3964" spans="1:10" ht="14.1" customHeight="1" x14ac:dyDescent="0.25">
      <c r="A3964" s="1"/>
      <c r="B3964" s="80" t="s">
        <v>13758</v>
      </c>
      <c r="C3964" s="90">
        <v>43735</v>
      </c>
      <c r="D3964" s="1"/>
      <c r="E3964" s="92" t="s">
        <v>18636</v>
      </c>
      <c r="F3964" s="93"/>
    </row>
    <row r="3965" spans="1:10" ht="14.1" customHeight="1" x14ac:dyDescent="0.25">
      <c r="A3965" s="1"/>
      <c r="B3965" s="80" t="s">
        <v>10788</v>
      </c>
      <c r="C3965" s="91">
        <f>IF(C3964="","",IF(AND(MONTH(C3964)&gt;=1,MONTH(C3964)&lt;=3),1,IF(AND(MONTH(C3964)&gt;=4,MONTH(C3964)&lt;=6),2,IF(AND(MONTH(C3964)&gt;=7,MONTH(C3964)&lt;=9),3,4))))</f>
        <v>3</v>
      </c>
      <c r="D3965" s="1"/>
      <c r="E3965" s="92" t="s">
        <v>15990</v>
      </c>
      <c r="F3965" s="93"/>
    </row>
    <row r="3967" spans="1:10" ht="14.1" customHeight="1" x14ac:dyDescent="0.25">
      <c r="A3967" s="85" t="s">
        <v>15474</v>
      </c>
      <c r="B3967" s="85" t="s">
        <v>5027</v>
      </c>
      <c r="C3967" s="85" t="s">
        <v>17461</v>
      </c>
      <c r="D3967" s="85" t="s">
        <v>3935</v>
      </c>
      <c r="E3967" s="85" t="s">
        <v>10722</v>
      </c>
      <c r="F3967" s="85" t="s">
        <v>18237</v>
      </c>
    </row>
    <row r="3968" spans="1:10" ht="14.1" customHeight="1" x14ac:dyDescent="0.25">
      <c r="A3968" s="94" t="s">
        <v>9475</v>
      </c>
      <c r="B3968" s="82" t="str">
        <f ca="1">IFERROR(INDEX(UNSPSCDes,MATCH(INDIRECT(ADDRESS(ROW(),COLUMN()-1,4)),UNSPSCCode,0)),IF(INDIRECT(ADDRESS(ROW(),COLUMN()-1,4))="42221503","Catéteres venosos centrales",""))</f>
        <v>Catéteres venosos centrales</v>
      </c>
      <c r="C3968" s="95" t="str">
        <f>IFERROR(VLOOKUP("UD",'Informacion '!P:Q,2,FALSE),"")</f>
        <v>Unidad</v>
      </c>
      <c r="D3968" s="94">
        <v>36</v>
      </c>
      <c r="E3968" s="84">
        <v>1952.87</v>
      </c>
      <c r="F3968" s="83">
        <f t="shared" ref="F3968:F4008" ca="1" si="172">INDIRECT(ADDRESS(ROW(),COLUMN()-2,4))*INDIRECT(ADDRESS(ROW(),COLUMN()-1,4))</f>
        <v>70303.319999999992</v>
      </c>
    </row>
    <row r="3969" spans="1:6" ht="14.1" customHeight="1" x14ac:dyDescent="0.25">
      <c r="A3969" s="94" t="s">
        <v>18811</v>
      </c>
      <c r="B3969" s="82" t="str">
        <f t="shared" ref="B3969:B3974" ca="1" si="173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3969" s="95" t="str">
        <f>IFERROR(VLOOKUP("UD",'Informacion '!P:Q,2,FALSE),"")</f>
        <v>Unidad</v>
      </c>
      <c r="D3969" s="94">
        <v>36</v>
      </c>
      <c r="E3969" s="84">
        <v>110</v>
      </c>
      <c r="F3969" s="83">
        <f t="shared" ca="1" si="172"/>
        <v>3960</v>
      </c>
    </row>
    <row r="3970" spans="1:6" ht="14.1" customHeight="1" x14ac:dyDescent="0.25">
      <c r="A3970" s="94" t="s">
        <v>18811</v>
      </c>
      <c r="B3970" s="82" t="str">
        <f t="shared" ca="1" si="173"/>
        <v>Bandejas mayo para el canto o puestos mayo para uso quirúrgico o sus accesorios</v>
      </c>
      <c r="C3970" s="95" t="str">
        <f>IFERROR(VLOOKUP("UD",'Informacion '!P:Q,2,FALSE),"")</f>
        <v>Unidad</v>
      </c>
      <c r="D3970" s="94">
        <v>8</v>
      </c>
      <c r="E3970" s="84">
        <v>149.74</v>
      </c>
      <c r="F3970" s="83">
        <f t="shared" ca="1" si="172"/>
        <v>1197.92</v>
      </c>
    </row>
    <row r="3971" spans="1:6" ht="14.1" customHeight="1" x14ac:dyDescent="0.25">
      <c r="A3971" s="94" t="s">
        <v>18811</v>
      </c>
      <c r="B3971" s="82" t="str">
        <f t="shared" ca="1" si="173"/>
        <v>Bandejas mayo para el canto o puestos mayo para uso quirúrgico o sus accesorios</v>
      </c>
      <c r="C3971" s="95" t="str">
        <f>IFERROR(VLOOKUP("UD",'Informacion '!P:Q,2,FALSE),"")</f>
        <v>Unidad</v>
      </c>
      <c r="D3971" s="94">
        <v>9</v>
      </c>
      <c r="E3971" s="84">
        <v>53.1</v>
      </c>
      <c r="F3971" s="83">
        <f t="shared" ca="1" si="172"/>
        <v>477.90000000000003</v>
      </c>
    </row>
    <row r="3972" spans="1:6" ht="14.1" customHeight="1" x14ac:dyDescent="0.25">
      <c r="A3972" s="94" t="s">
        <v>18811</v>
      </c>
      <c r="B3972" s="82" t="str">
        <f t="shared" ca="1" si="173"/>
        <v>Bandejas mayo para el canto o puestos mayo para uso quirúrgico o sus accesorios</v>
      </c>
      <c r="C3972" s="95" t="str">
        <f>IFERROR(VLOOKUP("UD",'Informacion '!P:Q,2,FALSE),"")</f>
        <v>Unidad</v>
      </c>
      <c r="D3972" s="94">
        <v>12</v>
      </c>
      <c r="E3972" s="84">
        <v>170.62</v>
      </c>
      <c r="F3972" s="83">
        <f t="shared" ca="1" si="172"/>
        <v>2047.44</v>
      </c>
    </row>
    <row r="3973" spans="1:6" ht="14.1" customHeight="1" x14ac:dyDescent="0.25">
      <c r="A3973" s="94" t="s">
        <v>18811</v>
      </c>
      <c r="B3973" s="82" t="str">
        <f t="shared" ca="1" si="173"/>
        <v>Bandejas mayo para el canto o puestos mayo para uso quirúrgico o sus accesorios</v>
      </c>
      <c r="C3973" s="95" t="str">
        <f>IFERROR(VLOOKUP("UD",'Informacion '!P:Q,2,FALSE),"")</f>
        <v>Unidad</v>
      </c>
      <c r="D3973" s="94">
        <v>7</v>
      </c>
      <c r="E3973" s="84">
        <v>167.45</v>
      </c>
      <c r="F3973" s="83">
        <f t="shared" ca="1" si="172"/>
        <v>1172.1499999999999</v>
      </c>
    </row>
    <row r="3974" spans="1:6" ht="14.1" customHeight="1" x14ac:dyDescent="0.25">
      <c r="A3974" s="94" t="s">
        <v>18811</v>
      </c>
      <c r="B3974" s="82" t="str">
        <f t="shared" ca="1" si="173"/>
        <v>Bandejas mayo para el canto o puestos mayo para uso quirúrgico o sus accesorios</v>
      </c>
      <c r="C3974" s="95" t="str">
        <f>IFERROR(VLOOKUP("UD",'Informacion '!P:Q,2,FALSE),"")</f>
        <v>Unidad</v>
      </c>
      <c r="D3974" s="94">
        <v>18</v>
      </c>
      <c r="E3974" s="84">
        <v>56.65</v>
      </c>
      <c r="F3974" s="83">
        <f t="shared" ca="1" si="172"/>
        <v>1019.6999999999999</v>
      </c>
    </row>
    <row r="3975" spans="1:6" ht="14.1" customHeight="1" x14ac:dyDescent="0.25">
      <c r="A3975" s="94" t="s">
        <v>10248</v>
      </c>
      <c r="B3975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3975" s="95" t="str">
        <f>IFERROR(VLOOKUP("UD",'Informacion '!P:Q,2,FALSE),"")</f>
        <v>Unidad</v>
      </c>
      <c r="D3975" s="94">
        <v>369</v>
      </c>
      <c r="E3975" s="84">
        <v>83.44</v>
      </c>
      <c r="F3975" s="83">
        <f t="shared" ca="1" si="172"/>
        <v>30789.360000000001</v>
      </c>
    </row>
    <row r="3976" spans="1:6" ht="14.1" customHeight="1" x14ac:dyDescent="0.25">
      <c r="A3976" s="94" t="s">
        <v>12824</v>
      </c>
      <c r="B397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976" s="95" t="str">
        <f>IFERROR(VLOOKUP("UD",'Informacion '!P:Q,2,FALSE),"")</f>
        <v>Unidad</v>
      </c>
      <c r="D3976" s="94">
        <v>464</v>
      </c>
      <c r="E3976" s="84">
        <v>52.5</v>
      </c>
      <c r="F3976" s="83">
        <f t="shared" ca="1" si="172"/>
        <v>24360</v>
      </c>
    </row>
    <row r="3977" spans="1:6" ht="14.1" customHeight="1" x14ac:dyDescent="0.25">
      <c r="A3977" s="94" t="s">
        <v>8742</v>
      </c>
      <c r="B3977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3977" s="95" t="str">
        <f>IFERROR(VLOOKUP("UD",'Informacion '!P:Q,2,FALSE),"")</f>
        <v>Unidad</v>
      </c>
      <c r="D3977" s="94">
        <v>3</v>
      </c>
      <c r="E3977" s="84">
        <v>848.28</v>
      </c>
      <c r="F3977" s="83">
        <f t="shared" ca="1" si="172"/>
        <v>2544.84</v>
      </c>
    </row>
    <row r="3978" spans="1:6" ht="14.1" customHeight="1" x14ac:dyDescent="0.25">
      <c r="A3978" s="94" t="s">
        <v>3767</v>
      </c>
      <c r="B3978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978" s="95" t="str">
        <f>IFERROR(VLOOKUP("UD",'Informacion '!P:Q,2,FALSE),"")</f>
        <v>Unidad</v>
      </c>
      <c r="D3978" s="94">
        <v>653</v>
      </c>
      <c r="E3978" s="84">
        <v>45</v>
      </c>
      <c r="F3978" s="83">
        <f t="shared" ca="1" si="172"/>
        <v>29385</v>
      </c>
    </row>
    <row r="3979" spans="1:6" ht="14.1" customHeight="1" x14ac:dyDescent="0.25">
      <c r="A3979" s="94" t="s">
        <v>3767</v>
      </c>
      <c r="B3979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979" s="95" t="str">
        <f>IFERROR(VLOOKUP("UD",'Informacion '!P:Q,2,FALSE),"")</f>
        <v>Unidad</v>
      </c>
      <c r="D3979" s="94">
        <v>2041</v>
      </c>
      <c r="E3979" s="84">
        <v>71.989999999999995</v>
      </c>
      <c r="F3979" s="83">
        <f t="shared" ca="1" si="172"/>
        <v>146931.59</v>
      </c>
    </row>
    <row r="3980" spans="1:6" ht="14.1" customHeight="1" x14ac:dyDescent="0.25">
      <c r="A3980" s="94" t="s">
        <v>3767</v>
      </c>
      <c r="B398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980" s="95" t="str">
        <f>IFERROR(VLOOKUP("UD",'Informacion '!P:Q,2,FALSE),"")</f>
        <v>Unidad</v>
      </c>
      <c r="D3980" s="94">
        <v>2341</v>
      </c>
      <c r="E3980" s="84">
        <v>72</v>
      </c>
      <c r="F3980" s="83">
        <f t="shared" ca="1" si="172"/>
        <v>168552</v>
      </c>
    </row>
    <row r="3981" spans="1:6" ht="14.1" customHeight="1" x14ac:dyDescent="0.25">
      <c r="A3981" s="94" t="s">
        <v>18410</v>
      </c>
      <c r="B3981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3981" s="95" t="str">
        <f>IFERROR(VLOOKUP("UD",'Informacion '!P:Q,2,FALSE),"")</f>
        <v>Unidad</v>
      </c>
      <c r="D3981" s="94">
        <v>3</v>
      </c>
      <c r="E3981" s="84">
        <v>15031.87</v>
      </c>
      <c r="F3981" s="83">
        <f t="shared" ca="1" si="172"/>
        <v>45095.61</v>
      </c>
    </row>
    <row r="3982" spans="1:6" ht="14.1" customHeight="1" x14ac:dyDescent="0.25">
      <c r="A3982" s="94" t="s">
        <v>3767</v>
      </c>
      <c r="B3982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982" s="95" t="str">
        <f>IFERROR(VLOOKUP("UD",'Informacion '!P:Q,2,FALSE),"")</f>
        <v>Unidad</v>
      </c>
      <c r="D3982" s="94">
        <v>55</v>
      </c>
      <c r="E3982" s="84">
        <v>45</v>
      </c>
      <c r="F3982" s="83">
        <f t="shared" ca="1" si="172"/>
        <v>2475</v>
      </c>
    </row>
    <row r="3983" spans="1:6" ht="14.1" customHeight="1" x14ac:dyDescent="0.25">
      <c r="A3983" s="94" t="s">
        <v>3767</v>
      </c>
      <c r="B3983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3983" s="95" t="str">
        <f>IFERROR(VLOOKUP("UD",'Informacion '!P:Q,2,FALSE),"")</f>
        <v>Unidad</v>
      </c>
      <c r="D3983" s="94">
        <v>3325</v>
      </c>
      <c r="E3983" s="84">
        <v>45</v>
      </c>
      <c r="F3983" s="83">
        <f t="shared" ca="1" si="172"/>
        <v>149625</v>
      </c>
    </row>
    <row r="3984" spans="1:6" ht="14.1" customHeight="1" x14ac:dyDescent="0.25">
      <c r="A3984" s="94" t="s">
        <v>12824</v>
      </c>
      <c r="B398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984" s="95" t="str">
        <f>IFERROR(VLOOKUP("UD",'Informacion '!P:Q,2,FALSE),"")</f>
        <v>Unidad</v>
      </c>
      <c r="D3984" s="94">
        <v>5</v>
      </c>
      <c r="E3984" s="84">
        <v>1153.49</v>
      </c>
      <c r="F3984" s="83">
        <f t="shared" ca="1" si="172"/>
        <v>5767.45</v>
      </c>
    </row>
    <row r="3985" spans="1:6" ht="14.1" customHeight="1" x14ac:dyDescent="0.25">
      <c r="A3985" s="94" t="s">
        <v>12824</v>
      </c>
      <c r="B398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985" s="95" t="str">
        <f>IFERROR(VLOOKUP("UD",'Informacion '!P:Q,2,FALSE),"")</f>
        <v>Unidad</v>
      </c>
      <c r="D3985" s="94">
        <v>11</v>
      </c>
      <c r="E3985" s="84">
        <v>1947</v>
      </c>
      <c r="F3985" s="83">
        <f t="shared" ca="1" si="172"/>
        <v>21417</v>
      </c>
    </row>
    <row r="3986" spans="1:6" ht="14.1" customHeight="1" x14ac:dyDescent="0.25">
      <c r="A3986" s="94" t="s">
        <v>10248</v>
      </c>
      <c r="B398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3986" s="95" t="str">
        <f>IFERROR(VLOOKUP("UD",'Informacion '!P:Q,2,FALSE),"")</f>
        <v>Unidad</v>
      </c>
      <c r="D3986" s="94">
        <v>367</v>
      </c>
      <c r="E3986" s="84">
        <v>83.44</v>
      </c>
      <c r="F3986" s="83">
        <f t="shared" ca="1" si="172"/>
        <v>30622.48</v>
      </c>
    </row>
    <row r="3987" spans="1:6" ht="14.1" customHeight="1" x14ac:dyDescent="0.25">
      <c r="A3987" s="94" t="s">
        <v>12824</v>
      </c>
      <c r="B398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987" s="95" t="str">
        <f>IFERROR(VLOOKUP("UD",'Informacion '!P:Q,2,FALSE),"")</f>
        <v>Unidad</v>
      </c>
      <c r="D3987" s="94">
        <v>6</v>
      </c>
      <c r="E3987" s="84">
        <v>19.37</v>
      </c>
      <c r="F3987" s="83">
        <f t="shared" ca="1" si="172"/>
        <v>116.22</v>
      </c>
    </row>
    <row r="3988" spans="1:6" ht="14.1" customHeight="1" x14ac:dyDescent="0.25">
      <c r="A3988" s="94" t="s">
        <v>12824</v>
      </c>
      <c r="B398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988" s="95" t="str">
        <f>IFERROR(VLOOKUP("UD",'Informacion '!P:Q,2,FALSE),"")</f>
        <v>Unidad</v>
      </c>
      <c r="D3988" s="94">
        <v>15</v>
      </c>
      <c r="E3988" s="84">
        <v>38.520000000000003</v>
      </c>
      <c r="F3988" s="83">
        <f t="shared" ca="1" si="172"/>
        <v>577.80000000000007</v>
      </c>
    </row>
    <row r="3989" spans="1:6" ht="14.1" customHeight="1" x14ac:dyDescent="0.25">
      <c r="A3989" s="94" t="s">
        <v>16391</v>
      </c>
      <c r="B3989" s="82" t="str">
        <f ca="1">IFERROR(INDEX(UNSPSCDes,MATCH(INDIRECT(ADDRESS(ROW(),COLUMN()-1,4)),UNSPSCCode,0)),IF(INDIRECT(ADDRESS(ROW(),COLUMN()-1,4))="42142615","Accesorios para jeringas",""))</f>
        <v>Accesorios para jeringas</v>
      </c>
      <c r="C3989" s="95" t="str">
        <f>IFERROR(VLOOKUP("UD",'Informacion '!P:Q,2,FALSE),"")</f>
        <v>Unidad</v>
      </c>
      <c r="D3989" s="94">
        <v>162</v>
      </c>
      <c r="E3989" s="84">
        <v>122</v>
      </c>
      <c r="F3989" s="83">
        <f t="shared" ca="1" si="172"/>
        <v>19764</v>
      </c>
    </row>
    <row r="3990" spans="1:6" ht="14.1" customHeight="1" x14ac:dyDescent="0.25">
      <c r="A3990" s="94" t="s">
        <v>12824</v>
      </c>
      <c r="B399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990" s="95" t="str">
        <f>IFERROR(VLOOKUP("UD",'Informacion '!P:Q,2,FALSE),"")</f>
        <v>Unidad</v>
      </c>
      <c r="D3990" s="94">
        <v>13</v>
      </c>
      <c r="E3990" s="84">
        <v>29.5</v>
      </c>
      <c r="F3990" s="83">
        <f t="shared" ca="1" si="172"/>
        <v>383.5</v>
      </c>
    </row>
    <row r="3991" spans="1:6" ht="14.1" customHeight="1" x14ac:dyDescent="0.25">
      <c r="A3991" s="94" t="s">
        <v>13621</v>
      </c>
      <c r="B3991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3991" s="95" t="str">
        <f>IFERROR(VLOOKUP("UD",'Informacion '!P:Q,2,FALSE),"")</f>
        <v>Unidad</v>
      </c>
      <c r="D3991" s="94">
        <v>23</v>
      </c>
      <c r="E3991" s="84">
        <v>2288.0300000000002</v>
      </c>
      <c r="F3991" s="83">
        <f t="shared" ca="1" si="172"/>
        <v>52624.69</v>
      </c>
    </row>
    <row r="3992" spans="1:6" ht="14.1" customHeight="1" x14ac:dyDescent="0.25">
      <c r="A3992" s="94" t="s">
        <v>9475</v>
      </c>
      <c r="B3992" s="82" t="str">
        <f ca="1">IFERROR(INDEX(UNSPSCDes,MATCH(INDIRECT(ADDRESS(ROW(),COLUMN()-1,4)),UNSPSCCode,0)),IF(INDIRECT(ADDRESS(ROW(),COLUMN()-1,4))="42221503","Catéteres venosos centrales",""))</f>
        <v>Catéteres venosos centrales</v>
      </c>
      <c r="C3992" s="95" t="str">
        <f>IFERROR(VLOOKUP("UD",'Informacion '!P:Q,2,FALSE),"")</f>
        <v>Unidad</v>
      </c>
      <c r="D3992" s="94">
        <v>25</v>
      </c>
      <c r="E3992" s="84">
        <v>1657</v>
      </c>
      <c r="F3992" s="83">
        <f t="shared" ca="1" si="172"/>
        <v>41425</v>
      </c>
    </row>
    <row r="3993" spans="1:6" ht="14.1" customHeight="1" x14ac:dyDescent="0.25">
      <c r="A3993" s="94" t="s">
        <v>12824</v>
      </c>
      <c r="B399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993" s="95" t="str">
        <f>IFERROR(VLOOKUP("UD",'Informacion '!P:Q,2,FALSE),"")</f>
        <v>Unidad</v>
      </c>
      <c r="D3993" s="94">
        <v>3</v>
      </c>
      <c r="E3993" s="84">
        <v>9.44</v>
      </c>
      <c r="F3993" s="83">
        <f t="shared" ca="1" si="172"/>
        <v>28.32</v>
      </c>
    </row>
    <row r="3994" spans="1:6" ht="14.1" customHeight="1" x14ac:dyDescent="0.25">
      <c r="A3994" s="94" t="s">
        <v>10483</v>
      </c>
      <c r="B399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3994" s="95" t="str">
        <f>IFERROR(VLOOKUP("UD",'Informacion '!P:Q,2,FALSE),"")</f>
        <v>Unidad</v>
      </c>
      <c r="D3994" s="94">
        <v>7</v>
      </c>
      <c r="E3994" s="84">
        <v>4181.9799999999996</v>
      </c>
      <c r="F3994" s="83">
        <f t="shared" ca="1" si="172"/>
        <v>29273.859999999997</v>
      </c>
    </row>
    <row r="3995" spans="1:6" ht="14.1" customHeight="1" x14ac:dyDescent="0.25">
      <c r="A3995" s="94" t="s">
        <v>12824</v>
      </c>
      <c r="B399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3995" s="95" t="str">
        <f>IFERROR(VLOOKUP("UD",'Informacion '!P:Q,2,FALSE),"")</f>
        <v>Unidad</v>
      </c>
      <c r="D3995" s="94">
        <v>6</v>
      </c>
      <c r="E3995" s="84">
        <v>4218.5</v>
      </c>
      <c r="F3995" s="83">
        <f t="shared" ca="1" si="172"/>
        <v>25311</v>
      </c>
    </row>
    <row r="3996" spans="1:6" ht="14.1" customHeight="1" x14ac:dyDescent="0.25">
      <c r="A3996" s="94" t="s">
        <v>10483</v>
      </c>
      <c r="B3996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3996" s="95" t="str">
        <f>IFERROR(VLOOKUP("UD",'Informacion '!P:Q,2,FALSE),"")</f>
        <v>Unidad</v>
      </c>
      <c r="D3996" s="94">
        <v>5</v>
      </c>
      <c r="E3996" s="84">
        <v>4235.93</v>
      </c>
      <c r="F3996" s="83">
        <f t="shared" ca="1" si="172"/>
        <v>21179.65</v>
      </c>
    </row>
    <row r="3997" spans="1:6" ht="14.1" customHeight="1" x14ac:dyDescent="0.25">
      <c r="A3997" s="94" t="s">
        <v>13499</v>
      </c>
      <c r="B3997" s="82" t="str">
        <f ca="1">IFERROR(INDEX(UNSPSCDes,MATCH(INDIRECT(ADDRESS(ROW(),COLUMN()-1,4)),UNSPSCCode,0)),IF(INDIRECT(ADDRESS(ROW(),COLUMN()-1,4))="41104019","Colectores de muestras",""))</f>
        <v>Colectores de muestras</v>
      </c>
      <c r="C3997" s="95" t="str">
        <f>IFERROR(VLOOKUP("UD",'Informacion '!P:Q,2,FALSE),"")</f>
        <v>Unidad</v>
      </c>
      <c r="D3997" s="94">
        <v>4</v>
      </c>
      <c r="E3997" s="84">
        <v>422.55</v>
      </c>
      <c r="F3997" s="83">
        <f t="shared" ca="1" si="172"/>
        <v>1690.2</v>
      </c>
    </row>
    <row r="3998" spans="1:6" ht="14.1" customHeight="1" x14ac:dyDescent="0.25">
      <c r="A3998" s="94" t="s">
        <v>9475</v>
      </c>
      <c r="B3998" s="82" t="str">
        <f ca="1">IFERROR(INDEX(UNSPSCDes,MATCH(INDIRECT(ADDRESS(ROW(),COLUMN()-1,4)),UNSPSCCode,0)),IF(INDIRECT(ADDRESS(ROW(),COLUMN()-1,4))="42221503","Catéteres venosos centrales",""))</f>
        <v>Catéteres venosos centrales</v>
      </c>
      <c r="C3998" s="95" t="str">
        <f>IFERROR(VLOOKUP("UD",'Informacion '!P:Q,2,FALSE),"")</f>
        <v>Unidad</v>
      </c>
      <c r="D3998" s="94">
        <v>4</v>
      </c>
      <c r="E3998" s="84">
        <v>1699.2</v>
      </c>
      <c r="F3998" s="83">
        <f t="shared" ca="1" si="172"/>
        <v>6796.8</v>
      </c>
    </row>
    <row r="3999" spans="1:6" ht="14.1" customHeight="1" x14ac:dyDescent="0.25">
      <c r="A3999" s="94" t="s">
        <v>9475</v>
      </c>
      <c r="B3999" s="82" t="str">
        <f ca="1">IFERROR(INDEX(UNSPSCDes,MATCH(INDIRECT(ADDRESS(ROW(),COLUMN()-1,4)),UNSPSCCode,0)),IF(INDIRECT(ADDRESS(ROW(),COLUMN()-1,4))="42221503","Catéteres venosos centrales",""))</f>
        <v>Catéteres venosos centrales</v>
      </c>
      <c r="C3999" s="95" t="str">
        <f>IFERROR(VLOOKUP("UD",'Informacion '!P:Q,2,FALSE),"")</f>
        <v>Unidad</v>
      </c>
      <c r="D3999" s="94">
        <v>6</v>
      </c>
      <c r="E3999" s="84">
        <v>1025.42</v>
      </c>
      <c r="F3999" s="83">
        <f t="shared" ca="1" si="172"/>
        <v>6152.52</v>
      </c>
    </row>
    <row r="4000" spans="1:6" ht="14.1" customHeight="1" x14ac:dyDescent="0.25">
      <c r="A4000" s="94" t="s">
        <v>3742</v>
      </c>
      <c r="B4000" s="82" t="str">
        <f ca="1">IFERROR(INDEX(UNSPSCDes,MATCH(INDIRECT(ADDRESS(ROW(),COLUMN()-1,4)),UNSPSCCode,0)),IF(INDIRECT(ADDRESS(ROW(),COLUMN()-1,4))="42271909","Accesorios de vías aéreas artificiales",""))</f>
        <v>Accesorios de vías aéreas artificiales</v>
      </c>
      <c r="C4000" s="95" t="str">
        <f>IFERROR(VLOOKUP("UD",'Informacion '!P:Q,2,FALSE),"")</f>
        <v>Unidad</v>
      </c>
      <c r="D4000" s="94">
        <v>12</v>
      </c>
      <c r="E4000" s="84">
        <v>5.48</v>
      </c>
      <c r="F4000" s="83">
        <f t="shared" ca="1" si="172"/>
        <v>65.760000000000005</v>
      </c>
    </row>
    <row r="4001" spans="1:10" ht="14.1" customHeight="1" x14ac:dyDescent="0.25">
      <c r="A4001" s="94" t="s">
        <v>8742</v>
      </c>
      <c r="B4001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4001" s="95" t="str">
        <f>IFERROR(VLOOKUP("UD",'Informacion '!P:Q,2,FALSE),"")</f>
        <v>Unidad</v>
      </c>
      <c r="D4001" s="94">
        <v>6</v>
      </c>
      <c r="E4001" s="84">
        <v>68.09</v>
      </c>
      <c r="F4001" s="83">
        <f t="shared" ca="1" si="172"/>
        <v>408.54</v>
      </c>
    </row>
    <row r="4002" spans="1:10" ht="14.1" customHeight="1" x14ac:dyDescent="0.25">
      <c r="A4002" s="94" t="s">
        <v>18410</v>
      </c>
      <c r="B4002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4002" s="95" t="str">
        <f>IFERROR(VLOOKUP("UD",'Informacion '!P:Q,2,FALSE),"")</f>
        <v>Unidad</v>
      </c>
      <c r="D4002" s="94">
        <v>3</v>
      </c>
      <c r="E4002" s="84">
        <v>21574.26</v>
      </c>
      <c r="F4002" s="83">
        <f t="shared" ca="1" si="172"/>
        <v>64722.78</v>
      </c>
    </row>
    <row r="4003" spans="1:10" ht="14.1" customHeight="1" x14ac:dyDescent="0.25">
      <c r="A4003" s="94" t="s">
        <v>10045</v>
      </c>
      <c r="B4003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4003" s="95" t="str">
        <f>IFERROR(VLOOKUP("UD",'Informacion '!P:Q,2,FALSE),"")</f>
        <v>Unidad</v>
      </c>
      <c r="D4003" s="94">
        <v>4</v>
      </c>
      <c r="E4003" s="84">
        <v>537.98</v>
      </c>
      <c r="F4003" s="83">
        <f t="shared" ca="1" si="172"/>
        <v>2151.92</v>
      </c>
    </row>
    <row r="4004" spans="1:10" ht="14.1" customHeight="1" x14ac:dyDescent="0.25">
      <c r="A4004" s="94" t="s">
        <v>9475</v>
      </c>
      <c r="B4004" s="82" t="str">
        <f ca="1">IFERROR(INDEX(UNSPSCDes,MATCH(INDIRECT(ADDRESS(ROW(),COLUMN()-1,4)),UNSPSCCode,0)),IF(INDIRECT(ADDRESS(ROW(),COLUMN()-1,4))="42221503","Catéteres venosos centrales",""))</f>
        <v>Catéteres venosos centrales</v>
      </c>
      <c r="C4004" s="95" t="str">
        <f>IFERROR(VLOOKUP("UD",'Informacion '!P:Q,2,FALSE),"")</f>
        <v>Unidad</v>
      </c>
      <c r="D4004" s="94">
        <v>6</v>
      </c>
      <c r="E4004" s="84">
        <v>1457.6</v>
      </c>
      <c r="F4004" s="83">
        <f t="shared" ca="1" si="172"/>
        <v>8745.5999999999985</v>
      </c>
    </row>
    <row r="4005" spans="1:10" ht="14.1" customHeight="1" x14ac:dyDescent="0.25">
      <c r="A4005" s="94" t="s">
        <v>12824</v>
      </c>
      <c r="B400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05" s="95" t="str">
        <f>IFERROR(VLOOKUP("UD",'Informacion '!P:Q,2,FALSE),"")</f>
        <v>Unidad</v>
      </c>
      <c r="D4005" s="94">
        <v>10</v>
      </c>
      <c r="E4005" s="84">
        <v>1246.08</v>
      </c>
      <c r="F4005" s="83">
        <f t="shared" ca="1" si="172"/>
        <v>12460.8</v>
      </c>
    </row>
    <row r="4006" spans="1:10" ht="14.1" customHeight="1" x14ac:dyDescent="0.25">
      <c r="A4006" s="94" t="s">
        <v>12824</v>
      </c>
      <c r="B400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06" s="95" t="str">
        <f>IFERROR(VLOOKUP("UD",'Informacion '!P:Q,2,FALSE),"")</f>
        <v>Unidad</v>
      </c>
      <c r="D4006" s="94">
        <v>14</v>
      </c>
      <c r="E4006" s="84">
        <v>1246</v>
      </c>
      <c r="F4006" s="83">
        <f t="shared" ca="1" si="172"/>
        <v>17444</v>
      </c>
    </row>
    <row r="4007" spans="1:10" ht="14.1" customHeight="1" x14ac:dyDescent="0.25">
      <c r="A4007" s="94" t="s">
        <v>2711</v>
      </c>
      <c r="B4007" s="82" t="str">
        <f ca="1">IFERROR(INDEX(UNSPSCDes,MATCH(INDIRECT(ADDRESS(ROW(),COLUMN()-1,4)),UNSPSCCode,0)),IF(INDIRECT(ADDRESS(ROW(),COLUMN()-1,4))="42295206","Unidades de cirugía endoscópica",""))</f>
        <v>Unidades de cirugía endoscópica</v>
      </c>
      <c r="C4007" s="95" t="str">
        <f>IFERROR(VLOOKUP("UD",'Informacion '!P:Q,2,FALSE),"")</f>
        <v>Unidad</v>
      </c>
      <c r="D4007" s="94">
        <v>16</v>
      </c>
      <c r="E4007" s="84">
        <v>11.89</v>
      </c>
      <c r="F4007" s="83">
        <f t="shared" ca="1" si="172"/>
        <v>190.24</v>
      </c>
    </row>
    <row r="4008" spans="1:10" ht="14.1" customHeight="1" x14ac:dyDescent="0.25">
      <c r="A4008" s="94" t="s">
        <v>3636</v>
      </c>
      <c r="B4008" s="82" t="str">
        <f ca="1">IFERROR(INDEX(UNSPSCDes,MATCH(INDIRECT(ADDRESS(ROW(),COLUMN()-1,4)),UNSPSCCode,0)),IF(INDIRECT(ADDRESS(ROW(),COLUMN()-1,4))="42271915","Accesorios de traqueotomía",""))</f>
        <v>Accesorios de traqueotomía</v>
      </c>
      <c r="C4008" s="95" t="str">
        <f>IFERROR(VLOOKUP("UD",'Informacion '!P:Q,2,FALSE),"")</f>
        <v>Unidad</v>
      </c>
      <c r="D4008" s="94">
        <v>3</v>
      </c>
      <c r="E4008" s="84">
        <v>4484</v>
      </c>
      <c r="F4008" s="83">
        <f t="shared" ca="1" si="172"/>
        <v>13452</v>
      </c>
    </row>
    <row r="4009" spans="1:10" ht="14.1" customHeight="1" x14ac:dyDescent="0.25">
      <c r="E4009" s="96" t="s">
        <v>7213</v>
      </c>
      <c r="F4009" s="87">
        <f ca="1">SUM(Table116[MONTO TOTAL ESTIMADO])</f>
        <v>1062708.9600000002</v>
      </c>
      <c r="H4009" s="39" t="str">
        <f>C3961</f>
        <v>Bienes</v>
      </c>
      <c r="I4009" s="39" t="str">
        <f>E3961</f>
        <v>No</v>
      </c>
      <c r="J4009" s="39" t="str">
        <f>D3961</f>
        <v>Compras Menores</v>
      </c>
    </row>
    <row r="4011" spans="1:10" ht="33.950000000000003" customHeight="1" x14ac:dyDescent="0.25">
      <c r="A4011" s="77" t="s">
        <v>17233</v>
      </c>
      <c r="B4011" s="77" t="s">
        <v>4237</v>
      </c>
      <c r="C4011" s="77" t="s">
        <v>4743</v>
      </c>
      <c r="D4011" s="77" t="s">
        <v>9891</v>
      </c>
      <c r="E4011" s="77" t="s">
        <v>3089</v>
      </c>
      <c r="F4011" s="77" t="s">
        <v>18141</v>
      </c>
    </row>
    <row r="4012" spans="1:10" ht="14.1" customHeight="1" x14ac:dyDescent="0.25">
      <c r="A4012" s="79" t="s">
        <v>8188</v>
      </c>
      <c r="B4012" s="79" t="s">
        <v>79</v>
      </c>
      <c r="C4012" s="79" t="s">
        <v>17215</v>
      </c>
      <c r="D4012" s="79" t="s">
        <v>17798</v>
      </c>
      <c r="E4012" s="79" t="s">
        <v>18247</v>
      </c>
      <c r="F4012" s="79"/>
    </row>
    <row r="4013" spans="1:10" ht="14.1" customHeight="1" x14ac:dyDescent="0.25">
      <c r="A4013" s="2" t="s">
        <v>6643</v>
      </c>
      <c r="B4013" s="80" t="s">
        <v>1046</v>
      </c>
      <c r="C4013" s="90">
        <v>43739</v>
      </c>
      <c r="D4013" s="2" t="s">
        <v>59</v>
      </c>
      <c r="E4013" s="92" t="s">
        <v>20066</v>
      </c>
      <c r="F4013" s="93"/>
    </row>
    <row r="4014" spans="1:10" ht="14.1" customHeight="1" x14ac:dyDescent="0.25">
      <c r="A4014" s="1"/>
      <c r="B4014" s="80" t="s">
        <v>10788</v>
      </c>
      <c r="C4014" s="91">
        <f>IF(C4013="","",IF(AND(MONTH(C4013)&gt;=1,MONTH(C4013)&lt;=3),1,IF(AND(MONTH(C4013)&gt;=4,MONTH(C4013)&lt;=6),2,IF(AND(MONTH(C4013)&gt;=7,MONTH(C4013)&lt;=9),3,4))))</f>
        <v>4</v>
      </c>
      <c r="D4014" s="1"/>
      <c r="E4014" s="92" t="s">
        <v>14822</v>
      </c>
      <c r="F4014" s="93"/>
    </row>
    <row r="4015" spans="1:10" ht="14.1" customHeight="1" x14ac:dyDescent="0.25">
      <c r="A4015" s="1"/>
      <c r="B4015" s="80" t="s">
        <v>13758</v>
      </c>
      <c r="C4015" s="90">
        <v>43830</v>
      </c>
      <c r="D4015" s="1"/>
      <c r="E4015" s="92" t="s">
        <v>18636</v>
      </c>
      <c r="F4015" s="93"/>
    </row>
    <row r="4016" spans="1:10" ht="14.1" customHeight="1" x14ac:dyDescent="0.25">
      <c r="A4016" s="1"/>
      <c r="B4016" s="80" t="s">
        <v>10788</v>
      </c>
      <c r="C4016" s="91">
        <f>IF(C4015="","",IF(AND(MONTH(C4015)&gt;=1,MONTH(C4015)&lt;=3),1,IF(AND(MONTH(C4015)&gt;=4,MONTH(C4015)&lt;=6),2,IF(AND(MONTH(C4015)&gt;=7,MONTH(C4015)&lt;=9),3,4))))</f>
        <v>4</v>
      </c>
      <c r="D4016" s="1"/>
      <c r="E4016" s="92" t="s">
        <v>15990</v>
      </c>
      <c r="F4016" s="93"/>
    </row>
    <row r="4018" spans="1:6" ht="14.1" customHeight="1" x14ac:dyDescent="0.25">
      <c r="A4018" s="85" t="s">
        <v>15474</v>
      </c>
      <c r="B4018" s="85" t="s">
        <v>5027</v>
      </c>
      <c r="C4018" s="85" t="s">
        <v>17461</v>
      </c>
      <c r="D4018" s="85" t="s">
        <v>3935</v>
      </c>
      <c r="E4018" s="85" t="s">
        <v>10722</v>
      </c>
      <c r="F4018" s="85" t="s">
        <v>18237</v>
      </c>
    </row>
    <row r="4019" spans="1:6" ht="14.1" customHeight="1" x14ac:dyDescent="0.25">
      <c r="A4019" s="94" t="s">
        <v>9475</v>
      </c>
      <c r="B4019" s="82" t="str">
        <f ca="1">IFERROR(INDEX(UNSPSCDes,MATCH(INDIRECT(ADDRESS(ROW(),COLUMN()-1,4)),UNSPSCCode,0)),IF(INDIRECT(ADDRESS(ROW(),COLUMN()-1,4))="42221503","Catéteres venosos centrales",""))</f>
        <v>Catéteres venosos centrales</v>
      </c>
      <c r="C4019" s="95" t="str">
        <f>IFERROR(VLOOKUP("UD",'Informacion '!P:Q,2,FALSE),"")</f>
        <v>Unidad</v>
      </c>
      <c r="D4019" s="94">
        <v>48</v>
      </c>
      <c r="E4019" s="84">
        <v>1952.87</v>
      </c>
      <c r="F4019" s="83">
        <f t="shared" ref="F4019:F4050" ca="1" si="174">INDIRECT(ADDRESS(ROW(),COLUMN()-2,4))*INDIRECT(ADDRESS(ROW(),COLUMN()-1,4))</f>
        <v>93737.76</v>
      </c>
    </row>
    <row r="4020" spans="1:6" ht="14.1" customHeight="1" x14ac:dyDescent="0.25">
      <c r="A4020" s="94" t="s">
        <v>18811</v>
      </c>
      <c r="B4020" s="82" t="str">
        <f t="shared" ref="B4020:B4025" ca="1" si="175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4020" s="95" t="str">
        <f>IFERROR(VLOOKUP("UD",'Informacion '!P:Q,2,FALSE),"")</f>
        <v>Unidad</v>
      </c>
      <c r="D4020" s="94">
        <v>47</v>
      </c>
      <c r="E4020" s="84">
        <v>23.58</v>
      </c>
      <c r="F4020" s="83">
        <f t="shared" ca="1" si="174"/>
        <v>1108.26</v>
      </c>
    </row>
    <row r="4021" spans="1:6" ht="14.1" customHeight="1" x14ac:dyDescent="0.25">
      <c r="A4021" s="94" t="s">
        <v>18811</v>
      </c>
      <c r="B4021" s="82" t="str">
        <f t="shared" ca="1" si="175"/>
        <v>Bandejas mayo para el canto o puestos mayo para uso quirúrgico o sus accesorios</v>
      </c>
      <c r="C4021" s="95" t="str">
        <f>IFERROR(VLOOKUP("UD",'Informacion '!P:Q,2,FALSE),"")</f>
        <v>Unidad</v>
      </c>
      <c r="D4021" s="94">
        <v>20</v>
      </c>
      <c r="E4021" s="84">
        <v>170.62</v>
      </c>
      <c r="F4021" s="83">
        <f t="shared" ca="1" si="174"/>
        <v>3412.4</v>
      </c>
    </row>
    <row r="4022" spans="1:6" ht="14.1" customHeight="1" x14ac:dyDescent="0.25">
      <c r="A4022" s="94" t="s">
        <v>18811</v>
      </c>
      <c r="B4022" s="82" t="str">
        <f t="shared" ca="1" si="175"/>
        <v>Bandejas mayo para el canto o puestos mayo para uso quirúrgico o sus accesorios</v>
      </c>
      <c r="C4022" s="95" t="str">
        <f>IFERROR(VLOOKUP("UD",'Informacion '!P:Q,2,FALSE),"")</f>
        <v>Unidad</v>
      </c>
      <c r="D4022" s="94">
        <v>30</v>
      </c>
      <c r="E4022" s="84">
        <v>167.45</v>
      </c>
      <c r="F4022" s="83">
        <f t="shared" ca="1" si="174"/>
        <v>5023.5</v>
      </c>
    </row>
    <row r="4023" spans="1:6" ht="14.1" customHeight="1" x14ac:dyDescent="0.25">
      <c r="A4023" s="94" t="s">
        <v>18811</v>
      </c>
      <c r="B4023" s="82" t="str">
        <f t="shared" ca="1" si="175"/>
        <v>Bandejas mayo para el canto o puestos mayo para uso quirúrgico o sus accesorios</v>
      </c>
      <c r="C4023" s="95" t="str">
        <f>IFERROR(VLOOKUP("UD",'Informacion '!P:Q,2,FALSE),"")</f>
        <v>Unidad</v>
      </c>
      <c r="D4023" s="94">
        <v>13</v>
      </c>
      <c r="E4023" s="84">
        <v>170.62</v>
      </c>
      <c r="F4023" s="83">
        <f t="shared" ca="1" si="174"/>
        <v>2218.06</v>
      </c>
    </row>
    <row r="4024" spans="1:6" ht="14.1" customHeight="1" x14ac:dyDescent="0.25">
      <c r="A4024" s="94" t="s">
        <v>18811</v>
      </c>
      <c r="B4024" s="82" t="str">
        <f t="shared" ca="1" si="175"/>
        <v>Bandejas mayo para el canto o puestos mayo para uso quirúrgico o sus accesorios</v>
      </c>
      <c r="C4024" s="95" t="str">
        <f>IFERROR(VLOOKUP("UD",'Informacion '!P:Q,2,FALSE),"")</f>
        <v>Unidad</v>
      </c>
      <c r="D4024" s="94">
        <v>28</v>
      </c>
      <c r="E4024" s="84">
        <v>167.45</v>
      </c>
      <c r="F4024" s="83">
        <f t="shared" ca="1" si="174"/>
        <v>4688.5999999999995</v>
      </c>
    </row>
    <row r="4025" spans="1:6" ht="14.1" customHeight="1" x14ac:dyDescent="0.25">
      <c r="A4025" s="94" t="s">
        <v>18811</v>
      </c>
      <c r="B4025" s="82" t="str">
        <f t="shared" ca="1" si="175"/>
        <v>Bandejas mayo para el canto o puestos mayo para uso quirúrgico o sus accesorios</v>
      </c>
      <c r="C4025" s="95" t="str">
        <f>IFERROR(VLOOKUP("UD",'Informacion '!P:Q,2,FALSE),"")</f>
        <v>Unidad</v>
      </c>
      <c r="D4025" s="94">
        <v>39</v>
      </c>
      <c r="E4025" s="84">
        <v>56.65</v>
      </c>
      <c r="F4025" s="83">
        <f t="shared" ca="1" si="174"/>
        <v>2209.35</v>
      </c>
    </row>
    <row r="4026" spans="1:6" ht="14.1" customHeight="1" x14ac:dyDescent="0.25">
      <c r="A4026" s="94" t="s">
        <v>10248</v>
      </c>
      <c r="B402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4026" s="95" t="str">
        <f>IFERROR(VLOOKUP("UD",'Informacion '!P:Q,2,FALSE),"")</f>
        <v>Unidad</v>
      </c>
      <c r="D4026" s="94">
        <v>391</v>
      </c>
      <c r="E4026" s="84">
        <v>20.059999999999999</v>
      </c>
      <c r="F4026" s="83">
        <f t="shared" ca="1" si="174"/>
        <v>7843.4599999999991</v>
      </c>
    </row>
    <row r="4027" spans="1:6" ht="14.1" customHeight="1" x14ac:dyDescent="0.25">
      <c r="A4027" s="94" t="s">
        <v>12824</v>
      </c>
      <c r="B402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27" s="95" t="str">
        <f>IFERROR(VLOOKUP("UD",'Informacion '!P:Q,2,FALSE),"")</f>
        <v>Unidad</v>
      </c>
      <c r="D4027" s="94">
        <v>498</v>
      </c>
      <c r="E4027" s="84">
        <v>33.75</v>
      </c>
      <c r="F4027" s="83">
        <f t="shared" ca="1" si="174"/>
        <v>16807.5</v>
      </c>
    </row>
    <row r="4028" spans="1:6" ht="14.1" customHeight="1" x14ac:dyDescent="0.25">
      <c r="A4028" s="94" t="s">
        <v>8742</v>
      </c>
      <c r="B4028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4028" s="95" t="str">
        <f>IFERROR(VLOOKUP("UD",'Informacion '!P:Q,2,FALSE),"")</f>
        <v>Unidad</v>
      </c>
      <c r="D4028" s="94">
        <v>4</v>
      </c>
      <c r="E4028" s="84">
        <v>848.28</v>
      </c>
      <c r="F4028" s="83">
        <f t="shared" ca="1" si="174"/>
        <v>3393.12</v>
      </c>
    </row>
    <row r="4029" spans="1:6" ht="14.1" customHeight="1" x14ac:dyDescent="0.25">
      <c r="A4029" s="94" t="s">
        <v>3767</v>
      </c>
      <c r="B4029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4029" s="95" t="str">
        <f>IFERROR(VLOOKUP("UD",'Informacion '!P:Q,2,FALSE),"")</f>
        <v>Unidad</v>
      </c>
      <c r="D4029" s="94">
        <v>705</v>
      </c>
      <c r="E4029" s="84">
        <v>17.87</v>
      </c>
      <c r="F4029" s="83">
        <f t="shared" ca="1" si="174"/>
        <v>12598.35</v>
      </c>
    </row>
    <row r="4030" spans="1:6" ht="14.1" customHeight="1" x14ac:dyDescent="0.25">
      <c r="A4030" s="94" t="s">
        <v>3767</v>
      </c>
      <c r="B403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4030" s="95" t="str">
        <f>IFERROR(VLOOKUP("UD",'Informacion '!P:Q,2,FALSE),"")</f>
        <v>Unidad</v>
      </c>
      <c r="D4030" s="94">
        <v>2133</v>
      </c>
      <c r="E4030" s="84">
        <v>22.09</v>
      </c>
      <c r="F4030" s="83">
        <f t="shared" ca="1" si="174"/>
        <v>47117.97</v>
      </c>
    </row>
    <row r="4031" spans="1:6" ht="14.1" customHeight="1" x14ac:dyDescent="0.25">
      <c r="A4031" s="94" t="s">
        <v>3767</v>
      </c>
      <c r="B4031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4031" s="95" t="str">
        <f>IFERROR(VLOOKUP("UD",'Informacion '!P:Q,2,FALSE),"")</f>
        <v>Unidad</v>
      </c>
      <c r="D4031" s="94">
        <v>2400</v>
      </c>
      <c r="E4031" s="84">
        <v>72</v>
      </c>
      <c r="F4031" s="83">
        <f t="shared" ca="1" si="174"/>
        <v>172800</v>
      </c>
    </row>
    <row r="4032" spans="1:6" ht="14.1" customHeight="1" x14ac:dyDescent="0.25">
      <c r="A4032" s="94" t="s">
        <v>18410</v>
      </c>
      <c r="B4032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4032" s="95" t="str">
        <f>IFERROR(VLOOKUP("UD",'Informacion '!P:Q,2,FALSE),"")</f>
        <v>Unidad</v>
      </c>
      <c r="D4032" s="94">
        <v>4</v>
      </c>
      <c r="E4032" s="84">
        <v>15031.87</v>
      </c>
      <c r="F4032" s="83">
        <f t="shared" ca="1" si="174"/>
        <v>60127.48</v>
      </c>
    </row>
    <row r="4033" spans="1:6" ht="14.1" customHeight="1" x14ac:dyDescent="0.25">
      <c r="A4033" s="94" t="s">
        <v>3767</v>
      </c>
      <c r="B4033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4033" s="95" t="str">
        <f>IFERROR(VLOOKUP("UD",'Informacion '!P:Q,2,FALSE),"")</f>
        <v>Unidad</v>
      </c>
      <c r="D4033" s="94">
        <v>57</v>
      </c>
      <c r="E4033" s="84">
        <v>45</v>
      </c>
      <c r="F4033" s="83">
        <f t="shared" ca="1" si="174"/>
        <v>2565</v>
      </c>
    </row>
    <row r="4034" spans="1:6" ht="14.1" customHeight="1" x14ac:dyDescent="0.25">
      <c r="A4034" s="94" t="s">
        <v>3767</v>
      </c>
      <c r="B4034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4034" s="95" t="str">
        <f>IFERROR(VLOOKUP("UD",'Informacion '!P:Q,2,FALSE),"")</f>
        <v>Unidad</v>
      </c>
      <c r="D4034" s="94">
        <v>4037</v>
      </c>
      <c r="E4034" s="84">
        <v>20.059999999999999</v>
      </c>
      <c r="F4034" s="83">
        <f t="shared" ca="1" si="174"/>
        <v>80982.22</v>
      </c>
    </row>
    <row r="4035" spans="1:6" ht="14.1" customHeight="1" x14ac:dyDescent="0.25">
      <c r="A4035" s="94" t="s">
        <v>12824</v>
      </c>
      <c r="B403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35" s="95" t="str">
        <f>IFERROR(VLOOKUP("UD",'Informacion '!P:Q,2,FALSE),"")</f>
        <v>Unidad</v>
      </c>
      <c r="D4035" s="94">
        <v>6</v>
      </c>
      <c r="E4035" s="84">
        <v>1153.49</v>
      </c>
      <c r="F4035" s="83">
        <f t="shared" ca="1" si="174"/>
        <v>6920.9400000000005</v>
      </c>
    </row>
    <row r="4036" spans="1:6" ht="14.1" customHeight="1" x14ac:dyDescent="0.25">
      <c r="A4036" s="94" t="s">
        <v>12824</v>
      </c>
      <c r="B403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36" s="95" t="str">
        <f>IFERROR(VLOOKUP("UD",'Informacion '!P:Q,2,FALSE),"")</f>
        <v>Unidad</v>
      </c>
      <c r="D4036" s="94">
        <v>12</v>
      </c>
      <c r="E4036" s="84">
        <v>1947</v>
      </c>
      <c r="F4036" s="83">
        <f t="shared" ca="1" si="174"/>
        <v>23364</v>
      </c>
    </row>
    <row r="4037" spans="1:6" ht="14.1" customHeight="1" x14ac:dyDescent="0.25">
      <c r="A4037" s="94" t="s">
        <v>10248</v>
      </c>
      <c r="B4037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4037" s="95" t="str">
        <f>IFERROR(VLOOKUP("UD",'Informacion '!P:Q,2,FALSE),"")</f>
        <v>Unidad</v>
      </c>
      <c r="D4037" s="94">
        <v>377</v>
      </c>
      <c r="E4037" s="84">
        <v>83.44</v>
      </c>
      <c r="F4037" s="83">
        <f t="shared" ca="1" si="174"/>
        <v>31456.879999999997</v>
      </c>
    </row>
    <row r="4038" spans="1:6" ht="14.1" customHeight="1" x14ac:dyDescent="0.25">
      <c r="A4038" s="94" t="s">
        <v>12824</v>
      </c>
      <c r="B403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38" s="95" t="str">
        <f>IFERROR(VLOOKUP("UD",'Informacion '!P:Q,2,FALSE),"")</f>
        <v>Unidad</v>
      </c>
      <c r="D4038" s="94">
        <v>8</v>
      </c>
      <c r="E4038" s="84">
        <v>19.37</v>
      </c>
      <c r="F4038" s="83">
        <f t="shared" ca="1" si="174"/>
        <v>154.96</v>
      </c>
    </row>
    <row r="4039" spans="1:6" ht="14.1" customHeight="1" x14ac:dyDescent="0.25">
      <c r="A4039" s="94" t="s">
        <v>12824</v>
      </c>
      <c r="B403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39" s="95" t="str">
        <f>IFERROR(VLOOKUP("UD",'Informacion '!P:Q,2,FALSE),"")</f>
        <v>Unidad</v>
      </c>
      <c r="D4039" s="94">
        <v>17</v>
      </c>
      <c r="E4039" s="84">
        <v>36.520000000000003</v>
      </c>
      <c r="F4039" s="83">
        <f t="shared" ca="1" si="174"/>
        <v>620.84</v>
      </c>
    </row>
    <row r="4040" spans="1:6" ht="14.1" customHeight="1" x14ac:dyDescent="0.25">
      <c r="A4040" s="94" t="s">
        <v>16391</v>
      </c>
      <c r="B4040" s="82" t="str">
        <f ca="1">IFERROR(INDEX(UNSPSCDes,MATCH(INDIRECT(ADDRESS(ROW(),COLUMN()-1,4)),UNSPSCCode,0)),IF(INDIRECT(ADDRESS(ROW(),COLUMN()-1,4))="42142615","Accesorios para jeringas",""))</f>
        <v>Accesorios para jeringas</v>
      </c>
      <c r="C4040" s="95" t="str">
        <f>IFERROR(VLOOKUP("UD",'Informacion '!P:Q,2,FALSE),"")</f>
        <v>Unidad</v>
      </c>
      <c r="D4040" s="94">
        <v>166</v>
      </c>
      <c r="E4040" s="84">
        <v>122</v>
      </c>
      <c r="F4040" s="83">
        <f t="shared" ca="1" si="174"/>
        <v>20252</v>
      </c>
    </row>
    <row r="4041" spans="1:6" ht="14.1" customHeight="1" x14ac:dyDescent="0.25">
      <c r="A4041" s="94" t="s">
        <v>12824</v>
      </c>
      <c r="B404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41" s="95" t="str">
        <f>IFERROR(VLOOKUP("UD",'Informacion '!P:Q,2,FALSE),"")</f>
        <v>Unidad</v>
      </c>
      <c r="D4041" s="94">
        <v>15</v>
      </c>
      <c r="E4041" s="84">
        <v>29.5</v>
      </c>
      <c r="F4041" s="83">
        <f t="shared" ca="1" si="174"/>
        <v>442.5</v>
      </c>
    </row>
    <row r="4042" spans="1:6" ht="14.1" customHeight="1" x14ac:dyDescent="0.25">
      <c r="A4042" s="94" t="s">
        <v>13621</v>
      </c>
      <c r="B4042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4042" s="95" t="str">
        <f>IFERROR(VLOOKUP("UD",'Informacion '!P:Q,2,FALSE),"")</f>
        <v>Unidad</v>
      </c>
      <c r="D4042" s="94">
        <v>53</v>
      </c>
      <c r="E4042" s="84">
        <v>2550</v>
      </c>
      <c r="F4042" s="83">
        <f t="shared" ca="1" si="174"/>
        <v>135150</v>
      </c>
    </row>
    <row r="4043" spans="1:6" ht="14.1" customHeight="1" x14ac:dyDescent="0.25">
      <c r="A4043" s="94" t="s">
        <v>9475</v>
      </c>
      <c r="B4043" s="82" t="str">
        <f ca="1">IFERROR(INDEX(UNSPSCDes,MATCH(INDIRECT(ADDRESS(ROW(),COLUMN()-1,4)),UNSPSCCode,0)),IF(INDIRECT(ADDRESS(ROW(),COLUMN()-1,4))="42221503","Catéteres venosos centrales",""))</f>
        <v>Catéteres venosos centrales</v>
      </c>
      <c r="C4043" s="95" t="str">
        <f>IFERROR(VLOOKUP("UD",'Informacion '!P:Q,2,FALSE),"")</f>
        <v>Unidad</v>
      </c>
      <c r="D4043" s="94">
        <v>31</v>
      </c>
      <c r="E4043" s="84">
        <v>1657</v>
      </c>
      <c r="F4043" s="83">
        <f t="shared" ca="1" si="174"/>
        <v>51367</v>
      </c>
    </row>
    <row r="4044" spans="1:6" ht="14.1" customHeight="1" x14ac:dyDescent="0.25">
      <c r="A4044" s="94" t="s">
        <v>12824</v>
      </c>
      <c r="B404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44" s="95" t="str">
        <f>IFERROR(VLOOKUP("UD",'Informacion '!P:Q,2,FALSE),"")</f>
        <v>Unidad</v>
      </c>
      <c r="D4044" s="94">
        <v>4</v>
      </c>
      <c r="E4044" s="84">
        <v>9.44</v>
      </c>
      <c r="F4044" s="83">
        <f t="shared" ca="1" si="174"/>
        <v>37.76</v>
      </c>
    </row>
    <row r="4045" spans="1:6" ht="14.1" customHeight="1" x14ac:dyDescent="0.25">
      <c r="A4045" s="94" t="s">
        <v>10483</v>
      </c>
      <c r="B4045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4045" s="95" t="str">
        <f>IFERROR(VLOOKUP("UD",'Informacion '!P:Q,2,FALSE),"")</f>
        <v>Unidad</v>
      </c>
      <c r="D4045" s="94">
        <v>8</v>
      </c>
      <c r="E4045" s="84">
        <v>4181.9799999999996</v>
      </c>
      <c r="F4045" s="83">
        <f t="shared" ca="1" si="174"/>
        <v>33455.839999999997</v>
      </c>
    </row>
    <row r="4046" spans="1:6" ht="14.1" customHeight="1" x14ac:dyDescent="0.25">
      <c r="A4046" s="94" t="s">
        <v>12824</v>
      </c>
      <c r="B404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46" s="95" t="str">
        <f>IFERROR(VLOOKUP("UD",'Informacion '!P:Q,2,FALSE),"")</f>
        <v>Unidad</v>
      </c>
      <c r="D4046" s="94">
        <v>8</v>
      </c>
      <c r="E4046" s="84">
        <v>4218.5</v>
      </c>
      <c r="F4046" s="83">
        <f t="shared" ca="1" si="174"/>
        <v>33748</v>
      </c>
    </row>
    <row r="4047" spans="1:6" ht="14.1" customHeight="1" x14ac:dyDescent="0.25">
      <c r="A4047" s="94" t="s">
        <v>10483</v>
      </c>
      <c r="B404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4047" s="95" t="str">
        <f>IFERROR(VLOOKUP("UD",'Informacion '!P:Q,2,FALSE),"")</f>
        <v>Unidad</v>
      </c>
      <c r="D4047" s="94">
        <v>12</v>
      </c>
      <c r="E4047" s="84">
        <v>4235.93</v>
      </c>
      <c r="F4047" s="83">
        <f t="shared" ca="1" si="174"/>
        <v>50831.16</v>
      </c>
    </row>
    <row r="4048" spans="1:6" ht="14.1" customHeight="1" x14ac:dyDescent="0.25">
      <c r="A4048" s="94" t="s">
        <v>13499</v>
      </c>
      <c r="B4048" s="82" t="str">
        <f ca="1">IFERROR(INDEX(UNSPSCDes,MATCH(INDIRECT(ADDRESS(ROW(),COLUMN()-1,4)),UNSPSCCode,0)),IF(INDIRECT(ADDRESS(ROW(),COLUMN()-1,4))="41104019","Colectores de muestras",""))</f>
        <v>Colectores de muestras</v>
      </c>
      <c r="C4048" s="95" t="str">
        <f>IFERROR(VLOOKUP("UD",'Informacion '!P:Q,2,FALSE),"")</f>
        <v>Unidad</v>
      </c>
      <c r="D4048" s="94">
        <v>5</v>
      </c>
      <c r="E4048" s="84">
        <v>422.55</v>
      </c>
      <c r="F4048" s="83">
        <f t="shared" ca="1" si="174"/>
        <v>2112.75</v>
      </c>
    </row>
    <row r="4049" spans="1:6" ht="14.1" customHeight="1" x14ac:dyDescent="0.25">
      <c r="A4049" s="94" t="s">
        <v>9475</v>
      </c>
      <c r="B4049" s="82" t="str">
        <f ca="1">IFERROR(INDEX(UNSPSCDes,MATCH(INDIRECT(ADDRESS(ROW(),COLUMN()-1,4)),UNSPSCCode,0)),IF(INDIRECT(ADDRESS(ROW(),COLUMN()-1,4))="42221503","Catéteres venosos centrales",""))</f>
        <v>Catéteres venosos centrales</v>
      </c>
      <c r="C4049" s="95" t="str">
        <f>IFERROR(VLOOKUP("UD",'Informacion '!P:Q,2,FALSE),"")</f>
        <v>Unidad</v>
      </c>
      <c r="D4049" s="94">
        <v>11</v>
      </c>
      <c r="E4049" s="84">
        <v>1699.2</v>
      </c>
      <c r="F4049" s="83">
        <f t="shared" ca="1" si="174"/>
        <v>18691.2</v>
      </c>
    </row>
    <row r="4050" spans="1:6" ht="14.1" customHeight="1" x14ac:dyDescent="0.25">
      <c r="A4050" s="94" t="s">
        <v>8459</v>
      </c>
      <c r="B4050" s="82" t="str">
        <f ca="1">IFERROR(INDEX(UNSPSCDes,MATCH(INDIRECT(ADDRESS(ROW(),COLUMN()-1,4)),UNSPSCCode,0)),IF(INDIRECT(ADDRESS(ROW(),COLUMN()-1,4))="42211503","Dispositivos de posicionamiento",""))</f>
        <v>Dispositivos de posicionamiento</v>
      </c>
      <c r="C4050" s="95" t="str">
        <f>IFERROR(VLOOKUP("UD",'Informacion '!P:Q,2,FALSE),"")</f>
        <v>Unidad</v>
      </c>
      <c r="D4050" s="94">
        <v>131</v>
      </c>
      <c r="E4050" s="84">
        <v>1699.2</v>
      </c>
      <c r="F4050" s="83">
        <f t="shared" ca="1" si="174"/>
        <v>222595.20000000001</v>
      </c>
    </row>
    <row r="4051" spans="1:6" ht="14.1" customHeight="1" x14ac:dyDescent="0.25">
      <c r="A4051" s="94" t="s">
        <v>3742</v>
      </c>
      <c r="B4051" s="82" t="str">
        <f ca="1">IFERROR(INDEX(UNSPSCDes,MATCH(INDIRECT(ADDRESS(ROW(),COLUMN()-1,4)),UNSPSCCode,0)),IF(INDIRECT(ADDRESS(ROW(),COLUMN()-1,4))="42271909","Accesorios de vías aéreas artificiales",""))</f>
        <v>Accesorios de vías aéreas artificiales</v>
      </c>
      <c r="C4051" s="95" t="str">
        <f>IFERROR(VLOOKUP("UD",'Informacion '!P:Q,2,FALSE),"")</f>
        <v>Unidad</v>
      </c>
      <c r="D4051" s="94">
        <v>25</v>
      </c>
      <c r="E4051" s="84">
        <v>5.48</v>
      </c>
      <c r="F4051" s="83">
        <f t="shared" ref="F4051:F4068" ca="1" si="176">INDIRECT(ADDRESS(ROW(),COLUMN()-2,4))*INDIRECT(ADDRESS(ROW(),COLUMN()-1,4))</f>
        <v>137</v>
      </c>
    </row>
    <row r="4052" spans="1:6" ht="14.1" customHeight="1" x14ac:dyDescent="0.25">
      <c r="A4052" s="94" t="s">
        <v>8742</v>
      </c>
      <c r="B4052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4052" s="95" t="str">
        <f>IFERROR(VLOOKUP("UD",'Informacion '!P:Q,2,FALSE),"")</f>
        <v>Unidad</v>
      </c>
      <c r="D4052" s="94">
        <v>7</v>
      </c>
      <c r="E4052" s="84">
        <v>68.09</v>
      </c>
      <c r="F4052" s="83">
        <f t="shared" ca="1" si="176"/>
        <v>476.63</v>
      </c>
    </row>
    <row r="4053" spans="1:6" ht="14.1" customHeight="1" x14ac:dyDescent="0.25">
      <c r="A4053" s="94" t="s">
        <v>18410</v>
      </c>
      <c r="B4053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4053" s="95" t="str">
        <f>IFERROR(VLOOKUP("UD",'Informacion '!P:Q,2,FALSE),"")</f>
        <v>Unidad</v>
      </c>
      <c r="D4053" s="94">
        <v>4</v>
      </c>
      <c r="E4053" s="84">
        <v>21574.26</v>
      </c>
      <c r="F4053" s="83">
        <f t="shared" ca="1" si="176"/>
        <v>86297.04</v>
      </c>
    </row>
    <row r="4054" spans="1:6" ht="14.1" customHeight="1" x14ac:dyDescent="0.25">
      <c r="A4054" s="94" t="s">
        <v>10045</v>
      </c>
      <c r="B4054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4054" s="95" t="str">
        <f>IFERROR(VLOOKUP("UD",'Informacion '!P:Q,2,FALSE),"")</f>
        <v>Unidad</v>
      </c>
      <c r="D4054" s="94">
        <v>5</v>
      </c>
      <c r="E4054" s="84">
        <v>537.98</v>
      </c>
      <c r="F4054" s="83">
        <f t="shared" ca="1" si="176"/>
        <v>2689.9</v>
      </c>
    </row>
    <row r="4055" spans="1:6" ht="14.1" customHeight="1" x14ac:dyDescent="0.25">
      <c r="A4055" s="94" t="s">
        <v>9475</v>
      </c>
      <c r="B4055" s="82" t="str">
        <f ca="1">IFERROR(INDEX(UNSPSCDes,MATCH(INDIRECT(ADDRESS(ROW(),COLUMN()-1,4)),UNSPSCCode,0)),IF(INDIRECT(ADDRESS(ROW(),COLUMN()-1,4))="42221503","Catéteres venosos centrales",""))</f>
        <v>Catéteres venosos centrales</v>
      </c>
      <c r="C4055" s="95" t="str">
        <f>IFERROR(VLOOKUP("UD",'Informacion '!P:Q,2,FALSE),"")</f>
        <v>Unidad</v>
      </c>
      <c r="D4055" s="94">
        <v>14</v>
      </c>
      <c r="E4055" s="84">
        <v>1635.26</v>
      </c>
      <c r="F4055" s="83">
        <f t="shared" ca="1" si="176"/>
        <v>22893.64</v>
      </c>
    </row>
    <row r="4056" spans="1:6" ht="14.1" customHeight="1" x14ac:dyDescent="0.25">
      <c r="A4056" s="94" t="s">
        <v>12824</v>
      </c>
      <c r="B405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56" s="95" t="str">
        <f>IFERROR(VLOOKUP("UD",'Informacion '!P:Q,2,FALSE),"")</f>
        <v>Unidad</v>
      </c>
      <c r="D4056" s="94">
        <v>11</v>
      </c>
      <c r="E4056" s="84">
        <v>1246.08</v>
      </c>
      <c r="F4056" s="83">
        <f t="shared" ca="1" si="176"/>
        <v>13706.88</v>
      </c>
    </row>
    <row r="4057" spans="1:6" ht="14.1" customHeight="1" x14ac:dyDescent="0.25">
      <c r="A4057" s="94" t="s">
        <v>12824</v>
      </c>
      <c r="B405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57" s="95" t="str">
        <f>IFERROR(VLOOKUP("UD",'Informacion '!P:Q,2,FALSE),"")</f>
        <v>Unidad</v>
      </c>
      <c r="D4057" s="94">
        <v>25</v>
      </c>
      <c r="E4057" s="84">
        <v>1947</v>
      </c>
      <c r="F4057" s="83">
        <f t="shared" ca="1" si="176"/>
        <v>48675</v>
      </c>
    </row>
    <row r="4058" spans="1:6" ht="14.1" customHeight="1" x14ac:dyDescent="0.25">
      <c r="A4058" s="94" t="s">
        <v>2711</v>
      </c>
      <c r="B4058" s="82" t="str">
        <f ca="1">IFERROR(INDEX(UNSPSCDes,MATCH(INDIRECT(ADDRESS(ROW(),COLUMN()-1,4)),UNSPSCCode,0)),IF(INDIRECT(ADDRESS(ROW(),COLUMN()-1,4))="42295206","Unidades de cirugía endoscópica",""))</f>
        <v>Unidades de cirugía endoscópica</v>
      </c>
      <c r="C4058" s="95" t="str">
        <f>IFERROR(VLOOKUP("UD",'Informacion '!P:Q,2,FALSE),"")</f>
        <v>Unidad</v>
      </c>
      <c r="D4058" s="94">
        <v>18</v>
      </c>
      <c r="E4058" s="84">
        <v>11.89</v>
      </c>
      <c r="F4058" s="83">
        <f t="shared" ca="1" si="176"/>
        <v>214.02</v>
      </c>
    </row>
    <row r="4059" spans="1:6" ht="14.1" customHeight="1" x14ac:dyDescent="0.25">
      <c r="A4059" s="94" t="s">
        <v>3636</v>
      </c>
      <c r="B4059" s="82" t="str">
        <f ca="1">IFERROR(INDEX(UNSPSCDes,MATCH(INDIRECT(ADDRESS(ROW(),COLUMN()-1,4)),UNSPSCCode,0)),IF(INDIRECT(ADDRESS(ROW(),COLUMN()-1,4))="42271915","Accesorios de traqueotomía",""))</f>
        <v>Accesorios de traqueotomía</v>
      </c>
      <c r="C4059" s="95" t="str">
        <f>IFERROR(VLOOKUP("UD",'Informacion '!P:Q,2,FALSE),"")</f>
        <v>Unidad</v>
      </c>
      <c r="D4059" s="94">
        <v>4</v>
      </c>
      <c r="E4059" s="84">
        <v>4484</v>
      </c>
      <c r="F4059" s="83">
        <f t="shared" ca="1" si="176"/>
        <v>17936</v>
      </c>
    </row>
    <row r="4060" spans="1:6" ht="14.1" customHeight="1" x14ac:dyDescent="0.25">
      <c r="A4060" s="94" t="s">
        <v>3767</v>
      </c>
      <c r="B406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4060" s="95" t="str">
        <f>IFERROR(VLOOKUP("UD",'Informacion '!P:Q,2,FALSE),"")</f>
        <v>Unidad</v>
      </c>
      <c r="D4060" s="94">
        <v>511</v>
      </c>
      <c r="E4060" s="84">
        <v>45</v>
      </c>
      <c r="F4060" s="83">
        <f t="shared" ca="1" si="176"/>
        <v>22995</v>
      </c>
    </row>
    <row r="4061" spans="1:6" ht="14.1" customHeight="1" x14ac:dyDescent="0.25">
      <c r="A4061" s="94" t="s">
        <v>12824</v>
      </c>
      <c r="B406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61" s="95" t="str">
        <f>IFERROR(VLOOKUP("UD",'Informacion '!P:Q,2,FALSE),"")</f>
        <v>Unidad</v>
      </c>
      <c r="D4061" s="94">
        <v>27</v>
      </c>
      <c r="E4061" s="84">
        <v>110</v>
      </c>
      <c r="F4061" s="83">
        <f t="shared" ca="1" si="176"/>
        <v>2970</v>
      </c>
    </row>
    <row r="4062" spans="1:6" ht="14.1" customHeight="1" x14ac:dyDescent="0.25">
      <c r="A4062" s="94" t="s">
        <v>12824</v>
      </c>
      <c r="B406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62" s="95" t="str">
        <f>IFERROR(VLOOKUP("UD",'Informacion '!P:Q,2,FALSE),"")</f>
        <v>Unidad</v>
      </c>
      <c r="D4062" s="94">
        <v>118</v>
      </c>
      <c r="E4062" s="84">
        <v>51.92</v>
      </c>
      <c r="F4062" s="83">
        <f t="shared" ca="1" si="176"/>
        <v>6126.56</v>
      </c>
    </row>
    <row r="4063" spans="1:6" ht="14.1" customHeight="1" x14ac:dyDescent="0.25">
      <c r="A4063" s="94" t="s">
        <v>10045</v>
      </c>
      <c r="B4063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4063" s="95" t="str">
        <f>IFERROR(VLOOKUP("UD",'Informacion '!P:Q,2,FALSE),"")</f>
        <v>Unidad</v>
      </c>
      <c r="D4063" s="94">
        <v>17</v>
      </c>
      <c r="E4063" s="84">
        <v>980.58</v>
      </c>
      <c r="F4063" s="83">
        <f t="shared" ca="1" si="176"/>
        <v>16669.86</v>
      </c>
    </row>
    <row r="4064" spans="1:6" ht="14.1" customHeight="1" x14ac:dyDescent="0.25">
      <c r="A4064" s="94" t="s">
        <v>10045</v>
      </c>
      <c r="B4064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4064" s="95" t="str">
        <f>IFERROR(VLOOKUP("UD",'Informacion '!P:Q,2,FALSE),"")</f>
        <v>Unidad</v>
      </c>
      <c r="D4064" s="94">
        <v>11</v>
      </c>
      <c r="E4064" s="84">
        <v>478.91</v>
      </c>
      <c r="F4064" s="83">
        <f t="shared" ca="1" si="176"/>
        <v>5268.01</v>
      </c>
    </row>
    <row r="4065" spans="1:10" ht="14.1" customHeight="1" x14ac:dyDescent="0.25">
      <c r="A4065" s="94" t="s">
        <v>13621</v>
      </c>
      <c r="B4065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4065" s="95" t="str">
        <f>IFERROR(VLOOKUP("UD",'Informacion '!P:Q,2,FALSE),"")</f>
        <v>Unidad</v>
      </c>
      <c r="D4065" s="94">
        <v>34</v>
      </c>
      <c r="E4065" s="84">
        <v>3129</v>
      </c>
      <c r="F4065" s="83">
        <f t="shared" ca="1" si="176"/>
        <v>106386</v>
      </c>
    </row>
    <row r="4066" spans="1:10" ht="14.1" customHeight="1" x14ac:dyDescent="0.25">
      <c r="A4066" s="94" t="s">
        <v>12824</v>
      </c>
      <c r="B406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66" s="95" t="str">
        <f>IFERROR(VLOOKUP("UD",'Informacion '!P:Q,2,FALSE),"")</f>
        <v>Unidad</v>
      </c>
      <c r="D4066" s="94">
        <v>232</v>
      </c>
      <c r="E4066" s="84">
        <v>33.75</v>
      </c>
      <c r="F4066" s="83">
        <f t="shared" ca="1" si="176"/>
        <v>7830</v>
      </c>
    </row>
    <row r="4067" spans="1:10" ht="14.1" customHeight="1" x14ac:dyDescent="0.25">
      <c r="A4067" s="94" t="s">
        <v>3742</v>
      </c>
      <c r="B4067" s="82" t="str">
        <f ca="1">IFERROR(INDEX(UNSPSCDes,MATCH(INDIRECT(ADDRESS(ROW(),COLUMN()-1,4)),UNSPSCCode,0)),IF(INDIRECT(ADDRESS(ROW(),COLUMN()-1,4))="42271909","Accesorios de vías aéreas artificiales",""))</f>
        <v>Accesorios de vías aéreas artificiales</v>
      </c>
      <c r="C4067" s="95" t="str">
        <f>IFERROR(VLOOKUP("UD",'Informacion '!P:Q,2,FALSE),"")</f>
        <v>Unidad</v>
      </c>
      <c r="D4067" s="94">
        <v>104</v>
      </c>
      <c r="E4067" s="84">
        <v>71.98</v>
      </c>
      <c r="F4067" s="83">
        <f t="shared" ca="1" si="176"/>
        <v>7485.92</v>
      </c>
    </row>
    <row r="4068" spans="1:10" ht="14.1" customHeight="1" x14ac:dyDescent="0.25">
      <c r="A4068" s="94" t="s">
        <v>12824</v>
      </c>
      <c r="B406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4068" s="95" t="str">
        <f>IFERROR(VLOOKUP("UD",'Informacion '!P:Q,2,FALSE),"")</f>
        <v>Unidad</v>
      </c>
      <c r="D4068" s="94">
        <v>52</v>
      </c>
      <c r="E4068" s="84">
        <v>37.58</v>
      </c>
      <c r="F4068" s="83">
        <f t="shared" ca="1" si="176"/>
        <v>1954.1599999999999</v>
      </c>
    </row>
    <row r="4069" spans="1:10" ht="14.1" customHeight="1" x14ac:dyDescent="0.25">
      <c r="E4069" s="96" t="s">
        <v>7213</v>
      </c>
      <c r="F4069" s="87">
        <f ca="1">SUM(Table117[MONTO TOTAL ESTIMADO])</f>
        <v>1518545.6799999995</v>
      </c>
      <c r="H4069" s="39" t="str">
        <f>C4012</f>
        <v>Bienes</v>
      </c>
      <c r="I4069" s="39" t="str">
        <f>E4012</f>
        <v>No</v>
      </c>
      <c r="J4069" s="39" t="str">
        <f>D4012</f>
        <v>Compras Menores</v>
      </c>
    </row>
    <row r="4071" spans="1:10" ht="33.950000000000003" customHeight="1" x14ac:dyDescent="0.25">
      <c r="A4071" s="77" t="s">
        <v>17233</v>
      </c>
      <c r="B4071" s="77" t="s">
        <v>4237</v>
      </c>
      <c r="C4071" s="77" t="s">
        <v>4743</v>
      </c>
      <c r="D4071" s="77" t="s">
        <v>9891</v>
      </c>
      <c r="E4071" s="77" t="s">
        <v>3089</v>
      </c>
      <c r="F4071" s="77" t="s">
        <v>18141</v>
      </c>
    </row>
    <row r="4072" spans="1:10" ht="14.1" customHeight="1" x14ac:dyDescent="0.25">
      <c r="A4072" s="79" t="s">
        <v>17333</v>
      </c>
      <c r="B4072" s="79" t="s">
        <v>13412</v>
      </c>
      <c r="C4072" s="79" t="s">
        <v>17215</v>
      </c>
      <c r="D4072" s="79" t="s">
        <v>15249</v>
      </c>
      <c r="E4072" s="79" t="s">
        <v>18247</v>
      </c>
      <c r="F4072" s="79"/>
    </row>
    <row r="4073" spans="1:10" ht="14.1" customHeight="1" x14ac:dyDescent="0.25">
      <c r="A4073" s="2" t="s">
        <v>6643</v>
      </c>
      <c r="B4073" s="80" t="s">
        <v>1046</v>
      </c>
      <c r="C4073" s="90">
        <v>43556</v>
      </c>
      <c r="D4073" s="2" t="s">
        <v>59</v>
      </c>
      <c r="E4073" s="92" t="s">
        <v>20066</v>
      </c>
      <c r="F4073" s="93"/>
    </row>
    <row r="4074" spans="1:10" ht="14.1" customHeight="1" x14ac:dyDescent="0.25">
      <c r="A4074" s="1"/>
      <c r="B4074" s="80" t="s">
        <v>10788</v>
      </c>
      <c r="C4074" s="91">
        <f>IF(C4073="","",IF(AND(MONTH(C4073)&gt;=1,MONTH(C4073)&lt;=3),1,IF(AND(MONTH(C4073)&gt;=4,MONTH(C4073)&lt;=6),2,IF(AND(MONTH(C4073)&gt;=7,MONTH(C4073)&lt;=9),3,4))))</f>
        <v>2</v>
      </c>
      <c r="D4074" s="1"/>
      <c r="E4074" s="92" t="s">
        <v>14822</v>
      </c>
      <c r="F4074" s="93"/>
    </row>
    <row r="4075" spans="1:10" ht="14.1" customHeight="1" x14ac:dyDescent="0.25">
      <c r="A4075" s="1"/>
      <c r="B4075" s="80" t="s">
        <v>13758</v>
      </c>
      <c r="C4075" s="90">
        <v>43644</v>
      </c>
      <c r="D4075" s="1"/>
      <c r="E4075" s="92" t="s">
        <v>18636</v>
      </c>
      <c r="F4075" s="93"/>
    </row>
    <row r="4076" spans="1:10" ht="14.1" customHeight="1" x14ac:dyDescent="0.25">
      <c r="A4076" s="1"/>
      <c r="B4076" s="80" t="s">
        <v>10788</v>
      </c>
      <c r="C4076" s="91">
        <f>IF(C4075="","",IF(AND(MONTH(C4075)&gt;=1,MONTH(C4075)&lt;=3),1,IF(AND(MONTH(C4075)&gt;=4,MONTH(C4075)&lt;=6),2,IF(AND(MONTH(C4075)&gt;=7,MONTH(C4075)&lt;=9),3,4))))</f>
        <v>2</v>
      </c>
      <c r="D4076" s="1"/>
      <c r="E4076" s="92" t="s">
        <v>15990</v>
      </c>
      <c r="F4076" s="93"/>
    </row>
    <row r="4078" spans="1:10" ht="14.1" customHeight="1" x14ac:dyDescent="0.25">
      <c r="A4078" s="85" t="s">
        <v>15474</v>
      </c>
      <c r="B4078" s="85" t="s">
        <v>5027</v>
      </c>
      <c r="C4078" s="85" t="s">
        <v>17461</v>
      </c>
      <c r="D4078" s="85" t="s">
        <v>3935</v>
      </c>
      <c r="E4078" s="85" t="s">
        <v>10722</v>
      </c>
      <c r="F4078" s="85" t="s">
        <v>18237</v>
      </c>
    </row>
    <row r="4079" spans="1:10" ht="14.1" customHeight="1" x14ac:dyDescent="0.25">
      <c r="A4079" s="94" t="s">
        <v>14630</v>
      </c>
      <c r="B4079" s="82" t="str">
        <f ca="1">IFERROR(INDEX(UNSPSCDes,MATCH(INDIRECT(ADDRESS(ROW(),COLUMN()-1,4)),UNSPSCCode,0)),IF(INDIRECT(ADDRESS(ROW(),COLUMN()-1,4))="60121124","Papel kraft",""))</f>
        <v>Papel kraft</v>
      </c>
      <c r="C4079" s="95" t="str">
        <f>IFERROR(VLOOKUP("UD",'Informacion '!P:Q,2,FALSE),"")</f>
        <v>Unidad</v>
      </c>
      <c r="D4079" s="94">
        <v>40</v>
      </c>
      <c r="E4079" s="84">
        <v>1040</v>
      </c>
      <c r="F4079" s="83">
        <f t="shared" ref="F4079:F4106" ca="1" si="177">INDIRECT(ADDRESS(ROW(),COLUMN()-2,4))*INDIRECT(ADDRESS(ROW(),COLUMN()-1,4))</f>
        <v>41600</v>
      </c>
    </row>
    <row r="4080" spans="1:10" ht="14.1" customHeight="1" x14ac:dyDescent="0.25">
      <c r="A4080" s="94" t="s">
        <v>14630</v>
      </c>
      <c r="B4080" s="82" t="str">
        <f ca="1">IFERROR(INDEX(UNSPSCDes,MATCH(INDIRECT(ADDRESS(ROW(),COLUMN()-1,4)),UNSPSCCode,0)),IF(INDIRECT(ADDRESS(ROW(),COLUMN()-1,4))="60121124","Papel kraft",""))</f>
        <v>Papel kraft</v>
      </c>
      <c r="C4080" s="95" t="str">
        <f>IFERROR(VLOOKUP("UD",'Informacion '!P:Q,2,FALSE),"")</f>
        <v>Unidad</v>
      </c>
      <c r="D4080" s="94">
        <v>26</v>
      </c>
      <c r="E4080" s="84">
        <v>247</v>
      </c>
      <c r="F4080" s="83">
        <f t="shared" ca="1" si="177"/>
        <v>6422</v>
      </c>
    </row>
    <row r="4081" spans="1:6" ht="14.1" customHeight="1" x14ac:dyDescent="0.25">
      <c r="A4081" s="94" t="s">
        <v>1868</v>
      </c>
      <c r="B4081" s="82" t="str">
        <f ca="1">IFERROR(INDEX(UNSPSCDes,MATCH(INDIRECT(ADDRESS(ROW(),COLUMN()-1,4)),UNSPSCCode,0)),IF(INDIRECT(ADDRESS(ROW(),COLUMN()-1,4))="14111601","Papel o bolsas o cajas de regalo",""))</f>
        <v>Papel o bolsas o cajas de regalo</v>
      </c>
      <c r="C4081" s="95" t="str">
        <f>IFERROR(VLOOKUP("UD",'Informacion '!P:Q,2,FALSE),"")</f>
        <v>Unidad</v>
      </c>
      <c r="D4081" s="94">
        <v>54</v>
      </c>
      <c r="E4081" s="84">
        <v>434</v>
      </c>
      <c r="F4081" s="83">
        <f t="shared" ca="1" si="177"/>
        <v>23436</v>
      </c>
    </row>
    <row r="4082" spans="1:6" ht="14.1" customHeight="1" x14ac:dyDescent="0.25">
      <c r="A4082" s="94" t="s">
        <v>16955</v>
      </c>
      <c r="B4082" s="82" t="str">
        <f ca="1">IFERROR(INDEX(UNSPSCDes,MATCH(INDIRECT(ADDRESS(ROW(),COLUMN()-1,4)),UNSPSCCode,0)),IF(INDIRECT(ADDRESS(ROW(),COLUMN()-1,4))="11101705","Aluminio",""))</f>
        <v>Aluminio</v>
      </c>
      <c r="C4082" s="95" t="str">
        <f>IFERROR(VLOOKUP("UD",'Informacion '!P:Q,2,FALSE),"")</f>
        <v>Unidad</v>
      </c>
      <c r="D4082" s="94">
        <v>26</v>
      </c>
      <c r="E4082" s="84">
        <v>225</v>
      </c>
      <c r="F4082" s="83">
        <f t="shared" ca="1" si="177"/>
        <v>5850</v>
      </c>
    </row>
    <row r="4083" spans="1:6" ht="14.1" customHeight="1" x14ac:dyDescent="0.25">
      <c r="A4083" s="94" t="s">
        <v>11163</v>
      </c>
      <c r="B4083" s="82" t="str">
        <f ca="1">IFERROR(INDEX(UNSPSCDes,MATCH(INDIRECT(ADDRESS(ROW(),COLUMN()-1,4)),UNSPSCCode,0)),IF(INDIRECT(ADDRESS(ROW(),COLUMN()-1,4))="14111705","Servilletas de papel",""))</f>
        <v>Servilletas de papel</v>
      </c>
      <c r="C4083" s="95" t="str">
        <f>IFERROR(VLOOKUP("PAQ",'Informacion '!P:Q,2,FALSE),"")</f>
        <v>Paquete</v>
      </c>
      <c r="D4083" s="94">
        <v>320</v>
      </c>
      <c r="E4083" s="84">
        <v>95</v>
      </c>
      <c r="F4083" s="83">
        <f t="shared" ca="1" si="177"/>
        <v>30400</v>
      </c>
    </row>
    <row r="4084" spans="1:6" ht="14.1" customHeight="1" x14ac:dyDescent="0.25">
      <c r="A4084" s="94" t="s">
        <v>17228</v>
      </c>
      <c r="B4084" s="82" t="str">
        <f ca="1">IFERROR(INDEX(UNSPSCDes,MATCH(INDIRECT(ADDRESS(ROW(),COLUMN()-1,4)),UNSPSCCode,0)),IF(INDIRECT(ADDRESS(ROW(),COLUMN()-1,4))="23181801","Equipo y suministros para elaboración de café",""))</f>
        <v>Equipo y suministros para elaboración de café</v>
      </c>
      <c r="C4084" s="95" t="str">
        <f>IFERROR(VLOOKUP("UD",'Informacion '!P:Q,2,FALSE),"")</f>
        <v>Unidad</v>
      </c>
      <c r="D4084" s="94">
        <v>5</v>
      </c>
      <c r="E4084" s="84">
        <v>1300</v>
      </c>
      <c r="F4084" s="83">
        <f t="shared" ca="1" si="177"/>
        <v>6500</v>
      </c>
    </row>
    <row r="4085" spans="1:6" ht="14.1" customHeight="1" x14ac:dyDescent="0.25">
      <c r="A4085" s="94" t="s">
        <v>18495</v>
      </c>
      <c r="B4085" s="82" t="str">
        <f ca="1">IFERROR(INDEX(UNSPSCDes,MATCH(INDIRECT(ADDRESS(ROW(),COLUMN()-1,4)),UNSPSCCode,0)),IF(INDIRECT(ADDRESS(ROW(),COLUMN()-1,4))="52151636","Palas o cucharas para alimentos para uso doméstico",""))</f>
        <v>Palas o cucharas para alimentos para uso doméstico</v>
      </c>
      <c r="C4085" s="95" t="str">
        <f>IFERROR(VLOOKUP("UD",'Informacion '!P:Q,2,FALSE),"")</f>
        <v>Unidad</v>
      </c>
      <c r="D4085" s="94">
        <v>4</v>
      </c>
      <c r="E4085" s="84">
        <v>230</v>
      </c>
      <c r="F4085" s="83">
        <f t="shared" ca="1" si="177"/>
        <v>920</v>
      </c>
    </row>
    <row r="4086" spans="1:6" ht="14.1" customHeight="1" x14ac:dyDescent="0.25">
      <c r="A4086" s="94" t="s">
        <v>19995</v>
      </c>
      <c r="B4086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4086" s="95" t="str">
        <f>IFERROR(VLOOKUP("UD",'Informacion '!P:Q,2,FALSE),"")</f>
        <v>Unidad</v>
      </c>
      <c r="D4086" s="94">
        <v>2</v>
      </c>
      <c r="E4086" s="84">
        <v>1500</v>
      </c>
      <c r="F4086" s="83">
        <f t="shared" ca="1" si="177"/>
        <v>3000</v>
      </c>
    </row>
    <row r="4087" spans="1:6" ht="14.1" customHeight="1" x14ac:dyDescent="0.25">
      <c r="A4087" s="94" t="s">
        <v>19995</v>
      </c>
      <c r="B4087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4087" s="95" t="str">
        <f>IFERROR(VLOOKUP("UD",'Informacion '!P:Q,2,FALSE),"")</f>
        <v>Unidad</v>
      </c>
      <c r="D4087" s="94">
        <v>2</v>
      </c>
      <c r="E4087" s="84">
        <v>2200</v>
      </c>
      <c r="F4087" s="83">
        <f t="shared" ca="1" si="177"/>
        <v>4400</v>
      </c>
    </row>
    <row r="4088" spans="1:6" ht="14.1" customHeight="1" x14ac:dyDescent="0.25">
      <c r="A4088" s="94" t="s">
        <v>17008</v>
      </c>
      <c r="B4088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4088" s="95" t="str">
        <f>IFERROR(VLOOKUP("UD",'Informacion '!P:Q,2,FALSE),"")</f>
        <v>Unidad</v>
      </c>
      <c r="D4088" s="94">
        <v>12</v>
      </c>
      <c r="E4088" s="84">
        <v>85</v>
      </c>
      <c r="F4088" s="83">
        <f t="shared" ca="1" si="177"/>
        <v>1020</v>
      </c>
    </row>
    <row r="4089" spans="1:6" ht="14.1" customHeight="1" x14ac:dyDescent="0.25">
      <c r="A4089" s="94" t="s">
        <v>2760</v>
      </c>
      <c r="B4089" s="82" t="str">
        <f ca="1">IFERROR(INDEX(UNSPSCDes,MATCH(INDIRECT(ADDRESS(ROW(),COLUMN()-1,4)),UNSPSCCode,0)),IF(INDIRECT(ADDRESS(ROW(),COLUMN()-1,4))="12131707","Encendedores",""))</f>
        <v>Encendedores</v>
      </c>
      <c r="C4089" s="95" t="str">
        <f>IFERROR(VLOOKUP("UD",'Informacion '!P:Q,2,FALSE),"")</f>
        <v>Unidad</v>
      </c>
      <c r="D4089" s="94">
        <v>24</v>
      </c>
      <c r="E4089" s="84">
        <v>96</v>
      </c>
      <c r="F4089" s="83">
        <f t="shared" ca="1" si="177"/>
        <v>2304</v>
      </c>
    </row>
    <row r="4090" spans="1:6" ht="14.1" customHeight="1" x14ac:dyDescent="0.25">
      <c r="A4090" s="94" t="s">
        <v>9149</v>
      </c>
      <c r="B4090" s="82" t="str">
        <f ca="1">IFERROR(INDEX(UNSPSCDes,MATCH(INDIRECT(ADDRESS(ROW(),COLUMN()-1,4)),UNSPSCCode,0)),IF(INDIRECT(ADDRESS(ROW(),COLUMN()-1,4))="12131706","Fósforos",""))</f>
        <v>Fósforos</v>
      </c>
      <c r="C4090" s="95" t="str">
        <f>IFERROR(VLOOKUP("UD",'Informacion '!P:Q,2,FALSE),"")</f>
        <v>Unidad</v>
      </c>
      <c r="D4090" s="94">
        <v>12</v>
      </c>
      <c r="E4090" s="84">
        <v>50</v>
      </c>
      <c r="F4090" s="83">
        <f t="shared" ca="1" si="177"/>
        <v>600</v>
      </c>
    </row>
    <row r="4091" spans="1:6" ht="14.1" customHeight="1" x14ac:dyDescent="0.25">
      <c r="A4091" s="94" t="s">
        <v>17008</v>
      </c>
      <c r="B4091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4091" s="95" t="str">
        <f>IFERROR(VLOOKUP("UD",'Informacion '!P:Q,2,FALSE),"")</f>
        <v>Unidad</v>
      </c>
      <c r="D4091" s="94">
        <v>5</v>
      </c>
      <c r="E4091" s="84">
        <v>20</v>
      </c>
      <c r="F4091" s="83">
        <f t="shared" ca="1" si="177"/>
        <v>100</v>
      </c>
    </row>
    <row r="4092" spans="1:6" ht="14.1" customHeight="1" x14ac:dyDescent="0.25">
      <c r="A4092" s="94" t="s">
        <v>11495</v>
      </c>
      <c r="B4092" s="82" t="str">
        <f ca="1">IFERROR(INDEX(UNSPSCDes,MATCH(INDIRECT(ADDRESS(ROW(),COLUMN()-1,4)),UNSPSCCode,0)),IF(INDIRECT(ADDRESS(ROW(),COLUMN()-1,4))="52151905","Bandejas de horno para uso doméstico",""))</f>
        <v>Bandejas de horno para uso doméstico</v>
      </c>
      <c r="C4092" s="95" t="str">
        <f>IFERROR(VLOOKUP("UD",'Informacion '!P:Q,2,FALSE),"")</f>
        <v>Unidad</v>
      </c>
      <c r="D4092" s="94">
        <v>5</v>
      </c>
      <c r="E4092" s="84">
        <v>20</v>
      </c>
      <c r="F4092" s="83">
        <f t="shared" ca="1" si="177"/>
        <v>100</v>
      </c>
    </row>
    <row r="4093" spans="1:6" ht="14.1" customHeight="1" x14ac:dyDescent="0.25">
      <c r="A4093" s="94" t="s">
        <v>1274</v>
      </c>
      <c r="B4093" s="82" t="str">
        <f t="shared" ref="B4093:B4099" ca="1" si="178">IFERROR(INDEX(UNSPSCDes,MATCH(INDIRECT(ADDRESS(ROW(),COLUMN()-1,4)),UNSPSCCode,0)),IF(INDIRECT(ADDRESS(ROW(),COLUMN()-1,4))="52152102","Vasos para beber para uso doméstico",""))</f>
        <v>Vasos para beber para uso doméstico</v>
      </c>
      <c r="C4093" s="95" t="str">
        <f>IFERROR(VLOOKUP("PAQ",'Informacion '!P:Q,2,FALSE),"")</f>
        <v>Paquete</v>
      </c>
      <c r="D4093" s="94">
        <v>320</v>
      </c>
      <c r="E4093" s="84">
        <v>113</v>
      </c>
      <c r="F4093" s="83">
        <f t="shared" ca="1" si="177"/>
        <v>36160</v>
      </c>
    </row>
    <row r="4094" spans="1:6" ht="14.1" customHeight="1" x14ac:dyDescent="0.25">
      <c r="A4094" s="94" t="s">
        <v>1274</v>
      </c>
      <c r="B4094" s="82" t="str">
        <f t="shared" ca="1" si="178"/>
        <v>Vasos para beber para uso doméstico</v>
      </c>
      <c r="C4094" s="95" t="str">
        <f>IFERROR(VLOOKUP("CAJ",'Informacion '!P:Q,2,FALSE),"")</f>
        <v>Caja</v>
      </c>
      <c r="D4094" s="94">
        <v>25</v>
      </c>
      <c r="E4094" s="84">
        <v>2955.9</v>
      </c>
      <c r="F4094" s="83">
        <f t="shared" ca="1" si="177"/>
        <v>73897.5</v>
      </c>
    </row>
    <row r="4095" spans="1:6" ht="14.1" customHeight="1" x14ac:dyDescent="0.25">
      <c r="A4095" s="94" t="s">
        <v>1274</v>
      </c>
      <c r="B4095" s="82" t="str">
        <f t="shared" ca="1" si="178"/>
        <v>Vasos para beber para uso doméstico</v>
      </c>
      <c r="C4095" s="95" t="str">
        <f>IFERROR(VLOOKUP("CAJ",'Informacion '!P:Q,2,FALSE),"")</f>
        <v>Caja</v>
      </c>
      <c r="D4095" s="94">
        <v>55</v>
      </c>
      <c r="E4095" s="84">
        <v>2236.1</v>
      </c>
      <c r="F4095" s="83">
        <f t="shared" ca="1" si="177"/>
        <v>122985.5</v>
      </c>
    </row>
    <row r="4096" spans="1:6" ht="14.1" customHeight="1" x14ac:dyDescent="0.25">
      <c r="A4096" s="94" t="s">
        <v>1274</v>
      </c>
      <c r="B4096" s="82" t="str">
        <f t="shared" ca="1" si="178"/>
        <v>Vasos para beber para uso doméstico</v>
      </c>
      <c r="C4096" s="95" t="str">
        <f>IFERROR(VLOOKUP("CAJ",'Informacion '!P:Q,2,FALSE),"")</f>
        <v>Caja</v>
      </c>
      <c r="D4096" s="94">
        <v>40</v>
      </c>
      <c r="E4096" s="84">
        <v>3491.62</v>
      </c>
      <c r="F4096" s="83">
        <f t="shared" ca="1" si="177"/>
        <v>139664.79999999999</v>
      </c>
    </row>
    <row r="4097" spans="1:10" ht="14.1" customHeight="1" x14ac:dyDescent="0.25">
      <c r="A4097" s="94" t="s">
        <v>1274</v>
      </c>
      <c r="B4097" s="82" t="str">
        <f t="shared" ca="1" si="178"/>
        <v>Vasos para beber para uso doméstico</v>
      </c>
      <c r="C4097" s="95" t="str">
        <f>IFERROR(VLOOKUP("CAJ",'Informacion '!P:Q,2,FALSE),"")</f>
        <v>Caja</v>
      </c>
      <c r="D4097" s="94">
        <v>135</v>
      </c>
      <c r="E4097" s="84">
        <v>2250</v>
      </c>
      <c r="F4097" s="83">
        <f t="shared" ca="1" si="177"/>
        <v>303750</v>
      </c>
    </row>
    <row r="4098" spans="1:10" ht="14.1" customHeight="1" x14ac:dyDescent="0.25">
      <c r="A4098" s="94" t="s">
        <v>1274</v>
      </c>
      <c r="B4098" s="82" t="str">
        <f t="shared" ca="1" si="178"/>
        <v>Vasos para beber para uso doméstico</v>
      </c>
      <c r="C4098" s="95" t="str">
        <f>IFERROR(VLOOKUP("CAJ",'Informacion '!P:Q,2,FALSE),"")</f>
        <v>Caja</v>
      </c>
      <c r="D4098" s="94">
        <v>110</v>
      </c>
      <c r="E4098" s="84">
        <v>1950</v>
      </c>
      <c r="F4098" s="83">
        <f t="shared" ca="1" si="177"/>
        <v>214500</v>
      </c>
    </row>
    <row r="4099" spans="1:10" ht="14.1" customHeight="1" x14ac:dyDescent="0.25">
      <c r="A4099" s="94" t="s">
        <v>1274</v>
      </c>
      <c r="B4099" s="82" t="str">
        <f t="shared" ca="1" si="178"/>
        <v>Vasos para beber para uso doméstico</v>
      </c>
      <c r="C4099" s="95" t="str">
        <f>IFERROR(VLOOKUP("CAJ",'Informacion '!P:Q,2,FALSE),"")</f>
        <v>Caja</v>
      </c>
      <c r="D4099" s="94">
        <v>110</v>
      </c>
      <c r="E4099" s="84">
        <v>3100</v>
      </c>
      <c r="F4099" s="83">
        <f t="shared" ca="1" si="177"/>
        <v>341000</v>
      </c>
    </row>
    <row r="4100" spans="1:10" ht="14.1" customHeight="1" x14ac:dyDescent="0.25">
      <c r="A4100" s="94" t="s">
        <v>19779</v>
      </c>
      <c r="B4100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00" s="95" t="str">
        <f>IFERROR(VLOOKUP("PAQ",'Informacion '!P:Q,2,FALSE),"")</f>
        <v>Paquete</v>
      </c>
      <c r="D4100" s="94">
        <v>110</v>
      </c>
      <c r="E4100" s="84">
        <v>390</v>
      </c>
      <c r="F4100" s="83">
        <f t="shared" ca="1" si="177"/>
        <v>42900</v>
      </c>
    </row>
    <row r="4101" spans="1:10" ht="14.1" customHeight="1" x14ac:dyDescent="0.25">
      <c r="A4101" s="94" t="s">
        <v>19779</v>
      </c>
      <c r="B4101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01" s="95" t="str">
        <f>IFERROR(VLOOKUP("PAQ",'Informacion '!P:Q,2,FALSE),"")</f>
        <v>Paquete</v>
      </c>
      <c r="D4101" s="94">
        <v>110</v>
      </c>
      <c r="E4101" s="84">
        <v>406</v>
      </c>
      <c r="F4101" s="83">
        <f t="shared" ca="1" si="177"/>
        <v>44660</v>
      </c>
    </row>
    <row r="4102" spans="1:10" ht="14.1" customHeight="1" x14ac:dyDescent="0.25">
      <c r="A4102" s="94" t="s">
        <v>19779</v>
      </c>
      <c r="B4102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02" s="95" t="str">
        <f>IFERROR(VLOOKUP("CAJ",'Informacion '!P:Q,2,FALSE),"")</f>
        <v>Caja</v>
      </c>
      <c r="D4102" s="94">
        <v>220</v>
      </c>
      <c r="E4102" s="84">
        <v>1875</v>
      </c>
      <c r="F4102" s="83">
        <f t="shared" ca="1" si="177"/>
        <v>412500</v>
      </c>
    </row>
    <row r="4103" spans="1:10" ht="14.1" customHeight="1" x14ac:dyDescent="0.25">
      <c r="A4103" s="94" t="s">
        <v>19779</v>
      </c>
      <c r="B4103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03" s="95" t="str">
        <f>IFERROR(VLOOKUP("PAQ",'Informacion '!P:Q,2,FALSE),"")</f>
        <v>Paquete</v>
      </c>
      <c r="D4103" s="94">
        <v>26</v>
      </c>
      <c r="E4103" s="84">
        <v>140</v>
      </c>
      <c r="F4103" s="83">
        <f t="shared" ca="1" si="177"/>
        <v>3640</v>
      </c>
    </row>
    <row r="4104" spans="1:10" ht="14.1" customHeight="1" x14ac:dyDescent="0.25">
      <c r="A4104" s="94" t="s">
        <v>11636</v>
      </c>
      <c r="B4104" s="82" t="str">
        <f ca="1">IFERROR(INDEX(UNSPSCDes,MATCH(INDIRECT(ADDRESS(ROW(),COLUMN()-1,4)),UNSPSCCode,0)),IF(INDIRECT(ADDRESS(ROW(),COLUMN()-1,4))="24121807","Recipientes de plástico",""))</f>
        <v>Recipientes de plástico</v>
      </c>
      <c r="C4104" s="95" t="str">
        <f>IFERROR(VLOOKUP("PAQ",'Informacion '!P:Q,2,FALSE),"")</f>
        <v>Paquete</v>
      </c>
      <c r="D4104" s="94">
        <v>610</v>
      </c>
      <c r="E4104" s="84">
        <v>60</v>
      </c>
      <c r="F4104" s="83">
        <f t="shared" ca="1" si="177"/>
        <v>36600</v>
      </c>
    </row>
    <row r="4105" spans="1:10" ht="14.1" customHeight="1" x14ac:dyDescent="0.25">
      <c r="A4105" s="94" t="s">
        <v>19779</v>
      </c>
      <c r="B4105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05" s="95" t="str">
        <f>IFERROR(VLOOKUP("CAJ",'Informacion '!P:Q,2,FALSE),"")</f>
        <v>Caja</v>
      </c>
      <c r="D4105" s="94">
        <v>12</v>
      </c>
      <c r="E4105" s="84">
        <v>650</v>
      </c>
      <c r="F4105" s="83">
        <f t="shared" ca="1" si="177"/>
        <v>7800</v>
      </c>
    </row>
    <row r="4106" spans="1:10" ht="14.1" customHeight="1" x14ac:dyDescent="0.25">
      <c r="A4106" s="94" t="s">
        <v>19779</v>
      </c>
      <c r="B4106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06" s="95" t="str">
        <f>IFERROR(VLOOKUP("CAJ",'Informacion '!P:Q,2,FALSE),"")</f>
        <v>Caja</v>
      </c>
      <c r="D4106" s="94">
        <v>135</v>
      </c>
      <c r="E4106" s="84">
        <v>650</v>
      </c>
      <c r="F4106" s="83">
        <f t="shared" ca="1" si="177"/>
        <v>87750</v>
      </c>
    </row>
    <row r="4107" spans="1:10" ht="14.1" customHeight="1" x14ac:dyDescent="0.25">
      <c r="E4107" s="96" t="s">
        <v>7213</v>
      </c>
      <c r="F4107" s="87">
        <f ca="1">SUM(Table118[MONTO TOTAL ESTIMADO])</f>
        <v>1994459.8</v>
      </c>
      <c r="H4107" s="39" t="str">
        <f>C4072</f>
        <v>Bienes</v>
      </c>
      <c r="I4107" s="39" t="str">
        <f>E4072</f>
        <v>No</v>
      </c>
      <c r="J4107" s="39" t="str">
        <f>D4072</f>
        <v>Comparacion de Precios</v>
      </c>
    </row>
    <row r="4109" spans="1:10" ht="33.950000000000003" customHeight="1" x14ac:dyDescent="0.25">
      <c r="A4109" s="77" t="s">
        <v>17233</v>
      </c>
      <c r="B4109" s="77" t="s">
        <v>4237</v>
      </c>
      <c r="C4109" s="77" t="s">
        <v>4743</v>
      </c>
      <c r="D4109" s="77" t="s">
        <v>9891</v>
      </c>
      <c r="E4109" s="77" t="s">
        <v>3089</v>
      </c>
      <c r="F4109" s="77" t="s">
        <v>18141</v>
      </c>
    </row>
    <row r="4110" spans="1:10" ht="14.1" customHeight="1" x14ac:dyDescent="0.25">
      <c r="A4110" s="79" t="s">
        <v>10253</v>
      </c>
      <c r="B4110" s="79" t="s">
        <v>1882</v>
      </c>
      <c r="C4110" s="79" t="s">
        <v>17215</v>
      </c>
      <c r="D4110" s="79" t="s">
        <v>15249</v>
      </c>
      <c r="E4110" s="79" t="s">
        <v>18247</v>
      </c>
      <c r="F4110" s="79"/>
    </row>
    <row r="4111" spans="1:10" ht="14.1" customHeight="1" x14ac:dyDescent="0.25">
      <c r="A4111" s="2" t="s">
        <v>6643</v>
      </c>
      <c r="B4111" s="80" t="s">
        <v>1046</v>
      </c>
      <c r="C4111" s="90">
        <v>43647</v>
      </c>
      <c r="D4111" s="2" t="s">
        <v>59</v>
      </c>
      <c r="E4111" s="92" t="s">
        <v>20066</v>
      </c>
      <c r="F4111" s="93"/>
    </row>
    <row r="4112" spans="1:10" ht="14.1" customHeight="1" x14ac:dyDescent="0.25">
      <c r="A4112" s="1"/>
      <c r="B4112" s="80" t="s">
        <v>10788</v>
      </c>
      <c r="C4112" s="91">
        <f>IF(C4111="","",IF(AND(MONTH(C4111)&gt;=1,MONTH(C4111)&lt;=3),1,IF(AND(MONTH(C4111)&gt;=4,MONTH(C4111)&lt;=6),2,IF(AND(MONTH(C4111)&gt;=7,MONTH(C4111)&lt;=9),3,4))))</f>
        <v>3</v>
      </c>
      <c r="D4112" s="1"/>
      <c r="E4112" s="92" t="s">
        <v>14822</v>
      </c>
      <c r="F4112" s="93"/>
    </row>
    <row r="4113" spans="1:6" ht="14.1" customHeight="1" x14ac:dyDescent="0.25">
      <c r="A4113" s="1"/>
      <c r="B4113" s="80" t="s">
        <v>13758</v>
      </c>
      <c r="C4113" s="90">
        <v>43738</v>
      </c>
      <c r="D4113" s="1"/>
      <c r="E4113" s="92" t="s">
        <v>18636</v>
      </c>
      <c r="F4113" s="93"/>
    </row>
    <row r="4114" spans="1:6" ht="14.1" customHeight="1" x14ac:dyDescent="0.25">
      <c r="A4114" s="1"/>
      <c r="B4114" s="80" t="s">
        <v>10788</v>
      </c>
      <c r="C4114" s="91">
        <f>IF(C4113="","",IF(AND(MONTH(C4113)&gt;=1,MONTH(C4113)&lt;=3),1,IF(AND(MONTH(C4113)&gt;=4,MONTH(C4113)&lt;=6),2,IF(AND(MONTH(C4113)&gt;=7,MONTH(C4113)&lt;=9),3,4))))</f>
        <v>3</v>
      </c>
      <c r="D4114" s="1"/>
      <c r="E4114" s="92" t="s">
        <v>15990</v>
      </c>
      <c r="F4114" s="93"/>
    </row>
    <row r="4116" spans="1:6" ht="14.1" customHeight="1" x14ac:dyDescent="0.25">
      <c r="A4116" s="85" t="s">
        <v>15474</v>
      </c>
      <c r="B4116" s="85" t="s">
        <v>5027</v>
      </c>
      <c r="C4116" s="85" t="s">
        <v>17461</v>
      </c>
      <c r="D4116" s="85" t="s">
        <v>3935</v>
      </c>
      <c r="E4116" s="85" t="s">
        <v>10722</v>
      </c>
      <c r="F4116" s="85" t="s">
        <v>18237</v>
      </c>
    </row>
    <row r="4117" spans="1:6" ht="14.1" customHeight="1" x14ac:dyDescent="0.25">
      <c r="A4117" s="94" t="s">
        <v>14630</v>
      </c>
      <c r="B4117" s="82" t="str">
        <f ca="1">IFERROR(INDEX(UNSPSCDes,MATCH(INDIRECT(ADDRESS(ROW(),COLUMN()-1,4)),UNSPSCCode,0)),IF(INDIRECT(ADDRESS(ROW(),COLUMN()-1,4))="60121124","Papel kraft",""))</f>
        <v>Papel kraft</v>
      </c>
      <c r="C4117" s="95" t="str">
        <f>IFERROR(VLOOKUP("UD",'Informacion '!P:Q,2,FALSE),"")</f>
        <v>Unidad</v>
      </c>
      <c r="D4117" s="94">
        <v>40</v>
      </c>
      <c r="E4117" s="84">
        <v>1040</v>
      </c>
      <c r="F4117" s="83">
        <f t="shared" ref="F4117:F4155" ca="1" si="179">INDIRECT(ADDRESS(ROW(),COLUMN()-2,4))*INDIRECT(ADDRESS(ROW(),COLUMN()-1,4))</f>
        <v>41600</v>
      </c>
    </row>
    <row r="4118" spans="1:6" ht="14.1" customHeight="1" x14ac:dyDescent="0.25">
      <c r="A4118" s="94" t="s">
        <v>14630</v>
      </c>
      <c r="B4118" s="82" t="str">
        <f ca="1">IFERROR(INDEX(UNSPSCDes,MATCH(INDIRECT(ADDRESS(ROW(),COLUMN()-1,4)),UNSPSCCode,0)),IF(INDIRECT(ADDRESS(ROW(),COLUMN()-1,4))="60121124","Papel kraft",""))</f>
        <v>Papel kraft</v>
      </c>
      <c r="C4118" s="95" t="str">
        <f>IFERROR(VLOOKUP("UD",'Informacion '!P:Q,2,FALSE),"")</f>
        <v>Unidad</v>
      </c>
      <c r="D4118" s="94">
        <v>26</v>
      </c>
      <c r="E4118" s="84">
        <v>247</v>
      </c>
      <c r="F4118" s="83">
        <f t="shared" ca="1" si="179"/>
        <v>6422</v>
      </c>
    </row>
    <row r="4119" spans="1:6" ht="14.1" customHeight="1" x14ac:dyDescent="0.25">
      <c r="A4119" s="94" t="s">
        <v>1868</v>
      </c>
      <c r="B4119" s="82" t="str">
        <f ca="1">IFERROR(INDEX(UNSPSCDes,MATCH(INDIRECT(ADDRESS(ROW(),COLUMN()-1,4)),UNSPSCCode,0)),IF(INDIRECT(ADDRESS(ROW(),COLUMN()-1,4))="14111601","Papel o bolsas o cajas de regalo",""))</f>
        <v>Papel o bolsas o cajas de regalo</v>
      </c>
      <c r="C4119" s="95" t="str">
        <f>IFERROR(VLOOKUP("UD",'Informacion '!P:Q,2,FALSE),"")</f>
        <v>Unidad</v>
      </c>
      <c r="D4119" s="94">
        <v>54</v>
      </c>
      <c r="E4119" s="84">
        <v>434</v>
      </c>
      <c r="F4119" s="83">
        <f t="shared" ca="1" si="179"/>
        <v>23436</v>
      </c>
    </row>
    <row r="4120" spans="1:6" ht="14.1" customHeight="1" x14ac:dyDescent="0.25">
      <c r="A4120" s="94" t="s">
        <v>16955</v>
      </c>
      <c r="B4120" s="82" t="str">
        <f ca="1">IFERROR(INDEX(UNSPSCDes,MATCH(INDIRECT(ADDRESS(ROW(),COLUMN()-1,4)),UNSPSCCode,0)),IF(INDIRECT(ADDRESS(ROW(),COLUMN()-1,4))="11101705","Aluminio",""))</f>
        <v>Aluminio</v>
      </c>
      <c r="C4120" s="95" t="str">
        <f>IFERROR(VLOOKUP("UD",'Informacion '!P:Q,2,FALSE),"")</f>
        <v>Unidad</v>
      </c>
      <c r="D4120" s="94">
        <v>26</v>
      </c>
      <c r="E4120" s="84">
        <v>225</v>
      </c>
      <c r="F4120" s="83">
        <f t="shared" ca="1" si="179"/>
        <v>5850</v>
      </c>
    </row>
    <row r="4121" spans="1:6" ht="14.1" customHeight="1" x14ac:dyDescent="0.25">
      <c r="A4121" s="94" t="s">
        <v>11163</v>
      </c>
      <c r="B4121" s="82" t="str">
        <f ca="1">IFERROR(INDEX(UNSPSCDes,MATCH(INDIRECT(ADDRESS(ROW(),COLUMN()-1,4)),UNSPSCCode,0)),IF(INDIRECT(ADDRESS(ROW(),COLUMN()-1,4))="14111705","Servilletas de papel",""))</f>
        <v>Servilletas de papel</v>
      </c>
      <c r="C4121" s="95" t="str">
        <f>IFERROR(VLOOKUP("PAQ",'Informacion '!P:Q,2,FALSE),"")</f>
        <v>Paquete</v>
      </c>
      <c r="D4121" s="94">
        <v>320</v>
      </c>
      <c r="E4121" s="84">
        <v>95</v>
      </c>
      <c r="F4121" s="83">
        <f t="shared" ca="1" si="179"/>
        <v>30400</v>
      </c>
    </row>
    <row r="4122" spans="1:6" ht="14.1" customHeight="1" x14ac:dyDescent="0.25">
      <c r="A4122" s="94" t="s">
        <v>17228</v>
      </c>
      <c r="B4122" s="82" t="str">
        <f ca="1">IFERROR(INDEX(UNSPSCDes,MATCH(INDIRECT(ADDRESS(ROW(),COLUMN()-1,4)),UNSPSCCode,0)),IF(INDIRECT(ADDRESS(ROW(),COLUMN()-1,4))="23181801","Equipo y suministros para elaboración de café",""))</f>
        <v>Equipo y suministros para elaboración de café</v>
      </c>
      <c r="C4122" s="95" t="str">
        <f>IFERROR(VLOOKUP("UD",'Informacion '!P:Q,2,FALSE),"")</f>
        <v>Unidad</v>
      </c>
      <c r="D4122" s="94">
        <v>5</v>
      </c>
      <c r="E4122" s="84">
        <v>1300</v>
      </c>
      <c r="F4122" s="83">
        <f t="shared" ca="1" si="179"/>
        <v>6500</v>
      </c>
    </row>
    <row r="4123" spans="1:6" ht="14.1" customHeight="1" x14ac:dyDescent="0.25">
      <c r="A4123" s="94" t="s">
        <v>12972</v>
      </c>
      <c r="B4123" s="82" t="str">
        <f ca="1">IFERROR(INDEX(UNSPSCDes,MATCH(INDIRECT(ADDRESS(ROW(),COLUMN()-1,4)),UNSPSCCode,0)),IF(INDIRECT(ADDRESS(ROW(),COLUMN()-1,4))="41112220","Termómetros de refrigerador o congelador de laboratorio",""))</f>
        <v>Termómetros de refrigerador o congelador de laboratorio</v>
      </c>
      <c r="C4123" s="95" t="str">
        <f>IFERROR(VLOOKUP("UD",'Informacion '!P:Q,2,FALSE),"")</f>
        <v>Unidad</v>
      </c>
      <c r="D4123" s="94">
        <v>3</v>
      </c>
      <c r="E4123" s="84">
        <v>400</v>
      </c>
      <c r="F4123" s="83">
        <f t="shared" ca="1" si="179"/>
        <v>1200</v>
      </c>
    </row>
    <row r="4124" spans="1:6" ht="14.1" customHeight="1" x14ac:dyDescent="0.25">
      <c r="A4124" s="94" t="s">
        <v>19995</v>
      </c>
      <c r="B4124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4124" s="95" t="str">
        <f>IFERROR(VLOOKUP("UD",'Informacion '!P:Q,2,FALSE),"")</f>
        <v>Unidad</v>
      </c>
      <c r="D4124" s="94">
        <v>1</v>
      </c>
      <c r="E4124" s="84">
        <v>1500</v>
      </c>
      <c r="F4124" s="83">
        <f t="shared" ca="1" si="179"/>
        <v>1500</v>
      </c>
    </row>
    <row r="4125" spans="1:6" ht="14.1" customHeight="1" x14ac:dyDescent="0.25">
      <c r="A4125" s="94" t="s">
        <v>19995</v>
      </c>
      <c r="B4125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4125" s="95" t="str">
        <f>IFERROR(VLOOKUP("UD",'Informacion '!P:Q,2,FALSE),"")</f>
        <v>Unidad</v>
      </c>
      <c r="D4125" s="94">
        <v>1</v>
      </c>
      <c r="E4125" s="84">
        <v>2200</v>
      </c>
      <c r="F4125" s="83">
        <f t="shared" ca="1" si="179"/>
        <v>2200</v>
      </c>
    </row>
    <row r="4126" spans="1:6" ht="14.1" customHeight="1" x14ac:dyDescent="0.25">
      <c r="A4126" s="94" t="s">
        <v>11306</v>
      </c>
      <c r="B4126" s="82" t="str">
        <f ca="1">IFERROR(INDEX(UNSPSCDes,MATCH(INDIRECT(ADDRESS(ROW(),COLUMN()-1,4)),UNSPSCCode,0)),IF(INDIRECT(ADDRESS(ROW(),COLUMN()-1,4))="52152001","Jarras para uso doméstico",""))</f>
        <v>Jarras para uso doméstico</v>
      </c>
      <c r="C4126" s="95" t="str">
        <f>IFERROR(VLOOKUP("UD",'Informacion '!P:Q,2,FALSE),"")</f>
        <v>Unidad</v>
      </c>
      <c r="D4126" s="94">
        <v>100</v>
      </c>
      <c r="E4126" s="84">
        <v>950</v>
      </c>
      <c r="F4126" s="83">
        <f t="shared" ca="1" si="179"/>
        <v>95000</v>
      </c>
    </row>
    <row r="4127" spans="1:6" ht="14.1" customHeight="1" x14ac:dyDescent="0.25">
      <c r="A4127" s="94" t="s">
        <v>11533</v>
      </c>
      <c r="B4127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4127" s="95" t="str">
        <f>IFERROR(VLOOKUP("UD",'Informacion '!P:Q,2,FALSE),"")</f>
        <v>Unidad</v>
      </c>
      <c r="D4127" s="94">
        <v>50</v>
      </c>
      <c r="E4127" s="84">
        <v>180</v>
      </c>
      <c r="F4127" s="83">
        <f t="shared" ca="1" si="179"/>
        <v>9000</v>
      </c>
    </row>
    <row r="4128" spans="1:6" ht="14.1" customHeight="1" x14ac:dyDescent="0.25">
      <c r="A4128" s="94" t="s">
        <v>11533</v>
      </c>
      <c r="B4128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4128" s="95" t="str">
        <f>IFERROR(VLOOKUP("UD",'Informacion '!P:Q,2,FALSE),"")</f>
        <v>Unidad</v>
      </c>
      <c r="D4128" s="94">
        <v>50</v>
      </c>
      <c r="E4128" s="84">
        <v>140</v>
      </c>
      <c r="F4128" s="83">
        <f t="shared" ca="1" si="179"/>
        <v>7000</v>
      </c>
    </row>
    <row r="4129" spans="1:6" ht="14.1" customHeight="1" x14ac:dyDescent="0.25">
      <c r="A4129" s="94" t="s">
        <v>1965</v>
      </c>
      <c r="B4129" s="82" t="str">
        <f ca="1">IFERROR(INDEX(UNSPSCDes,MATCH(INDIRECT(ADDRESS(ROW(),COLUMN()-1,4)),UNSPSCCode,0)),IF(INDIRECT(ADDRESS(ROW(),COLUMN()-1,4))="52152101","Tazas de café o té para uso doméstico",""))</f>
        <v>Tazas de café o té para uso doméstico</v>
      </c>
      <c r="C4129" s="95" t="str">
        <f>IFERROR(VLOOKUP("UD",'Informacion '!P:Q,2,FALSE),"")</f>
        <v>Unidad</v>
      </c>
      <c r="D4129" s="94">
        <v>55</v>
      </c>
      <c r="E4129" s="84">
        <v>85</v>
      </c>
      <c r="F4129" s="83">
        <f t="shared" ca="1" si="179"/>
        <v>4675</v>
      </c>
    </row>
    <row r="4130" spans="1:6" ht="14.1" customHeight="1" x14ac:dyDescent="0.25">
      <c r="A4130" s="94" t="s">
        <v>17008</v>
      </c>
      <c r="B4130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4130" s="95" t="str">
        <f>IFERROR(VLOOKUP("UD",'Informacion '!P:Q,2,FALSE),"")</f>
        <v>Unidad</v>
      </c>
      <c r="D4130" s="94">
        <v>12</v>
      </c>
      <c r="E4130" s="84">
        <v>85</v>
      </c>
      <c r="F4130" s="83">
        <f t="shared" ca="1" si="179"/>
        <v>1020</v>
      </c>
    </row>
    <row r="4131" spans="1:6" ht="14.1" customHeight="1" x14ac:dyDescent="0.25">
      <c r="A4131" s="94" t="s">
        <v>319</v>
      </c>
      <c r="B4131" s="82" t="str">
        <f ca="1">IFERROR(INDEX(UNSPSCDes,MATCH(INDIRECT(ADDRESS(ROW(),COLUMN()-1,4)),UNSPSCCode,0)),IF(INDIRECT(ADDRESS(ROW(),COLUMN()-1,4))="52151709","Set de cubiertos",""))</f>
        <v>Set de cubiertos</v>
      </c>
      <c r="C4131" s="95" t="str">
        <f>IFERROR(VLOOKUP("UD",'Informacion '!P:Q,2,FALSE),"")</f>
        <v>Unidad</v>
      </c>
      <c r="D4131" s="94">
        <v>100</v>
      </c>
      <c r="E4131" s="84">
        <v>55</v>
      </c>
      <c r="F4131" s="83">
        <f t="shared" ca="1" si="179"/>
        <v>5500</v>
      </c>
    </row>
    <row r="4132" spans="1:6" ht="14.1" customHeight="1" x14ac:dyDescent="0.25">
      <c r="A4132" s="94" t="s">
        <v>319</v>
      </c>
      <c r="B4132" s="82" t="str">
        <f ca="1">IFERROR(INDEX(UNSPSCDes,MATCH(INDIRECT(ADDRESS(ROW(),COLUMN()-1,4)),UNSPSCCode,0)),IF(INDIRECT(ADDRESS(ROW(),COLUMN()-1,4))="52151709","Set de cubiertos",""))</f>
        <v>Set de cubiertos</v>
      </c>
      <c r="C4132" s="95" t="str">
        <f>IFERROR(VLOOKUP("UD",'Informacion '!P:Q,2,FALSE),"")</f>
        <v>Unidad</v>
      </c>
      <c r="D4132" s="94">
        <v>100</v>
      </c>
      <c r="E4132" s="84">
        <v>55</v>
      </c>
      <c r="F4132" s="83">
        <f t="shared" ca="1" si="179"/>
        <v>5500</v>
      </c>
    </row>
    <row r="4133" spans="1:6" ht="14.1" customHeight="1" x14ac:dyDescent="0.25">
      <c r="A4133" s="94" t="s">
        <v>319</v>
      </c>
      <c r="B4133" s="82" t="str">
        <f ca="1">IFERROR(INDEX(UNSPSCDes,MATCH(INDIRECT(ADDRESS(ROW(),COLUMN()-1,4)),UNSPSCCode,0)),IF(INDIRECT(ADDRESS(ROW(),COLUMN()-1,4))="52151709","Set de cubiertos",""))</f>
        <v>Set de cubiertos</v>
      </c>
      <c r="C4133" s="95" t="str">
        <f>IFERROR(VLOOKUP("UD",'Informacion '!P:Q,2,FALSE),"")</f>
        <v>Unidad</v>
      </c>
      <c r="D4133" s="94">
        <v>100</v>
      </c>
      <c r="E4133" s="84">
        <v>88</v>
      </c>
      <c r="F4133" s="83">
        <f t="shared" ca="1" si="179"/>
        <v>8800</v>
      </c>
    </row>
    <row r="4134" spans="1:6" ht="14.1" customHeight="1" x14ac:dyDescent="0.25">
      <c r="A4134" s="94" t="s">
        <v>9525</v>
      </c>
      <c r="B4134" s="82" t="str">
        <f ca="1">IFERROR(INDEX(UNSPSCDes,MATCH(INDIRECT(ADDRESS(ROW(),COLUMN()-1,4)),UNSPSCCode,0)),IF(INDIRECT(ADDRESS(ROW(),COLUMN()-1,4))="48101903","Vasos para servicio de comidas",""))</f>
        <v>Vasos para servicio de comidas</v>
      </c>
      <c r="C4134" s="95" t="str">
        <f>IFERROR(VLOOKUP("UD",'Informacion '!P:Q,2,FALSE),"")</f>
        <v>Unidad</v>
      </c>
      <c r="D4134" s="94">
        <v>110</v>
      </c>
      <c r="E4134" s="84">
        <v>25</v>
      </c>
      <c r="F4134" s="83">
        <f t="shared" ca="1" si="179"/>
        <v>2750</v>
      </c>
    </row>
    <row r="4135" spans="1:6" ht="14.1" customHeight="1" x14ac:dyDescent="0.25">
      <c r="A4135" s="94" t="s">
        <v>12603</v>
      </c>
      <c r="B4135" s="82" t="str">
        <f ca="1">IFERROR(INDEX(UNSPSCDes,MATCH(INDIRECT(ADDRESS(ROW(),COLUMN()-1,4)),UNSPSCCode,0)),IF(INDIRECT(ADDRESS(ROW(),COLUMN()-1,4))="52152004","Platos para uso doméstico",""))</f>
        <v>Platos para uso doméstico</v>
      </c>
      <c r="C4135" s="95" t="str">
        <f>IFERROR(VLOOKUP("UD",'Informacion '!P:Q,2,FALSE),"")</f>
        <v>Unidad</v>
      </c>
      <c r="D4135" s="94">
        <v>110</v>
      </c>
      <c r="E4135" s="84">
        <v>50</v>
      </c>
      <c r="F4135" s="83">
        <f t="shared" ca="1" si="179"/>
        <v>5500</v>
      </c>
    </row>
    <row r="4136" spans="1:6" ht="14.1" customHeight="1" x14ac:dyDescent="0.25">
      <c r="A4136" s="94" t="s">
        <v>2760</v>
      </c>
      <c r="B4136" s="82" t="str">
        <f ca="1">IFERROR(INDEX(UNSPSCDes,MATCH(INDIRECT(ADDRESS(ROW(),COLUMN()-1,4)),UNSPSCCode,0)),IF(INDIRECT(ADDRESS(ROW(),COLUMN()-1,4))="12131707","Encendedores",""))</f>
        <v>Encendedores</v>
      </c>
      <c r="C4136" s="95" t="str">
        <f>IFERROR(VLOOKUP("UD",'Informacion '!P:Q,2,FALSE),"")</f>
        <v>Unidad</v>
      </c>
      <c r="D4136" s="94">
        <v>24</v>
      </c>
      <c r="E4136" s="84">
        <v>130</v>
      </c>
      <c r="F4136" s="83">
        <f t="shared" ca="1" si="179"/>
        <v>3120</v>
      </c>
    </row>
    <row r="4137" spans="1:6" ht="14.1" customHeight="1" x14ac:dyDescent="0.25">
      <c r="A4137" s="94" t="s">
        <v>9149</v>
      </c>
      <c r="B4137" s="82" t="str">
        <f ca="1">IFERROR(INDEX(UNSPSCDes,MATCH(INDIRECT(ADDRESS(ROW(),COLUMN()-1,4)),UNSPSCCode,0)),IF(INDIRECT(ADDRESS(ROW(),COLUMN()-1,4))="12131706","Fósforos",""))</f>
        <v>Fósforos</v>
      </c>
      <c r="C4137" s="95" t="str">
        <f>IFERROR(VLOOKUP("UD",'Informacion '!P:Q,2,FALSE),"")</f>
        <v>Unidad</v>
      </c>
      <c r="D4137" s="94">
        <v>12</v>
      </c>
      <c r="E4137" s="84">
        <v>35</v>
      </c>
      <c r="F4137" s="83">
        <f t="shared" ca="1" si="179"/>
        <v>420</v>
      </c>
    </row>
    <row r="4138" spans="1:6" ht="14.1" customHeight="1" x14ac:dyDescent="0.25">
      <c r="A4138" s="94" t="s">
        <v>17008</v>
      </c>
      <c r="B4138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4138" s="95" t="str">
        <f>IFERROR(VLOOKUP("UD",'Informacion '!P:Q,2,FALSE),"")</f>
        <v>Unidad</v>
      </c>
      <c r="D4138" s="94">
        <v>5</v>
      </c>
      <c r="E4138" s="84">
        <v>108</v>
      </c>
      <c r="F4138" s="83">
        <f t="shared" ca="1" si="179"/>
        <v>540</v>
      </c>
    </row>
    <row r="4139" spans="1:6" ht="14.1" customHeight="1" x14ac:dyDescent="0.25">
      <c r="A4139" s="94" t="s">
        <v>11495</v>
      </c>
      <c r="B4139" s="82" t="str">
        <f ca="1">IFERROR(INDEX(UNSPSCDes,MATCH(INDIRECT(ADDRESS(ROW(),COLUMN()-1,4)),UNSPSCCode,0)),IF(INDIRECT(ADDRESS(ROW(),COLUMN()-1,4))="52151905","Bandejas de horno para uso doméstico",""))</f>
        <v>Bandejas de horno para uso doméstico</v>
      </c>
      <c r="C4139" s="95" t="str">
        <f>IFERROR(VLOOKUP("UD",'Informacion '!P:Q,2,FALSE),"")</f>
        <v>Unidad</v>
      </c>
      <c r="D4139" s="94">
        <v>5</v>
      </c>
      <c r="E4139" s="84">
        <v>150</v>
      </c>
      <c r="F4139" s="83">
        <f t="shared" ca="1" si="179"/>
        <v>750</v>
      </c>
    </row>
    <row r="4140" spans="1:6" ht="14.1" customHeight="1" x14ac:dyDescent="0.25">
      <c r="A4140" s="94" t="s">
        <v>4788</v>
      </c>
      <c r="B4140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4140" s="95" t="str">
        <f>IFERROR(VLOOKUP("UD",'Informacion '!P:Q,2,FALSE),"")</f>
        <v>Unidad</v>
      </c>
      <c r="D4140" s="94">
        <v>6</v>
      </c>
      <c r="E4140" s="84">
        <v>1650</v>
      </c>
      <c r="F4140" s="83">
        <f t="shared" ca="1" si="179"/>
        <v>9900</v>
      </c>
    </row>
    <row r="4141" spans="1:6" ht="14.1" customHeight="1" x14ac:dyDescent="0.25">
      <c r="A4141" s="94" t="s">
        <v>4788</v>
      </c>
      <c r="B4141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4141" s="95" t="str">
        <f>IFERROR(VLOOKUP("UD",'Informacion '!P:Q,2,FALSE),"")</f>
        <v>Unidad</v>
      </c>
      <c r="D4141" s="94">
        <v>50</v>
      </c>
      <c r="E4141" s="84">
        <v>100</v>
      </c>
      <c r="F4141" s="83">
        <f t="shared" ca="1" si="179"/>
        <v>5000</v>
      </c>
    </row>
    <row r="4142" spans="1:6" ht="14.1" customHeight="1" x14ac:dyDescent="0.25">
      <c r="A4142" s="94" t="s">
        <v>1274</v>
      </c>
      <c r="B4142" s="82" t="str">
        <f t="shared" ref="B4142:B4148" ca="1" si="180">IFERROR(INDEX(UNSPSCDes,MATCH(INDIRECT(ADDRESS(ROW(),COLUMN()-1,4)),UNSPSCCode,0)),IF(INDIRECT(ADDRESS(ROW(),COLUMN()-1,4))="52152102","Vasos para beber para uso doméstico",""))</f>
        <v>Vasos para beber para uso doméstico</v>
      </c>
      <c r="C4142" s="95" t="str">
        <f>IFERROR(VLOOKUP("PAQ",'Informacion '!P:Q,2,FALSE),"")</f>
        <v>Paquete</v>
      </c>
      <c r="D4142" s="94">
        <v>320</v>
      </c>
      <c r="E4142" s="84">
        <v>113.28</v>
      </c>
      <c r="F4142" s="83">
        <f t="shared" ca="1" si="179"/>
        <v>36249.599999999999</v>
      </c>
    </row>
    <row r="4143" spans="1:6" ht="14.1" customHeight="1" x14ac:dyDescent="0.25">
      <c r="A4143" s="94" t="s">
        <v>1274</v>
      </c>
      <c r="B4143" s="82" t="str">
        <f t="shared" ca="1" si="180"/>
        <v>Vasos para beber para uso doméstico</v>
      </c>
      <c r="C4143" s="95" t="str">
        <f>IFERROR(VLOOKUP("CAJ",'Informacion '!P:Q,2,FALSE),"")</f>
        <v>Caja</v>
      </c>
      <c r="D4143" s="94">
        <v>25</v>
      </c>
      <c r="E4143" s="84">
        <v>2955.9</v>
      </c>
      <c r="F4143" s="83">
        <f t="shared" ca="1" si="179"/>
        <v>73897.5</v>
      </c>
    </row>
    <row r="4144" spans="1:6" ht="14.1" customHeight="1" x14ac:dyDescent="0.25">
      <c r="A4144" s="94" t="s">
        <v>1274</v>
      </c>
      <c r="B4144" s="82" t="str">
        <f t="shared" ca="1" si="180"/>
        <v>Vasos para beber para uso doméstico</v>
      </c>
      <c r="C4144" s="95" t="str">
        <f>IFERROR(VLOOKUP("CAJ",'Informacion '!P:Q,2,FALSE),"")</f>
        <v>Caja</v>
      </c>
      <c r="D4144" s="94">
        <v>55</v>
      </c>
      <c r="E4144" s="84">
        <v>2236.1</v>
      </c>
      <c r="F4144" s="83">
        <f t="shared" ca="1" si="179"/>
        <v>122985.5</v>
      </c>
    </row>
    <row r="4145" spans="1:10" ht="14.1" customHeight="1" x14ac:dyDescent="0.25">
      <c r="A4145" s="94" t="s">
        <v>1274</v>
      </c>
      <c r="B4145" s="82" t="str">
        <f t="shared" ca="1" si="180"/>
        <v>Vasos para beber para uso doméstico</v>
      </c>
      <c r="C4145" s="95" t="str">
        <f>IFERROR(VLOOKUP("CAJ",'Informacion '!P:Q,2,FALSE),"")</f>
        <v>Caja</v>
      </c>
      <c r="D4145" s="94">
        <v>40</v>
      </c>
      <c r="E4145" s="84">
        <v>3491.62</v>
      </c>
      <c r="F4145" s="83">
        <f t="shared" ca="1" si="179"/>
        <v>139664.79999999999</v>
      </c>
    </row>
    <row r="4146" spans="1:10" ht="14.1" customHeight="1" x14ac:dyDescent="0.25">
      <c r="A4146" s="94" t="s">
        <v>1274</v>
      </c>
      <c r="B4146" s="82" t="str">
        <f t="shared" ca="1" si="180"/>
        <v>Vasos para beber para uso doméstico</v>
      </c>
      <c r="C4146" s="95" t="str">
        <f>IFERROR(VLOOKUP("CAJ",'Informacion '!P:Q,2,FALSE),"")</f>
        <v>Caja</v>
      </c>
      <c r="D4146" s="94">
        <v>135</v>
      </c>
      <c r="E4146" s="84">
        <v>2250</v>
      </c>
      <c r="F4146" s="83">
        <f t="shared" ca="1" si="179"/>
        <v>303750</v>
      </c>
    </row>
    <row r="4147" spans="1:10" ht="14.1" customHeight="1" x14ac:dyDescent="0.25">
      <c r="A4147" s="94" t="s">
        <v>1274</v>
      </c>
      <c r="B4147" s="82" t="str">
        <f t="shared" ca="1" si="180"/>
        <v>Vasos para beber para uso doméstico</v>
      </c>
      <c r="C4147" s="95" t="str">
        <f>IFERROR(VLOOKUP("CAJ",'Informacion '!P:Q,2,FALSE),"")</f>
        <v>Caja</v>
      </c>
      <c r="D4147" s="94">
        <v>110</v>
      </c>
      <c r="E4147" s="84">
        <v>1950</v>
      </c>
      <c r="F4147" s="83">
        <f t="shared" ca="1" si="179"/>
        <v>214500</v>
      </c>
    </row>
    <row r="4148" spans="1:10" ht="14.1" customHeight="1" x14ac:dyDescent="0.25">
      <c r="A4148" s="94" t="s">
        <v>1274</v>
      </c>
      <c r="B4148" s="82" t="str">
        <f t="shared" ca="1" si="180"/>
        <v>Vasos para beber para uso doméstico</v>
      </c>
      <c r="C4148" s="95" t="str">
        <f>IFERROR(VLOOKUP("CAJ",'Informacion '!P:Q,2,FALSE),"")</f>
        <v>Caja</v>
      </c>
      <c r="D4148" s="94">
        <v>110</v>
      </c>
      <c r="E4148" s="84">
        <v>3100</v>
      </c>
      <c r="F4148" s="83">
        <f t="shared" ca="1" si="179"/>
        <v>341000</v>
      </c>
    </row>
    <row r="4149" spans="1:10" ht="14.1" customHeight="1" x14ac:dyDescent="0.25">
      <c r="A4149" s="94" t="s">
        <v>19779</v>
      </c>
      <c r="B4149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49" s="95" t="str">
        <f>IFERROR(VLOOKUP("UD",'Informacion '!P:Q,2,FALSE),"")</f>
        <v>Unidad</v>
      </c>
      <c r="D4149" s="94">
        <v>110</v>
      </c>
      <c r="E4149" s="84">
        <v>390</v>
      </c>
      <c r="F4149" s="83">
        <f t="shared" ca="1" si="179"/>
        <v>42900</v>
      </c>
    </row>
    <row r="4150" spans="1:10" ht="14.1" customHeight="1" x14ac:dyDescent="0.25">
      <c r="A4150" s="94" t="s">
        <v>19779</v>
      </c>
      <c r="B4150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50" s="95" t="str">
        <f>IFERROR(VLOOKUP("UD",'Informacion '!P:Q,2,FALSE),"")</f>
        <v>Unidad</v>
      </c>
      <c r="D4150" s="94">
        <v>110</v>
      </c>
      <c r="E4150" s="84">
        <v>406</v>
      </c>
      <c r="F4150" s="83">
        <f t="shared" ca="1" si="179"/>
        <v>44660</v>
      </c>
    </row>
    <row r="4151" spans="1:10" ht="14.1" customHeight="1" x14ac:dyDescent="0.25">
      <c r="A4151" s="94" t="s">
        <v>19779</v>
      </c>
      <c r="B4151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51" s="95" t="str">
        <f>IFERROR(VLOOKUP("UD",'Informacion '!P:Q,2,FALSE),"")</f>
        <v>Unidad</v>
      </c>
      <c r="D4151" s="94">
        <v>220</v>
      </c>
      <c r="E4151" s="84">
        <v>1875</v>
      </c>
      <c r="F4151" s="83">
        <f t="shared" ca="1" si="179"/>
        <v>412500</v>
      </c>
    </row>
    <row r="4152" spans="1:10" ht="14.1" customHeight="1" x14ac:dyDescent="0.25">
      <c r="A4152" s="94" t="s">
        <v>19779</v>
      </c>
      <c r="B4152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52" s="95" t="str">
        <f>IFERROR(VLOOKUP("UD",'Informacion '!P:Q,2,FALSE),"")</f>
        <v>Unidad</v>
      </c>
      <c r="D4152" s="94">
        <v>26</v>
      </c>
      <c r="E4152" s="84">
        <v>140</v>
      </c>
      <c r="F4152" s="83">
        <f t="shared" ca="1" si="179"/>
        <v>3640</v>
      </c>
    </row>
    <row r="4153" spans="1:10" ht="14.1" customHeight="1" x14ac:dyDescent="0.25">
      <c r="A4153" s="94" t="s">
        <v>11636</v>
      </c>
      <c r="B4153" s="82" t="str">
        <f ca="1">IFERROR(INDEX(UNSPSCDes,MATCH(INDIRECT(ADDRESS(ROW(),COLUMN()-1,4)),UNSPSCCode,0)),IF(INDIRECT(ADDRESS(ROW(),COLUMN()-1,4))="24121807","Recipientes de plástico",""))</f>
        <v>Recipientes de plástico</v>
      </c>
      <c r="C4153" s="95" t="str">
        <f>IFERROR(VLOOKUP("UD",'Informacion '!P:Q,2,FALSE),"")</f>
        <v>Unidad</v>
      </c>
      <c r="D4153" s="94">
        <v>610</v>
      </c>
      <c r="E4153" s="84">
        <v>60</v>
      </c>
      <c r="F4153" s="83">
        <f t="shared" ca="1" si="179"/>
        <v>36600</v>
      </c>
    </row>
    <row r="4154" spans="1:10" ht="14.1" customHeight="1" x14ac:dyDescent="0.25">
      <c r="A4154" s="94" t="s">
        <v>19779</v>
      </c>
      <c r="B4154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54" s="95" t="str">
        <f>IFERROR(VLOOKUP("CAJ",'Informacion '!P:Q,2,FALSE),"")</f>
        <v>Caja</v>
      </c>
      <c r="D4154" s="94">
        <v>12</v>
      </c>
      <c r="E4154" s="84">
        <v>650</v>
      </c>
      <c r="F4154" s="83">
        <f t="shared" ca="1" si="179"/>
        <v>7800</v>
      </c>
    </row>
    <row r="4155" spans="1:10" ht="14.1" customHeight="1" x14ac:dyDescent="0.25">
      <c r="A4155" s="94" t="s">
        <v>19779</v>
      </c>
      <c r="B4155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55" s="95" t="str">
        <f>IFERROR(VLOOKUP("CAJ",'Informacion '!P:Q,2,FALSE),"")</f>
        <v>Caja</v>
      </c>
      <c r="D4155" s="94">
        <v>135</v>
      </c>
      <c r="E4155" s="84">
        <v>650</v>
      </c>
      <c r="F4155" s="83">
        <f t="shared" ca="1" si="179"/>
        <v>87750</v>
      </c>
    </row>
    <row r="4156" spans="1:10" ht="14.1" customHeight="1" x14ac:dyDescent="0.25">
      <c r="E4156" s="96" t="s">
        <v>7213</v>
      </c>
      <c r="F4156" s="87">
        <f ca="1">SUM(Table119[MONTO TOTAL ESTIMADO])</f>
        <v>2151480.4</v>
      </c>
      <c r="H4156" s="39" t="str">
        <f>C4110</f>
        <v>Bienes</v>
      </c>
      <c r="I4156" s="39" t="str">
        <f>E4110</f>
        <v>No</v>
      </c>
      <c r="J4156" s="39" t="str">
        <f>D4110</f>
        <v>Comparacion de Precios</v>
      </c>
    </row>
    <row r="4158" spans="1:10" ht="33.950000000000003" customHeight="1" x14ac:dyDescent="0.25">
      <c r="A4158" s="77" t="s">
        <v>17233</v>
      </c>
      <c r="B4158" s="77" t="s">
        <v>4237</v>
      </c>
      <c r="C4158" s="77" t="s">
        <v>4743</v>
      </c>
      <c r="D4158" s="77" t="s">
        <v>9891</v>
      </c>
      <c r="E4158" s="77" t="s">
        <v>3089</v>
      </c>
      <c r="F4158" s="77" t="s">
        <v>18141</v>
      </c>
    </row>
    <row r="4159" spans="1:10" ht="14.1" customHeight="1" x14ac:dyDescent="0.25">
      <c r="A4159" s="79" t="s">
        <v>5601</v>
      </c>
      <c r="B4159" s="79" t="s">
        <v>3478</v>
      </c>
      <c r="C4159" s="79" t="s">
        <v>17215</v>
      </c>
      <c r="D4159" s="79" t="s">
        <v>15249</v>
      </c>
      <c r="E4159" s="79" t="s">
        <v>18247</v>
      </c>
      <c r="F4159" s="79"/>
    </row>
    <row r="4160" spans="1:10" ht="14.1" customHeight="1" x14ac:dyDescent="0.25">
      <c r="A4160" s="2" t="s">
        <v>6643</v>
      </c>
      <c r="B4160" s="80" t="s">
        <v>1046</v>
      </c>
      <c r="C4160" s="90">
        <v>43739</v>
      </c>
      <c r="D4160" s="2" t="s">
        <v>59</v>
      </c>
      <c r="E4160" s="92" t="s">
        <v>20066</v>
      </c>
      <c r="F4160" s="93"/>
    </row>
    <row r="4161" spans="1:6" ht="14.1" customHeight="1" x14ac:dyDescent="0.25">
      <c r="A4161" s="1"/>
      <c r="B4161" s="80" t="s">
        <v>10788</v>
      </c>
      <c r="C4161" s="91">
        <f>IF(C4160="","",IF(AND(MONTH(C4160)&gt;=1,MONTH(C4160)&lt;=3),1,IF(AND(MONTH(C4160)&gt;=4,MONTH(C4160)&lt;=6),2,IF(AND(MONTH(C4160)&gt;=7,MONTH(C4160)&lt;=9),3,4))))</f>
        <v>4</v>
      </c>
      <c r="D4161" s="1"/>
      <c r="E4161" s="92" t="s">
        <v>14822</v>
      </c>
      <c r="F4161" s="93"/>
    </row>
    <row r="4162" spans="1:6" ht="14.1" customHeight="1" x14ac:dyDescent="0.25">
      <c r="A4162" s="1"/>
      <c r="B4162" s="80" t="s">
        <v>13758</v>
      </c>
      <c r="C4162" s="90">
        <v>43830</v>
      </c>
      <c r="D4162" s="1"/>
      <c r="E4162" s="92" t="s">
        <v>18636</v>
      </c>
      <c r="F4162" s="93"/>
    </row>
    <row r="4163" spans="1:6" ht="14.1" customHeight="1" x14ac:dyDescent="0.25">
      <c r="A4163" s="1"/>
      <c r="B4163" s="80" t="s">
        <v>10788</v>
      </c>
      <c r="C4163" s="91">
        <f>IF(C4162="","",IF(AND(MONTH(C4162)&gt;=1,MONTH(C4162)&lt;=3),1,IF(AND(MONTH(C4162)&gt;=4,MONTH(C4162)&lt;=6),2,IF(AND(MONTH(C4162)&gt;=7,MONTH(C4162)&lt;=9),3,4))))</f>
        <v>4</v>
      </c>
      <c r="D4163" s="1"/>
      <c r="E4163" s="92" t="s">
        <v>15990</v>
      </c>
      <c r="F4163" s="93"/>
    </row>
    <row r="4165" spans="1:6" ht="14.1" customHeight="1" x14ac:dyDescent="0.25">
      <c r="A4165" s="85" t="s">
        <v>15474</v>
      </c>
      <c r="B4165" s="85" t="s">
        <v>5027</v>
      </c>
      <c r="C4165" s="85" t="s">
        <v>17461</v>
      </c>
      <c r="D4165" s="85" t="s">
        <v>3935</v>
      </c>
      <c r="E4165" s="85" t="s">
        <v>10722</v>
      </c>
      <c r="F4165" s="85" t="s">
        <v>18237</v>
      </c>
    </row>
    <row r="4166" spans="1:6" ht="14.1" customHeight="1" x14ac:dyDescent="0.25">
      <c r="A4166" s="94" t="s">
        <v>14630</v>
      </c>
      <c r="B4166" s="82" t="str">
        <f ca="1">IFERROR(INDEX(UNSPSCDes,MATCH(INDIRECT(ADDRESS(ROW(),COLUMN()-1,4)),UNSPSCCode,0)),IF(INDIRECT(ADDRESS(ROW(),COLUMN()-1,4))="60121124","Papel kraft",""))</f>
        <v>Papel kraft</v>
      </c>
      <c r="C4166" s="95" t="str">
        <f>IFERROR(VLOOKUP("UD",'Informacion '!P:Q,2,FALSE),"")</f>
        <v>Unidad</v>
      </c>
      <c r="D4166" s="94">
        <v>40</v>
      </c>
      <c r="E4166" s="84">
        <v>1040</v>
      </c>
      <c r="F4166" s="83">
        <f t="shared" ref="F4166:F4190" ca="1" si="181">INDIRECT(ADDRESS(ROW(),COLUMN()-2,4))*INDIRECT(ADDRESS(ROW(),COLUMN()-1,4))</f>
        <v>41600</v>
      </c>
    </row>
    <row r="4167" spans="1:6" ht="14.1" customHeight="1" x14ac:dyDescent="0.25">
      <c r="A4167" s="94" t="s">
        <v>14630</v>
      </c>
      <c r="B4167" s="82" t="str">
        <f ca="1">IFERROR(INDEX(UNSPSCDes,MATCH(INDIRECT(ADDRESS(ROW(),COLUMN()-1,4)),UNSPSCCode,0)),IF(INDIRECT(ADDRESS(ROW(),COLUMN()-1,4))="60121124","Papel kraft",""))</f>
        <v>Papel kraft</v>
      </c>
      <c r="C4167" s="95" t="str">
        <f>IFERROR(VLOOKUP("UD",'Informacion '!P:Q,2,FALSE),"")</f>
        <v>Unidad</v>
      </c>
      <c r="D4167" s="94">
        <v>26</v>
      </c>
      <c r="E4167" s="84">
        <v>247</v>
      </c>
      <c r="F4167" s="83">
        <f t="shared" ca="1" si="181"/>
        <v>6422</v>
      </c>
    </row>
    <row r="4168" spans="1:6" ht="14.1" customHeight="1" x14ac:dyDescent="0.25">
      <c r="A4168" s="94" t="s">
        <v>1868</v>
      </c>
      <c r="B4168" s="82" t="str">
        <f ca="1">IFERROR(INDEX(UNSPSCDes,MATCH(INDIRECT(ADDRESS(ROW(),COLUMN()-1,4)),UNSPSCCode,0)),IF(INDIRECT(ADDRESS(ROW(),COLUMN()-1,4))="14111601","Papel o bolsas o cajas de regalo",""))</f>
        <v>Papel o bolsas o cajas de regalo</v>
      </c>
      <c r="C4168" s="95" t="str">
        <f>IFERROR(VLOOKUP("UD",'Informacion '!P:Q,2,FALSE),"")</f>
        <v>Unidad</v>
      </c>
      <c r="D4168" s="94">
        <v>54</v>
      </c>
      <c r="E4168" s="84">
        <v>434</v>
      </c>
      <c r="F4168" s="83">
        <f t="shared" ca="1" si="181"/>
        <v>23436</v>
      </c>
    </row>
    <row r="4169" spans="1:6" ht="14.1" customHeight="1" x14ac:dyDescent="0.25">
      <c r="A4169" s="94" t="s">
        <v>16955</v>
      </c>
      <c r="B4169" s="82" t="str">
        <f ca="1">IFERROR(INDEX(UNSPSCDes,MATCH(INDIRECT(ADDRESS(ROW(),COLUMN()-1,4)),UNSPSCCode,0)),IF(INDIRECT(ADDRESS(ROW(),COLUMN()-1,4))="11101705","Aluminio",""))</f>
        <v>Aluminio</v>
      </c>
      <c r="C4169" s="95" t="str">
        <f>IFERROR(VLOOKUP("UD",'Informacion '!P:Q,2,FALSE),"")</f>
        <v>Unidad</v>
      </c>
      <c r="D4169" s="94">
        <v>26</v>
      </c>
      <c r="E4169" s="84">
        <v>225</v>
      </c>
      <c r="F4169" s="83">
        <f t="shared" ca="1" si="181"/>
        <v>5850</v>
      </c>
    </row>
    <row r="4170" spans="1:6" ht="14.1" customHeight="1" x14ac:dyDescent="0.25">
      <c r="A4170" s="94" t="s">
        <v>16955</v>
      </c>
      <c r="B4170" s="82" t="str">
        <f ca="1">IFERROR(INDEX(UNSPSCDes,MATCH(INDIRECT(ADDRESS(ROW(),COLUMN()-1,4)),UNSPSCCode,0)),IF(INDIRECT(ADDRESS(ROW(),COLUMN()-1,4))="11101705","Aluminio",""))</f>
        <v>Aluminio</v>
      </c>
      <c r="C4170" s="95" t="str">
        <f>IFERROR(VLOOKUP("UD",'Informacion '!P:Q,2,FALSE),"")</f>
        <v>Unidad</v>
      </c>
      <c r="D4170" s="94">
        <v>320</v>
      </c>
      <c r="E4170" s="84">
        <v>95</v>
      </c>
      <c r="F4170" s="83">
        <f t="shared" ca="1" si="181"/>
        <v>30400</v>
      </c>
    </row>
    <row r="4171" spans="1:6" ht="14.1" customHeight="1" x14ac:dyDescent="0.25">
      <c r="A4171" s="94" t="s">
        <v>17228</v>
      </c>
      <c r="B4171" s="82" t="str">
        <f ca="1">IFERROR(INDEX(UNSPSCDes,MATCH(INDIRECT(ADDRESS(ROW(),COLUMN()-1,4)),UNSPSCCode,0)),IF(INDIRECT(ADDRESS(ROW(),COLUMN()-1,4))="23181801","Equipo y suministros para elaboración de café",""))</f>
        <v>Equipo y suministros para elaboración de café</v>
      </c>
      <c r="C4171" s="95" t="str">
        <f>IFERROR(VLOOKUP("UD",'Informacion '!P:Q,2,FALSE),"")</f>
        <v>Unidad</v>
      </c>
      <c r="D4171" s="94">
        <v>5</v>
      </c>
      <c r="E4171" s="84">
        <v>1300</v>
      </c>
      <c r="F4171" s="83">
        <f t="shared" ca="1" si="181"/>
        <v>6500</v>
      </c>
    </row>
    <row r="4172" spans="1:6" ht="14.1" customHeight="1" x14ac:dyDescent="0.25">
      <c r="A4172" s="94" t="s">
        <v>17008</v>
      </c>
      <c r="B4172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4172" s="95" t="str">
        <f>IFERROR(VLOOKUP("UD",'Informacion '!P:Q,2,FALSE),"")</f>
        <v>Unidad</v>
      </c>
      <c r="D4172" s="94">
        <v>12</v>
      </c>
      <c r="E4172" s="84">
        <v>85</v>
      </c>
      <c r="F4172" s="83">
        <f t="shared" ca="1" si="181"/>
        <v>1020</v>
      </c>
    </row>
    <row r="4173" spans="1:6" ht="14.1" customHeight="1" x14ac:dyDescent="0.25">
      <c r="A4173" s="94" t="s">
        <v>2760</v>
      </c>
      <c r="B4173" s="82" t="str">
        <f ca="1">IFERROR(INDEX(UNSPSCDes,MATCH(INDIRECT(ADDRESS(ROW(),COLUMN()-1,4)),UNSPSCCode,0)),IF(INDIRECT(ADDRESS(ROW(),COLUMN()-1,4))="12131707","Encendedores",""))</f>
        <v>Encendedores</v>
      </c>
      <c r="C4173" s="95" t="str">
        <f>IFERROR(VLOOKUP("UD",'Informacion '!P:Q,2,FALSE),"")</f>
        <v>Unidad</v>
      </c>
      <c r="D4173" s="94">
        <v>24</v>
      </c>
      <c r="E4173" s="84">
        <v>130</v>
      </c>
      <c r="F4173" s="83">
        <f t="shared" ca="1" si="181"/>
        <v>3120</v>
      </c>
    </row>
    <row r="4174" spans="1:6" ht="14.1" customHeight="1" x14ac:dyDescent="0.25">
      <c r="A4174" s="94" t="s">
        <v>9149</v>
      </c>
      <c r="B4174" s="82" t="str">
        <f ca="1">IFERROR(INDEX(UNSPSCDes,MATCH(INDIRECT(ADDRESS(ROW(),COLUMN()-1,4)),UNSPSCCode,0)),IF(INDIRECT(ADDRESS(ROW(),COLUMN()-1,4))="12131706","Fósforos",""))</f>
        <v>Fósforos</v>
      </c>
      <c r="C4174" s="95" t="str">
        <f>IFERROR(VLOOKUP("UD",'Informacion '!P:Q,2,FALSE),"")</f>
        <v>Unidad</v>
      </c>
      <c r="D4174" s="94">
        <v>14</v>
      </c>
      <c r="E4174" s="84">
        <v>35</v>
      </c>
      <c r="F4174" s="83">
        <f t="shared" ca="1" si="181"/>
        <v>490</v>
      </c>
    </row>
    <row r="4175" spans="1:6" ht="14.1" customHeight="1" x14ac:dyDescent="0.25">
      <c r="A4175" s="94" t="s">
        <v>17008</v>
      </c>
      <c r="B4175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4175" s="95" t="str">
        <f>IFERROR(VLOOKUP("UD",'Informacion '!P:Q,2,FALSE),"")</f>
        <v>Unidad</v>
      </c>
      <c r="D4175" s="94">
        <v>5</v>
      </c>
      <c r="E4175" s="84">
        <v>108</v>
      </c>
      <c r="F4175" s="83">
        <f t="shared" ca="1" si="181"/>
        <v>540</v>
      </c>
    </row>
    <row r="4176" spans="1:6" ht="14.1" customHeight="1" x14ac:dyDescent="0.25">
      <c r="A4176" s="94" t="s">
        <v>11495</v>
      </c>
      <c r="B4176" s="82" t="str">
        <f ca="1">IFERROR(INDEX(UNSPSCDes,MATCH(INDIRECT(ADDRESS(ROW(),COLUMN()-1,4)),UNSPSCCode,0)),IF(INDIRECT(ADDRESS(ROW(),COLUMN()-1,4))="52151905","Bandejas de horno para uso doméstico",""))</f>
        <v>Bandejas de horno para uso doméstico</v>
      </c>
      <c r="C4176" s="95" t="str">
        <f>IFERROR(VLOOKUP("UD",'Informacion '!P:Q,2,FALSE),"")</f>
        <v>Unidad</v>
      </c>
      <c r="D4176" s="94">
        <v>5</v>
      </c>
      <c r="E4176" s="84">
        <v>150</v>
      </c>
      <c r="F4176" s="83">
        <f t="shared" ca="1" si="181"/>
        <v>750</v>
      </c>
    </row>
    <row r="4177" spans="1:10" ht="14.1" customHeight="1" x14ac:dyDescent="0.25">
      <c r="A4177" s="94" t="s">
        <v>1274</v>
      </c>
      <c r="B4177" s="82" t="str">
        <f t="shared" ref="B4177:B4183" ca="1" si="182">IFERROR(INDEX(UNSPSCDes,MATCH(INDIRECT(ADDRESS(ROW(),COLUMN()-1,4)),UNSPSCCode,0)),IF(INDIRECT(ADDRESS(ROW(),COLUMN()-1,4))="52152102","Vasos para beber para uso doméstico",""))</f>
        <v>Vasos para beber para uso doméstico</v>
      </c>
      <c r="C4177" s="95" t="str">
        <f>IFERROR(VLOOKUP("PAQ",'Informacion '!P:Q,2,FALSE),"")</f>
        <v>Paquete</v>
      </c>
      <c r="D4177" s="94">
        <v>320</v>
      </c>
      <c r="E4177" s="84">
        <v>113.28</v>
      </c>
      <c r="F4177" s="83">
        <f t="shared" ca="1" si="181"/>
        <v>36249.599999999999</v>
      </c>
    </row>
    <row r="4178" spans="1:10" ht="14.1" customHeight="1" x14ac:dyDescent="0.25">
      <c r="A4178" s="94" t="s">
        <v>1274</v>
      </c>
      <c r="B4178" s="82" t="str">
        <f t="shared" ca="1" si="182"/>
        <v>Vasos para beber para uso doméstico</v>
      </c>
      <c r="C4178" s="95" t="str">
        <f>IFERROR(VLOOKUP("CAJ",'Informacion '!P:Q,2,FALSE),"")</f>
        <v>Caja</v>
      </c>
      <c r="D4178" s="94">
        <v>25</v>
      </c>
      <c r="E4178" s="84">
        <v>2955.9</v>
      </c>
      <c r="F4178" s="83">
        <f t="shared" ca="1" si="181"/>
        <v>73897.5</v>
      </c>
    </row>
    <row r="4179" spans="1:10" ht="14.1" customHeight="1" x14ac:dyDescent="0.25">
      <c r="A4179" s="94" t="s">
        <v>1274</v>
      </c>
      <c r="B4179" s="82" t="str">
        <f t="shared" ca="1" si="182"/>
        <v>Vasos para beber para uso doméstico</v>
      </c>
      <c r="C4179" s="95" t="str">
        <f>IFERROR(VLOOKUP("CAJ",'Informacion '!P:Q,2,FALSE),"")</f>
        <v>Caja</v>
      </c>
      <c r="D4179" s="94">
        <v>55</v>
      </c>
      <c r="E4179" s="84">
        <v>2236.1</v>
      </c>
      <c r="F4179" s="83">
        <f t="shared" ca="1" si="181"/>
        <v>122985.5</v>
      </c>
    </row>
    <row r="4180" spans="1:10" ht="14.1" customHeight="1" x14ac:dyDescent="0.25">
      <c r="A4180" s="94" t="s">
        <v>1274</v>
      </c>
      <c r="B4180" s="82" t="str">
        <f t="shared" ca="1" si="182"/>
        <v>Vasos para beber para uso doméstico</v>
      </c>
      <c r="C4180" s="95" t="str">
        <f>IFERROR(VLOOKUP("CAJ",'Informacion '!P:Q,2,FALSE),"")</f>
        <v>Caja</v>
      </c>
      <c r="D4180" s="94">
        <v>40</v>
      </c>
      <c r="E4180" s="84">
        <v>3491.62</v>
      </c>
      <c r="F4180" s="83">
        <f t="shared" ca="1" si="181"/>
        <v>139664.79999999999</v>
      </c>
    </row>
    <row r="4181" spans="1:10" ht="14.1" customHeight="1" x14ac:dyDescent="0.25">
      <c r="A4181" s="94" t="s">
        <v>1274</v>
      </c>
      <c r="B4181" s="82" t="str">
        <f t="shared" ca="1" si="182"/>
        <v>Vasos para beber para uso doméstico</v>
      </c>
      <c r="C4181" s="95" t="str">
        <f>IFERROR(VLOOKUP("CAJ",'Informacion '!P:Q,2,FALSE),"")</f>
        <v>Caja</v>
      </c>
      <c r="D4181" s="94">
        <v>135</v>
      </c>
      <c r="E4181" s="84">
        <v>2250</v>
      </c>
      <c r="F4181" s="83">
        <f t="shared" ca="1" si="181"/>
        <v>303750</v>
      </c>
    </row>
    <row r="4182" spans="1:10" ht="14.1" customHeight="1" x14ac:dyDescent="0.25">
      <c r="A4182" s="94" t="s">
        <v>1274</v>
      </c>
      <c r="B4182" s="82" t="str">
        <f t="shared" ca="1" si="182"/>
        <v>Vasos para beber para uso doméstico</v>
      </c>
      <c r="C4182" s="95" t="str">
        <f>IFERROR(VLOOKUP("CAJ",'Informacion '!P:Q,2,FALSE),"")</f>
        <v>Caja</v>
      </c>
      <c r="D4182" s="94">
        <v>110</v>
      </c>
      <c r="E4182" s="84">
        <v>1950</v>
      </c>
      <c r="F4182" s="83">
        <f t="shared" ca="1" si="181"/>
        <v>214500</v>
      </c>
    </row>
    <row r="4183" spans="1:10" ht="14.1" customHeight="1" x14ac:dyDescent="0.25">
      <c r="A4183" s="94" t="s">
        <v>1274</v>
      </c>
      <c r="B4183" s="82" t="str">
        <f t="shared" ca="1" si="182"/>
        <v>Vasos para beber para uso doméstico</v>
      </c>
      <c r="C4183" s="95" t="str">
        <f>IFERROR(VLOOKUP("CAJ",'Informacion '!P:Q,2,FALSE),"")</f>
        <v>Caja</v>
      </c>
      <c r="D4183" s="94">
        <v>110</v>
      </c>
      <c r="E4183" s="84">
        <v>3100</v>
      </c>
      <c r="F4183" s="83">
        <f t="shared" ca="1" si="181"/>
        <v>341000</v>
      </c>
    </row>
    <row r="4184" spans="1:10" ht="14.1" customHeight="1" x14ac:dyDescent="0.25">
      <c r="A4184" s="94" t="s">
        <v>19779</v>
      </c>
      <c r="B4184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84" s="95" t="str">
        <f>IFERROR(VLOOKUP("PAQ",'Informacion '!P:Q,2,FALSE),"")</f>
        <v>Paquete</v>
      </c>
      <c r="D4184" s="94">
        <v>110</v>
      </c>
      <c r="E4184" s="84">
        <v>390</v>
      </c>
      <c r="F4184" s="83">
        <f t="shared" ca="1" si="181"/>
        <v>42900</v>
      </c>
    </row>
    <row r="4185" spans="1:10" ht="14.1" customHeight="1" x14ac:dyDescent="0.25">
      <c r="A4185" s="94" t="s">
        <v>19779</v>
      </c>
      <c r="B4185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85" s="95" t="str">
        <f>IFERROR(VLOOKUP("PAQ",'Informacion '!P:Q,2,FALSE),"")</f>
        <v>Paquete</v>
      </c>
      <c r="D4185" s="94">
        <v>110</v>
      </c>
      <c r="E4185" s="84">
        <v>406</v>
      </c>
      <c r="F4185" s="83">
        <f t="shared" ca="1" si="181"/>
        <v>44660</v>
      </c>
    </row>
    <row r="4186" spans="1:10" ht="14.1" customHeight="1" x14ac:dyDescent="0.25">
      <c r="A4186" s="94" t="s">
        <v>19779</v>
      </c>
      <c r="B4186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86" s="95" t="str">
        <f>IFERROR(VLOOKUP("UD",'Informacion '!P:Q,2,FALSE),"")</f>
        <v>Unidad</v>
      </c>
      <c r="D4186" s="94">
        <v>220</v>
      </c>
      <c r="E4186" s="84">
        <v>1875</v>
      </c>
      <c r="F4186" s="83">
        <f t="shared" ca="1" si="181"/>
        <v>412500</v>
      </c>
    </row>
    <row r="4187" spans="1:10" ht="14.1" customHeight="1" x14ac:dyDescent="0.25">
      <c r="A4187" s="94" t="s">
        <v>19779</v>
      </c>
      <c r="B4187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87" s="95" t="str">
        <f>IFERROR(VLOOKUP("PAQ",'Informacion '!P:Q,2,FALSE),"")</f>
        <v>Paquete</v>
      </c>
      <c r="D4187" s="94">
        <v>26</v>
      </c>
      <c r="E4187" s="84">
        <v>140</v>
      </c>
      <c r="F4187" s="83">
        <f t="shared" ca="1" si="181"/>
        <v>3640</v>
      </c>
    </row>
    <row r="4188" spans="1:10" ht="14.1" customHeight="1" x14ac:dyDescent="0.25">
      <c r="A4188" s="94" t="s">
        <v>11636</v>
      </c>
      <c r="B4188" s="82" t="str">
        <f ca="1">IFERROR(INDEX(UNSPSCDes,MATCH(INDIRECT(ADDRESS(ROW(),COLUMN()-1,4)),UNSPSCCode,0)),IF(INDIRECT(ADDRESS(ROW(),COLUMN()-1,4))="24121807","Recipientes de plástico",""))</f>
        <v>Recipientes de plástico</v>
      </c>
      <c r="C4188" s="95" t="str">
        <f>IFERROR(VLOOKUP("PAQ",'Informacion '!P:Q,2,FALSE),"")</f>
        <v>Paquete</v>
      </c>
      <c r="D4188" s="94">
        <v>610</v>
      </c>
      <c r="E4188" s="84">
        <v>60</v>
      </c>
      <c r="F4188" s="83">
        <f t="shared" ca="1" si="181"/>
        <v>36600</v>
      </c>
    </row>
    <row r="4189" spans="1:10" ht="14.1" customHeight="1" x14ac:dyDescent="0.25">
      <c r="A4189" s="94" t="s">
        <v>19779</v>
      </c>
      <c r="B4189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89" s="95" t="str">
        <f>IFERROR(VLOOKUP("CAJ",'Informacion '!P:Q,2,FALSE),"")</f>
        <v>Caja</v>
      </c>
      <c r="D4189" s="94">
        <v>12</v>
      </c>
      <c r="E4189" s="84">
        <v>650</v>
      </c>
      <c r="F4189" s="83">
        <f t="shared" ca="1" si="181"/>
        <v>7800</v>
      </c>
    </row>
    <row r="4190" spans="1:10" ht="14.1" customHeight="1" x14ac:dyDescent="0.25">
      <c r="A4190" s="94" t="s">
        <v>19779</v>
      </c>
      <c r="B4190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4190" s="95" t="str">
        <f>IFERROR(VLOOKUP("CAJ",'Informacion '!P:Q,2,FALSE),"")</f>
        <v>Caja</v>
      </c>
      <c r="D4190" s="94">
        <v>135</v>
      </c>
      <c r="E4190" s="84">
        <v>650</v>
      </c>
      <c r="F4190" s="83">
        <f t="shared" ca="1" si="181"/>
        <v>87750</v>
      </c>
    </row>
    <row r="4191" spans="1:10" ht="14.1" customHeight="1" x14ac:dyDescent="0.25">
      <c r="E4191" s="96" t="s">
        <v>7213</v>
      </c>
      <c r="F4191" s="87">
        <f ca="1">SUM(Table120[MONTO TOTAL ESTIMADO])</f>
        <v>1988025.4</v>
      </c>
      <c r="H4191" s="39" t="str">
        <f>C4159</f>
        <v>Bienes</v>
      </c>
      <c r="I4191" s="39" t="str">
        <f>E4159</f>
        <v>No</v>
      </c>
      <c r="J4191" s="39" t="str">
        <f>D4159</f>
        <v>Comparacion de Precios</v>
      </c>
    </row>
    <row r="4193" spans="1:6" ht="33.950000000000003" customHeight="1" x14ac:dyDescent="0.25">
      <c r="A4193" s="77" t="s">
        <v>17233</v>
      </c>
      <c r="B4193" s="77" t="s">
        <v>4237</v>
      </c>
      <c r="C4193" s="77" t="s">
        <v>4743</v>
      </c>
      <c r="D4193" s="77" t="s">
        <v>9891</v>
      </c>
      <c r="E4193" s="77" t="s">
        <v>3089</v>
      </c>
      <c r="F4193" s="77" t="s">
        <v>18141</v>
      </c>
    </row>
    <row r="4194" spans="1:6" ht="14.1" customHeight="1" x14ac:dyDescent="0.25">
      <c r="A4194" s="79" t="s">
        <v>7468</v>
      </c>
      <c r="B4194" s="79" t="s">
        <v>10353</v>
      </c>
      <c r="C4194" s="79" t="s">
        <v>17215</v>
      </c>
      <c r="D4194" s="79" t="s">
        <v>17798</v>
      </c>
      <c r="E4194" s="79" t="s">
        <v>18247</v>
      </c>
      <c r="F4194" s="79"/>
    </row>
    <row r="4195" spans="1:6" ht="14.1" customHeight="1" x14ac:dyDescent="0.25">
      <c r="A4195" s="2" t="s">
        <v>6643</v>
      </c>
      <c r="B4195" s="80" t="s">
        <v>1046</v>
      </c>
      <c r="C4195" s="90">
        <v>43467</v>
      </c>
      <c r="D4195" s="2" t="s">
        <v>59</v>
      </c>
      <c r="E4195" s="92" t="s">
        <v>20066</v>
      </c>
      <c r="F4195" s="93"/>
    </row>
    <row r="4196" spans="1:6" ht="14.1" customHeight="1" x14ac:dyDescent="0.25">
      <c r="A4196" s="1"/>
      <c r="B4196" s="80" t="s">
        <v>10788</v>
      </c>
      <c r="C4196" s="91">
        <f>IF(C4195="","",IF(AND(MONTH(C4195)&gt;=1,MONTH(C4195)&lt;=3),1,IF(AND(MONTH(C4195)&gt;=4,MONTH(C4195)&lt;=6),2,IF(AND(MONTH(C4195)&gt;=7,MONTH(C4195)&lt;=9),3,4))))</f>
        <v>1</v>
      </c>
      <c r="D4196" s="1"/>
      <c r="E4196" s="92" t="s">
        <v>14822</v>
      </c>
      <c r="F4196" s="93"/>
    </row>
    <row r="4197" spans="1:6" ht="14.1" customHeight="1" x14ac:dyDescent="0.25">
      <c r="A4197" s="1"/>
      <c r="B4197" s="80" t="s">
        <v>13758</v>
      </c>
      <c r="C4197" s="90">
        <v>43553</v>
      </c>
      <c r="D4197" s="1"/>
      <c r="E4197" s="92" t="s">
        <v>18636</v>
      </c>
      <c r="F4197" s="93"/>
    </row>
    <row r="4198" spans="1:6" ht="14.1" customHeight="1" x14ac:dyDescent="0.25">
      <c r="A4198" s="1"/>
      <c r="B4198" s="80" t="s">
        <v>10788</v>
      </c>
      <c r="C4198" s="91">
        <f>IF(C4197="","",IF(AND(MONTH(C4197)&gt;=1,MONTH(C4197)&lt;=3),1,IF(AND(MONTH(C4197)&gt;=4,MONTH(C4197)&lt;=6),2,IF(AND(MONTH(C4197)&gt;=7,MONTH(C4197)&lt;=9),3,4))))</f>
        <v>1</v>
      </c>
      <c r="D4198" s="1"/>
      <c r="E4198" s="92" t="s">
        <v>15990</v>
      </c>
      <c r="F4198" s="93"/>
    </row>
    <row r="4200" spans="1:6" ht="14.1" customHeight="1" x14ac:dyDescent="0.25">
      <c r="A4200" s="85" t="s">
        <v>15474</v>
      </c>
      <c r="B4200" s="85" t="s">
        <v>5027</v>
      </c>
      <c r="C4200" s="85" t="s">
        <v>17461</v>
      </c>
      <c r="D4200" s="85" t="s">
        <v>3935</v>
      </c>
      <c r="E4200" s="85" t="s">
        <v>10722</v>
      </c>
      <c r="F4200" s="85" t="s">
        <v>18237</v>
      </c>
    </row>
    <row r="4201" spans="1:6" ht="14.1" customHeight="1" x14ac:dyDescent="0.25">
      <c r="A4201" s="94" t="s">
        <v>224</v>
      </c>
      <c r="B4201" s="82" t="str">
        <f ca="1">IFERROR(INDEX(UNSPSCDes,MATCH(INDIRECT(ADDRESS(ROW(),COLUMN()-1,4)),UNSPSCCode,0)),IF(INDIRECT(ADDRESS(ROW(),COLUMN()-1,4))="32101617","Tarjetas inteligentes",""))</f>
        <v>Tarjetas inteligentes</v>
      </c>
      <c r="C4201" s="95" t="str">
        <f>IFERROR(VLOOKUP("UD",'Informacion '!P:Q,2,FALSE),"")</f>
        <v>Unidad</v>
      </c>
      <c r="D4201" s="94">
        <v>5</v>
      </c>
      <c r="E4201" s="84">
        <v>35000</v>
      </c>
      <c r="F4201" s="83">
        <f t="shared" ref="F4201:F4226" ca="1" si="183">INDIRECT(ADDRESS(ROW(),COLUMN()-2,4))*INDIRECT(ADDRESS(ROW(),COLUMN()-1,4))</f>
        <v>175000</v>
      </c>
    </row>
    <row r="4202" spans="1:6" ht="14.1" customHeight="1" x14ac:dyDescent="0.25">
      <c r="A4202" s="94" t="s">
        <v>19682</v>
      </c>
      <c r="B4202" s="82" t="str">
        <f ca="1">IFERROR(INDEX(UNSPSCDes,MATCH(INDIRECT(ADDRESS(ROW(),COLUMN()-1,4)),UNSPSCCode,0)),IF(INDIRECT(ADDRESS(ROW(),COLUMN()-1,4))="46171606","Sirenas",""))</f>
        <v>Sirenas</v>
      </c>
      <c r="C4202" s="95" t="str">
        <f>IFERROR(VLOOKUP("UD",'Informacion '!P:Q,2,FALSE),"")</f>
        <v>Unidad</v>
      </c>
      <c r="D4202" s="94">
        <v>10</v>
      </c>
      <c r="E4202" s="84">
        <v>2500</v>
      </c>
      <c r="F4202" s="83">
        <f t="shared" ca="1" si="183"/>
        <v>25000</v>
      </c>
    </row>
    <row r="4203" spans="1:6" ht="14.1" customHeight="1" x14ac:dyDescent="0.25">
      <c r="A4203" s="94" t="s">
        <v>10288</v>
      </c>
      <c r="B4203" s="82" t="str">
        <f ca="1">IFERROR(INDEX(UNSPSCDes,MATCH(INDIRECT(ADDRESS(ROW(),COLUMN()-1,4)),UNSPSCCode,0)),IF(INDIRECT(ADDRESS(ROW(),COLUMN()-1,4))="92121504","Servicios de guardas de seguridad",""))</f>
        <v>Servicios de guardas de seguridad</v>
      </c>
      <c r="C4203" s="95" t="str">
        <f>IFERROR(VLOOKUP("UD",'Informacion '!P:Q,2,FALSE),"")</f>
        <v>Unidad</v>
      </c>
      <c r="D4203" s="94">
        <v>3</v>
      </c>
      <c r="E4203" s="84">
        <v>230000</v>
      </c>
      <c r="F4203" s="83">
        <f t="shared" ca="1" si="183"/>
        <v>690000</v>
      </c>
    </row>
    <row r="4204" spans="1:6" ht="14.1" customHeight="1" x14ac:dyDescent="0.25">
      <c r="A4204" s="94" t="s">
        <v>12643</v>
      </c>
      <c r="B4204" s="82" t="str">
        <f ca="1">IFERROR(INDEX(UNSPSCDes,MATCH(INDIRECT(ADDRESS(ROW(),COLUMN()-1,4)),UNSPSCCode,0)),IF(INDIRECT(ADDRESS(ROW(),COLUMN()-1,4))="46191601","Extintores",""))</f>
        <v>Extintores</v>
      </c>
      <c r="C4204" s="95" t="str">
        <f>IFERROR(VLOOKUP("UD",'Informacion '!P:Q,2,FALSE),"")</f>
        <v>Unidad</v>
      </c>
      <c r="D4204" s="94">
        <v>1</v>
      </c>
      <c r="E4204" s="84">
        <v>70000</v>
      </c>
      <c r="F4204" s="83">
        <f t="shared" ca="1" si="183"/>
        <v>70000</v>
      </c>
    </row>
    <row r="4205" spans="1:6" ht="14.1" customHeight="1" x14ac:dyDescent="0.25">
      <c r="A4205" s="94" t="s">
        <v>9278</v>
      </c>
      <c r="B4205" s="82" t="str">
        <f ca="1">IFERROR(INDEX(UNSPSCDes,MATCH(INDIRECT(ADDRESS(ROW(),COLUMN()-1,4)),UNSPSCCode,0)),IF(INDIRECT(ADDRESS(ROW(),COLUMN()-1,4))="52161511","Radios",""))</f>
        <v>Radios</v>
      </c>
      <c r="C4205" s="95" t="str">
        <f>IFERROR(VLOOKUP("UD",'Informacion '!P:Q,2,FALSE),"")</f>
        <v>Unidad</v>
      </c>
      <c r="D4205" s="94">
        <v>16</v>
      </c>
      <c r="E4205" s="84">
        <v>8000</v>
      </c>
      <c r="F4205" s="83">
        <f t="shared" ca="1" si="183"/>
        <v>128000</v>
      </c>
    </row>
    <row r="4206" spans="1:6" ht="14.1" customHeight="1" x14ac:dyDescent="0.25">
      <c r="A4206" s="94" t="s">
        <v>9278</v>
      </c>
      <c r="B4206" s="82" t="str">
        <f ca="1">IFERROR(INDEX(UNSPSCDes,MATCH(INDIRECT(ADDRESS(ROW(),COLUMN()-1,4)),UNSPSCCode,0)),IF(INDIRECT(ADDRESS(ROW(),COLUMN()-1,4))="52161511","Radios",""))</f>
        <v>Radios</v>
      </c>
      <c r="C4206" s="95" t="str">
        <f>IFERROR(VLOOKUP("UD",'Informacion '!P:Q,2,FALSE),"")</f>
        <v>Unidad</v>
      </c>
      <c r="D4206" s="94">
        <v>16</v>
      </c>
      <c r="E4206" s="84">
        <v>19000</v>
      </c>
      <c r="F4206" s="83">
        <f t="shared" ca="1" si="183"/>
        <v>304000</v>
      </c>
    </row>
    <row r="4207" spans="1:6" ht="14.1" customHeight="1" x14ac:dyDescent="0.25">
      <c r="A4207" s="94" t="s">
        <v>846</v>
      </c>
      <c r="B4207" s="82" t="str">
        <f ca="1">IFERROR(INDEX(UNSPSCDes,MATCH(INDIRECT(ADDRESS(ROW(),COLUMN()-1,4)),UNSPSCCode,0)),IF(INDIRECT(ADDRESS(ROW(),COLUMN()-1,4))="27112718","Grabadores",""))</f>
        <v>Grabadores</v>
      </c>
      <c r="C4207" s="95" t="str">
        <f>IFERROR(VLOOKUP("UD",'Informacion '!P:Q,2,FALSE),"")</f>
        <v>Unidad</v>
      </c>
      <c r="D4207" s="94">
        <v>1</v>
      </c>
      <c r="E4207" s="84">
        <v>40000</v>
      </c>
      <c r="F4207" s="83">
        <f t="shared" ca="1" si="183"/>
        <v>40000</v>
      </c>
    </row>
    <row r="4208" spans="1:6" ht="14.1" customHeight="1" x14ac:dyDescent="0.25">
      <c r="A4208" s="94" t="s">
        <v>2743</v>
      </c>
      <c r="B4208" s="82" t="str">
        <f ca="1">IFERROR(INDEX(UNSPSCDes,MATCH(INDIRECT(ADDRESS(ROW(),COLUMN()-1,4)),UNSPSCCode,0)),IF(INDIRECT(ADDRESS(ROW(),COLUMN()-1,4))="43211708","Mouse o bola de seguimiento para computador",""))</f>
        <v>Mouse o bola de seguimiento para computador</v>
      </c>
      <c r="C4208" s="95" t="str">
        <f>IFERROR(VLOOKUP("UD",'Informacion '!P:Q,2,FALSE),"")</f>
        <v>Unidad</v>
      </c>
      <c r="D4208" s="94">
        <v>3</v>
      </c>
      <c r="E4208" s="84">
        <v>600</v>
      </c>
      <c r="F4208" s="83">
        <f t="shared" ca="1" si="183"/>
        <v>1800</v>
      </c>
    </row>
    <row r="4209" spans="1:6" ht="14.1" customHeight="1" x14ac:dyDescent="0.25">
      <c r="A4209" s="94" t="s">
        <v>6913</v>
      </c>
      <c r="B4209" s="82" t="str">
        <f ca="1">IFERROR(INDEX(UNSPSCDes,MATCH(INDIRECT(ADDRESS(ROW(),COLUMN()-1,4)),UNSPSCCode,0)),IF(INDIRECT(ADDRESS(ROW(),COLUMN()-1,4))="43211721","Lectores de tarjetas perforadas",""))</f>
        <v>Lectores de tarjetas perforadas</v>
      </c>
      <c r="C4209" s="95" t="str">
        <f>IFERROR(VLOOKUP("UD",'Informacion '!P:Q,2,FALSE),"")</f>
        <v>Unidad</v>
      </c>
      <c r="D4209" s="94">
        <v>10</v>
      </c>
      <c r="E4209" s="84">
        <v>6000</v>
      </c>
      <c r="F4209" s="83">
        <f t="shared" ca="1" si="183"/>
        <v>60000</v>
      </c>
    </row>
    <row r="4210" spans="1:6" ht="14.1" customHeight="1" x14ac:dyDescent="0.25">
      <c r="A4210" s="94" t="s">
        <v>6913</v>
      </c>
      <c r="B4210" s="82" t="str">
        <f ca="1">IFERROR(INDEX(UNSPSCDes,MATCH(INDIRECT(ADDRESS(ROW(),COLUMN()-1,4)),UNSPSCCode,0)),IF(INDIRECT(ADDRESS(ROW(),COLUMN()-1,4))="43211721","Lectores de tarjetas perforadas",""))</f>
        <v>Lectores de tarjetas perforadas</v>
      </c>
      <c r="C4210" s="95" t="str">
        <f>IFERROR(VLOOKUP("UD",'Informacion '!P:Q,2,FALSE),"")</f>
        <v>Unidad</v>
      </c>
      <c r="D4210" s="94">
        <v>10</v>
      </c>
      <c r="E4210" s="84">
        <v>1900</v>
      </c>
      <c r="F4210" s="83">
        <f t="shared" ca="1" si="183"/>
        <v>19000</v>
      </c>
    </row>
    <row r="4211" spans="1:6" ht="14.1" customHeight="1" x14ac:dyDescent="0.25">
      <c r="A4211" s="94" t="s">
        <v>5659</v>
      </c>
      <c r="B4211" s="82" t="str">
        <f ca="1">IFERROR(INDEX(UNSPSCDes,MATCH(INDIRECT(ADDRESS(ROW(),COLUMN()-1,4)),UNSPSCCode,0)),IF(INDIRECT(ADDRESS(ROW(),COLUMN()-1,4))="31162108","Anclajes de amarre",""))</f>
        <v>Anclajes de amarre</v>
      </c>
      <c r="C4211" s="95" t="str">
        <f>IFERROR(VLOOKUP("UD",'Informacion '!P:Q,2,FALSE),"")</f>
        <v>Unidad</v>
      </c>
      <c r="D4211" s="94">
        <v>10</v>
      </c>
      <c r="E4211" s="84">
        <v>1500</v>
      </c>
      <c r="F4211" s="83">
        <f t="shared" ca="1" si="183"/>
        <v>15000</v>
      </c>
    </row>
    <row r="4212" spans="1:6" ht="14.1" customHeight="1" x14ac:dyDescent="0.25">
      <c r="A4212" s="94" t="s">
        <v>14328</v>
      </c>
      <c r="B4212" s="82" t="str">
        <f ca="1">IFERROR(INDEX(UNSPSCDes,MATCH(INDIRECT(ADDRESS(ROW(),COLUMN()-1,4)),UNSPSCCode,0)),IF(INDIRECT(ADDRESS(ROW(),COLUMN()-1,4))="43212105","Impresoras láser",""))</f>
        <v>Impresoras láser</v>
      </c>
      <c r="C4212" s="95" t="str">
        <f>IFERROR(VLOOKUP("UD",'Informacion '!P:Q,2,FALSE),"")</f>
        <v>Unidad</v>
      </c>
      <c r="D4212" s="94">
        <v>1</v>
      </c>
      <c r="E4212" s="84">
        <v>10000</v>
      </c>
      <c r="F4212" s="83">
        <f t="shared" ca="1" si="183"/>
        <v>10000</v>
      </c>
    </row>
    <row r="4213" spans="1:6" ht="14.1" customHeight="1" x14ac:dyDescent="0.25">
      <c r="A4213" s="94" t="s">
        <v>9278</v>
      </c>
      <c r="B4213" s="82" t="str">
        <f ca="1">IFERROR(INDEX(UNSPSCDes,MATCH(INDIRECT(ADDRESS(ROW(),COLUMN()-1,4)),UNSPSCCode,0)),IF(INDIRECT(ADDRESS(ROW(),COLUMN()-1,4))="52161511","Radios",""))</f>
        <v>Radios</v>
      </c>
      <c r="C4213" s="95" t="str">
        <f>IFERROR(VLOOKUP("UD",'Informacion '!P:Q,2,FALSE),"")</f>
        <v>Unidad</v>
      </c>
      <c r="D4213" s="94">
        <v>30</v>
      </c>
      <c r="E4213" s="84">
        <v>1500</v>
      </c>
      <c r="F4213" s="83">
        <f t="shared" ca="1" si="183"/>
        <v>45000</v>
      </c>
    </row>
    <row r="4214" spans="1:6" ht="14.1" customHeight="1" x14ac:dyDescent="0.25">
      <c r="A4214" s="94" t="s">
        <v>12718</v>
      </c>
      <c r="B4214" s="82" t="str">
        <f ca="1">IFERROR(INDEX(UNSPSCDes,MATCH(INDIRECT(ADDRESS(ROW(),COLUMN()-1,4)),UNSPSCCode,0)),IF(INDIRECT(ADDRESS(ROW(),COLUMN()-1,4))="43201803","Unidades de disco duro",""))</f>
        <v>Unidades de disco duro</v>
      </c>
      <c r="C4214" s="95" t="str">
        <f>IFERROR(VLOOKUP("UD",'Informacion '!P:Q,2,FALSE),"")</f>
        <v>Unidad</v>
      </c>
      <c r="D4214" s="94">
        <v>10</v>
      </c>
      <c r="E4214" s="84">
        <v>6000</v>
      </c>
      <c r="F4214" s="83">
        <f t="shared" ca="1" si="183"/>
        <v>60000</v>
      </c>
    </row>
    <row r="4215" spans="1:6" ht="14.1" customHeight="1" x14ac:dyDescent="0.25">
      <c r="A4215" s="94" t="s">
        <v>1118</v>
      </c>
      <c r="B4215" s="82" t="str">
        <f ca="1">IFERROR(INDEX(UNSPSCDes,MATCH(INDIRECT(ADDRESS(ROW(),COLUMN()-1,4)),UNSPSCCode,0)),IF(INDIRECT(ADDRESS(ROW(),COLUMN()-1,4))="31162402","Cerraduras",""))</f>
        <v>Cerraduras</v>
      </c>
      <c r="C4215" s="95" t="str">
        <f>IFERROR(VLOOKUP("UD",'Informacion '!P:Q,2,FALSE),"")</f>
        <v>Unidad</v>
      </c>
      <c r="D4215" s="94">
        <v>48</v>
      </c>
      <c r="E4215" s="84">
        <v>15830</v>
      </c>
      <c r="F4215" s="83">
        <f t="shared" ca="1" si="183"/>
        <v>759840</v>
      </c>
    </row>
    <row r="4216" spans="1:6" ht="14.1" customHeight="1" x14ac:dyDescent="0.25">
      <c r="A4216" s="94" t="s">
        <v>8753</v>
      </c>
      <c r="B4216" s="82" t="str">
        <f ca="1">IFERROR(INDEX(UNSPSCDes,MATCH(INDIRECT(ADDRESS(ROW(),COLUMN()-1,4)),UNSPSCCode,0)),IF(INDIRECT(ADDRESS(ROW(),COLUMN()-1,4))="46191501","Detectores de humo",""))</f>
        <v>Detectores de humo</v>
      </c>
      <c r="C4216" s="95" t="str">
        <f>IFERROR(VLOOKUP("UD",'Informacion '!P:Q,2,FALSE),"")</f>
        <v>Unidad</v>
      </c>
      <c r="D4216" s="94">
        <v>10</v>
      </c>
      <c r="E4216" s="84">
        <v>1500</v>
      </c>
      <c r="F4216" s="83">
        <f t="shared" ca="1" si="183"/>
        <v>15000</v>
      </c>
    </row>
    <row r="4217" spans="1:6" ht="14.1" customHeight="1" x14ac:dyDescent="0.25">
      <c r="A4217" s="94" t="s">
        <v>5205</v>
      </c>
      <c r="B4217" s="82" t="str">
        <f ca="1">IFERROR(INDEX(UNSPSCDes,MATCH(INDIRECT(ADDRESS(ROW(),COLUMN()-1,4)),UNSPSCCode,0)),IF(INDIRECT(ADDRESS(ROW(),COLUMN()-1,4))="26111702","Pilas alcalinas",""))</f>
        <v>Pilas alcalinas</v>
      </c>
      <c r="C4217" s="95" t="str">
        <f>IFERROR(VLOOKUP("UD",'Informacion '!P:Q,2,FALSE),"")</f>
        <v>Unidad</v>
      </c>
      <c r="D4217" s="94">
        <v>10</v>
      </c>
      <c r="E4217" s="84">
        <v>60</v>
      </c>
      <c r="F4217" s="83">
        <f t="shared" ca="1" si="183"/>
        <v>600</v>
      </c>
    </row>
    <row r="4218" spans="1:6" ht="14.1" customHeight="1" x14ac:dyDescent="0.25">
      <c r="A4218" s="94" t="s">
        <v>5205</v>
      </c>
      <c r="B4218" s="82" t="str">
        <f ca="1">IFERROR(INDEX(UNSPSCDes,MATCH(INDIRECT(ADDRESS(ROW(),COLUMN()-1,4)),UNSPSCCode,0)),IF(INDIRECT(ADDRESS(ROW(),COLUMN()-1,4))="26111702","Pilas alcalinas",""))</f>
        <v>Pilas alcalinas</v>
      </c>
      <c r="C4218" s="95" t="str">
        <f>IFERROR(VLOOKUP("UD",'Informacion '!P:Q,2,FALSE),"")</f>
        <v>Unidad</v>
      </c>
      <c r="D4218" s="94">
        <v>10</v>
      </c>
      <c r="E4218" s="84">
        <v>50</v>
      </c>
      <c r="F4218" s="83">
        <f t="shared" ca="1" si="183"/>
        <v>500</v>
      </c>
    </row>
    <row r="4219" spans="1:6" ht="14.1" customHeight="1" x14ac:dyDescent="0.25">
      <c r="A4219" s="94" t="s">
        <v>5205</v>
      </c>
      <c r="B4219" s="82" t="str">
        <f ca="1">IFERROR(INDEX(UNSPSCDes,MATCH(INDIRECT(ADDRESS(ROW(),COLUMN()-1,4)),UNSPSCCode,0)),IF(INDIRECT(ADDRESS(ROW(),COLUMN()-1,4))="26111702","Pilas alcalinas",""))</f>
        <v>Pilas alcalinas</v>
      </c>
      <c r="C4219" s="95" t="str">
        <f>IFERROR(VLOOKUP("UD",'Informacion '!P:Q,2,FALSE),"")</f>
        <v>Unidad</v>
      </c>
      <c r="D4219" s="94">
        <v>12</v>
      </c>
      <c r="E4219" s="84">
        <v>120</v>
      </c>
      <c r="F4219" s="83">
        <f t="shared" ca="1" si="183"/>
        <v>1440</v>
      </c>
    </row>
    <row r="4220" spans="1:6" ht="14.1" customHeight="1" x14ac:dyDescent="0.25">
      <c r="A4220" s="94" t="s">
        <v>11689</v>
      </c>
      <c r="B4220" s="82" t="str">
        <f ca="1">IFERROR(INDEX(UNSPSCDes,MATCH(INDIRECT(ADDRESS(ROW(),COLUMN()-1,4)),UNSPSCCode,0)),IF(INDIRECT(ADDRESS(ROW(),COLUMN()-1,4))="41111903","Detectores de metales",""))</f>
        <v>Detectores de metales</v>
      </c>
      <c r="C4220" s="95" t="str">
        <f>IFERROR(VLOOKUP("UD",'Informacion '!P:Q,2,FALSE),"")</f>
        <v>Unidad</v>
      </c>
      <c r="D4220" s="94">
        <v>2</v>
      </c>
      <c r="E4220" s="84">
        <v>390000</v>
      </c>
      <c r="F4220" s="83">
        <f t="shared" ca="1" si="183"/>
        <v>780000</v>
      </c>
    </row>
    <row r="4221" spans="1:6" ht="14.1" customHeight="1" x14ac:dyDescent="0.25">
      <c r="A4221" s="94" t="s">
        <v>488</v>
      </c>
      <c r="B4221" s="82" t="str">
        <f ca="1">IFERROR(INDEX(UNSPSCDes,MATCH(INDIRECT(ADDRESS(ROW(),COLUMN()-1,4)),UNSPSCCode,0)),IF(INDIRECT(ADDRESS(ROW(),COLUMN()-1,4))="53102505","Sombrillas",""))</f>
        <v>Sombrillas</v>
      </c>
      <c r="C4221" s="95" t="str">
        <f>IFERROR(VLOOKUP("UD",'Informacion '!P:Q,2,FALSE),"")</f>
        <v>Unidad</v>
      </c>
      <c r="D4221" s="94">
        <v>5</v>
      </c>
      <c r="E4221" s="84">
        <v>350</v>
      </c>
      <c r="F4221" s="83">
        <f t="shared" ca="1" si="183"/>
        <v>1750</v>
      </c>
    </row>
    <row r="4222" spans="1:6" ht="14.1" customHeight="1" x14ac:dyDescent="0.25">
      <c r="A4222" s="94" t="s">
        <v>10929</v>
      </c>
      <c r="B4222" s="82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4222" s="95" t="str">
        <f>IFERROR(VLOOKUP("UD",'Informacion '!P:Q,2,FALSE),"")</f>
        <v>Unidad</v>
      </c>
      <c r="D4222" s="94">
        <v>15</v>
      </c>
      <c r="E4222" s="84">
        <v>500</v>
      </c>
      <c r="F4222" s="83">
        <f t="shared" ca="1" si="183"/>
        <v>7500</v>
      </c>
    </row>
    <row r="4223" spans="1:6" ht="14.1" customHeight="1" x14ac:dyDescent="0.25">
      <c r="A4223" s="94" t="s">
        <v>10929</v>
      </c>
      <c r="B4223" s="82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4223" s="95" t="str">
        <f>IFERROR(VLOOKUP("UD",'Informacion '!P:Q,2,FALSE),"")</f>
        <v>Unidad</v>
      </c>
      <c r="D4223" s="94">
        <v>15</v>
      </c>
      <c r="E4223" s="84">
        <v>4500</v>
      </c>
      <c r="F4223" s="83">
        <f t="shared" ca="1" si="183"/>
        <v>67500</v>
      </c>
    </row>
    <row r="4224" spans="1:6" ht="14.1" customHeight="1" x14ac:dyDescent="0.25">
      <c r="A4224" s="94" t="s">
        <v>12643</v>
      </c>
      <c r="B4224" s="82" t="str">
        <f ca="1">IFERROR(INDEX(UNSPSCDes,MATCH(INDIRECT(ADDRESS(ROW(),COLUMN()-1,4)),UNSPSCCode,0)),IF(INDIRECT(ADDRESS(ROW(),COLUMN()-1,4))="46191601","Extintores",""))</f>
        <v>Extintores</v>
      </c>
      <c r="C4224" s="95" t="str">
        <f>IFERROR(VLOOKUP("UD",'Informacion '!P:Q,2,FALSE),"")</f>
        <v>Unidad</v>
      </c>
      <c r="D4224" s="94">
        <v>1</v>
      </c>
      <c r="E4224" s="84">
        <v>50000</v>
      </c>
      <c r="F4224" s="83">
        <f t="shared" ca="1" si="183"/>
        <v>50000</v>
      </c>
    </row>
    <row r="4225" spans="1:10" ht="14.1" customHeight="1" x14ac:dyDescent="0.25">
      <c r="A4225" s="94" t="s">
        <v>9530</v>
      </c>
      <c r="B4225" s="82" t="str">
        <f ca="1">IFERROR(INDEX(UNSPSCDes,MATCH(INDIRECT(ADDRESS(ROW(),COLUMN()-1,4)),UNSPSCCode,0)),IF(INDIRECT(ADDRESS(ROW(),COLUMN()-1,4))="46181507","Chalecos de seguridad",""))</f>
        <v>Chalecos de seguridad</v>
      </c>
      <c r="C4225" s="95" t="str">
        <f>IFERROR(VLOOKUP("UD",'Informacion '!P:Q,2,FALSE),"")</f>
        <v>Unidad</v>
      </c>
      <c r="D4225" s="94">
        <v>30</v>
      </c>
      <c r="E4225" s="84">
        <v>250</v>
      </c>
      <c r="F4225" s="83">
        <f t="shared" ca="1" si="183"/>
        <v>7500</v>
      </c>
    </row>
    <row r="4226" spans="1:10" ht="14.1" customHeight="1" x14ac:dyDescent="0.25">
      <c r="A4226" s="94" t="s">
        <v>8154</v>
      </c>
      <c r="B4226" s="82" t="str">
        <f ca="1">IFERROR(INDEX(UNSPSCDes,MATCH(INDIRECT(ADDRESS(ROW(),COLUMN()-1,4)),UNSPSCCode,0)),IF(INDIRECT(ADDRESS(ROW(),COLUMN()-1,4))="52161533","Megáfonos",""))</f>
        <v>Megáfonos</v>
      </c>
      <c r="C4226" s="95" t="str">
        <f>IFERROR(VLOOKUP("UD",'Informacion '!P:Q,2,FALSE),"")</f>
        <v>Unidad</v>
      </c>
      <c r="D4226" s="94">
        <v>10</v>
      </c>
      <c r="E4226" s="84">
        <v>1500</v>
      </c>
      <c r="F4226" s="83">
        <f t="shared" ca="1" si="183"/>
        <v>15000</v>
      </c>
    </row>
    <row r="4227" spans="1:10" ht="14.1" customHeight="1" x14ac:dyDescent="0.25">
      <c r="E4227" s="96" t="s">
        <v>7213</v>
      </c>
      <c r="F4227" s="87">
        <f ca="1">SUM(Table121[MONTO TOTAL ESTIMADO])</f>
        <v>3349430</v>
      </c>
      <c r="H4227" s="39" t="str">
        <f>C4194</f>
        <v>Bienes</v>
      </c>
      <c r="I4227" s="39" t="str">
        <f>E4194</f>
        <v>No</v>
      </c>
      <c r="J4227" s="39" t="str">
        <f>D4194</f>
        <v>Compras Menores</v>
      </c>
    </row>
    <row r="4229" spans="1:10" ht="33.950000000000003" customHeight="1" x14ac:dyDescent="0.25">
      <c r="A4229" s="77" t="s">
        <v>17233</v>
      </c>
      <c r="B4229" s="77" t="s">
        <v>4237</v>
      </c>
      <c r="C4229" s="77" t="s">
        <v>4743</v>
      </c>
      <c r="D4229" s="77" t="s">
        <v>9891</v>
      </c>
      <c r="E4229" s="77" t="s">
        <v>3089</v>
      </c>
      <c r="F4229" s="77" t="s">
        <v>18141</v>
      </c>
    </row>
    <row r="4230" spans="1:10" ht="14.1" customHeight="1" x14ac:dyDescent="0.25">
      <c r="A4230" s="79" t="s">
        <v>2611</v>
      </c>
      <c r="B4230" s="79" t="s">
        <v>10353</v>
      </c>
      <c r="C4230" s="79" t="s">
        <v>17215</v>
      </c>
      <c r="D4230" s="79" t="s">
        <v>17798</v>
      </c>
      <c r="E4230" s="79" t="s">
        <v>18247</v>
      </c>
      <c r="F4230" s="79"/>
    </row>
    <row r="4231" spans="1:10" ht="14.1" customHeight="1" x14ac:dyDescent="0.25">
      <c r="A4231" s="2" t="s">
        <v>6643</v>
      </c>
      <c r="B4231" s="80" t="s">
        <v>1046</v>
      </c>
      <c r="C4231" s="90">
        <v>43556</v>
      </c>
      <c r="D4231" s="2" t="s">
        <v>59</v>
      </c>
      <c r="E4231" s="92" t="s">
        <v>20066</v>
      </c>
      <c r="F4231" s="93" t="s">
        <v>5684</v>
      </c>
    </row>
    <row r="4232" spans="1:10" ht="14.1" customHeight="1" x14ac:dyDescent="0.25">
      <c r="A4232" s="1"/>
      <c r="B4232" s="80" t="s">
        <v>10788</v>
      </c>
      <c r="C4232" s="91">
        <f>IF(C4231="","",IF(AND(MONTH(C4231)&gt;=1,MONTH(C4231)&lt;=3),1,IF(AND(MONTH(C4231)&gt;=4,MONTH(C4231)&lt;=6),2,IF(AND(MONTH(C4231)&gt;=7,MONTH(C4231)&lt;=9),3,4))))</f>
        <v>2</v>
      </c>
      <c r="D4232" s="1"/>
      <c r="E4232" s="92" t="s">
        <v>14822</v>
      </c>
      <c r="F4232" s="93"/>
    </row>
    <row r="4233" spans="1:10" ht="14.1" customHeight="1" x14ac:dyDescent="0.25">
      <c r="A4233" s="1"/>
      <c r="B4233" s="80" t="s">
        <v>13758</v>
      </c>
      <c r="C4233" s="90">
        <v>43644</v>
      </c>
      <c r="D4233" s="1"/>
      <c r="E4233" s="92" t="s">
        <v>18636</v>
      </c>
      <c r="F4233" s="93"/>
    </row>
    <row r="4234" spans="1:10" ht="14.1" customHeight="1" x14ac:dyDescent="0.25">
      <c r="A4234" s="1"/>
      <c r="B4234" s="80" t="s">
        <v>10788</v>
      </c>
      <c r="C4234" s="91">
        <f>IF(C4233="","",IF(AND(MONTH(C4233)&gt;=1,MONTH(C4233)&lt;=3),1,IF(AND(MONTH(C4233)&gt;=4,MONTH(C4233)&lt;=6),2,IF(AND(MONTH(C4233)&gt;=7,MONTH(C4233)&lt;=9),3,4))))</f>
        <v>2</v>
      </c>
      <c r="D4234" s="1"/>
      <c r="E4234" s="92" t="s">
        <v>15990</v>
      </c>
      <c r="F4234" s="93"/>
    </row>
    <row r="4236" spans="1:10" ht="14.1" customHeight="1" x14ac:dyDescent="0.25">
      <c r="A4236" s="85" t="s">
        <v>15474</v>
      </c>
      <c r="B4236" s="85" t="s">
        <v>5027</v>
      </c>
      <c r="C4236" s="85" t="s">
        <v>17461</v>
      </c>
      <c r="D4236" s="85" t="s">
        <v>3935</v>
      </c>
      <c r="E4236" s="85" t="s">
        <v>10722</v>
      </c>
      <c r="F4236" s="85" t="s">
        <v>18237</v>
      </c>
    </row>
    <row r="4237" spans="1:10" ht="14.1" customHeight="1" x14ac:dyDescent="0.25">
      <c r="A4237" s="94" t="s">
        <v>10966</v>
      </c>
      <c r="B4237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237" s="95" t="str">
        <f>IFERROR(VLOOKUP("UD",'Informacion '!P:Q,2,FALSE),"")</f>
        <v>Unidad</v>
      </c>
      <c r="D4237" s="94">
        <v>1</v>
      </c>
      <c r="E4237" s="84">
        <v>30000</v>
      </c>
      <c r="F4237" s="83">
        <f t="shared" ref="F4237:F4268" ca="1" si="184">INDIRECT(ADDRESS(ROW(),COLUMN()-2,4))*INDIRECT(ADDRESS(ROW(),COLUMN()-1,4))</f>
        <v>30000</v>
      </c>
    </row>
    <row r="4238" spans="1:10" ht="14.1" customHeight="1" x14ac:dyDescent="0.25">
      <c r="A4238" s="94" t="s">
        <v>10966</v>
      </c>
      <c r="B4238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238" s="95" t="str">
        <f>IFERROR(VLOOKUP("UD",'Informacion '!P:Q,2,FALSE),"")</f>
        <v>Unidad</v>
      </c>
      <c r="D4238" s="94">
        <v>2</v>
      </c>
      <c r="E4238" s="84">
        <v>30000</v>
      </c>
      <c r="F4238" s="83">
        <f t="shared" ca="1" si="184"/>
        <v>60000</v>
      </c>
    </row>
    <row r="4239" spans="1:10" ht="14.1" customHeight="1" x14ac:dyDescent="0.25">
      <c r="A4239" s="94" t="s">
        <v>10966</v>
      </c>
      <c r="B4239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239" s="95" t="str">
        <f>IFERROR(VLOOKUP("UD",'Informacion '!P:Q,2,FALSE),"")</f>
        <v>Unidad</v>
      </c>
      <c r="D4239" s="94">
        <v>3</v>
      </c>
      <c r="E4239" s="84">
        <v>30000</v>
      </c>
      <c r="F4239" s="83">
        <f t="shared" ca="1" si="184"/>
        <v>90000</v>
      </c>
    </row>
    <row r="4240" spans="1:10" ht="14.1" customHeight="1" x14ac:dyDescent="0.25">
      <c r="A4240" s="94" t="s">
        <v>10966</v>
      </c>
      <c r="B4240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240" s="95" t="str">
        <f>IFERROR(VLOOKUP("UD",'Informacion '!P:Q,2,FALSE),"")</f>
        <v>Unidad</v>
      </c>
      <c r="D4240" s="94">
        <v>2</v>
      </c>
      <c r="E4240" s="84">
        <v>30000</v>
      </c>
      <c r="F4240" s="83">
        <f t="shared" ca="1" si="184"/>
        <v>60000</v>
      </c>
    </row>
    <row r="4241" spans="1:6" ht="14.1" customHeight="1" x14ac:dyDescent="0.25">
      <c r="A4241" s="94" t="s">
        <v>15375</v>
      </c>
      <c r="B4241" s="82" t="str">
        <f ca="1">IFERROR(INDEX(UNSPSCDes,MATCH(INDIRECT(ADDRESS(ROW(),COLUMN()-1,4)),UNSPSCCode,0)),IF(INDIRECT(ADDRESS(ROW(),COLUMN()-1,4))="85121609","Servicios de  cirugía",""))</f>
        <v>Servicios de  cirugía</v>
      </c>
      <c r="C4241" s="95" t="str">
        <f>IFERROR(VLOOKUP("UD",'Informacion '!P:Q,2,FALSE),"")</f>
        <v>Unidad</v>
      </c>
      <c r="D4241" s="94">
        <v>4</v>
      </c>
      <c r="E4241" s="84">
        <v>30000</v>
      </c>
      <c r="F4241" s="83">
        <f t="shared" ca="1" si="184"/>
        <v>120000</v>
      </c>
    </row>
    <row r="4242" spans="1:6" ht="14.1" customHeight="1" x14ac:dyDescent="0.25">
      <c r="A4242" s="94" t="s">
        <v>11415</v>
      </c>
      <c r="B4242" s="82" t="str">
        <f ca="1">IFERROR(INDEX(UNSPSCDes,MATCH(INDIRECT(ADDRESS(ROW(),COLUMN()-1,4)),UNSPSCCode,0)),IF(INDIRECT(ADDRESS(ROW(),COLUMN()-1,4))="42201803","Equipos de rayos x para mamografías",""))</f>
        <v>Equipos de rayos x para mamografías</v>
      </c>
      <c r="C4242" s="95" t="str">
        <f>IFERROR(VLOOKUP("UD",'Informacion '!P:Q,2,FALSE),"")</f>
        <v>Unidad</v>
      </c>
      <c r="D4242" s="94">
        <v>3</v>
      </c>
      <c r="E4242" s="84">
        <v>25000</v>
      </c>
      <c r="F4242" s="83">
        <f t="shared" ca="1" si="184"/>
        <v>75000</v>
      </c>
    </row>
    <row r="4243" spans="1:6" ht="14.1" customHeight="1" x14ac:dyDescent="0.25">
      <c r="A4243" s="94" t="s">
        <v>11415</v>
      </c>
      <c r="B4243" s="82" t="str">
        <f ca="1">IFERROR(INDEX(UNSPSCDes,MATCH(INDIRECT(ADDRESS(ROW(),COLUMN()-1,4)),UNSPSCCode,0)),IF(INDIRECT(ADDRESS(ROW(),COLUMN()-1,4))="42201803","Equipos de rayos x para mamografías",""))</f>
        <v>Equipos de rayos x para mamografías</v>
      </c>
      <c r="C4243" s="95" t="str">
        <f>IFERROR(VLOOKUP("UD",'Informacion '!P:Q,2,FALSE),"")</f>
        <v>Unidad</v>
      </c>
      <c r="D4243" s="94">
        <v>1</v>
      </c>
      <c r="E4243" s="84">
        <v>1700000</v>
      </c>
      <c r="F4243" s="83">
        <f t="shared" ca="1" si="184"/>
        <v>1700000</v>
      </c>
    </row>
    <row r="4244" spans="1:6" ht="14.1" customHeight="1" x14ac:dyDescent="0.25">
      <c r="A4244" s="94" t="s">
        <v>10618</v>
      </c>
      <c r="B4244" s="82" t="str">
        <f ca="1">IFERROR(INDEX(UNSPSCDes,MATCH(INDIRECT(ADDRESS(ROW(),COLUMN()-1,4)),UNSPSCCode,0)),IF(INDIRECT(ADDRESS(ROW(),COLUMN()-1,4))="41102916","Micrótomos",""))</f>
        <v>Micrótomos</v>
      </c>
      <c r="C4244" s="95" t="str">
        <f>IFERROR(VLOOKUP("UD",'Informacion '!P:Q,2,FALSE),"")</f>
        <v>Unidad</v>
      </c>
      <c r="D4244" s="94">
        <v>1</v>
      </c>
      <c r="E4244" s="84">
        <v>25000</v>
      </c>
      <c r="F4244" s="83">
        <f t="shared" ca="1" si="184"/>
        <v>25000</v>
      </c>
    </row>
    <row r="4245" spans="1:6" ht="14.1" customHeight="1" x14ac:dyDescent="0.25">
      <c r="A4245" s="94" t="s">
        <v>1214</v>
      </c>
      <c r="B4245" s="82" t="str">
        <f ca="1">IFERROR(INDEX(UNSPSCDes,MATCH(INDIRECT(ADDRESS(ROW(),COLUMN()-1,4)),UNSPSCCode,0)),IF(INDIRECT(ADDRESS(ROW(),COLUMN()-1,4))="42202001","Cámaras gamma de uso general para uso médico",""))</f>
        <v>Cámaras gamma de uso general para uso médico</v>
      </c>
      <c r="C4245" s="95" t="str">
        <f>IFERROR(VLOOKUP("UD",'Informacion '!P:Q,2,FALSE),"")</f>
        <v>Unidad</v>
      </c>
      <c r="D4245" s="94">
        <v>1</v>
      </c>
      <c r="E4245" s="84">
        <v>80000</v>
      </c>
      <c r="F4245" s="83">
        <f t="shared" ca="1" si="184"/>
        <v>80000</v>
      </c>
    </row>
    <row r="4246" spans="1:6" ht="14.1" customHeight="1" x14ac:dyDescent="0.25">
      <c r="A4246" s="94" t="s">
        <v>17604</v>
      </c>
      <c r="B4246" s="82" t="str">
        <f ca="1">IFERROR(INDEX(UNSPSCDes,MATCH(INDIRECT(ADDRESS(ROW(),COLUMN()-1,4)),UNSPSCCode,0)),IF(INDIRECT(ADDRESS(ROW(),COLUMN()-1,4))="60104807","Equipo de resonancia",""))</f>
        <v>Equipo de resonancia</v>
      </c>
      <c r="C4246" s="95" t="str">
        <f>IFERROR(VLOOKUP("UD",'Informacion '!P:Q,2,FALSE),"")</f>
        <v>Unidad</v>
      </c>
      <c r="D4246" s="94">
        <v>1</v>
      </c>
      <c r="E4246" s="84">
        <v>90000</v>
      </c>
      <c r="F4246" s="83">
        <f t="shared" ca="1" si="184"/>
        <v>90000</v>
      </c>
    </row>
    <row r="4247" spans="1:6" ht="14.1" customHeight="1" x14ac:dyDescent="0.25">
      <c r="A4247" s="94" t="s">
        <v>10409</v>
      </c>
      <c r="B4247" s="82" t="str">
        <f ca="1">IFERROR(INDEX(UNSPSCDes,MATCH(INDIRECT(ADDRESS(ROW(),COLUMN()-1,4)),UNSPSCCode,0)),IF(INDIRECT(ADDRESS(ROW(),COLUMN()-1,4))="42201813","Unidades de tomografía de rayos x para uso médico",""))</f>
        <v>Unidades de tomografía de rayos x para uso médico</v>
      </c>
      <c r="C4247" s="95" t="str">
        <f>IFERROR(VLOOKUP("UD",'Informacion '!P:Q,2,FALSE),"")</f>
        <v>Unidad</v>
      </c>
      <c r="D4247" s="94">
        <v>1</v>
      </c>
      <c r="E4247" s="84">
        <v>60000</v>
      </c>
      <c r="F4247" s="83">
        <f t="shared" ca="1" si="184"/>
        <v>60000</v>
      </c>
    </row>
    <row r="4248" spans="1:6" ht="14.1" customHeight="1" x14ac:dyDescent="0.25">
      <c r="A4248" s="94" t="s">
        <v>10409</v>
      </c>
      <c r="B4248" s="82" t="str">
        <f ca="1">IFERROR(INDEX(UNSPSCDes,MATCH(INDIRECT(ADDRESS(ROW(),COLUMN()-1,4)),UNSPSCCode,0)),IF(INDIRECT(ADDRESS(ROW(),COLUMN()-1,4))="42201813","Unidades de tomografía de rayos x para uso médico",""))</f>
        <v>Unidades de tomografía de rayos x para uso médico</v>
      </c>
      <c r="C4248" s="95" t="str">
        <f>IFERROR(VLOOKUP("UD",'Informacion '!P:Q,2,FALSE),"")</f>
        <v>Unidad</v>
      </c>
      <c r="D4248" s="94">
        <v>1</v>
      </c>
      <c r="E4248" s="84">
        <v>70000</v>
      </c>
      <c r="F4248" s="83">
        <f t="shared" ca="1" si="184"/>
        <v>70000</v>
      </c>
    </row>
    <row r="4249" spans="1:6" ht="14.1" customHeight="1" x14ac:dyDescent="0.25">
      <c r="A4249" s="94" t="s">
        <v>1639</v>
      </c>
      <c r="B4249" s="82" t="str">
        <f ca="1">IFERROR(INDEX(UNSPSCDes,MATCH(INDIRECT(ADDRESS(ROW(),COLUMN()-1,4)),UNSPSCCode,0)),IF(INDIRECT(ADDRESS(ROW(),COLUMN()-1,4))="85121808","Servicios de laboratorios de rayos x",""))</f>
        <v>Servicios de laboratorios de rayos x</v>
      </c>
      <c r="C4249" s="95" t="str">
        <f>IFERROR(VLOOKUP("UD",'Informacion '!P:Q,2,FALSE),"")</f>
        <v>Unidad</v>
      </c>
      <c r="D4249" s="94">
        <v>1</v>
      </c>
      <c r="E4249" s="84">
        <v>60000</v>
      </c>
      <c r="F4249" s="83">
        <f t="shared" ca="1" si="184"/>
        <v>60000</v>
      </c>
    </row>
    <row r="4250" spans="1:6" ht="14.1" customHeight="1" x14ac:dyDescent="0.25">
      <c r="A4250" s="94" t="s">
        <v>12597</v>
      </c>
      <c r="B4250" s="82" t="str">
        <f ca="1">IFERROR(INDEX(UNSPSCDes,MATCH(INDIRECT(ADDRESS(ROW(),COLUMN()-1,4)),UNSPSCCode,0)),IF(INDIRECT(ADDRESS(ROW(),COLUMN()-1,4))="42281503","Esterilizadores de filtro",""))</f>
        <v>Esterilizadores de filtro</v>
      </c>
      <c r="C4250" s="95" t="str">
        <f>IFERROR(VLOOKUP("UD",'Informacion '!P:Q,2,FALSE),"")</f>
        <v>Unidad</v>
      </c>
      <c r="D4250" s="94">
        <v>2</v>
      </c>
      <c r="E4250" s="84">
        <v>50000</v>
      </c>
      <c r="F4250" s="83">
        <f t="shared" ca="1" si="184"/>
        <v>100000</v>
      </c>
    </row>
    <row r="4251" spans="1:6" ht="14.1" customHeight="1" x14ac:dyDescent="0.25">
      <c r="A4251" s="94" t="s">
        <v>12597</v>
      </c>
      <c r="B4251" s="82" t="str">
        <f ca="1">IFERROR(INDEX(UNSPSCDes,MATCH(INDIRECT(ADDRESS(ROW(),COLUMN()-1,4)),UNSPSCCode,0)),IF(INDIRECT(ADDRESS(ROW(),COLUMN()-1,4))="42281503","Esterilizadores de filtro",""))</f>
        <v>Esterilizadores de filtro</v>
      </c>
      <c r="C4251" s="95" t="str">
        <f>IFERROR(VLOOKUP("UD",'Informacion '!P:Q,2,FALSE),"")</f>
        <v>Unidad</v>
      </c>
      <c r="D4251" s="94">
        <v>1</v>
      </c>
      <c r="E4251" s="84">
        <v>60000</v>
      </c>
      <c r="F4251" s="83">
        <f t="shared" ca="1" si="184"/>
        <v>60000</v>
      </c>
    </row>
    <row r="4252" spans="1:6" ht="14.1" customHeight="1" x14ac:dyDescent="0.25">
      <c r="A4252" s="94" t="s">
        <v>15989</v>
      </c>
      <c r="B4252" s="82" t="str">
        <f ca="1">IFERROR(INDEX(UNSPSCDes,MATCH(INDIRECT(ADDRESS(ROW(),COLUMN()-1,4)),UNSPSCCode,0)),IF(INDIRECT(ADDRESS(ROW(),COLUMN()-1,4))="42272504","Sets o kits de anestesia",""))</f>
        <v>Sets o kits de anestesia</v>
      </c>
      <c r="C4252" s="95" t="str">
        <f>IFERROR(VLOOKUP("UD",'Informacion '!P:Q,2,FALSE),"")</f>
        <v>Unidad</v>
      </c>
      <c r="D4252" s="94">
        <v>5</v>
      </c>
      <c r="E4252" s="84">
        <v>2000</v>
      </c>
      <c r="F4252" s="83">
        <f t="shared" ca="1" si="184"/>
        <v>10000</v>
      </c>
    </row>
    <row r="4253" spans="1:6" ht="14.1" customHeight="1" x14ac:dyDescent="0.25">
      <c r="A4253" s="94" t="s">
        <v>6787</v>
      </c>
      <c r="B4253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4253" s="95" t="str">
        <f>IFERROR(VLOOKUP("UD",'Informacion '!P:Q,2,FALSE),"")</f>
        <v>Unidad</v>
      </c>
      <c r="D4253" s="94">
        <v>3</v>
      </c>
      <c r="E4253" s="84">
        <v>1868000</v>
      </c>
      <c r="F4253" s="83">
        <f t="shared" ca="1" si="184"/>
        <v>5604000</v>
      </c>
    </row>
    <row r="4254" spans="1:6" ht="14.1" customHeight="1" x14ac:dyDescent="0.25">
      <c r="A4254" s="94" t="s">
        <v>3616</v>
      </c>
      <c r="B4254" s="82" t="str">
        <f ca="1">IFERROR(INDEX(UNSPSCDes,MATCH(INDIRECT(ADDRESS(ROW(),COLUMN()-1,4)),UNSPSCCode,0)),IF(INDIRECT(ADDRESS(ROW(),COLUMN()-1,4))="42182601","Luces o lámparas de pie para exámenes médicos",""))</f>
        <v>Luces o lámparas de pie para exámenes médicos</v>
      </c>
      <c r="C4254" s="95" t="str">
        <f>IFERROR(VLOOKUP("UD",'Informacion '!P:Q,2,FALSE),"")</f>
        <v>Unidad</v>
      </c>
      <c r="D4254" s="94">
        <v>1</v>
      </c>
      <c r="E4254" s="84">
        <v>3500</v>
      </c>
      <c r="F4254" s="83">
        <f t="shared" ca="1" si="184"/>
        <v>3500</v>
      </c>
    </row>
    <row r="4255" spans="1:6" ht="14.1" customHeight="1" x14ac:dyDescent="0.25">
      <c r="A4255" s="94" t="s">
        <v>7384</v>
      </c>
      <c r="B4255" s="82" t="str">
        <f ca="1">IFERROR(INDEX(UNSPSCDes,MATCH(INDIRECT(ADDRESS(ROW(),COLUMN()-1,4)),UNSPSCCode,0)),IF(INDIRECT(ADDRESS(ROW(),COLUMN()-1,4))="31161725","Tuercas abrazaderas",""))</f>
        <v>Tuercas abrazaderas</v>
      </c>
      <c r="C4255" s="95" t="str">
        <f>IFERROR(VLOOKUP("UD",'Informacion '!P:Q,2,FALSE),"")</f>
        <v>Unidad</v>
      </c>
      <c r="D4255" s="94">
        <v>20</v>
      </c>
      <c r="E4255" s="84">
        <v>40</v>
      </c>
      <c r="F4255" s="83">
        <f t="shared" ca="1" si="184"/>
        <v>800</v>
      </c>
    </row>
    <row r="4256" spans="1:6" ht="14.1" customHeight="1" x14ac:dyDescent="0.25">
      <c r="A4256" s="94" t="s">
        <v>7384</v>
      </c>
      <c r="B4256" s="82" t="str">
        <f ca="1">IFERROR(INDEX(UNSPSCDes,MATCH(INDIRECT(ADDRESS(ROW(),COLUMN()-1,4)),UNSPSCCode,0)),IF(INDIRECT(ADDRESS(ROW(),COLUMN()-1,4))="31161725","Tuercas abrazaderas",""))</f>
        <v>Tuercas abrazaderas</v>
      </c>
      <c r="C4256" s="95" t="str">
        <f>IFERROR(VLOOKUP("UD",'Informacion '!P:Q,2,FALSE),"")</f>
        <v>Unidad</v>
      </c>
      <c r="D4256" s="94">
        <v>50</v>
      </c>
      <c r="E4256" s="84">
        <v>60</v>
      </c>
      <c r="F4256" s="83">
        <f t="shared" ca="1" si="184"/>
        <v>3000</v>
      </c>
    </row>
    <row r="4257" spans="1:6" ht="14.1" customHeight="1" x14ac:dyDescent="0.25">
      <c r="A4257" s="94" t="s">
        <v>7384</v>
      </c>
      <c r="B4257" s="82" t="str">
        <f ca="1">IFERROR(INDEX(UNSPSCDes,MATCH(INDIRECT(ADDRESS(ROW(),COLUMN()-1,4)),UNSPSCCode,0)),IF(INDIRECT(ADDRESS(ROW(),COLUMN()-1,4))="31161725","Tuercas abrazaderas",""))</f>
        <v>Tuercas abrazaderas</v>
      </c>
      <c r="C4257" s="95" t="str">
        <f>IFERROR(VLOOKUP("UD",'Informacion '!P:Q,2,FALSE),"")</f>
        <v>Unidad</v>
      </c>
      <c r="D4257" s="94">
        <v>50</v>
      </c>
      <c r="E4257" s="84">
        <v>60</v>
      </c>
      <c r="F4257" s="83">
        <f t="shared" ca="1" si="184"/>
        <v>3000</v>
      </c>
    </row>
    <row r="4258" spans="1:6" ht="14.1" customHeight="1" x14ac:dyDescent="0.25">
      <c r="A4258" s="94" t="s">
        <v>8993</v>
      </c>
      <c r="B4258" s="82" t="str">
        <f ca="1">IFERROR(INDEX(UNSPSCDes,MATCH(INDIRECT(ADDRESS(ROW(),COLUMN()-1,4)),UNSPSCCode,0)),IF(INDIRECT(ADDRESS(ROW(),COLUMN()-1,4))="52141510","Aire acondicionado portátil para uso doméstico",""))</f>
        <v>Aire acondicionado portátil para uso doméstico</v>
      </c>
      <c r="C4258" s="95" t="str">
        <f>IFERROR(VLOOKUP("UD",'Informacion '!P:Q,2,FALSE),"")</f>
        <v>Unidad</v>
      </c>
      <c r="D4258" s="94">
        <v>2</v>
      </c>
      <c r="E4258" s="84">
        <v>30000</v>
      </c>
      <c r="F4258" s="83">
        <f t="shared" ca="1" si="184"/>
        <v>60000</v>
      </c>
    </row>
    <row r="4259" spans="1:6" ht="14.1" customHeight="1" x14ac:dyDescent="0.25">
      <c r="A4259" s="94" t="s">
        <v>7383</v>
      </c>
      <c r="B4259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4259" s="95" t="str">
        <f>IFERROR(VLOOKUP("FT",'Informacion '!P:Q,2,FALSE),"")</f>
        <v>Pie</v>
      </c>
      <c r="D4259" s="94">
        <v>1000</v>
      </c>
      <c r="E4259" s="84">
        <v>9.6999999999999993</v>
      </c>
      <c r="F4259" s="83">
        <f t="shared" ca="1" si="184"/>
        <v>9700</v>
      </c>
    </row>
    <row r="4260" spans="1:6" ht="14.1" customHeight="1" x14ac:dyDescent="0.25">
      <c r="A4260" s="94" t="s">
        <v>7383</v>
      </c>
      <c r="B4260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4260" s="95" t="str">
        <f>IFERROR(VLOOKUP("FT",'Informacion '!P:Q,2,FALSE),"")</f>
        <v>Pie</v>
      </c>
      <c r="D4260" s="94">
        <v>500</v>
      </c>
      <c r="E4260" s="84">
        <v>5.5</v>
      </c>
      <c r="F4260" s="83">
        <f t="shared" ca="1" si="184"/>
        <v>2750</v>
      </c>
    </row>
    <row r="4261" spans="1:6" ht="14.1" customHeight="1" x14ac:dyDescent="0.25">
      <c r="A4261" s="94" t="s">
        <v>7383</v>
      </c>
      <c r="B4261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4261" s="95" t="str">
        <f>IFERROR(VLOOKUP("FT",'Informacion '!P:Q,2,FALSE),"")</f>
        <v>Pie</v>
      </c>
      <c r="D4261" s="94">
        <v>2000</v>
      </c>
      <c r="E4261" s="84">
        <v>4.9000000000000004</v>
      </c>
      <c r="F4261" s="83">
        <f t="shared" ca="1" si="184"/>
        <v>9800</v>
      </c>
    </row>
    <row r="4262" spans="1:6" ht="14.1" customHeight="1" x14ac:dyDescent="0.25">
      <c r="A4262" s="94" t="s">
        <v>15926</v>
      </c>
      <c r="B4262" s="82" t="str">
        <f ca="1">IFERROR(INDEX(UNSPSCDes,MATCH(INDIRECT(ADDRESS(ROW(),COLUMN()-1,4)),UNSPSCCode,0)),IF(INDIRECT(ADDRESS(ROW(),COLUMN()-1,4))="41113601","Amperímetros",""))</f>
        <v>Amperímetros</v>
      </c>
      <c r="C4262" s="95" t="str">
        <f>IFERROR(VLOOKUP("UD",'Informacion '!P:Q,2,FALSE),"")</f>
        <v>Unidad</v>
      </c>
      <c r="D4262" s="94">
        <v>1</v>
      </c>
      <c r="E4262" s="84">
        <v>8000</v>
      </c>
      <c r="F4262" s="83">
        <f t="shared" ca="1" si="184"/>
        <v>8000</v>
      </c>
    </row>
    <row r="4263" spans="1:6" ht="14.1" customHeight="1" x14ac:dyDescent="0.25">
      <c r="A4263" s="94" t="s">
        <v>4461</v>
      </c>
      <c r="B4263" s="82" t="str">
        <f ca="1">IFERROR(INDEX(UNSPSCDes,MATCH(INDIRECT(ADDRESS(ROW(),COLUMN()-1,4)),UNSPSCCode,0)),IF(INDIRECT(ADDRESS(ROW(),COLUMN()-1,4))="26101758","Ajustadores del balancín",""))</f>
        <v>Ajustadores del balancín</v>
      </c>
      <c r="C4263" s="95" t="str">
        <f>IFERROR(VLOOKUP("UD",'Informacion '!P:Q,2,FALSE),"")</f>
        <v>Unidad</v>
      </c>
      <c r="D4263" s="94">
        <v>90</v>
      </c>
      <c r="E4263" s="84">
        <v>200</v>
      </c>
      <c r="F4263" s="83">
        <f t="shared" ca="1" si="184"/>
        <v>18000</v>
      </c>
    </row>
    <row r="4264" spans="1:6" ht="14.1" customHeight="1" x14ac:dyDescent="0.25">
      <c r="A4264" s="94" t="s">
        <v>9662</v>
      </c>
      <c r="B4264" s="82" t="str">
        <f ca="1">IFERROR(INDEX(UNSPSCDes,MATCH(INDIRECT(ADDRESS(ROW(),COLUMN()-1,4)),UNSPSCCode,0)),IF(INDIRECT(ADDRESS(ROW(),COLUMN()-1,4))="26111701","Baterías recargables",""))</f>
        <v>Baterías recargables</v>
      </c>
      <c r="C4264" s="95" t="str">
        <f>IFERROR(VLOOKUP("UD",'Informacion '!P:Q,2,FALSE),"")</f>
        <v>Unidad</v>
      </c>
      <c r="D4264" s="94">
        <v>58</v>
      </c>
      <c r="E4264" s="84">
        <v>12000</v>
      </c>
      <c r="F4264" s="83">
        <f t="shared" ca="1" si="184"/>
        <v>696000</v>
      </c>
    </row>
    <row r="4265" spans="1:6" ht="14.1" customHeight="1" x14ac:dyDescent="0.25">
      <c r="A4265" s="94" t="s">
        <v>9662</v>
      </c>
      <c r="B4265" s="82" t="str">
        <f ca="1">IFERROR(INDEX(UNSPSCDes,MATCH(INDIRECT(ADDRESS(ROW(),COLUMN()-1,4)),UNSPSCCode,0)),IF(INDIRECT(ADDRESS(ROW(),COLUMN()-1,4))="26111701","Baterías recargables",""))</f>
        <v>Baterías recargables</v>
      </c>
      <c r="C4265" s="95" t="str">
        <f>IFERROR(VLOOKUP("UD",'Informacion '!P:Q,2,FALSE),"")</f>
        <v>Unidad</v>
      </c>
      <c r="D4265" s="94">
        <v>2</v>
      </c>
      <c r="E4265" s="84">
        <v>13000</v>
      </c>
      <c r="F4265" s="83">
        <f t="shared" ca="1" si="184"/>
        <v>26000</v>
      </c>
    </row>
    <row r="4266" spans="1:6" ht="14.1" customHeight="1" x14ac:dyDescent="0.25">
      <c r="A4266" s="94" t="s">
        <v>12993</v>
      </c>
      <c r="B4266" s="82" t="str">
        <f ca="1">IFERROR(INDEX(UNSPSCDes,MATCH(INDIRECT(ADDRESS(ROW(),COLUMN()-1,4)),UNSPSCCode,0)),IF(INDIRECT(ADDRESS(ROW(),COLUMN()-1,4))="72101803","Limpieza a vapor",""))</f>
        <v>Limpieza a vapor</v>
      </c>
      <c r="C4266" s="95" t="str">
        <f>IFERROR(VLOOKUP("UD",'Informacion '!P:Q,2,FALSE),"")</f>
        <v>Unidad</v>
      </c>
      <c r="D4266" s="94">
        <v>1</v>
      </c>
      <c r="E4266" s="84">
        <v>50000</v>
      </c>
      <c r="F4266" s="83">
        <f t="shared" ca="1" si="184"/>
        <v>50000</v>
      </c>
    </row>
    <row r="4267" spans="1:6" ht="14.1" customHeight="1" x14ac:dyDescent="0.25">
      <c r="A4267" s="94" t="s">
        <v>9883</v>
      </c>
      <c r="B4267" s="82" t="str">
        <f ca="1">IFERROR(INDEX(UNSPSCDes,MATCH(INDIRECT(ADDRESS(ROW(),COLUMN()-1,4)),UNSPSCCode,0)),IF(INDIRECT(ADDRESS(ROW(),COLUMN()-1,4))="39101601","Lámparas halógenas",""))</f>
        <v>Lámparas halógenas</v>
      </c>
      <c r="C4267" s="95" t="str">
        <f>IFERROR(VLOOKUP("CAJ",'Informacion '!P:Q,2,FALSE),"")</f>
        <v>Caja</v>
      </c>
      <c r="D4267" s="94">
        <v>2</v>
      </c>
      <c r="E4267" s="84">
        <v>12000</v>
      </c>
      <c r="F4267" s="83">
        <f t="shared" ca="1" si="184"/>
        <v>24000</v>
      </c>
    </row>
    <row r="4268" spans="1:6" ht="14.1" customHeight="1" x14ac:dyDescent="0.25">
      <c r="A4268" s="94" t="s">
        <v>19265</v>
      </c>
      <c r="B4268" s="82" t="str">
        <f ca="1">IFERROR(INDEX(UNSPSCDes,MATCH(INDIRECT(ADDRESS(ROW(),COLUMN()-1,4)),UNSPSCCode,0)),IF(INDIRECT(ADDRESS(ROW(),COLUMN()-1,4))="46171505","Llaves",""))</f>
        <v>Llaves</v>
      </c>
      <c r="C4268" s="95" t="str">
        <f>IFERROR(VLOOKUP("UD",'Informacion '!P:Q,2,FALSE),"")</f>
        <v>Unidad</v>
      </c>
      <c r="D4268" s="94">
        <v>60</v>
      </c>
      <c r="E4268" s="84">
        <v>200</v>
      </c>
      <c r="F4268" s="83">
        <f t="shared" ca="1" si="184"/>
        <v>12000</v>
      </c>
    </row>
    <row r="4269" spans="1:6" ht="14.1" customHeight="1" x14ac:dyDescent="0.25">
      <c r="A4269" s="94" t="s">
        <v>16983</v>
      </c>
      <c r="B4269" s="82" t="str">
        <f ca="1">IFERROR(INDEX(UNSPSCDes,MATCH(INDIRECT(ADDRESS(ROW(),COLUMN()-1,4)),UNSPSCCode,0)),IF(INDIRECT(ADDRESS(ROW(),COLUMN()-1,4))="30151703","Canaletas",""))</f>
        <v>Canaletas</v>
      </c>
      <c r="C4269" s="95" t="str">
        <f>IFERROR(VLOOKUP("UD",'Informacion '!P:Q,2,FALSE),"")</f>
        <v>Unidad</v>
      </c>
      <c r="D4269" s="94">
        <v>30</v>
      </c>
      <c r="E4269" s="84">
        <v>111.18</v>
      </c>
      <c r="F4269" s="83">
        <f t="shared" ref="F4269:F4300" ca="1" si="185">INDIRECT(ADDRESS(ROW(),COLUMN()-2,4))*INDIRECT(ADDRESS(ROW(),COLUMN()-1,4))</f>
        <v>3335.4</v>
      </c>
    </row>
    <row r="4270" spans="1:6" ht="14.1" customHeight="1" x14ac:dyDescent="0.25">
      <c r="A4270" s="94" t="s">
        <v>16983</v>
      </c>
      <c r="B4270" s="82" t="str">
        <f ca="1">IFERROR(INDEX(UNSPSCDes,MATCH(INDIRECT(ADDRESS(ROW(),COLUMN()-1,4)),UNSPSCCode,0)),IF(INDIRECT(ADDRESS(ROW(),COLUMN()-1,4))="30151703","Canaletas",""))</f>
        <v>Canaletas</v>
      </c>
      <c r="C4270" s="95" t="str">
        <f>IFERROR(VLOOKUP("UD",'Informacion '!P:Q,2,FALSE),"")</f>
        <v>Unidad</v>
      </c>
      <c r="D4270" s="94">
        <v>25</v>
      </c>
      <c r="E4270" s="84">
        <v>153.9</v>
      </c>
      <c r="F4270" s="83">
        <f t="shared" ca="1" si="185"/>
        <v>3847.5</v>
      </c>
    </row>
    <row r="4271" spans="1:6" ht="14.1" customHeight="1" x14ac:dyDescent="0.25">
      <c r="A4271" s="94" t="s">
        <v>3233</v>
      </c>
      <c r="B4271" s="82" t="str">
        <f ca="1">IFERROR(INDEX(UNSPSCDes,MATCH(INDIRECT(ADDRESS(ROW(),COLUMN()-1,4)),UNSPSCCode,0)),IF(INDIRECT(ADDRESS(ROW(),COLUMN()-1,4))="31201521","Cinta metálica",""))</f>
        <v>Cinta metálica</v>
      </c>
      <c r="C4271" s="95" t="str">
        <f>IFERROR(VLOOKUP("UD",'Informacion '!P:Q,2,FALSE),"")</f>
        <v>Unidad</v>
      </c>
      <c r="D4271" s="94">
        <v>20</v>
      </c>
      <c r="E4271" s="84">
        <v>300</v>
      </c>
      <c r="F4271" s="83">
        <f t="shared" ca="1" si="185"/>
        <v>6000</v>
      </c>
    </row>
    <row r="4272" spans="1:6" ht="14.1" customHeight="1" x14ac:dyDescent="0.25">
      <c r="A4272" s="94" t="s">
        <v>3233</v>
      </c>
      <c r="B4272" s="82" t="str">
        <f ca="1">IFERROR(INDEX(UNSPSCDes,MATCH(INDIRECT(ADDRESS(ROW(),COLUMN()-1,4)),UNSPSCCode,0)),IF(INDIRECT(ADDRESS(ROW(),COLUMN()-1,4))="31201521","Cinta metálica",""))</f>
        <v>Cinta metálica</v>
      </c>
      <c r="C4272" s="95" t="str">
        <f>IFERROR(VLOOKUP("UD",'Informacion '!P:Q,2,FALSE),"")</f>
        <v>Unidad</v>
      </c>
      <c r="D4272" s="94">
        <v>8</v>
      </c>
      <c r="E4272" s="84">
        <v>190</v>
      </c>
      <c r="F4272" s="83">
        <f t="shared" ca="1" si="185"/>
        <v>1520</v>
      </c>
    </row>
    <row r="4273" spans="1:6" ht="14.1" customHeight="1" x14ac:dyDescent="0.25">
      <c r="A4273" s="94" t="s">
        <v>3233</v>
      </c>
      <c r="B4273" s="82" t="str">
        <f ca="1">IFERROR(INDEX(UNSPSCDes,MATCH(INDIRECT(ADDRESS(ROW(),COLUMN()-1,4)),UNSPSCCode,0)),IF(INDIRECT(ADDRESS(ROW(),COLUMN()-1,4))="31201521","Cinta metálica",""))</f>
        <v>Cinta metálica</v>
      </c>
      <c r="C4273" s="95" t="str">
        <f>IFERROR(VLOOKUP("UD",'Informacion '!P:Q,2,FALSE),"")</f>
        <v>Unidad</v>
      </c>
      <c r="D4273" s="94">
        <v>5</v>
      </c>
      <c r="E4273" s="84">
        <v>785</v>
      </c>
      <c r="F4273" s="83">
        <f t="shared" ca="1" si="185"/>
        <v>3925</v>
      </c>
    </row>
    <row r="4274" spans="1:6" ht="14.1" customHeight="1" x14ac:dyDescent="0.25">
      <c r="A4274" s="94" t="s">
        <v>10906</v>
      </c>
      <c r="B4274" s="82" t="str">
        <f ca="1">IFERROR(INDEX(UNSPSCDes,MATCH(INDIRECT(ADDRESS(ROW(),COLUMN()-1,4)),UNSPSCCode,0)),IF(INDIRECT(ADDRESS(ROW(),COLUMN()-1,4))="40142604","Codos de tubo",""))</f>
        <v>Codos de tubo</v>
      </c>
      <c r="C4274" s="95" t="str">
        <f>IFERROR(VLOOKUP("UD",'Informacion '!P:Q,2,FALSE),"")</f>
        <v>Unidad</v>
      </c>
      <c r="D4274" s="94">
        <v>18</v>
      </c>
      <c r="E4274" s="84">
        <v>57</v>
      </c>
      <c r="F4274" s="83">
        <f t="shared" ca="1" si="185"/>
        <v>1026</v>
      </c>
    </row>
    <row r="4275" spans="1:6" ht="14.1" customHeight="1" x14ac:dyDescent="0.25">
      <c r="A4275" s="94" t="s">
        <v>10906</v>
      </c>
      <c r="B4275" s="82" t="str">
        <f ca="1">IFERROR(INDEX(UNSPSCDes,MATCH(INDIRECT(ADDRESS(ROW(),COLUMN()-1,4)),UNSPSCCode,0)),IF(INDIRECT(ADDRESS(ROW(),COLUMN()-1,4))="40142604","Codos de tubo",""))</f>
        <v>Codos de tubo</v>
      </c>
      <c r="C4275" s="95" t="str">
        <f>IFERROR(VLOOKUP("UD",'Informacion '!P:Q,2,FALSE),"")</f>
        <v>Unidad</v>
      </c>
      <c r="D4275" s="94">
        <v>18</v>
      </c>
      <c r="E4275" s="84">
        <v>83</v>
      </c>
      <c r="F4275" s="83">
        <f t="shared" ca="1" si="185"/>
        <v>1494</v>
      </c>
    </row>
    <row r="4276" spans="1:6" ht="14.1" customHeight="1" x14ac:dyDescent="0.25">
      <c r="A4276" s="94" t="s">
        <v>10906</v>
      </c>
      <c r="B4276" s="82" t="str">
        <f ca="1">IFERROR(INDEX(UNSPSCDes,MATCH(INDIRECT(ADDRESS(ROW(),COLUMN()-1,4)),UNSPSCCode,0)),IF(INDIRECT(ADDRESS(ROW(),COLUMN()-1,4))="40142604","Codos de tubo",""))</f>
        <v>Codos de tubo</v>
      </c>
      <c r="C4276" s="95" t="str">
        <f>IFERROR(VLOOKUP("UD",'Informacion '!P:Q,2,FALSE),"")</f>
        <v>Unidad</v>
      </c>
      <c r="D4276" s="94">
        <v>10</v>
      </c>
      <c r="E4276" s="84">
        <v>100</v>
      </c>
      <c r="F4276" s="83">
        <f t="shared" ca="1" si="185"/>
        <v>1000</v>
      </c>
    </row>
    <row r="4277" spans="1:6" ht="14.1" customHeight="1" x14ac:dyDescent="0.25">
      <c r="A4277" s="94" t="s">
        <v>10906</v>
      </c>
      <c r="B4277" s="82" t="str">
        <f ca="1">IFERROR(INDEX(UNSPSCDes,MATCH(INDIRECT(ADDRESS(ROW(),COLUMN()-1,4)),UNSPSCCode,0)),IF(INDIRECT(ADDRESS(ROW(),COLUMN()-1,4))="40142604","Codos de tubo",""))</f>
        <v>Codos de tubo</v>
      </c>
      <c r="C4277" s="95" t="str">
        <f>IFERROR(VLOOKUP("UD",'Informacion '!P:Q,2,FALSE),"")</f>
        <v>Unidad</v>
      </c>
      <c r="D4277" s="94">
        <v>5</v>
      </c>
      <c r="E4277" s="84">
        <v>267</v>
      </c>
      <c r="F4277" s="83">
        <f t="shared" ca="1" si="185"/>
        <v>1335</v>
      </c>
    </row>
    <row r="4278" spans="1:6" ht="14.1" customHeight="1" x14ac:dyDescent="0.25">
      <c r="A4278" s="94" t="s">
        <v>10906</v>
      </c>
      <c r="B4278" s="82" t="str">
        <f ca="1">IFERROR(INDEX(UNSPSCDes,MATCH(INDIRECT(ADDRESS(ROW(),COLUMN()-1,4)),UNSPSCCode,0)),IF(INDIRECT(ADDRESS(ROW(),COLUMN()-1,4))="40142604","Codos de tubo",""))</f>
        <v>Codos de tubo</v>
      </c>
      <c r="C4278" s="95" t="str">
        <f>IFERROR(VLOOKUP("UD",'Informacion '!P:Q,2,FALSE),"")</f>
        <v>Unidad</v>
      </c>
      <c r="D4278" s="94">
        <v>50</v>
      </c>
      <c r="E4278" s="84">
        <v>12</v>
      </c>
      <c r="F4278" s="83">
        <f t="shared" ca="1" si="185"/>
        <v>600</v>
      </c>
    </row>
    <row r="4279" spans="1:6" ht="14.1" customHeight="1" x14ac:dyDescent="0.25">
      <c r="A4279" s="94" t="s">
        <v>5484</v>
      </c>
      <c r="B4279" s="82" t="str">
        <f ca="1">IFERROR(INDEX(UNSPSCDes,MATCH(INDIRECT(ADDRESS(ROW(),COLUMN()-1,4)),UNSPSCCode,0)),IF(INDIRECT(ADDRESS(ROW(),COLUMN()-1,4))="49201610","Tubos de resistencia",""))</f>
        <v>Tubos de resistencia</v>
      </c>
      <c r="C4279" s="95" t="str">
        <f>IFERROR(VLOOKUP("UD",'Informacion '!P:Q,2,FALSE),"")</f>
        <v>Unidad</v>
      </c>
      <c r="D4279" s="94">
        <v>50</v>
      </c>
      <c r="E4279" s="84">
        <v>12</v>
      </c>
      <c r="F4279" s="83">
        <f t="shared" ca="1" si="185"/>
        <v>600</v>
      </c>
    </row>
    <row r="4280" spans="1:6" ht="14.1" customHeight="1" x14ac:dyDescent="0.25">
      <c r="A4280" s="94" t="s">
        <v>5484</v>
      </c>
      <c r="B4280" s="82" t="str">
        <f ca="1">IFERROR(INDEX(UNSPSCDes,MATCH(INDIRECT(ADDRESS(ROW(),COLUMN()-1,4)),UNSPSCCode,0)),IF(INDIRECT(ADDRESS(ROW(),COLUMN()-1,4))="49201610","Tubos de resistencia",""))</f>
        <v>Tubos de resistencia</v>
      </c>
      <c r="C4280" s="95" t="str">
        <f>IFERROR(VLOOKUP("UD",'Informacion '!P:Q,2,FALSE),"")</f>
        <v>Unidad</v>
      </c>
      <c r="D4280" s="94">
        <v>2</v>
      </c>
      <c r="E4280" s="84">
        <v>356</v>
      </c>
      <c r="F4280" s="83">
        <f t="shared" ca="1" si="185"/>
        <v>712</v>
      </c>
    </row>
    <row r="4281" spans="1:6" ht="14.1" customHeight="1" x14ac:dyDescent="0.25">
      <c r="A4281" s="94" t="s">
        <v>5484</v>
      </c>
      <c r="B4281" s="82" t="str">
        <f ca="1">IFERROR(INDEX(UNSPSCDes,MATCH(INDIRECT(ADDRESS(ROW(),COLUMN()-1,4)),UNSPSCCode,0)),IF(INDIRECT(ADDRESS(ROW(),COLUMN()-1,4))="49201610","Tubos de resistencia",""))</f>
        <v>Tubos de resistencia</v>
      </c>
      <c r="C4281" s="95" t="str">
        <f>IFERROR(VLOOKUP("UD",'Informacion '!P:Q,2,FALSE),"")</f>
        <v>Unidad</v>
      </c>
      <c r="D4281" s="94">
        <v>3</v>
      </c>
      <c r="E4281" s="84">
        <v>484</v>
      </c>
      <c r="F4281" s="83">
        <f t="shared" ca="1" si="185"/>
        <v>1452</v>
      </c>
    </row>
    <row r="4282" spans="1:6" ht="14.1" customHeight="1" x14ac:dyDescent="0.25">
      <c r="A4282" s="94" t="s">
        <v>12220</v>
      </c>
      <c r="B4282" s="82" t="str">
        <f ca="1">IFERROR(INDEX(UNSPSCDes,MATCH(INDIRECT(ADDRESS(ROW(),COLUMN()-1,4)),UNSPSCCode,0)),IF(INDIRECT(ADDRESS(ROW(),COLUMN()-1,4))="24141705","Tubos plegables",""))</f>
        <v>Tubos plegables</v>
      </c>
      <c r="C4282" s="95" t="str">
        <f>IFERROR(VLOOKUP("FT",'Informacion '!P:Q,2,FALSE),"")</f>
        <v>Pie</v>
      </c>
      <c r="D4282" s="94">
        <v>300</v>
      </c>
      <c r="E4282" s="84">
        <v>2.6</v>
      </c>
      <c r="F4282" s="83">
        <f t="shared" ca="1" si="185"/>
        <v>780</v>
      </c>
    </row>
    <row r="4283" spans="1:6" ht="14.1" customHeight="1" x14ac:dyDescent="0.25">
      <c r="A4283" s="94" t="s">
        <v>12220</v>
      </c>
      <c r="B4283" s="82" t="str">
        <f ca="1">IFERROR(INDEX(UNSPSCDes,MATCH(INDIRECT(ADDRESS(ROW(),COLUMN()-1,4)),UNSPSCCode,0)),IF(INDIRECT(ADDRESS(ROW(),COLUMN()-1,4))="24141705","Tubos plegables",""))</f>
        <v>Tubos plegables</v>
      </c>
      <c r="C4283" s="95" t="str">
        <f>IFERROR(VLOOKUP("FT",'Informacion '!P:Q,2,FALSE),"")</f>
        <v>Pie</v>
      </c>
      <c r="D4283" s="94">
        <v>300</v>
      </c>
      <c r="E4283" s="84">
        <v>2.1</v>
      </c>
      <c r="F4283" s="83">
        <f t="shared" ca="1" si="185"/>
        <v>630</v>
      </c>
    </row>
    <row r="4284" spans="1:6" ht="14.1" customHeight="1" x14ac:dyDescent="0.25">
      <c r="A4284" s="94" t="s">
        <v>14785</v>
      </c>
      <c r="B4284" s="82" t="str">
        <f ca="1">IFERROR(INDEX(UNSPSCDes,MATCH(INDIRECT(ADDRESS(ROW(),COLUMN()-1,4)),UNSPSCCode,0)),IF(INDIRECT(ADDRESS(ROW(),COLUMN()-1,4))="24111810","Tanques de almacenamiento de agua",""))</f>
        <v>Tanques de almacenamiento de agua</v>
      </c>
      <c r="C4284" s="95" t="str">
        <f>IFERROR(VLOOKUP("UD",'Informacion '!P:Q,2,FALSE),"")</f>
        <v>Unidad</v>
      </c>
      <c r="D4284" s="94">
        <v>1</v>
      </c>
      <c r="E4284" s="84">
        <v>300000</v>
      </c>
      <c r="F4284" s="83">
        <f t="shared" ca="1" si="185"/>
        <v>300000</v>
      </c>
    </row>
    <row r="4285" spans="1:6" ht="14.1" customHeight="1" x14ac:dyDescent="0.25">
      <c r="A4285" s="94" t="s">
        <v>2769</v>
      </c>
      <c r="B4285" s="82" t="str">
        <f ca="1">IFERROR(INDEX(UNSPSCDes,MATCH(INDIRECT(ADDRESS(ROW(),COLUMN()-1,4)),UNSPSCCode,0)),IF(INDIRECT(ADDRESS(ROW(),COLUMN()-1,4))="39121529","Contactores",""))</f>
        <v>Contactores</v>
      </c>
      <c r="C4285" s="95" t="str">
        <f>IFERROR(VLOOKUP("UD",'Informacion '!P:Q,2,FALSE),"")</f>
        <v>Unidad</v>
      </c>
      <c r="D4285" s="94">
        <v>5</v>
      </c>
      <c r="E4285" s="84">
        <v>850</v>
      </c>
      <c r="F4285" s="83">
        <f t="shared" ca="1" si="185"/>
        <v>4250</v>
      </c>
    </row>
    <row r="4286" spans="1:6" ht="14.1" customHeight="1" x14ac:dyDescent="0.25">
      <c r="A4286" s="94" t="s">
        <v>2769</v>
      </c>
      <c r="B4286" s="82" t="str">
        <f ca="1">IFERROR(INDEX(UNSPSCDes,MATCH(INDIRECT(ADDRESS(ROW(),COLUMN()-1,4)),UNSPSCCode,0)),IF(INDIRECT(ADDRESS(ROW(),COLUMN()-1,4))="39121529","Contactores",""))</f>
        <v>Contactores</v>
      </c>
      <c r="C4286" s="95" t="str">
        <f>IFERROR(VLOOKUP("UD",'Informacion '!P:Q,2,FALSE),"")</f>
        <v>Unidad</v>
      </c>
      <c r="D4286" s="94">
        <v>5</v>
      </c>
      <c r="E4286" s="84">
        <v>850</v>
      </c>
      <c r="F4286" s="83">
        <f t="shared" ca="1" si="185"/>
        <v>4250</v>
      </c>
    </row>
    <row r="4287" spans="1:6" ht="14.1" customHeight="1" x14ac:dyDescent="0.25">
      <c r="A4287" s="94" t="s">
        <v>18051</v>
      </c>
      <c r="B4287" s="82" t="str">
        <f ca="1">IFERROR(INDEX(UNSPSCDes,MATCH(INDIRECT(ADDRESS(ROW(),COLUMN()-1,4)),UNSPSCCode,0)),IF(INDIRECT(ADDRESS(ROW(),COLUMN()-1,4))="41111901","Contadores",""))</f>
        <v>Contadores</v>
      </c>
      <c r="C4287" s="95" t="str">
        <f>IFERROR(VLOOKUP("UD",'Informacion '!P:Q,2,FALSE),"")</f>
        <v>Unidad</v>
      </c>
      <c r="D4287" s="94">
        <v>1</v>
      </c>
      <c r="E4287" s="84">
        <v>113000</v>
      </c>
      <c r="F4287" s="83">
        <f t="shared" ca="1" si="185"/>
        <v>113000</v>
      </c>
    </row>
    <row r="4288" spans="1:6" ht="14.1" customHeight="1" x14ac:dyDescent="0.25">
      <c r="A4288" s="94" t="s">
        <v>5484</v>
      </c>
      <c r="B4288" s="82" t="str">
        <f ca="1">IFERROR(INDEX(UNSPSCDes,MATCH(INDIRECT(ADDRESS(ROW(),COLUMN()-1,4)),UNSPSCCode,0)),IF(INDIRECT(ADDRESS(ROW(),COLUMN()-1,4))="49201610","Tubos de resistencia",""))</f>
        <v>Tubos de resistencia</v>
      </c>
      <c r="C4288" s="95" t="str">
        <f>IFERROR(VLOOKUP("UD",'Informacion '!P:Q,2,FALSE),"")</f>
        <v>Unidad</v>
      </c>
      <c r="D4288" s="94">
        <v>50</v>
      </c>
      <c r="E4288" s="84">
        <v>30</v>
      </c>
      <c r="F4288" s="83">
        <f t="shared" ca="1" si="185"/>
        <v>1500</v>
      </c>
    </row>
    <row r="4289" spans="1:6" ht="14.1" customHeight="1" x14ac:dyDescent="0.25">
      <c r="A4289" s="94" t="s">
        <v>2094</v>
      </c>
      <c r="B4289" s="82" t="str">
        <f t="shared" ref="B4289:B4294" ca="1" si="186">IFERROR(INDEX(UNSPSCDes,MATCH(INDIRECT(ADDRESS(ROW(),COLUMN()-1,4)),UNSPSCCode,0)),IF(INDIRECT(ADDRESS(ROW(),COLUMN()-1,4))="31181503","Juntas obturadoras de metal",""))</f>
        <v>Juntas obturadoras de metal</v>
      </c>
      <c r="C4289" s="95" t="str">
        <f>IFERROR(VLOOKUP("UD",'Informacion '!P:Q,2,FALSE),"")</f>
        <v>Unidad</v>
      </c>
      <c r="D4289" s="94">
        <v>10</v>
      </c>
      <c r="E4289" s="84">
        <v>300</v>
      </c>
      <c r="F4289" s="83">
        <f t="shared" ca="1" si="185"/>
        <v>3000</v>
      </c>
    </row>
    <row r="4290" spans="1:6" ht="14.1" customHeight="1" x14ac:dyDescent="0.25">
      <c r="A4290" s="94" t="s">
        <v>2094</v>
      </c>
      <c r="B4290" s="82" t="str">
        <f t="shared" ca="1" si="186"/>
        <v>Juntas obturadoras de metal</v>
      </c>
      <c r="C4290" s="95" t="str">
        <f>IFERROR(VLOOKUP("UD",'Informacion '!P:Q,2,FALSE),"")</f>
        <v>Unidad</v>
      </c>
      <c r="D4290" s="94">
        <v>10</v>
      </c>
      <c r="E4290" s="84">
        <v>300</v>
      </c>
      <c r="F4290" s="83">
        <f t="shared" ca="1" si="185"/>
        <v>3000</v>
      </c>
    </row>
    <row r="4291" spans="1:6" ht="14.1" customHeight="1" x14ac:dyDescent="0.25">
      <c r="A4291" s="94" t="s">
        <v>2094</v>
      </c>
      <c r="B4291" s="82" t="str">
        <f t="shared" ca="1" si="186"/>
        <v>Juntas obturadoras de metal</v>
      </c>
      <c r="C4291" s="95" t="str">
        <f>IFERROR(VLOOKUP("UD",'Informacion '!P:Q,2,FALSE),"")</f>
        <v>Unidad</v>
      </c>
      <c r="D4291" s="94">
        <v>10</v>
      </c>
      <c r="E4291" s="84">
        <v>300</v>
      </c>
      <c r="F4291" s="83">
        <f t="shared" ca="1" si="185"/>
        <v>3000</v>
      </c>
    </row>
    <row r="4292" spans="1:6" ht="14.1" customHeight="1" x14ac:dyDescent="0.25">
      <c r="A4292" s="94" t="s">
        <v>2094</v>
      </c>
      <c r="B4292" s="82" t="str">
        <f t="shared" ca="1" si="186"/>
        <v>Juntas obturadoras de metal</v>
      </c>
      <c r="C4292" s="95" t="str">
        <f>IFERROR(VLOOKUP("UD",'Informacion '!P:Q,2,FALSE),"")</f>
        <v>Unidad</v>
      </c>
      <c r="D4292" s="94">
        <v>10</v>
      </c>
      <c r="E4292" s="84">
        <v>450</v>
      </c>
      <c r="F4292" s="83">
        <f t="shared" ca="1" si="185"/>
        <v>4500</v>
      </c>
    </row>
    <row r="4293" spans="1:6" ht="14.1" customHeight="1" x14ac:dyDescent="0.25">
      <c r="A4293" s="94" t="s">
        <v>2094</v>
      </c>
      <c r="B4293" s="82" t="str">
        <f t="shared" ca="1" si="186"/>
        <v>Juntas obturadoras de metal</v>
      </c>
      <c r="C4293" s="95" t="str">
        <f>IFERROR(VLOOKUP("UD",'Informacion '!P:Q,2,FALSE),"")</f>
        <v>Unidad</v>
      </c>
      <c r="D4293" s="94">
        <v>10</v>
      </c>
      <c r="E4293" s="84">
        <v>600</v>
      </c>
      <c r="F4293" s="83">
        <f t="shared" ca="1" si="185"/>
        <v>6000</v>
      </c>
    </row>
    <row r="4294" spans="1:6" ht="14.1" customHeight="1" x14ac:dyDescent="0.25">
      <c r="A4294" s="94" t="s">
        <v>2094</v>
      </c>
      <c r="B4294" s="82" t="str">
        <f t="shared" ca="1" si="186"/>
        <v>Juntas obturadoras de metal</v>
      </c>
      <c r="C4294" s="95" t="str">
        <f>IFERROR(VLOOKUP("UD",'Informacion '!P:Q,2,FALSE),"")</f>
        <v>Unidad</v>
      </c>
      <c r="D4294" s="94">
        <v>3</v>
      </c>
      <c r="E4294" s="84">
        <v>700</v>
      </c>
      <c r="F4294" s="83">
        <f t="shared" ca="1" si="185"/>
        <v>2100</v>
      </c>
    </row>
    <row r="4295" spans="1:6" ht="14.1" customHeight="1" x14ac:dyDescent="0.25">
      <c r="A4295" s="94" t="s">
        <v>17538</v>
      </c>
      <c r="B4295" s="82" t="str">
        <f ca="1">IFERROR(INDEX(UNSPSCDes,MATCH(INDIRECT(ADDRESS(ROW(),COLUMN()-1,4)),UNSPSCCode,0)),IF(INDIRECT(ADDRESS(ROW(),COLUMN()-1,4))="24131503","Cuartos fríos",""))</f>
        <v>Cuartos fríos</v>
      </c>
      <c r="C4295" s="95" t="str">
        <f>IFERROR(VLOOKUP("UD",'Informacion '!P:Q,2,FALSE),"")</f>
        <v>Unidad</v>
      </c>
      <c r="D4295" s="94">
        <v>1</v>
      </c>
      <c r="E4295" s="84">
        <v>8600</v>
      </c>
      <c r="F4295" s="83">
        <f t="shared" ca="1" si="185"/>
        <v>8600</v>
      </c>
    </row>
    <row r="4296" spans="1:6" ht="14.1" customHeight="1" x14ac:dyDescent="0.25">
      <c r="A4296" s="94" t="s">
        <v>14287</v>
      </c>
      <c r="B4296" s="82" t="str">
        <f ca="1">IFERROR(INDEX(UNSPSCDes,MATCH(INDIRECT(ADDRESS(ROW(),COLUMN()-1,4)),UNSPSCCode,0)),IF(INDIRECT(ADDRESS(ROW(),COLUMN()-1,4))="22101708","Extractores",""))</f>
        <v>Extractores</v>
      </c>
      <c r="C4296" s="95" t="str">
        <f>IFERROR(VLOOKUP("UD",'Informacion '!P:Q,2,FALSE),"")</f>
        <v>Unidad</v>
      </c>
      <c r="D4296" s="94">
        <v>10</v>
      </c>
      <c r="E4296" s="84">
        <v>12000</v>
      </c>
      <c r="F4296" s="83">
        <f t="shared" ca="1" si="185"/>
        <v>120000</v>
      </c>
    </row>
    <row r="4297" spans="1:6" ht="14.1" customHeight="1" x14ac:dyDescent="0.25">
      <c r="A4297" s="94" t="s">
        <v>18360</v>
      </c>
      <c r="B4297" s="82" t="str">
        <f ca="1">IFERROR(INDEX(UNSPSCDes,MATCH(INDIRECT(ADDRESS(ROW(),COLUMN()-1,4)),UNSPSCCode,0)),IF(INDIRECT(ADDRESS(ROW(),COLUMN()-1,4))="11161804","Textil sintético tejido",""))</f>
        <v>Textil sintético tejido</v>
      </c>
      <c r="C4297" s="95" t="str">
        <f>IFERROR(VLOOKUP("FT",'Informacion '!P:Q,2,FALSE),"")</f>
        <v>Pie</v>
      </c>
      <c r="D4297" s="94">
        <v>45</v>
      </c>
      <c r="E4297" s="84">
        <v>186</v>
      </c>
      <c r="F4297" s="83">
        <f t="shared" ca="1" si="185"/>
        <v>8370</v>
      </c>
    </row>
    <row r="4298" spans="1:6" ht="14.1" customHeight="1" x14ac:dyDescent="0.25">
      <c r="A4298" s="94" t="s">
        <v>12979</v>
      </c>
      <c r="B4298" s="82" t="str">
        <f ca="1">IFERROR(INDEX(UNSPSCDes,MATCH(INDIRECT(ADDRESS(ROW(),COLUMN()-1,4)),UNSPSCCode,0)),IF(INDIRECT(ADDRESS(ROW(),COLUMN()-1,4))="13102029","Poliuretano termoplástico rígido rptu",""))</f>
        <v>Poliuretano termoplástico rígido rptu</v>
      </c>
      <c r="C4298" s="95" t="str">
        <f>IFERROR(VLOOKUP("UD",'Informacion '!P:Q,2,FALSE),"")</f>
        <v>Unidad</v>
      </c>
      <c r="D4298" s="94">
        <v>8</v>
      </c>
      <c r="E4298" s="84">
        <v>8</v>
      </c>
      <c r="F4298" s="83">
        <f t="shared" ca="1" si="185"/>
        <v>64</v>
      </c>
    </row>
    <row r="4299" spans="1:6" ht="14.1" customHeight="1" x14ac:dyDescent="0.25">
      <c r="A4299" s="94" t="s">
        <v>10218</v>
      </c>
      <c r="B4299" s="82" t="str">
        <f ca="1">IFERROR(INDEX(UNSPSCDes,MATCH(INDIRECT(ADDRESS(ROW(),COLUMN()-1,4)),UNSPSCCode,0)),IF(INDIRECT(ADDRESS(ROW(),COLUMN()-1,4))="25102001","Tanques",""))</f>
        <v>Tanques</v>
      </c>
      <c r="C4299" s="95" t="str">
        <f>IFERROR(VLOOKUP("UD",'Informacion '!P:Q,2,FALSE),"")</f>
        <v>Unidad</v>
      </c>
      <c r="D4299" s="94">
        <v>5</v>
      </c>
      <c r="E4299" s="84">
        <v>5500</v>
      </c>
      <c r="F4299" s="83">
        <f t="shared" ca="1" si="185"/>
        <v>27500</v>
      </c>
    </row>
    <row r="4300" spans="1:6" ht="14.1" customHeight="1" x14ac:dyDescent="0.25">
      <c r="A4300" s="94" t="s">
        <v>10218</v>
      </c>
      <c r="B4300" s="82" t="str">
        <f ca="1">IFERROR(INDEX(UNSPSCDes,MATCH(INDIRECT(ADDRESS(ROW(),COLUMN()-1,4)),UNSPSCCode,0)),IF(INDIRECT(ADDRESS(ROW(),COLUMN()-1,4))="25102001","Tanques",""))</f>
        <v>Tanques</v>
      </c>
      <c r="C4300" s="95" t="str">
        <f>IFERROR(VLOOKUP("UD",'Informacion '!P:Q,2,FALSE),"")</f>
        <v>Unidad</v>
      </c>
      <c r="D4300" s="94">
        <v>10</v>
      </c>
      <c r="E4300" s="84">
        <v>8000</v>
      </c>
      <c r="F4300" s="83">
        <f t="shared" ca="1" si="185"/>
        <v>80000</v>
      </c>
    </row>
    <row r="4301" spans="1:6" ht="14.1" customHeight="1" x14ac:dyDescent="0.25">
      <c r="A4301" s="94" t="s">
        <v>10218</v>
      </c>
      <c r="B4301" s="82" t="str">
        <f ca="1">IFERROR(INDEX(UNSPSCDes,MATCH(INDIRECT(ADDRESS(ROW(),COLUMN()-1,4)),UNSPSCCode,0)),IF(INDIRECT(ADDRESS(ROW(),COLUMN()-1,4))="25102001","Tanques",""))</f>
        <v>Tanques</v>
      </c>
      <c r="C4301" s="95" t="str">
        <f>IFERROR(VLOOKUP("UD",'Informacion '!P:Q,2,FALSE),"")</f>
        <v>Unidad</v>
      </c>
      <c r="D4301" s="94">
        <v>1</v>
      </c>
      <c r="E4301" s="84">
        <v>4800</v>
      </c>
      <c r="F4301" s="83">
        <f t="shared" ref="F4301:F4332" ca="1" si="187">INDIRECT(ADDRESS(ROW(),COLUMN()-2,4))*INDIRECT(ADDRESS(ROW(),COLUMN()-1,4))</f>
        <v>4800</v>
      </c>
    </row>
    <row r="4302" spans="1:6" ht="14.1" customHeight="1" x14ac:dyDescent="0.25">
      <c r="A4302" s="94" t="s">
        <v>10218</v>
      </c>
      <c r="B4302" s="82" t="str">
        <f ca="1">IFERROR(INDEX(UNSPSCDes,MATCH(INDIRECT(ADDRESS(ROW(),COLUMN()-1,4)),UNSPSCCode,0)),IF(INDIRECT(ADDRESS(ROW(),COLUMN()-1,4))="25102001","Tanques",""))</f>
        <v>Tanques</v>
      </c>
      <c r="C4302" s="95" t="str">
        <f>IFERROR(VLOOKUP("UD",'Informacion '!P:Q,2,FALSE),"")</f>
        <v>Unidad</v>
      </c>
      <c r="D4302" s="94">
        <v>1</v>
      </c>
      <c r="E4302" s="84">
        <v>6800</v>
      </c>
      <c r="F4302" s="83">
        <f t="shared" ca="1" si="187"/>
        <v>6800</v>
      </c>
    </row>
    <row r="4303" spans="1:6" ht="14.1" customHeight="1" x14ac:dyDescent="0.25">
      <c r="A4303" s="94" t="s">
        <v>11926</v>
      </c>
      <c r="B4303" s="82" t="str">
        <f ca="1">IFERROR(INDEX(UNSPSCDes,MATCH(INDIRECT(ADDRESS(ROW(),COLUMN()-1,4)),UNSPSCCode,0)),IF(INDIRECT(ADDRESS(ROW(),COLUMN()-1,4))="27111508","Sierras",""))</f>
        <v>Sierras</v>
      </c>
      <c r="C4303" s="95" t="str">
        <f>IFERROR(VLOOKUP("UD",'Informacion '!P:Q,2,FALSE),"")</f>
        <v>Unidad</v>
      </c>
      <c r="D4303" s="94">
        <v>20</v>
      </c>
      <c r="E4303" s="84">
        <v>130</v>
      </c>
      <c r="F4303" s="83">
        <f t="shared" ca="1" si="187"/>
        <v>2600</v>
      </c>
    </row>
    <row r="4304" spans="1:6" ht="14.1" customHeight="1" x14ac:dyDescent="0.25">
      <c r="A4304" s="94" t="s">
        <v>11012</v>
      </c>
      <c r="B4304" s="82" t="str">
        <f ca="1">IFERROR(INDEX(UNSPSCDes,MATCH(INDIRECT(ADDRESS(ROW(),COLUMN()-1,4)),UNSPSCCode,0)),IF(INDIRECT(ADDRESS(ROW(),COLUMN()-1,4))="39121525","Interruptores infusibles",""))</f>
        <v>Interruptores infusibles</v>
      </c>
      <c r="C4304" s="95" t="str">
        <f>IFERROR(VLOOKUP("UD",'Informacion '!P:Q,2,FALSE),"")</f>
        <v>Unidad</v>
      </c>
      <c r="D4304" s="94">
        <v>5</v>
      </c>
      <c r="E4304" s="84">
        <v>85</v>
      </c>
      <c r="F4304" s="83">
        <f t="shared" ca="1" si="187"/>
        <v>425</v>
      </c>
    </row>
    <row r="4305" spans="1:6" ht="14.1" customHeight="1" x14ac:dyDescent="0.25">
      <c r="A4305" s="94" t="s">
        <v>11012</v>
      </c>
      <c r="B4305" s="82" t="str">
        <f ca="1">IFERROR(INDEX(UNSPSCDes,MATCH(INDIRECT(ADDRESS(ROW(),COLUMN()-1,4)),UNSPSCCode,0)),IF(INDIRECT(ADDRESS(ROW(),COLUMN()-1,4))="39121525","Interruptores infusibles",""))</f>
        <v>Interruptores infusibles</v>
      </c>
      <c r="C4305" s="95" t="str">
        <f>IFERROR(VLOOKUP("UD",'Informacion '!P:Q,2,FALSE),"")</f>
        <v>Unidad</v>
      </c>
      <c r="D4305" s="94">
        <v>5</v>
      </c>
      <c r="E4305" s="84">
        <v>68</v>
      </c>
      <c r="F4305" s="83">
        <f t="shared" ca="1" si="187"/>
        <v>340</v>
      </c>
    </row>
    <row r="4306" spans="1:6" ht="14.1" customHeight="1" x14ac:dyDescent="0.25">
      <c r="A4306" s="94" t="s">
        <v>1126</v>
      </c>
      <c r="B4306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4306" s="95" t="str">
        <f>IFERROR(VLOOKUP("UD",'Informacion '!P:Q,2,FALSE),"")</f>
        <v>Unidad</v>
      </c>
      <c r="D4306" s="94">
        <v>20</v>
      </c>
      <c r="E4306" s="84">
        <v>400</v>
      </c>
      <c r="F4306" s="83">
        <f t="shared" ca="1" si="187"/>
        <v>8000</v>
      </c>
    </row>
    <row r="4307" spans="1:6" ht="14.1" customHeight="1" x14ac:dyDescent="0.25">
      <c r="A4307" s="94" t="s">
        <v>1126</v>
      </c>
      <c r="B4307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4307" s="95" t="str">
        <f>IFERROR(VLOOKUP("UD",'Informacion '!P:Q,2,FALSE),"")</f>
        <v>Unidad</v>
      </c>
      <c r="D4307" s="94">
        <v>20</v>
      </c>
      <c r="E4307" s="84">
        <v>400</v>
      </c>
      <c r="F4307" s="83">
        <f t="shared" ca="1" si="187"/>
        <v>8000</v>
      </c>
    </row>
    <row r="4308" spans="1:6" ht="14.1" customHeight="1" x14ac:dyDescent="0.25">
      <c r="A4308" s="94" t="s">
        <v>14491</v>
      </c>
      <c r="B4308" s="82" t="str">
        <f ca="1">IFERROR(INDEX(UNSPSCDes,MATCH(INDIRECT(ADDRESS(ROW(),COLUMN()-1,4)),UNSPSCCode,0)),IF(INDIRECT(ADDRESS(ROW(),COLUMN()-1,4))="30181512","Asientos de inodoro",""))</f>
        <v>Asientos de inodoro</v>
      </c>
      <c r="C4308" s="95" t="str">
        <f>IFERROR(VLOOKUP("UD",'Informacion '!P:Q,2,FALSE),"")</f>
        <v>Unidad</v>
      </c>
      <c r="D4308" s="94">
        <v>60</v>
      </c>
      <c r="E4308" s="84">
        <v>200</v>
      </c>
      <c r="F4308" s="83">
        <f t="shared" ca="1" si="187"/>
        <v>12000</v>
      </c>
    </row>
    <row r="4309" spans="1:6" ht="14.1" customHeight="1" x14ac:dyDescent="0.25">
      <c r="A4309" s="94" t="s">
        <v>9883</v>
      </c>
      <c r="B4309" s="82" t="str">
        <f ca="1">IFERROR(INDEX(UNSPSCDes,MATCH(INDIRECT(ADDRESS(ROW(),COLUMN()-1,4)),UNSPSCCode,0)),IF(INDIRECT(ADDRESS(ROW(),COLUMN()-1,4))="39101601","Lámparas halógenas",""))</f>
        <v>Lámparas halógenas</v>
      </c>
      <c r="C4309" s="95" t="str">
        <f>IFERROR(VLOOKUP("UD",'Informacion '!P:Q,2,FALSE),"")</f>
        <v>Unidad</v>
      </c>
      <c r="D4309" s="94">
        <v>20</v>
      </c>
      <c r="E4309" s="84">
        <v>2000</v>
      </c>
      <c r="F4309" s="83">
        <f t="shared" ca="1" si="187"/>
        <v>40000</v>
      </c>
    </row>
    <row r="4310" spans="1:6" ht="14.1" customHeight="1" x14ac:dyDescent="0.25">
      <c r="A4310" s="94" t="s">
        <v>15551</v>
      </c>
      <c r="B4310" s="82" t="str">
        <f ca="1">IFERROR(INDEX(UNSPSCDes,MATCH(INDIRECT(ADDRESS(ROW(),COLUMN()-1,4)),UNSPSCCode,0)),IF(INDIRECT(ADDRESS(ROW(),COLUMN()-1,4))="30101601","Barras de aleación ferrosa",""))</f>
        <v>Barras de aleación ferrosa</v>
      </c>
      <c r="C4310" s="95" t="str">
        <f>IFERROR(VLOOKUP("UD",'Informacion '!P:Q,2,FALSE),"")</f>
        <v>Unidad</v>
      </c>
      <c r="D4310" s="94">
        <v>9</v>
      </c>
      <c r="E4310" s="84">
        <v>10900</v>
      </c>
      <c r="F4310" s="83">
        <f t="shared" ca="1" si="187"/>
        <v>98100</v>
      </c>
    </row>
    <row r="4311" spans="1:6" ht="14.1" customHeight="1" x14ac:dyDescent="0.25">
      <c r="A4311" s="94" t="s">
        <v>19265</v>
      </c>
      <c r="B4311" s="82" t="str">
        <f ca="1">IFERROR(INDEX(UNSPSCDes,MATCH(INDIRECT(ADDRESS(ROW(),COLUMN()-1,4)),UNSPSCCode,0)),IF(INDIRECT(ADDRESS(ROW(),COLUMN()-1,4))="46171505","Llaves",""))</f>
        <v>Llaves</v>
      </c>
      <c r="C4311" s="95" t="str">
        <f>IFERROR(VLOOKUP("UD",'Informacion '!P:Q,2,FALSE),"")</f>
        <v>Unidad</v>
      </c>
      <c r="D4311" s="94">
        <v>30</v>
      </c>
      <c r="E4311" s="84">
        <v>130</v>
      </c>
      <c r="F4311" s="83">
        <f t="shared" ca="1" si="187"/>
        <v>3900</v>
      </c>
    </row>
    <row r="4312" spans="1:6" ht="14.1" customHeight="1" x14ac:dyDescent="0.25">
      <c r="A4312" s="94" t="s">
        <v>19265</v>
      </c>
      <c r="B4312" s="82" t="str">
        <f ca="1">IFERROR(INDEX(UNSPSCDes,MATCH(INDIRECT(ADDRESS(ROW(),COLUMN()-1,4)),UNSPSCCode,0)),IF(INDIRECT(ADDRESS(ROW(),COLUMN()-1,4))="46171505","Llaves",""))</f>
        <v>Llaves</v>
      </c>
      <c r="C4312" s="95" t="str">
        <f>IFERROR(VLOOKUP("UD",'Informacion '!P:Q,2,FALSE),"")</f>
        <v>Unidad</v>
      </c>
      <c r="D4312" s="94">
        <v>20</v>
      </c>
      <c r="E4312" s="84">
        <v>75</v>
      </c>
      <c r="F4312" s="83">
        <f t="shared" ca="1" si="187"/>
        <v>1500</v>
      </c>
    </row>
    <row r="4313" spans="1:6" ht="14.1" customHeight="1" x14ac:dyDescent="0.25">
      <c r="A4313" s="94" t="s">
        <v>4286</v>
      </c>
      <c r="B4313" s="82" t="str">
        <f t="shared" ref="B4313:B4318" ca="1" si="188">IFERROR(INDEX(UNSPSCDes,MATCH(INDIRECT(ADDRESS(ROW(),COLUMN()-1,4)),UNSPSCCode,0)),IF(INDIRECT(ADDRESS(ROW(),COLUMN()-1,4))="40142008","Mangueras de agua",""))</f>
        <v>Mangueras de agua</v>
      </c>
      <c r="C4313" s="95" t="str">
        <f>IFERROR(VLOOKUP("UD",'Informacion '!P:Q,2,FALSE),"")</f>
        <v>Unidad</v>
      </c>
      <c r="D4313" s="94">
        <v>7</v>
      </c>
      <c r="E4313" s="84">
        <v>2100</v>
      </c>
      <c r="F4313" s="83">
        <f t="shared" ca="1" si="187"/>
        <v>14700</v>
      </c>
    </row>
    <row r="4314" spans="1:6" ht="14.1" customHeight="1" x14ac:dyDescent="0.25">
      <c r="A4314" s="94" t="s">
        <v>4286</v>
      </c>
      <c r="B4314" s="82" t="str">
        <f t="shared" ca="1" si="188"/>
        <v>Mangueras de agua</v>
      </c>
      <c r="C4314" s="95" t="str">
        <f>IFERROR(VLOOKUP("UD",'Informacion '!P:Q,2,FALSE),"")</f>
        <v>Unidad</v>
      </c>
      <c r="D4314" s="94">
        <v>7</v>
      </c>
      <c r="E4314" s="84">
        <v>2800</v>
      </c>
      <c r="F4314" s="83">
        <f t="shared" ca="1" si="187"/>
        <v>19600</v>
      </c>
    </row>
    <row r="4315" spans="1:6" ht="14.1" customHeight="1" x14ac:dyDescent="0.25">
      <c r="A4315" s="94" t="s">
        <v>4286</v>
      </c>
      <c r="B4315" s="82" t="str">
        <f t="shared" ca="1" si="188"/>
        <v>Mangueras de agua</v>
      </c>
      <c r="C4315" s="95" t="str">
        <f>IFERROR(VLOOKUP("UD",'Informacion '!P:Q,2,FALSE),"")</f>
        <v>Unidad</v>
      </c>
      <c r="D4315" s="94">
        <v>60</v>
      </c>
      <c r="E4315" s="84">
        <v>200</v>
      </c>
      <c r="F4315" s="83">
        <f t="shared" ca="1" si="187"/>
        <v>12000</v>
      </c>
    </row>
    <row r="4316" spans="1:6" ht="14.1" customHeight="1" x14ac:dyDescent="0.25">
      <c r="A4316" s="94" t="s">
        <v>4286</v>
      </c>
      <c r="B4316" s="82" t="str">
        <f t="shared" ca="1" si="188"/>
        <v>Mangueras de agua</v>
      </c>
      <c r="C4316" s="95" t="str">
        <f>IFERROR(VLOOKUP("UD",'Informacion '!P:Q,2,FALSE),"")</f>
        <v>Unidad</v>
      </c>
      <c r="D4316" s="94">
        <v>60</v>
      </c>
      <c r="E4316" s="84">
        <v>200</v>
      </c>
      <c r="F4316" s="83">
        <f t="shared" ca="1" si="187"/>
        <v>12000</v>
      </c>
    </row>
    <row r="4317" spans="1:6" ht="14.1" customHeight="1" x14ac:dyDescent="0.25">
      <c r="A4317" s="94" t="s">
        <v>4286</v>
      </c>
      <c r="B4317" s="82" t="str">
        <f t="shared" ca="1" si="188"/>
        <v>Mangueras de agua</v>
      </c>
      <c r="C4317" s="95" t="str">
        <f>IFERROR(VLOOKUP("UD",'Informacion '!P:Q,2,FALSE),"")</f>
        <v>Unidad</v>
      </c>
      <c r="D4317" s="94">
        <v>1</v>
      </c>
      <c r="E4317" s="84">
        <v>5000</v>
      </c>
      <c r="F4317" s="83">
        <f t="shared" ca="1" si="187"/>
        <v>5000</v>
      </c>
    </row>
    <row r="4318" spans="1:6" ht="14.1" customHeight="1" x14ac:dyDescent="0.25">
      <c r="A4318" s="94" t="s">
        <v>4286</v>
      </c>
      <c r="B4318" s="82" t="str">
        <f t="shared" ca="1" si="188"/>
        <v>Mangueras de agua</v>
      </c>
      <c r="C4318" s="95" t="str">
        <f>IFERROR(VLOOKUP("UD",'Informacion '!P:Q,2,FALSE),"")</f>
        <v>Unidad</v>
      </c>
      <c r="D4318" s="94">
        <v>60</v>
      </c>
      <c r="E4318" s="84">
        <v>200</v>
      </c>
      <c r="F4318" s="83">
        <f t="shared" ca="1" si="187"/>
        <v>12000</v>
      </c>
    </row>
    <row r="4319" spans="1:6" ht="14.1" customHeight="1" x14ac:dyDescent="0.25">
      <c r="A4319" s="94" t="s">
        <v>9014</v>
      </c>
      <c r="B4319" s="82" t="str">
        <f ca="1">IFERROR(INDEX(UNSPSCDes,MATCH(INDIRECT(ADDRESS(ROW(),COLUMN()-1,4)),UNSPSCCode,0)),IF(INDIRECT(ADDRESS(ROW(),COLUMN()-1,4))="26111722","Adaptador de batería o accesorios",""))</f>
        <v>Adaptador de batería o accesorios</v>
      </c>
      <c r="C4319" s="95" t="str">
        <f>IFERROR(VLOOKUP("UD",'Informacion '!P:Q,2,FALSE),"")</f>
        <v>Unidad</v>
      </c>
      <c r="D4319" s="94">
        <v>1</v>
      </c>
      <c r="E4319" s="84">
        <v>12000</v>
      </c>
      <c r="F4319" s="83">
        <f t="shared" ca="1" si="187"/>
        <v>12000</v>
      </c>
    </row>
    <row r="4320" spans="1:6" ht="14.1" customHeight="1" x14ac:dyDescent="0.25">
      <c r="A4320" s="94" t="s">
        <v>6953</v>
      </c>
      <c r="B4320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320" s="95" t="str">
        <f>IFERROR(VLOOKUP("UD",'Informacion '!P:Q,2,FALSE),"")</f>
        <v>Unidad</v>
      </c>
      <c r="D4320" s="94">
        <v>1</v>
      </c>
      <c r="E4320" s="84">
        <v>120000</v>
      </c>
      <c r="F4320" s="83">
        <f t="shared" ca="1" si="187"/>
        <v>120000</v>
      </c>
    </row>
    <row r="4321" spans="1:6" ht="14.1" customHeight="1" x14ac:dyDescent="0.25">
      <c r="A4321" s="94" t="s">
        <v>6953</v>
      </c>
      <c r="B4321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321" s="95" t="str">
        <f>IFERROR(VLOOKUP("UD",'Informacion '!P:Q,2,FALSE),"")</f>
        <v>Unidad</v>
      </c>
      <c r="D4321" s="94">
        <v>1</v>
      </c>
      <c r="E4321" s="84">
        <v>120000</v>
      </c>
      <c r="F4321" s="83">
        <f t="shared" ca="1" si="187"/>
        <v>120000</v>
      </c>
    </row>
    <row r="4322" spans="1:6" ht="14.1" customHeight="1" x14ac:dyDescent="0.25">
      <c r="A4322" s="94" t="s">
        <v>6953</v>
      </c>
      <c r="B4322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322" s="95" t="str">
        <f>IFERROR(VLOOKUP("UD",'Informacion '!P:Q,2,FALSE),"")</f>
        <v>Unidad</v>
      </c>
      <c r="D4322" s="94">
        <v>1</v>
      </c>
      <c r="E4322" s="84">
        <v>253000</v>
      </c>
      <c r="F4322" s="83">
        <f t="shared" ca="1" si="187"/>
        <v>253000</v>
      </c>
    </row>
    <row r="4323" spans="1:6" ht="14.1" customHeight="1" x14ac:dyDescent="0.25">
      <c r="A4323" s="94" t="s">
        <v>6953</v>
      </c>
      <c r="B4323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323" s="95" t="str">
        <f>IFERROR(VLOOKUP("UD",'Informacion '!P:Q,2,FALSE),"")</f>
        <v>Unidad</v>
      </c>
      <c r="D4323" s="94">
        <v>1</v>
      </c>
      <c r="E4323" s="84">
        <v>90000</v>
      </c>
      <c r="F4323" s="83">
        <f t="shared" ca="1" si="187"/>
        <v>90000</v>
      </c>
    </row>
    <row r="4324" spans="1:6" ht="14.1" customHeight="1" x14ac:dyDescent="0.25">
      <c r="A4324" s="94" t="s">
        <v>6723</v>
      </c>
      <c r="B4324" s="82" t="str">
        <f ca="1">IFERROR(INDEX(UNSPSCDes,MATCH(INDIRECT(ADDRESS(ROW(),COLUMN()-1,4)),UNSPSCCode,0)),IF(INDIRECT(ADDRESS(ROW(),COLUMN()-1,4))="15101506","Gasolina",""))</f>
        <v>Gasolina</v>
      </c>
      <c r="C4324" s="95" t="str">
        <f>IFERROR(VLOOKUP("GAL",'Informacion '!P:Q,2,FALSE),"")</f>
        <v>Galón</v>
      </c>
      <c r="D4324" s="94">
        <v>4500</v>
      </c>
      <c r="E4324" s="84">
        <v>205</v>
      </c>
      <c r="F4324" s="83">
        <f t="shared" ca="1" si="187"/>
        <v>922500</v>
      </c>
    </row>
    <row r="4325" spans="1:6" ht="14.1" customHeight="1" x14ac:dyDescent="0.25">
      <c r="A4325" s="94" t="s">
        <v>3294</v>
      </c>
      <c r="B4325" s="82" t="str">
        <f ca="1">IFERROR(INDEX(UNSPSCDes,MATCH(INDIRECT(ADDRESS(ROW(),COLUMN()-1,4)),UNSPSCCode,0)),IF(INDIRECT(ADDRESS(ROW(),COLUMN()-1,4))="23191004","Mezcladoras intensivas",""))</f>
        <v>Mezcladoras intensivas</v>
      </c>
      <c r="C4325" s="95" t="str">
        <f>IFERROR(VLOOKUP("UD",'Informacion '!P:Q,2,FALSE),"")</f>
        <v>Unidad</v>
      </c>
      <c r="D4325" s="94">
        <v>30</v>
      </c>
      <c r="E4325" s="84">
        <v>2000</v>
      </c>
      <c r="F4325" s="83">
        <f t="shared" ca="1" si="187"/>
        <v>60000</v>
      </c>
    </row>
    <row r="4326" spans="1:6" ht="14.1" customHeight="1" x14ac:dyDescent="0.25">
      <c r="A4326" s="94" t="s">
        <v>3294</v>
      </c>
      <c r="B4326" s="82" t="str">
        <f ca="1">IFERROR(INDEX(UNSPSCDes,MATCH(INDIRECT(ADDRESS(ROW(),COLUMN()-1,4)),UNSPSCCode,0)),IF(INDIRECT(ADDRESS(ROW(),COLUMN()-1,4))="23191004","Mezcladoras intensivas",""))</f>
        <v>Mezcladoras intensivas</v>
      </c>
      <c r="C4326" s="95" t="str">
        <f>IFERROR(VLOOKUP("UD",'Informacion '!P:Q,2,FALSE),"")</f>
        <v>Unidad</v>
      </c>
      <c r="D4326" s="94">
        <v>20</v>
      </c>
      <c r="E4326" s="84">
        <v>2400</v>
      </c>
      <c r="F4326" s="83">
        <f t="shared" ca="1" si="187"/>
        <v>48000</v>
      </c>
    </row>
    <row r="4327" spans="1:6" ht="14.1" customHeight="1" x14ac:dyDescent="0.25">
      <c r="A4327" s="94" t="s">
        <v>3294</v>
      </c>
      <c r="B4327" s="82" t="str">
        <f ca="1">IFERROR(INDEX(UNSPSCDes,MATCH(INDIRECT(ADDRESS(ROW(),COLUMN()-1,4)),UNSPSCCode,0)),IF(INDIRECT(ADDRESS(ROW(),COLUMN()-1,4))="23191004","Mezcladoras intensivas",""))</f>
        <v>Mezcladoras intensivas</v>
      </c>
      <c r="C4327" s="95" t="str">
        <f>IFERROR(VLOOKUP("UD",'Informacion '!P:Q,2,FALSE),"")</f>
        <v>Unidad</v>
      </c>
      <c r="D4327" s="94">
        <v>3</v>
      </c>
      <c r="E4327" s="84">
        <v>9000</v>
      </c>
      <c r="F4327" s="83">
        <f t="shared" ca="1" si="187"/>
        <v>27000</v>
      </c>
    </row>
    <row r="4328" spans="1:6" ht="14.1" customHeight="1" x14ac:dyDescent="0.25">
      <c r="A4328" s="94" t="s">
        <v>10330</v>
      </c>
      <c r="B4328" s="82" t="str">
        <f ca="1">IFERROR(INDEX(UNSPSCDes,MATCH(INDIRECT(ADDRESS(ROW(),COLUMN()-1,4)),UNSPSCCode,0)),IF(INDIRECT(ADDRESS(ROW(),COLUMN()-1,4))="30181504","Lavamanos",""))</f>
        <v>Lavamanos</v>
      </c>
      <c r="C4328" s="95" t="str">
        <f>IFERROR(VLOOKUP("UD",'Informacion '!P:Q,2,FALSE),"")</f>
        <v>Unidad</v>
      </c>
      <c r="D4328" s="94">
        <v>25</v>
      </c>
      <c r="E4328" s="84">
        <v>2400</v>
      </c>
      <c r="F4328" s="83">
        <f t="shared" ca="1" si="187"/>
        <v>60000</v>
      </c>
    </row>
    <row r="4329" spans="1:6" ht="14.1" customHeight="1" x14ac:dyDescent="0.25">
      <c r="A4329" s="94" t="s">
        <v>17140</v>
      </c>
      <c r="B4329" s="82" t="str">
        <f ca="1">IFERROR(INDEX(UNSPSCDes,MATCH(INDIRECT(ADDRESS(ROW(),COLUMN()-1,4)),UNSPSCCode,0)),IF(INDIRECT(ADDRESS(ROW(),COLUMN()-1,4))="30181505","Inodoros o excusados",""))</f>
        <v>Inodoros o excusados</v>
      </c>
      <c r="C4329" s="95" t="str">
        <f>IFERROR(VLOOKUP("UD",'Informacion '!P:Q,2,FALSE),"")</f>
        <v>Unidad</v>
      </c>
      <c r="D4329" s="94">
        <v>25</v>
      </c>
      <c r="E4329" s="84">
        <v>2400</v>
      </c>
      <c r="F4329" s="83">
        <f t="shared" ca="1" si="187"/>
        <v>60000</v>
      </c>
    </row>
    <row r="4330" spans="1:6" ht="14.1" customHeight="1" x14ac:dyDescent="0.25">
      <c r="A4330" s="94" t="s">
        <v>10466</v>
      </c>
      <c r="B4330" s="82" t="str">
        <f ca="1">IFERROR(INDEX(UNSPSCDes,MATCH(INDIRECT(ADDRESS(ROW(),COLUMN()-1,4)),UNSPSCCode,0)),IF(INDIRECT(ADDRESS(ROW(),COLUMN()-1,4))="12163501","Sellantes de cemento",""))</f>
        <v>Sellantes de cemento</v>
      </c>
      <c r="C4330" s="95" t="str">
        <f>IFERROR(VLOOKUP("UD",'Informacion '!P:Q,2,FALSE),"")</f>
        <v>Unidad</v>
      </c>
      <c r="D4330" s="94">
        <v>3</v>
      </c>
      <c r="E4330" s="84">
        <v>1200</v>
      </c>
      <c r="F4330" s="83">
        <f t="shared" ca="1" si="187"/>
        <v>3600</v>
      </c>
    </row>
    <row r="4331" spans="1:6" ht="14.1" customHeight="1" x14ac:dyDescent="0.25">
      <c r="A4331" s="94" t="s">
        <v>10466</v>
      </c>
      <c r="B4331" s="82" t="str">
        <f ca="1">IFERROR(INDEX(UNSPSCDes,MATCH(INDIRECT(ADDRESS(ROW(),COLUMN()-1,4)),UNSPSCCode,0)),IF(INDIRECT(ADDRESS(ROW(),COLUMN()-1,4))="12163501","Sellantes de cemento",""))</f>
        <v>Sellantes de cemento</v>
      </c>
      <c r="C4331" s="95" t="str">
        <f>IFERROR(VLOOKUP("UD",'Informacion '!P:Q,2,FALSE),"")</f>
        <v>Unidad</v>
      </c>
      <c r="D4331" s="94">
        <v>3</v>
      </c>
      <c r="E4331" s="84">
        <v>2200</v>
      </c>
      <c r="F4331" s="83">
        <f t="shared" ca="1" si="187"/>
        <v>6600</v>
      </c>
    </row>
    <row r="4332" spans="1:6" ht="14.1" customHeight="1" x14ac:dyDescent="0.25">
      <c r="A4332" s="94" t="s">
        <v>8226</v>
      </c>
      <c r="B4332" s="82" t="str">
        <f ca="1">IFERROR(INDEX(UNSPSCDes,MATCH(INDIRECT(ADDRESS(ROW(),COLUMN()-1,4)),UNSPSCCode,0)),IF(INDIRECT(ADDRESS(ROW(),COLUMN()-1,4))="39111808","Parrillas",""))</f>
        <v>Parrillas</v>
      </c>
      <c r="C4332" s="95" t="str">
        <f>IFERROR(VLOOKUP("UD",'Informacion '!P:Q,2,FALSE),"")</f>
        <v>Unidad</v>
      </c>
      <c r="D4332" s="94">
        <v>35</v>
      </c>
      <c r="E4332" s="84">
        <v>200</v>
      </c>
      <c r="F4332" s="83">
        <f t="shared" ca="1" si="187"/>
        <v>7000</v>
      </c>
    </row>
    <row r="4333" spans="1:6" ht="14.1" customHeight="1" x14ac:dyDescent="0.25">
      <c r="A4333" s="94" t="s">
        <v>4286</v>
      </c>
      <c r="B4333" s="82" t="str">
        <f ca="1">IFERROR(INDEX(UNSPSCDes,MATCH(INDIRECT(ADDRESS(ROW(),COLUMN()-1,4)),UNSPSCCode,0)),IF(INDIRECT(ADDRESS(ROW(),COLUMN()-1,4))="40142008","Mangueras de agua",""))</f>
        <v>Mangueras de agua</v>
      </c>
      <c r="C4333" s="95" t="str">
        <f>IFERROR(VLOOKUP("UD",'Informacion '!P:Q,2,FALSE),"")</f>
        <v>Unidad</v>
      </c>
      <c r="D4333" s="94">
        <v>35</v>
      </c>
      <c r="E4333" s="84">
        <v>180</v>
      </c>
      <c r="F4333" s="83">
        <f t="shared" ref="F4333:F4364" ca="1" si="189">INDIRECT(ADDRESS(ROW(),COLUMN()-2,4))*INDIRECT(ADDRESS(ROW(),COLUMN()-1,4))</f>
        <v>6300</v>
      </c>
    </row>
    <row r="4334" spans="1:6" ht="14.1" customHeight="1" x14ac:dyDescent="0.25">
      <c r="A4334" s="94" t="s">
        <v>4286</v>
      </c>
      <c r="B4334" s="82" t="str">
        <f ca="1">IFERROR(INDEX(UNSPSCDes,MATCH(INDIRECT(ADDRESS(ROW(),COLUMN()-1,4)),UNSPSCCode,0)),IF(INDIRECT(ADDRESS(ROW(),COLUMN()-1,4))="40142008","Mangueras de agua",""))</f>
        <v>Mangueras de agua</v>
      </c>
      <c r="C4334" s="95" t="str">
        <f>IFERROR(VLOOKUP("UD",'Informacion '!P:Q,2,FALSE),"")</f>
        <v>Unidad</v>
      </c>
      <c r="D4334" s="94">
        <v>35</v>
      </c>
      <c r="E4334" s="84">
        <v>197</v>
      </c>
      <c r="F4334" s="83">
        <f t="shared" ca="1" si="189"/>
        <v>6895</v>
      </c>
    </row>
    <row r="4335" spans="1:6" ht="14.1" customHeight="1" x14ac:dyDescent="0.25">
      <c r="A4335" s="94" t="s">
        <v>4286</v>
      </c>
      <c r="B4335" s="82" t="str">
        <f ca="1">IFERROR(INDEX(UNSPSCDes,MATCH(INDIRECT(ADDRESS(ROW(),COLUMN()-1,4)),UNSPSCCode,0)),IF(INDIRECT(ADDRESS(ROW(),COLUMN()-1,4))="40142008","Mangueras de agua",""))</f>
        <v>Mangueras de agua</v>
      </c>
      <c r="C4335" s="95" t="str">
        <f>IFERROR(VLOOKUP("UD",'Informacion '!P:Q,2,FALSE),"")</f>
        <v>Unidad</v>
      </c>
      <c r="D4335" s="94">
        <v>35</v>
      </c>
      <c r="E4335" s="84">
        <v>220</v>
      </c>
      <c r="F4335" s="83">
        <f t="shared" ca="1" si="189"/>
        <v>7700</v>
      </c>
    </row>
    <row r="4336" spans="1:6" ht="14.1" customHeight="1" x14ac:dyDescent="0.25">
      <c r="A4336" s="94" t="s">
        <v>4286</v>
      </c>
      <c r="B4336" s="82" t="str">
        <f ca="1">IFERROR(INDEX(UNSPSCDes,MATCH(INDIRECT(ADDRESS(ROW(),COLUMN()-1,4)),UNSPSCCode,0)),IF(INDIRECT(ADDRESS(ROW(),COLUMN()-1,4))="40142008","Mangueras de agua",""))</f>
        <v>Mangueras de agua</v>
      </c>
      <c r="C4336" s="95" t="str">
        <f>IFERROR(VLOOKUP("UD",'Informacion '!P:Q,2,FALSE),"")</f>
        <v>Unidad</v>
      </c>
      <c r="D4336" s="94">
        <v>35</v>
      </c>
      <c r="E4336" s="84">
        <v>197</v>
      </c>
      <c r="F4336" s="83">
        <f t="shared" ca="1" si="189"/>
        <v>6895</v>
      </c>
    </row>
    <row r="4337" spans="1:6" ht="14.1" customHeight="1" x14ac:dyDescent="0.25">
      <c r="A4337" s="94" t="s">
        <v>3294</v>
      </c>
      <c r="B4337" s="82" t="str">
        <f ca="1">IFERROR(INDEX(UNSPSCDes,MATCH(INDIRECT(ADDRESS(ROW(),COLUMN()-1,4)),UNSPSCCode,0)),IF(INDIRECT(ADDRESS(ROW(),COLUMN()-1,4))="23191004","Mezcladoras intensivas",""))</f>
        <v>Mezcladoras intensivas</v>
      </c>
      <c r="C4337" s="95" t="str">
        <f>IFERROR(VLOOKUP("UD",'Informacion '!P:Q,2,FALSE),"")</f>
        <v>Unidad</v>
      </c>
      <c r="D4337" s="94">
        <v>20</v>
      </c>
      <c r="E4337" s="84">
        <v>6700</v>
      </c>
      <c r="F4337" s="83">
        <f t="shared" ca="1" si="189"/>
        <v>134000</v>
      </c>
    </row>
    <row r="4338" spans="1:6" ht="14.1" customHeight="1" x14ac:dyDescent="0.25">
      <c r="A4338" s="94" t="s">
        <v>3294</v>
      </c>
      <c r="B4338" s="82" t="str">
        <f ca="1">IFERROR(INDEX(UNSPSCDes,MATCH(INDIRECT(ADDRESS(ROW(),COLUMN()-1,4)),UNSPSCCode,0)),IF(INDIRECT(ADDRESS(ROW(),COLUMN()-1,4))="23191004","Mezcladoras intensivas",""))</f>
        <v>Mezcladoras intensivas</v>
      </c>
      <c r="C4338" s="95" t="str">
        <f>IFERROR(VLOOKUP("UD",'Informacion '!P:Q,2,FALSE),"")</f>
        <v>Unidad</v>
      </c>
      <c r="D4338" s="94">
        <v>20</v>
      </c>
      <c r="E4338" s="84">
        <v>2600</v>
      </c>
      <c r="F4338" s="83">
        <f t="shared" ca="1" si="189"/>
        <v>52000</v>
      </c>
    </row>
    <row r="4339" spans="1:6" ht="14.1" customHeight="1" x14ac:dyDescent="0.25">
      <c r="A4339" s="94" t="s">
        <v>12220</v>
      </c>
      <c r="B4339" s="82" t="str">
        <f ca="1">IFERROR(INDEX(UNSPSCDes,MATCH(INDIRECT(ADDRESS(ROW(),COLUMN()-1,4)),UNSPSCCode,0)),IF(INDIRECT(ADDRESS(ROW(),COLUMN()-1,4))="24141705","Tubos plegables",""))</f>
        <v>Tubos plegables</v>
      </c>
      <c r="C4339" s="95" t="str">
        <f>IFERROR(VLOOKUP("UD",'Informacion '!P:Q,2,FALSE),"")</f>
        <v>Unidad</v>
      </c>
      <c r="D4339" s="94">
        <v>60</v>
      </c>
      <c r="E4339" s="84">
        <v>75</v>
      </c>
      <c r="F4339" s="83">
        <f t="shared" ca="1" si="189"/>
        <v>4500</v>
      </c>
    </row>
    <row r="4340" spans="1:6" ht="14.1" customHeight="1" x14ac:dyDescent="0.25">
      <c r="A4340" s="94" t="s">
        <v>10837</v>
      </c>
      <c r="B4340" s="82" t="str">
        <f ca="1">IFERROR(INDEX(UNSPSCDes,MATCH(INDIRECT(ADDRESS(ROW(),COLUMN()-1,4)),UNSPSCCode,0)),IF(INDIRECT(ADDRESS(ROW(),COLUMN()-1,4))="41104612","Accesorios para calderas de laboratorio",""))</f>
        <v>Accesorios para calderas de laboratorio</v>
      </c>
      <c r="C4340" s="95" t="str">
        <f>IFERROR(VLOOKUP("UD",'Informacion '!P:Q,2,FALSE),"")</f>
        <v>Unidad</v>
      </c>
      <c r="D4340" s="94">
        <v>1</v>
      </c>
      <c r="E4340" s="84">
        <v>239000</v>
      </c>
      <c r="F4340" s="83">
        <f t="shared" ca="1" si="189"/>
        <v>239000</v>
      </c>
    </row>
    <row r="4341" spans="1:6" ht="14.1" customHeight="1" x14ac:dyDescent="0.25">
      <c r="A4341" s="94" t="s">
        <v>19089</v>
      </c>
      <c r="B4341" s="82" t="str">
        <f ca="1">IFERROR(INDEX(UNSPSCDes,MATCH(INDIRECT(ADDRESS(ROW(),COLUMN()-1,4)),UNSPSCCode,0)),IF(INDIRECT(ADDRESS(ROW(),COLUMN()-1,4))="31211505","Pinturas de aceite",""))</f>
        <v>Pinturas de aceite</v>
      </c>
      <c r="C4341" s="95" t="str">
        <f>IFERROR(VLOOKUP("UD",'Informacion '!P:Q,2,FALSE),"")</f>
        <v>Unidad</v>
      </c>
      <c r="D4341" s="94">
        <v>1</v>
      </c>
      <c r="E4341" s="84">
        <v>3735</v>
      </c>
      <c r="F4341" s="83">
        <f t="shared" ca="1" si="189"/>
        <v>3735</v>
      </c>
    </row>
    <row r="4342" spans="1:6" ht="14.1" customHeight="1" x14ac:dyDescent="0.25">
      <c r="A4342" s="94" t="s">
        <v>12920</v>
      </c>
      <c r="B4342" s="82" t="str">
        <f ca="1">IFERROR(INDEX(UNSPSCDes,MATCH(INDIRECT(ADDRESS(ROW(),COLUMN()-1,4)),UNSPSCCode,0)),IF(INDIRECT(ADDRESS(ROW(),COLUMN()-1,4))="40151522","Bombas de osmosis inversa",""))</f>
        <v>Bombas de osmosis inversa</v>
      </c>
      <c r="C4342" s="95" t="str">
        <f>IFERROR(VLOOKUP("UD",'Informacion '!P:Q,2,FALSE),"")</f>
        <v>Unidad</v>
      </c>
      <c r="D4342" s="94">
        <v>1</v>
      </c>
      <c r="E4342" s="84">
        <v>60000</v>
      </c>
      <c r="F4342" s="83">
        <f t="shared" ca="1" si="189"/>
        <v>60000</v>
      </c>
    </row>
    <row r="4343" spans="1:6" ht="14.1" customHeight="1" x14ac:dyDescent="0.25">
      <c r="A4343" s="94" t="s">
        <v>18110</v>
      </c>
      <c r="B4343" s="82" t="str">
        <f ca="1">IFERROR(INDEX(UNSPSCDes,MATCH(INDIRECT(ADDRESS(ROW(),COLUMN()-1,4)),UNSPSCCode,0)),IF(INDIRECT(ADDRESS(ROW(),COLUMN()-1,4))="25172906","Reflectores",""))</f>
        <v>Reflectores</v>
      </c>
      <c r="C4343" s="95" t="str">
        <f>IFERROR(VLOOKUP("UD",'Informacion '!P:Q,2,FALSE),"")</f>
        <v>Unidad</v>
      </c>
      <c r="D4343" s="94">
        <v>5</v>
      </c>
      <c r="E4343" s="84">
        <v>4800</v>
      </c>
      <c r="F4343" s="83">
        <f t="shared" ca="1" si="189"/>
        <v>24000</v>
      </c>
    </row>
    <row r="4344" spans="1:6" ht="14.1" customHeight="1" x14ac:dyDescent="0.25">
      <c r="A4344" s="94" t="s">
        <v>7687</v>
      </c>
      <c r="B4344" s="82" t="str">
        <f ca="1">IFERROR(INDEX(UNSPSCDes,MATCH(INDIRECT(ADDRESS(ROW(),COLUMN()-1,4)),UNSPSCCode,0)),IF(INDIRECT(ADDRESS(ROW(),COLUMN()-1,4))="27112305","Marcadores o soportes de metal",""))</f>
        <v>Marcadores o soportes de metal</v>
      </c>
      <c r="C4344" s="95" t="str">
        <f>IFERROR(VLOOKUP("UD",'Informacion '!P:Q,2,FALSE),"")</f>
        <v>Unidad</v>
      </c>
      <c r="D4344" s="94">
        <v>20</v>
      </c>
      <c r="E4344" s="84">
        <v>35</v>
      </c>
      <c r="F4344" s="83">
        <f t="shared" ca="1" si="189"/>
        <v>700</v>
      </c>
    </row>
    <row r="4345" spans="1:6" ht="14.1" customHeight="1" x14ac:dyDescent="0.25">
      <c r="A4345" s="94" t="s">
        <v>8703</v>
      </c>
      <c r="B4345" s="82" t="str">
        <f ca="1">IFERROR(INDEX(UNSPSCDes,MATCH(INDIRECT(ADDRESS(ROW(),COLUMN()-1,4)),UNSPSCCode,0)),IF(INDIRECT(ADDRESS(ROW(),COLUMN()-1,4))="77111601","Rehabilitación en emplazamientos industriales",""))</f>
        <v>Rehabilitación en emplazamientos industriales</v>
      </c>
      <c r="C4345" s="95" t="str">
        <f>IFERROR(VLOOKUP("UD",'Informacion '!P:Q,2,FALSE),"")</f>
        <v>Unidad</v>
      </c>
      <c r="D4345" s="94">
        <v>1</v>
      </c>
      <c r="E4345" s="84">
        <v>1500000</v>
      </c>
      <c r="F4345" s="83">
        <f t="shared" ca="1" si="189"/>
        <v>1500000</v>
      </c>
    </row>
    <row r="4346" spans="1:6" ht="14.1" customHeight="1" x14ac:dyDescent="0.25">
      <c r="A4346" s="94" t="s">
        <v>2228</v>
      </c>
      <c r="B4346" s="82" t="str">
        <f ca="1">IFERROR(INDEX(UNSPSCDes,MATCH(INDIRECT(ADDRESS(ROW(),COLUMN()-1,4)),UNSPSCCode,0)),IF(INDIRECT(ADDRESS(ROW(),COLUMN()-1,4))="26131603","Rejillas de agua",""))</f>
        <v>Rejillas de agua</v>
      </c>
      <c r="C4346" s="95" t="str">
        <f>IFERROR(VLOOKUP("UD",'Informacion '!P:Q,2,FALSE),"")</f>
        <v>Unidad</v>
      </c>
      <c r="D4346" s="94">
        <v>10</v>
      </c>
      <c r="E4346" s="84">
        <v>570</v>
      </c>
      <c r="F4346" s="83">
        <f t="shared" ca="1" si="189"/>
        <v>5700</v>
      </c>
    </row>
    <row r="4347" spans="1:6" ht="14.1" customHeight="1" x14ac:dyDescent="0.25">
      <c r="A4347" s="94" t="s">
        <v>2228</v>
      </c>
      <c r="B4347" s="82" t="str">
        <f ca="1">IFERROR(INDEX(UNSPSCDes,MATCH(INDIRECT(ADDRESS(ROW(),COLUMN()-1,4)),UNSPSCCode,0)),IF(INDIRECT(ADDRESS(ROW(),COLUMN()-1,4))="26131603","Rejillas de agua",""))</f>
        <v>Rejillas de agua</v>
      </c>
      <c r="C4347" s="95" t="str">
        <f>IFERROR(VLOOKUP("UD",'Informacion '!P:Q,2,FALSE),"")</f>
        <v>Unidad</v>
      </c>
      <c r="D4347" s="94">
        <v>5</v>
      </c>
      <c r="E4347" s="84">
        <v>870</v>
      </c>
      <c r="F4347" s="83">
        <f t="shared" ca="1" si="189"/>
        <v>4350</v>
      </c>
    </row>
    <row r="4348" spans="1:6" ht="14.1" customHeight="1" x14ac:dyDescent="0.25">
      <c r="A4348" s="94" t="s">
        <v>12689</v>
      </c>
      <c r="B4348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348" s="95" t="str">
        <f>IFERROR(VLOOKUP("UD",'Informacion '!P:Q,2,FALSE),"")</f>
        <v>Unidad</v>
      </c>
      <c r="D4348" s="94">
        <v>7</v>
      </c>
      <c r="E4348" s="84">
        <v>8000</v>
      </c>
      <c r="F4348" s="83">
        <f t="shared" ca="1" si="189"/>
        <v>56000</v>
      </c>
    </row>
    <row r="4349" spans="1:6" ht="14.1" customHeight="1" x14ac:dyDescent="0.25">
      <c r="A4349" s="94" t="s">
        <v>12689</v>
      </c>
      <c r="B4349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349" s="95" t="str">
        <f>IFERROR(VLOOKUP("UD",'Informacion '!P:Q,2,FALSE),"")</f>
        <v>Unidad</v>
      </c>
      <c r="D4349" s="94">
        <v>5</v>
      </c>
      <c r="E4349" s="84">
        <v>7000</v>
      </c>
      <c r="F4349" s="83">
        <f t="shared" ca="1" si="189"/>
        <v>35000</v>
      </c>
    </row>
    <row r="4350" spans="1:6" ht="14.1" customHeight="1" x14ac:dyDescent="0.25">
      <c r="A4350" s="94" t="s">
        <v>12689</v>
      </c>
      <c r="B4350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350" s="95" t="str">
        <f>IFERROR(VLOOKUP("UD",'Informacion '!P:Q,2,FALSE),"")</f>
        <v>Unidad</v>
      </c>
      <c r="D4350" s="94">
        <v>5</v>
      </c>
      <c r="E4350" s="84">
        <v>7000</v>
      </c>
      <c r="F4350" s="83">
        <f t="shared" ca="1" si="189"/>
        <v>35000</v>
      </c>
    </row>
    <row r="4351" spans="1:6" ht="14.1" customHeight="1" x14ac:dyDescent="0.25">
      <c r="A4351" s="94" t="s">
        <v>12689</v>
      </c>
      <c r="B4351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351" s="95" t="str">
        <f>IFERROR(VLOOKUP("UD",'Informacion '!P:Q,2,FALSE),"")</f>
        <v>Unidad</v>
      </c>
      <c r="D4351" s="94">
        <v>2</v>
      </c>
      <c r="E4351" s="84">
        <v>6000</v>
      </c>
      <c r="F4351" s="83">
        <f t="shared" ca="1" si="189"/>
        <v>12000</v>
      </c>
    </row>
    <row r="4352" spans="1:6" ht="14.1" customHeight="1" x14ac:dyDescent="0.25">
      <c r="A4352" s="94" t="s">
        <v>6953</v>
      </c>
      <c r="B4352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352" s="95" t="str">
        <f>IFERROR(VLOOKUP("UD",'Informacion '!P:Q,2,FALSE),"")</f>
        <v>Unidad</v>
      </c>
      <c r="D4352" s="94">
        <v>1</v>
      </c>
      <c r="E4352" s="84">
        <v>400000</v>
      </c>
      <c r="F4352" s="83">
        <f t="shared" ca="1" si="189"/>
        <v>400000</v>
      </c>
    </row>
    <row r="4353" spans="1:6" ht="14.1" customHeight="1" x14ac:dyDescent="0.25">
      <c r="A4353" s="94" t="s">
        <v>12689</v>
      </c>
      <c r="B4353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353" s="95" t="str">
        <f>IFERROR(VLOOKUP("UD",'Informacion '!P:Q,2,FALSE),"")</f>
        <v>Unidad</v>
      </c>
      <c r="D4353" s="94">
        <v>1</v>
      </c>
      <c r="E4353" s="84">
        <v>800000</v>
      </c>
      <c r="F4353" s="83">
        <f t="shared" ca="1" si="189"/>
        <v>800000</v>
      </c>
    </row>
    <row r="4354" spans="1:6" ht="14.1" customHeight="1" x14ac:dyDescent="0.25">
      <c r="A4354" s="94" t="s">
        <v>12689</v>
      </c>
      <c r="B4354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354" s="95" t="str">
        <f>IFERROR(VLOOKUP("UD",'Informacion '!P:Q,2,FALSE),"")</f>
        <v>Unidad</v>
      </c>
      <c r="D4354" s="94">
        <v>2</v>
      </c>
      <c r="E4354" s="84">
        <v>45000</v>
      </c>
      <c r="F4354" s="83">
        <f t="shared" ca="1" si="189"/>
        <v>90000</v>
      </c>
    </row>
    <row r="4355" spans="1:6" ht="14.1" customHeight="1" x14ac:dyDescent="0.25">
      <c r="A4355" s="94" t="s">
        <v>12689</v>
      </c>
      <c r="B4355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355" s="95" t="str">
        <f>IFERROR(VLOOKUP("UD",'Informacion '!P:Q,2,FALSE),"")</f>
        <v>Unidad</v>
      </c>
      <c r="D4355" s="94">
        <v>5</v>
      </c>
      <c r="E4355" s="84">
        <v>30000</v>
      </c>
      <c r="F4355" s="83">
        <f t="shared" ca="1" si="189"/>
        <v>150000</v>
      </c>
    </row>
    <row r="4356" spans="1:6" ht="14.1" customHeight="1" x14ac:dyDescent="0.25">
      <c r="A4356" s="94" t="s">
        <v>14293</v>
      </c>
      <c r="B4356" s="82" t="str">
        <f ca="1">IFERROR(INDEX(UNSPSCDes,MATCH(INDIRECT(ADDRESS(ROW(),COLUMN()-1,4)),UNSPSCCode,0)),IF(INDIRECT(ADDRESS(ROW(),COLUMN()-1,4))="47121809","Sartenes desengrasantes",""))</f>
        <v>Sartenes desengrasantes</v>
      </c>
      <c r="C4356" s="95" t="str">
        <f>IFERROR(VLOOKUP("UD",'Informacion '!P:Q,2,FALSE),"")</f>
        <v>Unidad</v>
      </c>
      <c r="D4356" s="94">
        <v>30</v>
      </c>
      <c r="E4356" s="84">
        <v>50</v>
      </c>
      <c r="F4356" s="83">
        <f t="shared" ca="1" si="189"/>
        <v>1500</v>
      </c>
    </row>
    <row r="4357" spans="1:6" ht="14.1" customHeight="1" x14ac:dyDescent="0.25">
      <c r="A4357" s="94" t="s">
        <v>14120</v>
      </c>
      <c r="B4357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357" s="95" t="str">
        <f>IFERROR(VLOOKUP("UD",'Informacion '!P:Q,2,FALSE),"")</f>
        <v>Unidad</v>
      </c>
      <c r="D4357" s="94">
        <v>3</v>
      </c>
      <c r="E4357" s="84">
        <v>50000</v>
      </c>
      <c r="F4357" s="83">
        <f t="shared" ca="1" si="189"/>
        <v>150000</v>
      </c>
    </row>
    <row r="4358" spans="1:6" ht="14.1" customHeight="1" x14ac:dyDescent="0.25">
      <c r="A4358" s="94" t="s">
        <v>14120</v>
      </c>
      <c r="B4358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358" s="95" t="str">
        <f>IFERROR(VLOOKUP("UD",'Informacion '!P:Q,2,FALSE),"")</f>
        <v>Unidad</v>
      </c>
      <c r="D4358" s="94">
        <v>3</v>
      </c>
      <c r="E4358" s="84">
        <v>35000</v>
      </c>
      <c r="F4358" s="83">
        <f t="shared" ca="1" si="189"/>
        <v>105000</v>
      </c>
    </row>
    <row r="4359" spans="1:6" ht="14.1" customHeight="1" x14ac:dyDescent="0.25">
      <c r="A4359" s="94" t="s">
        <v>14120</v>
      </c>
      <c r="B4359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359" s="95" t="str">
        <f>IFERROR(VLOOKUP("UD",'Informacion '!P:Q,2,FALSE),"")</f>
        <v>Unidad</v>
      </c>
      <c r="D4359" s="94">
        <v>6</v>
      </c>
      <c r="E4359" s="84">
        <v>10600</v>
      </c>
      <c r="F4359" s="83">
        <f t="shared" ca="1" si="189"/>
        <v>63600</v>
      </c>
    </row>
    <row r="4360" spans="1:6" ht="14.1" customHeight="1" x14ac:dyDescent="0.25">
      <c r="A4360" s="94" t="s">
        <v>14120</v>
      </c>
      <c r="B4360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360" s="95" t="str">
        <f>IFERROR(VLOOKUP("UD",'Informacion '!P:Q,2,FALSE),"")</f>
        <v>Unidad</v>
      </c>
      <c r="D4360" s="94">
        <v>1</v>
      </c>
      <c r="E4360" s="84">
        <v>100600</v>
      </c>
      <c r="F4360" s="83">
        <f t="shared" ca="1" si="189"/>
        <v>100600</v>
      </c>
    </row>
    <row r="4361" spans="1:6" ht="14.1" customHeight="1" x14ac:dyDescent="0.25">
      <c r="A4361" s="94" t="s">
        <v>12220</v>
      </c>
      <c r="B4361" s="82" t="str">
        <f ca="1">IFERROR(INDEX(UNSPSCDes,MATCH(INDIRECT(ADDRESS(ROW(),COLUMN()-1,4)),UNSPSCCode,0)),IF(INDIRECT(ADDRESS(ROW(),COLUMN()-1,4))="24141705","Tubos plegables",""))</f>
        <v>Tubos plegables</v>
      </c>
      <c r="C4361" s="95" t="str">
        <f>IFERROR(VLOOKUP("UD",'Informacion '!P:Q,2,FALSE),"")</f>
        <v>Unidad</v>
      </c>
      <c r="D4361" s="94">
        <v>20</v>
      </c>
      <c r="E4361" s="84">
        <v>687</v>
      </c>
      <c r="F4361" s="83">
        <f t="shared" ca="1" si="189"/>
        <v>13740</v>
      </c>
    </row>
    <row r="4362" spans="1:6" ht="14.1" customHeight="1" x14ac:dyDescent="0.25">
      <c r="A4362" s="94" t="s">
        <v>12220</v>
      </c>
      <c r="B4362" s="82" t="str">
        <f ca="1">IFERROR(INDEX(UNSPSCDes,MATCH(INDIRECT(ADDRESS(ROW(),COLUMN()-1,4)),UNSPSCCode,0)),IF(INDIRECT(ADDRESS(ROW(),COLUMN()-1,4))="24141705","Tubos plegables",""))</f>
        <v>Tubos plegables</v>
      </c>
      <c r="C4362" s="95" t="str">
        <f>IFERROR(VLOOKUP("UD",'Informacion '!P:Q,2,FALSE),"")</f>
        <v>Unidad</v>
      </c>
      <c r="D4362" s="94">
        <v>40</v>
      </c>
      <c r="E4362" s="84">
        <v>200</v>
      </c>
      <c r="F4362" s="83">
        <f t="shared" ca="1" si="189"/>
        <v>8000</v>
      </c>
    </row>
    <row r="4363" spans="1:6" ht="14.1" customHeight="1" x14ac:dyDescent="0.25">
      <c r="A4363" s="94" t="s">
        <v>13889</v>
      </c>
      <c r="B4363" s="82" t="str">
        <f ca="1">IFERROR(INDEX(UNSPSCDes,MATCH(INDIRECT(ADDRESS(ROW(),COLUMN()-1,4)),UNSPSCCode,0)),IF(INDIRECT(ADDRESS(ROW(),COLUMN()-1,4))="12352310","Siliconas",""))</f>
        <v>Siliconas</v>
      </c>
      <c r="C4363" s="95" t="str">
        <f>IFERROR(VLOOKUP("UD",'Informacion '!P:Q,2,FALSE),"")</f>
        <v>Unidad</v>
      </c>
      <c r="D4363" s="94">
        <v>20</v>
      </c>
      <c r="E4363" s="84">
        <v>180</v>
      </c>
      <c r="F4363" s="83">
        <f t="shared" ca="1" si="189"/>
        <v>3600</v>
      </c>
    </row>
    <row r="4364" spans="1:6" ht="14.1" customHeight="1" x14ac:dyDescent="0.25">
      <c r="A4364" s="94" t="s">
        <v>13889</v>
      </c>
      <c r="B4364" s="82" t="str">
        <f ca="1">IFERROR(INDEX(UNSPSCDes,MATCH(INDIRECT(ADDRESS(ROW(),COLUMN()-1,4)),UNSPSCCode,0)),IF(INDIRECT(ADDRESS(ROW(),COLUMN()-1,4))="12352310","Siliconas",""))</f>
        <v>Siliconas</v>
      </c>
      <c r="C4364" s="95" t="str">
        <f>IFERROR(VLOOKUP("CAJ",'Informacion '!P:Q,2,FALSE),"")</f>
        <v>Caja</v>
      </c>
      <c r="D4364" s="94">
        <v>1</v>
      </c>
      <c r="E4364" s="84">
        <v>2000</v>
      </c>
      <c r="F4364" s="83">
        <f t="shared" ca="1" si="189"/>
        <v>2000</v>
      </c>
    </row>
    <row r="4365" spans="1:6" ht="14.1" customHeight="1" x14ac:dyDescent="0.25">
      <c r="A4365" s="94" t="s">
        <v>15043</v>
      </c>
      <c r="B4365" s="82" t="str">
        <f ca="1">IFERROR(INDEX(UNSPSCDes,MATCH(INDIRECT(ADDRESS(ROW(),COLUMN()-1,4)),UNSPSCCode,0)),IF(INDIRECT(ADDRESS(ROW(),COLUMN()-1,4))="41103706","Baños de agua",""))</f>
        <v>Baños de agua</v>
      </c>
      <c r="C4365" s="95" t="str">
        <f>IFERROR(VLOOKUP("UD",'Informacion '!P:Q,2,FALSE),"")</f>
        <v>Unidad</v>
      </c>
      <c r="D4365" s="94">
        <v>1</v>
      </c>
      <c r="E4365" s="84">
        <v>250000</v>
      </c>
      <c r="F4365" s="83">
        <f t="shared" ref="F4365:F4396" ca="1" si="190">INDIRECT(ADDRESS(ROW(),COLUMN()-2,4))*INDIRECT(ADDRESS(ROW(),COLUMN()-1,4))</f>
        <v>250000</v>
      </c>
    </row>
    <row r="4366" spans="1:6" ht="14.1" customHeight="1" x14ac:dyDescent="0.25">
      <c r="A4366" s="94" t="s">
        <v>571</v>
      </c>
      <c r="B4366" s="82" t="str">
        <f ca="1">IFERROR(INDEX(UNSPSCDes,MATCH(INDIRECT(ADDRESS(ROW(),COLUMN()-1,4)),UNSPSCCode,0)),IF(INDIRECT(ADDRESS(ROW(),COLUMN()-1,4))="11101713","Hierro",""))</f>
        <v>Hierro</v>
      </c>
      <c r="C4366" s="95" t="str">
        <f>IFERROR(VLOOKUP("UD",'Informacion '!P:Q,2,FALSE),"")</f>
        <v>Unidad</v>
      </c>
      <c r="D4366" s="94">
        <v>1</v>
      </c>
      <c r="E4366" s="84">
        <v>36000</v>
      </c>
      <c r="F4366" s="83">
        <f t="shared" ca="1" si="190"/>
        <v>36000</v>
      </c>
    </row>
    <row r="4367" spans="1:6" ht="14.1" customHeight="1" x14ac:dyDescent="0.25">
      <c r="A4367" s="94" t="s">
        <v>6826</v>
      </c>
      <c r="B4367" s="82" t="str">
        <f ca="1">IFERROR(INDEX(UNSPSCDes,MATCH(INDIRECT(ADDRESS(ROW(),COLUMN()-1,4)),UNSPSCCode,0)),IF(INDIRECT(ADDRESS(ROW(),COLUMN()-1,4))="23101502","Taladros",""))</f>
        <v>Taladros</v>
      </c>
      <c r="C4367" s="95" t="str">
        <f>IFERROR(VLOOKUP("UD",'Informacion '!P:Q,2,FALSE),"")</f>
        <v>Unidad</v>
      </c>
      <c r="D4367" s="94">
        <v>1</v>
      </c>
      <c r="E4367" s="84">
        <v>60000</v>
      </c>
      <c r="F4367" s="83">
        <f t="shared" ca="1" si="190"/>
        <v>60000</v>
      </c>
    </row>
    <row r="4368" spans="1:6" ht="14.1" customHeight="1" x14ac:dyDescent="0.25">
      <c r="A4368" s="94" t="s">
        <v>12615</v>
      </c>
      <c r="B4368" s="82" t="str">
        <f ca="1">IFERROR(INDEX(UNSPSCDes,MATCH(INDIRECT(ADDRESS(ROW(),COLUMN()-1,4)),UNSPSCCode,0)),IF(INDIRECT(ADDRESS(ROW(),COLUMN()-1,4))="31201512","Cinta transparente",""))</f>
        <v>Cinta transparente</v>
      </c>
      <c r="C4368" s="95" t="str">
        <f>IFERROR(VLOOKUP("UD",'Informacion '!P:Q,2,FALSE),"")</f>
        <v>Unidad</v>
      </c>
      <c r="D4368" s="94">
        <v>15</v>
      </c>
      <c r="E4368" s="84">
        <v>270</v>
      </c>
      <c r="F4368" s="83">
        <f t="shared" ca="1" si="190"/>
        <v>4050</v>
      </c>
    </row>
    <row r="4369" spans="1:6" ht="14.1" customHeight="1" x14ac:dyDescent="0.25">
      <c r="A4369" s="94" t="s">
        <v>12615</v>
      </c>
      <c r="B4369" s="82" t="str">
        <f ca="1">IFERROR(INDEX(UNSPSCDes,MATCH(INDIRECT(ADDRESS(ROW(),COLUMN()-1,4)),UNSPSCCode,0)),IF(INDIRECT(ADDRESS(ROW(),COLUMN()-1,4))="31201512","Cinta transparente",""))</f>
        <v>Cinta transparente</v>
      </c>
      <c r="C4369" s="95" t="str">
        <f>IFERROR(VLOOKUP("UD",'Informacion '!P:Q,2,FALSE),"")</f>
        <v>Unidad</v>
      </c>
      <c r="D4369" s="94">
        <v>10</v>
      </c>
      <c r="E4369" s="84">
        <v>330</v>
      </c>
      <c r="F4369" s="83">
        <f t="shared" ca="1" si="190"/>
        <v>3300</v>
      </c>
    </row>
    <row r="4370" spans="1:6" ht="14.1" customHeight="1" x14ac:dyDescent="0.25">
      <c r="A4370" s="94" t="s">
        <v>12220</v>
      </c>
      <c r="B4370" s="82" t="str">
        <f ca="1">IFERROR(INDEX(UNSPSCDes,MATCH(INDIRECT(ADDRESS(ROW(),COLUMN()-1,4)),UNSPSCCode,0)),IF(INDIRECT(ADDRESS(ROW(),COLUMN()-1,4))="24141705","Tubos plegables",""))</f>
        <v>Tubos plegables</v>
      </c>
      <c r="C4370" s="95" t="str">
        <f>IFERROR(VLOOKUP("UD",'Informacion '!P:Q,2,FALSE),"")</f>
        <v>Unidad</v>
      </c>
      <c r="D4370" s="94">
        <v>5</v>
      </c>
      <c r="E4370" s="84">
        <v>83</v>
      </c>
      <c r="F4370" s="83">
        <f t="shared" ca="1" si="190"/>
        <v>415</v>
      </c>
    </row>
    <row r="4371" spans="1:6" ht="14.1" customHeight="1" x14ac:dyDescent="0.25">
      <c r="A4371" s="94" t="s">
        <v>12220</v>
      </c>
      <c r="B4371" s="82" t="str">
        <f ca="1">IFERROR(INDEX(UNSPSCDes,MATCH(INDIRECT(ADDRESS(ROW(),COLUMN()-1,4)),UNSPSCCode,0)),IF(INDIRECT(ADDRESS(ROW(),COLUMN()-1,4))="24141705","Tubos plegables",""))</f>
        <v>Tubos plegables</v>
      </c>
      <c r="C4371" s="95" t="str">
        <f>IFERROR(VLOOKUP("UD",'Informacion '!P:Q,2,FALSE),"")</f>
        <v>Unidad</v>
      </c>
      <c r="D4371" s="94">
        <v>5</v>
      </c>
      <c r="E4371" s="84">
        <v>93</v>
      </c>
      <c r="F4371" s="83">
        <f t="shared" ca="1" si="190"/>
        <v>465</v>
      </c>
    </row>
    <row r="4372" spans="1:6" ht="14.1" customHeight="1" x14ac:dyDescent="0.25">
      <c r="A4372" s="94" t="s">
        <v>12220</v>
      </c>
      <c r="B4372" s="82" t="str">
        <f ca="1">IFERROR(INDEX(UNSPSCDes,MATCH(INDIRECT(ADDRESS(ROW(),COLUMN()-1,4)),UNSPSCCode,0)),IF(INDIRECT(ADDRESS(ROW(),COLUMN()-1,4))="24141705","Tubos plegables",""))</f>
        <v>Tubos plegables</v>
      </c>
      <c r="C4372" s="95" t="str">
        <f>IFERROR(VLOOKUP("UD",'Informacion '!P:Q,2,FALSE),"")</f>
        <v>Unidad</v>
      </c>
      <c r="D4372" s="94">
        <v>5</v>
      </c>
      <c r="E4372" s="84">
        <v>106</v>
      </c>
      <c r="F4372" s="83">
        <f t="shared" ca="1" si="190"/>
        <v>530</v>
      </c>
    </row>
    <row r="4373" spans="1:6" ht="14.1" customHeight="1" x14ac:dyDescent="0.25">
      <c r="A4373" s="94" t="s">
        <v>12220</v>
      </c>
      <c r="B4373" s="82" t="str">
        <f ca="1">IFERROR(INDEX(UNSPSCDes,MATCH(INDIRECT(ADDRESS(ROW(),COLUMN()-1,4)),UNSPSCCode,0)),IF(INDIRECT(ADDRESS(ROW(),COLUMN()-1,4))="24141705","Tubos plegables",""))</f>
        <v>Tubos plegables</v>
      </c>
      <c r="C4373" s="95" t="str">
        <f>IFERROR(VLOOKUP("UD",'Informacion '!P:Q,2,FALSE),"")</f>
        <v>Unidad</v>
      </c>
      <c r="D4373" s="94">
        <v>5</v>
      </c>
      <c r="E4373" s="84">
        <v>146</v>
      </c>
      <c r="F4373" s="83">
        <f t="shared" ca="1" si="190"/>
        <v>730</v>
      </c>
    </row>
    <row r="4374" spans="1:6" ht="14.1" customHeight="1" x14ac:dyDescent="0.25">
      <c r="A4374" s="94" t="s">
        <v>12220</v>
      </c>
      <c r="B4374" s="82" t="str">
        <f ca="1">IFERROR(INDEX(UNSPSCDes,MATCH(INDIRECT(ADDRESS(ROW(),COLUMN()-1,4)),UNSPSCCode,0)),IF(INDIRECT(ADDRESS(ROW(),COLUMN()-1,4))="24141705","Tubos plegables",""))</f>
        <v>Tubos plegables</v>
      </c>
      <c r="C4374" s="95" t="str">
        <f>IFERROR(VLOOKUP("UD",'Informacion '!P:Q,2,FALSE),"")</f>
        <v>Unidad</v>
      </c>
      <c r="D4374" s="94">
        <v>5</v>
      </c>
      <c r="E4374" s="84">
        <v>204</v>
      </c>
      <c r="F4374" s="83">
        <f t="shared" ca="1" si="190"/>
        <v>1020</v>
      </c>
    </row>
    <row r="4375" spans="1:6" ht="14.1" customHeight="1" x14ac:dyDescent="0.25">
      <c r="A4375" s="94" t="s">
        <v>11182</v>
      </c>
      <c r="B4375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4375" s="95" t="str">
        <f>IFERROR(VLOOKUP("UD",'Informacion '!P:Q,2,FALSE),"")</f>
        <v>Unidad</v>
      </c>
      <c r="D4375" s="94">
        <v>1</v>
      </c>
      <c r="E4375" s="84">
        <v>11000</v>
      </c>
      <c r="F4375" s="83">
        <f t="shared" ca="1" si="190"/>
        <v>11000</v>
      </c>
    </row>
    <row r="4376" spans="1:6" ht="14.1" customHeight="1" x14ac:dyDescent="0.25">
      <c r="A4376" s="94" t="s">
        <v>11182</v>
      </c>
      <c r="B4376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4376" s="95" t="str">
        <f>IFERROR(VLOOKUP("UD",'Informacion '!P:Q,2,FALSE),"")</f>
        <v>Unidad</v>
      </c>
      <c r="D4376" s="94">
        <v>3</v>
      </c>
      <c r="E4376" s="84">
        <v>3000</v>
      </c>
      <c r="F4376" s="83">
        <f t="shared" ca="1" si="190"/>
        <v>9000</v>
      </c>
    </row>
    <row r="4377" spans="1:6" ht="14.1" customHeight="1" x14ac:dyDescent="0.25">
      <c r="A4377" s="94" t="s">
        <v>11182</v>
      </c>
      <c r="B4377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4377" s="95" t="str">
        <f>IFERROR(VLOOKUP("UD",'Informacion '!P:Q,2,FALSE),"")</f>
        <v>Unidad</v>
      </c>
      <c r="D4377" s="94">
        <v>5</v>
      </c>
      <c r="E4377" s="84">
        <v>2800</v>
      </c>
      <c r="F4377" s="83">
        <f t="shared" ca="1" si="190"/>
        <v>14000</v>
      </c>
    </row>
    <row r="4378" spans="1:6" ht="14.1" customHeight="1" x14ac:dyDescent="0.25">
      <c r="A4378" s="94" t="s">
        <v>10906</v>
      </c>
      <c r="B4378" s="82" t="str">
        <f ca="1">IFERROR(INDEX(UNSPSCDes,MATCH(INDIRECT(ADDRESS(ROW(),COLUMN()-1,4)),UNSPSCCode,0)),IF(INDIRECT(ADDRESS(ROW(),COLUMN()-1,4))="40142604","Codos de tubo",""))</f>
        <v>Codos de tubo</v>
      </c>
      <c r="C4378" s="95" t="str">
        <f>IFERROR(VLOOKUP("UD",'Informacion '!P:Q,2,FALSE),"")</f>
        <v>Unidad</v>
      </c>
      <c r="D4378" s="94">
        <v>2</v>
      </c>
      <c r="E4378" s="84">
        <v>93</v>
      </c>
      <c r="F4378" s="83">
        <f t="shared" ca="1" si="190"/>
        <v>186</v>
      </c>
    </row>
    <row r="4379" spans="1:6" ht="14.1" customHeight="1" x14ac:dyDescent="0.25">
      <c r="A4379" s="94" t="s">
        <v>10906</v>
      </c>
      <c r="B4379" s="82" t="str">
        <f ca="1">IFERROR(INDEX(UNSPSCDes,MATCH(INDIRECT(ADDRESS(ROW(),COLUMN()-1,4)),UNSPSCCode,0)),IF(INDIRECT(ADDRESS(ROW(),COLUMN()-1,4))="40142604","Codos de tubo",""))</f>
        <v>Codos de tubo</v>
      </c>
      <c r="C4379" s="95" t="str">
        <f>IFERROR(VLOOKUP("UD",'Informacion '!P:Q,2,FALSE),"")</f>
        <v>Unidad</v>
      </c>
      <c r="D4379" s="94">
        <v>3</v>
      </c>
      <c r="E4379" s="84">
        <v>106</v>
      </c>
      <c r="F4379" s="83">
        <f t="shared" ca="1" si="190"/>
        <v>318</v>
      </c>
    </row>
    <row r="4380" spans="1:6" ht="14.1" customHeight="1" x14ac:dyDescent="0.25">
      <c r="A4380" s="94" t="s">
        <v>10906</v>
      </c>
      <c r="B4380" s="82" t="str">
        <f ca="1">IFERROR(INDEX(UNSPSCDes,MATCH(INDIRECT(ADDRESS(ROW(),COLUMN()-1,4)),UNSPSCCode,0)),IF(INDIRECT(ADDRESS(ROW(),COLUMN()-1,4))="40142604","Codos de tubo",""))</f>
        <v>Codos de tubo</v>
      </c>
      <c r="C4380" s="95" t="str">
        <f>IFERROR(VLOOKUP("UD",'Informacion '!P:Q,2,FALSE),"")</f>
        <v>Unidad</v>
      </c>
      <c r="D4380" s="94">
        <v>2</v>
      </c>
      <c r="E4380" s="84">
        <v>146</v>
      </c>
      <c r="F4380" s="83">
        <f t="shared" ca="1" si="190"/>
        <v>292</v>
      </c>
    </row>
    <row r="4381" spans="1:6" ht="14.1" customHeight="1" x14ac:dyDescent="0.25">
      <c r="A4381" s="94" t="s">
        <v>10906</v>
      </c>
      <c r="B4381" s="82" t="str">
        <f ca="1">IFERROR(INDEX(UNSPSCDes,MATCH(INDIRECT(ADDRESS(ROW(),COLUMN()-1,4)),UNSPSCCode,0)),IF(INDIRECT(ADDRESS(ROW(),COLUMN()-1,4))="40142604","Codos de tubo",""))</f>
        <v>Codos de tubo</v>
      </c>
      <c r="C4381" s="95" t="str">
        <f>IFERROR(VLOOKUP("UD",'Informacion '!P:Q,2,FALSE),"")</f>
        <v>Unidad</v>
      </c>
      <c r="D4381" s="94">
        <v>3</v>
      </c>
      <c r="E4381" s="84">
        <v>204</v>
      </c>
      <c r="F4381" s="83">
        <f t="shared" ca="1" si="190"/>
        <v>612</v>
      </c>
    </row>
    <row r="4382" spans="1:6" ht="14.1" customHeight="1" x14ac:dyDescent="0.25">
      <c r="A4382" s="94" t="s">
        <v>12220</v>
      </c>
      <c r="B4382" s="82" t="str">
        <f ca="1">IFERROR(INDEX(UNSPSCDes,MATCH(INDIRECT(ADDRESS(ROW(),COLUMN()-1,4)),UNSPSCCode,0)),IF(INDIRECT(ADDRESS(ROW(),COLUMN()-1,4))="24141705","Tubos plegables",""))</f>
        <v>Tubos plegables</v>
      </c>
      <c r="C4382" s="95" t="str">
        <f>IFERROR(VLOOKUP("UD",'Informacion '!P:Q,2,FALSE),"")</f>
        <v>Unidad</v>
      </c>
      <c r="D4382" s="94">
        <v>2</v>
      </c>
      <c r="E4382" s="84">
        <v>2000</v>
      </c>
      <c r="F4382" s="83">
        <f t="shared" ca="1" si="190"/>
        <v>4000</v>
      </c>
    </row>
    <row r="4383" spans="1:6" ht="14.1" customHeight="1" x14ac:dyDescent="0.25">
      <c r="A4383" s="94" t="s">
        <v>12220</v>
      </c>
      <c r="B4383" s="82" t="str">
        <f ca="1">IFERROR(INDEX(UNSPSCDes,MATCH(INDIRECT(ADDRESS(ROW(),COLUMN()-1,4)),UNSPSCCode,0)),IF(INDIRECT(ADDRESS(ROW(),COLUMN()-1,4))="24141705","Tubos plegables",""))</f>
        <v>Tubos plegables</v>
      </c>
      <c r="C4383" s="95" t="str">
        <f>IFERROR(VLOOKUP("UD",'Informacion '!P:Q,2,FALSE),"")</f>
        <v>Unidad</v>
      </c>
      <c r="D4383" s="94">
        <v>2</v>
      </c>
      <c r="E4383" s="84">
        <v>2200</v>
      </c>
      <c r="F4383" s="83">
        <f t="shared" ca="1" si="190"/>
        <v>4400</v>
      </c>
    </row>
    <row r="4384" spans="1:6" ht="14.1" customHeight="1" x14ac:dyDescent="0.25">
      <c r="A4384" s="94" t="s">
        <v>12220</v>
      </c>
      <c r="B4384" s="82" t="str">
        <f ca="1">IFERROR(INDEX(UNSPSCDes,MATCH(INDIRECT(ADDRESS(ROW(),COLUMN()-1,4)),UNSPSCCode,0)),IF(INDIRECT(ADDRESS(ROW(),COLUMN()-1,4))="24141705","Tubos plegables",""))</f>
        <v>Tubos plegables</v>
      </c>
      <c r="C4384" s="95" t="str">
        <f>IFERROR(VLOOKUP("UD",'Informacion '!P:Q,2,FALSE),"")</f>
        <v>Unidad</v>
      </c>
      <c r="D4384" s="94">
        <v>1</v>
      </c>
      <c r="E4384" s="84">
        <v>2400</v>
      </c>
      <c r="F4384" s="83">
        <f t="shared" ca="1" si="190"/>
        <v>2400</v>
      </c>
    </row>
    <row r="4385" spans="1:6" ht="14.1" customHeight="1" x14ac:dyDescent="0.25">
      <c r="A4385" s="94" t="s">
        <v>12220</v>
      </c>
      <c r="B4385" s="82" t="str">
        <f ca="1">IFERROR(INDEX(UNSPSCDes,MATCH(INDIRECT(ADDRESS(ROW(),COLUMN()-1,4)),UNSPSCCode,0)),IF(INDIRECT(ADDRESS(ROW(),COLUMN()-1,4))="24141705","Tubos plegables",""))</f>
        <v>Tubos plegables</v>
      </c>
      <c r="C4385" s="95" t="str">
        <f>IFERROR(VLOOKUP("UD",'Informacion '!P:Q,2,FALSE),"")</f>
        <v>Unidad</v>
      </c>
      <c r="D4385" s="94">
        <v>2</v>
      </c>
      <c r="E4385" s="84">
        <v>2600</v>
      </c>
      <c r="F4385" s="83">
        <f t="shared" ca="1" si="190"/>
        <v>5200</v>
      </c>
    </row>
    <row r="4386" spans="1:6" ht="14.1" customHeight="1" x14ac:dyDescent="0.25">
      <c r="A4386" s="94" t="s">
        <v>12220</v>
      </c>
      <c r="B4386" s="82" t="str">
        <f ca="1">IFERROR(INDEX(UNSPSCDes,MATCH(INDIRECT(ADDRESS(ROW(),COLUMN()-1,4)),UNSPSCCode,0)),IF(INDIRECT(ADDRESS(ROW(),COLUMN()-1,4))="24141705","Tubos plegables",""))</f>
        <v>Tubos plegables</v>
      </c>
      <c r="C4386" s="95" t="str">
        <f>IFERROR(VLOOKUP("UD",'Informacion '!P:Q,2,FALSE),"")</f>
        <v>Unidad</v>
      </c>
      <c r="D4386" s="94">
        <v>1</v>
      </c>
      <c r="E4386" s="84">
        <v>3200</v>
      </c>
      <c r="F4386" s="83">
        <f t="shared" ca="1" si="190"/>
        <v>3200</v>
      </c>
    </row>
    <row r="4387" spans="1:6" ht="14.1" customHeight="1" x14ac:dyDescent="0.25">
      <c r="A4387" s="94" t="s">
        <v>14429</v>
      </c>
      <c r="B4387" s="82" t="str">
        <f ca="1">IFERROR(INDEX(UNSPSCDes,MATCH(INDIRECT(ADDRESS(ROW(),COLUMN()-1,4)),UNSPSCCode,0)),IF(INDIRECT(ADDRESS(ROW(),COLUMN()-1,4))="27112014","Cortadora de pasto",""))</f>
        <v>Cortadora de pasto</v>
      </c>
      <c r="C4387" s="95" t="str">
        <f>IFERROR(VLOOKUP("UD",'Informacion '!P:Q,2,FALSE),"")</f>
        <v>Unidad</v>
      </c>
      <c r="D4387" s="94">
        <v>4</v>
      </c>
      <c r="E4387" s="84">
        <v>470</v>
      </c>
      <c r="F4387" s="83">
        <f t="shared" ca="1" si="190"/>
        <v>1880</v>
      </c>
    </row>
    <row r="4388" spans="1:6" ht="14.1" customHeight="1" x14ac:dyDescent="0.25">
      <c r="A4388" s="94" t="s">
        <v>15860</v>
      </c>
      <c r="B4388" s="82" t="str">
        <f ca="1">IFERROR(INDEX(UNSPSCDes,MATCH(INDIRECT(ADDRESS(ROW(),COLUMN()-1,4)),UNSPSCCode,0)),IF(INDIRECT(ADDRESS(ROW(),COLUMN()-1,4))="27111704","Enchufes",""))</f>
        <v>Enchufes</v>
      </c>
      <c r="C4388" s="95" t="str">
        <f>IFERROR(VLOOKUP("UD",'Informacion '!P:Q,2,FALSE),"")</f>
        <v>Unidad</v>
      </c>
      <c r="D4388" s="94">
        <v>50</v>
      </c>
      <c r="E4388" s="84">
        <v>102</v>
      </c>
      <c r="F4388" s="83">
        <f t="shared" ca="1" si="190"/>
        <v>5100</v>
      </c>
    </row>
    <row r="4389" spans="1:6" ht="14.1" customHeight="1" x14ac:dyDescent="0.25">
      <c r="A4389" s="94" t="s">
        <v>12220</v>
      </c>
      <c r="B4389" s="82" t="str">
        <f t="shared" ref="B4389:B4394" ca="1" si="191">IFERROR(INDEX(UNSPSCDes,MATCH(INDIRECT(ADDRESS(ROW(),COLUMN()-1,4)),UNSPSCCode,0)),IF(INDIRECT(ADDRESS(ROW(),COLUMN()-1,4))="24141705","Tubos plegables",""))</f>
        <v>Tubos plegables</v>
      </c>
      <c r="C4389" s="95" t="str">
        <f>IFERROR(VLOOKUP("UD",'Informacion '!P:Q,2,FALSE),"")</f>
        <v>Unidad</v>
      </c>
      <c r="D4389" s="94">
        <v>1</v>
      </c>
      <c r="E4389" s="84">
        <v>632</v>
      </c>
      <c r="F4389" s="83">
        <f t="shared" ca="1" si="190"/>
        <v>632</v>
      </c>
    </row>
    <row r="4390" spans="1:6" ht="14.1" customHeight="1" x14ac:dyDescent="0.25">
      <c r="A4390" s="94" t="s">
        <v>12220</v>
      </c>
      <c r="B4390" s="82" t="str">
        <f t="shared" ca="1" si="191"/>
        <v>Tubos plegables</v>
      </c>
      <c r="C4390" s="95" t="str">
        <f>IFERROR(VLOOKUP("UD",'Informacion '!P:Q,2,FALSE),"")</f>
        <v>Unidad</v>
      </c>
      <c r="D4390" s="94">
        <v>2</v>
      </c>
      <c r="E4390" s="84">
        <v>982</v>
      </c>
      <c r="F4390" s="83">
        <f t="shared" ca="1" si="190"/>
        <v>1964</v>
      </c>
    </row>
    <row r="4391" spans="1:6" ht="14.1" customHeight="1" x14ac:dyDescent="0.25">
      <c r="A4391" s="94" t="s">
        <v>12220</v>
      </c>
      <c r="B4391" s="82" t="str">
        <f t="shared" ca="1" si="191"/>
        <v>Tubos plegables</v>
      </c>
      <c r="C4391" s="95" t="str">
        <f>IFERROR(VLOOKUP("UD",'Informacion '!P:Q,2,FALSE),"")</f>
        <v>Unidad</v>
      </c>
      <c r="D4391" s="94">
        <v>4</v>
      </c>
      <c r="E4391" s="84">
        <v>2900</v>
      </c>
      <c r="F4391" s="83">
        <f t="shared" ca="1" si="190"/>
        <v>11600</v>
      </c>
    </row>
    <row r="4392" spans="1:6" ht="14.1" customHeight="1" x14ac:dyDescent="0.25">
      <c r="A4392" s="94" t="s">
        <v>12220</v>
      </c>
      <c r="B4392" s="82" t="str">
        <f t="shared" ca="1" si="191"/>
        <v>Tubos plegables</v>
      </c>
      <c r="C4392" s="95" t="str">
        <f>IFERROR(VLOOKUP("UD",'Informacion '!P:Q,2,FALSE),"")</f>
        <v>Unidad</v>
      </c>
      <c r="D4392" s="94">
        <v>2</v>
      </c>
      <c r="E4392" s="84">
        <v>2825</v>
      </c>
      <c r="F4392" s="83">
        <f t="shared" ca="1" si="190"/>
        <v>5650</v>
      </c>
    </row>
    <row r="4393" spans="1:6" ht="14.1" customHeight="1" x14ac:dyDescent="0.25">
      <c r="A4393" s="94" t="s">
        <v>12220</v>
      </c>
      <c r="B4393" s="82" t="str">
        <f t="shared" ca="1" si="191"/>
        <v>Tubos plegables</v>
      </c>
      <c r="C4393" s="95" t="str">
        <f>IFERROR(VLOOKUP("UD",'Informacion '!P:Q,2,FALSE),"")</f>
        <v>Unidad</v>
      </c>
      <c r="D4393" s="94">
        <v>4</v>
      </c>
      <c r="E4393" s="84">
        <v>3590</v>
      </c>
      <c r="F4393" s="83">
        <f t="shared" ca="1" si="190"/>
        <v>14360</v>
      </c>
    </row>
    <row r="4394" spans="1:6" ht="14.1" customHeight="1" x14ac:dyDescent="0.25">
      <c r="A4394" s="94" t="s">
        <v>12220</v>
      </c>
      <c r="B4394" s="82" t="str">
        <f t="shared" ca="1" si="191"/>
        <v>Tubos plegables</v>
      </c>
      <c r="C4394" s="95" t="str">
        <f>IFERROR(VLOOKUP("UD",'Informacion '!P:Q,2,FALSE),"")</f>
        <v>Unidad</v>
      </c>
      <c r="D4394" s="94">
        <v>10</v>
      </c>
      <c r="E4394" s="84">
        <v>150</v>
      </c>
      <c r="F4394" s="83">
        <f t="shared" ca="1" si="190"/>
        <v>1500</v>
      </c>
    </row>
    <row r="4395" spans="1:6" ht="14.1" customHeight="1" x14ac:dyDescent="0.25">
      <c r="A4395" s="94" t="s">
        <v>16872</v>
      </c>
      <c r="B4395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395" s="95" t="str">
        <f>IFERROR(VLOOKUP("UD",'Informacion '!P:Q,2,FALSE),"")</f>
        <v>Unidad</v>
      </c>
      <c r="D4395" s="94">
        <v>40</v>
      </c>
      <c r="E4395" s="84">
        <v>260</v>
      </c>
      <c r="F4395" s="83">
        <f t="shared" ca="1" si="190"/>
        <v>10400</v>
      </c>
    </row>
    <row r="4396" spans="1:6" ht="14.1" customHeight="1" x14ac:dyDescent="0.25">
      <c r="A4396" s="94" t="s">
        <v>16872</v>
      </c>
      <c r="B4396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396" s="95" t="str">
        <f>IFERROR(VLOOKUP("UD",'Informacion '!P:Q,2,FALSE),"")</f>
        <v>Unidad</v>
      </c>
      <c r="D4396" s="94">
        <v>40</v>
      </c>
      <c r="E4396" s="84">
        <v>260</v>
      </c>
      <c r="F4396" s="83">
        <f t="shared" ca="1" si="190"/>
        <v>10400</v>
      </c>
    </row>
    <row r="4397" spans="1:6" ht="14.1" customHeight="1" x14ac:dyDescent="0.25">
      <c r="A4397" s="94" t="s">
        <v>16872</v>
      </c>
      <c r="B4397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397" s="95" t="str">
        <f>IFERROR(VLOOKUP("UD",'Informacion '!P:Q,2,FALSE),"")</f>
        <v>Unidad</v>
      </c>
      <c r="D4397" s="94">
        <v>60</v>
      </c>
      <c r="E4397" s="84">
        <v>300</v>
      </c>
      <c r="F4397" s="83">
        <f t="shared" ref="F4397:F4409" ca="1" si="192">INDIRECT(ADDRESS(ROW(),COLUMN()-2,4))*INDIRECT(ADDRESS(ROW(),COLUMN()-1,4))</f>
        <v>18000</v>
      </c>
    </row>
    <row r="4398" spans="1:6" ht="14.1" customHeight="1" x14ac:dyDescent="0.25">
      <c r="A4398" s="94" t="s">
        <v>16872</v>
      </c>
      <c r="B4398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398" s="95" t="str">
        <f>IFERROR(VLOOKUP("UD",'Informacion '!P:Q,2,FALSE),"")</f>
        <v>Unidad</v>
      </c>
      <c r="D4398" s="94">
        <v>60</v>
      </c>
      <c r="E4398" s="84">
        <v>300</v>
      </c>
      <c r="F4398" s="83">
        <f t="shared" ca="1" si="192"/>
        <v>18000</v>
      </c>
    </row>
    <row r="4399" spans="1:6" ht="14.1" customHeight="1" x14ac:dyDescent="0.25">
      <c r="A4399" s="94" t="s">
        <v>8565</v>
      </c>
      <c r="B4399" s="82" t="str">
        <f ca="1">IFERROR(INDEX(UNSPSCDes,MATCH(INDIRECT(ADDRESS(ROW(),COLUMN()-1,4)),UNSPSCCode,0)),IF(INDIRECT(ADDRESS(ROW(),COLUMN()-1,4))="47131821","Compuestos desengrasantes",""))</f>
        <v>Compuestos desengrasantes</v>
      </c>
      <c r="C4399" s="95" t="str">
        <f>IFERROR(VLOOKUP("UD",'Informacion '!P:Q,2,FALSE),"")</f>
        <v>Unidad</v>
      </c>
      <c r="D4399" s="94">
        <v>12</v>
      </c>
      <c r="E4399" s="84">
        <v>250</v>
      </c>
      <c r="F4399" s="83">
        <f t="shared" ca="1" si="192"/>
        <v>3000</v>
      </c>
    </row>
    <row r="4400" spans="1:6" ht="14.1" customHeight="1" x14ac:dyDescent="0.25">
      <c r="A4400" s="94" t="s">
        <v>17393</v>
      </c>
      <c r="B4400" s="82" t="str">
        <f ca="1">IFERROR(INDEX(UNSPSCDes,MATCH(INDIRECT(ADDRESS(ROW(),COLUMN()-1,4)),UNSPSCCode,0)),IF(INDIRECT(ADDRESS(ROW(),COLUMN()-1,4))="26101743","Válvulas de motor",""))</f>
        <v>Válvulas de motor</v>
      </c>
      <c r="C4400" s="95" t="str">
        <f>IFERROR(VLOOKUP("UD",'Informacion '!P:Q,2,FALSE),"")</f>
        <v>Unidad</v>
      </c>
      <c r="D4400" s="94">
        <v>5</v>
      </c>
      <c r="E4400" s="84">
        <v>5000</v>
      </c>
      <c r="F4400" s="83">
        <f t="shared" ca="1" si="192"/>
        <v>25000</v>
      </c>
    </row>
    <row r="4401" spans="1:10" ht="14.1" customHeight="1" x14ac:dyDescent="0.25">
      <c r="A4401" s="94" t="s">
        <v>8301</v>
      </c>
      <c r="B4401" s="82" t="str">
        <f ca="1">IFERROR(INDEX(UNSPSCDes,MATCH(INDIRECT(ADDRESS(ROW(),COLUMN()-1,4)),UNSPSCCode,0)),IF(INDIRECT(ADDRESS(ROW(),COLUMN()-1,4))="24101604","Elevadores",""))</f>
        <v>Elevadores</v>
      </c>
      <c r="C4401" s="95" t="str">
        <f>IFERROR(VLOOKUP("UD",'Informacion '!P:Q,2,FALSE),"")</f>
        <v>Unidad</v>
      </c>
      <c r="D4401" s="94">
        <v>1</v>
      </c>
      <c r="E4401" s="84">
        <v>18000</v>
      </c>
      <c r="F4401" s="83">
        <f t="shared" ca="1" si="192"/>
        <v>18000</v>
      </c>
    </row>
    <row r="4402" spans="1:10" ht="14.1" customHeight="1" x14ac:dyDescent="0.25">
      <c r="A4402" s="94" t="s">
        <v>9037</v>
      </c>
      <c r="B4402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4402" s="95" t="str">
        <f>IFERROR(VLOOKUP("UD",'Informacion '!P:Q,2,FALSE),"")</f>
        <v>Unidad</v>
      </c>
      <c r="D4402" s="94">
        <v>1</v>
      </c>
      <c r="E4402" s="84">
        <v>56000</v>
      </c>
      <c r="F4402" s="83">
        <f t="shared" ca="1" si="192"/>
        <v>56000</v>
      </c>
    </row>
    <row r="4403" spans="1:10" ht="14.1" customHeight="1" x14ac:dyDescent="0.25">
      <c r="A4403" s="94" t="s">
        <v>7726</v>
      </c>
      <c r="B4403" s="82" t="str">
        <f ca="1">IFERROR(INDEX(UNSPSCDes,MATCH(INDIRECT(ADDRESS(ROW(),COLUMN()-1,4)),UNSPSCCode,0)),IF(INDIRECT(ADDRESS(ROW(),COLUMN()-1,4))="40101801","Radiadores",""))</f>
        <v>Radiadores</v>
      </c>
      <c r="C4403" s="95" t="str">
        <f>IFERROR(VLOOKUP("UD",'Informacion '!P:Q,2,FALSE),"")</f>
        <v>Unidad</v>
      </c>
      <c r="D4403" s="94">
        <v>1</v>
      </c>
      <c r="E4403" s="84">
        <v>56000</v>
      </c>
      <c r="F4403" s="83">
        <f t="shared" ca="1" si="192"/>
        <v>56000</v>
      </c>
    </row>
    <row r="4404" spans="1:10" ht="14.1" customHeight="1" x14ac:dyDescent="0.25">
      <c r="A4404" s="94" t="s">
        <v>12690</v>
      </c>
      <c r="B4404" s="82" t="str">
        <f ca="1">IFERROR(INDEX(UNSPSCDes,MATCH(INDIRECT(ADDRESS(ROW(),COLUMN()-1,4)),UNSPSCCode,0)),IF(INDIRECT(ADDRESS(ROW(),COLUMN()-1,4))="43211604","Cajas de interruptores periféricos",""))</f>
        <v>Cajas de interruptores periféricos</v>
      </c>
      <c r="C4404" s="95" t="str">
        <f>IFERROR(VLOOKUP("UD",'Informacion '!P:Q,2,FALSE),"")</f>
        <v>Unidad</v>
      </c>
      <c r="D4404" s="94">
        <v>1</v>
      </c>
      <c r="E4404" s="84">
        <v>465000</v>
      </c>
      <c r="F4404" s="83">
        <f t="shared" ca="1" si="192"/>
        <v>465000</v>
      </c>
    </row>
    <row r="4405" spans="1:10" ht="14.1" customHeight="1" x14ac:dyDescent="0.25">
      <c r="A4405" s="94" t="s">
        <v>143</v>
      </c>
      <c r="B4405" s="82" t="str">
        <f ca="1">IFERROR(INDEX(UNSPSCDes,MATCH(INDIRECT(ADDRESS(ROW(),COLUMN()-1,4)),UNSPSCCode,0)),IF(INDIRECT(ADDRESS(ROW(),COLUMN()-1,4))="40101506","Tubos de ventilación",""))</f>
        <v>Tubos de ventilación</v>
      </c>
      <c r="C4405" s="95" t="str">
        <f>IFERROR(VLOOKUP("UD",'Informacion '!P:Q,2,FALSE),"")</f>
        <v>Unidad</v>
      </c>
      <c r="D4405" s="94">
        <v>1</v>
      </c>
      <c r="E4405" s="84">
        <v>250000</v>
      </c>
      <c r="F4405" s="83">
        <f t="shared" ca="1" si="192"/>
        <v>250000</v>
      </c>
    </row>
    <row r="4406" spans="1:10" ht="14.1" customHeight="1" x14ac:dyDescent="0.25">
      <c r="A4406" s="94" t="s">
        <v>6953</v>
      </c>
      <c r="B4406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406" s="95" t="str">
        <f>IFERROR(VLOOKUP("UD",'Informacion '!P:Q,2,FALSE),"")</f>
        <v>Unidad</v>
      </c>
      <c r="D4406" s="94">
        <v>1</v>
      </c>
      <c r="E4406" s="84">
        <v>500000</v>
      </c>
      <c r="F4406" s="83">
        <f t="shared" ca="1" si="192"/>
        <v>500000</v>
      </c>
    </row>
    <row r="4407" spans="1:10" ht="14.1" customHeight="1" x14ac:dyDescent="0.25">
      <c r="A4407" s="94" t="s">
        <v>6953</v>
      </c>
      <c r="B4407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407" s="95" t="str">
        <f>IFERROR(VLOOKUP("UD",'Informacion '!P:Q,2,FALSE),"")</f>
        <v>Unidad</v>
      </c>
      <c r="D4407" s="94">
        <v>1</v>
      </c>
      <c r="E4407" s="84">
        <v>200000</v>
      </c>
      <c r="F4407" s="83">
        <f t="shared" ca="1" si="192"/>
        <v>200000</v>
      </c>
    </row>
    <row r="4408" spans="1:10" ht="14.1" customHeight="1" x14ac:dyDescent="0.25">
      <c r="A4408" s="94" t="s">
        <v>15043</v>
      </c>
      <c r="B4408" s="82" t="str">
        <f ca="1">IFERROR(INDEX(UNSPSCDes,MATCH(INDIRECT(ADDRESS(ROW(),COLUMN()-1,4)),UNSPSCCode,0)),IF(INDIRECT(ADDRESS(ROW(),COLUMN()-1,4))="41103706","Baños de agua",""))</f>
        <v>Baños de agua</v>
      </c>
      <c r="C4408" s="95" t="str">
        <f>IFERROR(VLOOKUP("UD",'Informacion '!P:Q,2,FALSE),"")</f>
        <v>Unidad</v>
      </c>
      <c r="D4408" s="94">
        <v>1</v>
      </c>
      <c r="E4408" s="84">
        <v>450000</v>
      </c>
      <c r="F4408" s="83">
        <f t="shared" ca="1" si="192"/>
        <v>450000</v>
      </c>
    </row>
    <row r="4409" spans="1:10" ht="14.1" customHeight="1" x14ac:dyDescent="0.25">
      <c r="A4409" s="94" t="s">
        <v>14011</v>
      </c>
      <c r="B4409" s="82" t="str">
        <f ca="1">IFERROR(INDEX(UNSPSCDes,MATCH(INDIRECT(ADDRESS(ROW(),COLUMN()-1,4)),UNSPSCCode,0)),IF(INDIRECT(ADDRESS(ROW(),COLUMN()-1,4))="11101719","Zinc",""))</f>
        <v>Zinc</v>
      </c>
      <c r="C4409" s="95" t="str">
        <f>IFERROR(VLOOKUP("UD",'Informacion '!P:Q,2,FALSE),"")</f>
        <v>Unidad</v>
      </c>
      <c r="D4409" s="94">
        <v>1</v>
      </c>
      <c r="E4409" s="84">
        <v>390000</v>
      </c>
      <c r="F4409" s="83">
        <f t="shared" ca="1" si="192"/>
        <v>390000</v>
      </c>
    </row>
    <row r="4410" spans="1:10" ht="14.1" customHeight="1" x14ac:dyDescent="0.25">
      <c r="E4410" s="96" t="s">
        <v>7213</v>
      </c>
      <c r="F4410" s="87">
        <f ca="1">SUM(Table122[MONTO TOTAL ESTIMADO])</f>
        <v>18994824.899999999</v>
      </c>
      <c r="H4410" s="39" t="str">
        <f>C4230</f>
        <v>Bienes</v>
      </c>
      <c r="I4410" s="39" t="str">
        <f>E4230</f>
        <v>No</v>
      </c>
      <c r="J4410" s="39" t="str">
        <f>D4230</f>
        <v>Compras Menores</v>
      </c>
    </row>
    <row r="4412" spans="1:10" ht="33.950000000000003" customHeight="1" x14ac:dyDescent="0.25">
      <c r="A4412" s="77" t="s">
        <v>17233</v>
      </c>
      <c r="B4412" s="77" t="s">
        <v>4237</v>
      </c>
      <c r="C4412" s="77" t="s">
        <v>4743</v>
      </c>
      <c r="D4412" s="77" t="s">
        <v>9891</v>
      </c>
      <c r="E4412" s="77" t="s">
        <v>3089</v>
      </c>
      <c r="F4412" s="77" t="s">
        <v>18141</v>
      </c>
    </row>
    <row r="4413" spans="1:10" ht="14.1" customHeight="1" x14ac:dyDescent="0.25">
      <c r="A4413" s="79" t="s">
        <v>6839</v>
      </c>
      <c r="B4413" s="79" t="s">
        <v>10353</v>
      </c>
      <c r="C4413" s="79" t="s">
        <v>17215</v>
      </c>
      <c r="D4413" s="79" t="s">
        <v>17798</v>
      </c>
      <c r="E4413" s="79" t="s">
        <v>18247</v>
      </c>
      <c r="F4413" s="79"/>
    </row>
    <row r="4414" spans="1:10" ht="14.1" customHeight="1" x14ac:dyDescent="0.25">
      <c r="A4414" s="2" t="s">
        <v>6643</v>
      </c>
      <c r="B4414" s="80" t="s">
        <v>1046</v>
      </c>
      <c r="C4414" s="90">
        <v>43647</v>
      </c>
      <c r="D4414" s="2" t="s">
        <v>59</v>
      </c>
      <c r="E4414" s="92" t="s">
        <v>20066</v>
      </c>
      <c r="F4414" s="93"/>
    </row>
    <row r="4415" spans="1:10" ht="14.1" customHeight="1" x14ac:dyDescent="0.25">
      <c r="A4415" s="1"/>
      <c r="B4415" s="80" t="s">
        <v>10788</v>
      </c>
      <c r="C4415" s="91">
        <f>IF(C4414="","",IF(AND(MONTH(C4414)&gt;=1,MONTH(C4414)&lt;=3),1,IF(AND(MONTH(C4414)&gt;=4,MONTH(C4414)&lt;=6),2,IF(AND(MONTH(C4414)&gt;=7,MONTH(C4414)&lt;=9),3,4))))</f>
        <v>3</v>
      </c>
      <c r="D4415" s="1"/>
      <c r="E4415" s="92" t="s">
        <v>14822</v>
      </c>
      <c r="F4415" s="93"/>
    </row>
    <row r="4416" spans="1:10" ht="14.1" customHeight="1" x14ac:dyDescent="0.25">
      <c r="A4416" s="1"/>
      <c r="B4416" s="80" t="s">
        <v>13758</v>
      </c>
      <c r="C4416" s="90">
        <v>43738</v>
      </c>
      <c r="D4416" s="1"/>
      <c r="E4416" s="92" t="s">
        <v>18636</v>
      </c>
      <c r="F4416" s="93"/>
    </row>
    <row r="4417" spans="1:6" ht="14.1" customHeight="1" x14ac:dyDescent="0.25">
      <c r="A4417" s="1"/>
      <c r="B4417" s="80" t="s">
        <v>10788</v>
      </c>
      <c r="C4417" s="91">
        <f>IF(C4416="","",IF(AND(MONTH(C4416)&gt;=1,MONTH(C4416)&lt;=3),1,IF(AND(MONTH(C4416)&gt;=4,MONTH(C4416)&lt;=6),2,IF(AND(MONTH(C4416)&gt;=7,MONTH(C4416)&lt;=9),3,4))))</f>
        <v>3</v>
      </c>
      <c r="D4417" s="1"/>
      <c r="E4417" s="92" t="s">
        <v>15990</v>
      </c>
      <c r="F4417" s="93"/>
    </row>
    <row r="4419" spans="1:6" ht="14.1" customHeight="1" x14ac:dyDescent="0.25">
      <c r="A4419" s="85" t="s">
        <v>15474</v>
      </c>
      <c r="B4419" s="85" t="s">
        <v>5027</v>
      </c>
      <c r="C4419" s="85" t="s">
        <v>17461</v>
      </c>
      <c r="D4419" s="85" t="s">
        <v>3935</v>
      </c>
      <c r="E4419" s="85" t="s">
        <v>10722</v>
      </c>
      <c r="F4419" s="85" t="s">
        <v>18237</v>
      </c>
    </row>
    <row r="4420" spans="1:6" ht="14.1" customHeight="1" x14ac:dyDescent="0.25">
      <c r="A4420" s="94" t="s">
        <v>10966</v>
      </c>
      <c r="B4420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420" s="95" t="str">
        <f>IFERROR(VLOOKUP("UD",'Informacion '!P:Q,2,FALSE),"")</f>
        <v>Unidad</v>
      </c>
      <c r="D4420" s="94">
        <v>1</v>
      </c>
      <c r="E4420" s="84">
        <v>30000</v>
      </c>
      <c r="F4420" s="83">
        <f t="shared" ref="F4420:F4451" ca="1" si="193">INDIRECT(ADDRESS(ROW(),COLUMN()-2,4))*INDIRECT(ADDRESS(ROW(),COLUMN()-1,4))</f>
        <v>30000</v>
      </c>
    </row>
    <row r="4421" spans="1:6" ht="14.1" customHeight="1" x14ac:dyDescent="0.25">
      <c r="A4421" s="94" t="s">
        <v>10966</v>
      </c>
      <c r="B4421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421" s="95" t="str">
        <f>IFERROR(VLOOKUP("UD",'Informacion '!P:Q,2,FALSE),"")</f>
        <v>Unidad</v>
      </c>
      <c r="D4421" s="94">
        <v>2</v>
      </c>
      <c r="E4421" s="84">
        <v>30000</v>
      </c>
      <c r="F4421" s="83">
        <f t="shared" ca="1" si="193"/>
        <v>60000</v>
      </c>
    </row>
    <row r="4422" spans="1:6" ht="14.1" customHeight="1" x14ac:dyDescent="0.25">
      <c r="A4422" s="94" t="s">
        <v>10966</v>
      </c>
      <c r="B4422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422" s="95" t="str">
        <f>IFERROR(VLOOKUP("UD",'Informacion '!P:Q,2,FALSE),"")</f>
        <v>Unidad</v>
      </c>
      <c r="D4422" s="94">
        <v>3</v>
      </c>
      <c r="E4422" s="84">
        <v>30000</v>
      </c>
      <c r="F4422" s="83">
        <f t="shared" ca="1" si="193"/>
        <v>90000</v>
      </c>
    </row>
    <row r="4423" spans="1:6" ht="14.1" customHeight="1" x14ac:dyDescent="0.25">
      <c r="A4423" s="94" t="s">
        <v>10966</v>
      </c>
      <c r="B4423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423" s="95" t="str">
        <f>IFERROR(VLOOKUP("UD",'Informacion '!P:Q,2,FALSE),"")</f>
        <v>Unidad</v>
      </c>
      <c r="D4423" s="94">
        <v>2</v>
      </c>
      <c r="E4423" s="84">
        <v>30000</v>
      </c>
      <c r="F4423" s="83">
        <f t="shared" ca="1" si="193"/>
        <v>60000</v>
      </c>
    </row>
    <row r="4424" spans="1:6" ht="14.1" customHeight="1" x14ac:dyDescent="0.25">
      <c r="A4424" s="94" t="s">
        <v>16068</v>
      </c>
      <c r="B4424" s="82" t="str">
        <f ca="1">IFERROR(INDEX(UNSPSCDes,MATCH(INDIRECT(ADDRESS(ROW(),COLUMN()-1,4)),UNSPSCCode,0)),IF(INDIRECT(ADDRESS(ROW(),COLUMN()-1,4))="42201804","Unidades de brazo c de rayos x para uso médico",""))</f>
        <v>Unidades de brazo c de rayos x para uso médico</v>
      </c>
      <c r="C4424" s="95" t="str">
        <f>IFERROR(VLOOKUP("UD",'Informacion '!P:Q,2,FALSE),"")</f>
        <v>Unidad</v>
      </c>
      <c r="D4424" s="94">
        <v>2</v>
      </c>
      <c r="E4424" s="84">
        <v>33000</v>
      </c>
      <c r="F4424" s="83">
        <f t="shared" ca="1" si="193"/>
        <v>66000</v>
      </c>
    </row>
    <row r="4425" spans="1:6" ht="14.1" customHeight="1" x14ac:dyDescent="0.25">
      <c r="A4425" s="94" t="s">
        <v>1639</v>
      </c>
      <c r="B4425" s="82" t="str">
        <f ca="1">IFERROR(INDEX(UNSPSCDes,MATCH(INDIRECT(ADDRESS(ROW(),COLUMN()-1,4)),UNSPSCCode,0)),IF(INDIRECT(ADDRESS(ROW(),COLUMN()-1,4))="85121808","Servicios de laboratorios de rayos x",""))</f>
        <v>Servicios de laboratorios de rayos x</v>
      </c>
      <c r="C4425" s="95" t="str">
        <f>IFERROR(VLOOKUP("UD",'Informacion '!P:Q,2,FALSE),"")</f>
        <v>Unidad</v>
      </c>
      <c r="D4425" s="94">
        <v>1</v>
      </c>
      <c r="E4425" s="84">
        <v>50000</v>
      </c>
      <c r="F4425" s="83">
        <f t="shared" ca="1" si="193"/>
        <v>50000</v>
      </c>
    </row>
    <row r="4426" spans="1:6" ht="14.1" customHeight="1" x14ac:dyDescent="0.25">
      <c r="A4426" s="94" t="s">
        <v>429</v>
      </c>
      <c r="B4426" s="82" t="str">
        <f ca="1">IFERROR(INDEX(UNSPSCDes,MATCH(INDIRECT(ADDRESS(ROW(),COLUMN()-1,4)),UNSPSCCode,0)),IF(INDIRECT(ADDRESS(ROW(),COLUMN()-1,4))="42203705","Impresoras láser en seco para imágenes o reproductores de imágenes para uso médico",""))</f>
        <v>Impresoras láser en seco para imágenes o reproductores de imágenes para uso médico</v>
      </c>
      <c r="C4426" s="95" t="str">
        <f>IFERROR(VLOOKUP("UD",'Informacion '!P:Q,2,FALSE),"")</f>
        <v>Unidad</v>
      </c>
      <c r="D4426" s="94">
        <v>3</v>
      </c>
      <c r="E4426" s="84">
        <v>15000</v>
      </c>
      <c r="F4426" s="83">
        <f t="shared" ca="1" si="193"/>
        <v>45000</v>
      </c>
    </row>
    <row r="4427" spans="1:6" ht="14.1" customHeight="1" x14ac:dyDescent="0.25">
      <c r="A4427" s="94" t="s">
        <v>429</v>
      </c>
      <c r="B4427" s="82" t="str">
        <f ca="1">IFERROR(INDEX(UNSPSCDes,MATCH(INDIRECT(ADDRESS(ROW(),COLUMN()-1,4)),UNSPSCCode,0)),IF(INDIRECT(ADDRESS(ROW(),COLUMN()-1,4))="42203705","Impresoras láser en seco para imágenes o reproductores de imágenes para uso médico",""))</f>
        <v>Impresoras láser en seco para imágenes o reproductores de imágenes para uso médico</v>
      </c>
      <c r="C4427" s="95" t="str">
        <f>IFERROR(VLOOKUP("UD",'Informacion '!P:Q,2,FALSE),"")</f>
        <v>Unidad</v>
      </c>
      <c r="D4427" s="94">
        <v>2</v>
      </c>
      <c r="E4427" s="84">
        <v>15000</v>
      </c>
      <c r="F4427" s="83">
        <f t="shared" ca="1" si="193"/>
        <v>30000</v>
      </c>
    </row>
    <row r="4428" spans="1:6" ht="14.1" customHeight="1" x14ac:dyDescent="0.25">
      <c r="A4428" s="94" t="s">
        <v>115</v>
      </c>
      <c r="B4428" s="82" t="str">
        <f ca="1">IFERROR(INDEX(UNSPSCDes,MATCH(INDIRECT(ADDRESS(ROW(),COLUMN()-1,4)),UNSPSCCode,0)),IF(INDIRECT(ADDRESS(ROW(),COLUMN()-1,4))="42202901","Unidades de rayos x de baja energía para uso médico",""))</f>
        <v>Unidades de rayos x de baja energía para uso médico</v>
      </c>
      <c r="C4428" s="95" t="str">
        <f>IFERROR(VLOOKUP("UD",'Informacion '!P:Q,2,FALSE),"")</f>
        <v>Unidad</v>
      </c>
      <c r="D4428" s="94">
        <v>1</v>
      </c>
      <c r="E4428" s="84">
        <v>30000</v>
      </c>
      <c r="F4428" s="83">
        <f t="shared" ca="1" si="193"/>
        <v>30000</v>
      </c>
    </row>
    <row r="4429" spans="1:6" ht="14.1" customHeight="1" x14ac:dyDescent="0.25">
      <c r="A4429" s="94" t="s">
        <v>115</v>
      </c>
      <c r="B4429" s="82" t="str">
        <f ca="1">IFERROR(INDEX(UNSPSCDes,MATCH(INDIRECT(ADDRESS(ROW(),COLUMN()-1,4)),UNSPSCCode,0)),IF(INDIRECT(ADDRESS(ROW(),COLUMN()-1,4))="42202901","Unidades de rayos x de baja energía para uso médico",""))</f>
        <v>Unidades de rayos x de baja energía para uso médico</v>
      </c>
      <c r="C4429" s="95" t="str">
        <f>IFERROR(VLOOKUP("UD",'Informacion '!P:Q,2,FALSE),"")</f>
        <v>Unidad</v>
      </c>
      <c r="D4429" s="94">
        <v>1</v>
      </c>
      <c r="E4429" s="84">
        <v>30000</v>
      </c>
      <c r="F4429" s="83">
        <f t="shared" ca="1" si="193"/>
        <v>30000</v>
      </c>
    </row>
    <row r="4430" spans="1:6" ht="14.1" customHeight="1" x14ac:dyDescent="0.25">
      <c r="A4430" s="94" t="s">
        <v>115</v>
      </c>
      <c r="B4430" s="82" t="str">
        <f ca="1">IFERROR(INDEX(UNSPSCDes,MATCH(INDIRECT(ADDRESS(ROW(),COLUMN()-1,4)),UNSPSCCode,0)),IF(INDIRECT(ADDRESS(ROW(),COLUMN()-1,4))="42202901","Unidades de rayos x de baja energía para uso médico",""))</f>
        <v>Unidades de rayos x de baja energía para uso médico</v>
      </c>
      <c r="C4430" s="95" t="str">
        <f>IFERROR(VLOOKUP("UD",'Informacion '!P:Q,2,FALSE),"")</f>
        <v>Unidad</v>
      </c>
      <c r="D4430" s="94">
        <v>2</v>
      </c>
      <c r="E4430" s="84">
        <v>30000</v>
      </c>
      <c r="F4430" s="83">
        <f t="shared" ca="1" si="193"/>
        <v>60000</v>
      </c>
    </row>
    <row r="4431" spans="1:6" ht="14.1" customHeight="1" x14ac:dyDescent="0.25">
      <c r="A4431" s="94" t="s">
        <v>6787</v>
      </c>
      <c r="B4431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4431" s="95" t="str">
        <f>IFERROR(VLOOKUP("UD",'Informacion '!P:Q,2,FALSE),"")</f>
        <v>Unidad</v>
      </c>
      <c r="D4431" s="94">
        <v>3</v>
      </c>
      <c r="E4431" s="84">
        <v>1868000</v>
      </c>
      <c r="F4431" s="83">
        <f t="shared" ca="1" si="193"/>
        <v>5604000</v>
      </c>
    </row>
    <row r="4432" spans="1:6" ht="14.1" customHeight="1" x14ac:dyDescent="0.25">
      <c r="A4432" s="94" t="s">
        <v>15450</v>
      </c>
      <c r="B4432" s="82" t="str">
        <f ca="1">IFERROR(INDEX(UNSPSCDes,MATCH(INDIRECT(ADDRESS(ROW(),COLUMN()-1,4)),UNSPSCCode,0)),IF(INDIRECT(ADDRESS(ROW(),COLUMN()-1,4))="81111805","Mantenimiento o soporte de sistemas patentados o autorizados",""))</f>
        <v>Mantenimiento o soporte de sistemas patentados o autorizados</v>
      </c>
      <c r="C4432" s="95" t="str">
        <f>IFERROR(VLOOKUP("UD",'Informacion '!P:Q,2,FALSE),"")</f>
        <v>Unidad</v>
      </c>
      <c r="D4432" s="94">
        <v>1</v>
      </c>
      <c r="E4432" s="84">
        <v>13000</v>
      </c>
      <c r="F4432" s="83">
        <f t="shared" ca="1" si="193"/>
        <v>13000</v>
      </c>
    </row>
    <row r="4433" spans="1:6" ht="14.1" customHeight="1" x14ac:dyDescent="0.25">
      <c r="A4433" s="94" t="s">
        <v>15450</v>
      </c>
      <c r="B4433" s="82" t="str">
        <f ca="1">IFERROR(INDEX(UNSPSCDes,MATCH(INDIRECT(ADDRESS(ROW(),COLUMN()-1,4)),UNSPSCCode,0)),IF(INDIRECT(ADDRESS(ROW(),COLUMN()-1,4))="81111805","Mantenimiento o soporte de sistemas patentados o autorizados",""))</f>
        <v>Mantenimiento o soporte de sistemas patentados o autorizados</v>
      </c>
      <c r="C4433" s="95" t="str">
        <f>IFERROR(VLOOKUP("UD",'Informacion '!P:Q,2,FALSE),"")</f>
        <v>Unidad</v>
      </c>
      <c r="D4433" s="94">
        <v>1</v>
      </c>
      <c r="E4433" s="84">
        <v>30000</v>
      </c>
      <c r="F4433" s="83">
        <f t="shared" ca="1" si="193"/>
        <v>30000</v>
      </c>
    </row>
    <row r="4434" spans="1:6" ht="14.1" customHeight="1" x14ac:dyDescent="0.25">
      <c r="A4434" s="94" t="s">
        <v>318</v>
      </c>
      <c r="B4434" s="82" t="str">
        <f ca="1">IFERROR(INDEX(UNSPSCDes,MATCH(INDIRECT(ADDRESS(ROW(),COLUMN()-1,4)),UNSPSCCode,0)),IF(INDIRECT(ADDRESS(ROW(),COLUMN()-1,4))="24111802","Tanques o cilindros de aire o gas",""))</f>
        <v>Tanques o cilindros de aire o gas</v>
      </c>
      <c r="C4434" s="95" t="str">
        <f>IFERROR(VLOOKUP("UD",'Informacion '!P:Q,2,FALSE),"")</f>
        <v>Unidad</v>
      </c>
      <c r="D4434" s="94">
        <v>1</v>
      </c>
      <c r="E4434" s="84">
        <v>136000</v>
      </c>
      <c r="F4434" s="83">
        <f t="shared" ca="1" si="193"/>
        <v>136000</v>
      </c>
    </row>
    <row r="4435" spans="1:6" ht="14.1" customHeight="1" x14ac:dyDescent="0.25">
      <c r="A4435" s="94" t="s">
        <v>4875</v>
      </c>
      <c r="B4435" s="82" t="str">
        <f ca="1">IFERROR(INDEX(UNSPSCDes,MATCH(INDIRECT(ADDRESS(ROW(),COLUMN()-1,4)),UNSPSCCode,0)),IF(INDIRECT(ADDRESS(ROW(),COLUMN()-1,4))="31211502","Pinturas de agua",""))</f>
        <v>Pinturas de agua</v>
      </c>
      <c r="C4435" s="95" t="str">
        <f>IFERROR(VLOOKUP("GAL",'Informacion '!P:Q,2,FALSE),"")</f>
        <v>Galón</v>
      </c>
      <c r="D4435" s="94">
        <v>1</v>
      </c>
      <c r="E4435" s="84">
        <v>10000</v>
      </c>
      <c r="F4435" s="83">
        <f t="shared" ca="1" si="193"/>
        <v>10000</v>
      </c>
    </row>
    <row r="4436" spans="1:6" ht="14.1" customHeight="1" x14ac:dyDescent="0.25">
      <c r="A4436" s="94" t="s">
        <v>7384</v>
      </c>
      <c r="B4436" s="82" t="str">
        <f ca="1">IFERROR(INDEX(UNSPSCDes,MATCH(INDIRECT(ADDRESS(ROW(),COLUMN()-1,4)),UNSPSCCode,0)),IF(INDIRECT(ADDRESS(ROW(),COLUMN()-1,4))="31161725","Tuercas abrazaderas",""))</f>
        <v>Tuercas abrazaderas</v>
      </c>
      <c r="C4436" s="95" t="str">
        <f>IFERROR(VLOOKUP("UD",'Informacion '!P:Q,2,FALSE),"")</f>
        <v>Unidad</v>
      </c>
      <c r="D4436" s="94">
        <v>100</v>
      </c>
      <c r="E4436" s="84">
        <v>60</v>
      </c>
      <c r="F4436" s="83">
        <f t="shared" ca="1" si="193"/>
        <v>6000</v>
      </c>
    </row>
    <row r="4437" spans="1:6" ht="14.1" customHeight="1" x14ac:dyDescent="0.25">
      <c r="A4437" s="94" t="s">
        <v>7384</v>
      </c>
      <c r="B4437" s="82" t="str">
        <f ca="1">IFERROR(INDEX(UNSPSCDes,MATCH(INDIRECT(ADDRESS(ROW(),COLUMN()-1,4)),UNSPSCCode,0)),IF(INDIRECT(ADDRESS(ROW(),COLUMN()-1,4))="31161725","Tuercas abrazaderas",""))</f>
        <v>Tuercas abrazaderas</v>
      </c>
      <c r="C4437" s="95" t="str">
        <f>IFERROR(VLOOKUP("UD",'Informacion '!P:Q,2,FALSE),"")</f>
        <v>Unidad</v>
      </c>
      <c r="D4437" s="94">
        <v>100</v>
      </c>
      <c r="E4437" s="84">
        <v>60</v>
      </c>
      <c r="F4437" s="83">
        <f t="shared" ca="1" si="193"/>
        <v>6000</v>
      </c>
    </row>
    <row r="4438" spans="1:6" ht="14.1" customHeight="1" x14ac:dyDescent="0.25">
      <c r="A4438" s="94" t="s">
        <v>7383</v>
      </c>
      <c r="B4438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4438" s="95" t="str">
        <f>IFERROR(VLOOKUP("FT",'Informacion '!P:Q,2,FALSE),"")</f>
        <v>Pie</v>
      </c>
      <c r="D4438" s="94">
        <v>1000</v>
      </c>
      <c r="E4438" s="84">
        <v>9.6999999999999993</v>
      </c>
      <c r="F4438" s="83">
        <f t="shared" ca="1" si="193"/>
        <v>9700</v>
      </c>
    </row>
    <row r="4439" spans="1:6" ht="14.1" customHeight="1" x14ac:dyDescent="0.25">
      <c r="A4439" s="94" t="s">
        <v>7383</v>
      </c>
      <c r="B4439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4439" s="95" t="str">
        <f>IFERROR(VLOOKUP("FT",'Informacion '!P:Q,2,FALSE),"")</f>
        <v>Pie</v>
      </c>
      <c r="D4439" s="94">
        <v>500</v>
      </c>
      <c r="E4439" s="84">
        <v>5.5</v>
      </c>
      <c r="F4439" s="83">
        <f t="shared" ca="1" si="193"/>
        <v>2750</v>
      </c>
    </row>
    <row r="4440" spans="1:6" ht="14.1" customHeight="1" x14ac:dyDescent="0.25">
      <c r="A4440" s="94" t="s">
        <v>7383</v>
      </c>
      <c r="B4440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4440" s="95" t="str">
        <f>IFERROR(VLOOKUP("FT",'Informacion '!P:Q,2,FALSE),"")</f>
        <v>Pie</v>
      </c>
      <c r="D4440" s="94">
        <v>2000</v>
      </c>
      <c r="E4440" s="84">
        <v>4.9000000000000004</v>
      </c>
      <c r="F4440" s="83">
        <f t="shared" ca="1" si="193"/>
        <v>9800</v>
      </c>
    </row>
    <row r="4441" spans="1:6" ht="14.1" customHeight="1" x14ac:dyDescent="0.25">
      <c r="A4441" s="94" t="s">
        <v>15926</v>
      </c>
      <c r="B4441" s="82" t="str">
        <f ca="1">IFERROR(INDEX(UNSPSCDes,MATCH(INDIRECT(ADDRESS(ROW(),COLUMN()-1,4)),UNSPSCCode,0)),IF(INDIRECT(ADDRESS(ROW(),COLUMN()-1,4))="41113601","Amperímetros",""))</f>
        <v>Amperímetros</v>
      </c>
      <c r="C4441" s="95" t="str">
        <f>IFERROR(VLOOKUP("UD",'Informacion '!P:Q,2,FALSE),"")</f>
        <v>Unidad</v>
      </c>
      <c r="D4441" s="94">
        <v>1</v>
      </c>
      <c r="E4441" s="84">
        <v>8000</v>
      </c>
      <c r="F4441" s="83">
        <f t="shared" ca="1" si="193"/>
        <v>8000</v>
      </c>
    </row>
    <row r="4442" spans="1:6" ht="14.1" customHeight="1" x14ac:dyDescent="0.25">
      <c r="A4442" s="94" t="s">
        <v>4461</v>
      </c>
      <c r="B4442" s="82" t="str">
        <f ca="1">IFERROR(INDEX(UNSPSCDes,MATCH(INDIRECT(ADDRESS(ROW(),COLUMN()-1,4)),UNSPSCCode,0)),IF(INDIRECT(ADDRESS(ROW(),COLUMN()-1,4))="26101758","Ajustadores del balancín",""))</f>
        <v>Ajustadores del balancín</v>
      </c>
      <c r="C4442" s="95" t="str">
        <f>IFERROR(VLOOKUP("UD",'Informacion '!P:Q,2,FALSE),"")</f>
        <v>Unidad</v>
      </c>
      <c r="D4442" s="94">
        <v>50</v>
      </c>
      <c r="E4442" s="84">
        <v>200</v>
      </c>
      <c r="F4442" s="83">
        <f t="shared" ca="1" si="193"/>
        <v>10000</v>
      </c>
    </row>
    <row r="4443" spans="1:6" ht="14.1" customHeight="1" x14ac:dyDescent="0.25">
      <c r="A4443" s="94" t="s">
        <v>9662</v>
      </c>
      <c r="B4443" s="82" t="str">
        <f ca="1">IFERROR(INDEX(UNSPSCDes,MATCH(INDIRECT(ADDRESS(ROW(),COLUMN()-1,4)),UNSPSCCode,0)),IF(INDIRECT(ADDRESS(ROW(),COLUMN()-1,4))="26111701","Baterías recargables",""))</f>
        <v>Baterías recargables</v>
      </c>
      <c r="C4443" s="95" t="str">
        <f>IFERROR(VLOOKUP("UD",'Informacion '!P:Q,2,FALSE),"")</f>
        <v>Unidad</v>
      </c>
      <c r="D4443" s="94">
        <v>29</v>
      </c>
      <c r="E4443" s="84">
        <v>12000</v>
      </c>
      <c r="F4443" s="83">
        <f t="shared" ca="1" si="193"/>
        <v>348000</v>
      </c>
    </row>
    <row r="4444" spans="1:6" ht="14.1" customHeight="1" x14ac:dyDescent="0.25">
      <c r="A4444" s="94" t="s">
        <v>9662</v>
      </c>
      <c r="B4444" s="82" t="str">
        <f ca="1">IFERROR(INDEX(UNSPSCDes,MATCH(INDIRECT(ADDRESS(ROW(),COLUMN()-1,4)),UNSPSCCode,0)),IF(INDIRECT(ADDRESS(ROW(),COLUMN()-1,4))="26111701","Baterías recargables",""))</f>
        <v>Baterías recargables</v>
      </c>
      <c r="C4444" s="95" t="str">
        <f>IFERROR(VLOOKUP("UD",'Informacion '!P:Q,2,FALSE),"")</f>
        <v>Unidad</v>
      </c>
      <c r="D4444" s="94">
        <v>2</v>
      </c>
      <c r="E4444" s="84">
        <v>13000</v>
      </c>
      <c r="F4444" s="83">
        <f t="shared" ca="1" si="193"/>
        <v>26000</v>
      </c>
    </row>
    <row r="4445" spans="1:6" ht="14.1" customHeight="1" x14ac:dyDescent="0.25">
      <c r="A4445" s="94" t="s">
        <v>2440</v>
      </c>
      <c r="B4445" s="82" t="str">
        <f ca="1">IFERROR(INDEX(UNSPSCDes,MATCH(INDIRECT(ADDRESS(ROW(),COLUMN()-1,4)),UNSPSCCode,0)),IF(INDIRECT(ADDRESS(ROW(),COLUMN()-1,4))="23171619","Herramientas de perforación",""))</f>
        <v>Herramientas de perforación</v>
      </c>
      <c r="C4445" s="95" t="str">
        <f>IFERROR(VLOOKUP("UD",'Informacion '!P:Q,2,FALSE),"")</f>
        <v>Unidad</v>
      </c>
      <c r="D4445" s="94">
        <v>1</v>
      </c>
      <c r="E4445" s="84">
        <v>50000</v>
      </c>
      <c r="F4445" s="83">
        <f t="shared" ca="1" si="193"/>
        <v>50000</v>
      </c>
    </row>
    <row r="4446" spans="1:6" ht="14.1" customHeight="1" x14ac:dyDescent="0.25">
      <c r="A4446" s="94" t="s">
        <v>17569</v>
      </c>
      <c r="B4446" s="82" t="str">
        <f ca="1">IFERROR(INDEX(UNSPSCDes,MATCH(INDIRECT(ADDRESS(ROW(),COLUMN()-1,4)),UNSPSCCode,0)),IF(INDIRECT(ADDRESS(ROW(),COLUMN()-1,4))="40151510","Bombas de agua",""))</f>
        <v>Bombas de agua</v>
      </c>
      <c r="C4446" s="95" t="str">
        <f>IFERROR(VLOOKUP("UD",'Informacion '!P:Q,2,FALSE),"")</f>
        <v>Unidad</v>
      </c>
      <c r="D4446" s="94">
        <v>1</v>
      </c>
      <c r="E4446" s="84">
        <v>45000</v>
      </c>
      <c r="F4446" s="83">
        <f t="shared" ca="1" si="193"/>
        <v>45000</v>
      </c>
    </row>
    <row r="4447" spans="1:6" ht="14.1" customHeight="1" x14ac:dyDescent="0.25">
      <c r="A4447" s="94" t="s">
        <v>9883</v>
      </c>
      <c r="B4447" s="82" t="str">
        <f ca="1">IFERROR(INDEX(UNSPSCDes,MATCH(INDIRECT(ADDRESS(ROW(),COLUMN()-1,4)),UNSPSCCode,0)),IF(INDIRECT(ADDRESS(ROW(),COLUMN()-1,4))="39101601","Lámparas halógenas",""))</f>
        <v>Lámparas halógenas</v>
      </c>
      <c r="C4447" s="95" t="str">
        <f>IFERROR(VLOOKUP("CAJ",'Informacion '!P:Q,2,FALSE),"")</f>
        <v>Caja</v>
      </c>
      <c r="D4447" s="94">
        <v>2</v>
      </c>
      <c r="E4447" s="84">
        <v>12000</v>
      </c>
      <c r="F4447" s="83">
        <f t="shared" ca="1" si="193"/>
        <v>24000</v>
      </c>
    </row>
    <row r="4448" spans="1:6" ht="14.1" customHeight="1" x14ac:dyDescent="0.25">
      <c r="A4448" s="94" t="s">
        <v>19265</v>
      </c>
      <c r="B4448" s="82" t="str">
        <f ca="1">IFERROR(INDEX(UNSPSCDes,MATCH(INDIRECT(ADDRESS(ROW(),COLUMN()-1,4)),UNSPSCCode,0)),IF(INDIRECT(ADDRESS(ROW(),COLUMN()-1,4))="46171505","Llaves",""))</f>
        <v>Llaves</v>
      </c>
      <c r="C4448" s="95" t="str">
        <f>IFERROR(VLOOKUP("UD",'Informacion '!P:Q,2,FALSE),"")</f>
        <v>Unidad</v>
      </c>
      <c r="D4448" s="94">
        <v>50</v>
      </c>
      <c r="E4448" s="84">
        <v>200</v>
      </c>
      <c r="F4448" s="83">
        <f t="shared" ca="1" si="193"/>
        <v>10000</v>
      </c>
    </row>
    <row r="4449" spans="1:6" ht="14.1" customHeight="1" x14ac:dyDescent="0.25">
      <c r="A4449" s="94" t="s">
        <v>16983</v>
      </c>
      <c r="B4449" s="82" t="str">
        <f ca="1">IFERROR(INDEX(UNSPSCDes,MATCH(INDIRECT(ADDRESS(ROW(),COLUMN()-1,4)),UNSPSCCode,0)),IF(INDIRECT(ADDRESS(ROW(),COLUMN()-1,4))="30151703","Canaletas",""))</f>
        <v>Canaletas</v>
      </c>
      <c r="C4449" s="95" t="str">
        <f>IFERROR(VLOOKUP("UD",'Informacion '!P:Q,2,FALSE),"")</f>
        <v>Unidad</v>
      </c>
      <c r="D4449" s="94">
        <v>15</v>
      </c>
      <c r="E4449" s="84">
        <v>111.18</v>
      </c>
      <c r="F4449" s="83">
        <f t="shared" ca="1" si="193"/>
        <v>1667.7</v>
      </c>
    </row>
    <row r="4450" spans="1:6" ht="14.1" customHeight="1" x14ac:dyDescent="0.25">
      <c r="A4450" s="94" t="s">
        <v>16983</v>
      </c>
      <c r="B4450" s="82" t="str">
        <f ca="1">IFERROR(INDEX(UNSPSCDes,MATCH(INDIRECT(ADDRESS(ROW(),COLUMN()-1,4)),UNSPSCCode,0)),IF(INDIRECT(ADDRESS(ROW(),COLUMN()-1,4))="30151703","Canaletas",""))</f>
        <v>Canaletas</v>
      </c>
      <c r="C4450" s="95" t="str">
        <f>IFERROR(VLOOKUP("UD",'Informacion '!P:Q,2,FALSE),"")</f>
        <v>Unidad</v>
      </c>
      <c r="D4450" s="94">
        <v>25</v>
      </c>
      <c r="E4450" s="84">
        <v>153.9</v>
      </c>
      <c r="F4450" s="83">
        <f t="shared" ca="1" si="193"/>
        <v>3847.5</v>
      </c>
    </row>
    <row r="4451" spans="1:6" ht="14.1" customHeight="1" x14ac:dyDescent="0.25">
      <c r="A4451" s="94" t="s">
        <v>3233</v>
      </c>
      <c r="B4451" s="82" t="str">
        <f ca="1">IFERROR(INDEX(UNSPSCDes,MATCH(INDIRECT(ADDRESS(ROW(),COLUMN()-1,4)),UNSPSCCode,0)),IF(INDIRECT(ADDRESS(ROW(),COLUMN()-1,4))="31201521","Cinta metálica",""))</f>
        <v>Cinta metálica</v>
      </c>
      <c r="C4451" s="95" t="str">
        <f>IFERROR(VLOOKUP("UD",'Informacion '!P:Q,2,FALSE),"")</f>
        <v>Unidad</v>
      </c>
      <c r="D4451" s="94">
        <v>8</v>
      </c>
      <c r="E4451" s="84">
        <v>14400</v>
      </c>
      <c r="F4451" s="83">
        <f t="shared" ca="1" si="193"/>
        <v>115200</v>
      </c>
    </row>
    <row r="4452" spans="1:6" ht="14.1" customHeight="1" x14ac:dyDescent="0.25">
      <c r="A4452" s="94" t="s">
        <v>3233</v>
      </c>
      <c r="B4452" s="82" t="str">
        <f ca="1">IFERROR(INDEX(UNSPSCDes,MATCH(INDIRECT(ADDRESS(ROW(),COLUMN()-1,4)),UNSPSCCode,0)),IF(INDIRECT(ADDRESS(ROW(),COLUMN()-1,4))="31201521","Cinta metálica",""))</f>
        <v>Cinta metálica</v>
      </c>
      <c r="C4452" s="95" t="str">
        <f>IFERROR(VLOOKUP("UD",'Informacion '!P:Q,2,FALSE),"")</f>
        <v>Unidad</v>
      </c>
      <c r="D4452" s="94">
        <v>4</v>
      </c>
      <c r="E4452" s="84">
        <v>190</v>
      </c>
      <c r="F4452" s="83">
        <f t="shared" ref="F4452:F4483" ca="1" si="194">INDIRECT(ADDRESS(ROW(),COLUMN()-2,4))*INDIRECT(ADDRESS(ROW(),COLUMN()-1,4))</f>
        <v>760</v>
      </c>
    </row>
    <row r="4453" spans="1:6" ht="14.1" customHeight="1" x14ac:dyDescent="0.25">
      <c r="A4453" s="94" t="s">
        <v>3233</v>
      </c>
      <c r="B4453" s="82" t="str">
        <f ca="1">IFERROR(INDEX(UNSPSCDes,MATCH(INDIRECT(ADDRESS(ROW(),COLUMN()-1,4)),UNSPSCCode,0)),IF(INDIRECT(ADDRESS(ROW(),COLUMN()-1,4))="31201521","Cinta metálica",""))</f>
        <v>Cinta metálica</v>
      </c>
      <c r="C4453" s="95" t="str">
        <f>IFERROR(VLOOKUP("UD",'Informacion '!P:Q,2,FALSE),"")</f>
        <v>Unidad</v>
      </c>
      <c r="D4453" s="94">
        <v>1</v>
      </c>
      <c r="E4453" s="84">
        <v>785</v>
      </c>
      <c r="F4453" s="83">
        <f t="shared" ca="1" si="194"/>
        <v>785</v>
      </c>
    </row>
    <row r="4454" spans="1:6" ht="14.1" customHeight="1" x14ac:dyDescent="0.25">
      <c r="A4454" s="94" t="s">
        <v>10906</v>
      </c>
      <c r="B4454" s="82" t="str">
        <f ca="1">IFERROR(INDEX(UNSPSCDes,MATCH(INDIRECT(ADDRESS(ROW(),COLUMN()-1,4)),UNSPSCCode,0)),IF(INDIRECT(ADDRESS(ROW(),COLUMN()-1,4))="40142604","Codos de tubo",""))</f>
        <v>Codos de tubo</v>
      </c>
      <c r="C4454" s="95" t="str">
        <f>IFERROR(VLOOKUP("UD",'Informacion '!P:Q,2,FALSE),"")</f>
        <v>Unidad</v>
      </c>
      <c r="D4454" s="94">
        <v>5</v>
      </c>
      <c r="E4454" s="84">
        <v>267</v>
      </c>
      <c r="F4454" s="83">
        <f t="shared" ca="1" si="194"/>
        <v>1335</v>
      </c>
    </row>
    <row r="4455" spans="1:6" ht="14.1" customHeight="1" x14ac:dyDescent="0.25">
      <c r="A4455" s="94" t="s">
        <v>10906</v>
      </c>
      <c r="B4455" s="82" t="str">
        <f ca="1">IFERROR(INDEX(UNSPSCDes,MATCH(INDIRECT(ADDRESS(ROW(),COLUMN()-1,4)),UNSPSCCode,0)),IF(INDIRECT(ADDRESS(ROW(),COLUMN()-1,4))="40142604","Codos de tubo",""))</f>
        <v>Codos de tubo</v>
      </c>
      <c r="C4455" s="95" t="str">
        <f>IFERROR(VLOOKUP("UD",'Informacion '!P:Q,2,FALSE),"")</f>
        <v>Unidad</v>
      </c>
      <c r="D4455" s="94">
        <v>50</v>
      </c>
      <c r="E4455" s="84">
        <v>12</v>
      </c>
      <c r="F4455" s="83">
        <f t="shared" ca="1" si="194"/>
        <v>600</v>
      </c>
    </row>
    <row r="4456" spans="1:6" ht="14.1" customHeight="1" x14ac:dyDescent="0.25">
      <c r="A4456" s="94" t="s">
        <v>5484</v>
      </c>
      <c r="B4456" s="82" t="str">
        <f ca="1">IFERROR(INDEX(UNSPSCDes,MATCH(INDIRECT(ADDRESS(ROW(),COLUMN()-1,4)),UNSPSCCode,0)),IF(INDIRECT(ADDRESS(ROW(),COLUMN()-1,4))="49201610","Tubos de resistencia",""))</f>
        <v>Tubos de resistencia</v>
      </c>
      <c r="C4456" s="95" t="str">
        <f>IFERROR(VLOOKUP("UD",'Informacion '!P:Q,2,FALSE),"")</f>
        <v>Unidad</v>
      </c>
      <c r="D4456" s="94">
        <v>50</v>
      </c>
      <c r="E4456" s="84">
        <v>12</v>
      </c>
      <c r="F4456" s="83">
        <f t="shared" ca="1" si="194"/>
        <v>600</v>
      </c>
    </row>
    <row r="4457" spans="1:6" ht="14.1" customHeight="1" x14ac:dyDescent="0.25">
      <c r="A4457" s="94" t="s">
        <v>12220</v>
      </c>
      <c r="B4457" s="82" t="str">
        <f ca="1">IFERROR(INDEX(UNSPSCDes,MATCH(INDIRECT(ADDRESS(ROW(),COLUMN()-1,4)),UNSPSCCode,0)),IF(INDIRECT(ADDRESS(ROW(),COLUMN()-1,4))="24141705","Tubos plegables",""))</f>
        <v>Tubos plegables</v>
      </c>
      <c r="C4457" s="95" t="str">
        <f>IFERROR(VLOOKUP("UD",'Informacion '!P:Q,2,FALSE),"")</f>
        <v>Unidad</v>
      </c>
      <c r="D4457" s="94">
        <v>300</v>
      </c>
      <c r="E4457" s="84">
        <v>2.6</v>
      </c>
      <c r="F4457" s="83">
        <f t="shared" ca="1" si="194"/>
        <v>780</v>
      </c>
    </row>
    <row r="4458" spans="1:6" ht="14.1" customHeight="1" x14ac:dyDescent="0.25">
      <c r="A4458" s="94" t="s">
        <v>12220</v>
      </c>
      <c r="B4458" s="82" t="str">
        <f ca="1">IFERROR(INDEX(UNSPSCDes,MATCH(INDIRECT(ADDRESS(ROW(),COLUMN()-1,4)),UNSPSCCode,0)),IF(INDIRECT(ADDRESS(ROW(),COLUMN()-1,4))="24141705","Tubos plegables",""))</f>
        <v>Tubos plegables</v>
      </c>
      <c r="C4458" s="95" t="str">
        <f>IFERROR(VLOOKUP("UD",'Informacion '!P:Q,2,FALSE),"")</f>
        <v>Unidad</v>
      </c>
      <c r="D4458" s="94">
        <v>300</v>
      </c>
      <c r="E4458" s="84">
        <v>2.1</v>
      </c>
      <c r="F4458" s="83">
        <f t="shared" ca="1" si="194"/>
        <v>630</v>
      </c>
    </row>
    <row r="4459" spans="1:6" ht="14.1" customHeight="1" x14ac:dyDescent="0.25">
      <c r="A4459" s="94" t="s">
        <v>7230</v>
      </c>
      <c r="B4459" s="82" t="str">
        <f ca="1">IFERROR(INDEX(UNSPSCDes,MATCH(INDIRECT(ADDRESS(ROW(),COLUMN()-1,4)),UNSPSCCode,0)),IF(INDIRECT(ADDRESS(ROW(),COLUMN()-1,4))="40161505","Filtros de aire",""))</f>
        <v>Filtros de aire</v>
      </c>
      <c r="C4459" s="95" t="str">
        <f>IFERROR(VLOOKUP("UD",'Informacion '!P:Q,2,FALSE),"")</f>
        <v>Unidad</v>
      </c>
      <c r="D4459" s="94">
        <v>1</v>
      </c>
      <c r="E4459" s="84">
        <v>85000</v>
      </c>
      <c r="F4459" s="83">
        <f t="shared" ca="1" si="194"/>
        <v>85000</v>
      </c>
    </row>
    <row r="4460" spans="1:6" ht="14.1" customHeight="1" x14ac:dyDescent="0.25">
      <c r="A4460" s="94" t="s">
        <v>143</v>
      </c>
      <c r="B4460" s="82" t="str">
        <f ca="1">IFERROR(INDEX(UNSPSCDes,MATCH(INDIRECT(ADDRESS(ROW(),COLUMN()-1,4)),UNSPSCCode,0)),IF(INDIRECT(ADDRESS(ROW(),COLUMN()-1,4))="40101506","Tubos de ventilación",""))</f>
        <v>Tubos de ventilación</v>
      </c>
      <c r="C4460" s="95" t="str">
        <f>IFERROR(VLOOKUP("UD",'Informacion '!P:Q,2,FALSE),"")</f>
        <v>Unidad</v>
      </c>
      <c r="D4460" s="94">
        <v>1</v>
      </c>
      <c r="E4460" s="84">
        <v>250000</v>
      </c>
      <c r="F4460" s="83">
        <f t="shared" ca="1" si="194"/>
        <v>250000</v>
      </c>
    </row>
    <row r="4461" spans="1:6" ht="14.1" customHeight="1" x14ac:dyDescent="0.25">
      <c r="A4461" s="94" t="s">
        <v>2769</v>
      </c>
      <c r="B4461" s="82" t="str">
        <f ca="1">IFERROR(INDEX(UNSPSCDes,MATCH(INDIRECT(ADDRESS(ROW(),COLUMN()-1,4)),UNSPSCCode,0)),IF(INDIRECT(ADDRESS(ROW(),COLUMN()-1,4))="39121529","Contactores",""))</f>
        <v>Contactores</v>
      </c>
      <c r="C4461" s="95" t="str">
        <f>IFERROR(VLOOKUP("UD",'Informacion '!P:Q,2,FALSE),"")</f>
        <v>Unidad</v>
      </c>
      <c r="D4461" s="94">
        <v>5</v>
      </c>
      <c r="E4461" s="84">
        <v>850</v>
      </c>
      <c r="F4461" s="83">
        <f t="shared" ca="1" si="194"/>
        <v>4250</v>
      </c>
    </row>
    <row r="4462" spans="1:6" ht="14.1" customHeight="1" x14ac:dyDescent="0.25">
      <c r="A4462" s="94" t="s">
        <v>2769</v>
      </c>
      <c r="B4462" s="82" t="str">
        <f ca="1">IFERROR(INDEX(UNSPSCDes,MATCH(INDIRECT(ADDRESS(ROW(),COLUMN()-1,4)),UNSPSCCode,0)),IF(INDIRECT(ADDRESS(ROW(),COLUMN()-1,4))="39121529","Contactores",""))</f>
        <v>Contactores</v>
      </c>
      <c r="C4462" s="95" t="str">
        <f>IFERROR(VLOOKUP("UD",'Informacion '!P:Q,2,FALSE),"")</f>
        <v>Unidad</v>
      </c>
      <c r="D4462" s="94">
        <v>5</v>
      </c>
      <c r="E4462" s="84">
        <v>850</v>
      </c>
      <c r="F4462" s="83">
        <f t="shared" ca="1" si="194"/>
        <v>4250</v>
      </c>
    </row>
    <row r="4463" spans="1:6" ht="14.1" customHeight="1" x14ac:dyDescent="0.25">
      <c r="A4463" s="94" t="s">
        <v>5484</v>
      </c>
      <c r="B4463" s="82" t="str">
        <f ca="1">IFERROR(INDEX(UNSPSCDes,MATCH(INDIRECT(ADDRESS(ROW(),COLUMN()-1,4)),UNSPSCCode,0)),IF(INDIRECT(ADDRESS(ROW(),COLUMN()-1,4))="49201610","Tubos de resistencia",""))</f>
        <v>Tubos de resistencia</v>
      </c>
      <c r="C4463" s="95" t="str">
        <f>IFERROR(VLOOKUP("UD",'Informacion '!P:Q,2,FALSE),"")</f>
        <v>Unidad</v>
      </c>
      <c r="D4463" s="94">
        <v>8</v>
      </c>
      <c r="E4463" s="84">
        <v>484</v>
      </c>
      <c r="F4463" s="83">
        <f t="shared" ca="1" si="194"/>
        <v>3872</v>
      </c>
    </row>
    <row r="4464" spans="1:6" ht="14.1" customHeight="1" x14ac:dyDescent="0.25">
      <c r="A4464" s="94" t="s">
        <v>10872</v>
      </c>
      <c r="B4464" s="82" t="str">
        <f ca="1">IFERROR(INDEX(UNSPSCDes,MATCH(INDIRECT(ADDRESS(ROW(),COLUMN()-1,4)),UNSPSCCode,0)),IF(INDIRECT(ADDRESS(ROW(),COLUMN()-1,4))="31162310","Correas de montaje",""))</f>
        <v>Correas de montaje</v>
      </c>
      <c r="C4464" s="95" t="str">
        <f>IFERROR(VLOOKUP("UD",'Informacion '!P:Q,2,FALSE),"")</f>
        <v>Unidad</v>
      </c>
      <c r="D4464" s="94">
        <v>1</v>
      </c>
      <c r="E4464" s="84">
        <v>52000</v>
      </c>
      <c r="F4464" s="83">
        <f t="shared" ca="1" si="194"/>
        <v>52000</v>
      </c>
    </row>
    <row r="4465" spans="1:6" ht="14.1" customHeight="1" x14ac:dyDescent="0.25">
      <c r="A4465" s="94" t="s">
        <v>5484</v>
      </c>
      <c r="B4465" s="82" t="str">
        <f ca="1">IFERROR(INDEX(UNSPSCDes,MATCH(INDIRECT(ADDRESS(ROW(),COLUMN()-1,4)),UNSPSCCode,0)),IF(INDIRECT(ADDRESS(ROW(),COLUMN()-1,4))="49201610","Tubos de resistencia",""))</f>
        <v>Tubos de resistencia</v>
      </c>
      <c r="C4465" s="95" t="str">
        <f>IFERROR(VLOOKUP("UD",'Informacion '!P:Q,2,FALSE),"")</f>
        <v>Unidad</v>
      </c>
      <c r="D4465" s="94">
        <v>50</v>
      </c>
      <c r="E4465" s="84">
        <v>30</v>
      </c>
      <c r="F4465" s="83">
        <f t="shared" ca="1" si="194"/>
        <v>1500</v>
      </c>
    </row>
    <row r="4466" spans="1:6" ht="14.1" customHeight="1" x14ac:dyDescent="0.25">
      <c r="A4466" s="94" t="s">
        <v>2094</v>
      </c>
      <c r="B4466" s="82" t="str">
        <f t="shared" ref="B4466:B4471" ca="1" si="195">IFERROR(INDEX(UNSPSCDes,MATCH(INDIRECT(ADDRESS(ROW(),COLUMN()-1,4)),UNSPSCCode,0)),IF(INDIRECT(ADDRESS(ROW(),COLUMN()-1,4))="31181503","Juntas obturadoras de metal",""))</f>
        <v>Juntas obturadoras de metal</v>
      </c>
      <c r="C4466" s="95" t="str">
        <f>IFERROR(VLOOKUP("UD",'Informacion '!P:Q,2,FALSE),"")</f>
        <v>Unidad</v>
      </c>
      <c r="D4466" s="94">
        <v>10</v>
      </c>
      <c r="E4466" s="84">
        <v>300</v>
      </c>
      <c r="F4466" s="83">
        <f t="shared" ca="1" si="194"/>
        <v>3000</v>
      </c>
    </row>
    <row r="4467" spans="1:6" ht="14.1" customHeight="1" x14ac:dyDescent="0.25">
      <c r="A4467" s="94" t="s">
        <v>2094</v>
      </c>
      <c r="B4467" s="82" t="str">
        <f t="shared" ca="1" si="195"/>
        <v>Juntas obturadoras de metal</v>
      </c>
      <c r="C4467" s="95" t="str">
        <f>IFERROR(VLOOKUP("UD",'Informacion '!P:Q,2,FALSE),"")</f>
        <v>Unidad</v>
      </c>
      <c r="D4467" s="94">
        <v>10</v>
      </c>
      <c r="E4467" s="84">
        <v>300</v>
      </c>
      <c r="F4467" s="83">
        <f t="shared" ca="1" si="194"/>
        <v>3000</v>
      </c>
    </row>
    <row r="4468" spans="1:6" ht="14.1" customHeight="1" x14ac:dyDescent="0.25">
      <c r="A4468" s="94" t="s">
        <v>2094</v>
      </c>
      <c r="B4468" s="82" t="str">
        <f t="shared" ca="1" si="195"/>
        <v>Juntas obturadoras de metal</v>
      </c>
      <c r="C4468" s="95" t="str">
        <f>IFERROR(VLOOKUP("UD",'Informacion '!P:Q,2,FALSE),"")</f>
        <v>Unidad</v>
      </c>
      <c r="D4468" s="94">
        <v>10</v>
      </c>
      <c r="E4468" s="84">
        <v>300</v>
      </c>
      <c r="F4468" s="83">
        <f t="shared" ca="1" si="194"/>
        <v>3000</v>
      </c>
    </row>
    <row r="4469" spans="1:6" ht="14.1" customHeight="1" x14ac:dyDescent="0.25">
      <c r="A4469" s="94" t="s">
        <v>2094</v>
      </c>
      <c r="B4469" s="82" t="str">
        <f t="shared" ca="1" si="195"/>
        <v>Juntas obturadoras de metal</v>
      </c>
      <c r="C4469" s="95" t="str">
        <f>IFERROR(VLOOKUP("UD",'Informacion '!P:Q,2,FALSE),"")</f>
        <v>Unidad</v>
      </c>
      <c r="D4469" s="94">
        <v>10</v>
      </c>
      <c r="E4469" s="84">
        <v>450</v>
      </c>
      <c r="F4469" s="83">
        <f t="shared" ca="1" si="194"/>
        <v>4500</v>
      </c>
    </row>
    <row r="4470" spans="1:6" ht="14.1" customHeight="1" x14ac:dyDescent="0.25">
      <c r="A4470" s="94" t="s">
        <v>2094</v>
      </c>
      <c r="B4470" s="82" t="str">
        <f t="shared" ca="1" si="195"/>
        <v>Juntas obturadoras de metal</v>
      </c>
      <c r="C4470" s="95" t="str">
        <f>IFERROR(VLOOKUP("UD",'Informacion '!P:Q,2,FALSE),"")</f>
        <v>Unidad</v>
      </c>
      <c r="D4470" s="94">
        <v>10</v>
      </c>
      <c r="E4470" s="84">
        <v>600</v>
      </c>
      <c r="F4470" s="83">
        <f t="shared" ca="1" si="194"/>
        <v>6000</v>
      </c>
    </row>
    <row r="4471" spans="1:6" ht="14.1" customHeight="1" x14ac:dyDescent="0.25">
      <c r="A4471" s="94" t="s">
        <v>2094</v>
      </c>
      <c r="B4471" s="82" t="str">
        <f t="shared" ca="1" si="195"/>
        <v>Juntas obturadoras de metal</v>
      </c>
      <c r="C4471" s="95" t="str">
        <f>IFERROR(VLOOKUP("UD",'Informacion '!P:Q,2,FALSE),"")</f>
        <v>Unidad</v>
      </c>
      <c r="D4471" s="94">
        <v>10</v>
      </c>
      <c r="E4471" s="84">
        <v>700</v>
      </c>
      <c r="F4471" s="83">
        <f t="shared" ca="1" si="194"/>
        <v>7000</v>
      </c>
    </row>
    <row r="4472" spans="1:6" ht="14.1" customHeight="1" x14ac:dyDescent="0.25">
      <c r="A4472" s="94" t="s">
        <v>17538</v>
      </c>
      <c r="B4472" s="82" t="str">
        <f ca="1">IFERROR(INDEX(UNSPSCDes,MATCH(INDIRECT(ADDRESS(ROW(),COLUMN()-1,4)),UNSPSCCode,0)),IF(INDIRECT(ADDRESS(ROW(),COLUMN()-1,4))="24131503","Cuartos fríos",""))</f>
        <v>Cuartos fríos</v>
      </c>
      <c r="C4472" s="95" t="str">
        <f>IFERROR(VLOOKUP("UD",'Informacion '!P:Q,2,FALSE),"")</f>
        <v>Unidad</v>
      </c>
      <c r="D4472" s="94">
        <v>1</v>
      </c>
      <c r="E4472" s="84">
        <v>8600</v>
      </c>
      <c r="F4472" s="83">
        <f t="shared" ca="1" si="194"/>
        <v>8600</v>
      </c>
    </row>
    <row r="4473" spans="1:6" ht="14.1" customHeight="1" x14ac:dyDescent="0.25">
      <c r="A4473" s="94" t="s">
        <v>14287</v>
      </c>
      <c r="B4473" s="82" t="str">
        <f ca="1">IFERROR(INDEX(UNSPSCDes,MATCH(INDIRECT(ADDRESS(ROW(),COLUMN()-1,4)),UNSPSCCode,0)),IF(INDIRECT(ADDRESS(ROW(),COLUMN()-1,4))="22101708","Extractores",""))</f>
        <v>Extractores</v>
      </c>
      <c r="C4473" s="95" t="str">
        <f>IFERROR(VLOOKUP("UD",'Informacion '!P:Q,2,FALSE),"")</f>
        <v>Unidad</v>
      </c>
      <c r="D4473" s="94">
        <v>5</v>
      </c>
      <c r="E4473" s="84">
        <v>12000</v>
      </c>
      <c r="F4473" s="83">
        <f t="shared" ca="1" si="194"/>
        <v>60000</v>
      </c>
    </row>
    <row r="4474" spans="1:6" ht="14.1" customHeight="1" x14ac:dyDescent="0.25">
      <c r="A4474" s="94" t="s">
        <v>18360</v>
      </c>
      <c r="B4474" s="82" t="str">
        <f ca="1">IFERROR(INDEX(UNSPSCDes,MATCH(INDIRECT(ADDRESS(ROW(),COLUMN()-1,4)),UNSPSCCode,0)),IF(INDIRECT(ADDRESS(ROW(),COLUMN()-1,4))="11161804","Textil sintético tejido",""))</f>
        <v>Textil sintético tejido</v>
      </c>
      <c r="C4474" s="95" t="str">
        <f>IFERROR(VLOOKUP("FT",'Informacion '!P:Q,2,FALSE),"")</f>
        <v>Pie</v>
      </c>
      <c r="D4474" s="94">
        <v>45</v>
      </c>
      <c r="E4474" s="84">
        <v>186</v>
      </c>
      <c r="F4474" s="83">
        <f t="shared" ca="1" si="194"/>
        <v>8370</v>
      </c>
    </row>
    <row r="4475" spans="1:6" ht="14.1" customHeight="1" x14ac:dyDescent="0.25">
      <c r="A4475" s="94" t="s">
        <v>8065</v>
      </c>
      <c r="B4475" s="82" t="str">
        <f ca="1">IFERROR(INDEX(UNSPSCDes,MATCH(INDIRECT(ADDRESS(ROW(),COLUMN()-1,4)),UNSPSCCode,0)),IF(INDIRECT(ADDRESS(ROW(),COLUMN()-1,4))="44102904","Aerosol de aire comprimido",""))</f>
        <v>Aerosol de aire comprimido</v>
      </c>
      <c r="C4475" s="95" t="str">
        <f>IFERROR(VLOOKUP("UD",'Informacion '!P:Q,2,FALSE),"")</f>
        <v>Unidad</v>
      </c>
      <c r="D4475" s="94">
        <v>2</v>
      </c>
      <c r="E4475" s="84">
        <v>12500</v>
      </c>
      <c r="F4475" s="83">
        <f t="shared" ca="1" si="194"/>
        <v>25000</v>
      </c>
    </row>
    <row r="4476" spans="1:6" ht="14.1" customHeight="1" x14ac:dyDescent="0.25">
      <c r="A4476" s="94" t="s">
        <v>17076</v>
      </c>
      <c r="B4476" s="82" t="str">
        <f ca="1">IFERROR(INDEX(UNSPSCDes,MATCH(INDIRECT(ADDRESS(ROW(),COLUMN()-1,4)),UNSPSCCode,0)),IF(INDIRECT(ADDRESS(ROW(),COLUMN()-1,4))="39111704","Luces proyectantes",""))</f>
        <v>Luces proyectantes</v>
      </c>
      <c r="C4476" s="95" t="str">
        <f>IFERROR(VLOOKUP("UD",'Informacion '!P:Q,2,FALSE),"")</f>
        <v>Unidad</v>
      </c>
      <c r="D4476" s="94">
        <v>3</v>
      </c>
      <c r="E4476" s="84">
        <v>2300</v>
      </c>
      <c r="F4476" s="83">
        <f t="shared" ca="1" si="194"/>
        <v>6900</v>
      </c>
    </row>
    <row r="4477" spans="1:6" ht="14.1" customHeight="1" x14ac:dyDescent="0.25">
      <c r="A4477" s="94" t="s">
        <v>12979</v>
      </c>
      <c r="B4477" s="82" t="str">
        <f ca="1">IFERROR(INDEX(UNSPSCDes,MATCH(INDIRECT(ADDRESS(ROW(),COLUMN()-1,4)),UNSPSCCode,0)),IF(INDIRECT(ADDRESS(ROW(),COLUMN()-1,4))="13102029","Poliuretano termoplástico rígido rptu",""))</f>
        <v>Poliuretano termoplástico rígido rptu</v>
      </c>
      <c r="C4477" s="95" t="str">
        <f>IFERROR(VLOOKUP("UD",'Informacion '!P:Q,2,FALSE),"")</f>
        <v>Unidad</v>
      </c>
      <c r="D4477" s="94">
        <v>8</v>
      </c>
      <c r="E4477" s="84">
        <v>400</v>
      </c>
      <c r="F4477" s="83">
        <f t="shared" ca="1" si="194"/>
        <v>3200</v>
      </c>
    </row>
    <row r="4478" spans="1:6" ht="14.1" customHeight="1" x14ac:dyDescent="0.25">
      <c r="A4478" s="94" t="s">
        <v>10218</v>
      </c>
      <c r="B4478" s="82" t="str">
        <f ca="1">IFERROR(INDEX(UNSPSCDes,MATCH(INDIRECT(ADDRESS(ROW(),COLUMN()-1,4)),UNSPSCCode,0)),IF(INDIRECT(ADDRESS(ROW(),COLUMN()-1,4))="25102001","Tanques",""))</f>
        <v>Tanques</v>
      </c>
      <c r="C4478" s="95" t="str">
        <f>IFERROR(VLOOKUP("UD",'Informacion '!P:Q,2,FALSE),"")</f>
        <v>Unidad</v>
      </c>
      <c r="D4478" s="94">
        <v>5</v>
      </c>
      <c r="E4478" s="84">
        <v>5500</v>
      </c>
      <c r="F4478" s="83">
        <f t="shared" ca="1" si="194"/>
        <v>27500</v>
      </c>
    </row>
    <row r="4479" spans="1:6" ht="14.1" customHeight="1" x14ac:dyDescent="0.25">
      <c r="A4479" s="94" t="s">
        <v>10218</v>
      </c>
      <c r="B4479" s="82" t="str">
        <f ca="1">IFERROR(INDEX(UNSPSCDes,MATCH(INDIRECT(ADDRESS(ROW(),COLUMN()-1,4)),UNSPSCCode,0)),IF(INDIRECT(ADDRESS(ROW(),COLUMN()-1,4))="25102001","Tanques",""))</f>
        <v>Tanques</v>
      </c>
      <c r="C4479" s="95" t="str">
        <f>IFERROR(VLOOKUP("UD",'Informacion '!P:Q,2,FALSE),"")</f>
        <v>Unidad</v>
      </c>
      <c r="D4479" s="94">
        <v>15</v>
      </c>
      <c r="E4479" s="84">
        <v>8000</v>
      </c>
      <c r="F4479" s="83">
        <f t="shared" ca="1" si="194"/>
        <v>120000</v>
      </c>
    </row>
    <row r="4480" spans="1:6" ht="14.1" customHeight="1" x14ac:dyDescent="0.25">
      <c r="A4480" s="94" t="s">
        <v>10218</v>
      </c>
      <c r="B4480" s="82" t="str">
        <f ca="1">IFERROR(INDEX(UNSPSCDes,MATCH(INDIRECT(ADDRESS(ROW(),COLUMN()-1,4)),UNSPSCCode,0)),IF(INDIRECT(ADDRESS(ROW(),COLUMN()-1,4))="25102001","Tanques",""))</f>
        <v>Tanques</v>
      </c>
      <c r="C4480" s="95" t="str">
        <f>IFERROR(VLOOKUP("UD",'Informacion '!P:Q,2,FALSE),"")</f>
        <v>Unidad</v>
      </c>
      <c r="D4480" s="94">
        <v>1</v>
      </c>
      <c r="E4480" s="84">
        <v>6800</v>
      </c>
      <c r="F4480" s="83">
        <f t="shared" ca="1" si="194"/>
        <v>6800</v>
      </c>
    </row>
    <row r="4481" spans="1:6" ht="14.1" customHeight="1" x14ac:dyDescent="0.25">
      <c r="A4481" s="94" t="s">
        <v>11926</v>
      </c>
      <c r="B4481" s="82" t="str">
        <f ca="1">IFERROR(INDEX(UNSPSCDes,MATCH(INDIRECT(ADDRESS(ROW(),COLUMN()-1,4)),UNSPSCCode,0)),IF(INDIRECT(ADDRESS(ROW(),COLUMN()-1,4))="27111508","Sierras",""))</f>
        <v>Sierras</v>
      </c>
      <c r="C4481" s="95" t="str">
        <f>IFERROR(VLOOKUP("UD",'Informacion '!P:Q,2,FALSE),"")</f>
        <v>Unidad</v>
      </c>
      <c r="D4481" s="94">
        <v>5</v>
      </c>
      <c r="E4481" s="84">
        <v>130</v>
      </c>
      <c r="F4481" s="83">
        <f t="shared" ca="1" si="194"/>
        <v>650</v>
      </c>
    </row>
    <row r="4482" spans="1:6" ht="14.1" customHeight="1" x14ac:dyDescent="0.25">
      <c r="A4482" s="94" t="s">
        <v>11012</v>
      </c>
      <c r="B4482" s="82" t="str">
        <f ca="1">IFERROR(INDEX(UNSPSCDes,MATCH(INDIRECT(ADDRESS(ROW(),COLUMN()-1,4)),UNSPSCCode,0)),IF(INDIRECT(ADDRESS(ROW(),COLUMN()-1,4))="39121525","Interruptores infusibles",""))</f>
        <v>Interruptores infusibles</v>
      </c>
      <c r="C4482" s="95" t="str">
        <f>IFERROR(VLOOKUP("UD",'Informacion '!P:Q,2,FALSE),"")</f>
        <v>Unidad</v>
      </c>
      <c r="D4482" s="94">
        <v>5</v>
      </c>
      <c r="E4482" s="84">
        <v>85</v>
      </c>
      <c r="F4482" s="83">
        <f t="shared" ca="1" si="194"/>
        <v>425</v>
      </c>
    </row>
    <row r="4483" spans="1:6" ht="14.1" customHeight="1" x14ac:dyDescent="0.25">
      <c r="A4483" s="94" t="s">
        <v>11012</v>
      </c>
      <c r="B4483" s="82" t="str">
        <f ca="1">IFERROR(INDEX(UNSPSCDes,MATCH(INDIRECT(ADDRESS(ROW(),COLUMN()-1,4)),UNSPSCCode,0)),IF(INDIRECT(ADDRESS(ROW(),COLUMN()-1,4))="39121525","Interruptores infusibles",""))</f>
        <v>Interruptores infusibles</v>
      </c>
      <c r="C4483" s="95" t="str">
        <f>IFERROR(VLOOKUP("UD",'Informacion '!P:Q,2,FALSE),"")</f>
        <v>Unidad</v>
      </c>
      <c r="D4483" s="94">
        <v>5</v>
      </c>
      <c r="E4483" s="84">
        <v>68</v>
      </c>
      <c r="F4483" s="83">
        <f t="shared" ca="1" si="194"/>
        <v>340</v>
      </c>
    </row>
    <row r="4484" spans="1:6" ht="14.1" customHeight="1" x14ac:dyDescent="0.25">
      <c r="A4484" s="94" t="s">
        <v>1126</v>
      </c>
      <c r="B4484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4484" s="95" t="str">
        <f>IFERROR(VLOOKUP("UD",'Informacion '!P:Q,2,FALSE),"")</f>
        <v>Unidad</v>
      </c>
      <c r="D4484" s="94">
        <v>20</v>
      </c>
      <c r="E4484" s="84">
        <v>400</v>
      </c>
      <c r="F4484" s="83">
        <f t="shared" ref="F4484:F4515" ca="1" si="196">INDIRECT(ADDRESS(ROW(),COLUMN()-2,4))*INDIRECT(ADDRESS(ROW(),COLUMN()-1,4))</f>
        <v>8000</v>
      </c>
    </row>
    <row r="4485" spans="1:6" ht="14.1" customHeight="1" x14ac:dyDescent="0.25">
      <c r="A4485" s="94" t="s">
        <v>1126</v>
      </c>
      <c r="B4485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4485" s="95" t="str">
        <f>IFERROR(VLOOKUP("UD",'Informacion '!P:Q,2,FALSE),"")</f>
        <v>Unidad</v>
      </c>
      <c r="D4485" s="94">
        <v>10</v>
      </c>
      <c r="E4485" s="84">
        <v>400</v>
      </c>
      <c r="F4485" s="83">
        <f t="shared" ca="1" si="196"/>
        <v>4000</v>
      </c>
    </row>
    <row r="4486" spans="1:6" ht="14.1" customHeight="1" x14ac:dyDescent="0.25">
      <c r="A4486" s="94" t="s">
        <v>15926</v>
      </c>
      <c r="B4486" s="82" t="str">
        <f ca="1">IFERROR(INDEX(UNSPSCDes,MATCH(INDIRECT(ADDRESS(ROW(),COLUMN()-1,4)),UNSPSCCode,0)),IF(INDIRECT(ADDRESS(ROW(),COLUMN()-1,4))="41113601","Amperímetros",""))</f>
        <v>Amperímetros</v>
      </c>
      <c r="C4486" s="95" t="str">
        <f>IFERROR(VLOOKUP("UD",'Informacion '!P:Q,2,FALSE),"")</f>
        <v>Unidad</v>
      </c>
      <c r="D4486" s="94">
        <v>1</v>
      </c>
      <c r="E4486" s="84">
        <v>1200</v>
      </c>
      <c r="F4486" s="83">
        <f t="shared" ca="1" si="196"/>
        <v>1200</v>
      </c>
    </row>
    <row r="4487" spans="1:6" ht="14.1" customHeight="1" x14ac:dyDescent="0.25">
      <c r="A4487" s="94" t="s">
        <v>14491</v>
      </c>
      <c r="B4487" s="82" t="str">
        <f ca="1">IFERROR(INDEX(UNSPSCDes,MATCH(INDIRECT(ADDRESS(ROW(),COLUMN()-1,4)),UNSPSCCode,0)),IF(INDIRECT(ADDRESS(ROW(),COLUMN()-1,4))="30181512","Asientos de inodoro",""))</f>
        <v>Asientos de inodoro</v>
      </c>
      <c r="C4487" s="95" t="str">
        <f>IFERROR(VLOOKUP("UD",'Informacion '!P:Q,2,FALSE),"")</f>
        <v>Unidad</v>
      </c>
      <c r="D4487" s="94">
        <v>50</v>
      </c>
      <c r="E4487" s="84">
        <v>200</v>
      </c>
      <c r="F4487" s="83">
        <f t="shared" ca="1" si="196"/>
        <v>10000</v>
      </c>
    </row>
    <row r="4488" spans="1:6" ht="14.1" customHeight="1" x14ac:dyDescent="0.25">
      <c r="A4488" s="94" t="s">
        <v>9883</v>
      </c>
      <c r="B4488" s="82" t="str">
        <f ca="1">IFERROR(INDEX(UNSPSCDes,MATCH(INDIRECT(ADDRESS(ROW(),COLUMN()-1,4)),UNSPSCCode,0)),IF(INDIRECT(ADDRESS(ROW(),COLUMN()-1,4))="39101601","Lámparas halógenas",""))</f>
        <v>Lámparas halógenas</v>
      </c>
      <c r="C4488" s="95" t="str">
        <f>IFERROR(VLOOKUP("UD",'Informacion '!P:Q,2,FALSE),"")</f>
        <v>Unidad</v>
      </c>
      <c r="D4488" s="94">
        <v>25</v>
      </c>
      <c r="E4488" s="84">
        <v>2000</v>
      </c>
      <c r="F4488" s="83">
        <f t="shared" ca="1" si="196"/>
        <v>50000</v>
      </c>
    </row>
    <row r="4489" spans="1:6" ht="14.1" customHeight="1" x14ac:dyDescent="0.25">
      <c r="A4489" s="94" t="s">
        <v>4223</v>
      </c>
      <c r="B4489" s="82" t="str">
        <f ca="1">IFERROR(INDEX(UNSPSCDes,MATCH(INDIRECT(ADDRESS(ROW(),COLUMN()-1,4)),UNSPSCCode,0)),IF(INDIRECT(ADDRESS(ROW(),COLUMN()-1,4))="71141201","Servicios de limpieza o achique del pozo",""))</f>
        <v>Servicios de limpieza o achique del pozo</v>
      </c>
      <c r="C4489" s="95" t="str">
        <f>IFERROR(VLOOKUP("UD",'Informacion '!P:Q,2,FALSE),"")</f>
        <v>Unidad</v>
      </c>
      <c r="D4489" s="94">
        <v>2</v>
      </c>
      <c r="E4489" s="84">
        <v>25000</v>
      </c>
      <c r="F4489" s="83">
        <f t="shared" ca="1" si="196"/>
        <v>50000</v>
      </c>
    </row>
    <row r="4490" spans="1:6" ht="14.1" customHeight="1" x14ac:dyDescent="0.25">
      <c r="A4490" s="94" t="s">
        <v>19265</v>
      </c>
      <c r="B4490" s="82" t="str">
        <f ca="1">IFERROR(INDEX(UNSPSCDes,MATCH(INDIRECT(ADDRESS(ROW(),COLUMN()-1,4)),UNSPSCCode,0)),IF(INDIRECT(ADDRESS(ROW(),COLUMN()-1,4))="46171505","Llaves",""))</f>
        <v>Llaves</v>
      </c>
      <c r="C4490" s="95" t="str">
        <f>IFERROR(VLOOKUP("UD",'Informacion '!P:Q,2,FALSE),"")</f>
        <v>Unidad</v>
      </c>
      <c r="D4490" s="94">
        <v>30</v>
      </c>
      <c r="E4490" s="84">
        <v>130</v>
      </c>
      <c r="F4490" s="83">
        <f t="shared" ca="1" si="196"/>
        <v>3900</v>
      </c>
    </row>
    <row r="4491" spans="1:6" ht="14.1" customHeight="1" x14ac:dyDescent="0.25">
      <c r="A4491" s="94" t="s">
        <v>19265</v>
      </c>
      <c r="B4491" s="82" t="str">
        <f ca="1">IFERROR(INDEX(UNSPSCDes,MATCH(INDIRECT(ADDRESS(ROW(),COLUMN()-1,4)),UNSPSCCode,0)),IF(INDIRECT(ADDRESS(ROW(),COLUMN()-1,4))="46171505","Llaves",""))</f>
        <v>Llaves</v>
      </c>
      <c r="C4491" s="95" t="str">
        <f>IFERROR(VLOOKUP("UD",'Informacion '!P:Q,2,FALSE),"")</f>
        <v>Unidad</v>
      </c>
      <c r="D4491" s="94">
        <v>28</v>
      </c>
      <c r="E4491" s="84">
        <v>7500</v>
      </c>
      <c r="F4491" s="83">
        <f t="shared" ca="1" si="196"/>
        <v>210000</v>
      </c>
    </row>
    <row r="4492" spans="1:6" ht="14.1" customHeight="1" x14ac:dyDescent="0.25">
      <c r="A4492" s="94" t="s">
        <v>4286</v>
      </c>
      <c r="B4492" s="82" t="str">
        <f ca="1">IFERROR(INDEX(UNSPSCDes,MATCH(INDIRECT(ADDRESS(ROW(),COLUMN()-1,4)),UNSPSCCode,0)),IF(INDIRECT(ADDRESS(ROW(),COLUMN()-1,4))="40142008","Mangueras de agua",""))</f>
        <v>Mangueras de agua</v>
      </c>
      <c r="C4492" s="95" t="str">
        <f>IFERROR(VLOOKUP("UD",'Informacion '!P:Q,2,FALSE),"")</f>
        <v>Unidad</v>
      </c>
      <c r="D4492" s="94">
        <v>7</v>
      </c>
      <c r="E4492" s="84">
        <v>2100</v>
      </c>
      <c r="F4492" s="83">
        <f t="shared" ca="1" si="196"/>
        <v>14700</v>
      </c>
    </row>
    <row r="4493" spans="1:6" ht="14.1" customHeight="1" x14ac:dyDescent="0.25">
      <c r="A4493" s="94" t="s">
        <v>4286</v>
      </c>
      <c r="B4493" s="82" t="str">
        <f ca="1">IFERROR(INDEX(UNSPSCDes,MATCH(INDIRECT(ADDRESS(ROW(),COLUMN()-1,4)),UNSPSCCode,0)),IF(INDIRECT(ADDRESS(ROW(),COLUMN()-1,4))="40142008","Mangueras de agua",""))</f>
        <v>Mangueras de agua</v>
      </c>
      <c r="C4493" s="95" t="str">
        <f>IFERROR(VLOOKUP("UD",'Informacion '!P:Q,2,FALSE),"")</f>
        <v>Unidad</v>
      </c>
      <c r="D4493" s="94">
        <v>7</v>
      </c>
      <c r="E4493" s="84">
        <v>2800</v>
      </c>
      <c r="F4493" s="83">
        <f t="shared" ca="1" si="196"/>
        <v>19600</v>
      </c>
    </row>
    <row r="4494" spans="1:6" ht="14.1" customHeight="1" x14ac:dyDescent="0.25">
      <c r="A4494" s="94" t="s">
        <v>4286</v>
      </c>
      <c r="B4494" s="82" t="str">
        <f ca="1">IFERROR(INDEX(UNSPSCDes,MATCH(INDIRECT(ADDRESS(ROW(),COLUMN()-1,4)),UNSPSCCode,0)),IF(INDIRECT(ADDRESS(ROW(),COLUMN()-1,4))="40142008","Mangueras de agua",""))</f>
        <v>Mangueras de agua</v>
      </c>
      <c r="C4494" s="95" t="str">
        <f>IFERROR(VLOOKUP("UD",'Informacion '!P:Q,2,FALSE),"")</f>
        <v>Unidad</v>
      </c>
      <c r="D4494" s="94">
        <v>50</v>
      </c>
      <c r="E4494" s="84">
        <v>200</v>
      </c>
      <c r="F4494" s="83">
        <f t="shared" ca="1" si="196"/>
        <v>10000</v>
      </c>
    </row>
    <row r="4495" spans="1:6" ht="14.1" customHeight="1" x14ac:dyDescent="0.25">
      <c r="A4495" s="94" t="s">
        <v>4286</v>
      </c>
      <c r="B4495" s="82" t="str">
        <f ca="1">IFERROR(INDEX(UNSPSCDes,MATCH(INDIRECT(ADDRESS(ROW(),COLUMN()-1,4)),UNSPSCCode,0)),IF(INDIRECT(ADDRESS(ROW(),COLUMN()-1,4))="40142008","Mangueras de agua",""))</f>
        <v>Mangueras de agua</v>
      </c>
      <c r="C4495" s="95" t="str">
        <f>IFERROR(VLOOKUP("UD",'Informacion '!P:Q,2,FALSE),"")</f>
        <v>Unidad</v>
      </c>
      <c r="D4495" s="94">
        <v>50</v>
      </c>
      <c r="E4495" s="84">
        <v>200</v>
      </c>
      <c r="F4495" s="83">
        <f t="shared" ca="1" si="196"/>
        <v>10000</v>
      </c>
    </row>
    <row r="4496" spans="1:6" ht="14.1" customHeight="1" x14ac:dyDescent="0.25">
      <c r="A4496" s="94" t="s">
        <v>4286</v>
      </c>
      <c r="B4496" s="82" t="str">
        <f ca="1">IFERROR(INDEX(UNSPSCDes,MATCH(INDIRECT(ADDRESS(ROW(),COLUMN()-1,4)),UNSPSCCode,0)),IF(INDIRECT(ADDRESS(ROW(),COLUMN()-1,4))="40142008","Mangueras de agua",""))</f>
        <v>Mangueras de agua</v>
      </c>
      <c r="C4496" s="95" t="str">
        <f>IFERROR(VLOOKUP("UD",'Informacion '!P:Q,2,FALSE),"")</f>
        <v>Unidad</v>
      </c>
      <c r="D4496" s="94">
        <v>50</v>
      </c>
      <c r="E4496" s="84">
        <v>200</v>
      </c>
      <c r="F4496" s="83">
        <f t="shared" ca="1" si="196"/>
        <v>10000</v>
      </c>
    </row>
    <row r="4497" spans="1:6" ht="14.1" customHeight="1" x14ac:dyDescent="0.25">
      <c r="A4497" s="94" t="s">
        <v>9014</v>
      </c>
      <c r="B4497" s="82" t="str">
        <f ca="1">IFERROR(INDEX(UNSPSCDes,MATCH(INDIRECT(ADDRESS(ROW(),COLUMN()-1,4)),UNSPSCCode,0)),IF(INDIRECT(ADDRESS(ROW(),COLUMN()-1,4))="26111722","Adaptador de batería o accesorios",""))</f>
        <v>Adaptador de batería o accesorios</v>
      </c>
      <c r="C4497" s="95" t="str">
        <f>IFERROR(VLOOKUP("UD",'Informacion '!P:Q,2,FALSE),"")</f>
        <v>Unidad</v>
      </c>
      <c r="D4497" s="94">
        <v>1</v>
      </c>
      <c r="E4497" s="84">
        <v>12000</v>
      </c>
      <c r="F4497" s="83">
        <f t="shared" ca="1" si="196"/>
        <v>12000</v>
      </c>
    </row>
    <row r="4498" spans="1:6" ht="14.1" customHeight="1" x14ac:dyDescent="0.25">
      <c r="A4498" s="94" t="s">
        <v>6953</v>
      </c>
      <c r="B4498" s="82" t="str">
        <f t="shared" ref="B4498:B4506" ca="1" si="197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498" s="95" t="str">
        <f>IFERROR(VLOOKUP("UD",'Informacion '!P:Q,2,FALSE),"")</f>
        <v>Unidad</v>
      </c>
      <c r="D4498" s="94">
        <v>1</v>
      </c>
      <c r="E4498" s="84">
        <v>153000</v>
      </c>
      <c r="F4498" s="83">
        <f t="shared" ca="1" si="196"/>
        <v>153000</v>
      </c>
    </row>
    <row r="4499" spans="1:6" ht="14.1" customHeight="1" x14ac:dyDescent="0.25">
      <c r="A4499" s="94" t="s">
        <v>6953</v>
      </c>
      <c r="B4499" s="82" t="str">
        <f t="shared" ca="1" si="197"/>
        <v>Mantenimiento o reparación de sistemas de fontanería</v>
      </c>
      <c r="C4499" s="95" t="str">
        <f>IFERROR(VLOOKUP("UD",'Informacion '!P:Q,2,FALSE),"")</f>
        <v>Unidad</v>
      </c>
      <c r="D4499" s="94">
        <v>1</v>
      </c>
      <c r="E4499" s="84">
        <v>113000</v>
      </c>
      <c r="F4499" s="83">
        <f t="shared" ca="1" si="196"/>
        <v>113000</v>
      </c>
    </row>
    <row r="4500" spans="1:6" ht="14.1" customHeight="1" x14ac:dyDescent="0.25">
      <c r="A4500" s="94" t="s">
        <v>6953</v>
      </c>
      <c r="B4500" s="82" t="str">
        <f t="shared" ca="1" si="197"/>
        <v>Mantenimiento o reparación de sistemas de fontanería</v>
      </c>
      <c r="C4500" s="95" t="str">
        <f>IFERROR(VLOOKUP("UD",'Informacion '!P:Q,2,FALSE),"")</f>
        <v>Unidad</v>
      </c>
      <c r="D4500" s="94">
        <v>1</v>
      </c>
      <c r="E4500" s="84">
        <v>150000</v>
      </c>
      <c r="F4500" s="83">
        <f t="shared" ca="1" si="196"/>
        <v>150000</v>
      </c>
    </row>
    <row r="4501" spans="1:6" ht="14.1" customHeight="1" x14ac:dyDescent="0.25">
      <c r="A4501" s="94" t="s">
        <v>6953</v>
      </c>
      <c r="B4501" s="82" t="str">
        <f t="shared" ca="1" si="197"/>
        <v>Mantenimiento o reparación de sistemas de fontanería</v>
      </c>
      <c r="C4501" s="95" t="str">
        <f>IFERROR(VLOOKUP("UD",'Informacion '!P:Q,2,FALSE),"")</f>
        <v>Unidad</v>
      </c>
      <c r="D4501" s="94">
        <v>4</v>
      </c>
      <c r="E4501" s="84">
        <v>60000</v>
      </c>
      <c r="F4501" s="83">
        <f t="shared" ca="1" si="196"/>
        <v>240000</v>
      </c>
    </row>
    <row r="4502" spans="1:6" ht="14.1" customHeight="1" x14ac:dyDescent="0.25">
      <c r="A4502" s="94" t="s">
        <v>6953</v>
      </c>
      <c r="B4502" s="82" t="str">
        <f t="shared" ca="1" si="197"/>
        <v>Mantenimiento o reparación de sistemas de fontanería</v>
      </c>
      <c r="C4502" s="95" t="str">
        <f>IFERROR(VLOOKUP("UD",'Informacion '!P:Q,2,FALSE),"")</f>
        <v>Unidad</v>
      </c>
      <c r="D4502" s="94">
        <v>1</v>
      </c>
      <c r="E4502" s="84">
        <v>90000</v>
      </c>
      <c r="F4502" s="83">
        <f t="shared" ca="1" si="196"/>
        <v>90000</v>
      </c>
    </row>
    <row r="4503" spans="1:6" ht="14.1" customHeight="1" x14ac:dyDescent="0.25">
      <c r="A4503" s="94" t="s">
        <v>6953</v>
      </c>
      <c r="B4503" s="82" t="str">
        <f t="shared" ca="1" si="197"/>
        <v>Mantenimiento o reparación de sistemas de fontanería</v>
      </c>
      <c r="C4503" s="95" t="str">
        <f>IFERROR(VLOOKUP("UD",'Informacion '!P:Q,2,FALSE),"")</f>
        <v>Unidad</v>
      </c>
      <c r="D4503" s="94">
        <v>1</v>
      </c>
      <c r="E4503" s="84">
        <v>450000</v>
      </c>
      <c r="F4503" s="83">
        <f t="shared" ca="1" si="196"/>
        <v>450000</v>
      </c>
    </row>
    <row r="4504" spans="1:6" ht="14.1" customHeight="1" x14ac:dyDescent="0.25">
      <c r="A4504" s="94" t="s">
        <v>6953</v>
      </c>
      <c r="B4504" s="82" t="str">
        <f t="shared" ca="1" si="197"/>
        <v>Mantenimiento o reparación de sistemas de fontanería</v>
      </c>
      <c r="C4504" s="95" t="str">
        <f>IFERROR(VLOOKUP("UD",'Informacion '!P:Q,2,FALSE),"")</f>
        <v>Unidad</v>
      </c>
      <c r="D4504" s="94">
        <v>1</v>
      </c>
      <c r="E4504" s="84">
        <v>467000</v>
      </c>
      <c r="F4504" s="83">
        <f t="shared" ca="1" si="196"/>
        <v>467000</v>
      </c>
    </row>
    <row r="4505" spans="1:6" ht="14.1" customHeight="1" x14ac:dyDescent="0.25">
      <c r="A4505" s="94" t="s">
        <v>6953</v>
      </c>
      <c r="B4505" s="82" t="str">
        <f t="shared" ca="1" si="197"/>
        <v>Mantenimiento o reparación de sistemas de fontanería</v>
      </c>
      <c r="C4505" s="95" t="str">
        <f>IFERROR(VLOOKUP("UD",'Informacion '!P:Q,2,FALSE),"")</f>
        <v>Unidad</v>
      </c>
      <c r="D4505" s="94">
        <v>1</v>
      </c>
      <c r="E4505" s="84">
        <v>500000</v>
      </c>
      <c r="F4505" s="83">
        <f t="shared" ca="1" si="196"/>
        <v>500000</v>
      </c>
    </row>
    <row r="4506" spans="1:6" ht="14.1" customHeight="1" x14ac:dyDescent="0.25">
      <c r="A4506" s="94" t="s">
        <v>6953</v>
      </c>
      <c r="B4506" s="82" t="str">
        <f t="shared" ca="1" si="197"/>
        <v>Mantenimiento o reparación de sistemas de fontanería</v>
      </c>
      <c r="C4506" s="95" t="str">
        <f>IFERROR(VLOOKUP("UD",'Informacion '!P:Q,2,FALSE),"")</f>
        <v>Unidad</v>
      </c>
      <c r="D4506" s="94">
        <v>1</v>
      </c>
      <c r="E4506" s="84">
        <v>200000</v>
      </c>
      <c r="F4506" s="83">
        <f t="shared" ca="1" si="196"/>
        <v>200000</v>
      </c>
    </row>
    <row r="4507" spans="1:6" ht="14.1" customHeight="1" x14ac:dyDescent="0.25">
      <c r="A4507" s="94" t="s">
        <v>6723</v>
      </c>
      <c r="B4507" s="82" t="str">
        <f ca="1">IFERROR(INDEX(UNSPSCDes,MATCH(INDIRECT(ADDRESS(ROW(),COLUMN()-1,4)),UNSPSCCode,0)),IF(INDIRECT(ADDRESS(ROW(),COLUMN()-1,4))="15101506","Gasolina",""))</f>
        <v>Gasolina</v>
      </c>
      <c r="C4507" s="95" t="str">
        <f>IFERROR(VLOOKUP("GAL",'Informacion '!P:Q,2,FALSE),"")</f>
        <v>Galón</v>
      </c>
      <c r="D4507" s="94">
        <v>4500</v>
      </c>
      <c r="E4507" s="84">
        <v>205</v>
      </c>
      <c r="F4507" s="83">
        <f t="shared" ca="1" si="196"/>
        <v>922500</v>
      </c>
    </row>
    <row r="4508" spans="1:6" ht="14.1" customHeight="1" x14ac:dyDescent="0.25">
      <c r="A4508" s="94" t="s">
        <v>2062</v>
      </c>
      <c r="B4508" s="82" t="str">
        <f ca="1">IFERROR(INDEX(UNSPSCDes,MATCH(INDIRECT(ADDRESS(ROW(),COLUMN()-1,4)),UNSPSCCode,0)),IF(INDIRECT(ADDRESS(ROW(),COLUMN()-1,4))="31162702","Ruedas",""))</f>
        <v>Ruedas</v>
      </c>
      <c r="C4508" s="95" t="str">
        <f>IFERROR(VLOOKUP("UD",'Informacion '!P:Q,2,FALSE),"")</f>
        <v>Unidad</v>
      </c>
      <c r="D4508" s="94">
        <v>1</v>
      </c>
      <c r="E4508" s="84">
        <v>13000</v>
      </c>
      <c r="F4508" s="83">
        <f t="shared" ca="1" si="196"/>
        <v>13000</v>
      </c>
    </row>
    <row r="4509" spans="1:6" ht="14.1" customHeight="1" x14ac:dyDescent="0.25">
      <c r="A4509" s="94" t="s">
        <v>11215</v>
      </c>
      <c r="B4509" s="82" t="str">
        <f ca="1">IFERROR(INDEX(UNSPSCDes,MATCH(INDIRECT(ADDRESS(ROW(),COLUMN()-1,4)),UNSPSCCode,0)),IF(INDIRECT(ADDRESS(ROW(),COLUMN()-1,4))="27111701","Destornilladores",""))</f>
        <v>Destornilladores</v>
      </c>
      <c r="C4509" s="95" t="str">
        <f>IFERROR(VLOOKUP("UD",'Informacion '!P:Q,2,FALSE),"")</f>
        <v>Unidad</v>
      </c>
      <c r="D4509" s="94">
        <v>1</v>
      </c>
      <c r="E4509" s="84">
        <v>5000</v>
      </c>
      <c r="F4509" s="83">
        <f t="shared" ca="1" si="196"/>
        <v>5000</v>
      </c>
    </row>
    <row r="4510" spans="1:6" ht="14.1" customHeight="1" x14ac:dyDescent="0.25">
      <c r="A4510" s="94" t="s">
        <v>4615</v>
      </c>
      <c r="B4510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4510" s="95" t="str">
        <f>IFERROR(VLOOKUP("UD",'Informacion '!P:Q,2,FALSE),"")</f>
        <v>Unidad</v>
      </c>
      <c r="D4510" s="94">
        <v>1</v>
      </c>
      <c r="E4510" s="84">
        <v>450000</v>
      </c>
      <c r="F4510" s="83">
        <f t="shared" ca="1" si="196"/>
        <v>450000</v>
      </c>
    </row>
    <row r="4511" spans="1:6" ht="14.1" customHeight="1" x14ac:dyDescent="0.25">
      <c r="A4511" s="94" t="s">
        <v>3294</v>
      </c>
      <c r="B4511" s="82" t="str">
        <f ca="1">IFERROR(INDEX(UNSPSCDes,MATCH(INDIRECT(ADDRESS(ROW(),COLUMN()-1,4)),UNSPSCCode,0)),IF(INDIRECT(ADDRESS(ROW(),COLUMN()-1,4))="23191004","Mezcladoras intensivas",""))</f>
        <v>Mezcladoras intensivas</v>
      </c>
      <c r="C4511" s="95" t="str">
        <f>IFERROR(VLOOKUP("UD",'Informacion '!P:Q,2,FALSE),"")</f>
        <v>Unidad</v>
      </c>
      <c r="D4511" s="94">
        <v>30</v>
      </c>
      <c r="E4511" s="84">
        <v>2000</v>
      </c>
      <c r="F4511" s="83">
        <f t="shared" ca="1" si="196"/>
        <v>60000</v>
      </c>
    </row>
    <row r="4512" spans="1:6" ht="14.1" customHeight="1" x14ac:dyDescent="0.25">
      <c r="A4512" s="94" t="s">
        <v>3294</v>
      </c>
      <c r="B4512" s="82" t="str">
        <f ca="1">IFERROR(INDEX(UNSPSCDes,MATCH(INDIRECT(ADDRESS(ROW(),COLUMN()-1,4)),UNSPSCCode,0)),IF(INDIRECT(ADDRESS(ROW(),COLUMN()-1,4))="23191004","Mezcladoras intensivas",""))</f>
        <v>Mezcladoras intensivas</v>
      </c>
      <c r="C4512" s="95" t="str">
        <f>IFERROR(VLOOKUP("UD",'Informacion '!P:Q,2,FALSE),"")</f>
        <v>Unidad</v>
      </c>
      <c r="D4512" s="94">
        <v>20</v>
      </c>
      <c r="E4512" s="84">
        <v>2400</v>
      </c>
      <c r="F4512" s="83">
        <f t="shared" ca="1" si="196"/>
        <v>48000</v>
      </c>
    </row>
    <row r="4513" spans="1:6" ht="14.1" customHeight="1" x14ac:dyDescent="0.25">
      <c r="A4513" s="94" t="s">
        <v>10330</v>
      </c>
      <c r="B4513" s="82" t="str">
        <f ca="1">IFERROR(INDEX(UNSPSCDes,MATCH(INDIRECT(ADDRESS(ROW(),COLUMN()-1,4)),UNSPSCCode,0)),IF(INDIRECT(ADDRESS(ROW(),COLUMN()-1,4))="30181504","Lavamanos",""))</f>
        <v>Lavamanos</v>
      </c>
      <c r="C4513" s="95" t="str">
        <f>IFERROR(VLOOKUP("UD",'Informacion '!P:Q,2,FALSE),"")</f>
        <v>Unidad</v>
      </c>
      <c r="D4513" s="94">
        <v>15</v>
      </c>
      <c r="E4513" s="84">
        <v>2400</v>
      </c>
      <c r="F4513" s="83">
        <f t="shared" ca="1" si="196"/>
        <v>36000</v>
      </c>
    </row>
    <row r="4514" spans="1:6" ht="14.1" customHeight="1" x14ac:dyDescent="0.25">
      <c r="A4514" s="94" t="s">
        <v>17140</v>
      </c>
      <c r="B4514" s="82" t="str">
        <f ca="1">IFERROR(INDEX(UNSPSCDes,MATCH(INDIRECT(ADDRESS(ROW(),COLUMN()-1,4)),UNSPSCCode,0)),IF(INDIRECT(ADDRESS(ROW(),COLUMN()-1,4))="30181505","Inodoros o excusados",""))</f>
        <v>Inodoros o excusados</v>
      </c>
      <c r="C4514" s="95" t="str">
        <f>IFERROR(VLOOKUP("UD",'Informacion '!P:Q,2,FALSE),"")</f>
        <v>Unidad</v>
      </c>
      <c r="D4514" s="94">
        <v>15</v>
      </c>
      <c r="E4514" s="84">
        <v>2400</v>
      </c>
      <c r="F4514" s="83">
        <f t="shared" ca="1" si="196"/>
        <v>36000</v>
      </c>
    </row>
    <row r="4515" spans="1:6" ht="14.1" customHeight="1" x14ac:dyDescent="0.25">
      <c r="A4515" s="94" t="s">
        <v>10466</v>
      </c>
      <c r="B4515" s="82" t="str">
        <f ca="1">IFERROR(INDEX(UNSPSCDes,MATCH(INDIRECT(ADDRESS(ROW(),COLUMN()-1,4)),UNSPSCCode,0)),IF(INDIRECT(ADDRESS(ROW(),COLUMN()-1,4))="12163501","Sellantes de cemento",""))</f>
        <v>Sellantes de cemento</v>
      </c>
      <c r="C4515" s="95" t="str">
        <f>IFERROR(VLOOKUP("UD",'Informacion '!P:Q,2,FALSE),"")</f>
        <v>Unidad</v>
      </c>
      <c r="D4515" s="94">
        <v>3</v>
      </c>
      <c r="E4515" s="84">
        <v>1200</v>
      </c>
      <c r="F4515" s="83">
        <f t="shared" ca="1" si="196"/>
        <v>3600</v>
      </c>
    </row>
    <row r="4516" spans="1:6" ht="14.1" customHeight="1" x14ac:dyDescent="0.25">
      <c r="A4516" s="94" t="s">
        <v>10466</v>
      </c>
      <c r="B4516" s="82" t="str">
        <f ca="1">IFERROR(INDEX(UNSPSCDes,MATCH(INDIRECT(ADDRESS(ROW(),COLUMN()-1,4)),UNSPSCCode,0)),IF(INDIRECT(ADDRESS(ROW(),COLUMN()-1,4))="12163501","Sellantes de cemento",""))</f>
        <v>Sellantes de cemento</v>
      </c>
      <c r="C4516" s="95" t="str">
        <f>IFERROR(VLOOKUP("UD",'Informacion '!P:Q,2,FALSE),"")</f>
        <v>Unidad</v>
      </c>
      <c r="D4516" s="94">
        <v>3</v>
      </c>
      <c r="E4516" s="84">
        <v>2200</v>
      </c>
      <c r="F4516" s="83">
        <f t="shared" ref="F4516:F4547" ca="1" si="198">INDIRECT(ADDRESS(ROW(),COLUMN()-2,4))*INDIRECT(ADDRESS(ROW(),COLUMN()-1,4))</f>
        <v>6600</v>
      </c>
    </row>
    <row r="4517" spans="1:6" ht="14.1" customHeight="1" x14ac:dyDescent="0.25">
      <c r="A4517" s="94" t="s">
        <v>8226</v>
      </c>
      <c r="B4517" s="82" t="str">
        <f ca="1">IFERROR(INDEX(UNSPSCDes,MATCH(INDIRECT(ADDRESS(ROW(),COLUMN()-1,4)),UNSPSCCode,0)),IF(INDIRECT(ADDRESS(ROW(),COLUMN()-1,4))="39111808","Parrillas",""))</f>
        <v>Parrillas</v>
      </c>
      <c r="C4517" s="95" t="str">
        <f>IFERROR(VLOOKUP("UD",'Informacion '!P:Q,2,FALSE),"")</f>
        <v>Unidad</v>
      </c>
      <c r="D4517" s="94">
        <v>15</v>
      </c>
      <c r="E4517" s="84">
        <v>200</v>
      </c>
      <c r="F4517" s="83">
        <f t="shared" ca="1" si="198"/>
        <v>3000</v>
      </c>
    </row>
    <row r="4518" spans="1:6" ht="14.1" customHeight="1" x14ac:dyDescent="0.25">
      <c r="A4518" s="94" t="s">
        <v>4286</v>
      </c>
      <c r="B4518" s="82" t="str">
        <f ca="1">IFERROR(INDEX(UNSPSCDes,MATCH(INDIRECT(ADDRESS(ROW(),COLUMN()-1,4)),UNSPSCCode,0)),IF(INDIRECT(ADDRESS(ROW(),COLUMN()-1,4))="40142008","Mangueras de agua",""))</f>
        <v>Mangueras de agua</v>
      </c>
      <c r="C4518" s="95" t="str">
        <f>IFERROR(VLOOKUP("UD",'Informacion '!P:Q,2,FALSE),"")</f>
        <v>Unidad</v>
      </c>
      <c r="D4518" s="94">
        <v>15</v>
      </c>
      <c r="E4518" s="84">
        <v>180</v>
      </c>
      <c r="F4518" s="83">
        <f t="shared" ca="1" si="198"/>
        <v>2700</v>
      </c>
    </row>
    <row r="4519" spans="1:6" ht="14.1" customHeight="1" x14ac:dyDescent="0.25">
      <c r="A4519" s="94" t="s">
        <v>4286</v>
      </c>
      <c r="B4519" s="82" t="str">
        <f ca="1">IFERROR(INDEX(UNSPSCDes,MATCH(INDIRECT(ADDRESS(ROW(),COLUMN()-1,4)),UNSPSCCode,0)),IF(INDIRECT(ADDRESS(ROW(),COLUMN()-1,4))="40142008","Mangueras de agua",""))</f>
        <v>Mangueras de agua</v>
      </c>
      <c r="C4519" s="95" t="str">
        <f>IFERROR(VLOOKUP("UD",'Informacion '!P:Q,2,FALSE),"")</f>
        <v>Unidad</v>
      </c>
      <c r="D4519" s="94">
        <v>25</v>
      </c>
      <c r="E4519" s="84">
        <v>197</v>
      </c>
      <c r="F4519" s="83">
        <f t="shared" ca="1" si="198"/>
        <v>4925</v>
      </c>
    </row>
    <row r="4520" spans="1:6" ht="14.1" customHeight="1" x14ac:dyDescent="0.25">
      <c r="A4520" s="94" t="s">
        <v>4286</v>
      </c>
      <c r="B4520" s="82" t="str">
        <f ca="1">IFERROR(INDEX(UNSPSCDes,MATCH(INDIRECT(ADDRESS(ROW(),COLUMN()-1,4)),UNSPSCCode,0)),IF(INDIRECT(ADDRESS(ROW(),COLUMN()-1,4))="40142008","Mangueras de agua",""))</f>
        <v>Mangueras de agua</v>
      </c>
      <c r="C4520" s="95" t="str">
        <f>IFERROR(VLOOKUP("UD",'Informacion '!P:Q,2,FALSE),"")</f>
        <v>Unidad</v>
      </c>
      <c r="D4520" s="94">
        <v>25</v>
      </c>
      <c r="E4520" s="84">
        <v>220</v>
      </c>
      <c r="F4520" s="83">
        <f t="shared" ca="1" si="198"/>
        <v>5500</v>
      </c>
    </row>
    <row r="4521" spans="1:6" ht="14.1" customHeight="1" x14ac:dyDescent="0.25">
      <c r="A4521" s="94" t="s">
        <v>4286</v>
      </c>
      <c r="B4521" s="82" t="str">
        <f ca="1">IFERROR(INDEX(UNSPSCDes,MATCH(INDIRECT(ADDRESS(ROW(),COLUMN()-1,4)),UNSPSCCode,0)),IF(INDIRECT(ADDRESS(ROW(),COLUMN()-1,4))="40142008","Mangueras de agua",""))</f>
        <v>Mangueras de agua</v>
      </c>
      <c r="C4521" s="95" t="str">
        <f>IFERROR(VLOOKUP("UD",'Informacion '!P:Q,2,FALSE),"")</f>
        <v>Unidad</v>
      </c>
      <c r="D4521" s="94">
        <v>25</v>
      </c>
      <c r="E4521" s="84">
        <v>197</v>
      </c>
      <c r="F4521" s="83">
        <f t="shared" ca="1" si="198"/>
        <v>4925</v>
      </c>
    </row>
    <row r="4522" spans="1:6" ht="14.1" customHeight="1" x14ac:dyDescent="0.25">
      <c r="A4522" s="94" t="s">
        <v>3294</v>
      </c>
      <c r="B4522" s="82" t="str">
        <f ca="1">IFERROR(INDEX(UNSPSCDes,MATCH(INDIRECT(ADDRESS(ROW(),COLUMN()-1,4)),UNSPSCCode,0)),IF(INDIRECT(ADDRESS(ROW(),COLUMN()-1,4))="23191004","Mezcladoras intensivas",""))</f>
        <v>Mezcladoras intensivas</v>
      </c>
      <c r="C4522" s="95" t="str">
        <f>IFERROR(VLOOKUP("UD",'Informacion '!P:Q,2,FALSE),"")</f>
        <v>Unidad</v>
      </c>
      <c r="D4522" s="94">
        <v>5</v>
      </c>
      <c r="E4522" s="84">
        <v>6700</v>
      </c>
      <c r="F4522" s="83">
        <f t="shared" ca="1" si="198"/>
        <v>33500</v>
      </c>
    </row>
    <row r="4523" spans="1:6" ht="14.1" customHeight="1" x14ac:dyDescent="0.25">
      <c r="A4523" s="94" t="s">
        <v>3294</v>
      </c>
      <c r="B4523" s="82" t="str">
        <f ca="1">IFERROR(INDEX(UNSPSCDes,MATCH(INDIRECT(ADDRESS(ROW(),COLUMN()-1,4)),UNSPSCCode,0)),IF(INDIRECT(ADDRESS(ROW(),COLUMN()-1,4))="23191004","Mezcladoras intensivas",""))</f>
        <v>Mezcladoras intensivas</v>
      </c>
      <c r="C4523" s="95" t="str">
        <f>IFERROR(VLOOKUP("UD",'Informacion '!P:Q,2,FALSE),"")</f>
        <v>Unidad</v>
      </c>
      <c r="D4523" s="94">
        <v>5</v>
      </c>
      <c r="E4523" s="84">
        <v>2600</v>
      </c>
      <c r="F4523" s="83">
        <f t="shared" ca="1" si="198"/>
        <v>13000</v>
      </c>
    </row>
    <row r="4524" spans="1:6" ht="14.1" customHeight="1" x14ac:dyDescent="0.25">
      <c r="A4524" s="94" t="s">
        <v>3294</v>
      </c>
      <c r="B4524" s="82" t="str">
        <f ca="1">IFERROR(INDEX(UNSPSCDes,MATCH(INDIRECT(ADDRESS(ROW(),COLUMN()-1,4)),UNSPSCCode,0)),IF(INDIRECT(ADDRESS(ROW(),COLUMN()-1,4))="23191004","Mezcladoras intensivas",""))</f>
        <v>Mezcladoras intensivas</v>
      </c>
      <c r="C4524" s="95" t="str">
        <f>IFERROR(VLOOKUP("UD",'Informacion '!P:Q,2,FALSE),"")</f>
        <v>Unidad</v>
      </c>
      <c r="D4524" s="94">
        <v>52</v>
      </c>
      <c r="E4524" s="84">
        <v>7825</v>
      </c>
      <c r="F4524" s="83">
        <f t="shared" ca="1" si="198"/>
        <v>406900</v>
      </c>
    </row>
    <row r="4525" spans="1:6" ht="14.1" customHeight="1" x14ac:dyDescent="0.25">
      <c r="A4525" s="94" t="s">
        <v>12220</v>
      </c>
      <c r="B4525" s="82" t="str">
        <f ca="1">IFERROR(INDEX(UNSPSCDes,MATCH(INDIRECT(ADDRESS(ROW(),COLUMN()-1,4)),UNSPSCCode,0)),IF(INDIRECT(ADDRESS(ROW(),COLUMN()-1,4))="24141705","Tubos plegables",""))</f>
        <v>Tubos plegables</v>
      </c>
      <c r="C4525" s="95" t="str">
        <f>IFERROR(VLOOKUP("UD",'Informacion '!P:Q,2,FALSE),"")</f>
        <v>Unidad</v>
      </c>
      <c r="D4525" s="94">
        <v>50</v>
      </c>
      <c r="E4525" s="84">
        <v>75</v>
      </c>
      <c r="F4525" s="83">
        <f t="shared" ca="1" si="198"/>
        <v>3750</v>
      </c>
    </row>
    <row r="4526" spans="1:6" ht="14.1" customHeight="1" x14ac:dyDescent="0.25">
      <c r="A4526" s="94" t="s">
        <v>19089</v>
      </c>
      <c r="B4526" s="82" t="str">
        <f ca="1">IFERROR(INDEX(UNSPSCDes,MATCH(INDIRECT(ADDRESS(ROW(),COLUMN()-1,4)),UNSPSCCode,0)),IF(INDIRECT(ADDRESS(ROW(),COLUMN()-1,4))="31211505","Pinturas de aceite",""))</f>
        <v>Pinturas de aceite</v>
      </c>
      <c r="C4526" s="95" t="str">
        <f>IFERROR(VLOOKUP("UD",'Informacion '!P:Q,2,FALSE),"")</f>
        <v>Unidad</v>
      </c>
      <c r="D4526" s="94">
        <v>1</v>
      </c>
      <c r="E4526" s="84">
        <v>3735</v>
      </c>
      <c r="F4526" s="83">
        <f t="shared" ca="1" si="198"/>
        <v>3735</v>
      </c>
    </row>
    <row r="4527" spans="1:6" ht="14.1" customHeight="1" x14ac:dyDescent="0.25">
      <c r="A4527" s="94" t="s">
        <v>19089</v>
      </c>
      <c r="B4527" s="82" t="str">
        <f ca="1">IFERROR(INDEX(UNSPSCDes,MATCH(INDIRECT(ADDRESS(ROW(),COLUMN()-1,4)),UNSPSCCode,0)),IF(INDIRECT(ADDRESS(ROW(),COLUMN()-1,4))="31211505","Pinturas de aceite",""))</f>
        <v>Pinturas de aceite</v>
      </c>
      <c r="C4527" s="95" t="str">
        <f>IFERROR(VLOOKUP("GAL",'Informacion '!P:Q,2,FALSE),"")</f>
        <v>Galón</v>
      </c>
      <c r="D4527" s="94">
        <v>4</v>
      </c>
      <c r="E4527" s="84">
        <v>6000</v>
      </c>
      <c r="F4527" s="83">
        <f t="shared" ca="1" si="198"/>
        <v>24000</v>
      </c>
    </row>
    <row r="4528" spans="1:6" ht="14.1" customHeight="1" x14ac:dyDescent="0.25">
      <c r="A4528" s="94" t="s">
        <v>12920</v>
      </c>
      <c r="B4528" s="82" t="str">
        <f ca="1">IFERROR(INDEX(UNSPSCDes,MATCH(INDIRECT(ADDRESS(ROW(),COLUMN()-1,4)),UNSPSCCode,0)),IF(INDIRECT(ADDRESS(ROW(),COLUMN()-1,4))="40151522","Bombas de osmosis inversa",""))</f>
        <v>Bombas de osmosis inversa</v>
      </c>
      <c r="C4528" s="95" t="str">
        <f>IFERROR(VLOOKUP("UD",'Informacion '!P:Q,2,FALSE),"")</f>
        <v>Unidad</v>
      </c>
      <c r="D4528" s="94">
        <v>1</v>
      </c>
      <c r="E4528" s="84">
        <v>60000</v>
      </c>
      <c r="F4528" s="83">
        <f t="shared" ca="1" si="198"/>
        <v>60000</v>
      </c>
    </row>
    <row r="4529" spans="1:6" ht="14.1" customHeight="1" x14ac:dyDescent="0.25">
      <c r="A4529" s="94" t="s">
        <v>18110</v>
      </c>
      <c r="B4529" s="82" t="str">
        <f ca="1">IFERROR(INDEX(UNSPSCDes,MATCH(INDIRECT(ADDRESS(ROW(),COLUMN()-1,4)),UNSPSCCode,0)),IF(INDIRECT(ADDRESS(ROW(),COLUMN()-1,4))="25172906","Reflectores",""))</f>
        <v>Reflectores</v>
      </c>
      <c r="C4529" s="95" t="str">
        <f>IFERROR(VLOOKUP("UD",'Informacion '!P:Q,2,FALSE),"")</f>
        <v>Unidad</v>
      </c>
      <c r="D4529" s="94">
        <v>15</v>
      </c>
      <c r="E4529" s="84">
        <v>4800</v>
      </c>
      <c r="F4529" s="83">
        <f t="shared" ca="1" si="198"/>
        <v>72000</v>
      </c>
    </row>
    <row r="4530" spans="1:6" ht="14.1" customHeight="1" x14ac:dyDescent="0.25">
      <c r="A4530" s="94" t="s">
        <v>7687</v>
      </c>
      <c r="B4530" s="82" t="str">
        <f ca="1">IFERROR(INDEX(UNSPSCDes,MATCH(INDIRECT(ADDRESS(ROW(),COLUMN()-1,4)),UNSPSCCode,0)),IF(INDIRECT(ADDRESS(ROW(),COLUMN()-1,4))="27112305","Marcadores o soportes de metal",""))</f>
        <v>Marcadores o soportes de metal</v>
      </c>
      <c r="C4530" s="95" t="str">
        <f>IFERROR(VLOOKUP("UD",'Informacion '!P:Q,2,FALSE),"")</f>
        <v>Unidad</v>
      </c>
      <c r="D4530" s="94">
        <v>15</v>
      </c>
      <c r="E4530" s="84">
        <v>35</v>
      </c>
      <c r="F4530" s="83">
        <f t="shared" ca="1" si="198"/>
        <v>525</v>
      </c>
    </row>
    <row r="4531" spans="1:6" ht="14.1" customHeight="1" x14ac:dyDescent="0.25">
      <c r="A4531" s="94" t="s">
        <v>2228</v>
      </c>
      <c r="B4531" s="82" t="str">
        <f ca="1">IFERROR(INDEX(UNSPSCDes,MATCH(INDIRECT(ADDRESS(ROW(),COLUMN()-1,4)),UNSPSCCode,0)),IF(INDIRECT(ADDRESS(ROW(),COLUMN()-1,4))="26131603","Rejillas de agua",""))</f>
        <v>Rejillas de agua</v>
      </c>
      <c r="C4531" s="95" t="str">
        <f>IFERROR(VLOOKUP("UD",'Informacion '!P:Q,2,FALSE),"")</f>
        <v>Unidad</v>
      </c>
      <c r="D4531" s="94">
        <v>20</v>
      </c>
      <c r="E4531" s="84">
        <v>570</v>
      </c>
      <c r="F4531" s="83">
        <f t="shared" ca="1" si="198"/>
        <v>11400</v>
      </c>
    </row>
    <row r="4532" spans="1:6" ht="14.1" customHeight="1" x14ac:dyDescent="0.25">
      <c r="A4532" s="94" t="s">
        <v>2228</v>
      </c>
      <c r="B4532" s="82" t="str">
        <f ca="1">IFERROR(INDEX(UNSPSCDes,MATCH(INDIRECT(ADDRESS(ROW(),COLUMN()-1,4)),UNSPSCCode,0)),IF(INDIRECT(ADDRESS(ROW(),COLUMN()-1,4))="26131603","Rejillas de agua",""))</f>
        <v>Rejillas de agua</v>
      </c>
      <c r="C4532" s="95" t="str">
        <f>IFERROR(VLOOKUP("UD",'Informacion '!P:Q,2,FALSE),"")</f>
        <v>Unidad</v>
      </c>
      <c r="D4532" s="94">
        <v>5</v>
      </c>
      <c r="E4532" s="84">
        <v>870</v>
      </c>
      <c r="F4532" s="83">
        <f t="shared" ca="1" si="198"/>
        <v>4350</v>
      </c>
    </row>
    <row r="4533" spans="1:6" ht="14.1" customHeight="1" x14ac:dyDescent="0.25">
      <c r="A4533" s="94" t="s">
        <v>12689</v>
      </c>
      <c r="B4533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533" s="95" t="str">
        <f>IFERROR(VLOOKUP("UD",'Informacion '!P:Q,2,FALSE),"")</f>
        <v>Unidad</v>
      </c>
      <c r="D4533" s="94">
        <v>8</v>
      </c>
      <c r="E4533" s="84">
        <v>8000</v>
      </c>
      <c r="F4533" s="83">
        <f t="shared" ca="1" si="198"/>
        <v>64000</v>
      </c>
    </row>
    <row r="4534" spans="1:6" ht="14.1" customHeight="1" x14ac:dyDescent="0.25">
      <c r="A4534" s="94" t="s">
        <v>12689</v>
      </c>
      <c r="B4534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534" s="95" t="str">
        <f>IFERROR(VLOOKUP("UD",'Informacion '!P:Q,2,FALSE),"")</f>
        <v>Unidad</v>
      </c>
      <c r="D4534" s="94">
        <v>9</v>
      </c>
      <c r="E4534" s="84">
        <v>7000</v>
      </c>
      <c r="F4534" s="83">
        <f t="shared" ca="1" si="198"/>
        <v>63000</v>
      </c>
    </row>
    <row r="4535" spans="1:6" ht="14.1" customHeight="1" x14ac:dyDescent="0.25">
      <c r="A4535" s="94" t="s">
        <v>12689</v>
      </c>
      <c r="B4535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535" s="95" t="str">
        <f>IFERROR(VLOOKUP("UD",'Informacion '!P:Q,2,FALSE),"")</f>
        <v>Unidad</v>
      </c>
      <c r="D4535" s="94">
        <v>9</v>
      </c>
      <c r="E4535" s="84">
        <v>7000</v>
      </c>
      <c r="F4535" s="83">
        <f t="shared" ca="1" si="198"/>
        <v>63000</v>
      </c>
    </row>
    <row r="4536" spans="1:6" ht="14.1" customHeight="1" x14ac:dyDescent="0.25">
      <c r="A4536" s="94" t="s">
        <v>12689</v>
      </c>
      <c r="B4536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536" s="95" t="str">
        <f>IFERROR(VLOOKUP("UD",'Informacion '!P:Q,2,FALSE),"")</f>
        <v>Unidad</v>
      </c>
      <c r="D4536" s="94">
        <v>2</v>
      </c>
      <c r="E4536" s="84">
        <v>6000</v>
      </c>
      <c r="F4536" s="83">
        <f t="shared" ca="1" si="198"/>
        <v>12000</v>
      </c>
    </row>
    <row r="4537" spans="1:6" ht="14.1" customHeight="1" x14ac:dyDescent="0.25">
      <c r="A4537" s="94" t="s">
        <v>14293</v>
      </c>
      <c r="B4537" s="82" t="str">
        <f ca="1">IFERROR(INDEX(UNSPSCDes,MATCH(INDIRECT(ADDRESS(ROW(),COLUMN()-1,4)),UNSPSCCode,0)),IF(INDIRECT(ADDRESS(ROW(),COLUMN()-1,4))="47121809","Sartenes desengrasantes",""))</f>
        <v>Sartenes desengrasantes</v>
      </c>
      <c r="C4537" s="95" t="str">
        <f>IFERROR(VLOOKUP("UD",'Informacion '!P:Q,2,FALSE),"")</f>
        <v>Unidad</v>
      </c>
      <c r="D4537" s="94">
        <v>30</v>
      </c>
      <c r="E4537" s="84">
        <v>50</v>
      </c>
      <c r="F4537" s="83">
        <f t="shared" ca="1" si="198"/>
        <v>1500</v>
      </c>
    </row>
    <row r="4538" spans="1:6" ht="14.1" customHeight="1" x14ac:dyDescent="0.25">
      <c r="A4538" s="94" t="s">
        <v>14120</v>
      </c>
      <c r="B4538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538" s="95" t="str">
        <f>IFERROR(VLOOKUP("UD",'Informacion '!P:Q,2,FALSE),"")</f>
        <v>Unidad</v>
      </c>
      <c r="D4538" s="94">
        <v>3</v>
      </c>
      <c r="E4538" s="84">
        <v>50000</v>
      </c>
      <c r="F4538" s="83">
        <f t="shared" ca="1" si="198"/>
        <v>150000</v>
      </c>
    </row>
    <row r="4539" spans="1:6" ht="14.1" customHeight="1" x14ac:dyDescent="0.25">
      <c r="A4539" s="94" t="s">
        <v>14120</v>
      </c>
      <c r="B4539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539" s="95" t="str">
        <f>IFERROR(VLOOKUP("UD",'Informacion '!P:Q,2,FALSE),"")</f>
        <v>Unidad</v>
      </c>
      <c r="D4539" s="94">
        <v>3</v>
      </c>
      <c r="E4539" s="84">
        <v>35000</v>
      </c>
      <c r="F4539" s="83">
        <f t="shared" ca="1" si="198"/>
        <v>105000</v>
      </c>
    </row>
    <row r="4540" spans="1:6" ht="14.1" customHeight="1" x14ac:dyDescent="0.25">
      <c r="A4540" s="94" t="s">
        <v>14120</v>
      </c>
      <c r="B4540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540" s="95" t="str">
        <f>IFERROR(VLOOKUP("UD",'Informacion '!P:Q,2,FALSE),"")</f>
        <v>Unidad</v>
      </c>
      <c r="D4540" s="94">
        <v>6</v>
      </c>
      <c r="E4540" s="84">
        <v>10600</v>
      </c>
      <c r="F4540" s="83">
        <f t="shared" ca="1" si="198"/>
        <v>63600</v>
      </c>
    </row>
    <row r="4541" spans="1:6" ht="14.1" customHeight="1" x14ac:dyDescent="0.25">
      <c r="A4541" s="94" t="s">
        <v>12220</v>
      </c>
      <c r="B4541" s="82" t="str">
        <f ca="1">IFERROR(INDEX(UNSPSCDes,MATCH(INDIRECT(ADDRESS(ROW(),COLUMN()-1,4)),UNSPSCCode,0)),IF(INDIRECT(ADDRESS(ROW(),COLUMN()-1,4))="24141705","Tubos plegables",""))</f>
        <v>Tubos plegables</v>
      </c>
      <c r="C4541" s="95" t="str">
        <f>IFERROR(VLOOKUP("UD",'Informacion '!P:Q,2,FALSE),"")</f>
        <v>Unidad</v>
      </c>
      <c r="D4541" s="94">
        <v>15</v>
      </c>
      <c r="E4541" s="84">
        <v>687</v>
      </c>
      <c r="F4541" s="83">
        <f t="shared" ca="1" si="198"/>
        <v>10305</v>
      </c>
    </row>
    <row r="4542" spans="1:6" ht="14.1" customHeight="1" x14ac:dyDescent="0.25">
      <c r="A4542" s="94" t="s">
        <v>12220</v>
      </c>
      <c r="B4542" s="82" t="str">
        <f ca="1">IFERROR(INDEX(UNSPSCDes,MATCH(INDIRECT(ADDRESS(ROW(),COLUMN()-1,4)),UNSPSCCode,0)),IF(INDIRECT(ADDRESS(ROW(),COLUMN()-1,4))="24141705","Tubos plegables",""))</f>
        <v>Tubos plegables</v>
      </c>
      <c r="C4542" s="95" t="str">
        <f>IFERROR(VLOOKUP("UD",'Informacion '!P:Q,2,FALSE),"")</f>
        <v>Unidad</v>
      </c>
      <c r="D4542" s="94">
        <v>40</v>
      </c>
      <c r="E4542" s="84">
        <v>200</v>
      </c>
      <c r="F4542" s="83">
        <f t="shared" ca="1" si="198"/>
        <v>8000</v>
      </c>
    </row>
    <row r="4543" spans="1:6" ht="14.1" customHeight="1" x14ac:dyDescent="0.25">
      <c r="A4543" s="94" t="s">
        <v>13889</v>
      </c>
      <c r="B4543" s="82" t="str">
        <f ca="1">IFERROR(INDEX(UNSPSCDes,MATCH(INDIRECT(ADDRESS(ROW(),COLUMN()-1,4)),UNSPSCCode,0)),IF(INDIRECT(ADDRESS(ROW(),COLUMN()-1,4))="12352310","Siliconas",""))</f>
        <v>Siliconas</v>
      </c>
      <c r="C4543" s="95" t="str">
        <f>IFERROR(VLOOKUP("UD",'Informacion '!P:Q,2,FALSE),"")</f>
        <v>Unidad</v>
      </c>
      <c r="D4543" s="94">
        <v>10</v>
      </c>
      <c r="E4543" s="84">
        <v>180</v>
      </c>
      <c r="F4543" s="83">
        <f t="shared" ca="1" si="198"/>
        <v>1800</v>
      </c>
    </row>
    <row r="4544" spans="1:6" ht="14.1" customHeight="1" x14ac:dyDescent="0.25">
      <c r="A4544" s="94" t="s">
        <v>13889</v>
      </c>
      <c r="B4544" s="82" t="str">
        <f ca="1">IFERROR(INDEX(UNSPSCDes,MATCH(INDIRECT(ADDRESS(ROW(),COLUMN()-1,4)),UNSPSCCode,0)),IF(INDIRECT(ADDRESS(ROW(),COLUMN()-1,4))="12352310","Siliconas",""))</f>
        <v>Siliconas</v>
      </c>
      <c r="C4544" s="95" t="str">
        <f>IFERROR(VLOOKUP("CAJ",'Informacion '!P:Q,2,FALSE),"")</f>
        <v>Caja</v>
      </c>
      <c r="D4544" s="94">
        <v>1</v>
      </c>
      <c r="E4544" s="84">
        <v>2000</v>
      </c>
      <c r="F4544" s="83">
        <f t="shared" ca="1" si="198"/>
        <v>2000</v>
      </c>
    </row>
    <row r="4545" spans="1:6" ht="14.1" customHeight="1" x14ac:dyDescent="0.25">
      <c r="A4545" s="94" t="s">
        <v>15043</v>
      </c>
      <c r="B4545" s="82" t="str">
        <f ca="1">IFERROR(INDEX(UNSPSCDes,MATCH(INDIRECT(ADDRESS(ROW(),COLUMN()-1,4)),UNSPSCCode,0)),IF(INDIRECT(ADDRESS(ROW(),COLUMN()-1,4))="41103706","Baños de agua",""))</f>
        <v>Baños de agua</v>
      </c>
      <c r="C4545" s="95" t="str">
        <f>IFERROR(VLOOKUP("UD",'Informacion '!P:Q,2,FALSE),"")</f>
        <v>Unidad</v>
      </c>
      <c r="D4545" s="94">
        <v>1</v>
      </c>
      <c r="E4545" s="84">
        <v>250000</v>
      </c>
      <c r="F4545" s="83">
        <f t="shared" ca="1" si="198"/>
        <v>250000</v>
      </c>
    </row>
    <row r="4546" spans="1:6" ht="14.1" customHeight="1" x14ac:dyDescent="0.25">
      <c r="A4546" s="94" t="s">
        <v>12615</v>
      </c>
      <c r="B4546" s="82" t="str">
        <f ca="1">IFERROR(INDEX(UNSPSCDes,MATCH(INDIRECT(ADDRESS(ROW(),COLUMN()-1,4)),UNSPSCCode,0)),IF(INDIRECT(ADDRESS(ROW(),COLUMN()-1,4))="31201512","Cinta transparente",""))</f>
        <v>Cinta transparente</v>
      </c>
      <c r="C4546" s="95" t="str">
        <f>IFERROR(VLOOKUP("UD",'Informacion '!P:Q,2,FALSE),"")</f>
        <v>Unidad</v>
      </c>
      <c r="D4546" s="94">
        <v>15</v>
      </c>
      <c r="E4546" s="84">
        <v>270</v>
      </c>
      <c r="F4546" s="83">
        <f t="shared" ca="1" si="198"/>
        <v>4050</v>
      </c>
    </row>
    <row r="4547" spans="1:6" ht="14.1" customHeight="1" x14ac:dyDescent="0.25">
      <c r="A4547" s="94" t="s">
        <v>12615</v>
      </c>
      <c r="B4547" s="82" t="str">
        <f ca="1">IFERROR(INDEX(UNSPSCDes,MATCH(INDIRECT(ADDRESS(ROW(),COLUMN()-1,4)),UNSPSCCode,0)),IF(INDIRECT(ADDRESS(ROW(),COLUMN()-1,4))="31201512","Cinta transparente",""))</f>
        <v>Cinta transparente</v>
      </c>
      <c r="C4547" s="95" t="str">
        <f>IFERROR(VLOOKUP("UD",'Informacion '!P:Q,2,FALSE),"")</f>
        <v>Unidad</v>
      </c>
      <c r="D4547" s="94">
        <v>10</v>
      </c>
      <c r="E4547" s="84">
        <v>330</v>
      </c>
      <c r="F4547" s="83">
        <f t="shared" ca="1" si="198"/>
        <v>3300</v>
      </c>
    </row>
    <row r="4548" spans="1:6" ht="14.1" customHeight="1" x14ac:dyDescent="0.25">
      <c r="A4548" s="94" t="s">
        <v>12220</v>
      </c>
      <c r="B4548" s="82" t="str">
        <f t="shared" ref="B4548:B4553" ca="1" si="199">IFERROR(INDEX(UNSPSCDes,MATCH(INDIRECT(ADDRESS(ROW(),COLUMN()-1,4)),UNSPSCCode,0)),IF(INDIRECT(ADDRESS(ROW(),COLUMN()-1,4))="24141705","Tubos plegables",""))</f>
        <v>Tubos plegables</v>
      </c>
      <c r="C4548" s="95" t="str">
        <f>IFERROR(VLOOKUP("UD",'Informacion '!P:Q,2,FALSE),"")</f>
        <v>Unidad</v>
      </c>
      <c r="D4548" s="94">
        <v>5</v>
      </c>
      <c r="E4548" s="84">
        <v>83</v>
      </c>
      <c r="F4548" s="83">
        <f t="shared" ref="F4548:F4579" ca="1" si="200">INDIRECT(ADDRESS(ROW(),COLUMN()-2,4))*INDIRECT(ADDRESS(ROW(),COLUMN()-1,4))</f>
        <v>415</v>
      </c>
    </row>
    <row r="4549" spans="1:6" ht="14.1" customHeight="1" x14ac:dyDescent="0.25">
      <c r="A4549" s="94" t="s">
        <v>12220</v>
      </c>
      <c r="B4549" s="82" t="str">
        <f t="shared" ca="1" si="199"/>
        <v>Tubos plegables</v>
      </c>
      <c r="C4549" s="95" t="str">
        <f>IFERROR(VLOOKUP("UD",'Informacion '!P:Q,2,FALSE),"")</f>
        <v>Unidad</v>
      </c>
      <c r="D4549" s="94">
        <v>5</v>
      </c>
      <c r="E4549" s="84">
        <v>93</v>
      </c>
      <c r="F4549" s="83">
        <f t="shared" ca="1" si="200"/>
        <v>465</v>
      </c>
    </row>
    <row r="4550" spans="1:6" ht="14.1" customHeight="1" x14ac:dyDescent="0.25">
      <c r="A4550" s="94" t="s">
        <v>12220</v>
      </c>
      <c r="B4550" s="82" t="str">
        <f t="shared" ca="1" si="199"/>
        <v>Tubos plegables</v>
      </c>
      <c r="C4550" s="95" t="str">
        <f>IFERROR(VLOOKUP("UD",'Informacion '!P:Q,2,FALSE),"")</f>
        <v>Unidad</v>
      </c>
      <c r="D4550" s="94">
        <v>5</v>
      </c>
      <c r="E4550" s="84">
        <v>106</v>
      </c>
      <c r="F4550" s="83">
        <f t="shared" ca="1" si="200"/>
        <v>530</v>
      </c>
    </row>
    <row r="4551" spans="1:6" ht="14.1" customHeight="1" x14ac:dyDescent="0.25">
      <c r="A4551" s="94" t="s">
        <v>12220</v>
      </c>
      <c r="B4551" s="82" t="str">
        <f t="shared" ca="1" si="199"/>
        <v>Tubos plegables</v>
      </c>
      <c r="C4551" s="95" t="str">
        <f>IFERROR(VLOOKUP("UD",'Informacion '!P:Q,2,FALSE),"")</f>
        <v>Unidad</v>
      </c>
      <c r="D4551" s="94">
        <v>5</v>
      </c>
      <c r="E4551" s="84">
        <v>146</v>
      </c>
      <c r="F4551" s="83">
        <f t="shared" ca="1" si="200"/>
        <v>730</v>
      </c>
    </row>
    <row r="4552" spans="1:6" ht="14.1" customHeight="1" x14ac:dyDescent="0.25">
      <c r="A4552" s="94" t="s">
        <v>12220</v>
      </c>
      <c r="B4552" s="82" t="str">
        <f t="shared" ca="1" si="199"/>
        <v>Tubos plegables</v>
      </c>
      <c r="C4552" s="95" t="str">
        <f>IFERROR(VLOOKUP("UD",'Informacion '!P:Q,2,FALSE),"")</f>
        <v>Unidad</v>
      </c>
      <c r="D4552" s="94">
        <v>5</v>
      </c>
      <c r="E4552" s="84">
        <v>204</v>
      </c>
      <c r="F4552" s="83">
        <f t="shared" ca="1" si="200"/>
        <v>1020</v>
      </c>
    </row>
    <row r="4553" spans="1:6" ht="14.1" customHeight="1" x14ac:dyDescent="0.25">
      <c r="A4553" s="94" t="s">
        <v>12220</v>
      </c>
      <c r="B4553" s="82" t="str">
        <f t="shared" ca="1" si="199"/>
        <v>Tubos plegables</v>
      </c>
      <c r="C4553" s="95" t="str">
        <f>IFERROR(VLOOKUP("UD",'Informacion '!P:Q,2,FALSE),"")</f>
        <v>Unidad</v>
      </c>
      <c r="D4553" s="94">
        <v>5</v>
      </c>
      <c r="E4553" s="84">
        <v>384</v>
      </c>
      <c r="F4553" s="83">
        <f t="shared" ca="1" si="200"/>
        <v>1920</v>
      </c>
    </row>
    <row r="4554" spans="1:6" ht="14.1" customHeight="1" x14ac:dyDescent="0.25">
      <c r="A4554" s="94" t="s">
        <v>11182</v>
      </c>
      <c r="B4554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4554" s="95" t="str">
        <f>IFERROR(VLOOKUP("UD",'Informacion '!P:Q,2,FALSE),"")</f>
        <v>Unidad</v>
      </c>
      <c r="D4554" s="94">
        <v>2</v>
      </c>
      <c r="E4554" s="84">
        <v>3000</v>
      </c>
      <c r="F4554" s="83">
        <f t="shared" ca="1" si="200"/>
        <v>6000</v>
      </c>
    </row>
    <row r="4555" spans="1:6" ht="14.1" customHeight="1" x14ac:dyDescent="0.25">
      <c r="A4555" s="94" t="s">
        <v>11182</v>
      </c>
      <c r="B4555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4555" s="95" t="str">
        <f>IFERROR(VLOOKUP("UD",'Informacion '!P:Q,2,FALSE),"")</f>
        <v>Unidad</v>
      </c>
      <c r="D4555" s="94">
        <v>5</v>
      </c>
      <c r="E4555" s="84">
        <v>2800</v>
      </c>
      <c r="F4555" s="83">
        <f t="shared" ca="1" si="200"/>
        <v>14000</v>
      </c>
    </row>
    <row r="4556" spans="1:6" ht="14.1" customHeight="1" x14ac:dyDescent="0.25">
      <c r="A4556" s="94" t="s">
        <v>10906</v>
      </c>
      <c r="B4556" s="82" t="str">
        <f ca="1">IFERROR(INDEX(UNSPSCDes,MATCH(INDIRECT(ADDRESS(ROW(),COLUMN()-1,4)),UNSPSCCode,0)),IF(INDIRECT(ADDRESS(ROW(),COLUMN()-1,4))="40142604","Codos de tubo",""))</f>
        <v>Codos de tubo</v>
      </c>
      <c r="C4556" s="95" t="str">
        <f>IFERROR(VLOOKUP("UD",'Informacion '!P:Q,2,FALSE),"")</f>
        <v>Unidad</v>
      </c>
      <c r="D4556" s="94">
        <v>4</v>
      </c>
      <c r="E4556" s="84">
        <v>384</v>
      </c>
      <c r="F4556" s="83">
        <f t="shared" ca="1" si="200"/>
        <v>1536</v>
      </c>
    </row>
    <row r="4557" spans="1:6" ht="14.1" customHeight="1" x14ac:dyDescent="0.25">
      <c r="A4557" s="94" t="s">
        <v>12220</v>
      </c>
      <c r="B4557" s="82" t="str">
        <f ca="1">IFERROR(INDEX(UNSPSCDes,MATCH(INDIRECT(ADDRESS(ROW(),COLUMN()-1,4)),UNSPSCCode,0)),IF(INDIRECT(ADDRESS(ROW(),COLUMN()-1,4))="24141705","Tubos plegables",""))</f>
        <v>Tubos plegables</v>
      </c>
      <c r="C4557" s="95" t="str">
        <f>IFERROR(VLOOKUP("UD",'Informacion '!P:Q,2,FALSE),"")</f>
        <v>Unidad</v>
      </c>
      <c r="D4557" s="94">
        <v>1</v>
      </c>
      <c r="E4557" s="84">
        <v>2200</v>
      </c>
      <c r="F4557" s="83">
        <f t="shared" ca="1" si="200"/>
        <v>2200</v>
      </c>
    </row>
    <row r="4558" spans="1:6" ht="14.1" customHeight="1" x14ac:dyDescent="0.25">
      <c r="A4558" s="94" t="s">
        <v>12220</v>
      </c>
      <c r="B4558" s="82" t="str">
        <f ca="1">IFERROR(INDEX(UNSPSCDes,MATCH(INDIRECT(ADDRESS(ROW(),COLUMN()-1,4)),UNSPSCCode,0)),IF(INDIRECT(ADDRESS(ROW(),COLUMN()-1,4))="24141705","Tubos plegables",""))</f>
        <v>Tubos plegables</v>
      </c>
      <c r="C4558" s="95" t="str">
        <f>IFERROR(VLOOKUP("UD",'Informacion '!P:Q,2,FALSE),"")</f>
        <v>Unidad</v>
      </c>
      <c r="D4558" s="94">
        <v>1</v>
      </c>
      <c r="E4558" s="84">
        <v>2400</v>
      </c>
      <c r="F4558" s="83">
        <f t="shared" ca="1" si="200"/>
        <v>2400</v>
      </c>
    </row>
    <row r="4559" spans="1:6" ht="14.1" customHeight="1" x14ac:dyDescent="0.25">
      <c r="A4559" s="94" t="s">
        <v>12220</v>
      </c>
      <c r="B4559" s="82" t="str">
        <f ca="1">IFERROR(INDEX(UNSPSCDes,MATCH(INDIRECT(ADDRESS(ROW(),COLUMN()-1,4)),UNSPSCCode,0)),IF(INDIRECT(ADDRESS(ROW(),COLUMN()-1,4))="24141705","Tubos plegables",""))</f>
        <v>Tubos plegables</v>
      </c>
      <c r="C4559" s="95" t="str">
        <f>IFERROR(VLOOKUP("UD",'Informacion '!P:Q,2,FALSE),"")</f>
        <v>Unidad</v>
      </c>
      <c r="D4559" s="94">
        <v>1</v>
      </c>
      <c r="E4559" s="84">
        <v>4500</v>
      </c>
      <c r="F4559" s="83">
        <f t="shared" ca="1" si="200"/>
        <v>4500</v>
      </c>
    </row>
    <row r="4560" spans="1:6" ht="14.1" customHeight="1" x14ac:dyDescent="0.25">
      <c r="A4560" s="94" t="s">
        <v>8594</v>
      </c>
      <c r="B4560" s="82" t="str">
        <f ca="1">IFERROR(INDEX(UNSPSCDes,MATCH(INDIRECT(ADDRESS(ROW(),COLUMN()-1,4)),UNSPSCCode,0)),IF(INDIRECT(ADDRESS(ROW(),COLUMN()-1,4))="41112209","Termostatos",""))</f>
        <v>Termostatos</v>
      </c>
      <c r="C4560" s="95" t="str">
        <f>IFERROR(VLOOKUP("UD",'Informacion '!P:Q,2,FALSE),"")</f>
        <v>Unidad</v>
      </c>
      <c r="D4560" s="94">
        <v>1</v>
      </c>
      <c r="E4560" s="84">
        <v>3200</v>
      </c>
      <c r="F4560" s="83">
        <f t="shared" ca="1" si="200"/>
        <v>3200</v>
      </c>
    </row>
    <row r="4561" spans="1:6" ht="14.1" customHeight="1" x14ac:dyDescent="0.25">
      <c r="A4561" s="94" t="s">
        <v>14429</v>
      </c>
      <c r="B4561" s="82" t="str">
        <f ca="1">IFERROR(INDEX(UNSPSCDes,MATCH(INDIRECT(ADDRESS(ROW(),COLUMN()-1,4)),UNSPSCCode,0)),IF(INDIRECT(ADDRESS(ROW(),COLUMN()-1,4))="27112014","Cortadora de pasto",""))</f>
        <v>Cortadora de pasto</v>
      </c>
      <c r="C4561" s="95" t="str">
        <f>IFERROR(VLOOKUP("UD",'Informacion '!P:Q,2,FALSE),"")</f>
        <v>Unidad</v>
      </c>
      <c r="D4561" s="94">
        <v>4</v>
      </c>
      <c r="E4561" s="84">
        <v>470</v>
      </c>
      <c r="F4561" s="83">
        <f t="shared" ca="1" si="200"/>
        <v>1880</v>
      </c>
    </row>
    <row r="4562" spans="1:6" ht="14.1" customHeight="1" x14ac:dyDescent="0.25">
      <c r="A4562" s="94" t="s">
        <v>15860</v>
      </c>
      <c r="B4562" s="82" t="str">
        <f ca="1">IFERROR(INDEX(UNSPSCDes,MATCH(INDIRECT(ADDRESS(ROW(),COLUMN()-1,4)),UNSPSCCode,0)),IF(INDIRECT(ADDRESS(ROW(),COLUMN()-1,4))="27111704","Enchufes",""))</f>
        <v>Enchufes</v>
      </c>
      <c r="C4562" s="95" t="str">
        <f>IFERROR(VLOOKUP("UD",'Informacion '!P:Q,2,FALSE),"")</f>
        <v>Unidad</v>
      </c>
      <c r="D4562" s="94">
        <v>50</v>
      </c>
      <c r="E4562" s="84">
        <v>102</v>
      </c>
      <c r="F4562" s="83">
        <f t="shared" ca="1" si="200"/>
        <v>5100</v>
      </c>
    </row>
    <row r="4563" spans="1:6" ht="14.1" customHeight="1" x14ac:dyDescent="0.25">
      <c r="A4563" s="94" t="s">
        <v>15860</v>
      </c>
      <c r="B4563" s="82" t="str">
        <f ca="1">IFERROR(INDEX(UNSPSCDes,MATCH(INDIRECT(ADDRESS(ROW(),COLUMN()-1,4)),UNSPSCCode,0)),IF(INDIRECT(ADDRESS(ROW(),COLUMN()-1,4))="27111704","Enchufes",""))</f>
        <v>Enchufes</v>
      </c>
      <c r="C4563" s="95" t="str">
        <f>IFERROR(VLOOKUP("UD",'Informacion '!P:Q,2,FALSE),"")</f>
        <v>Unidad</v>
      </c>
      <c r="D4563" s="94">
        <v>50</v>
      </c>
      <c r="E4563" s="84">
        <v>276</v>
      </c>
      <c r="F4563" s="83">
        <f t="shared" ca="1" si="200"/>
        <v>13800</v>
      </c>
    </row>
    <row r="4564" spans="1:6" ht="14.1" customHeight="1" x14ac:dyDescent="0.25">
      <c r="A4564" s="94" t="s">
        <v>12220</v>
      </c>
      <c r="B4564" s="82" t="str">
        <f ca="1">IFERROR(INDEX(UNSPSCDes,MATCH(INDIRECT(ADDRESS(ROW(),COLUMN()-1,4)),UNSPSCCode,0)),IF(INDIRECT(ADDRESS(ROW(),COLUMN()-1,4))="24141705","Tubos plegables",""))</f>
        <v>Tubos plegables</v>
      </c>
      <c r="C4564" s="95" t="str">
        <f>IFERROR(VLOOKUP("UD",'Informacion '!P:Q,2,FALSE),"")</f>
        <v>Unidad</v>
      </c>
      <c r="D4564" s="94">
        <v>10</v>
      </c>
      <c r="E4564" s="84">
        <v>150</v>
      </c>
      <c r="F4564" s="83">
        <f t="shared" ca="1" si="200"/>
        <v>1500</v>
      </c>
    </row>
    <row r="4565" spans="1:6" ht="14.1" customHeight="1" x14ac:dyDescent="0.25">
      <c r="A4565" s="94" t="s">
        <v>640</v>
      </c>
      <c r="B4565" s="82" t="str">
        <f ca="1">IFERROR(INDEX(UNSPSCDes,MATCH(INDIRECT(ADDRESS(ROW(),COLUMN()-1,4)),UNSPSCCode,0)),IF(INDIRECT(ADDRESS(ROW(),COLUMN()-1,4))="40142102","Tubería de hierro dúctil",""))</f>
        <v>Tubería de hierro dúctil</v>
      </c>
      <c r="C4565" s="95" t="str">
        <f>IFERROR(VLOOKUP("UD",'Informacion '!P:Q,2,FALSE),"")</f>
        <v>Unidad</v>
      </c>
      <c r="D4565" s="94">
        <v>5</v>
      </c>
      <c r="E4565" s="84">
        <v>484</v>
      </c>
      <c r="F4565" s="83">
        <f t="shared" ca="1" si="200"/>
        <v>2420</v>
      </c>
    </row>
    <row r="4566" spans="1:6" ht="14.1" customHeight="1" x14ac:dyDescent="0.25">
      <c r="A4566" s="94" t="s">
        <v>16872</v>
      </c>
      <c r="B4566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566" s="95" t="str">
        <f>IFERROR(VLOOKUP("UD",'Informacion '!P:Q,2,FALSE),"")</f>
        <v>Unidad</v>
      </c>
      <c r="D4566" s="94">
        <v>40</v>
      </c>
      <c r="E4566" s="84">
        <v>260</v>
      </c>
      <c r="F4566" s="83">
        <f t="shared" ca="1" si="200"/>
        <v>10400</v>
      </c>
    </row>
    <row r="4567" spans="1:6" ht="14.1" customHeight="1" x14ac:dyDescent="0.25">
      <c r="A4567" s="94" t="s">
        <v>16872</v>
      </c>
      <c r="B4567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567" s="95" t="str">
        <f>IFERROR(VLOOKUP("UD",'Informacion '!P:Q,2,FALSE),"")</f>
        <v>Unidad</v>
      </c>
      <c r="D4567" s="94">
        <v>40</v>
      </c>
      <c r="E4567" s="84">
        <v>260</v>
      </c>
      <c r="F4567" s="83">
        <f t="shared" ca="1" si="200"/>
        <v>10400</v>
      </c>
    </row>
    <row r="4568" spans="1:6" ht="14.1" customHeight="1" x14ac:dyDescent="0.25">
      <c r="A4568" s="94" t="s">
        <v>16872</v>
      </c>
      <c r="B4568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568" s="95" t="str">
        <f>IFERROR(VLOOKUP("UD",'Informacion '!P:Q,2,FALSE),"")</f>
        <v>Unidad</v>
      </c>
      <c r="D4568" s="94">
        <v>50</v>
      </c>
      <c r="E4568" s="84">
        <v>300</v>
      </c>
      <c r="F4568" s="83">
        <f t="shared" ca="1" si="200"/>
        <v>15000</v>
      </c>
    </row>
    <row r="4569" spans="1:6" ht="14.1" customHeight="1" x14ac:dyDescent="0.25">
      <c r="A4569" s="94" t="s">
        <v>16872</v>
      </c>
      <c r="B4569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569" s="95" t="str">
        <f>IFERROR(VLOOKUP("UD",'Informacion '!P:Q,2,FALSE),"")</f>
        <v>Unidad</v>
      </c>
      <c r="D4569" s="94">
        <v>50</v>
      </c>
      <c r="E4569" s="84">
        <v>300</v>
      </c>
      <c r="F4569" s="83">
        <f t="shared" ca="1" si="200"/>
        <v>15000</v>
      </c>
    </row>
    <row r="4570" spans="1:6" ht="14.1" customHeight="1" x14ac:dyDescent="0.25">
      <c r="A4570" s="94" t="s">
        <v>11215</v>
      </c>
      <c r="B4570" s="82" t="str">
        <f t="shared" ref="B4570:B4576" ca="1" si="201">IFERROR(INDEX(UNSPSCDes,MATCH(INDIRECT(ADDRESS(ROW(),COLUMN()-1,4)),UNSPSCCode,0)),IF(INDIRECT(ADDRESS(ROW(),COLUMN()-1,4))="27111701","Destornilladores",""))</f>
        <v>Destornilladores</v>
      </c>
      <c r="C4570" s="95" t="str">
        <f>IFERROR(VLOOKUP("UD",'Informacion '!P:Q,2,FALSE),"")</f>
        <v>Unidad</v>
      </c>
      <c r="D4570" s="94">
        <v>5</v>
      </c>
      <c r="E4570" s="84">
        <v>120</v>
      </c>
      <c r="F4570" s="83">
        <f t="shared" ca="1" si="200"/>
        <v>600</v>
      </c>
    </row>
    <row r="4571" spans="1:6" ht="14.1" customHeight="1" x14ac:dyDescent="0.25">
      <c r="A4571" s="94" t="s">
        <v>11215</v>
      </c>
      <c r="B4571" s="82" t="str">
        <f t="shared" ca="1" si="201"/>
        <v>Destornilladores</v>
      </c>
      <c r="C4571" s="95" t="str">
        <f>IFERROR(VLOOKUP("UD",'Informacion '!P:Q,2,FALSE),"")</f>
        <v>Unidad</v>
      </c>
      <c r="D4571" s="94">
        <v>5</v>
      </c>
      <c r="E4571" s="84">
        <v>120</v>
      </c>
      <c r="F4571" s="83">
        <f t="shared" ca="1" si="200"/>
        <v>600</v>
      </c>
    </row>
    <row r="4572" spans="1:6" ht="14.1" customHeight="1" x14ac:dyDescent="0.25">
      <c r="A4572" s="94" t="s">
        <v>11215</v>
      </c>
      <c r="B4572" s="82" t="str">
        <f t="shared" ca="1" si="201"/>
        <v>Destornilladores</v>
      </c>
      <c r="C4572" s="95" t="str">
        <f>IFERROR(VLOOKUP("UD",'Informacion '!P:Q,2,FALSE),"")</f>
        <v>Unidad</v>
      </c>
      <c r="D4572" s="94">
        <v>5</v>
      </c>
      <c r="E4572" s="84">
        <v>320</v>
      </c>
      <c r="F4572" s="83">
        <f t="shared" ca="1" si="200"/>
        <v>1600</v>
      </c>
    </row>
    <row r="4573" spans="1:6" ht="14.1" customHeight="1" x14ac:dyDescent="0.25">
      <c r="A4573" s="94" t="s">
        <v>11215</v>
      </c>
      <c r="B4573" s="82" t="str">
        <f t="shared" ca="1" si="201"/>
        <v>Destornilladores</v>
      </c>
      <c r="C4573" s="95" t="str">
        <f>IFERROR(VLOOKUP("UD",'Informacion '!P:Q,2,FALSE),"")</f>
        <v>Unidad</v>
      </c>
      <c r="D4573" s="94">
        <v>5</v>
      </c>
      <c r="E4573" s="84">
        <v>700</v>
      </c>
      <c r="F4573" s="83">
        <f t="shared" ca="1" si="200"/>
        <v>3500</v>
      </c>
    </row>
    <row r="4574" spans="1:6" ht="14.1" customHeight="1" x14ac:dyDescent="0.25">
      <c r="A4574" s="94" t="s">
        <v>11215</v>
      </c>
      <c r="B4574" s="82" t="str">
        <f t="shared" ca="1" si="201"/>
        <v>Destornilladores</v>
      </c>
      <c r="C4574" s="95" t="str">
        <f>IFERROR(VLOOKUP("UD",'Informacion '!P:Q,2,FALSE),"")</f>
        <v>Unidad</v>
      </c>
      <c r="D4574" s="94">
        <v>2</v>
      </c>
      <c r="E4574" s="84">
        <v>1800</v>
      </c>
      <c r="F4574" s="83">
        <f t="shared" ca="1" si="200"/>
        <v>3600</v>
      </c>
    </row>
    <row r="4575" spans="1:6" ht="14.1" customHeight="1" x14ac:dyDescent="0.25">
      <c r="A4575" s="94" t="s">
        <v>11215</v>
      </c>
      <c r="B4575" s="82" t="str">
        <f t="shared" ca="1" si="201"/>
        <v>Destornilladores</v>
      </c>
      <c r="C4575" s="95" t="str">
        <f>IFERROR(VLOOKUP("UD",'Informacion '!P:Q,2,FALSE),"")</f>
        <v>Unidad</v>
      </c>
      <c r="D4575" s="94">
        <v>2</v>
      </c>
      <c r="E4575" s="84">
        <v>2100</v>
      </c>
      <c r="F4575" s="83">
        <f t="shared" ca="1" si="200"/>
        <v>4200</v>
      </c>
    </row>
    <row r="4576" spans="1:6" ht="14.1" customHeight="1" x14ac:dyDescent="0.25">
      <c r="A4576" s="94" t="s">
        <v>11215</v>
      </c>
      <c r="B4576" s="82" t="str">
        <f t="shared" ca="1" si="201"/>
        <v>Destornilladores</v>
      </c>
      <c r="C4576" s="95" t="str">
        <f>IFERROR(VLOOKUP("UD",'Informacion '!P:Q,2,FALSE),"")</f>
        <v>Unidad</v>
      </c>
      <c r="D4576" s="94">
        <v>2</v>
      </c>
      <c r="E4576" s="84">
        <v>2144</v>
      </c>
      <c r="F4576" s="83">
        <f t="shared" ca="1" si="200"/>
        <v>4288</v>
      </c>
    </row>
    <row r="4577" spans="1:10" ht="14.1" customHeight="1" x14ac:dyDescent="0.25">
      <c r="A4577" s="94" t="s">
        <v>7402</v>
      </c>
      <c r="B4577" s="82" t="str">
        <f ca="1">IFERROR(INDEX(UNSPSCDes,MATCH(INDIRECT(ADDRESS(ROW(),COLUMN()-1,4)),UNSPSCCode,0)),IF(INDIRECT(ADDRESS(ROW(),COLUMN()-1,4))="27112125","Alicates de punta redonda",""))</f>
        <v>Alicates de punta redonda</v>
      </c>
      <c r="C4577" s="95" t="str">
        <f>IFERROR(VLOOKUP("UD",'Informacion '!P:Q,2,FALSE),"")</f>
        <v>Unidad</v>
      </c>
      <c r="D4577" s="94">
        <v>5</v>
      </c>
      <c r="E4577" s="84">
        <v>400</v>
      </c>
      <c r="F4577" s="83">
        <f t="shared" ca="1" si="200"/>
        <v>2000</v>
      </c>
    </row>
    <row r="4578" spans="1:10" ht="14.1" customHeight="1" x14ac:dyDescent="0.25">
      <c r="A4578" s="94" t="s">
        <v>2524</v>
      </c>
      <c r="B4578" s="82" t="str">
        <f ca="1">IFERROR(INDEX(UNSPSCDes,MATCH(INDIRECT(ADDRESS(ROW(),COLUMN()-1,4)),UNSPSCCode,0)),IF(INDIRECT(ADDRESS(ROW(),COLUMN()-1,4))="41103311","Manómetros",""))</f>
        <v>Manómetros</v>
      </c>
      <c r="C4578" s="95" t="str">
        <f>IFERROR(VLOOKUP("UD",'Informacion '!P:Q,2,FALSE),"")</f>
        <v>Unidad</v>
      </c>
      <c r="D4578" s="94">
        <v>2</v>
      </c>
      <c r="E4578" s="84">
        <v>1350</v>
      </c>
      <c r="F4578" s="83">
        <f t="shared" ca="1" si="200"/>
        <v>2700</v>
      </c>
    </row>
    <row r="4579" spans="1:10" ht="14.1" customHeight="1" x14ac:dyDescent="0.25">
      <c r="A4579" s="94" t="s">
        <v>8565</v>
      </c>
      <c r="B4579" s="82" t="str">
        <f ca="1">IFERROR(INDEX(UNSPSCDes,MATCH(INDIRECT(ADDRESS(ROW(),COLUMN()-1,4)),UNSPSCCode,0)),IF(INDIRECT(ADDRESS(ROW(),COLUMN()-1,4))="47131821","Compuestos desengrasantes",""))</f>
        <v>Compuestos desengrasantes</v>
      </c>
      <c r="C4579" s="95" t="str">
        <f>IFERROR(VLOOKUP("GAL",'Informacion '!P:Q,2,FALSE),"")</f>
        <v>Galón</v>
      </c>
      <c r="D4579" s="94">
        <v>12</v>
      </c>
      <c r="E4579" s="84">
        <v>250</v>
      </c>
      <c r="F4579" s="83">
        <f t="shared" ca="1" si="200"/>
        <v>3000</v>
      </c>
    </row>
    <row r="4580" spans="1:10" ht="14.1" customHeight="1" x14ac:dyDescent="0.25">
      <c r="A4580" s="94" t="s">
        <v>17393</v>
      </c>
      <c r="B4580" s="82" t="str">
        <f ca="1">IFERROR(INDEX(UNSPSCDes,MATCH(INDIRECT(ADDRESS(ROW(),COLUMN()-1,4)),UNSPSCCode,0)),IF(INDIRECT(ADDRESS(ROW(),COLUMN()-1,4))="26101743","Válvulas de motor",""))</f>
        <v>Válvulas de motor</v>
      </c>
      <c r="C4580" s="95" t="str">
        <f>IFERROR(VLOOKUP("UD",'Informacion '!P:Q,2,FALSE),"")</f>
        <v>Unidad</v>
      </c>
      <c r="D4580" s="94">
        <v>5</v>
      </c>
      <c r="E4580" s="84">
        <v>5000</v>
      </c>
      <c r="F4580" s="83">
        <f t="shared" ref="F4580:F4585" ca="1" si="202">INDIRECT(ADDRESS(ROW(),COLUMN()-2,4))*INDIRECT(ADDRESS(ROW(),COLUMN()-1,4))</f>
        <v>25000</v>
      </c>
    </row>
    <row r="4581" spans="1:10" ht="14.1" customHeight="1" x14ac:dyDescent="0.25">
      <c r="A4581" s="94" t="s">
        <v>9037</v>
      </c>
      <c r="B4581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4581" s="95" t="str">
        <f>IFERROR(VLOOKUP("UD",'Informacion '!P:Q,2,FALSE),"")</f>
        <v>Unidad</v>
      </c>
      <c r="D4581" s="94">
        <v>1</v>
      </c>
      <c r="E4581" s="84">
        <v>56000</v>
      </c>
      <c r="F4581" s="83">
        <f t="shared" ca="1" si="202"/>
        <v>56000</v>
      </c>
    </row>
    <row r="4582" spans="1:10" ht="14.1" customHeight="1" x14ac:dyDescent="0.25">
      <c r="A4582" s="94" t="s">
        <v>2062</v>
      </c>
      <c r="B4582" s="82" t="str">
        <f ca="1">IFERROR(INDEX(UNSPSCDes,MATCH(INDIRECT(ADDRESS(ROW(),COLUMN()-1,4)),UNSPSCCode,0)),IF(INDIRECT(ADDRESS(ROW(),COLUMN()-1,4))="31162702","Ruedas",""))</f>
        <v>Ruedas</v>
      </c>
      <c r="C4582" s="95" t="str">
        <f>IFERROR(VLOOKUP("UD",'Informacion '!P:Q,2,FALSE),"")</f>
        <v>Unidad</v>
      </c>
      <c r="D4582" s="94">
        <v>4</v>
      </c>
      <c r="E4582" s="84">
        <v>2500</v>
      </c>
      <c r="F4582" s="83">
        <f t="shared" ca="1" si="202"/>
        <v>10000</v>
      </c>
    </row>
    <row r="4583" spans="1:10" ht="14.1" customHeight="1" x14ac:dyDescent="0.25">
      <c r="A4583" s="94" t="s">
        <v>9458</v>
      </c>
      <c r="B4583" s="82" t="str">
        <f ca="1">IFERROR(INDEX(UNSPSCDes,MATCH(INDIRECT(ADDRESS(ROW(),COLUMN()-1,4)),UNSPSCCode,0)),IF(INDIRECT(ADDRESS(ROW(),COLUMN()-1,4))="72102302","Instalación, reparación o mantenimiento de sistemas de calefacción",""))</f>
        <v>Instalación, reparación o mantenimiento de sistemas de calefacción</v>
      </c>
      <c r="C4583" s="95" t="str">
        <f>IFERROR(VLOOKUP("UD",'Informacion '!P:Q,2,FALSE),"")</f>
        <v>Unidad</v>
      </c>
      <c r="D4583" s="94">
        <v>8</v>
      </c>
      <c r="E4583" s="84">
        <v>40000</v>
      </c>
      <c r="F4583" s="83">
        <f t="shared" ca="1" si="202"/>
        <v>320000</v>
      </c>
    </row>
    <row r="4584" spans="1:10" ht="14.1" customHeight="1" x14ac:dyDescent="0.25">
      <c r="A4584" s="94" t="s">
        <v>9248</v>
      </c>
      <c r="B4584" s="82" t="str">
        <f ca="1">IFERROR(INDEX(UNSPSCDes,MATCH(INDIRECT(ADDRESS(ROW(),COLUMN()-1,4)),UNSPSCCode,0)),IF(INDIRECT(ADDRESS(ROW(),COLUMN()-1,4))="42141805","Estimuladores o kits neuromusculares",""))</f>
        <v>Estimuladores o kits neuromusculares</v>
      </c>
      <c r="C4584" s="95" t="str">
        <f>IFERROR(VLOOKUP("UD",'Informacion '!P:Q,2,FALSE),"")</f>
        <v>Unidad</v>
      </c>
      <c r="D4584" s="94">
        <v>1</v>
      </c>
      <c r="E4584" s="84">
        <v>400000</v>
      </c>
      <c r="F4584" s="83">
        <f t="shared" ca="1" si="202"/>
        <v>400000</v>
      </c>
    </row>
    <row r="4585" spans="1:10" ht="14.1" customHeight="1" x14ac:dyDescent="0.25">
      <c r="A4585" s="94" t="s">
        <v>15989</v>
      </c>
      <c r="B4585" s="82" t="str">
        <f ca="1">IFERROR(INDEX(UNSPSCDes,MATCH(INDIRECT(ADDRESS(ROW(),COLUMN()-1,4)),UNSPSCCode,0)),IF(INDIRECT(ADDRESS(ROW(),COLUMN()-1,4))="42272504","Sets o kits de anestesia",""))</f>
        <v>Sets o kits de anestesia</v>
      </c>
      <c r="C4585" s="95" t="str">
        <f>IFERROR(VLOOKUP("UD",'Informacion '!P:Q,2,FALSE),"")</f>
        <v>Unidad</v>
      </c>
      <c r="D4585" s="94">
        <v>6</v>
      </c>
      <c r="E4585" s="84">
        <v>431000</v>
      </c>
      <c r="F4585" s="83">
        <f t="shared" ca="1" si="202"/>
        <v>2586000</v>
      </c>
    </row>
    <row r="4586" spans="1:10" ht="14.1" customHeight="1" x14ac:dyDescent="0.25">
      <c r="E4586" s="96" t="s">
        <v>7213</v>
      </c>
      <c r="F4586" s="87">
        <f ca="1">SUM(Table123[MONTO TOTAL ESTIMADO])</f>
        <v>17070981.199999999</v>
      </c>
      <c r="H4586" s="39" t="str">
        <f>C4413</f>
        <v>Bienes</v>
      </c>
      <c r="I4586" s="39" t="str">
        <f>E4413</f>
        <v>No</v>
      </c>
      <c r="J4586" s="39" t="str">
        <f>D4413</f>
        <v>Compras Menores</v>
      </c>
    </row>
    <row r="4588" spans="1:10" ht="33.950000000000003" customHeight="1" x14ac:dyDescent="0.25">
      <c r="A4588" s="77" t="s">
        <v>17233</v>
      </c>
      <c r="B4588" s="77" t="s">
        <v>4237</v>
      </c>
      <c r="C4588" s="77" t="s">
        <v>4743</v>
      </c>
      <c r="D4588" s="77" t="s">
        <v>9891</v>
      </c>
      <c r="E4588" s="77" t="s">
        <v>3089</v>
      </c>
      <c r="F4588" s="77" t="s">
        <v>18141</v>
      </c>
    </row>
    <row r="4589" spans="1:10" ht="14.1" customHeight="1" x14ac:dyDescent="0.25">
      <c r="A4589" s="79" t="s">
        <v>18176</v>
      </c>
      <c r="B4589" s="79" t="s">
        <v>10353</v>
      </c>
      <c r="C4589" s="79" t="s">
        <v>17215</v>
      </c>
      <c r="D4589" s="79" t="s">
        <v>17798</v>
      </c>
      <c r="E4589" s="79" t="s">
        <v>18247</v>
      </c>
      <c r="F4589" s="79"/>
    </row>
    <row r="4590" spans="1:10" ht="14.1" customHeight="1" x14ac:dyDescent="0.25">
      <c r="A4590" s="2" t="s">
        <v>6643</v>
      </c>
      <c r="B4590" s="80" t="s">
        <v>1046</v>
      </c>
      <c r="C4590" s="90">
        <v>43739</v>
      </c>
      <c r="D4590" s="2" t="s">
        <v>59</v>
      </c>
      <c r="E4590" s="92" t="s">
        <v>20066</v>
      </c>
      <c r="F4590" s="93"/>
    </row>
    <row r="4591" spans="1:10" ht="14.1" customHeight="1" x14ac:dyDescent="0.25">
      <c r="A4591" s="1"/>
      <c r="B4591" s="80" t="s">
        <v>10788</v>
      </c>
      <c r="C4591" s="91">
        <f>IF(C4590="","",IF(AND(MONTH(C4590)&gt;=1,MONTH(C4590)&lt;=3),1,IF(AND(MONTH(C4590)&gt;=4,MONTH(C4590)&lt;=6),2,IF(AND(MONTH(C4590)&gt;=7,MONTH(C4590)&lt;=9),3,4))))</f>
        <v>4</v>
      </c>
      <c r="D4591" s="1"/>
      <c r="E4591" s="92" t="s">
        <v>14822</v>
      </c>
      <c r="F4591" s="93"/>
    </row>
    <row r="4592" spans="1:10" ht="14.1" customHeight="1" x14ac:dyDescent="0.25">
      <c r="A4592" s="1"/>
      <c r="B4592" s="80" t="s">
        <v>13758</v>
      </c>
      <c r="C4592" s="90">
        <v>43830</v>
      </c>
      <c r="D4592" s="1"/>
      <c r="E4592" s="92" t="s">
        <v>18636</v>
      </c>
      <c r="F4592" s="93"/>
    </row>
    <row r="4593" spans="1:6" ht="14.1" customHeight="1" x14ac:dyDescent="0.25">
      <c r="A4593" s="1"/>
      <c r="B4593" s="80" t="s">
        <v>10788</v>
      </c>
      <c r="C4593" s="91">
        <f>IF(C4592="","",IF(AND(MONTH(C4592)&gt;=1,MONTH(C4592)&lt;=3),1,IF(AND(MONTH(C4592)&gt;=4,MONTH(C4592)&lt;=6),2,IF(AND(MONTH(C4592)&gt;=7,MONTH(C4592)&lt;=9),3,4))))</f>
        <v>4</v>
      </c>
      <c r="D4593" s="1"/>
      <c r="E4593" s="92" t="s">
        <v>15990</v>
      </c>
      <c r="F4593" s="93"/>
    </row>
    <row r="4595" spans="1:6" ht="14.1" customHeight="1" x14ac:dyDescent="0.25">
      <c r="A4595" s="85" t="s">
        <v>15474</v>
      </c>
      <c r="B4595" s="85" t="s">
        <v>5027</v>
      </c>
      <c r="C4595" s="85" t="s">
        <v>17461</v>
      </c>
      <c r="D4595" s="85" t="s">
        <v>3935</v>
      </c>
      <c r="E4595" s="85" t="s">
        <v>10722</v>
      </c>
      <c r="F4595" s="85" t="s">
        <v>18237</v>
      </c>
    </row>
    <row r="4596" spans="1:6" ht="14.1" customHeight="1" x14ac:dyDescent="0.25">
      <c r="A4596" s="94" t="s">
        <v>10966</v>
      </c>
      <c r="B4596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596" s="95" t="str">
        <f>IFERROR(VLOOKUP("UD",'Informacion '!P:Q,2,FALSE),"")</f>
        <v>Unidad</v>
      </c>
      <c r="D4596" s="94">
        <v>1</v>
      </c>
      <c r="E4596" s="84">
        <v>30000</v>
      </c>
      <c r="F4596" s="83">
        <f t="shared" ref="F4596:F4627" ca="1" si="203">INDIRECT(ADDRESS(ROW(),COLUMN()-2,4))*INDIRECT(ADDRESS(ROW(),COLUMN()-1,4))</f>
        <v>30000</v>
      </c>
    </row>
    <row r="4597" spans="1:6" ht="14.1" customHeight="1" x14ac:dyDescent="0.25">
      <c r="A4597" s="94" t="s">
        <v>10966</v>
      </c>
      <c r="B4597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597" s="95" t="str">
        <f>IFERROR(VLOOKUP("UD",'Informacion '!P:Q,2,FALSE),"")</f>
        <v>Unidad</v>
      </c>
      <c r="D4597" s="94">
        <v>2</v>
      </c>
      <c r="E4597" s="84">
        <v>30000</v>
      </c>
      <c r="F4597" s="83">
        <f t="shared" ca="1" si="203"/>
        <v>60000</v>
      </c>
    </row>
    <row r="4598" spans="1:6" ht="14.1" customHeight="1" x14ac:dyDescent="0.25">
      <c r="A4598" s="94" t="s">
        <v>10966</v>
      </c>
      <c r="B4598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598" s="95" t="str">
        <f>IFERROR(VLOOKUP("UD",'Informacion '!P:Q,2,FALSE),"")</f>
        <v>Unidad</v>
      </c>
      <c r="D4598" s="94">
        <v>3</v>
      </c>
      <c r="E4598" s="84">
        <v>30000</v>
      </c>
      <c r="F4598" s="83">
        <f t="shared" ca="1" si="203"/>
        <v>90000</v>
      </c>
    </row>
    <row r="4599" spans="1:6" ht="14.1" customHeight="1" x14ac:dyDescent="0.25">
      <c r="A4599" s="94" t="s">
        <v>10966</v>
      </c>
      <c r="B4599" s="82" t="str">
        <f ca="1">IFERROR(INDEX(UNSPSCDes,MATCH(INDIRECT(ADDRESS(ROW(),COLUMN()-1,4)),UNSPSCCode,0)),IF(INDIRECT(ADDRESS(ROW(),COLUMN()-1,4))="85121605","Servicios de gastroenterólogos",""))</f>
        <v>Servicios de gastroenterólogos</v>
      </c>
      <c r="C4599" s="95" t="str">
        <f>IFERROR(VLOOKUP("UD",'Informacion '!P:Q,2,FALSE),"")</f>
        <v>Unidad</v>
      </c>
      <c r="D4599" s="94">
        <v>2</v>
      </c>
      <c r="E4599" s="84">
        <v>30000</v>
      </c>
      <c r="F4599" s="83">
        <f t="shared" ca="1" si="203"/>
        <v>60000</v>
      </c>
    </row>
    <row r="4600" spans="1:6" ht="14.1" customHeight="1" x14ac:dyDescent="0.25">
      <c r="A4600" s="94" t="s">
        <v>11415</v>
      </c>
      <c r="B4600" s="82" t="str">
        <f ca="1">IFERROR(INDEX(UNSPSCDes,MATCH(INDIRECT(ADDRESS(ROW(),COLUMN()-1,4)),UNSPSCCode,0)),IF(INDIRECT(ADDRESS(ROW(),COLUMN()-1,4))="42201803","Equipos de rayos x para mamografías",""))</f>
        <v>Equipos de rayos x para mamografías</v>
      </c>
      <c r="C4600" s="95" t="str">
        <f>IFERROR(VLOOKUP("UD",'Informacion '!P:Q,2,FALSE),"")</f>
        <v>Unidad</v>
      </c>
      <c r="D4600" s="94">
        <v>2</v>
      </c>
      <c r="E4600" s="84">
        <v>25000</v>
      </c>
      <c r="F4600" s="83">
        <f t="shared" ca="1" si="203"/>
        <v>50000</v>
      </c>
    </row>
    <row r="4601" spans="1:6" ht="14.1" customHeight="1" x14ac:dyDescent="0.25">
      <c r="A4601" s="94" t="s">
        <v>1639</v>
      </c>
      <c r="B4601" s="82" t="str">
        <f ca="1">IFERROR(INDEX(UNSPSCDes,MATCH(INDIRECT(ADDRESS(ROW(),COLUMN()-1,4)),UNSPSCCode,0)),IF(INDIRECT(ADDRESS(ROW(),COLUMN()-1,4))="85121808","Servicios de laboratorios de rayos x",""))</f>
        <v>Servicios de laboratorios de rayos x</v>
      </c>
      <c r="C4601" s="95" t="str">
        <f>IFERROR(VLOOKUP("UD",'Informacion '!P:Q,2,FALSE),"")</f>
        <v>Unidad</v>
      </c>
      <c r="D4601" s="94">
        <v>2</v>
      </c>
      <c r="E4601" s="84">
        <v>27000</v>
      </c>
      <c r="F4601" s="83">
        <f t="shared" ca="1" si="203"/>
        <v>54000</v>
      </c>
    </row>
    <row r="4602" spans="1:6" ht="14.1" customHeight="1" x14ac:dyDescent="0.25">
      <c r="A4602" s="94" t="s">
        <v>1214</v>
      </c>
      <c r="B4602" s="82" t="str">
        <f ca="1">IFERROR(INDEX(UNSPSCDes,MATCH(INDIRECT(ADDRESS(ROW(),COLUMN()-1,4)),UNSPSCCode,0)),IF(INDIRECT(ADDRESS(ROW(),COLUMN()-1,4))="42202001","Cámaras gamma de uso general para uso médico",""))</f>
        <v>Cámaras gamma de uso general para uso médico</v>
      </c>
      <c r="C4602" s="95" t="str">
        <f>IFERROR(VLOOKUP("UD",'Informacion '!P:Q,2,FALSE),"")</f>
        <v>Unidad</v>
      </c>
      <c r="D4602" s="94">
        <v>1</v>
      </c>
      <c r="E4602" s="84">
        <v>80000</v>
      </c>
      <c r="F4602" s="83">
        <f t="shared" ca="1" si="203"/>
        <v>80000</v>
      </c>
    </row>
    <row r="4603" spans="1:6" ht="14.1" customHeight="1" x14ac:dyDescent="0.25">
      <c r="A4603" s="94" t="s">
        <v>17604</v>
      </c>
      <c r="B4603" s="82" t="str">
        <f ca="1">IFERROR(INDEX(UNSPSCDes,MATCH(INDIRECT(ADDRESS(ROW(),COLUMN()-1,4)),UNSPSCCode,0)),IF(INDIRECT(ADDRESS(ROW(),COLUMN()-1,4))="60104807","Equipo de resonancia",""))</f>
        <v>Equipo de resonancia</v>
      </c>
      <c r="C4603" s="95" t="str">
        <f>IFERROR(VLOOKUP("UD",'Informacion '!P:Q,2,FALSE),"")</f>
        <v>Unidad</v>
      </c>
      <c r="D4603" s="94">
        <v>1</v>
      </c>
      <c r="E4603" s="84">
        <v>90000</v>
      </c>
      <c r="F4603" s="83">
        <f t="shared" ca="1" si="203"/>
        <v>90000</v>
      </c>
    </row>
    <row r="4604" spans="1:6" ht="14.1" customHeight="1" x14ac:dyDescent="0.25">
      <c r="A4604" s="94" t="s">
        <v>10409</v>
      </c>
      <c r="B4604" s="82" t="str">
        <f ca="1">IFERROR(INDEX(UNSPSCDes,MATCH(INDIRECT(ADDRESS(ROW(),COLUMN()-1,4)),UNSPSCCode,0)),IF(INDIRECT(ADDRESS(ROW(),COLUMN()-1,4))="42201813","Unidades de tomografía de rayos x para uso médico",""))</f>
        <v>Unidades de tomografía de rayos x para uso médico</v>
      </c>
      <c r="C4604" s="95" t="str">
        <f>IFERROR(VLOOKUP("UD",'Informacion '!P:Q,2,FALSE),"")</f>
        <v>Unidad</v>
      </c>
      <c r="D4604" s="94">
        <v>1</v>
      </c>
      <c r="E4604" s="84">
        <v>60000</v>
      </c>
      <c r="F4604" s="83">
        <f t="shared" ca="1" si="203"/>
        <v>60000</v>
      </c>
    </row>
    <row r="4605" spans="1:6" ht="14.1" customHeight="1" x14ac:dyDescent="0.25">
      <c r="A4605" s="94" t="s">
        <v>10409</v>
      </c>
      <c r="B4605" s="82" t="str">
        <f ca="1">IFERROR(INDEX(UNSPSCDes,MATCH(INDIRECT(ADDRESS(ROW(),COLUMN()-1,4)),UNSPSCCode,0)),IF(INDIRECT(ADDRESS(ROW(),COLUMN()-1,4))="42201813","Unidades de tomografía de rayos x para uso médico",""))</f>
        <v>Unidades de tomografía de rayos x para uso médico</v>
      </c>
      <c r="C4605" s="95" t="str">
        <f>IFERROR(VLOOKUP("UD",'Informacion '!P:Q,2,FALSE),"")</f>
        <v>Unidad</v>
      </c>
      <c r="D4605" s="94">
        <v>1</v>
      </c>
      <c r="E4605" s="84">
        <v>70000</v>
      </c>
      <c r="F4605" s="83">
        <f t="shared" ca="1" si="203"/>
        <v>70000</v>
      </c>
    </row>
    <row r="4606" spans="1:6" ht="14.1" customHeight="1" x14ac:dyDescent="0.25">
      <c r="A4606" s="94" t="s">
        <v>1639</v>
      </c>
      <c r="B4606" s="82" t="str">
        <f ca="1">IFERROR(INDEX(UNSPSCDes,MATCH(INDIRECT(ADDRESS(ROW(),COLUMN()-1,4)),UNSPSCCode,0)),IF(INDIRECT(ADDRESS(ROW(),COLUMN()-1,4))="85121808","Servicios de laboratorios de rayos x",""))</f>
        <v>Servicios de laboratorios de rayos x</v>
      </c>
      <c r="C4606" s="95" t="str">
        <f>IFERROR(VLOOKUP("UD",'Informacion '!P:Q,2,FALSE),"")</f>
        <v>Unidad</v>
      </c>
      <c r="D4606" s="94">
        <v>1</v>
      </c>
      <c r="E4606" s="84">
        <v>60000</v>
      </c>
      <c r="F4606" s="83">
        <f t="shared" ca="1" si="203"/>
        <v>60000</v>
      </c>
    </row>
    <row r="4607" spans="1:6" ht="14.1" customHeight="1" x14ac:dyDescent="0.25">
      <c r="A4607" s="94" t="s">
        <v>12597</v>
      </c>
      <c r="B4607" s="82" t="str">
        <f ca="1">IFERROR(INDEX(UNSPSCDes,MATCH(INDIRECT(ADDRESS(ROW(),COLUMN()-1,4)),UNSPSCCode,0)),IF(INDIRECT(ADDRESS(ROW(),COLUMN()-1,4))="42281503","Esterilizadores de filtro",""))</f>
        <v>Esterilizadores de filtro</v>
      </c>
      <c r="C4607" s="95" t="str">
        <f>IFERROR(VLOOKUP("UD",'Informacion '!P:Q,2,FALSE),"")</f>
        <v>Unidad</v>
      </c>
      <c r="D4607" s="94">
        <v>2</v>
      </c>
      <c r="E4607" s="84">
        <v>50000</v>
      </c>
      <c r="F4607" s="83">
        <f t="shared" ca="1" si="203"/>
        <v>100000</v>
      </c>
    </row>
    <row r="4608" spans="1:6" ht="14.1" customHeight="1" x14ac:dyDescent="0.25">
      <c r="A4608" s="94" t="s">
        <v>12597</v>
      </c>
      <c r="B4608" s="82" t="str">
        <f ca="1">IFERROR(INDEX(UNSPSCDes,MATCH(INDIRECT(ADDRESS(ROW(),COLUMN()-1,4)),UNSPSCCode,0)),IF(INDIRECT(ADDRESS(ROW(),COLUMN()-1,4))="42281503","Esterilizadores de filtro",""))</f>
        <v>Esterilizadores de filtro</v>
      </c>
      <c r="C4608" s="95" t="str">
        <f>IFERROR(VLOOKUP("UD",'Informacion '!P:Q,2,FALSE),"")</f>
        <v>Unidad</v>
      </c>
      <c r="D4608" s="94">
        <v>1</v>
      </c>
      <c r="E4608" s="84">
        <v>60000</v>
      </c>
      <c r="F4608" s="83">
        <f t="shared" ca="1" si="203"/>
        <v>60000</v>
      </c>
    </row>
    <row r="4609" spans="1:6" ht="14.1" customHeight="1" x14ac:dyDescent="0.25">
      <c r="A4609" s="94" t="s">
        <v>5661</v>
      </c>
      <c r="B4609" s="82" t="str">
        <f ca="1">IFERROR(INDEX(UNSPSCDes,MATCH(INDIRECT(ADDRESS(ROW(),COLUMN()-1,4)),UNSPSCCode,0)),IF(INDIRECT(ADDRESS(ROW(),COLUMN()-1,4))="73181010","Servicios de láser",""))</f>
        <v>Servicios de láser</v>
      </c>
      <c r="C4609" s="95" t="str">
        <f>IFERROR(VLOOKUP("UD",'Informacion '!P:Q,2,FALSE),"")</f>
        <v>Unidad</v>
      </c>
      <c r="D4609" s="94">
        <v>1</v>
      </c>
      <c r="E4609" s="84">
        <v>321000</v>
      </c>
      <c r="F4609" s="83">
        <f t="shared" ca="1" si="203"/>
        <v>321000</v>
      </c>
    </row>
    <row r="4610" spans="1:6" ht="14.1" customHeight="1" x14ac:dyDescent="0.25">
      <c r="A4610" s="94" t="s">
        <v>6787</v>
      </c>
      <c r="B4610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4610" s="95" t="str">
        <f>IFERROR(VLOOKUP("UD",'Informacion '!P:Q,2,FALSE),"")</f>
        <v>Unidad</v>
      </c>
      <c r="D4610" s="94">
        <v>3</v>
      </c>
      <c r="E4610" s="84">
        <v>1868000</v>
      </c>
      <c r="F4610" s="83">
        <f t="shared" ca="1" si="203"/>
        <v>5604000</v>
      </c>
    </row>
    <row r="4611" spans="1:6" ht="14.1" customHeight="1" x14ac:dyDescent="0.25">
      <c r="A4611" s="94" t="s">
        <v>7384</v>
      </c>
      <c r="B4611" s="82" t="str">
        <f ca="1">IFERROR(INDEX(UNSPSCDes,MATCH(INDIRECT(ADDRESS(ROW(),COLUMN()-1,4)),UNSPSCCode,0)),IF(INDIRECT(ADDRESS(ROW(),COLUMN()-1,4))="31161725","Tuercas abrazaderas",""))</f>
        <v>Tuercas abrazaderas</v>
      </c>
      <c r="C4611" s="95" t="str">
        <f>IFERROR(VLOOKUP("UD",'Informacion '!P:Q,2,FALSE),"")</f>
        <v>Unidad</v>
      </c>
      <c r="D4611" s="94">
        <v>100</v>
      </c>
      <c r="E4611" s="84">
        <v>40</v>
      </c>
      <c r="F4611" s="83">
        <f t="shared" ca="1" si="203"/>
        <v>4000</v>
      </c>
    </row>
    <row r="4612" spans="1:6" ht="14.1" customHeight="1" x14ac:dyDescent="0.25">
      <c r="A4612" s="94" t="s">
        <v>7384</v>
      </c>
      <c r="B4612" s="82" t="str">
        <f ca="1">IFERROR(INDEX(UNSPSCDes,MATCH(INDIRECT(ADDRESS(ROW(),COLUMN()-1,4)),UNSPSCCode,0)),IF(INDIRECT(ADDRESS(ROW(),COLUMN()-1,4))="31161725","Tuercas abrazaderas",""))</f>
        <v>Tuercas abrazaderas</v>
      </c>
      <c r="C4612" s="95" t="str">
        <f>IFERROR(VLOOKUP("UD",'Informacion '!P:Q,2,FALSE),"")</f>
        <v>Unidad</v>
      </c>
      <c r="D4612" s="94">
        <v>100</v>
      </c>
      <c r="E4612" s="84">
        <v>60</v>
      </c>
      <c r="F4612" s="83">
        <f t="shared" ca="1" si="203"/>
        <v>6000</v>
      </c>
    </row>
    <row r="4613" spans="1:6" ht="14.1" customHeight="1" x14ac:dyDescent="0.25">
      <c r="A4613" s="94" t="s">
        <v>7384</v>
      </c>
      <c r="B4613" s="82" t="str">
        <f ca="1">IFERROR(INDEX(UNSPSCDes,MATCH(INDIRECT(ADDRESS(ROW(),COLUMN()-1,4)),UNSPSCCode,0)),IF(INDIRECT(ADDRESS(ROW(),COLUMN()-1,4))="31161725","Tuercas abrazaderas",""))</f>
        <v>Tuercas abrazaderas</v>
      </c>
      <c r="C4613" s="95" t="str">
        <f>IFERROR(VLOOKUP("UD",'Informacion '!P:Q,2,FALSE),"")</f>
        <v>Unidad</v>
      </c>
      <c r="D4613" s="94">
        <v>100</v>
      </c>
      <c r="E4613" s="84">
        <v>60</v>
      </c>
      <c r="F4613" s="83">
        <f t="shared" ca="1" si="203"/>
        <v>6000</v>
      </c>
    </row>
    <row r="4614" spans="1:6" ht="14.1" customHeight="1" x14ac:dyDescent="0.25">
      <c r="A4614" s="94" t="s">
        <v>7383</v>
      </c>
      <c r="B4614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4614" s="95" t="str">
        <f>IFERROR(VLOOKUP("FT",'Informacion '!P:Q,2,FALSE),"")</f>
        <v>Pie</v>
      </c>
      <c r="D4614" s="94">
        <v>2000</v>
      </c>
      <c r="E4614" s="84">
        <v>9.6999999999999993</v>
      </c>
      <c r="F4614" s="83">
        <f t="shared" ca="1" si="203"/>
        <v>19400</v>
      </c>
    </row>
    <row r="4615" spans="1:6" ht="14.1" customHeight="1" x14ac:dyDescent="0.25">
      <c r="A4615" s="94" t="s">
        <v>7383</v>
      </c>
      <c r="B4615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4615" s="95" t="str">
        <f>IFERROR(VLOOKUP("FT",'Informacion '!P:Q,2,FALSE),"")</f>
        <v>Pie</v>
      </c>
      <c r="D4615" s="94">
        <v>500</v>
      </c>
      <c r="E4615" s="84">
        <v>5.5</v>
      </c>
      <c r="F4615" s="83">
        <f t="shared" ca="1" si="203"/>
        <v>2750</v>
      </c>
    </row>
    <row r="4616" spans="1:6" ht="14.1" customHeight="1" x14ac:dyDescent="0.25">
      <c r="A4616" s="94" t="s">
        <v>7383</v>
      </c>
      <c r="B4616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4616" s="95" t="str">
        <f>IFERROR(VLOOKUP("FT",'Informacion '!P:Q,2,FALSE),"")</f>
        <v>Pie</v>
      </c>
      <c r="D4616" s="94">
        <v>2000</v>
      </c>
      <c r="E4616" s="84">
        <v>4.9000000000000004</v>
      </c>
      <c r="F4616" s="83">
        <f t="shared" ca="1" si="203"/>
        <v>9800</v>
      </c>
    </row>
    <row r="4617" spans="1:6" ht="14.1" customHeight="1" x14ac:dyDescent="0.25">
      <c r="A4617" s="94" t="s">
        <v>4461</v>
      </c>
      <c r="B4617" s="82" t="str">
        <f ca="1">IFERROR(INDEX(UNSPSCDes,MATCH(INDIRECT(ADDRESS(ROW(),COLUMN()-1,4)),UNSPSCCode,0)),IF(INDIRECT(ADDRESS(ROW(),COLUMN()-1,4))="26101758","Ajustadores del balancín",""))</f>
        <v>Ajustadores del balancín</v>
      </c>
      <c r="C4617" s="95" t="str">
        <f>IFERROR(VLOOKUP("UD",'Informacion '!P:Q,2,FALSE),"")</f>
        <v>Unidad</v>
      </c>
      <c r="D4617" s="94">
        <v>10</v>
      </c>
      <c r="E4617" s="84">
        <v>200</v>
      </c>
      <c r="F4617" s="83">
        <f t="shared" ca="1" si="203"/>
        <v>2000</v>
      </c>
    </row>
    <row r="4618" spans="1:6" ht="14.1" customHeight="1" x14ac:dyDescent="0.25">
      <c r="A4618" s="94" t="s">
        <v>9662</v>
      </c>
      <c r="B4618" s="82" t="str">
        <f ca="1">IFERROR(INDEX(UNSPSCDes,MATCH(INDIRECT(ADDRESS(ROW(),COLUMN()-1,4)),UNSPSCCode,0)),IF(INDIRECT(ADDRESS(ROW(),COLUMN()-1,4))="26111701","Baterías recargables",""))</f>
        <v>Baterías recargables</v>
      </c>
      <c r="C4618" s="95" t="str">
        <f>IFERROR(VLOOKUP("UD",'Informacion '!P:Q,2,FALSE),"")</f>
        <v>Unidad</v>
      </c>
      <c r="D4618" s="94">
        <v>58</v>
      </c>
      <c r="E4618" s="84">
        <v>12000</v>
      </c>
      <c r="F4618" s="83">
        <f t="shared" ca="1" si="203"/>
        <v>696000</v>
      </c>
    </row>
    <row r="4619" spans="1:6" ht="14.1" customHeight="1" x14ac:dyDescent="0.25">
      <c r="A4619" s="94" t="s">
        <v>9883</v>
      </c>
      <c r="B4619" s="82" t="str">
        <f ca="1">IFERROR(INDEX(UNSPSCDes,MATCH(INDIRECT(ADDRESS(ROW(),COLUMN()-1,4)),UNSPSCCode,0)),IF(INDIRECT(ADDRESS(ROW(),COLUMN()-1,4))="39101601","Lámparas halógenas",""))</f>
        <v>Lámparas halógenas</v>
      </c>
      <c r="C4619" s="95" t="str">
        <f>IFERROR(VLOOKUP("CAJ",'Informacion '!P:Q,2,FALSE),"")</f>
        <v>Caja</v>
      </c>
      <c r="D4619" s="94">
        <v>2</v>
      </c>
      <c r="E4619" s="84">
        <v>12000</v>
      </c>
      <c r="F4619" s="83">
        <f t="shared" ca="1" si="203"/>
        <v>24000</v>
      </c>
    </row>
    <row r="4620" spans="1:6" ht="14.1" customHeight="1" x14ac:dyDescent="0.25">
      <c r="A4620" s="94" t="s">
        <v>19265</v>
      </c>
      <c r="B4620" s="82" t="str">
        <f ca="1">IFERROR(INDEX(UNSPSCDes,MATCH(INDIRECT(ADDRESS(ROW(),COLUMN()-1,4)),UNSPSCCode,0)),IF(INDIRECT(ADDRESS(ROW(),COLUMN()-1,4))="46171505","Llaves",""))</f>
        <v>Llaves</v>
      </c>
      <c r="C4620" s="95" t="str">
        <f>IFERROR(VLOOKUP("UD",'Informacion '!P:Q,2,FALSE),"")</f>
        <v>Unidad</v>
      </c>
      <c r="D4620" s="94">
        <v>10</v>
      </c>
      <c r="E4620" s="84">
        <v>200</v>
      </c>
      <c r="F4620" s="83">
        <f t="shared" ca="1" si="203"/>
        <v>2000</v>
      </c>
    </row>
    <row r="4621" spans="1:6" ht="14.1" customHeight="1" x14ac:dyDescent="0.25">
      <c r="A4621" s="94" t="s">
        <v>16983</v>
      </c>
      <c r="B4621" s="82" t="str">
        <f ca="1">IFERROR(INDEX(UNSPSCDes,MATCH(INDIRECT(ADDRESS(ROW(),COLUMN()-1,4)),UNSPSCCode,0)),IF(INDIRECT(ADDRESS(ROW(),COLUMN()-1,4))="30151703","Canaletas",""))</f>
        <v>Canaletas</v>
      </c>
      <c r="C4621" s="95" t="str">
        <f>IFERROR(VLOOKUP("UD",'Informacion '!P:Q,2,FALSE),"")</f>
        <v>Unidad</v>
      </c>
      <c r="D4621" s="94">
        <v>20</v>
      </c>
      <c r="E4621" s="84">
        <v>111.18</v>
      </c>
      <c r="F4621" s="83">
        <f t="shared" ca="1" si="203"/>
        <v>2223.6000000000004</v>
      </c>
    </row>
    <row r="4622" spans="1:6" ht="14.1" customHeight="1" x14ac:dyDescent="0.25">
      <c r="A4622" s="94" t="s">
        <v>16983</v>
      </c>
      <c r="B4622" s="82" t="str">
        <f ca="1">IFERROR(INDEX(UNSPSCDes,MATCH(INDIRECT(ADDRESS(ROW(),COLUMN()-1,4)),UNSPSCCode,0)),IF(INDIRECT(ADDRESS(ROW(),COLUMN()-1,4))="30151703","Canaletas",""))</f>
        <v>Canaletas</v>
      </c>
      <c r="C4622" s="95" t="str">
        <f>IFERROR(VLOOKUP("UD",'Informacion '!P:Q,2,FALSE),"")</f>
        <v>Unidad</v>
      </c>
      <c r="D4622" s="94">
        <v>25</v>
      </c>
      <c r="E4622" s="84">
        <v>153.9</v>
      </c>
      <c r="F4622" s="83">
        <f t="shared" ca="1" si="203"/>
        <v>3847.5</v>
      </c>
    </row>
    <row r="4623" spans="1:6" ht="14.1" customHeight="1" x14ac:dyDescent="0.25">
      <c r="A4623" s="94" t="s">
        <v>3233</v>
      </c>
      <c r="B4623" s="82" t="str">
        <f ca="1">IFERROR(INDEX(UNSPSCDes,MATCH(INDIRECT(ADDRESS(ROW(),COLUMN()-1,4)),UNSPSCCode,0)),IF(INDIRECT(ADDRESS(ROW(),COLUMN()-1,4))="31201521","Cinta metálica",""))</f>
        <v>Cinta metálica</v>
      </c>
      <c r="C4623" s="95" t="str">
        <f>IFERROR(VLOOKUP("UD",'Informacion '!P:Q,2,FALSE),"")</f>
        <v>Unidad</v>
      </c>
      <c r="D4623" s="94">
        <v>8</v>
      </c>
      <c r="E4623" s="84">
        <v>300</v>
      </c>
      <c r="F4623" s="83">
        <f t="shared" ca="1" si="203"/>
        <v>2400</v>
      </c>
    </row>
    <row r="4624" spans="1:6" ht="14.1" customHeight="1" x14ac:dyDescent="0.25">
      <c r="A4624" s="94" t="s">
        <v>3233</v>
      </c>
      <c r="B4624" s="82" t="str">
        <f ca="1">IFERROR(INDEX(UNSPSCDes,MATCH(INDIRECT(ADDRESS(ROW(),COLUMN()-1,4)),UNSPSCCode,0)),IF(INDIRECT(ADDRESS(ROW(),COLUMN()-1,4))="31201521","Cinta metálica",""))</f>
        <v>Cinta metálica</v>
      </c>
      <c r="C4624" s="95" t="str">
        <f>IFERROR(VLOOKUP("UD",'Informacion '!P:Q,2,FALSE),"")</f>
        <v>Unidad</v>
      </c>
      <c r="D4624" s="94">
        <v>8</v>
      </c>
      <c r="E4624" s="84">
        <v>190</v>
      </c>
      <c r="F4624" s="83">
        <f t="shared" ca="1" si="203"/>
        <v>1520</v>
      </c>
    </row>
    <row r="4625" spans="1:6" ht="14.1" customHeight="1" x14ac:dyDescent="0.25">
      <c r="A4625" s="94" t="s">
        <v>3233</v>
      </c>
      <c r="B4625" s="82" t="str">
        <f ca="1">IFERROR(INDEX(UNSPSCDes,MATCH(INDIRECT(ADDRESS(ROW(),COLUMN()-1,4)),UNSPSCCode,0)),IF(INDIRECT(ADDRESS(ROW(),COLUMN()-1,4))="31201521","Cinta metálica",""))</f>
        <v>Cinta metálica</v>
      </c>
      <c r="C4625" s="95" t="str">
        <f>IFERROR(VLOOKUP("UD",'Informacion '!P:Q,2,FALSE),"")</f>
        <v>Unidad</v>
      </c>
      <c r="D4625" s="94">
        <v>5</v>
      </c>
      <c r="E4625" s="84">
        <v>2000</v>
      </c>
      <c r="F4625" s="83">
        <f t="shared" ca="1" si="203"/>
        <v>10000</v>
      </c>
    </row>
    <row r="4626" spans="1:6" ht="14.1" customHeight="1" x14ac:dyDescent="0.25">
      <c r="A4626" s="94" t="s">
        <v>10906</v>
      </c>
      <c r="B4626" s="82" t="str">
        <f ca="1">IFERROR(INDEX(UNSPSCDes,MATCH(INDIRECT(ADDRESS(ROW(),COLUMN()-1,4)),UNSPSCCode,0)),IF(INDIRECT(ADDRESS(ROW(),COLUMN()-1,4))="40142604","Codos de tubo",""))</f>
        <v>Codos de tubo</v>
      </c>
      <c r="C4626" s="95" t="str">
        <f>IFERROR(VLOOKUP("UD",'Informacion '!P:Q,2,FALSE),"")</f>
        <v>Unidad</v>
      </c>
      <c r="D4626" s="94">
        <v>5</v>
      </c>
      <c r="E4626" s="84">
        <v>267</v>
      </c>
      <c r="F4626" s="83">
        <f t="shared" ca="1" si="203"/>
        <v>1335</v>
      </c>
    </row>
    <row r="4627" spans="1:6" ht="14.1" customHeight="1" x14ac:dyDescent="0.25">
      <c r="A4627" s="94" t="s">
        <v>10906</v>
      </c>
      <c r="B4627" s="82" t="str">
        <f ca="1">IFERROR(INDEX(UNSPSCDes,MATCH(INDIRECT(ADDRESS(ROW(),COLUMN()-1,4)),UNSPSCCode,0)),IF(INDIRECT(ADDRESS(ROW(),COLUMN()-1,4))="40142604","Codos de tubo",""))</f>
        <v>Codos de tubo</v>
      </c>
      <c r="C4627" s="95" t="str">
        <f>IFERROR(VLOOKUP("UD",'Informacion '!P:Q,2,FALSE),"")</f>
        <v>Unidad</v>
      </c>
      <c r="D4627" s="94">
        <v>17</v>
      </c>
      <c r="E4627" s="84">
        <v>12</v>
      </c>
      <c r="F4627" s="83">
        <f t="shared" ca="1" si="203"/>
        <v>204</v>
      </c>
    </row>
    <row r="4628" spans="1:6" ht="14.1" customHeight="1" x14ac:dyDescent="0.25">
      <c r="A4628" s="94" t="s">
        <v>5484</v>
      </c>
      <c r="B4628" s="82" t="str">
        <f ca="1">IFERROR(INDEX(UNSPSCDes,MATCH(INDIRECT(ADDRESS(ROW(),COLUMN()-1,4)),UNSPSCCode,0)),IF(INDIRECT(ADDRESS(ROW(),COLUMN()-1,4))="49201610","Tubos de resistencia",""))</f>
        <v>Tubos de resistencia</v>
      </c>
      <c r="C4628" s="95" t="str">
        <f>IFERROR(VLOOKUP("UD",'Informacion '!P:Q,2,FALSE),"")</f>
        <v>Unidad</v>
      </c>
      <c r="D4628" s="94">
        <v>17</v>
      </c>
      <c r="E4628" s="84">
        <v>12</v>
      </c>
      <c r="F4628" s="83">
        <f t="shared" ref="F4628:F4659" ca="1" si="204">INDIRECT(ADDRESS(ROW(),COLUMN()-2,4))*INDIRECT(ADDRESS(ROW(),COLUMN()-1,4))</f>
        <v>204</v>
      </c>
    </row>
    <row r="4629" spans="1:6" ht="14.1" customHeight="1" x14ac:dyDescent="0.25">
      <c r="A4629" s="94" t="s">
        <v>5484</v>
      </c>
      <c r="B4629" s="82" t="str">
        <f ca="1">IFERROR(INDEX(UNSPSCDes,MATCH(INDIRECT(ADDRESS(ROW(),COLUMN()-1,4)),UNSPSCCode,0)),IF(INDIRECT(ADDRESS(ROW(),COLUMN()-1,4))="49201610","Tubos de resistencia",""))</f>
        <v>Tubos de resistencia</v>
      </c>
      <c r="C4629" s="95" t="str">
        <f>IFERROR(VLOOKUP("UD",'Informacion '!P:Q,2,FALSE),"")</f>
        <v>Unidad</v>
      </c>
      <c r="D4629" s="94">
        <v>5</v>
      </c>
      <c r="E4629" s="84">
        <v>584</v>
      </c>
      <c r="F4629" s="83">
        <f t="shared" ca="1" si="204"/>
        <v>2920</v>
      </c>
    </row>
    <row r="4630" spans="1:6" ht="14.1" customHeight="1" x14ac:dyDescent="0.25">
      <c r="A4630" s="94" t="s">
        <v>12220</v>
      </c>
      <c r="B4630" s="82" t="str">
        <f ca="1">IFERROR(INDEX(UNSPSCDes,MATCH(INDIRECT(ADDRESS(ROW(),COLUMN()-1,4)),UNSPSCCode,0)),IF(INDIRECT(ADDRESS(ROW(),COLUMN()-1,4))="24141705","Tubos plegables",""))</f>
        <v>Tubos plegables</v>
      </c>
      <c r="C4630" s="95" t="str">
        <f>IFERROR(VLOOKUP("UD",'Informacion '!P:Q,2,FALSE),"")</f>
        <v>Unidad</v>
      </c>
      <c r="D4630" s="94">
        <v>300</v>
      </c>
      <c r="E4630" s="84">
        <v>2.6</v>
      </c>
      <c r="F4630" s="83">
        <f t="shared" ca="1" si="204"/>
        <v>780</v>
      </c>
    </row>
    <row r="4631" spans="1:6" ht="14.1" customHeight="1" x14ac:dyDescent="0.25">
      <c r="A4631" s="94" t="s">
        <v>12220</v>
      </c>
      <c r="B4631" s="82" t="str">
        <f ca="1">IFERROR(INDEX(UNSPSCDes,MATCH(INDIRECT(ADDRESS(ROW(),COLUMN()-1,4)),UNSPSCCode,0)),IF(INDIRECT(ADDRESS(ROW(),COLUMN()-1,4))="24141705","Tubos plegables",""))</f>
        <v>Tubos plegables</v>
      </c>
      <c r="C4631" s="95" t="str">
        <f>IFERROR(VLOOKUP("UD",'Informacion '!P:Q,2,FALSE),"")</f>
        <v>Unidad</v>
      </c>
      <c r="D4631" s="94">
        <v>300</v>
      </c>
      <c r="E4631" s="84">
        <v>2.1</v>
      </c>
      <c r="F4631" s="83">
        <f t="shared" ca="1" si="204"/>
        <v>630</v>
      </c>
    </row>
    <row r="4632" spans="1:6" ht="14.1" customHeight="1" x14ac:dyDescent="0.25">
      <c r="A4632" s="94" t="s">
        <v>7230</v>
      </c>
      <c r="B4632" s="82" t="str">
        <f ca="1">IFERROR(INDEX(UNSPSCDes,MATCH(INDIRECT(ADDRESS(ROW(),COLUMN()-1,4)),UNSPSCCode,0)),IF(INDIRECT(ADDRESS(ROW(),COLUMN()-1,4))="40161505","Filtros de aire",""))</f>
        <v>Filtros de aire</v>
      </c>
      <c r="C4632" s="95" t="str">
        <f>IFERROR(VLOOKUP("UD",'Informacion '!P:Q,2,FALSE),"")</f>
        <v>Unidad</v>
      </c>
      <c r="D4632" s="94">
        <v>3</v>
      </c>
      <c r="E4632" s="84">
        <v>85000</v>
      </c>
      <c r="F4632" s="83">
        <f t="shared" ca="1" si="204"/>
        <v>255000</v>
      </c>
    </row>
    <row r="4633" spans="1:6" ht="14.1" customHeight="1" x14ac:dyDescent="0.25">
      <c r="A4633" s="94" t="s">
        <v>2769</v>
      </c>
      <c r="B4633" s="82" t="str">
        <f ca="1">IFERROR(INDEX(UNSPSCDes,MATCH(INDIRECT(ADDRESS(ROW(),COLUMN()-1,4)),UNSPSCCode,0)),IF(INDIRECT(ADDRESS(ROW(),COLUMN()-1,4))="39121529","Contactores",""))</f>
        <v>Contactores</v>
      </c>
      <c r="C4633" s="95" t="str">
        <f>IFERROR(VLOOKUP("UD",'Informacion '!P:Q,2,FALSE),"")</f>
        <v>Unidad</v>
      </c>
      <c r="D4633" s="94">
        <v>5</v>
      </c>
      <c r="E4633" s="84">
        <v>850</v>
      </c>
      <c r="F4633" s="83">
        <f t="shared" ca="1" si="204"/>
        <v>4250</v>
      </c>
    </row>
    <row r="4634" spans="1:6" ht="14.1" customHeight="1" x14ac:dyDescent="0.25">
      <c r="A4634" s="94" t="s">
        <v>2769</v>
      </c>
      <c r="B4634" s="82" t="str">
        <f ca="1">IFERROR(INDEX(UNSPSCDes,MATCH(INDIRECT(ADDRESS(ROW(),COLUMN()-1,4)),UNSPSCCode,0)),IF(INDIRECT(ADDRESS(ROW(),COLUMN()-1,4))="39121529","Contactores",""))</f>
        <v>Contactores</v>
      </c>
      <c r="C4634" s="95" t="str">
        <f>IFERROR(VLOOKUP("UD",'Informacion '!P:Q,2,FALSE),"")</f>
        <v>Unidad</v>
      </c>
      <c r="D4634" s="94">
        <v>5</v>
      </c>
      <c r="E4634" s="84">
        <v>850</v>
      </c>
      <c r="F4634" s="83">
        <f t="shared" ca="1" si="204"/>
        <v>4250</v>
      </c>
    </row>
    <row r="4635" spans="1:6" ht="14.1" customHeight="1" x14ac:dyDescent="0.25">
      <c r="A4635" s="94" t="s">
        <v>5484</v>
      </c>
      <c r="B4635" s="82" t="str">
        <f ca="1">IFERROR(INDEX(UNSPSCDes,MATCH(INDIRECT(ADDRESS(ROW(),COLUMN()-1,4)),UNSPSCCode,0)),IF(INDIRECT(ADDRESS(ROW(),COLUMN()-1,4))="49201610","Tubos de resistencia",""))</f>
        <v>Tubos de resistencia</v>
      </c>
      <c r="C4635" s="95" t="str">
        <f>IFERROR(VLOOKUP("UD",'Informacion '!P:Q,2,FALSE),"")</f>
        <v>Unidad</v>
      </c>
      <c r="D4635" s="94">
        <v>5</v>
      </c>
      <c r="E4635" s="84">
        <v>484</v>
      </c>
      <c r="F4635" s="83">
        <f t="shared" ca="1" si="204"/>
        <v>2420</v>
      </c>
    </row>
    <row r="4636" spans="1:6" ht="14.1" customHeight="1" x14ac:dyDescent="0.25">
      <c r="A4636" s="94" t="s">
        <v>5484</v>
      </c>
      <c r="B4636" s="82" t="str">
        <f ca="1">IFERROR(INDEX(UNSPSCDes,MATCH(INDIRECT(ADDRESS(ROW(),COLUMN()-1,4)),UNSPSCCode,0)),IF(INDIRECT(ADDRESS(ROW(),COLUMN()-1,4))="49201610","Tubos de resistencia",""))</f>
        <v>Tubos de resistencia</v>
      </c>
      <c r="C4636" s="95" t="str">
        <f>IFERROR(VLOOKUP("UD",'Informacion '!P:Q,2,FALSE),"")</f>
        <v>Unidad</v>
      </c>
      <c r="D4636" s="94">
        <v>17</v>
      </c>
      <c r="E4636" s="84">
        <v>30</v>
      </c>
      <c r="F4636" s="83">
        <f t="shared" ca="1" si="204"/>
        <v>510</v>
      </c>
    </row>
    <row r="4637" spans="1:6" ht="14.1" customHeight="1" x14ac:dyDescent="0.25">
      <c r="A4637" s="94" t="s">
        <v>2094</v>
      </c>
      <c r="B4637" s="82" t="str">
        <f t="shared" ref="B4637:B4642" ca="1" si="205">IFERROR(INDEX(UNSPSCDes,MATCH(INDIRECT(ADDRESS(ROW(),COLUMN()-1,4)),UNSPSCCode,0)),IF(INDIRECT(ADDRESS(ROW(),COLUMN()-1,4))="31181503","Juntas obturadoras de metal",""))</f>
        <v>Juntas obturadoras de metal</v>
      </c>
      <c r="C4637" s="95" t="str">
        <f>IFERROR(VLOOKUP("UD",'Informacion '!P:Q,2,FALSE),"")</f>
        <v>Unidad</v>
      </c>
      <c r="D4637" s="94">
        <v>10</v>
      </c>
      <c r="E4637" s="84">
        <v>300</v>
      </c>
      <c r="F4637" s="83">
        <f t="shared" ca="1" si="204"/>
        <v>3000</v>
      </c>
    </row>
    <row r="4638" spans="1:6" ht="14.1" customHeight="1" x14ac:dyDescent="0.25">
      <c r="A4638" s="94" t="s">
        <v>2094</v>
      </c>
      <c r="B4638" s="82" t="str">
        <f t="shared" ca="1" si="205"/>
        <v>Juntas obturadoras de metal</v>
      </c>
      <c r="C4638" s="95" t="str">
        <f>IFERROR(VLOOKUP("UD",'Informacion '!P:Q,2,FALSE),"")</f>
        <v>Unidad</v>
      </c>
      <c r="D4638" s="94">
        <v>10</v>
      </c>
      <c r="E4638" s="84">
        <v>300</v>
      </c>
      <c r="F4638" s="83">
        <f t="shared" ca="1" si="204"/>
        <v>3000</v>
      </c>
    </row>
    <row r="4639" spans="1:6" ht="14.1" customHeight="1" x14ac:dyDescent="0.25">
      <c r="A4639" s="94" t="s">
        <v>2094</v>
      </c>
      <c r="B4639" s="82" t="str">
        <f t="shared" ca="1" si="205"/>
        <v>Juntas obturadoras de metal</v>
      </c>
      <c r="C4639" s="95" t="str">
        <f>IFERROR(VLOOKUP("UD",'Informacion '!P:Q,2,FALSE),"")</f>
        <v>Unidad</v>
      </c>
      <c r="D4639" s="94">
        <v>10</v>
      </c>
      <c r="E4639" s="84">
        <v>300</v>
      </c>
      <c r="F4639" s="83">
        <f t="shared" ca="1" si="204"/>
        <v>3000</v>
      </c>
    </row>
    <row r="4640" spans="1:6" ht="14.1" customHeight="1" x14ac:dyDescent="0.25">
      <c r="A4640" s="94" t="s">
        <v>2094</v>
      </c>
      <c r="B4640" s="82" t="str">
        <f t="shared" ca="1" si="205"/>
        <v>Juntas obturadoras de metal</v>
      </c>
      <c r="C4640" s="95" t="str">
        <f>IFERROR(VLOOKUP("UD",'Informacion '!P:Q,2,FALSE),"")</f>
        <v>Unidad</v>
      </c>
      <c r="D4640" s="94">
        <v>10</v>
      </c>
      <c r="E4640" s="84">
        <v>450</v>
      </c>
      <c r="F4640" s="83">
        <f t="shared" ca="1" si="204"/>
        <v>4500</v>
      </c>
    </row>
    <row r="4641" spans="1:6" ht="14.1" customHeight="1" x14ac:dyDescent="0.25">
      <c r="A4641" s="94" t="s">
        <v>2094</v>
      </c>
      <c r="B4641" s="82" t="str">
        <f t="shared" ca="1" si="205"/>
        <v>Juntas obturadoras de metal</v>
      </c>
      <c r="C4641" s="95" t="str">
        <f>IFERROR(VLOOKUP("UD",'Informacion '!P:Q,2,FALSE),"")</f>
        <v>Unidad</v>
      </c>
      <c r="D4641" s="94">
        <v>10</v>
      </c>
      <c r="E4641" s="84">
        <v>600</v>
      </c>
      <c r="F4641" s="83">
        <f t="shared" ca="1" si="204"/>
        <v>6000</v>
      </c>
    </row>
    <row r="4642" spans="1:6" ht="14.1" customHeight="1" x14ac:dyDescent="0.25">
      <c r="A4642" s="94" t="s">
        <v>2094</v>
      </c>
      <c r="B4642" s="82" t="str">
        <f t="shared" ca="1" si="205"/>
        <v>Juntas obturadoras de metal</v>
      </c>
      <c r="C4642" s="95" t="str">
        <f>IFERROR(VLOOKUP("UD",'Informacion '!P:Q,2,FALSE),"")</f>
        <v>Unidad</v>
      </c>
      <c r="D4642" s="94">
        <v>3</v>
      </c>
      <c r="E4642" s="84">
        <v>700</v>
      </c>
      <c r="F4642" s="83">
        <f t="shared" ca="1" si="204"/>
        <v>2100</v>
      </c>
    </row>
    <row r="4643" spans="1:6" ht="14.1" customHeight="1" x14ac:dyDescent="0.25">
      <c r="A4643" s="94" t="s">
        <v>17538</v>
      </c>
      <c r="B4643" s="82" t="str">
        <f ca="1">IFERROR(INDEX(UNSPSCDes,MATCH(INDIRECT(ADDRESS(ROW(),COLUMN()-1,4)),UNSPSCCode,0)),IF(INDIRECT(ADDRESS(ROW(),COLUMN()-1,4))="24131503","Cuartos fríos",""))</f>
        <v>Cuartos fríos</v>
      </c>
      <c r="C4643" s="95" t="str">
        <f>IFERROR(VLOOKUP("UD",'Informacion '!P:Q,2,FALSE),"")</f>
        <v>Unidad</v>
      </c>
      <c r="D4643" s="94">
        <v>1</v>
      </c>
      <c r="E4643" s="84">
        <v>8600</v>
      </c>
      <c r="F4643" s="83">
        <f t="shared" ca="1" si="204"/>
        <v>8600</v>
      </c>
    </row>
    <row r="4644" spans="1:6" ht="14.1" customHeight="1" x14ac:dyDescent="0.25">
      <c r="A4644" s="94" t="s">
        <v>14287</v>
      </c>
      <c r="B4644" s="82" t="str">
        <f ca="1">IFERROR(INDEX(UNSPSCDes,MATCH(INDIRECT(ADDRESS(ROW(),COLUMN()-1,4)),UNSPSCCode,0)),IF(INDIRECT(ADDRESS(ROW(),COLUMN()-1,4))="22101708","Extractores",""))</f>
        <v>Extractores</v>
      </c>
      <c r="C4644" s="95" t="str">
        <f>IFERROR(VLOOKUP("UD",'Informacion '!P:Q,2,FALSE),"")</f>
        <v>Unidad</v>
      </c>
      <c r="D4644" s="94">
        <v>5</v>
      </c>
      <c r="E4644" s="84">
        <v>12000</v>
      </c>
      <c r="F4644" s="83">
        <f t="shared" ca="1" si="204"/>
        <v>60000</v>
      </c>
    </row>
    <row r="4645" spans="1:6" ht="14.1" customHeight="1" x14ac:dyDescent="0.25">
      <c r="A4645" s="94" t="s">
        <v>18360</v>
      </c>
      <c r="B4645" s="82" t="str">
        <f ca="1">IFERROR(INDEX(UNSPSCDes,MATCH(INDIRECT(ADDRESS(ROW(),COLUMN()-1,4)),UNSPSCCode,0)),IF(INDIRECT(ADDRESS(ROW(),COLUMN()-1,4))="11161804","Textil sintético tejido",""))</f>
        <v>Textil sintético tejido</v>
      </c>
      <c r="C4645" s="95" t="str">
        <f>IFERROR(VLOOKUP("FT",'Informacion '!P:Q,2,FALSE),"")</f>
        <v>Pie</v>
      </c>
      <c r="D4645" s="94">
        <v>45</v>
      </c>
      <c r="E4645" s="84">
        <v>186</v>
      </c>
      <c r="F4645" s="83">
        <f t="shared" ca="1" si="204"/>
        <v>8370</v>
      </c>
    </row>
    <row r="4646" spans="1:6" ht="14.1" customHeight="1" x14ac:dyDescent="0.25">
      <c r="A4646" s="94" t="s">
        <v>17076</v>
      </c>
      <c r="B4646" s="82" t="str">
        <f ca="1">IFERROR(INDEX(UNSPSCDes,MATCH(INDIRECT(ADDRESS(ROW(),COLUMN()-1,4)),UNSPSCCode,0)),IF(INDIRECT(ADDRESS(ROW(),COLUMN()-1,4))="39111704","Luces proyectantes",""))</f>
        <v>Luces proyectantes</v>
      </c>
      <c r="C4646" s="95" t="str">
        <f>IFERROR(VLOOKUP("UD",'Informacion '!P:Q,2,FALSE),"")</f>
        <v>Unidad</v>
      </c>
      <c r="D4646" s="94">
        <v>3</v>
      </c>
      <c r="E4646" s="84">
        <v>2300</v>
      </c>
      <c r="F4646" s="83">
        <f t="shared" ca="1" si="204"/>
        <v>6900</v>
      </c>
    </row>
    <row r="4647" spans="1:6" ht="14.1" customHeight="1" x14ac:dyDescent="0.25">
      <c r="A4647" s="94" t="s">
        <v>12979</v>
      </c>
      <c r="B4647" s="82" t="str">
        <f ca="1">IFERROR(INDEX(UNSPSCDes,MATCH(INDIRECT(ADDRESS(ROW(),COLUMN()-1,4)),UNSPSCCode,0)),IF(INDIRECT(ADDRESS(ROW(),COLUMN()-1,4))="13102029","Poliuretano termoplástico rígido rptu",""))</f>
        <v>Poliuretano termoplástico rígido rptu</v>
      </c>
      <c r="C4647" s="95" t="str">
        <f>IFERROR(VLOOKUP("UD",'Informacion '!P:Q,2,FALSE),"")</f>
        <v>Unidad</v>
      </c>
      <c r="D4647" s="94">
        <v>8</v>
      </c>
      <c r="E4647" s="84">
        <v>400</v>
      </c>
      <c r="F4647" s="83">
        <f t="shared" ca="1" si="204"/>
        <v>3200</v>
      </c>
    </row>
    <row r="4648" spans="1:6" ht="14.1" customHeight="1" x14ac:dyDescent="0.25">
      <c r="A4648" s="94" t="s">
        <v>10218</v>
      </c>
      <c r="B4648" s="82" t="str">
        <f ca="1">IFERROR(INDEX(UNSPSCDes,MATCH(INDIRECT(ADDRESS(ROW(),COLUMN()-1,4)),UNSPSCCode,0)),IF(INDIRECT(ADDRESS(ROW(),COLUMN()-1,4))="25102001","Tanques",""))</f>
        <v>Tanques</v>
      </c>
      <c r="C4648" s="95" t="str">
        <f>IFERROR(VLOOKUP("UD",'Informacion '!P:Q,2,FALSE),"")</f>
        <v>Unidad</v>
      </c>
      <c r="D4648" s="94">
        <v>1</v>
      </c>
      <c r="E4648" s="84">
        <v>5500</v>
      </c>
      <c r="F4648" s="83">
        <f t="shared" ca="1" si="204"/>
        <v>5500</v>
      </c>
    </row>
    <row r="4649" spans="1:6" ht="14.1" customHeight="1" x14ac:dyDescent="0.25">
      <c r="A4649" s="94" t="s">
        <v>10218</v>
      </c>
      <c r="B4649" s="82" t="str">
        <f ca="1">IFERROR(INDEX(UNSPSCDes,MATCH(INDIRECT(ADDRESS(ROW(),COLUMN()-1,4)),UNSPSCCode,0)),IF(INDIRECT(ADDRESS(ROW(),COLUMN()-1,4))="25102001","Tanques",""))</f>
        <v>Tanques</v>
      </c>
      <c r="C4649" s="95" t="str">
        <f>IFERROR(VLOOKUP("UD",'Informacion '!P:Q,2,FALSE),"")</f>
        <v>Unidad</v>
      </c>
      <c r="D4649" s="94">
        <v>10</v>
      </c>
      <c r="E4649" s="84">
        <v>8000</v>
      </c>
      <c r="F4649" s="83">
        <f t="shared" ca="1" si="204"/>
        <v>80000</v>
      </c>
    </row>
    <row r="4650" spans="1:6" ht="14.1" customHeight="1" x14ac:dyDescent="0.25">
      <c r="A4650" s="94" t="s">
        <v>10218</v>
      </c>
      <c r="B4650" s="82" t="str">
        <f ca="1">IFERROR(INDEX(UNSPSCDes,MATCH(INDIRECT(ADDRESS(ROW(),COLUMN()-1,4)),UNSPSCCode,0)),IF(INDIRECT(ADDRESS(ROW(),COLUMN()-1,4))="25102001","Tanques",""))</f>
        <v>Tanques</v>
      </c>
      <c r="C4650" s="95" t="str">
        <f>IFERROR(VLOOKUP("UD",'Informacion '!P:Q,2,FALSE),"")</f>
        <v>Unidad</v>
      </c>
      <c r="D4650" s="94">
        <v>1</v>
      </c>
      <c r="E4650" s="84">
        <v>4800</v>
      </c>
      <c r="F4650" s="83">
        <f t="shared" ca="1" si="204"/>
        <v>4800</v>
      </c>
    </row>
    <row r="4651" spans="1:6" ht="14.1" customHeight="1" x14ac:dyDescent="0.25">
      <c r="A4651" s="94" t="s">
        <v>10218</v>
      </c>
      <c r="B4651" s="82" t="str">
        <f ca="1">IFERROR(INDEX(UNSPSCDes,MATCH(INDIRECT(ADDRESS(ROW(),COLUMN()-1,4)),UNSPSCCode,0)),IF(INDIRECT(ADDRESS(ROW(),COLUMN()-1,4))="25102001","Tanques",""))</f>
        <v>Tanques</v>
      </c>
      <c r="C4651" s="95" t="str">
        <f>IFERROR(VLOOKUP("UD",'Informacion '!P:Q,2,FALSE),"")</f>
        <v>Unidad</v>
      </c>
      <c r="D4651" s="94">
        <v>1</v>
      </c>
      <c r="E4651" s="84">
        <v>6800</v>
      </c>
      <c r="F4651" s="83">
        <f t="shared" ca="1" si="204"/>
        <v>6800</v>
      </c>
    </row>
    <row r="4652" spans="1:6" ht="14.1" customHeight="1" x14ac:dyDescent="0.25">
      <c r="A4652" s="94" t="s">
        <v>11926</v>
      </c>
      <c r="B4652" s="82" t="str">
        <f ca="1">IFERROR(INDEX(UNSPSCDes,MATCH(INDIRECT(ADDRESS(ROW(),COLUMN()-1,4)),UNSPSCCode,0)),IF(INDIRECT(ADDRESS(ROW(),COLUMN()-1,4))="27111508","Sierras",""))</f>
        <v>Sierras</v>
      </c>
      <c r="C4652" s="95" t="str">
        <f>IFERROR(VLOOKUP("UD",'Informacion '!P:Q,2,FALSE),"")</f>
        <v>Unidad</v>
      </c>
      <c r="D4652" s="94">
        <v>10</v>
      </c>
      <c r="E4652" s="84">
        <v>130</v>
      </c>
      <c r="F4652" s="83">
        <f t="shared" ca="1" si="204"/>
        <v>1300</v>
      </c>
    </row>
    <row r="4653" spans="1:6" ht="14.1" customHeight="1" x14ac:dyDescent="0.25">
      <c r="A4653" s="94" t="s">
        <v>11012</v>
      </c>
      <c r="B4653" s="82" t="str">
        <f ca="1">IFERROR(INDEX(UNSPSCDes,MATCH(INDIRECT(ADDRESS(ROW(),COLUMN()-1,4)),UNSPSCCode,0)),IF(INDIRECT(ADDRESS(ROW(),COLUMN()-1,4))="39121525","Interruptores infusibles",""))</f>
        <v>Interruptores infusibles</v>
      </c>
      <c r="C4653" s="95" t="str">
        <f>IFERROR(VLOOKUP("UD",'Informacion '!P:Q,2,FALSE),"")</f>
        <v>Unidad</v>
      </c>
      <c r="D4653" s="94">
        <v>5</v>
      </c>
      <c r="E4653" s="84">
        <v>85</v>
      </c>
      <c r="F4653" s="83">
        <f t="shared" ca="1" si="204"/>
        <v>425</v>
      </c>
    </row>
    <row r="4654" spans="1:6" ht="14.1" customHeight="1" x14ac:dyDescent="0.25">
      <c r="A4654" s="94" t="s">
        <v>11012</v>
      </c>
      <c r="B4654" s="82" t="str">
        <f ca="1">IFERROR(INDEX(UNSPSCDes,MATCH(INDIRECT(ADDRESS(ROW(),COLUMN()-1,4)),UNSPSCCode,0)),IF(INDIRECT(ADDRESS(ROW(),COLUMN()-1,4))="39121525","Interruptores infusibles",""))</f>
        <v>Interruptores infusibles</v>
      </c>
      <c r="C4654" s="95" t="str">
        <f>IFERROR(VLOOKUP("UD",'Informacion '!P:Q,2,FALSE),"")</f>
        <v>Unidad</v>
      </c>
      <c r="D4654" s="94">
        <v>5</v>
      </c>
      <c r="E4654" s="84">
        <v>68</v>
      </c>
      <c r="F4654" s="83">
        <f t="shared" ca="1" si="204"/>
        <v>340</v>
      </c>
    </row>
    <row r="4655" spans="1:6" ht="14.1" customHeight="1" x14ac:dyDescent="0.25">
      <c r="A4655" s="94" t="s">
        <v>1126</v>
      </c>
      <c r="B4655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4655" s="95" t="str">
        <f>IFERROR(VLOOKUP("UD",'Informacion '!P:Q,2,FALSE),"")</f>
        <v>Unidad</v>
      </c>
      <c r="D4655" s="94">
        <v>20</v>
      </c>
      <c r="E4655" s="84">
        <v>400</v>
      </c>
      <c r="F4655" s="83">
        <f t="shared" ca="1" si="204"/>
        <v>8000</v>
      </c>
    </row>
    <row r="4656" spans="1:6" ht="14.1" customHeight="1" x14ac:dyDescent="0.25">
      <c r="A4656" s="94" t="s">
        <v>1126</v>
      </c>
      <c r="B4656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4656" s="95" t="str">
        <f>IFERROR(VLOOKUP("UD",'Informacion '!P:Q,2,FALSE),"")</f>
        <v>Unidad</v>
      </c>
      <c r="D4656" s="94">
        <v>10</v>
      </c>
      <c r="E4656" s="84">
        <v>400</v>
      </c>
      <c r="F4656" s="83">
        <f t="shared" ca="1" si="204"/>
        <v>4000</v>
      </c>
    </row>
    <row r="4657" spans="1:6" ht="14.1" customHeight="1" x14ac:dyDescent="0.25">
      <c r="A4657" s="94" t="s">
        <v>14491</v>
      </c>
      <c r="B4657" s="82" t="str">
        <f ca="1">IFERROR(INDEX(UNSPSCDes,MATCH(INDIRECT(ADDRESS(ROW(),COLUMN()-1,4)),UNSPSCCode,0)),IF(INDIRECT(ADDRESS(ROW(),COLUMN()-1,4))="30181512","Asientos de inodoro",""))</f>
        <v>Asientos de inodoro</v>
      </c>
      <c r="C4657" s="95" t="str">
        <f>IFERROR(VLOOKUP("UD",'Informacion '!P:Q,2,FALSE),"")</f>
        <v>Unidad</v>
      </c>
      <c r="D4657" s="94">
        <v>10</v>
      </c>
      <c r="E4657" s="84">
        <v>200</v>
      </c>
      <c r="F4657" s="83">
        <f t="shared" ca="1" si="204"/>
        <v>2000</v>
      </c>
    </row>
    <row r="4658" spans="1:6" ht="14.1" customHeight="1" x14ac:dyDescent="0.25">
      <c r="A4658" s="94" t="s">
        <v>9883</v>
      </c>
      <c r="B4658" s="82" t="str">
        <f ca="1">IFERROR(INDEX(UNSPSCDes,MATCH(INDIRECT(ADDRESS(ROW(),COLUMN()-1,4)),UNSPSCCode,0)),IF(INDIRECT(ADDRESS(ROW(),COLUMN()-1,4))="39101601","Lámparas halógenas",""))</f>
        <v>Lámparas halógenas</v>
      </c>
      <c r="C4658" s="95" t="str">
        <f>IFERROR(VLOOKUP("UD",'Informacion '!P:Q,2,FALSE),"")</f>
        <v>Unidad</v>
      </c>
      <c r="D4658" s="94">
        <v>25</v>
      </c>
      <c r="E4658" s="84">
        <v>2000</v>
      </c>
      <c r="F4658" s="83">
        <f t="shared" ca="1" si="204"/>
        <v>50000</v>
      </c>
    </row>
    <row r="4659" spans="1:6" ht="14.1" customHeight="1" x14ac:dyDescent="0.25">
      <c r="A4659" s="94" t="s">
        <v>19265</v>
      </c>
      <c r="B4659" s="82" t="str">
        <f ca="1">IFERROR(INDEX(UNSPSCDes,MATCH(INDIRECT(ADDRESS(ROW(),COLUMN()-1,4)),UNSPSCCode,0)),IF(INDIRECT(ADDRESS(ROW(),COLUMN()-1,4))="46171505","Llaves",""))</f>
        <v>Llaves</v>
      </c>
      <c r="C4659" s="95" t="str">
        <f>IFERROR(VLOOKUP("UD",'Informacion '!P:Q,2,FALSE),"")</f>
        <v>Unidad</v>
      </c>
      <c r="D4659" s="94">
        <v>30</v>
      </c>
      <c r="E4659" s="84">
        <v>130</v>
      </c>
      <c r="F4659" s="83">
        <f t="shared" ca="1" si="204"/>
        <v>3900</v>
      </c>
    </row>
    <row r="4660" spans="1:6" ht="14.1" customHeight="1" x14ac:dyDescent="0.25">
      <c r="A4660" s="94" t="s">
        <v>19265</v>
      </c>
      <c r="B4660" s="82" t="str">
        <f ca="1">IFERROR(INDEX(UNSPSCDes,MATCH(INDIRECT(ADDRESS(ROW(),COLUMN()-1,4)),UNSPSCCode,0)),IF(INDIRECT(ADDRESS(ROW(),COLUMN()-1,4))="46171505","Llaves",""))</f>
        <v>Llaves</v>
      </c>
      <c r="C4660" s="95" t="str">
        <f>IFERROR(VLOOKUP("UD",'Informacion '!P:Q,2,FALSE),"")</f>
        <v>Unidad</v>
      </c>
      <c r="D4660" s="94">
        <v>30</v>
      </c>
      <c r="E4660" s="84">
        <v>75</v>
      </c>
      <c r="F4660" s="83">
        <f t="shared" ref="F4660:F4691" ca="1" si="206">INDIRECT(ADDRESS(ROW(),COLUMN()-2,4))*INDIRECT(ADDRESS(ROW(),COLUMN()-1,4))</f>
        <v>2250</v>
      </c>
    </row>
    <row r="4661" spans="1:6" ht="14.1" customHeight="1" x14ac:dyDescent="0.25">
      <c r="A4661" s="94" t="s">
        <v>4286</v>
      </c>
      <c r="B4661" s="82" t="str">
        <f t="shared" ref="B4661:B4666" ca="1" si="207">IFERROR(INDEX(UNSPSCDes,MATCH(INDIRECT(ADDRESS(ROW(),COLUMN()-1,4)),UNSPSCCode,0)),IF(INDIRECT(ADDRESS(ROW(),COLUMN()-1,4))="40142008","Mangueras de agua",""))</f>
        <v>Mangueras de agua</v>
      </c>
      <c r="C4661" s="95" t="str">
        <f>IFERROR(VLOOKUP("UD",'Informacion '!P:Q,2,FALSE),"")</f>
        <v>Unidad</v>
      </c>
      <c r="D4661" s="94">
        <v>7</v>
      </c>
      <c r="E4661" s="84">
        <v>2100</v>
      </c>
      <c r="F4661" s="83">
        <f t="shared" ca="1" si="206"/>
        <v>14700</v>
      </c>
    </row>
    <row r="4662" spans="1:6" ht="14.1" customHeight="1" x14ac:dyDescent="0.25">
      <c r="A4662" s="94" t="s">
        <v>4286</v>
      </c>
      <c r="B4662" s="82" t="str">
        <f t="shared" ca="1" si="207"/>
        <v>Mangueras de agua</v>
      </c>
      <c r="C4662" s="95" t="str">
        <f>IFERROR(VLOOKUP("UD",'Informacion '!P:Q,2,FALSE),"")</f>
        <v>Unidad</v>
      </c>
      <c r="D4662" s="94">
        <v>7</v>
      </c>
      <c r="E4662" s="84">
        <v>2800</v>
      </c>
      <c r="F4662" s="83">
        <f t="shared" ca="1" si="206"/>
        <v>19600</v>
      </c>
    </row>
    <row r="4663" spans="1:6" ht="14.1" customHeight="1" x14ac:dyDescent="0.25">
      <c r="A4663" s="94" t="s">
        <v>4286</v>
      </c>
      <c r="B4663" s="82" t="str">
        <f t="shared" ca="1" si="207"/>
        <v>Mangueras de agua</v>
      </c>
      <c r="C4663" s="95" t="str">
        <f>IFERROR(VLOOKUP("UD",'Informacion '!P:Q,2,FALSE),"")</f>
        <v>Unidad</v>
      </c>
      <c r="D4663" s="94">
        <v>10</v>
      </c>
      <c r="E4663" s="84">
        <v>200</v>
      </c>
      <c r="F4663" s="83">
        <f t="shared" ca="1" si="206"/>
        <v>2000</v>
      </c>
    </row>
    <row r="4664" spans="1:6" ht="14.1" customHeight="1" x14ac:dyDescent="0.25">
      <c r="A4664" s="94" t="s">
        <v>4286</v>
      </c>
      <c r="B4664" s="82" t="str">
        <f t="shared" ca="1" si="207"/>
        <v>Mangueras de agua</v>
      </c>
      <c r="C4664" s="95" t="str">
        <f>IFERROR(VLOOKUP("UD",'Informacion '!P:Q,2,FALSE),"")</f>
        <v>Unidad</v>
      </c>
      <c r="D4664" s="94">
        <v>10</v>
      </c>
      <c r="E4664" s="84">
        <v>200</v>
      </c>
      <c r="F4664" s="83">
        <f t="shared" ca="1" si="206"/>
        <v>2000</v>
      </c>
    </row>
    <row r="4665" spans="1:6" ht="14.1" customHeight="1" x14ac:dyDescent="0.25">
      <c r="A4665" s="94" t="s">
        <v>4286</v>
      </c>
      <c r="B4665" s="82" t="str">
        <f t="shared" ca="1" si="207"/>
        <v>Mangueras de agua</v>
      </c>
      <c r="C4665" s="95" t="str">
        <f>IFERROR(VLOOKUP("UD",'Informacion '!P:Q,2,FALSE),"")</f>
        <v>Unidad</v>
      </c>
      <c r="D4665" s="94">
        <v>1</v>
      </c>
      <c r="E4665" s="84">
        <v>5000</v>
      </c>
      <c r="F4665" s="83">
        <f t="shared" ca="1" si="206"/>
        <v>5000</v>
      </c>
    </row>
    <row r="4666" spans="1:6" ht="14.1" customHeight="1" x14ac:dyDescent="0.25">
      <c r="A4666" s="94" t="s">
        <v>4286</v>
      </c>
      <c r="B4666" s="82" t="str">
        <f t="shared" ca="1" si="207"/>
        <v>Mangueras de agua</v>
      </c>
      <c r="C4666" s="95" t="str">
        <f>IFERROR(VLOOKUP("UD",'Informacion '!P:Q,2,FALSE),"")</f>
        <v>Unidad</v>
      </c>
      <c r="D4666" s="94">
        <v>10</v>
      </c>
      <c r="E4666" s="84">
        <v>200</v>
      </c>
      <c r="F4666" s="83">
        <f t="shared" ca="1" si="206"/>
        <v>2000</v>
      </c>
    </row>
    <row r="4667" spans="1:6" ht="14.1" customHeight="1" x14ac:dyDescent="0.25">
      <c r="A4667" s="94" t="s">
        <v>9014</v>
      </c>
      <c r="B4667" s="82" t="str">
        <f ca="1">IFERROR(INDEX(UNSPSCDes,MATCH(INDIRECT(ADDRESS(ROW(),COLUMN()-1,4)),UNSPSCCode,0)),IF(INDIRECT(ADDRESS(ROW(),COLUMN()-1,4))="26111722","Adaptador de batería o accesorios",""))</f>
        <v>Adaptador de batería o accesorios</v>
      </c>
      <c r="C4667" s="95" t="str">
        <f>IFERROR(VLOOKUP("UD",'Informacion '!P:Q,2,FALSE),"")</f>
        <v>Unidad</v>
      </c>
      <c r="D4667" s="94">
        <v>1</v>
      </c>
      <c r="E4667" s="84">
        <v>12000</v>
      </c>
      <c r="F4667" s="83">
        <f t="shared" ca="1" si="206"/>
        <v>12000</v>
      </c>
    </row>
    <row r="4668" spans="1:6" ht="14.1" customHeight="1" x14ac:dyDescent="0.25">
      <c r="A4668" s="94" t="s">
        <v>6953</v>
      </c>
      <c r="B4668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668" s="95" t="str">
        <f>IFERROR(VLOOKUP("UD",'Informacion '!P:Q,2,FALSE),"")</f>
        <v>Unidad</v>
      </c>
      <c r="D4668" s="94">
        <v>1</v>
      </c>
      <c r="E4668" s="84">
        <v>400000</v>
      </c>
      <c r="F4668" s="83">
        <f t="shared" ca="1" si="206"/>
        <v>400000</v>
      </c>
    </row>
    <row r="4669" spans="1:6" ht="14.1" customHeight="1" x14ac:dyDescent="0.25">
      <c r="A4669" s="94" t="s">
        <v>6953</v>
      </c>
      <c r="B4669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669" s="95" t="str">
        <f>IFERROR(VLOOKUP("UD",'Informacion '!P:Q,2,FALSE),"")</f>
        <v>Unidad</v>
      </c>
      <c r="D4669" s="94">
        <v>1</v>
      </c>
      <c r="E4669" s="84">
        <v>120000</v>
      </c>
      <c r="F4669" s="83">
        <f t="shared" ca="1" si="206"/>
        <v>120000</v>
      </c>
    </row>
    <row r="4670" spans="1:6" ht="14.1" customHeight="1" x14ac:dyDescent="0.25">
      <c r="A4670" s="94" t="s">
        <v>6953</v>
      </c>
      <c r="B4670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670" s="95" t="str">
        <f>IFERROR(VLOOKUP("UD",'Informacion '!P:Q,2,FALSE),"")</f>
        <v>Unidad</v>
      </c>
      <c r="D4670" s="94">
        <v>1</v>
      </c>
      <c r="E4670" s="84">
        <v>75000</v>
      </c>
      <c r="F4670" s="83">
        <f t="shared" ca="1" si="206"/>
        <v>75000</v>
      </c>
    </row>
    <row r="4671" spans="1:6" ht="14.1" customHeight="1" x14ac:dyDescent="0.25">
      <c r="A4671" s="94" t="s">
        <v>6953</v>
      </c>
      <c r="B4671" s="82" t="str">
        <f ca="1">IFERROR(INDEX(UNSPSCDes,MATCH(INDIRECT(ADDRESS(ROW(),COLUMN()-1,4)),UNSPSCCode,0)),IF(INDIRECT(ADDRESS(ROW(),COLUMN()-1,4))="72102304","Mantenimiento o reparación de sistemas de fontanería",""))</f>
        <v>Mantenimiento o reparación de sistemas de fontanería</v>
      </c>
      <c r="C4671" s="95" t="str">
        <f>IFERROR(VLOOKUP("UD",'Informacion '!P:Q,2,FALSE),"")</f>
        <v>Unidad</v>
      </c>
      <c r="D4671" s="94">
        <v>1</v>
      </c>
      <c r="E4671" s="84">
        <v>90000</v>
      </c>
      <c r="F4671" s="83">
        <f t="shared" ca="1" si="206"/>
        <v>90000</v>
      </c>
    </row>
    <row r="4672" spans="1:6" ht="14.1" customHeight="1" x14ac:dyDescent="0.25">
      <c r="A4672" s="94" t="s">
        <v>6723</v>
      </c>
      <c r="B4672" s="82" t="str">
        <f ca="1">IFERROR(INDEX(UNSPSCDes,MATCH(INDIRECT(ADDRESS(ROW(),COLUMN()-1,4)),UNSPSCCode,0)),IF(INDIRECT(ADDRESS(ROW(),COLUMN()-1,4))="15101506","Gasolina",""))</f>
        <v>Gasolina</v>
      </c>
      <c r="C4672" s="95" t="str">
        <f>IFERROR(VLOOKUP("GAL",'Informacion '!P:Q,2,FALSE),"")</f>
        <v>Galón</v>
      </c>
      <c r="D4672" s="94">
        <v>3500</v>
      </c>
      <c r="E4672" s="84">
        <v>205</v>
      </c>
      <c r="F4672" s="83">
        <f t="shared" ca="1" si="206"/>
        <v>717500</v>
      </c>
    </row>
    <row r="4673" spans="1:6" ht="14.1" customHeight="1" x14ac:dyDescent="0.25">
      <c r="A4673" s="94" t="s">
        <v>2062</v>
      </c>
      <c r="B4673" s="82" t="str">
        <f ca="1">IFERROR(INDEX(UNSPSCDes,MATCH(INDIRECT(ADDRESS(ROW(),COLUMN()-1,4)),UNSPSCCode,0)),IF(INDIRECT(ADDRESS(ROW(),COLUMN()-1,4))="31162702","Ruedas",""))</f>
        <v>Ruedas</v>
      </c>
      <c r="C4673" s="95" t="str">
        <f>IFERROR(VLOOKUP("UD",'Informacion '!P:Q,2,FALSE),"")</f>
        <v>Unidad</v>
      </c>
      <c r="D4673" s="94">
        <v>1</v>
      </c>
      <c r="E4673" s="84">
        <v>13000</v>
      </c>
      <c r="F4673" s="83">
        <f t="shared" ca="1" si="206"/>
        <v>13000</v>
      </c>
    </row>
    <row r="4674" spans="1:6" ht="14.1" customHeight="1" x14ac:dyDescent="0.25">
      <c r="A4674" s="94" t="s">
        <v>11215</v>
      </c>
      <c r="B4674" s="82" t="str">
        <f ca="1">IFERROR(INDEX(UNSPSCDes,MATCH(INDIRECT(ADDRESS(ROW(),COLUMN()-1,4)),UNSPSCCode,0)),IF(INDIRECT(ADDRESS(ROW(),COLUMN()-1,4))="27111701","Destornilladores",""))</f>
        <v>Destornilladores</v>
      </c>
      <c r="C4674" s="95" t="str">
        <f>IFERROR(VLOOKUP("UD",'Informacion '!P:Q,2,FALSE),"")</f>
        <v>Unidad</v>
      </c>
      <c r="D4674" s="94">
        <v>1</v>
      </c>
      <c r="E4674" s="84">
        <v>5000</v>
      </c>
      <c r="F4674" s="83">
        <f t="shared" ca="1" si="206"/>
        <v>5000</v>
      </c>
    </row>
    <row r="4675" spans="1:6" ht="14.1" customHeight="1" x14ac:dyDescent="0.25">
      <c r="A4675" s="94" t="s">
        <v>3294</v>
      </c>
      <c r="B4675" s="82" t="str">
        <f ca="1">IFERROR(INDEX(UNSPSCDes,MATCH(INDIRECT(ADDRESS(ROW(),COLUMN()-1,4)),UNSPSCCode,0)),IF(INDIRECT(ADDRESS(ROW(),COLUMN()-1,4))="23191004","Mezcladoras intensivas",""))</f>
        <v>Mezcladoras intensivas</v>
      </c>
      <c r="C4675" s="95" t="str">
        <f>IFERROR(VLOOKUP("UD",'Informacion '!P:Q,2,FALSE),"")</f>
        <v>Unidad</v>
      </c>
      <c r="D4675" s="94">
        <v>10</v>
      </c>
      <c r="E4675" s="84">
        <v>2000</v>
      </c>
      <c r="F4675" s="83">
        <f t="shared" ca="1" si="206"/>
        <v>20000</v>
      </c>
    </row>
    <row r="4676" spans="1:6" ht="14.1" customHeight="1" x14ac:dyDescent="0.25">
      <c r="A4676" s="94" t="s">
        <v>10330</v>
      </c>
      <c r="B4676" s="82" t="str">
        <f ca="1">IFERROR(INDEX(UNSPSCDes,MATCH(INDIRECT(ADDRESS(ROW(),COLUMN()-1,4)),UNSPSCCode,0)),IF(INDIRECT(ADDRESS(ROW(),COLUMN()-1,4))="30181504","Lavamanos",""))</f>
        <v>Lavamanos</v>
      </c>
      <c r="C4676" s="95" t="str">
        <f>IFERROR(VLOOKUP("UD",'Informacion '!P:Q,2,FALSE),"")</f>
        <v>Unidad</v>
      </c>
      <c r="D4676" s="94">
        <v>20</v>
      </c>
      <c r="E4676" s="84">
        <v>2400</v>
      </c>
      <c r="F4676" s="83">
        <f t="shared" ca="1" si="206"/>
        <v>48000</v>
      </c>
    </row>
    <row r="4677" spans="1:6" ht="14.1" customHeight="1" x14ac:dyDescent="0.25">
      <c r="A4677" s="94" t="s">
        <v>10466</v>
      </c>
      <c r="B4677" s="82" t="str">
        <f ca="1">IFERROR(INDEX(UNSPSCDes,MATCH(INDIRECT(ADDRESS(ROW(),COLUMN()-1,4)),UNSPSCCode,0)),IF(INDIRECT(ADDRESS(ROW(),COLUMN()-1,4))="12163501","Sellantes de cemento",""))</f>
        <v>Sellantes de cemento</v>
      </c>
      <c r="C4677" s="95" t="str">
        <f>IFERROR(VLOOKUP("UD",'Informacion '!P:Q,2,FALSE),"")</f>
        <v>Unidad</v>
      </c>
      <c r="D4677" s="94">
        <v>3</v>
      </c>
      <c r="E4677" s="84">
        <v>1200</v>
      </c>
      <c r="F4677" s="83">
        <f t="shared" ca="1" si="206"/>
        <v>3600</v>
      </c>
    </row>
    <row r="4678" spans="1:6" ht="14.1" customHeight="1" x14ac:dyDescent="0.25">
      <c r="A4678" s="94" t="s">
        <v>10466</v>
      </c>
      <c r="B4678" s="82" t="str">
        <f ca="1">IFERROR(INDEX(UNSPSCDes,MATCH(INDIRECT(ADDRESS(ROW(),COLUMN()-1,4)),UNSPSCCode,0)),IF(INDIRECT(ADDRESS(ROW(),COLUMN()-1,4))="12163501","Sellantes de cemento",""))</f>
        <v>Sellantes de cemento</v>
      </c>
      <c r="C4678" s="95" t="str">
        <f>IFERROR(VLOOKUP("UD",'Informacion '!P:Q,2,FALSE),"")</f>
        <v>Unidad</v>
      </c>
      <c r="D4678" s="94">
        <v>3</v>
      </c>
      <c r="E4678" s="84">
        <v>2200</v>
      </c>
      <c r="F4678" s="83">
        <f t="shared" ca="1" si="206"/>
        <v>6600</v>
      </c>
    </row>
    <row r="4679" spans="1:6" ht="14.1" customHeight="1" x14ac:dyDescent="0.25">
      <c r="A4679" s="94" t="s">
        <v>8226</v>
      </c>
      <c r="B4679" s="82" t="str">
        <f ca="1">IFERROR(INDEX(UNSPSCDes,MATCH(INDIRECT(ADDRESS(ROW(),COLUMN()-1,4)),UNSPSCCode,0)),IF(INDIRECT(ADDRESS(ROW(),COLUMN()-1,4))="39111808","Parrillas",""))</f>
        <v>Parrillas</v>
      </c>
      <c r="C4679" s="95" t="str">
        <f>IFERROR(VLOOKUP("UD",'Informacion '!P:Q,2,FALSE),"")</f>
        <v>Unidad</v>
      </c>
      <c r="D4679" s="94">
        <v>25</v>
      </c>
      <c r="E4679" s="84">
        <v>200</v>
      </c>
      <c r="F4679" s="83">
        <f t="shared" ca="1" si="206"/>
        <v>5000</v>
      </c>
    </row>
    <row r="4680" spans="1:6" ht="14.1" customHeight="1" x14ac:dyDescent="0.25">
      <c r="A4680" s="94" t="s">
        <v>4286</v>
      </c>
      <c r="B4680" s="82" t="str">
        <f ca="1">IFERROR(INDEX(UNSPSCDes,MATCH(INDIRECT(ADDRESS(ROW(),COLUMN()-1,4)),UNSPSCCode,0)),IF(INDIRECT(ADDRESS(ROW(),COLUMN()-1,4))="40142008","Mangueras de agua",""))</f>
        <v>Mangueras de agua</v>
      </c>
      <c r="C4680" s="95" t="str">
        <f>IFERROR(VLOOKUP("UD",'Informacion '!P:Q,2,FALSE),"")</f>
        <v>Unidad</v>
      </c>
      <c r="D4680" s="94">
        <v>25</v>
      </c>
      <c r="E4680" s="84">
        <v>180</v>
      </c>
      <c r="F4680" s="83">
        <f t="shared" ca="1" si="206"/>
        <v>4500</v>
      </c>
    </row>
    <row r="4681" spans="1:6" ht="14.1" customHeight="1" x14ac:dyDescent="0.25">
      <c r="A4681" s="94" t="s">
        <v>4286</v>
      </c>
      <c r="B4681" s="82" t="str">
        <f ca="1">IFERROR(INDEX(UNSPSCDes,MATCH(INDIRECT(ADDRESS(ROW(),COLUMN()-1,4)),UNSPSCCode,0)),IF(INDIRECT(ADDRESS(ROW(),COLUMN()-1,4))="40142008","Mangueras de agua",""))</f>
        <v>Mangueras de agua</v>
      </c>
      <c r="C4681" s="95" t="str">
        <f>IFERROR(VLOOKUP("UD",'Informacion '!P:Q,2,FALSE),"")</f>
        <v>Unidad</v>
      </c>
      <c r="D4681" s="94">
        <v>25</v>
      </c>
      <c r="E4681" s="84">
        <v>197</v>
      </c>
      <c r="F4681" s="83">
        <f t="shared" ca="1" si="206"/>
        <v>4925</v>
      </c>
    </row>
    <row r="4682" spans="1:6" ht="14.1" customHeight="1" x14ac:dyDescent="0.25">
      <c r="A4682" s="94" t="s">
        <v>4286</v>
      </c>
      <c r="B4682" s="82" t="str">
        <f ca="1">IFERROR(INDEX(UNSPSCDes,MATCH(INDIRECT(ADDRESS(ROW(),COLUMN()-1,4)),UNSPSCCode,0)),IF(INDIRECT(ADDRESS(ROW(),COLUMN()-1,4))="40142008","Mangueras de agua",""))</f>
        <v>Mangueras de agua</v>
      </c>
      <c r="C4682" s="95" t="str">
        <f>IFERROR(VLOOKUP("UD",'Informacion '!P:Q,2,FALSE),"")</f>
        <v>Unidad</v>
      </c>
      <c r="D4682" s="94">
        <v>25</v>
      </c>
      <c r="E4682" s="84">
        <v>220</v>
      </c>
      <c r="F4682" s="83">
        <f t="shared" ca="1" si="206"/>
        <v>5500</v>
      </c>
    </row>
    <row r="4683" spans="1:6" ht="14.1" customHeight="1" x14ac:dyDescent="0.25">
      <c r="A4683" s="94" t="s">
        <v>4286</v>
      </c>
      <c r="B4683" s="82" t="str">
        <f ca="1">IFERROR(INDEX(UNSPSCDes,MATCH(INDIRECT(ADDRESS(ROW(),COLUMN()-1,4)),UNSPSCCode,0)),IF(INDIRECT(ADDRESS(ROW(),COLUMN()-1,4))="40142008","Mangueras de agua",""))</f>
        <v>Mangueras de agua</v>
      </c>
      <c r="C4683" s="95" t="str">
        <f>IFERROR(VLOOKUP("UD",'Informacion '!P:Q,2,FALSE),"")</f>
        <v>Unidad</v>
      </c>
      <c r="D4683" s="94">
        <v>25</v>
      </c>
      <c r="E4683" s="84">
        <v>197</v>
      </c>
      <c r="F4683" s="83">
        <f t="shared" ca="1" si="206"/>
        <v>4925</v>
      </c>
    </row>
    <row r="4684" spans="1:6" ht="14.1" customHeight="1" x14ac:dyDescent="0.25">
      <c r="A4684" s="94" t="s">
        <v>3294</v>
      </c>
      <c r="B4684" s="82" t="str">
        <f ca="1">IFERROR(INDEX(UNSPSCDes,MATCH(INDIRECT(ADDRESS(ROW(),COLUMN()-1,4)),UNSPSCCode,0)),IF(INDIRECT(ADDRESS(ROW(),COLUMN()-1,4))="23191004","Mezcladoras intensivas",""))</f>
        <v>Mezcladoras intensivas</v>
      </c>
      <c r="C4684" s="95" t="str">
        <f>IFERROR(VLOOKUP("UD",'Informacion '!P:Q,2,FALSE),"")</f>
        <v>Unidad</v>
      </c>
      <c r="D4684" s="94">
        <v>5</v>
      </c>
      <c r="E4684" s="84">
        <v>6700</v>
      </c>
      <c r="F4684" s="83">
        <f t="shared" ca="1" si="206"/>
        <v>33500</v>
      </c>
    </row>
    <row r="4685" spans="1:6" ht="14.1" customHeight="1" x14ac:dyDescent="0.25">
      <c r="A4685" s="94" t="s">
        <v>3294</v>
      </c>
      <c r="B4685" s="82" t="str">
        <f ca="1">IFERROR(INDEX(UNSPSCDes,MATCH(INDIRECT(ADDRESS(ROW(),COLUMN()-1,4)),UNSPSCCode,0)),IF(INDIRECT(ADDRESS(ROW(),COLUMN()-1,4))="23191004","Mezcladoras intensivas",""))</f>
        <v>Mezcladoras intensivas</v>
      </c>
      <c r="C4685" s="95" t="str">
        <f>IFERROR(VLOOKUP("UD",'Informacion '!P:Q,2,FALSE),"")</f>
        <v>Unidad</v>
      </c>
      <c r="D4685" s="94">
        <v>40</v>
      </c>
      <c r="E4685" s="84">
        <v>7825</v>
      </c>
      <c r="F4685" s="83">
        <f t="shared" ca="1" si="206"/>
        <v>313000</v>
      </c>
    </row>
    <row r="4686" spans="1:6" ht="14.1" customHeight="1" x14ac:dyDescent="0.25">
      <c r="A4686" s="94" t="s">
        <v>12220</v>
      </c>
      <c r="B4686" s="82" t="str">
        <f ca="1">IFERROR(INDEX(UNSPSCDes,MATCH(INDIRECT(ADDRESS(ROW(),COLUMN()-1,4)),UNSPSCCode,0)),IF(INDIRECT(ADDRESS(ROW(),COLUMN()-1,4))="24141705","Tubos plegables",""))</f>
        <v>Tubos plegables</v>
      </c>
      <c r="C4686" s="95" t="str">
        <f>IFERROR(VLOOKUP("UD",'Informacion '!P:Q,2,FALSE),"")</f>
        <v>Unidad</v>
      </c>
      <c r="D4686" s="94">
        <v>10</v>
      </c>
      <c r="E4686" s="84">
        <v>75</v>
      </c>
      <c r="F4686" s="83">
        <f t="shared" ca="1" si="206"/>
        <v>750</v>
      </c>
    </row>
    <row r="4687" spans="1:6" ht="14.1" customHeight="1" x14ac:dyDescent="0.25">
      <c r="A4687" s="94" t="s">
        <v>3749</v>
      </c>
      <c r="B4687" s="82" t="str">
        <f ca="1">IFERROR(INDEX(UNSPSCDes,MATCH(INDIRECT(ADDRESS(ROW(),COLUMN()-1,4)),UNSPSCCode,0)),IF(INDIRECT(ADDRESS(ROW(),COLUMN()-1,4))="53102902","Ropa atlética para hombre",""))</f>
        <v>Ropa atlética para hombre</v>
      </c>
      <c r="C4687" s="95" t="str">
        <f>IFERROR(VLOOKUP("UD",'Informacion '!P:Q,2,FALSE),"")</f>
        <v>Unidad</v>
      </c>
      <c r="D4687" s="94">
        <v>20</v>
      </c>
      <c r="E4687" s="84">
        <v>400</v>
      </c>
      <c r="F4687" s="83">
        <f t="shared" ca="1" si="206"/>
        <v>8000</v>
      </c>
    </row>
    <row r="4688" spans="1:6" ht="14.1" customHeight="1" x14ac:dyDescent="0.25">
      <c r="A4688" s="94" t="s">
        <v>12920</v>
      </c>
      <c r="B4688" s="82" t="str">
        <f ca="1">IFERROR(INDEX(UNSPSCDes,MATCH(INDIRECT(ADDRESS(ROW(),COLUMN()-1,4)),UNSPSCCode,0)),IF(INDIRECT(ADDRESS(ROW(),COLUMN()-1,4))="40151522","Bombas de osmosis inversa",""))</f>
        <v>Bombas de osmosis inversa</v>
      </c>
      <c r="C4688" s="95" t="str">
        <f>IFERROR(VLOOKUP("UD",'Informacion '!P:Q,2,FALSE),"")</f>
        <v>Unidad</v>
      </c>
      <c r="D4688" s="94">
        <v>1</v>
      </c>
      <c r="E4688" s="84">
        <v>60000</v>
      </c>
      <c r="F4688" s="83">
        <f t="shared" ca="1" si="206"/>
        <v>60000</v>
      </c>
    </row>
    <row r="4689" spans="1:6" ht="14.1" customHeight="1" x14ac:dyDescent="0.25">
      <c r="A4689" s="94" t="s">
        <v>7687</v>
      </c>
      <c r="B4689" s="82" t="str">
        <f ca="1">IFERROR(INDEX(UNSPSCDes,MATCH(INDIRECT(ADDRESS(ROW(),COLUMN()-1,4)),UNSPSCCode,0)),IF(INDIRECT(ADDRESS(ROW(),COLUMN()-1,4))="27112305","Marcadores o soportes de metal",""))</f>
        <v>Marcadores o soportes de metal</v>
      </c>
      <c r="C4689" s="95" t="str">
        <f>IFERROR(VLOOKUP("UD",'Informacion '!P:Q,2,FALSE),"")</f>
        <v>Unidad</v>
      </c>
      <c r="D4689" s="94">
        <v>15</v>
      </c>
      <c r="E4689" s="84">
        <v>35</v>
      </c>
      <c r="F4689" s="83">
        <f t="shared" ca="1" si="206"/>
        <v>525</v>
      </c>
    </row>
    <row r="4690" spans="1:6" ht="14.1" customHeight="1" x14ac:dyDescent="0.25">
      <c r="A4690" s="94" t="s">
        <v>2228</v>
      </c>
      <c r="B4690" s="82" t="str">
        <f ca="1">IFERROR(INDEX(UNSPSCDes,MATCH(INDIRECT(ADDRESS(ROW(),COLUMN()-1,4)),UNSPSCCode,0)),IF(INDIRECT(ADDRESS(ROW(),COLUMN()-1,4))="26131603","Rejillas de agua",""))</f>
        <v>Rejillas de agua</v>
      </c>
      <c r="C4690" s="95" t="str">
        <f>IFERROR(VLOOKUP("UD",'Informacion '!P:Q,2,FALSE),"")</f>
        <v>Unidad</v>
      </c>
      <c r="D4690" s="94">
        <v>10</v>
      </c>
      <c r="E4690" s="84">
        <v>570</v>
      </c>
      <c r="F4690" s="83">
        <f t="shared" ca="1" si="206"/>
        <v>5700</v>
      </c>
    </row>
    <row r="4691" spans="1:6" ht="14.1" customHeight="1" x14ac:dyDescent="0.25">
      <c r="A4691" s="94" t="s">
        <v>2228</v>
      </c>
      <c r="B4691" s="82" t="str">
        <f ca="1">IFERROR(INDEX(UNSPSCDes,MATCH(INDIRECT(ADDRESS(ROW(),COLUMN()-1,4)),UNSPSCCode,0)),IF(INDIRECT(ADDRESS(ROW(),COLUMN()-1,4))="26131603","Rejillas de agua",""))</f>
        <v>Rejillas de agua</v>
      </c>
      <c r="C4691" s="95" t="str">
        <f>IFERROR(VLOOKUP("UD",'Informacion '!P:Q,2,FALSE),"")</f>
        <v>Unidad</v>
      </c>
      <c r="D4691" s="94">
        <v>5</v>
      </c>
      <c r="E4691" s="84">
        <v>870</v>
      </c>
      <c r="F4691" s="83">
        <f t="shared" ca="1" si="206"/>
        <v>4350</v>
      </c>
    </row>
    <row r="4692" spans="1:6" ht="14.1" customHeight="1" x14ac:dyDescent="0.25">
      <c r="A4692" s="94" t="s">
        <v>12689</v>
      </c>
      <c r="B4692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692" s="95" t="str">
        <f>IFERROR(VLOOKUP("UD",'Informacion '!P:Q,2,FALSE),"")</f>
        <v>Unidad</v>
      </c>
      <c r="D4692" s="94">
        <v>3</v>
      </c>
      <c r="E4692" s="84">
        <v>8000</v>
      </c>
      <c r="F4692" s="83">
        <f t="shared" ref="F4692:F4723" ca="1" si="208">INDIRECT(ADDRESS(ROW(),COLUMN()-2,4))*INDIRECT(ADDRESS(ROW(),COLUMN()-1,4))</f>
        <v>24000</v>
      </c>
    </row>
    <row r="4693" spans="1:6" ht="14.1" customHeight="1" x14ac:dyDescent="0.25">
      <c r="A4693" s="94" t="s">
        <v>12689</v>
      </c>
      <c r="B4693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693" s="95" t="str">
        <f>IFERROR(VLOOKUP("UD",'Informacion '!P:Q,2,FALSE),"")</f>
        <v>Unidad</v>
      </c>
      <c r="D4693" s="94">
        <v>5</v>
      </c>
      <c r="E4693" s="84">
        <v>7000</v>
      </c>
      <c r="F4693" s="83">
        <f t="shared" ca="1" si="208"/>
        <v>35000</v>
      </c>
    </row>
    <row r="4694" spans="1:6" ht="14.1" customHeight="1" x14ac:dyDescent="0.25">
      <c r="A4694" s="94" t="s">
        <v>12689</v>
      </c>
      <c r="B4694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694" s="95" t="str">
        <f>IFERROR(VLOOKUP("UD",'Informacion '!P:Q,2,FALSE),"")</f>
        <v>Unidad</v>
      </c>
      <c r="D4694" s="94">
        <v>5</v>
      </c>
      <c r="E4694" s="84">
        <v>7000</v>
      </c>
      <c r="F4694" s="83">
        <f t="shared" ca="1" si="208"/>
        <v>35000</v>
      </c>
    </row>
    <row r="4695" spans="1:6" ht="14.1" customHeight="1" x14ac:dyDescent="0.25">
      <c r="A4695" s="94" t="s">
        <v>12689</v>
      </c>
      <c r="B4695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695" s="95" t="str">
        <f>IFERROR(VLOOKUP("UD",'Informacion '!P:Q,2,FALSE),"")</f>
        <v>Unidad</v>
      </c>
      <c r="D4695" s="94">
        <v>2</v>
      </c>
      <c r="E4695" s="84">
        <v>6000</v>
      </c>
      <c r="F4695" s="83">
        <f t="shared" ca="1" si="208"/>
        <v>12000</v>
      </c>
    </row>
    <row r="4696" spans="1:6" ht="14.1" customHeight="1" x14ac:dyDescent="0.25">
      <c r="A4696" s="94" t="s">
        <v>12689</v>
      </c>
      <c r="B4696" s="82" t="str">
        <f ca="1">IFERROR(INDEX(UNSPSCDes,MATCH(INDIRECT(ADDRESS(ROW(),COLUMN()-1,4)),UNSPSCCode,0)),IF(INDIRECT(ADDRESS(ROW(),COLUMN()-1,4))="26101513","Kit de reparación de motores",""))</f>
        <v>Kit de reparación de motores</v>
      </c>
      <c r="C4696" s="95" t="str">
        <f>IFERROR(VLOOKUP("UD",'Informacion '!P:Q,2,FALSE),"")</f>
        <v>Unidad</v>
      </c>
      <c r="D4696" s="94">
        <v>5</v>
      </c>
      <c r="E4696" s="84">
        <v>30000</v>
      </c>
      <c r="F4696" s="83">
        <f t="shared" ca="1" si="208"/>
        <v>150000</v>
      </c>
    </row>
    <row r="4697" spans="1:6" ht="14.1" customHeight="1" x14ac:dyDescent="0.25">
      <c r="A4697" s="94" t="s">
        <v>14120</v>
      </c>
      <c r="B4697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697" s="95" t="str">
        <f>IFERROR(VLOOKUP("UD",'Informacion '!P:Q,2,FALSE),"")</f>
        <v>Unidad</v>
      </c>
      <c r="D4697" s="94">
        <v>3</v>
      </c>
      <c r="E4697" s="84">
        <v>50000</v>
      </c>
      <c r="F4697" s="83">
        <f t="shared" ca="1" si="208"/>
        <v>150000</v>
      </c>
    </row>
    <row r="4698" spans="1:6" ht="14.1" customHeight="1" x14ac:dyDescent="0.25">
      <c r="A4698" s="94" t="s">
        <v>14120</v>
      </c>
      <c r="B4698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698" s="95" t="str">
        <f>IFERROR(VLOOKUP("UD",'Informacion '!P:Q,2,FALSE),"")</f>
        <v>Unidad</v>
      </c>
      <c r="D4698" s="94">
        <v>3</v>
      </c>
      <c r="E4698" s="84">
        <v>35000</v>
      </c>
      <c r="F4698" s="83">
        <f t="shared" ca="1" si="208"/>
        <v>105000</v>
      </c>
    </row>
    <row r="4699" spans="1:6" ht="14.1" customHeight="1" x14ac:dyDescent="0.25">
      <c r="A4699" s="94" t="s">
        <v>14120</v>
      </c>
      <c r="B4699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4699" s="95" t="str">
        <f>IFERROR(VLOOKUP("UD",'Informacion '!P:Q,2,FALSE),"")</f>
        <v>Unidad</v>
      </c>
      <c r="D4699" s="94">
        <v>8</v>
      </c>
      <c r="E4699" s="84">
        <v>10600</v>
      </c>
      <c r="F4699" s="83">
        <f t="shared" ca="1" si="208"/>
        <v>84800</v>
      </c>
    </row>
    <row r="4700" spans="1:6" ht="14.1" customHeight="1" x14ac:dyDescent="0.25">
      <c r="A4700" s="94" t="s">
        <v>12220</v>
      </c>
      <c r="B4700" s="82" t="str">
        <f ca="1">IFERROR(INDEX(UNSPSCDes,MATCH(INDIRECT(ADDRESS(ROW(),COLUMN()-1,4)),UNSPSCCode,0)),IF(INDIRECT(ADDRESS(ROW(),COLUMN()-1,4))="24141705","Tubos plegables",""))</f>
        <v>Tubos plegables</v>
      </c>
      <c r="C4700" s="95" t="str">
        <f>IFERROR(VLOOKUP("UD",'Informacion '!P:Q,2,FALSE),"")</f>
        <v>Unidad</v>
      </c>
      <c r="D4700" s="94">
        <v>15</v>
      </c>
      <c r="E4700" s="84">
        <v>687</v>
      </c>
      <c r="F4700" s="83">
        <f t="shared" ca="1" si="208"/>
        <v>10305</v>
      </c>
    </row>
    <row r="4701" spans="1:6" ht="14.1" customHeight="1" x14ac:dyDescent="0.25">
      <c r="A4701" s="94" t="s">
        <v>12220</v>
      </c>
      <c r="B4701" s="82" t="str">
        <f ca="1">IFERROR(INDEX(UNSPSCDes,MATCH(INDIRECT(ADDRESS(ROW(),COLUMN()-1,4)),UNSPSCCode,0)),IF(INDIRECT(ADDRESS(ROW(),COLUMN()-1,4))="24141705","Tubos plegables",""))</f>
        <v>Tubos plegables</v>
      </c>
      <c r="C4701" s="95" t="str">
        <f>IFERROR(VLOOKUP("UD",'Informacion '!P:Q,2,FALSE),"")</f>
        <v>Unidad</v>
      </c>
      <c r="D4701" s="94">
        <v>10</v>
      </c>
      <c r="E4701" s="84">
        <v>200</v>
      </c>
      <c r="F4701" s="83">
        <f t="shared" ca="1" si="208"/>
        <v>2000</v>
      </c>
    </row>
    <row r="4702" spans="1:6" ht="14.1" customHeight="1" x14ac:dyDescent="0.25">
      <c r="A4702" s="94" t="s">
        <v>13889</v>
      </c>
      <c r="B4702" s="82" t="str">
        <f ca="1">IFERROR(INDEX(UNSPSCDes,MATCH(INDIRECT(ADDRESS(ROW(),COLUMN()-1,4)),UNSPSCCode,0)),IF(INDIRECT(ADDRESS(ROW(),COLUMN()-1,4))="12352310","Siliconas",""))</f>
        <v>Siliconas</v>
      </c>
      <c r="C4702" s="95" t="str">
        <f>IFERROR(VLOOKUP("UD",'Informacion '!P:Q,2,FALSE),"")</f>
        <v>Unidad</v>
      </c>
      <c r="D4702" s="94">
        <v>10</v>
      </c>
      <c r="E4702" s="84">
        <v>180</v>
      </c>
      <c r="F4702" s="83">
        <f t="shared" ca="1" si="208"/>
        <v>1800</v>
      </c>
    </row>
    <row r="4703" spans="1:6" ht="14.1" customHeight="1" x14ac:dyDescent="0.25">
      <c r="A4703" s="94" t="s">
        <v>13889</v>
      </c>
      <c r="B4703" s="82" t="str">
        <f ca="1">IFERROR(INDEX(UNSPSCDes,MATCH(INDIRECT(ADDRESS(ROW(),COLUMN()-1,4)),UNSPSCCode,0)),IF(INDIRECT(ADDRESS(ROW(),COLUMN()-1,4))="12352310","Siliconas",""))</f>
        <v>Siliconas</v>
      </c>
      <c r="C4703" s="95" t="str">
        <f>IFERROR(VLOOKUP("UD",'Informacion '!P:Q,2,FALSE),"")</f>
        <v>Unidad</v>
      </c>
      <c r="D4703" s="94">
        <v>1</v>
      </c>
      <c r="E4703" s="84">
        <v>2000</v>
      </c>
      <c r="F4703" s="83">
        <f t="shared" ca="1" si="208"/>
        <v>2000</v>
      </c>
    </row>
    <row r="4704" spans="1:6" ht="14.1" customHeight="1" x14ac:dyDescent="0.25">
      <c r="A4704" s="94" t="s">
        <v>15043</v>
      </c>
      <c r="B4704" s="82" t="str">
        <f ca="1">IFERROR(INDEX(UNSPSCDes,MATCH(INDIRECT(ADDRESS(ROW(),COLUMN()-1,4)),UNSPSCCode,0)),IF(INDIRECT(ADDRESS(ROW(),COLUMN()-1,4))="41103706","Baños de agua",""))</f>
        <v>Baños de agua</v>
      </c>
      <c r="C4704" s="95" t="str">
        <f>IFERROR(VLOOKUP("UD",'Informacion '!P:Q,2,FALSE),"")</f>
        <v>Unidad</v>
      </c>
      <c r="D4704" s="94">
        <v>1</v>
      </c>
      <c r="E4704" s="84">
        <v>250000</v>
      </c>
      <c r="F4704" s="83">
        <f t="shared" ca="1" si="208"/>
        <v>250000</v>
      </c>
    </row>
    <row r="4705" spans="1:6" ht="14.1" customHeight="1" x14ac:dyDescent="0.25">
      <c r="A4705" s="94" t="s">
        <v>9139</v>
      </c>
      <c r="B4705" s="82" t="str">
        <f ca="1">IFERROR(INDEX(UNSPSCDes,MATCH(INDIRECT(ADDRESS(ROW(),COLUMN()-1,4)),UNSPSCCode,0)),IF(INDIRECT(ADDRESS(ROW(),COLUMN()-1,4))="32101512","Demoduladores",""))</f>
        <v>Demoduladores</v>
      </c>
      <c r="C4705" s="95" t="str">
        <f>IFERROR(VLOOKUP("UD",'Informacion '!P:Q,2,FALSE),"")</f>
        <v>Unidad</v>
      </c>
      <c r="D4705" s="94">
        <v>15</v>
      </c>
      <c r="E4705" s="84">
        <v>270</v>
      </c>
      <c r="F4705" s="83">
        <f t="shared" ca="1" si="208"/>
        <v>4050</v>
      </c>
    </row>
    <row r="4706" spans="1:6" ht="14.1" customHeight="1" x14ac:dyDescent="0.25">
      <c r="A4706" s="94" t="s">
        <v>9139</v>
      </c>
      <c r="B4706" s="82" t="str">
        <f ca="1">IFERROR(INDEX(UNSPSCDes,MATCH(INDIRECT(ADDRESS(ROW(),COLUMN()-1,4)),UNSPSCCode,0)),IF(INDIRECT(ADDRESS(ROW(),COLUMN()-1,4))="32101512","Demoduladores",""))</f>
        <v>Demoduladores</v>
      </c>
      <c r="C4706" s="95" t="str">
        <f>IFERROR(VLOOKUP("UD",'Informacion '!P:Q,2,FALSE),"")</f>
        <v>Unidad</v>
      </c>
      <c r="D4706" s="94">
        <v>10</v>
      </c>
      <c r="E4706" s="84">
        <v>330</v>
      </c>
      <c r="F4706" s="83">
        <f t="shared" ca="1" si="208"/>
        <v>3300</v>
      </c>
    </row>
    <row r="4707" spans="1:6" ht="14.1" customHeight="1" x14ac:dyDescent="0.25">
      <c r="A4707" s="94" t="s">
        <v>12220</v>
      </c>
      <c r="B4707" s="82" t="str">
        <f ca="1">IFERROR(INDEX(UNSPSCDes,MATCH(INDIRECT(ADDRESS(ROW(),COLUMN()-1,4)),UNSPSCCode,0)),IF(INDIRECT(ADDRESS(ROW(),COLUMN()-1,4))="24141705","Tubos plegables",""))</f>
        <v>Tubos plegables</v>
      </c>
      <c r="C4707" s="95" t="str">
        <f>IFERROR(VLOOKUP("UD",'Informacion '!P:Q,2,FALSE),"")</f>
        <v>Unidad</v>
      </c>
      <c r="D4707" s="94">
        <v>5</v>
      </c>
      <c r="E4707" s="84">
        <v>83</v>
      </c>
      <c r="F4707" s="83">
        <f t="shared" ca="1" si="208"/>
        <v>415</v>
      </c>
    </row>
    <row r="4708" spans="1:6" ht="14.1" customHeight="1" x14ac:dyDescent="0.25">
      <c r="A4708" s="94" t="s">
        <v>12220</v>
      </c>
      <c r="B4708" s="82" t="str">
        <f ca="1">IFERROR(INDEX(UNSPSCDes,MATCH(INDIRECT(ADDRESS(ROW(),COLUMN()-1,4)),UNSPSCCode,0)),IF(INDIRECT(ADDRESS(ROW(),COLUMN()-1,4))="24141705","Tubos plegables",""))</f>
        <v>Tubos plegables</v>
      </c>
      <c r="C4708" s="95" t="str">
        <f>IFERROR(VLOOKUP("UD",'Informacion '!P:Q,2,FALSE),"")</f>
        <v>Unidad</v>
      </c>
      <c r="D4708" s="94">
        <v>5</v>
      </c>
      <c r="E4708" s="84">
        <v>93</v>
      </c>
      <c r="F4708" s="83">
        <f t="shared" ca="1" si="208"/>
        <v>465</v>
      </c>
    </row>
    <row r="4709" spans="1:6" ht="14.1" customHeight="1" x14ac:dyDescent="0.25">
      <c r="A4709" s="94" t="s">
        <v>12220</v>
      </c>
      <c r="B4709" s="82" t="str">
        <f ca="1">IFERROR(INDEX(UNSPSCDes,MATCH(INDIRECT(ADDRESS(ROW(),COLUMN()-1,4)),UNSPSCCode,0)),IF(INDIRECT(ADDRESS(ROW(),COLUMN()-1,4))="24141705","Tubos plegables",""))</f>
        <v>Tubos plegables</v>
      </c>
      <c r="C4709" s="95" t="str">
        <f>IFERROR(VLOOKUP("UD",'Informacion '!P:Q,2,FALSE),"")</f>
        <v>Unidad</v>
      </c>
      <c r="D4709" s="94">
        <v>5</v>
      </c>
      <c r="E4709" s="84">
        <v>106</v>
      </c>
      <c r="F4709" s="83">
        <f t="shared" ca="1" si="208"/>
        <v>530</v>
      </c>
    </row>
    <row r="4710" spans="1:6" ht="14.1" customHeight="1" x14ac:dyDescent="0.25">
      <c r="A4710" s="94" t="s">
        <v>12220</v>
      </c>
      <c r="B4710" s="82" t="str">
        <f ca="1">IFERROR(INDEX(UNSPSCDes,MATCH(INDIRECT(ADDRESS(ROW(),COLUMN()-1,4)),UNSPSCCode,0)),IF(INDIRECT(ADDRESS(ROW(),COLUMN()-1,4))="24141705","Tubos plegables",""))</f>
        <v>Tubos plegables</v>
      </c>
      <c r="C4710" s="95" t="str">
        <f>IFERROR(VLOOKUP("UD",'Informacion '!P:Q,2,FALSE),"")</f>
        <v>Unidad</v>
      </c>
      <c r="D4710" s="94">
        <v>5</v>
      </c>
      <c r="E4710" s="84">
        <v>146</v>
      </c>
      <c r="F4710" s="83">
        <f t="shared" ca="1" si="208"/>
        <v>730</v>
      </c>
    </row>
    <row r="4711" spans="1:6" ht="14.1" customHeight="1" x14ac:dyDescent="0.25">
      <c r="A4711" s="94" t="s">
        <v>12220</v>
      </c>
      <c r="B4711" s="82" t="str">
        <f ca="1">IFERROR(INDEX(UNSPSCDes,MATCH(INDIRECT(ADDRESS(ROW(),COLUMN()-1,4)),UNSPSCCode,0)),IF(INDIRECT(ADDRESS(ROW(),COLUMN()-1,4))="24141705","Tubos plegables",""))</f>
        <v>Tubos plegables</v>
      </c>
      <c r="C4711" s="95" t="str">
        <f>IFERROR(VLOOKUP("UD",'Informacion '!P:Q,2,FALSE),"")</f>
        <v>Unidad</v>
      </c>
      <c r="D4711" s="94">
        <v>5</v>
      </c>
      <c r="E4711" s="84">
        <v>204</v>
      </c>
      <c r="F4711" s="83">
        <f t="shared" ca="1" si="208"/>
        <v>1020</v>
      </c>
    </row>
    <row r="4712" spans="1:6" ht="14.1" customHeight="1" x14ac:dyDescent="0.25">
      <c r="A4712" s="94" t="s">
        <v>11182</v>
      </c>
      <c r="B4712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4712" s="95" t="str">
        <f>IFERROR(VLOOKUP("UD",'Informacion '!P:Q,2,FALSE),"")</f>
        <v>Unidad</v>
      </c>
      <c r="D4712" s="94">
        <v>8</v>
      </c>
      <c r="E4712" s="84">
        <v>3000</v>
      </c>
      <c r="F4712" s="83">
        <f t="shared" ca="1" si="208"/>
        <v>24000</v>
      </c>
    </row>
    <row r="4713" spans="1:6" ht="14.1" customHeight="1" x14ac:dyDescent="0.25">
      <c r="A4713" s="94" t="s">
        <v>11182</v>
      </c>
      <c r="B4713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4713" s="95" t="str">
        <f>IFERROR(VLOOKUP("UD",'Informacion '!P:Q,2,FALSE),"")</f>
        <v>Unidad</v>
      </c>
      <c r="D4713" s="94">
        <v>5</v>
      </c>
      <c r="E4713" s="84">
        <v>2800</v>
      </c>
      <c r="F4713" s="83">
        <f t="shared" ca="1" si="208"/>
        <v>14000</v>
      </c>
    </row>
    <row r="4714" spans="1:6" ht="14.1" customHeight="1" x14ac:dyDescent="0.25">
      <c r="A4714" s="94" t="s">
        <v>10906</v>
      </c>
      <c r="B4714" s="82" t="str">
        <f ca="1">IFERROR(INDEX(UNSPSCDes,MATCH(INDIRECT(ADDRESS(ROW(),COLUMN()-1,4)),UNSPSCCode,0)),IF(INDIRECT(ADDRESS(ROW(),COLUMN()-1,4))="40142604","Codos de tubo",""))</f>
        <v>Codos de tubo</v>
      </c>
      <c r="C4714" s="95" t="str">
        <f>IFERROR(VLOOKUP("UD",'Informacion '!P:Q,2,FALSE),"")</f>
        <v>Unidad</v>
      </c>
      <c r="D4714" s="94">
        <v>4</v>
      </c>
      <c r="E4714" s="84">
        <v>384</v>
      </c>
      <c r="F4714" s="83">
        <f t="shared" ca="1" si="208"/>
        <v>1536</v>
      </c>
    </row>
    <row r="4715" spans="1:6" ht="14.1" customHeight="1" x14ac:dyDescent="0.25">
      <c r="A4715" s="94" t="s">
        <v>12220</v>
      </c>
      <c r="B4715" s="82" t="str">
        <f ca="1">IFERROR(INDEX(UNSPSCDes,MATCH(INDIRECT(ADDRESS(ROW(),COLUMN()-1,4)),UNSPSCCode,0)),IF(INDIRECT(ADDRESS(ROW(),COLUMN()-1,4))="24141705","Tubos plegables",""))</f>
        <v>Tubos plegables</v>
      </c>
      <c r="C4715" s="95" t="str">
        <f>IFERROR(VLOOKUP("UD",'Informacion '!P:Q,2,FALSE),"")</f>
        <v>Unidad</v>
      </c>
      <c r="D4715" s="94">
        <v>1</v>
      </c>
      <c r="E4715" s="84">
        <v>2200</v>
      </c>
      <c r="F4715" s="83">
        <f t="shared" ca="1" si="208"/>
        <v>2200</v>
      </c>
    </row>
    <row r="4716" spans="1:6" ht="14.1" customHeight="1" x14ac:dyDescent="0.25">
      <c r="A4716" s="94" t="s">
        <v>12220</v>
      </c>
      <c r="B4716" s="82" t="str">
        <f ca="1">IFERROR(INDEX(UNSPSCDes,MATCH(INDIRECT(ADDRESS(ROW(),COLUMN()-1,4)),UNSPSCCode,0)),IF(INDIRECT(ADDRESS(ROW(),COLUMN()-1,4))="24141705","Tubos plegables",""))</f>
        <v>Tubos plegables</v>
      </c>
      <c r="C4716" s="95" t="str">
        <f>IFERROR(VLOOKUP("UD",'Informacion '!P:Q,2,FALSE),"")</f>
        <v>Unidad</v>
      </c>
      <c r="D4716" s="94">
        <v>1</v>
      </c>
      <c r="E4716" s="84">
        <v>2400</v>
      </c>
      <c r="F4716" s="83">
        <f t="shared" ca="1" si="208"/>
        <v>2400</v>
      </c>
    </row>
    <row r="4717" spans="1:6" ht="14.1" customHeight="1" x14ac:dyDescent="0.25">
      <c r="A4717" s="94" t="s">
        <v>12220</v>
      </c>
      <c r="B4717" s="82" t="str">
        <f ca="1">IFERROR(INDEX(UNSPSCDes,MATCH(INDIRECT(ADDRESS(ROW(),COLUMN()-1,4)),UNSPSCCode,0)),IF(INDIRECT(ADDRESS(ROW(),COLUMN()-1,4))="24141705","Tubos plegables",""))</f>
        <v>Tubos plegables</v>
      </c>
      <c r="C4717" s="95" t="str">
        <f>IFERROR(VLOOKUP("UD",'Informacion '!P:Q,2,FALSE),"")</f>
        <v>Unidad</v>
      </c>
      <c r="D4717" s="94">
        <v>1</v>
      </c>
      <c r="E4717" s="84">
        <v>3200</v>
      </c>
      <c r="F4717" s="83">
        <f t="shared" ca="1" si="208"/>
        <v>3200</v>
      </c>
    </row>
    <row r="4718" spans="1:6" ht="14.1" customHeight="1" x14ac:dyDescent="0.25">
      <c r="A4718" s="94" t="s">
        <v>12220</v>
      </c>
      <c r="B4718" s="82" t="str">
        <f ca="1">IFERROR(INDEX(UNSPSCDes,MATCH(INDIRECT(ADDRESS(ROW(),COLUMN()-1,4)),UNSPSCCode,0)),IF(INDIRECT(ADDRESS(ROW(),COLUMN()-1,4))="24141705","Tubos plegables",""))</f>
        <v>Tubos plegables</v>
      </c>
      <c r="C4718" s="95" t="str">
        <f>IFERROR(VLOOKUP("UD",'Informacion '!P:Q,2,FALSE),"")</f>
        <v>Unidad</v>
      </c>
      <c r="D4718" s="94">
        <v>1</v>
      </c>
      <c r="E4718" s="84">
        <v>4500</v>
      </c>
      <c r="F4718" s="83">
        <f t="shared" ca="1" si="208"/>
        <v>4500</v>
      </c>
    </row>
    <row r="4719" spans="1:6" ht="14.1" customHeight="1" x14ac:dyDescent="0.25">
      <c r="A4719" s="94" t="s">
        <v>8594</v>
      </c>
      <c r="B4719" s="82" t="str">
        <f ca="1">IFERROR(INDEX(UNSPSCDes,MATCH(INDIRECT(ADDRESS(ROW(),COLUMN()-1,4)),UNSPSCCode,0)),IF(INDIRECT(ADDRESS(ROW(),COLUMN()-1,4))="41112209","Termostatos",""))</f>
        <v>Termostatos</v>
      </c>
      <c r="C4719" s="95" t="str">
        <f>IFERROR(VLOOKUP("UD",'Informacion '!P:Q,2,FALSE),"")</f>
        <v>Unidad</v>
      </c>
      <c r="D4719" s="94">
        <v>4</v>
      </c>
      <c r="E4719" s="84">
        <v>3200</v>
      </c>
      <c r="F4719" s="83">
        <f t="shared" ca="1" si="208"/>
        <v>12800</v>
      </c>
    </row>
    <row r="4720" spans="1:6" ht="14.1" customHeight="1" x14ac:dyDescent="0.25">
      <c r="A4720" s="94" t="s">
        <v>14429</v>
      </c>
      <c r="B4720" s="82" t="str">
        <f ca="1">IFERROR(INDEX(UNSPSCDes,MATCH(INDIRECT(ADDRESS(ROW(),COLUMN()-1,4)),UNSPSCCode,0)),IF(INDIRECT(ADDRESS(ROW(),COLUMN()-1,4))="27112014","Cortadora de pasto",""))</f>
        <v>Cortadora de pasto</v>
      </c>
      <c r="C4720" s="95" t="str">
        <f>IFERROR(VLOOKUP("UD",'Informacion '!P:Q,2,FALSE),"")</f>
        <v>Unidad</v>
      </c>
      <c r="D4720" s="94">
        <v>10</v>
      </c>
      <c r="E4720" s="84">
        <v>470</v>
      </c>
      <c r="F4720" s="83">
        <f t="shared" ca="1" si="208"/>
        <v>4700</v>
      </c>
    </row>
    <row r="4721" spans="1:10" ht="14.1" customHeight="1" x14ac:dyDescent="0.25">
      <c r="A4721" s="94" t="s">
        <v>15860</v>
      </c>
      <c r="B4721" s="82" t="str">
        <f ca="1">IFERROR(INDEX(UNSPSCDes,MATCH(INDIRECT(ADDRESS(ROW(),COLUMN()-1,4)),UNSPSCCode,0)),IF(INDIRECT(ADDRESS(ROW(),COLUMN()-1,4))="27111704","Enchufes",""))</f>
        <v>Enchufes</v>
      </c>
      <c r="C4721" s="95" t="str">
        <f>IFERROR(VLOOKUP("UD",'Informacion '!P:Q,2,FALSE),"")</f>
        <v>Unidad</v>
      </c>
      <c r="D4721" s="94">
        <v>50</v>
      </c>
      <c r="E4721" s="84">
        <v>102</v>
      </c>
      <c r="F4721" s="83">
        <f t="shared" ca="1" si="208"/>
        <v>5100</v>
      </c>
    </row>
    <row r="4722" spans="1:10" ht="14.1" customHeight="1" x14ac:dyDescent="0.25">
      <c r="A4722" s="94" t="s">
        <v>12220</v>
      </c>
      <c r="B4722" s="82" t="str">
        <f ca="1">IFERROR(INDEX(UNSPSCDes,MATCH(INDIRECT(ADDRESS(ROW(),COLUMN()-1,4)),UNSPSCCode,0)),IF(INDIRECT(ADDRESS(ROW(),COLUMN()-1,4))="24141705","Tubos plegables",""))</f>
        <v>Tubos plegables</v>
      </c>
      <c r="C4722" s="95" t="str">
        <f>IFERROR(VLOOKUP("UD",'Informacion '!P:Q,2,FALSE),"")</f>
        <v>Unidad</v>
      </c>
      <c r="D4722" s="94">
        <v>20</v>
      </c>
      <c r="E4722" s="84">
        <v>500</v>
      </c>
      <c r="F4722" s="83">
        <f t="shared" ca="1" si="208"/>
        <v>10000</v>
      </c>
    </row>
    <row r="4723" spans="1:10" ht="14.1" customHeight="1" x14ac:dyDescent="0.25">
      <c r="A4723" s="94" t="s">
        <v>12220</v>
      </c>
      <c r="B4723" s="82" t="str">
        <f ca="1">IFERROR(INDEX(UNSPSCDes,MATCH(INDIRECT(ADDRESS(ROW(),COLUMN()-1,4)),UNSPSCCode,0)),IF(INDIRECT(ADDRESS(ROW(),COLUMN()-1,4))="24141705","Tubos plegables",""))</f>
        <v>Tubos plegables</v>
      </c>
      <c r="C4723" s="95" t="str">
        <f>IFERROR(VLOOKUP("UD",'Informacion '!P:Q,2,FALSE),"")</f>
        <v>Unidad</v>
      </c>
      <c r="D4723" s="94">
        <v>10</v>
      </c>
      <c r="E4723" s="84">
        <v>150</v>
      </c>
      <c r="F4723" s="83">
        <f t="shared" ca="1" si="208"/>
        <v>1500</v>
      </c>
    </row>
    <row r="4724" spans="1:10" ht="14.1" customHeight="1" x14ac:dyDescent="0.25">
      <c r="A4724" s="94" t="s">
        <v>640</v>
      </c>
      <c r="B4724" s="82" t="str">
        <f ca="1">IFERROR(INDEX(UNSPSCDes,MATCH(INDIRECT(ADDRESS(ROW(),COLUMN()-1,4)),UNSPSCCode,0)),IF(INDIRECT(ADDRESS(ROW(),COLUMN()-1,4))="40142102","Tubería de hierro dúctil",""))</f>
        <v>Tubería de hierro dúctil</v>
      </c>
      <c r="C4724" s="95" t="str">
        <f>IFERROR(VLOOKUP("UD",'Informacion '!P:Q,2,FALSE),"")</f>
        <v>Unidad</v>
      </c>
      <c r="D4724" s="94">
        <v>5</v>
      </c>
      <c r="E4724" s="84">
        <v>484</v>
      </c>
      <c r="F4724" s="83">
        <f t="shared" ref="F4724:F4730" ca="1" si="209">INDIRECT(ADDRESS(ROW(),COLUMN()-2,4))*INDIRECT(ADDRESS(ROW(),COLUMN()-1,4))</f>
        <v>2420</v>
      </c>
    </row>
    <row r="4725" spans="1:10" ht="14.1" customHeight="1" x14ac:dyDescent="0.25">
      <c r="A4725" s="94" t="s">
        <v>16872</v>
      </c>
      <c r="B4725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725" s="95" t="str">
        <f>IFERROR(VLOOKUP("UD",'Informacion '!P:Q,2,FALSE),"")</f>
        <v>Unidad</v>
      </c>
      <c r="D4725" s="94">
        <v>10</v>
      </c>
      <c r="E4725" s="84">
        <v>260</v>
      </c>
      <c r="F4725" s="83">
        <f t="shared" ca="1" si="209"/>
        <v>2600</v>
      </c>
    </row>
    <row r="4726" spans="1:10" ht="14.1" customHeight="1" x14ac:dyDescent="0.25">
      <c r="A4726" s="94" t="s">
        <v>16872</v>
      </c>
      <c r="B4726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4726" s="95" t="str">
        <f>IFERROR(VLOOKUP("UD",'Informacion '!P:Q,2,FALSE),"")</f>
        <v>Unidad</v>
      </c>
      <c r="D4726" s="94">
        <v>10</v>
      </c>
      <c r="E4726" s="84">
        <v>260</v>
      </c>
      <c r="F4726" s="83">
        <f t="shared" ca="1" si="209"/>
        <v>2600</v>
      </c>
    </row>
    <row r="4727" spans="1:10" ht="14.1" customHeight="1" x14ac:dyDescent="0.25">
      <c r="A4727" s="94" t="s">
        <v>8565</v>
      </c>
      <c r="B4727" s="82" t="str">
        <f ca="1">IFERROR(INDEX(UNSPSCDes,MATCH(INDIRECT(ADDRESS(ROW(),COLUMN()-1,4)),UNSPSCCode,0)),IF(INDIRECT(ADDRESS(ROW(),COLUMN()-1,4))="47131821","Compuestos desengrasantes",""))</f>
        <v>Compuestos desengrasantes</v>
      </c>
      <c r="C4727" s="95" t="str">
        <f>IFERROR(VLOOKUP("UD",'Informacion '!P:Q,2,FALSE),"")</f>
        <v>Unidad</v>
      </c>
      <c r="D4727" s="94">
        <v>12</v>
      </c>
      <c r="E4727" s="84">
        <v>250</v>
      </c>
      <c r="F4727" s="83">
        <f t="shared" ca="1" si="209"/>
        <v>3000</v>
      </c>
    </row>
    <row r="4728" spans="1:10" ht="14.1" customHeight="1" x14ac:dyDescent="0.25">
      <c r="A4728" s="94" t="s">
        <v>17393</v>
      </c>
      <c r="B4728" s="82" t="str">
        <f ca="1">IFERROR(INDEX(UNSPSCDes,MATCH(INDIRECT(ADDRESS(ROW(),COLUMN()-1,4)),UNSPSCCode,0)),IF(INDIRECT(ADDRESS(ROW(),COLUMN()-1,4))="26101743","Válvulas de motor",""))</f>
        <v>Válvulas de motor</v>
      </c>
      <c r="C4728" s="95" t="str">
        <f>IFERROR(VLOOKUP("UD",'Informacion '!P:Q,2,FALSE),"")</f>
        <v>Unidad</v>
      </c>
      <c r="D4728" s="94">
        <v>1</v>
      </c>
      <c r="E4728" s="84">
        <v>5000</v>
      </c>
      <c r="F4728" s="83">
        <f t="shared" ca="1" si="209"/>
        <v>5000</v>
      </c>
    </row>
    <row r="4729" spans="1:10" ht="14.1" customHeight="1" x14ac:dyDescent="0.25">
      <c r="A4729" s="94" t="s">
        <v>9037</v>
      </c>
      <c r="B4729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4729" s="95" t="str">
        <f>IFERROR(VLOOKUP("UD",'Informacion '!P:Q,2,FALSE),"")</f>
        <v>Unidad</v>
      </c>
      <c r="D4729" s="94">
        <v>1</v>
      </c>
      <c r="E4729" s="84">
        <v>56000</v>
      </c>
      <c r="F4729" s="83">
        <f t="shared" ca="1" si="209"/>
        <v>56000</v>
      </c>
    </row>
    <row r="4730" spans="1:10" ht="14.1" customHeight="1" x14ac:dyDescent="0.25">
      <c r="A4730" s="94" t="s">
        <v>7726</v>
      </c>
      <c r="B4730" s="82" t="str">
        <f ca="1">IFERROR(INDEX(UNSPSCDes,MATCH(INDIRECT(ADDRESS(ROW(),COLUMN()-1,4)),UNSPSCCode,0)),IF(INDIRECT(ADDRESS(ROW(),COLUMN()-1,4))="40101801","Radiadores",""))</f>
        <v>Radiadores</v>
      </c>
      <c r="C4730" s="95" t="str">
        <f>IFERROR(VLOOKUP("UD",'Informacion '!P:Q,2,FALSE),"")</f>
        <v>Unidad</v>
      </c>
      <c r="D4730" s="94">
        <v>1</v>
      </c>
      <c r="E4730" s="84">
        <v>56000</v>
      </c>
      <c r="F4730" s="83">
        <f t="shared" ca="1" si="209"/>
        <v>56000</v>
      </c>
    </row>
    <row r="4731" spans="1:10" ht="14.1" customHeight="1" x14ac:dyDescent="0.25">
      <c r="E4731" s="96" t="s">
        <v>7213</v>
      </c>
      <c r="F4731" s="87">
        <f ca="1">SUM(Table124[MONTO TOTAL ESTIMADO])</f>
        <v>11224075.1</v>
      </c>
      <c r="H4731" s="39" t="str">
        <f>C4589</f>
        <v>Bienes</v>
      </c>
      <c r="I4731" s="39" t="str">
        <f>E4589</f>
        <v>No</v>
      </c>
      <c r="J4731" s="39" t="str">
        <f>D4589</f>
        <v>Compras Menores</v>
      </c>
    </row>
    <row r="4733" spans="1:10" ht="33.950000000000003" customHeight="1" x14ac:dyDescent="0.25">
      <c r="A4733" s="77" t="s">
        <v>17233</v>
      </c>
      <c r="B4733" s="77" t="s">
        <v>4237</v>
      </c>
      <c r="C4733" s="77" t="s">
        <v>4743</v>
      </c>
      <c r="D4733" s="77" t="s">
        <v>9891</v>
      </c>
      <c r="E4733" s="77" t="s">
        <v>3089</v>
      </c>
      <c r="F4733" s="77" t="s">
        <v>18141</v>
      </c>
    </row>
    <row r="4734" spans="1:10" ht="14.1" customHeight="1" x14ac:dyDescent="0.25">
      <c r="A4734" s="79" t="s">
        <v>5019</v>
      </c>
      <c r="B4734" s="79" t="s">
        <v>10353</v>
      </c>
      <c r="C4734" s="79" t="s">
        <v>17215</v>
      </c>
      <c r="D4734" s="79" t="s">
        <v>17798</v>
      </c>
      <c r="E4734" s="79" t="s">
        <v>18247</v>
      </c>
      <c r="F4734" s="79"/>
    </row>
    <row r="4735" spans="1:10" ht="14.1" customHeight="1" x14ac:dyDescent="0.25">
      <c r="A4735" s="2" t="s">
        <v>6643</v>
      </c>
      <c r="B4735" s="80" t="s">
        <v>1046</v>
      </c>
      <c r="C4735" s="90">
        <v>43556</v>
      </c>
      <c r="D4735" s="2" t="s">
        <v>59</v>
      </c>
      <c r="E4735" s="92" t="s">
        <v>20066</v>
      </c>
      <c r="F4735" s="93"/>
    </row>
    <row r="4736" spans="1:10" ht="14.1" customHeight="1" x14ac:dyDescent="0.25">
      <c r="A4736" s="1"/>
      <c r="B4736" s="80" t="s">
        <v>10788</v>
      </c>
      <c r="C4736" s="91">
        <f>IF(C4735="","",IF(AND(MONTH(C4735)&gt;=1,MONTH(C4735)&lt;=3),1,IF(AND(MONTH(C4735)&gt;=4,MONTH(C4735)&lt;=6),2,IF(AND(MONTH(C4735)&gt;=7,MONTH(C4735)&lt;=9),3,4))))</f>
        <v>2</v>
      </c>
      <c r="D4736" s="1"/>
      <c r="E4736" s="92" t="s">
        <v>14822</v>
      </c>
      <c r="F4736" s="93"/>
    </row>
    <row r="4737" spans="1:6" ht="14.1" customHeight="1" x14ac:dyDescent="0.25">
      <c r="A4737" s="1"/>
      <c r="B4737" s="80" t="s">
        <v>13758</v>
      </c>
      <c r="C4737" s="90">
        <v>43644</v>
      </c>
      <c r="D4737" s="1"/>
      <c r="E4737" s="92" t="s">
        <v>18636</v>
      </c>
      <c r="F4737" s="93"/>
    </row>
    <row r="4738" spans="1:6" ht="14.1" customHeight="1" x14ac:dyDescent="0.25">
      <c r="A4738" s="1"/>
      <c r="B4738" s="80" t="s">
        <v>10788</v>
      </c>
      <c r="C4738" s="91">
        <f>IF(C4737="","",IF(AND(MONTH(C4737)&gt;=1,MONTH(C4737)&lt;=3),1,IF(AND(MONTH(C4737)&gt;=4,MONTH(C4737)&lt;=6),2,IF(AND(MONTH(C4737)&gt;=7,MONTH(C4737)&lt;=9),3,4))))</f>
        <v>2</v>
      </c>
      <c r="D4738" s="1"/>
      <c r="E4738" s="92" t="s">
        <v>15990</v>
      </c>
      <c r="F4738" s="93"/>
    </row>
    <row r="4740" spans="1:6" ht="14.1" customHeight="1" x14ac:dyDescent="0.25">
      <c r="A4740" s="85" t="s">
        <v>15474</v>
      </c>
      <c r="B4740" s="85" t="s">
        <v>5027</v>
      </c>
      <c r="C4740" s="85" t="s">
        <v>17461</v>
      </c>
      <c r="D4740" s="85" t="s">
        <v>3935</v>
      </c>
      <c r="E4740" s="85" t="s">
        <v>10722</v>
      </c>
      <c r="F4740" s="85" t="s">
        <v>18237</v>
      </c>
    </row>
    <row r="4741" spans="1:6" ht="14.1" customHeight="1" x14ac:dyDescent="0.25">
      <c r="A4741" s="94" t="s">
        <v>8317</v>
      </c>
      <c r="B4741" s="82" t="str">
        <f ca="1">IFERROR(INDEX(UNSPSCDes,MATCH(INDIRECT(ADDRESS(ROW(),COLUMN()-1,4)),UNSPSCCode,0)),IF(INDIRECT(ADDRESS(ROW(),COLUMN()-1,4))="60122008","Cordón plástico (rexlace)",""))</f>
        <v>Cordón plástico (rexlace)</v>
      </c>
      <c r="C4741" s="95" t="str">
        <f>IFERROR(VLOOKUP("UD",'Informacion '!P:Q,2,FALSE),"")</f>
        <v>Unidad</v>
      </c>
      <c r="D4741" s="94">
        <v>500</v>
      </c>
      <c r="E4741" s="84">
        <v>60</v>
      </c>
      <c r="F4741" s="83">
        <f t="shared" ref="F4741:F4780" ca="1" si="210">INDIRECT(ADDRESS(ROW(),COLUMN()-2,4))*INDIRECT(ADDRESS(ROW(),COLUMN()-1,4))</f>
        <v>30000</v>
      </c>
    </row>
    <row r="4742" spans="1:6" ht="14.1" customHeight="1" x14ac:dyDescent="0.25">
      <c r="A4742" s="94" t="s">
        <v>12986</v>
      </c>
      <c r="B4742" s="82" t="str">
        <f ca="1">IFERROR(INDEX(UNSPSCDes,MATCH(INDIRECT(ADDRESS(ROW(),COLUMN()-1,4)),UNSPSCCode,0)),IF(INDIRECT(ADDRESS(ROW(),COLUMN()-1,4))="31171527","Conos de rodamiento",""))</f>
        <v>Conos de rodamiento</v>
      </c>
      <c r="C4742" s="95" t="str">
        <f>IFERROR(VLOOKUP("UD",'Informacion '!P:Q,2,FALSE),"")</f>
        <v>Unidad</v>
      </c>
      <c r="D4742" s="94">
        <v>15</v>
      </c>
      <c r="E4742" s="84">
        <v>650</v>
      </c>
      <c r="F4742" s="83">
        <f t="shared" ca="1" si="210"/>
        <v>9750</v>
      </c>
    </row>
    <row r="4743" spans="1:6" ht="14.1" customHeight="1" x14ac:dyDescent="0.25">
      <c r="A4743" s="94" t="s">
        <v>224</v>
      </c>
      <c r="B4743" s="82" t="str">
        <f ca="1">IFERROR(INDEX(UNSPSCDes,MATCH(INDIRECT(ADDRESS(ROW(),COLUMN()-1,4)),UNSPSCCode,0)),IF(INDIRECT(ADDRESS(ROW(),COLUMN()-1,4))="32101617","Tarjetas inteligentes",""))</f>
        <v>Tarjetas inteligentes</v>
      </c>
      <c r="C4743" s="95" t="str">
        <f>IFERROR(VLOOKUP("UD",'Informacion '!P:Q,2,FALSE),"")</f>
        <v>Unidad</v>
      </c>
      <c r="D4743" s="94">
        <v>1000</v>
      </c>
      <c r="E4743" s="84">
        <v>5</v>
      </c>
      <c r="F4743" s="83">
        <f t="shared" ca="1" si="210"/>
        <v>5000</v>
      </c>
    </row>
    <row r="4744" spans="1:6" ht="14.1" customHeight="1" x14ac:dyDescent="0.25">
      <c r="A4744" s="94" t="s">
        <v>2756</v>
      </c>
      <c r="B4744" s="82" t="str">
        <f ca="1">IFERROR(INDEX(UNSPSCDes,MATCH(INDIRECT(ADDRESS(ROW(),COLUMN()-1,4)),UNSPSCCode,0)),IF(INDIRECT(ADDRESS(ROW(),COLUMN()-1,4))="44103103","Tóner para impresoras o fax",""))</f>
        <v>Tóner para impresoras o fax</v>
      </c>
      <c r="C4744" s="95" t="str">
        <f>IFERROR(VLOOKUP("UD",'Informacion '!P:Q,2,FALSE),"")</f>
        <v>Unidad</v>
      </c>
      <c r="D4744" s="94">
        <v>10</v>
      </c>
      <c r="E4744" s="84">
        <v>2500</v>
      </c>
      <c r="F4744" s="83">
        <f t="shared" ca="1" si="210"/>
        <v>25000</v>
      </c>
    </row>
    <row r="4745" spans="1:6" ht="14.1" customHeight="1" x14ac:dyDescent="0.25">
      <c r="A4745" s="94" t="s">
        <v>10288</v>
      </c>
      <c r="B4745" s="82" t="str">
        <f ca="1">IFERROR(INDEX(UNSPSCDes,MATCH(INDIRECT(ADDRESS(ROW(),COLUMN()-1,4)),UNSPSCCode,0)),IF(INDIRECT(ADDRESS(ROW(),COLUMN()-1,4))="92121504","Servicios de guardas de seguridad",""))</f>
        <v>Servicios de guardas de seguridad</v>
      </c>
      <c r="C4745" s="95" t="str">
        <f>IFERROR(VLOOKUP("UD",'Informacion '!P:Q,2,FALSE),"")</f>
        <v>Unidad</v>
      </c>
      <c r="D4745" s="94">
        <v>3</v>
      </c>
      <c r="E4745" s="84">
        <v>230000</v>
      </c>
      <c r="F4745" s="83">
        <f t="shared" ca="1" si="210"/>
        <v>690000</v>
      </c>
    </row>
    <row r="4746" spans="1:6" ht="14.1" customHeight="1" x14ac:dyDescent="0.25">
      <c r="A4746" s="94" t="s">
        <v>12643</v>
      </c>
      <c r="B4746" s="82" t="str">
        <f ca="1">IFERROR(INDEX(UNSPSCDes,MATCH(INDIRECT(ADDRESS(ROW(),COLUMN()-1,4)),UNSPSCCode,0)),IF(INDIRECT(ADDRESS(ROW(),COLUMN()-1,4))="46191601","Extintores",""))</f>
        <v>Extintores</v>
      </c>
      <c r="C4746" s="95" t="str">
        <f>IFERROR(VLOOKUP("UD",'Informacion '!P:Q,2,FALSE),"")</f>
        <v>Unidad</v>
      </c>
      <c r="D4746" s="94">
        <v>65</v>
      </c>
      <c r="E4746" s="84">
        <v>750</v>
      </c>
      <c r="F4746" s="83">
        <f t="shared" ca="1" si="210"/>
        <v>48750</v>
      </c>
    </row>
    <row r="4747" spans="1:6" ht="14.1" customHeight="1" x14ac:dyDescent="0.25">
      <c r="A4747" s="94" t="s">
        <v>12643</v>
      </c>
      <c r="B4747" s="82" t="str">
        <f ca="1">IFERROR(INDEX(UNSPSCDes,MATCH(INDIRECT(ADDRESS(ROW(),COLUMN()-1,4)),UNSPSCCode,0)),IF(INDIRECT(ADDRESS(ROW(),COLUMN()-1,4))="46191601","Extintores",""))</f>
        <v>Extintores</v>
      </c>
      <c r="C4747" s="95" t="str">
        <f>IFERROR(VLOOKUP("UD",'Informacion '!P:Q,2,FALSE),"")</f>
        <v>Unidad</v>
      </c>
      <c r="D4747" s="94">
        <v>10</v>
      </c>
      <c r="E4747" s="84">
        <v>650</v>
      </c>
      <c r="F4747" s="83">
        <f t="shared" ca="1" si="210"/>
        <v>6500</v>
      </c>
    </row>
    <row r="4748" spans="1:6" ht="14.1" customHeight="1" x14ac:dyDescent="0.25">
      <c r="A4748" s="94" t="s">
        <v>12643</v>
      </c>
      <c r="B4748" s="82" t="str">
        <f ca="1">IFERROR(INDEX(UNSPSCDes,MATCH(INDIRECT(ADDRESS(ROW(),COLUMN()-1,4)),UNSPSCCode,0)),IF(INDIRECT(ADDRESS(ROW(),COLUMN()-1,4))="46191601","Extintores",""))</f>
        <v>Extintores</v>
      </c>
      <c r="C4748" s="95" t="str">
        <f>IFERROR(VLOOKUP("UD",'Informacion '!P:Q,2,FALSE),"")</f>
        <v>Unidad</v>
      </c>
      <c r="D4748" s="94">
        <v>7</v>
      </c>
      <c r="E4748" s="84">
        <v>750</v>
      </c>
      <c r="F4748" s="83">
        <f t="shared" ca="1" si="210"/>
        <v>5250</v>
      </c>
    </row>
    <row r="4749" spans="1:6" ht="14.1" customHeight="1" x14ac:dyDescent="0.25">
      <c r="A4749" s="94" t="s">
        <v>12643</v>
      </c>
      <c r="B4749" s="82" t="str">
        <f ca="1">IFERROR(INDEX(UNSPSCDes,MATCH(INDIRECT(ADDRESS(ROW(),COLUMN()-1,4)),UNSPSCCode,0)),IF(INDIRECT(ADDRESS(ROW(),COLUMN()-1,4))="46191601","Extintores",""))</f>
        <v>Extintores</v>
      </c>
      <c r="C4749" s="95" t="str">
        <f>IFERROR(VLOOKUP("UD",'Informacion '!P:Q,2,FALSE),"")</f>
        <v>Unidad</v>
      </c>
      <c r="D4749" s="94">
        <v>1</v>
      </c>
      <c r="E4749" s="84">
        <v>250000</v>
      </c>
      <c r="F4749" s="83">
        <f t="shared" ca="1" si="210"/>
        <v>250000</v>
      </c>
    </row>
    <row r="4750" spans="1:6" ht="14.1" customHeight="1" x14ac:dyDescent="0.25">
      <c r="A4750" s="94" t="s">
        <v>12643</v>
      </c>
      <c r="B4750" s="82" t="str">
        <f ca="1">IFERROR(INDEX(UNSPSCDes,MATCH(INDIRECT(ADDRESS(ROW(),COLUMN()-1,4)),UNSPSCCode,0)),IF(INDIRECT(ADDRESS(ROW(),COLUMN()-1,4))="46191601","Extintores",""))</f>
        <v>Extintores</v>
      </c>
      <c r="C4750" s="95" t="str">
        <f>IFERROR(VLOOKUP("UD",'Informacion '!P:Q,2,FALSE),"")</f>
        <v>Unidad</v>
      </c>
      <c r="D4750" s="94">
        <v>24</v>
      </c>
      <c r="E4750" s="84">
        <v>600</v>
      </c>
      <c r="F4750" s="83">
        <f t="shared" ca="1" si="210"/>
        <v>14400</v>
      </c>
    </row>
    <row r="4751" spans="1:6" ht="14.1" customHeight="1" x14ac:dyDescent="0.25">
      <c r="A4751" s="94" t="s">
        <v>2342</v>
      </c>
      <c r="B4751" s="82" t="str">
        <f ca="1">IFERROR(INDEX(UNSPSCDes,MATCH(INDIRECT(ADDRESS(ROW(),COLUMN()-1,4)),UNSPSCCode,0)),IF(INDIRECT(ADDRESS(ROW(),COLUMN()-1,4))="46171610","Cámaras de seguridad",""))</f>
        <v>Cámaras de seguridad</v>
      </c>
      <c r="C4751" s="95" t="str">
        <f>IFERROR(VLOOKUP("UD",'Informacion '!P:Q,2,FALSE),"")</f>
        <v>Unidad</v>
      </c>
      <c r="D4751" s="94">
        <v>1</v>
      </c>
      <c r="E4751" s="84">
        <v>80000</v>
      </c>
      <c r="F4751" s="83">
        <f t="shared" ca="1" si="210"/>
        <v>80000</v>
      </c>
    </row>
    <row r="4752" spans="1:6" ht="14.1" customHeight="1" x14ac:dyDescent="0.25">
      <c r="A4752" s="94" t="s">
        <v>16128</v>
      </c>
      <c r="B4752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4752" s="95" t="str">
        <f>IFERROR(VLOOKUP("UD",'Informacion '!P:Q,2,FALSE),"")</f>
        <v>Unidad</v>
      </c>
      <c r="D4752" s="94">
        <v>1</v>
      </c>
      <c r="E4752" s="84">
        <v>80000</v>
      </c>
      <c r="F4752" s="83">
        <f t="shared" ca="1" si="210"/>
        <v>80000</v>
      </c>
    </row>
    <row r="4753" spans="1:6" ht="14.1" customHeight="1" x14ac:dyDescent="0.25">
      <c r="A4753" s="94" t="s">
        <v>3596</v>
      </c>
      <c r="B4753" s="82" t="str">
        <f ca="1">IFERROR(INDEX(UNSPSCDes,MATCH(INDIRECT(ADDRESS(ROW(),COLUMN()-1,4)),UNSPSCCode,0)),IF(INDIRECT(ADDRESS(ROW(),COLUMN()-1,4))="14111604","Tarjetas de presentación",""))</f>
        <v>Tarjetas de presentación</v>
      </c>
      <c r="C4753" s="95" t="str">
        <f>IFERROR(VLOOKUP("UD",'Informacion '!P:Q,2,FALSE),"")</f>
        <v>Unidad</v>
      </c>
      <c r="D4753" s="94">
        <v>1000</v>
      </c>
      <c r="E4753" s="84">
        <v>50</v>
      </c>
      <c r="F4753" s="83">
        <f t="shared" ca="1" si="210"/>
        <v>50000</v>
      </c>
    </row>
    <row r="4754" spans="1:6" ht="14.1" customHeight="1" x14ac:dyDescent="0.25">
      <c r="A4754" s="94" t="s">
        <v>555</v>
      </c>
      <c r="B4754" s="82" t="str">
        <f ca="1">IFERROR(INDEX(UNSPSCDes,MATCH(INDIRECT(ADDRESS(ROW(),COLUMN()-1,4)),UNSPSCCode,0)),IF(INDIRECT(ADDRESS(ROW(),COLUMN()-1,4))="55121503","Etiquetas de identificación",""))</f>
        <v>Etiquetas de identificación</v>
      </c>
      <c r="C4754" s="95" t="str">
        <f>IFERROR(VLOOKUP("UD",'Informacion '!P:Q,2,FALSE),"")</f>
        <v>Unidad</v>
      </c>
      <c r="D4754" s="94">
        <v>700</v>
      </c>
      <c r="E4754" s="84">
        <v>12</v>
      </c>
      <c r="F4754" s="83">
        <f t="shared" ca="1" si="210"/>
        <v>8400</v>
      </c>
    </row>
    <row r="4755" spans="1:6" ht="14.1" customHeight="1" x14ac:dyDescent="0.25">
      <c r="A4755" s="94" t="s">
        <v>13138</v>
      </c>
      <c r="B4755" s="82" t="str">
        <f ca="1">IFERROR(INDEX(UNSPSCDes,MATCH(INDIRECT(ADDRESS(ROW(),COLUMN()-1,4)),UNSPSCCode,0)),IF(INDIRECT(ADDRESS(ROW(),COLUMN()-1,4))="46191608","Sistema de supresión de incendios",""))</f>
        <v>Sistema de supresión de incendios</v>
      </c>
      <c r="C4755" s="95" t="str">
        <f>IFERROR(VLOOKUP("UD",'Informacion '!P:Q,2,FALSE),"")</f>
        <v>Unidad</v>
      </c>
      <c r="D4755" s="94">
        <v>10</v>
      </c>
      <c r="E4755" s="84">
        <v>21000</v>
      </c>
      <c r="F4755" s="83">
        <f t="shared" ca="1" si="210"/>
        <v>210000</v>
      </c>
    </row>
    <row r="4756" spans="1:6" ht="14.1" customHeight="1" x14ac:dyDescent="0.25">
      <c r="A4756" s="94" t="s">
        <v>13138</v>
      </c>
      <c r="B4756" s="82" t="str">
        <f ca="1">IFERROR(INDEX(UNSPSCDes,MATCH(INDIRECT(ADDRESS(ROW(),COLUMN()-1,4)),UNSPSCCode,0)),IF(INDIRECT(ADDRESS(ROW(),COLUMN()-1,4))="46191608","Sistema de supresión de incendios",""))</f>
        <v>Sistema de supresión de incendios</v>
      </c>
      <c r="C4756" s="95" t="str">
        <f>IFERROR(VLOOKUP("UD",'Informacion '!P:Q,2,FALSE),"")</f>
        <v>Unidad</v>
      </c>
      <c r="D4756" s="94">
        <v>10</v>
      </c>
      <c r="E4756" s="84">
        <v>2100</v>
      </c>
      <c r="F4756" s="83">
        <f t="shared" ca="1" si="210"/>
        <v>21000</v>
      </c>
    </row>
    <row r="4757" spans="1:6" ht="14.1" customHeight="1" x14ac:dyDescent="0.25">
      <c r="A4757" s="94" t="s">
        <v>10297</v>
      </c>
      <c r="B4757" s="82" t="str">
        <f ca="1">IFERROR(INDEX(UNSPSCDes,MATCH(INDIRECT(ADDRESS(ROW(),COLUMN()-1,4)),UNSPSCCode,0)),IF(INDIRECT(ADDRESS(ROW(),COLUMN()-1,4))="55121807","Porta productos de identificación o accesorios",""))</f>
        <v>Porta productos de identificación o accesorios</v>
      </c>
      <c r="C4757" s="95" t="str">
        <f>IFERROR(VLOOKUP("UD",'Informacion '!P:Q,2,FALSE),"")</f>
        <v>Unidad</v>
      </c>
      <c r="D4757" s="94">
        <v>1000</v>
      </c>
      <c r="E4757" s="84">
        <v>3</v>
      </c>
      <c r="F4757" s="83">
        <f t="shared" ca="1" si="210"/>
        <v>3000</v>
      </c>
    </row>
    <row r="4758" spans="1:6" ht="14.1" customHeight="1" x14ac:dyDescent="0.25">
      <c r="A4758" s="94" t="s">
        <v>12643</v>
      </c>
      <c r="B4758" s="82" t="str">
        <f ca="1">IFERROR(INDEX(UNSPSCDes,MATCH(INDIRECT(ADDRESS(ROW(),COLUMN()-1,4)),UNSPSCCode,0)),IF(INDIRECT(ADDRESS(ROW(),COLUMN()-1,4))="46191601","Extintores",""))</f>
        <v>Extintores</v>
      </c>
      <c r="C4758" s="95" t="str">
        <f>IFERROR(VLOOKUP("UD",'Informacion '!P:Q,2,FALSE),"")</f>
        <v>Unidad</v>
      </c>
      <c r="D4758" s="94">
        <v>5</v>
      </c>
      <c r="E4758" s="84">
        <v>200000</v>
      </c>
      <c r="F4758" s="83">
        <f t="shared" ca="1" si="210"/>
        <v>1000000</v>
      </c>
    </row>
    <row r="4759" spans="1:6" ht="14.1" customHeight="1" x14ac:dyDescent="0.25">
      <c r="A4759" s="94" t="s">
        <v>16128</v>
      </c>
      <c r="B4759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4759" s="95" t="str">
        <f>IFERROR(VLOOKUP("UD",'Informacion '!P:Q,2,FALSE),"")</f>
        <v>Unidad</v>
      </c>
      <c r="D4759" s="94">
        <v>5</v>
      </c>
      <c r="E4759" s="84">
        <v>67000</v>
      </c>
      <c r="F4759" s="83">
        <f t="shared" ca="1" si="210"/>
        <v>335000</v>
      </c>
    </row>
    <row r="4760" spans="1:6" ht="14.1" customHeight="1" x14ac:dyDescent="0.25">
      <c r="A4760" s="94" t="s">
        <v>16128</v>
      </c>
      <c r="B4760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4760" s="95" t="str">
        <f>IFERROR(VLOOKUP("UD",'Informacion '!P:Q,2,FALSE),"")</f>
        <v>Unidad</v>
      </c>
      <c r="D4760" s="94">
        <v>1</v>
      </c>
      <c r="E4760" s="84">
        <v>67000</v>
      </c>
      <c r="F4760" s="83">
        <f t="shared" ca="1" si="210"/>
        <v>67000</v>
      </c>
    </row>
    <row r="4761" spans="1:6" ht="14.1" customHeight="1" x14ac:dyDescent="0.25">
      <c r="A4761" s="94" t="s">
        <v>16128</v>
      </c>
      <c r="B4761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4761" s="95" t="str">
        <f>IFERROR(VLOOKUP("UD",'Informacion '!P:Q,2,FALSE),"")</f>
        <v>Unidad</v>
      </c>
      <c r="D4761" s="94">
        <v>1</v>
      </c>
      <c r="E4761" s="84">
        <v>80000</v>
      </c>
      <c r="F4761" s="83">
        <f t="shared" ca="1" si="210"/>
        <v>80000</v>
      </c>
    </row>
    <row r="4762" spans="1:6" ht="14.1" customHeight="1" x14ac:dyDescent="0.25">
      <c r="A4762" s="94" t="s">
        <v>2342</v>
      </c>
      <c r="B4762" s="82" t="str">
        <f t="shared" ref="B4762:B4771" ca="1" si="211">IFERROR(INDEX(UNSPSCDes,MATCH(INDIRECT(ADDRESS(ROW(),COLUMN()-1,4)),UNSPSCCode,0)),IF(INDIRECT(ADDRESS(ROW(),COLUMN()-1,4))="46171610","Cámaras de seguridad",""))</f>
        <v>Cámaras de seguridad</v>
      </c>
      <c r="C4762" s="95" t="str">
        <f>IFERROR(VLOOKUP("UD",'Informacion '!P:Q,2,FALSE),"")</f>
        <v>Unidad</v>
      </c>
      <c r="D4762" s="94">
        <v>1</v>
      </c>
      <c r="E4762" s="84">
        <v>19000</v>
      </c>
      <c r="F4762" s="83">
        <f t="shared" ca="1" si="210"/>
        <v>19000</v>
      </c>
    </row>
    <row r="4763" spans="1:6" ht="14.1" customHeight="1" x14ac:dyDescent="0.25">
      <c r="A4763" s="94" t="s">
        <v>2342</v>
      </c>
      <c r="B4763" s="82" t="str">
        <f t="shared" ca="1" si="211"/>
        <v>Cámaras de seguridad</v>
      </c>
      <c r="C4763" s="95" t="str">
        <f>IFERROR(VLOOKUP("UD",'Informacion '!P:Q,2,FALSE),"")</f>
        <v>Unidad</v>
      </c>
      <c r="D4763" s="94">
        <v>1</v>
      </c>
      <c r="E4763" s="84">
        <v>19000</v>
      </c>
      <c r="F4763" s="83">
        <f t="shared" ca="1" si="210"/>
        <v>19000</v>
      </c>
    </row>
    <row r="4764" spans="1:6" ht="14.1" customHeight="1" x14ac:dyDescent="0.25">
      <c r="A4764" s="94" t="s">
        <v>2342</v>
      </c>
      <c r="B4764" s="82" t="str">
        <f t="shared" ca="1" si="211"/>
        <v>Cámaras de seguridad</v>
      </c>
      <c r="C4764" s="95" t="str">
        <f>IFERROR(VLOOKUP("UD",'Informacion '!P:Q,2,FALSE),"")</f>
        <v>Unidad</v>
      </c>
      <c r="D4764" s="94">
        <v>2</v>
      </c>
      <c r="E4764" s="84">
        <v>19000</v>
      </c>
      <c r="F4764" s="83">
        <f t="shared" ca="1" si="210"/>
        <v>38000</v>
      </c>
    </row>
    <row r="4765" spans="1:6" ht="14.1" customHeight="1" x14ac:dyDescent="0.25">
      <c r="A4765" s="94" t="s">
        <v>2342</v>
      </c>
      <c r="B4765" s="82" t="str">
        <f t="shared" ca="1" si="211"/>
        <v>Cámaras de seguridad</v>
      </c>
      <c r="C4765" s="95" t="str">
        <f>IFERROR(VLOOKUP("UD",'Informacion '!P:Q,2,FALSE),"")</f>
        <v>Unidad</v>
      </c>
      <c r="D4765" s="94">
        <v>2</v>
      </c>
      <c r="E4765" s="84">
        <v>19000</v>
      </c>
      <c r="F4765" s="83">
        <f t="shared" ca="1" si="210"/>
        <v>38000</v>
      </c>
    </row>
    <row r="4766" spans="1:6" ht="14.1" customHeight="1" x14ac:dyDescent="0.25">
      <c r="A4766" s="94" t="s">
        <v>2342</v>
      </c>
      <c r="B4766" s="82" t="str">
        <f t="shared" ca="1" si="211"/>
        <v>Cámaras de seguridad</v>
      </c>
      <c r="C4766" s="95" t="str">
        <f>IFERROR(VLOOKUP("UD",'Informacion '!P:Q,2,FALSE),"")</f>
        <v>Unidad</v>
      </c>
      <c r="D4766" s="94">
        <v>1</v>
      </c>
      <c r="E4766" s="84">
        <v>19000</v>
      </c>
      <c r="F4766" s="83">
        <f t="shared" ca="1" si="210"/>
        <v>19000</v>
      </c>
    </row>
    <row r="4767" spans="1:6" ht="14.1" customHeight="1" x14ac:dyDescent="0.25">
      <c r="A4767" s="94" t="s">
        <v>2342</v>
      </c>
      <c r="B4767" s="82" t="str">
        <f t="shared" ca="1" si="211"/>
        <v>Cámaras de seguridad</v>
      </c>
      <c r="C4767" s="95" t="str">
        <f>IFERROR(VLOOKUP("UD",'Informacion '!P:Q,2,FALSE),"")</f>
        <v>Unidad</v>
      </c>
      <c r="D4767" s="94">
        <v>2</v>
      </c>
      <c r="E4767" s="84">
        <v>1900</v>
      </c>
      <c r="F4767" s="83">
        <f t="shared" ca="1" si="210"/>
        <v>3800</v>
      </c>
    </row>
    <row r="4768" spans="1:6" ht="14.1" customHeight="1" x14ac:dyDescent="0.25">
      <c r="A4768" s="94" t="s">
        <v>2342</v>
      </c>
      <c r="B4768" s="82" t="str">
        <f t="shared" ca="1" si="211"/>
        <v>Cámaras de seguridad</v>
      </c>
      <c r="C4768" s="95" t="str">
        <f>IFERROR(VLOOKUP("UD",'Informacion '!P:Q,2,FALSE),"")</f>
        <v>Unidad</v>
      </c>
      <c r="D4768" s="94">
        <v>3</v>
      </c>
      <c r="E4768" s="84">
        <v>19000</v>
      </c>
      <c r="F4768" s="83">
        <f t="shared" ca="1" si="210"/>
        <v>57000</v>
      </c>
    </row>
    <row r="4769" spans="1:10" ht="14.1" customHeight="1" x14ac:dyDescent="0.25">
      <c r="A4769" s="94" t="s">
        <v>2342</v>
      </c>
      <c r="B4769" s="82" t="str">
        <f t="shared" ca="1" si="211"/>
        <v>Cámaras de seguridad</v>
      </c>
      <c r="C4769" s="95" t="str">
        <f>IFERROR(VLOOKUP("UD",'Informacion '!P:Q,2,FALSE),"")</f>
        <v>Unidad</v>
      </c>
      <c r="D4769" s="94">
        <v>1</v>
      </c>
      <c r="E4769" s="84">
        <v>19000</v>
      </c>
      <c r="F4769" s="83">
        <f t="shared" ca="1" si="210"/>
        <v>19000</v>
      </c>
    </row>
    <row r="4770" spans="1:10" ht="14.1" customHeight="1" x14ac:dyDescent="0.25">
      <c r="A4770" s="94" t="s">
        <v>2342</v>
      </c>
      <c r="B4770" s="82" t="str">
        <f t="shared" ca="1" si="211"/>
        <v>Cámaras de seguridad</v>
      </c>
      <c r="C4770" s="95" t="str">
        <f>IFERROR(VLOOKUP("UD",'Informacion '!P:Q,2,FALSE),"")</f>
        <v>Unidad</v>
      </c>
      <c r="D4770" s="94">
        <v>1</v>
      </c>
      <c r="E4770" s="84">
        <v>19000</v>
      </c>
      <c r="F4770" s="83">
        <f t="shared" ca="1" si="210"/>
        <v>19000</v>
      </c>
    </row>
    <row r="4771" spans="1:10" ht="14.1" customHeight="1" x14ac:dyDescent="0.25">
      <c r="A4771" s="94" t="s">
        <v>2342</v>
      </c>
      <c r="B4771" s="82" t="str">
        <f t="shared" ca="1" si="211"/>
        <v>Cámaras de seguridad</v>
      </c>
      <c r="C4771" s="95" t="str">
        <f>IFERROR(VLOOKUP("UD",'Informacion '!P:Q,2,FALSE),"")</f>
        <v>Unidad</v>
      </c>
      <c r="D4771" s="94">
        <v>1</v>
      </c>
      <c r="E4771" s="84">
        <v>40000</v>
      </c>
      <c r="F4771" s="83">
        <f t="shared" ca="1" si="210"/>
        <v>40000</v>
      </c>
    </row>
    <row r="4772" spans="1:10" ht="14.1" customHeight="1" x14ac:dyDescent="0.25">
      <c r="A4772" s="94" t="s">
        <v>7713</v>
      </c>
      <c r="B4772" s="82" t="str">
        <f ca="1">IFERROR(INDEX(UNSPSCDes,MATCH(INDIRECT(ADDRESS(ROW(),COLUMN()-1,4)),UNSPSCCode,0)),IF(INDIRECT(ADDRESS(ROW(),COLUMN()-1,4))="46171618","Campanas para puertas",""))</f>
        <v>Campanas para puertas</v>
      </c>
      <c r="C4772" s="95" t="str">
        <f>IFERROR(VLOOKUP("UD",'Informacion '!P:Q,2,FALSE),"")</f>
        <v>Unidad</v>
      </c>
      <c r="D4772" s="94">
        <v>1</v>
      </c>
      <c r="E4772" s="84">
        <v>80000</v>
      </c>
      <c r="F4772" s="83">
        <f t="shared" ca="1" si="210"/>
        <v>80000</v>
      </c>
    </row>
    <row r="4773" spans="1:10" ht="14.1" customHeight="1" x14ac:dyDescent="0.25">
      <c r="A4773" s="94" t="s">
        <v>5720</v>
      </c>
      <c r="B4773" s="82" t="str">
        <f ca="1">IFERROR(INDEX(UNSPSCDes,MATCH(INDIRECT(ADDRESS(ROW(),COLUMN()-1,4)),UNSPSCCode,0)),IF(INDIRECT(ADDRESS(ROW(),COLUMN()-1,4))="46171602","Alarmas de seguridad",""))</f>
        <v>Alarmas de seguridad</v>
      </c>
      <c r="C4773" s="95" t="str">
        <f>IFERROR(VLOOKUP("UD",'Informacion '!P:Q,2,FALSE),"")</f>
        <v>Unidad</v>
      </c>
      <c r="D4773" s="94">
        <v>1</v>
      </c>
      <c r="E4773" s="84">
        <v>150000</v>
      </c>
      <c r="F4773" s="83">
        <f t="shared" ca="1" si="210"/>
        <v>150000</v>
      </c>
    </row>
    <row r="4774" spans="1:10" ht="14.1" customHeight="1" x14ac:dyDescent="0.25">
      <c r="A4774" s="94" t="s">
        <v>16128</v>
      </c>
      <c r="B4774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4774" s="95" t="str">
        <f>IFERROR(VLOOKUP("UD",'Informacion '!P:Q,2,FALSE),"")</f>
        <v>Unidad</v>
      </c>
      <c r="D4774" s="94">
        <v>7</v>
      </c>
      <c r="E4774" s="84">
        <v>80000</v>
      </c>
      <c r="F4774" s="83">
        <f t="shared" ca="1" si="210"/>
        <v>560000</v>
      </c>
    </row>
    <row r="4775" spans="1:10" ht="14.1" customHeight="1" x14ac:dyDescent="0.25">
      <c r="A4775" s="94" t="s">
        <v>1179</v>
      </c>
      <c r="B4775" s="82" t="str">
        <f ca="1">IFERROR(INDEX(UNSPSCDes,MATCH(INDIRECT(ADDRESS(ROW(),COLUMN()-1,4)),UNSPSCCode,0)),IF(INDIRECT(ADDRESS(ROW(),COLUMN()-1,4))="46191505","Sistemas de alarma contra incendios",""))</f>
        <v>Sistemas de alarma contra incendios</v>
      </c>
      <c r="C4775" s="95" t="str">
        <f>IFERROR(VLOOKUP("UD",'Informacion '!P:Q,2,FALSE),"")</f>
        <v>Unidad</v>
      </c>
      <c r="D4775" s="94">
        <v>1</v>
      </c>
      <c r="E4775" s="84">
        <v>150000</v>
      </c>
      <c r="F4775" s="83">
        <f t="shared" ca="1" si="210"/>
        <v>150000</v>
      </c>
    </row>
    <row r="4776" spans="1:10" ht="14.1" customHeight="1" x14ac:dyDescent="0.25">
      <c r="A4776" s="94" t="s">
        <v>12643</v>
      </c>
      <c r="B4776" s="82" t="str">
        <f ca="1">IFERROR(INDEX(UNSPSCDes,MATCH(INDIRECT(ADDRESS(ROW(),COLUMN()-1,4)),UNSPSCCode,0)),IF(INDIRECT(ADDRESS(ROW(),COLUMN()-1,4))="46191601","Extintores",""))</f>
        <v>Extintores</v>
      </c>
      <c r="C4776" s="95" t="str">
        <f>IFERROR(VLOOKUP("UD",'Informacion '!P:Q,2,FALSE),"")</f>
        <v>Unidad</v>
      </c>
      <c r="D4776" s="94">
        <v>3</v>
      </c>
      <c r="E4776" s="84">
        <v>18000</v>
      </c>
      <c r="F4776" s="83">
        <f t="shared" ca="1" si="210"/>
        <v>54000</v>
      </c>
    </row>
    <row r="4777" spans="1:10" ht="14.1" customHeight="1" x14ac:dyDescent="0.25">
      <c r="A4777" s="94" t="s">
        <v>224</v>
      </c>
      <c r="B4777" s="82" t="str">
        <f ca="1">IFERROR(INDEX(UNSPSCDes,MATCH(INDIRECT(ADDRESS(ROW(),COLUMN()-1,4)),UNSPSCCode,0)),IF(INDIRECT(ADDRESS(ROW(),COLUMN()-1,4))="32101617","Tarjetas inteligentes",""))</f>
        <v>Tarjetas inteligentes</v>
      </c>
      <c r="C4777" s="95" t="str">
        <f>IFERROR(VLOOKUP("UD",'Informacion '!P:Q,2,FALSE),"")</f>
        <v>Unidad</v>
      </c>
      <c r="D4777" s="94">
        <v>1</v>
      </c>
      <c r="E4777" s="84">
        <v>77050</v>
      </c>
      <c r="F4777" s="83">
        <f t="shared" ca="1" si="210"/>
        <v>77050</v>
      </c>
    </row>
    <row r="4778" spans="1:10" ht="14.1" customHeight="1" x14ac:dyDescent="0.25">
      <c r="A4778" s="94" t="s">
        <v>10922</v>
      </c>
      <c r="B4778" s="82" t="str">
        <f ca="1">IFERROR(INDEX(UNSPSCDes,MATCH(INDIRECT(ADDRESS(ROW(),COLUMN()-1,4)),UNSPSCCode,0)),IF(INDIRECT(ADDRESS(ROW(),COLUMN()-1,4))="53102701","Uniformes militares",""))</f>
        <v>Uniformes militares</v>
      </c>
      <c r="C4778" s="95" t="str">
        <f>IFERROR(VLOOKUP("UD",'Informacion '!P:Q,2,FALSE),"")</f>
        <v>Unidad</v>
      </c>
      <c r="D4778" s="94">
        <v>9</v>
      </c>
      <c r="E4778" s="84">
        <v>3000</v>
      </c>
      <c r="F4778" s="83">
        <f t="shared" ca="1" si="210"/>
        <v>27000</v>
      </c>
    </row>
    <row r="4779" spans="1:10" ht="14.1" customHeight="1" x14ac:dyDescent="0.25">
      <c r="A4779" s="94" t="s">
        <v>10922</v>
      </c>
      <c r="B4779" s="82" t="str">
        <f ca="1">IFERROR(INDEX(UNSPSCDes,MATCH(INDIRECT(ADDRESS(ROW(),COLUMN()-1,4)),UNSPSCCode,0)),IF(INDIRECT(ADDRESS(ROW(),COLUMN()-1,4))="53102701","Uniformes militares",""))</f>
        <v>Uniformes militares</v>
      </c>
      <c r="C4779" s="95" t="str">
        <f>IFERROR(VLOOKUP("UD",'Informacion '!P:Q,2,FALSE),"")</f>
        <v>Unidad</v>
      </c>
      <c r="D4779" s="94">
        <v>30</v>
      </c>
      <c r="E4779" s="84">
        <v>1500</v>
      </c>
      <c r="F4779" s="83">
        <f t="shared" ca="1" si="210"/>
        <v>45000</v>
      </c>
    </row>
    <row r="4780" spans="1:10" ht="14.1" customHeight="1" x14ac:dyDescent="0.25">
      <c r="A4780" s="94" t="s">
        <v>10922</v>
      </c>
      <c r="B4780" s="82" t="str">
        <f ca="1">IFERROR(INDEX(UNSPSCDes,MATCH(INDIRECT(ADDRESS(ROW(),COLUMN()-1,4)),UNSPSCCode,0)),IF(INDIRECT(ADDRESS(ROW(),COLUMN()-1,4))="53102701","Uniformes militares",""))</f>
        <v>Uniformes militares</v>
      </c>
      <c r="C4780" s="95" t="str">
        <f>IFERROR(VLOOKUP("UD",'Informacion '!P:Q,2,FALSE),"")</f>
        <v>Unidad</v>
      </c>
      <c r="D4780" s="94">
        <v>30</v>
      </c>
      <c r="E4780" s="84">
        <v>4000</v>
      </c>
      <c r="F4780" s="83">
        <f t="shared" ca="1" si="210"/>
        <v>120000</v>
      </c>
    </row>
    <row r="4781" spans="1:10" ht="14.1" customHeight="1" x14ac:dyDescent="0.25">
      <c r="E4781" s="96" t="s">
        <v>7213</v>
      </c>
      <c r="F4781" s="87">
        <f ca="1">SUM(Table125[MONTO TOTAL ESTIMADO])</f>
        <v>4553900</v>
      </c>
      <c r="H4781" s="39" t="str">
        <f>C4734</f>
        <v>Bienes</v>
      </c>
      <c r="I4781" s="39" t="str">
        <f>E4734</f>
        <v>No</v>
      </c>
      <c r="J4781" s="39" t="str">
        <f>D4734</f>
        <v>Compras Menores</v>
      </c>
    </row>
    <row r="4783" spans="1:10" ht="33.950000000000003" customHeight="1" x14ac:dyDescent="0.25">
      <c r="A4783" s="77" t="s">
        <v>17233</v>
      </c>
      <c r="B4783" s="77" t="s">
        <v>4237</v>
      </c>
      <c r="C4783" s="77" t="s">
        <v>4743</v>
      </c>
      <c r="D4783" s="77" t="s">
        <v>9891</v>
      </c>
      <c r="E4783" s="77" t="s">
        <v>3089</v>
      </c>
      <c r="F4783" s="77" t="s">
        <v>18141</v>
      </c>
    </row>
    <row r="4784" spans="1:10" ht="14.1" customHeight="1" x14ac:dyDescent="0.25">
      <c r="A4784" s="79" t="s">
        <v>11728</v>
      </c>
      <c r="B4784" s="79" t="s">
        <v>11828</v>
      </c>
      <c r="C4784" s="79" t="s">
        <v>19629</v>
      </c>
      <c r="D4784" s="79" t="s">
        <v>17798</v>
      </c>
      <c r="E4784" s="79" t="s">
        <v>18247</v>
      </c>
      <c r="F4784" s="79"/>
    </row>
    <row r="4785" spans="1:10" ht="14.1" customHeight="1" x14ac:dyDescent="0.25">
      <c r="A4785" s="2" t="s">
        <v>6643</v>
      </c>
      <c r="B4785" s="80" t="s">
        <v>1046</v>
      </c>
      <c r="C4785" s="90">
        <v>43739</v>
      </c>
      <c r="D4785" s="2" t="s">
        <v>59</v>
      </c>
      <c r="E4785" s="92" t="s">
        <v>20066</v>
      </c>
      <c r="F4785" s="93"/>
    </row>
    <row r="4786" spans="1:10" ht="14.1" customHeight="1" x14ac:dyDescent="0.25">
      <c r="A4786" s="1"/>
      <c r="B4786" s="80" t="s">
        <v>10788</v>
      </c>
      <c r="C4786" s="91">
        <f>IF(C4785="","",IF(AND(MONTH(C4785)&gt;=1,MONTH(C4785)&lt;=3),1,IF(AND(MONTH(C4785)&gt;=4,MONTH(C4785)&lt;=6),2,IF(AND(MONTH(C4785)&gt;=7,MONTH(C4785)&lt;=9),3,4))))</f>
        <v>4</v>
      </c>
      <c r="D4786" s="1"/>
      <c r="E4786" s="92" t="s">
        <v>14822</v>
      </c>
      <c r="F4786" s="93"/>
    </row>
    <row r="4787" spans="1:10" ht="14.1" customHeight="1" x14ac:dyDescent="0.25">
      <c r="A4787" s="1"/>
      <c r="B4787" s="80" t="s">
        <v>13758</v>
      </c>
      <c r="C4787" s="90">
        <v>43830</v>
      </c>
      <c r="D4787" s="1"/>
      <c r="E4787" s="92" t="s">
        <v>18636</v>
      </c>
      <c r="F4787" s="93"/>
    </row>
    <row r="4788" spans="1:10" ht="14.1" customHeight="1" x14ac:dyDescent="0.25">
      <c r="A4788" s="1"/>
      <c r="B4788" s="80" t="s">
        <v>10788</v>
      </c>
      <c r="C4788" s="91">
        <f>IF(C4787="","",IF(AND(MONTH(C4787)&gt;=1,MONTH(C4787)&lt;=3),1,IF(AND(MONTH(C4787)&gt;=4,MONTH(C4787)&lt;=6),2,IF(AND(MONTH(C4787)&gt;=7,MONTH(C4787)&lt;=9),3,4))))</f>
        <v>4</v>
      </c>
      <c r="D4788" s="1"/>
      <c r="E4788" s="92" t="s">
        <v>15990</v>
      </c>
      <c r="F4788" s="93"/>
    </row>
    <row r="4790" spans="1:10" ht="14.1" customHeight="1" x14ac:dyDescent="0.25">
      <c r="A4790" s="85" t="s">
        <v>15474</v>
      </c>
      <c r="B4790" s="85" t="s">
        <v>5027</v>
      </c>
      <c r="C4790" s="85" t="s">
        <v>17461</v>
      </c>
      <c r="D4790" s="85" t="s">
        <v>3935</v>
      </c>
      <c r="E4790" s="85" t="s">
        <v>10722</v>
      </c>
      <c r="F4790" s="85" t="s">
        <v>18237</v>
      </c>
    </row>
    <row r="4791" spans="1:10" ht="14.1" customHeight="1" x14ac:dyDescent="0.25">
      <c r="A4791" s="94" t="s">
        <v>7513</v>
      </c>
      <c r="B4791" s="82" t="str">
        <f ca="1">IFERROR(INDEX(UNSPSCDes,MATCH(INDIRECT(ADDRESS(ROW(),COLUMN()-1,4)),UNSPSCCode,0)),IF(INDIRECT(ADDRESS(ROW(),COLUMN()-1,4))="80141902","Reuniones y eventos",""))</f>
        <v>Reuniones y eventos</v>
      </c>
      <c r="C4791" s="95" t="str">
        <f>IFERROR(VLOOKUP("MES",'Informacion '!P:Q,2,FALSE),"")</f>
        <v>Mes</v>
      </c>
      <c r="D4791" s="94">
        <v>1</v>
      </c>
      <c r="E4791" s="84">
        <v>50000</v>
      </c>
      <c r="F4791" s="83">
        <f ca="1">INDIRECT(ADDRESS(ROW(),COLUMN()-2,4))*INDIRECT(ADDRESS(ROW(),COLUMN()-1,4))</f>
        <v>50000</v>
      </c>
    </row>
    <row r="4792" spans="1:10" ht="14.1" customHeight="1" x14ac:dyDescent="0.25">
      <c r="A4792" s="94" t="s">
        <v>7513</v>
      </c>
      <c r="B4792" s="82" t="str">
        <f ca="1">IFERROR(INDEX(UNSPSCDes,MATCH(INDIRECT(ADDRESS(ROW(),COLUMN()-1,4)),UNSPSCCode,0)),IF(INDIRECT(ADDRESS(ROW(),COLUMN()-1,4))="80141902","Reuniones y eventos",""))</f>
        <v>Reuniones y eventos</v>
      </c>
      <c r="C4792" s="95" t="str">
        <f>IFERROR(VLOOKUP("MES",'Informacion '!P:Q,2,FALSE),"")</f>
        <v>Mes</v>
      </c>
      <c r="D4792" s="94">
        <v>1</v>
      </c>
      <c r="E4792" s="84">
        <v>150000</v>
      </c>
      <c r="F4792" s="83">
        <f ca="1">INDIRECT(ADDRESS(ROW(),COLUMN()-2,4))*INDIRECT(ADDRESS(ROW(),COLUMN()-1,4))</f>
        <v>150000</v>
      </c>
    </row>
    <row r="4793" spans="1:10" ht="14.1" customHeight="1" x14ac:dyDescent="0.25">
      <c r="E4793" s="96" t="s">
        <v>7213</v>
      </c>
      <c r="F4793" s="87">
        <f ca="1">SUM(Table126[MONTO TOTAL ESTIMADO])</f>
        <v>200000</v>
      </c>
      <c r="H4793" s="39" t="str">
        <f>C4784</f>
        <v>Servicios</v>
      </c>
      <c r="I4793" s="39" t="str">
        <f>E4784</f>
        <v>No</v>
      </c>
      <c r="J4793" s="39" t="str">
        <f>D4784</f>
        <v>Compras Menores</v>
      </c>
    </row>
    <row r="4795" spans="1:10" ht="33.950000000000003" customHeight="1" x14ac:dyDescent="0.25">
      <c r="A4795" s="77" t="s">
        <v>17233</v>
      </c>
      <c r="B4795" s="77" t="s">
        <v>4237</v>
      </c>
      <c r="C4795" s="77" t="s">
        <v>4743</v>
      </c>
      <c r="D4795" s="77" t="s">
        <v>9891</v>
      </c>
      <c r="E4795" s="77" t="s">
        <v>3089</v>
      </c>
      <c r="F4795" s="77" t="s">
        <v>18141</v>
      </c>
    </row>
    <row r="4796" spans="1:10" ht="14.1" customHeight="1" x14ac:dyDescent="0.25">
      <c r="A4796" s="79" t="s">
        <v>5020</v>
      </c>
      <c r="B4796" s="79" t="s">
        <v>10353</v>
      </c>
      <c r="C4796" s="79" t="s">
        <v>17215</v>
      </c>
      <c r="D4796" s="79" t="s">
        <v>17798</v>
      </c>
      <c r="E4796" s="79" t="s">
        <v>18247</v>
      </c>
      <c r="F4796" s="79"/>
    </row>
    <row r="4797" spans="1:10" ht="14.1" customHeight="1" x14ac:dyDescent="0.25">
      <c r="A4797" s="2" t="s">
        <v>6643</v>
      </c>
      <c r="B4797" s="80" t="s">
        <v>1046</v>
      </c>
      <c r="C4797" s="90">
        <v>43647</v>
      </c>
      <c r="D4797" s="2" t="s">
        <v>59</v>
      </c>
      <c r="E4797" s="92" t="s">
        <v>20066</v>
      </c>
      <c r="F4797" s="93"/>
    </row>
    <row r="4798" spans="1:10" ht="14.1" customHeight="1" x14ac:dyDescent="0.25">
      <c r="A4798" s="1"/>
      <c r="B4798" s="80" t="s">
        <v>10788</v>
      </c>
      <c r="C4798" s="91">
        <f>IF(C4797="","",IF(AND(MONTH(C4797)&gt;=1,MONTH(C4797)&lt;=3),1,IF(AND(MONTH(C4797)&gt;=4,MONTH(C4797)&lt;=6),2,IF(AND(MONTH(C4797)&gt;=7,MONTH(C4797)&lt;=9),3,4))))</f>
        <v>3</v>
      </c>
      <c r="D4798" s="1"/>
      <c r="E4798" s="92" t="s">
        <v>14822</v>
      </c>
      <c r="F4798" s="93"/>
    </row>
    <row r="4799" spans="1:10" ht="14.1" customHeight="1" x14ac:dyDescent="0.25">
      <c r="A4799" s="1"/>
      <c r="B4799" s="80" t="s">
        <v>13758</v>
      </c>
      <c r="C4799" s="90">
        <v>43738</v>
      </c>
      <c r="D4799" s="1"/>
      <c r="E4799" s="92" t="s">
        <v>18636</v>
      </c>
      <c r="F4799" s="93"/>
    </row>
    <row r="4800" spans="1:10" ht="14.1" customHeight="1" x14ac:dyDescent="0.25">
      <c r="A4800" s="1"/>
      <c r="B4800" s="80" t="s">
        <v>10788</v>
      </c>
      <c r="C4800" s="91">
        <f>IF(C4799="","",IF(AND(MONTH(C4799)&gt;=1,MONTH(C4799)&lt;=3),1,IF(AND(MONTH(C4799)&gt;=4,MONTH(C4799)&lt;=6),2,IF(AND(MONTH(C4799)&gt;=7,MONTH(C4799)&lt;=9),3,4))))</f>
        <v>3</v>
      </c>
      <c r="D4800" s="1"/>
      <c r="E4800" s="92" t="s">
        <v>15990</v>
      </c>
      <c r="F4800" s="93"/>
    </row>
    <row r="4802" spans="1:6" ht="14.1" customHeight="1" x14ac:dyDescent="0.25">
      <c r="A4802" s="85" t="s">
        <v>15474</v>
      </c>
      <c r="B4802" s="85" t="s">
        <v>5027</v>
      </c>
      <c r="C4802" s="85" t="s">
        <v>17461</v>
      </c>
      <c r="D4802" s="85" t="s">
        <v>3935</v>
      </c>
      <c r="E4802" s="85" t="s">
        <v>10722</v>
      </c>
      <c r="F4802" s="85" t="s">
        <v>18237</v>
      </c>
    </row>
    <row r="4803" spans="1:6" ht="14.1" customHeight="1" x14ac:dyDescent="0.25">
      <c r="A4803" s="94" t="s">
        <v>8317</v>
      </c>
      <c r="B4803" s="82" t="str">
        <f ca="1">IFERROR(INDEX(UNSPSCDes,MATCH(INDIRECT(ADDRESS(ROW(),COLUMN()-1,4)),UNSPSCCode,0)),IF(INDIRECT(ADDRESS(ROW(),COLUMN()-1,4))="60122008","Cordón plástico (rexlace)",""))</f>
        <v>Cordón plástico (rexlace)</v>
      </c>
      <c r="C4803" s="95" t="str">
        <f>IFERROR(VLOOKUP("UD",'Informacion '!P:Q,2,FALSE),"")</f>
        <v>Unidad</v>
      </c>
      <c r="D4803" s="94">
        <v>400</v>
      </c>
      <c r="E4803" s="84">
        <v>60</v>
      </c>
      <c r="F4803" s="83">
        <f t="shared" ref="F4803:F4821" ca="1" si="212">INDIRECT(ADDRESS(ROW(),COLUMN()-2,4))*INDIRECT(ADDRESS(ROW(),COLUMN()-1,4))</f>
        <v>24000</v>
      </c>
    </row>
    <row r="4804" spans="1:6" ht="14.1" customHeight="1" x14ac:dyDescent="0.25">
      <c r="A4804" s="94" t="s">
        <v>10922</v>
      </c>
      <c r="B4804" s="82" t="str">
        <f ca="1">IFERROR(INDEX(UNSPSCDes,MATCH(INDIRECT(ADDRESS(ROW(),COLUMN()-1,4)),UNSPSCCode,0)),IF(INDIRECT(ADDRESS(ROW(),COLUMN()-1,4))="53102701","Uniformes militares",""))</f>
        <v>Uniformes militares</v>
      </c>
      <c r="C4804" s="95" t="str">
        <f>IFERROR(VLOOKUP("UD",'Informacion '!P:Q,2,FALSE),"")</f>
        <v>Unidad</v>
      </c>
      <c r="D4804" s="94">
        <v>20</v>
      </c>
      <c r="E4804" s="84">
        <v>4000</v>
      </c>
      <c r="F4804" s="83">
        <f t="shared" ca="1" si="212"/>
        <v>80000</v>
      </c>
    </row>
    <row r="4805" spans="1:6" ht="14.1" customHeight="1" x14ac:dyDescent="0.25">
      <c r="A4805" s="94" t="s">
        <v>10922</v>
      </c>
      <c r="B4805" s="82" t="str">
        <f ca="1">IFERROR(INDEX(UNSPSCDes,MATCH(INDIRECT(ADDRESS(ROW(),COLUMN()-1,4)),UNSPSCCode,0)),IF(INDIRECT(ADDRESS(ROW(),COLUMN()-1,4))="53102701","Uniformes militares",""))</f>
        <v>Uniformes militares</v>
      </c>
      <c r="C4805" s="95" t="str">
        <f>IFERROR(VLOOKUP("UD",'Informacion '!P:Q,2,FALSE),"")</f>
        <v>Unidad</v>
      </c>
      <c r="D4805" s="94">
        <v>20</v>
      </c>
      <c r="E4805" s="84">
        <v>1500</v>
      </c>
      <c r="F4805" s="83">
        <f t="shared" ca="1" si="212"/>
        <v>30000</v>
      </c>
    </row>
    <row r="4806" spans="1:6" ht="14.1" customHeight="1" x14ac:dyDescent="0.25">
      <c r="A4806" s="94" t="s">
        <v>10922</v>
      </c>
      <c r="B4806" s="82" t="str">
        <f ca="1">IFERROR(INDEX(UNSPSCDes,MATCH(INDIRECT(ADDRESS(ROW(),COLUMN()-1,4)),UNSPSCCode,0)),IF(INDIRECT(ADDRESS(ROW(),COLUMN()-1,4))="53102701","Uniformes militares",""))</f>
        <v>Uniformes militares</v>
      </c>
      <c r="C4806" s="95" t="str">
        <f>IFERROR(VLOOKUP("UD",'Informacion '!P:Q,2,FALSE),"")</f>
        <v>Unidad</v>
      </c>
      <c r="D4806" s="94">
        <v>9</v>
      </c>
      <c r="E4806" s="84">
        <v>3000</v>
      </c>
      <c r="F4806" s="83">
        <f t="shared" ca="1" si="212"/>
        <v>27000</v>
      </c>
    </row>
    <row r="4807" spans="1:6" ht="14.1" customHeight="1" x14ac:dyDescent="0.25">
      <c r="A4807" s="94" t="s">
        <v>224</v>
      </c>
      <c r="B4807" s="82" t="str">
        <f ca="1">IFERROR(INDEX(UNSPSCDes,MATCH(INDIRECT(ADDRESS(ROW(),COLUMN()-1,4)),UNSPSCCode,0)),IF(INDIRECT(ADDRESS(ROW(),COLUMN()-1,4))="32101617","Tarjetas inteligentes",""))</f>
        <v>Tarjetas inteligentes</v>
      </c>
      <c r="C4807" s="95" t="str">
        <f>IFERROR(VLOOKUP("UD",'Informacion '!P:Q,2,FALSE),"")</f>
        <v>Unidad</v>
      </c>
      <c r="D4807" s="94">
        <v>1500</v>
      </c>
      <c r="E4807" s="84">
        <v>5</v>
      </c>
      <c r="F4807" s="83">
        <f t="shared" ca="1" si="212"/>
        <v>7500</v>
      </c>
    </row>
    <row r="4808" spans="1:6" ht="14.1" customHeight="1" x14ac:dyDescent="0.25">
      <c r="A4808" s="94" t="s">
        <v>2642</v>
      </c>
      <c r="B4808" s="82" t="str">
        <f ca="1">IFERROR(INDEX(UNSPSCDes,MATCH(INDIRECT(ADDRESS(ROW(),COLUMN()-1,4)),UNSPSCCode,0)),IF(INDIRECT(ADDRESS(ROW(),COLUMN()-1,4))="44103101","Correas de impresoras, fax o fotocopiadoras",""))</f>
        <v>Correas de impresoras, fax o fotocopiadoras</v>
      </c>
      <c r="C4808" s="95" t="str">
        <f>IFERROR(VLOOKUP("UD",'Informacion '!P:Q,2,FALSE),"")</f>
        <v>Unidad</v>
      </c>
      <c r="D4808" s="94">
        <v>10</v>
      </c>
      <c r="E4808" s="84">
        <v>2500</v>
      </c>
      <c r="F4808" s="83">
        <f t="shared" ca="1" si="212"/>
        <v>25000</v>
      </c>
    </row>
    <row r="4809" spans="1:6" ht="14.1" customHeight="1" x14ac:dyDescent="0.25">
      <c r="A4809" s="94" t="s">
        <v>10288</v>
      </c>
      <c r="B4809" s="82" t="str">
        <f ca="1">IFERROR(INDEX(UNSPSCDes,MATCH(INDIRECT(ADDRESS(ROW(),COLUMN()-1,4)),UNSPSCCode,0)),IF(INDIRECT(ADDRESS(ROW(),COLUMN()-1,4))="92121504","Servicios de guardas de seguridad",""))</f>
        <v>Servicios de guardas de seguridad</v>
      </c>
      <c r="C4809" s="95" t="str">
        <f>IFERROR(VLOOKUP("UD",'Informacion '!P:Q,2,FALSE),"")</f>
        <v>Unidad</v>
      </c>
      <c r="D4809" s="94">
        <v>3</v>
      </c>
      <c r="E4809" s="84">
        <v>230000</v>
      </c>
      <c r="F4809" s="83">
        <f t="shared" ca="1" si="212"/>
        <v>690000</v>
      </c>
    </row>
    <row r="4810" spans="1:6" ht="14.1" customHeight="1" x14ac:dyDescent="0.25">
      <c r="A4810" s="94" t="s">
        <v>12643</v>
      </c>
      <c r="B4810" s="82" t="str">
        <f ca="1">IFERROR(INDEX(UNSPSCDes,MATCH(INDIRECT(ADDRESS(ROW(),COLUMN()-1,4)),UNSPSCCode,0)),IF(INDIRECT(ADDRESS(ROW(),COLUMN()-1,4))="46191601","Extintores",""))</f>
        <v>Extintores</v>
      </c>
      <c r="C4810" s="95" t="str">
        <f>IFERROR(VLOOKUP("UD",'Informacion '!P:Q,2,FALSE),"")</f>
        <v>Unidad</v>
      </c>
      <c r="D4810" s="94">
        <v>1</v>
      </c>
      <c r="E4810" s="84">
        <v>70000</v>
      </c>
      <c r="F4810" s="83">
        <f t="shared" ca="1" si="212"/>
        <v>70000</v>
      </c>
    </row>
    <row r="4811" spans="1:6" ht="14.1" customHeight="1" x14ac:dyDescent="0.25">
      <c r="A4811" s="94" t="s">
        <v>2342</v>
      </c>
      <c r="B4811" s="82" t="str">
        <f ca="1">IFERROR(INDEX(UNSPSCDes,MATCH(INDIRECT(ADDRESS(ROW(),COLUMN()-1,4)),UNSPSCCode,0)),IF(INDIRECT(ADDRESS(ROW(),COLUMN()-1,4))="46171610","Cámaras de seguridad",""))</f>
        <v>Cámaras de seguridad</v>
      </c>
      <c r="C4811" s="95" t="str">
        <f>IFERROR(VLOOKUP("UD",'Informacion '!P:Q,2,FALSE),"")</f>
        <v>Unidad</v>
      </c>
      <c r="D4811" s="94">
        <v>1</v>
      </c>
      <c r="E4811" s="84">
        <v>80000</v>
      </c>
      <c r="F4811" s="83">
        <f t="shared" ca="1" si="212"/>
        <v>80000</v>
      </c>
    </row>
    <row r="4812" spans="1:6" ht="14.1" customHeight="1" x14ac:dyDescent="0.25">
      <c r="A4812" s="94" t="s">
        <v>16128</v>
      </c>
      <c r="B4812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4812" s="95" t="str">
        <f>IFERROR(VLOOKUP("UD",'Informacion '!P:Q,2,FALSE),"")</f>
        <v>Unidad</v>
      </c>
      <c r="D4812" s="94">
        <v>1</v>
      </c>
      <c r="E4812" s="84">
        <v>80000</v>
      </c>
      <c r="F4812" s="83">
        <f t="shared" ca="1" si="212"/>
        <v>80000</v>
      </c>
    </row>
    <row r="4813" spans="1:6" ht="14.1" customHeight="1" x14ac:dyDescent="0.25">
      <c r="A4813" s="94" t="s">
        <v>555</v>
      </c>
      <c r="B4813" s="82" t="str">
        <f ca="1">IFERROR(INDEX(UNSPSCDes,MATCH(INDIRECT(ADDRESS(ROW(),COLUMN()-1,4)),UNSPSCCode,0)),IF(INDIRECT(ADDRESS(ROW(),COLUMN()-1,4))="55121503","Etiquetas de identificación",""))</f>
        <v>Etiquetas de identificación</v>
      </c>
      <c r="C4813" s="95" t="str">
        <f>IFERROR(VLOOKUP("UD",'Informacion '!P:Q,2,FALSE),"")</f>
        <v>Unidad</v>
      </c>
      <c r="D4813" s="94">
        <v>700</v>
      </c>
      <c r="E4813" s="84">
        <v>12</v>
      </c>
      <c r="F4813" s="83">
        <f t="shared" ca="1" si="212"/>
        <v>8400</v>
      </c>
    </row>
    <row r="4814" spans="1:6" ht="14.1" customHeight="1" x14ac:dyDescent="0.25">
      <c r="A4814" s="94" t="s">
        <v>2342</v>
      </c>
      <c r="B4814" s="82" t="str">
        <f ca="1">IFERROR(INDEX(UNSPSCDes,MATCH(INDIRECT(ADDRESS(ROW(),COLUMN()-1,4)),UNSPSCCode,0)),IF(INDIRECT(ADDRESS(ROW(),COLUMN()-1,4))="46171610","Cámaras de seguridad",""))</f>
        <v>Cámaras de seguridad</v>
      </c>
      <c r="C4814" s="95" t="str">
        <f>IFERROR(VLOOKUP("UD",'Informacion '!P:Q,2,FALSE),"")</f>
        <v>Unidad</v>
      </c>
      <c r="D4814" s="94">
        <v>20</v>
      </c>
      <c r="E4814" s="84">
        <v>8000</v>
      </c>
      <c r="F4814" s="83">
        <f t="shared" ca="1" si="212"/>
        <v>160000</v>
      </c>
    </row>
    <row r="4815" spans="1:6" ht="14.1" customHeight="1" x14ac:dyDescent="0.25">
      <c r="A4815" s="94" t="s">
        <v>2</v>
      </c>
      <c r="B4815" s="82" t="str">
        <f ca="1">IFERROR(INDEX(UNSPSCDes,MATCH(INDIRECT(ADDRESS(ROW(),COLUMN()-1,4)),UNSPSCCode,0)),IF(INDIRECT(ADDRESS(ROW(),COLUMN()-1,4))="39121512","Interruptores pulsadores",""))</f>
        <v>Interruptores pulsadores</v>
      </c>
      <c r="C4815" s="95" t="str">
        <f>IFERROR(VLOOKUP("UD",'Informacion '!P:Q,2,FALSE),"")</f>
        <v>Unidad</v>
      </c>
      <c r="D4815" s="94">
        <v>10</v>
      </c>
      <c r="E4815" s="84">
        <v>400</v>
      </c>
      <c r="F4815" s="83">
        <f t="shared" ca="1" si="212"/>
        <v>4000</v>
      </c>
    </row>
    <row r="4816" spans="1:6" ht="14.1" customHeight="1" x14ac:dyDescent="0.25">
      <c r="A4816" s="94" t="s">
        <v>5205</v>
      </c>
      <c r="B4816" s="82" t="str">
        <f ca="1">IFERROR(INDEX(UNSPSCDes,MATCH(INDIRECT(ADDRESS(ROW(),COLUMN()-1,4)),UNSPSCCode,0)),IF(INDIRECT(ADDRESS(ROW(),COLUMN()-1,4))="26111702","Pilas alcalinas",""))</f>
        <v>Pilas alcalinas</v>
      </c>
      <c r="C4816" s="95" t="str">
        <f>IFERROR(VLOOKUP("UD",'Informacion '!P:Q,2,FALSE),"")</f>
        <v>Unidad</v>
      </c>
      <c r="D4816" s="94">
        <v>10</v>
      </c>
      <c r="E4816" s="84">
        <v>60</v>
      </c>
      <c r="F4816" s="83">
        <f t="shared" ca="1" si="212"/>
        <v>600</v>
      </c>
    </row>
    <row r="4817" spans="1:10" ht="14.1" customHeight="1" x14ac:dyDescent="0.25">
      <c r="A4817" s="94" t="s">
        <v>5205</v>
      </c>
      <c r="B4817" s="82" t="str">
        <f ca="1">IFERROR(INDEX(UNSPSCDes,MATCH(INDIRECT(ADDRESS(ROW(),COLUMN()-1,4)),UNSPSCCode,0)),IF(INDIRECT(ADDRESS(ROW(),COLUMN()-1,4))="26111702","Pilas alcalinas",""))</f>
        <v>Pilas alcalinas</v>
      </c>
      <c r="C4817" s="95" t="str">
        <f>IFERROR(VLOOKUP("UD",'Informacion '!P:Q,2,FALSE),"")</f>
        <v>Unidad</v>
      </c>
      <c r="D4817" s="94">
        <v>10</v>
      </c>
      <c r="E4817" s="84">
        <v>50</v>
      </c>
      <c r="F4817" s="83">
        <f t="shared" ca="1" si="212"/>
        <v>500</v>
      </c>
    </row>
    <row r="4818" spans="1:10" ht="14.1" customHeight="1" x14ac:dyDescent="0.25">
      <c r="A4818" s="94" t="s">
        <v>488</v>
      </c>
      <c r="B4818" s="82" t="str">
        <f ca="1">IFERROR(INDEX(UNSPSCDes,MATCH(INDIRECT(ADDRESS(ROW(),COLUMN()-1,4)),UNSPSCCode,0)),IF(INDIRECT(ADDRESS(ROW(),COLUMN()-1,4))="53102505","Sombrillas",""))</f>
        <v>Sombrillas</v>
      </c>
      <c r="C4818" s="95" t="str">
        <f>IFERROR(VLOOKUP("UD",'Informacion '!P:Q,2,FALSE),"")</f>
        <v>Unidad</v>
      </c>
      <c r="D4818" s="94">
        <v>3</v>
      </c>
      <c r="E4818" s="84">
        <v>350</v>
      </c>
      <c r="F4818" s="83">
        <f t="shared" ca="1" si="212"/>
        <v>1050</v>
      </c>
    </row>
    <row r="4819" spans="1:10" ht="14.1" customHeight="1" x14ac:dyDescent="0.25">
      <c r="A4819" s="94" t="s">
        <v>9738</v>
      </c>
      <c r="B4819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4819" s="95" t="str">
        <f>IFERROR(VLOOKUP("UD",'Informacion '!P:Q,2,FALSE),"")</f>
        <v>Unidad</v>
      </c>
      <c r="D4819" s="94">
        <v>7</v>
      </c>
      <c r="E4819" s="84">
        <v>80000</v>
      </c>
      <c r="F4819" s="83">
        <f t="shared" ca="1" si="212"/>
        <v>560000</v>
      </c>
    </row>
    <row r="4820" spans="1:10" ht="14.1" customHeight="1" x14ac:dyDescent="0.25">
      <c r="A4820" s="94" t="s">
        <v>11689</v>
      </c>
      <c r="B4820" s="82" t="str">
        <f ca="1">IFERROR(INDEX(UNSPSCDes,MATCH(INDIRECT(ADDRESS(ROW(),COLUMN()-1,4)),UNSPSCCode,0)),IF(INDIRECT(ADDRESS(ROW(),COLUMN()-1,4))="41111903","Detectores de metales",""))</f>
        <v>Detectores de metales</v>
      </c>
      <c r="C4820" s="95" t="str">
        <f>IFERROR(VLOOKUP("UD",'Informacion '!P:Q,2,FALSE),"")</f>
        <v>Unidad</v>
      </c>
      <c r="D4820" s="94">
        <v>5</v>
      </c>
      <c r="E4820" s="84">
        <v>3500</v>
      </c>
      <c r="F4820" s="83">
        <f t="shared" ca="1" si="212"/>
        <v>17500</v>
      </c>
    </row>
    <row r="4821" spans="1:10" ht="14.1" customHeight="1" x14ac:dyDescent="0.25">
      <c r="A4821" s="94" t="s">
        <v>16128</v>
      </c>
      <c r="B4821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4821" s="95" t="str">
        <f>IFERROR(VLOOKUP("UD",'Informacion '!P:Q,2,FALSE),"")</f>
        <v>Unidad</v>
      </c>
      <c r="D4821" s="94">
        <v>4</v>
      </c>
      <c r="E4821" s="84">
        <v>67000</v>
      </c>
      <c r="F4821" s="83">
        <f t="shared" ca="1" si="212"/>
        <v>268000</v>
      </c>
    </row>
    <row r="4822" spans="1:10" ht="14.1" customHeight="1" x14ac:dyDescent="0.25">
      <c r="E4822" s="96" t="s">
        <v>7213</v>
      </c>
      <c r="F4822" s="87">
        <f ca="1">SUM(Table127[MONTO TOTAL ESTIMADO])</f>
        <v>2133550</v>
      </c>
      <c r="H4822" s="39" t="str">
        <f>C4796</f>
        <v>Bienes</v>
      </c>
      <c r="I4822" s="39" t="str">
        <f>E4796</f>
        <v>No</v>
      </c>
      <c r="J4822" s="39" t="str">
        <f>D4796</f>
        <v>Compras Menores</v>
      </c>
    </row>
    <row r="4824" spans="1:10" ht="33.950000000000003" customHeight="1" x14ac:dyDescent="0.25">
      <c r="A4824" s="77" t="s">
        <v>17233</v>
      </c>
      <c r="B4824" s="77" t="s">
        <v>4237</v>
      </c>
      <c r="C4824" s="77" t="s">
        <v>4743</v>
      </c>
      <c r="D4824" s="77" t="s">
        <v>9891</v>
      </c>
      <c r="E4824" s="77" t="s">
        <v>3089</v>
      </c>
      <c r="F4824" s="77" t="s">
        <v>18141</v>
      </c>
    </row>
    <row r="4825" spans="1:10" ht="14.1" customHeight="1" x14ac:dyDescent="0.25">
      <c r="A4825" s="79" t="s">
        <v>13791</v>
      </c>
      <c r="B4825" s="79" t="s">
        <v>10353</v>
      </c>
      <c r="C4825" s="79" t="s">
        <v>17215</v>
      </c>
      <c r="D4825" s="79" t="s">
        <v>17798</v>
      </c>
      <c r="E4825" s="79" t="s">
        <v>18247</v>
      </c>
      <c r="F4825" s="79"/>
    </row>
    <row r="4826" spans="1:10" ht="14.1" customHeight="1" x14ac:dyDescent="0.25">
      <c r="A4826" s="2" t="s">
        <v>6643</v>
      </c>
      <c r="B4826" s="80" t="s">
        <v>1046</v>
      </c>
      <c r="C4826" s="90">
        <v>43739</v>
      </c>
      <c r="D4826" s="2" t="s">
        <v>59</v>
      </c>
      <c r="E4826" s="92" t="s">
        <v>20066</v>
      </c>
      <c r="F4826" s="93"/>
    </row>
    <row r="4827" spans="1:10" ht="14.1" customHeight="1" x14ac:dyDescent="0.25">
      <c r="A4827" s="1"/>
      <c r="B4827" s="80" t="s">
        <v>10788</v>
      </c>
      <c r="C4827" s="91">
        <f>IF(C4826="","",IF(AND(MONTH(C4826)&gt;=1,MONTH(C4826)&lt;=3),1,IF(AND(MONTH(C4826)&gt;=4,MONTH(C4826)&lt;=6),2,IF(AND(MONTH(C4826)&gt;=7,MONTH(C4826)&lt;=9),3,4))))</f>
        <v>4</v>
      </c>
      <c r="D4827" s="1"/>
      <c r="E4827" s="92" t="s">
        <v>14822</v>
      </c>
      <c r="F4827" s="93"/>
    </row>
    <row r="4828" spans="1:10" ht="14.1" customHeight="1" x14ac:dyDescent="0.25">
      <c r="A4828" s="1"/>
      <c r="B4828" s="80" t="s">
        <v>13758</v>
      </c>
      <c r="C4828" s="90">
        <v>43830</v>
      </c>
      <c r="D4828" s="1"/>
      <c r="E4828" s="92" t="s">
        <v>18636</v>
      </c>
      <c r="F4828" s="93"/>
    </row>
    <row r="4829" spans="1:10" ht="14.1" customHeight="1" x14ac:dyDescent="0.25">
      <c r="A4829" s="1"/>
      <c r="B4829" s="80" t="s">
        <v>10788</v>
      </c>
      <c r="C4829" s="91">
        <f>IF(C4828="","",IF(AND(MONTH(C4828)&gt;=1,MONTH(C4828)&lt;=3),1,IF(AND(MONTH(C4828)&gt;=4,MONTH(C4828)&lt;=6),2,IF(AND(MONTH(C4828)&gt;=7,MONTH(C4828)&lt;=9),3,4))))</f>
        <v>4</v>
      </c>
      <c r="D4829" s="1"/>
      <c r="E4829" s="92" t="s">
        <v>15990</v>
      </c>
      <c r="F4829" s="93"/>
    </row>
    <row r="4831" spans="1:10" ht="14.1" customHeight="1" x14ac:dyDescent="0.25">
      <c r="A4831" s="85" t="s">
        <v>15474</v>
      </c>
      <c r="B4831" s="85" t="s">
        <v>5027</v>
      </c>
      <c r="C4831" s="85" t="s">
        <v>17461</v>
      </c>
      <c r="D4831" s="85" t="s">
        <v>3935</v>
      </c>
      <c r="E4831" s="85" t="s">
        <v>10722</v>
      </c>
      <c r="F4831" s="85" t="s">
        <v>18237</v>
      </c>
    </row>
    <row r="4832" spans="1:10" ht="14.1" customHeight="1" x14ac:dyDescent="0.25">
      <c r="A4832" s="94" t="s">
        <v>8317</v>
      </c>
      <c r="B4832" s="82" t="str">
        <f ca="1">IFERROR(INDEX(UNSPSCDes,MATCH(INDIRECT(ADDRESS(ROW(),COLUMN()-1,4)),UNSPSCCode,0)),IF(INDIRECT(ADDRESS(ROW(),COLUMN()-1,4))="60122008","Cordón plástico (rexlace)",""))</f>
        <v>Cordón plástico (rexlace)</v>
      </c>
      <c r="C4832" s="95" t="str">
        <f>IFERROR(VLOOKUP("UD",'Informacion '!P:Q,2,FALSE),"")</f>
        <v>Unidad</v>
      </c>
      <c r="D4832" s="94">
        <v>400</v>
      </c>
      <c r="E4832" s="84">
        <v>60</v>
      </c>
      <c r="F4832" s="83">
        <f t="shared" ref="F4832:F4842" ca="1" si="213">INDIRECT(ADDRESS(ROW(),COLUMN()-2,4))*INDIRECT(ADDRESS(ROW(),COLUMN()-1,4))</f>
        <v>24000</v>
      </c>
    </row>
    <row r="4833" spans="1:10" ht="14.1" customHeight="1" x14ac:dyDescent="0.25">
      <c r="A4833" s="94" t="s">
        <v>2756</v>
      </c>
      <c r="B4833" s="82" t="str">
        <f ca="1">IFERROR(INDEX(UNSPSCDes,MATCH(INDIRECT(ADDRESS(ROW(),COLUMN()-1,4)),UNSPSCCode,0)),IF(INDIRECT(ADDRESS(ROW(),COLUMN()-1,4))="44103103","Tóner para impresoras o fax",""))</f>
        <v>Tóner para impresoras o fax</v>
      </c>
      <c r="C4833" s="95" t="str">
        <f>IFERROR(VLOOKUP("UD",'Informacion '!P:Q,2,FALSE),"")</f>
        <v>Unidad</v>
      </c>
      <c r="D4833" s="94">
        <v>10</v>
      </c>
      <c r="E4833" s="84">
        <v>2500</v>
      </c>
      <c r="F4833" s="83">
        <f t="shared" ca="1" si="213"/>
        <v>25000</v>
      </c>
    </row>
    <row r="4834" spans="1:10" ht="14.1" customHeight="1" x14ac:dyDescent="0.25">
      <c r="A4834" s="94" t="s">
        <v>10288</v>
      </c>
      <c r="B4834" s="82" t="str">
        <f ca="1">IFERROR(INDEX(UNSPSCDes,MATCH(INDIRECT(ADDRESS(ROW(),COLUMN()-1,4)),UNSPSCCode,0)),IF(INDIRECT(ADDRESS(ROW(),COLUMN()-1,4))="92121504","Servicios de guardas de seguridad",""))</f>
        <v>Servicios de guardas de seguridad</v>
      </c>
      <c r="C4834" s="95" t="str">
        <f>IFERROR(VLOOKUP("UD",'Informacion '!P:Q,2,FALSE),"")</f>
        <v>Unidad</v>
      </c>
      <c r="D4834" s="94">
        <v>3</v>
      </c>
      <c r="E4834" s="84">
        <v>230000</v>
      </c>
      <c r="F4834" s="83">
        <f t="shared" ca="1" si="213"/>
        <v>690000</v>
      </c>
    </row>
    <row r="4835" spans="1:10" ht="14.1" customHeight="1" x14ac:dyDescent="0.25">
      <c r="A4835" s="94" t="s">
        <v>2342</v>
      </c>
      <c r="B4835" s="82" t="str">
        <f ca="1">IFERROR(INDEX(UNSPSCDes,MATCH(INDIRECT(ADDRESS(ROW(),COLUMN()-1,4)),UNSPSCCode,0)),IF(INDIRECT(ADDRESS(ROW(),COLUMN()-1,4))="46171610","Cámaras de seguridad",""))</f>
        <v>Cámaras de seguridad</v>
      </c>
      <c r="C4835" s="95" t="str">
        <f>IFERROR(VLOOKUP("UD",'Informacion '!P:Q,2,FALSE),"")</f>
        <v>Unidad</v>
      </c>
      <c r="D4835" s="94">
        <v>1</v>
      </c>
      <c r="E4835" s="84">
        <v>80000</v>
      </c>
      <c r="F4835" s="83">
        <f t="shared" ca="1" si="213"/>
        <v>80000</v>
      </c>
    </row>
    <row r="4836" spans="1:10" ht="14.1" customHeight="1" x14ac:dyDescent="0.25">
      <c r="A4836" s="94" t="s">
        <v>16128</v>
      </c>
      <c r="B4836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4836" s="95" t="str">
        <f>IFERROR(VLOOKUP("UD",'Informacion '!P:Q,2,FALSE),"")</f>
        <v>Unidad</v>
      </c>
      <c r="D4836" s="94">
        <v>1</v>
      </c>
      <c r="E4836" s="84">
        <v>80000</v>
      </c>
      <c r="F4836" s="83">
        <f t="shared" ca="1" si="213"/>
        <v>80000</v>
      </c>
    </row>
    <row r="4837" spans="1:10" ht="14.1" customHeight="1" x14ac:dyDescent="0.25">
      <c r="A4837" s="94" t="s">
        <v>3596</v>
      </c>
      <c r="B4837" s="82" t="str">
        <f ca="1">IFERROR(INDEX(UNSPSCDes,MATCH(INDIRECT(ADDRESS(ROW(),COLUMN()-1,4)),UNSPSCCode,0)),IF(INDIRECT(ADDRESS(ROW(),COLUMN()-1,4))="14111604","Tarjetas de presentación",""))</f>
        <v>Tarjetas de presentación</v>
      </c>
      <c r="C4837" s="95" t="str">
        <f>IFERROR(VLOOKUP("UD",'Informacion '!P:Q,2,FALSE),"")</f>
        <v>Unidad</v>
      </c>
      <c r="D4837" s="94">
        <v>1000</v>
      </c>
      <c r="E4837" s="84">
        <v>50</v>
      </c>
      <c r="F4837" s="83">
        <f t="shared" ca="1" si="213"/>
        <v>50000</v>
      </c>
    </row>
    <row r="4838" spans="1:10" ht="14.1" customHeight="1" x14ac:dyDescent="0.25">
      <c r="A4838" s="94" t="s">
        <v>555</v>
      </c>
      <c r="B4838" s="82" t="str">
        <f ca="1">IFERROR(INDEX(UNSPSCDes,MATCH(INDIRECT(ADDRESS(ROW(),COLUMN()-1,4)),UNSPSCCode,0)),IF(INDIRECT(ADDRESS(ROW(),COLUMN()-1,4))="55121503","Etiquetas de identificación",""))</f>
        <v>Etiquetas de identificación</v>
      </c>
      <c r="C4838" s="95" t="str">
        <f>IFERROR(VLOOKUP("UD",'Informacion '!P:Q,2,FALSE),"")</f>
        <v>Unidad</v>
      </c>
      <c r="D4838" s="94">
        <v>800</v>
      </c>
      <c r="E4838" s="84">
        <v>12</v>
      </c>
      <c r="F4838" s="83">
        <f t="shared" ca="1" si="213"/>
        <v>9600</v>
      </c>
    </row>
    <row r="4839" spans="1:10" ht="14.1" customHeight="1" x14ac:dyDescent="0.25">
      <c r="A4839" s="94" t="s">
        <v>5205</v>
      </c>
      <c r="B4839" s="82" t="str">
        <f ca="1">IFERROR(INDEX(UNSPSCDes,MATCH(INDIRECT(ADDRESS(ROW(),COLUMN()-1,4)),UNSPSCCode,0)),IF(INDIRECT(ADDRESS(ROW(),COLUMN()-1,4))="26111702","Pilas alcalinas",""))</f>
        <v>Pilas alcalinas</v>
      </c>
      <c r="C4839" s="95" t="str">
        <f>IFERROR(VLOOKUP("UD",'Informacion '!P:Q,2,FALSE),"")</f>
        <v>Unidad</v>
      </c>
      <c r="D4839" s="94">
        <v>6</v>
      </c>
      <c r="E4839" s="84">
        <v>120</v>
      </c>
      <c r="F4839" s="83">
        <f t="shared" ca="1" si="213"/>
        <v>720</v>
      </c>
    </row>
    <row r="4840" spans="1:10" ht="14.1" customHeight="1" x14ac:dyDescent="0.25">
      <c r="A4840" s="94" t="s">
        <v>10929</v>
      </c>
      <c r="B4840" s="82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4840" s="95" t="str">
        <f>IFERROR(VLOOKUP("UD",'Informacion '!P:Q,2,FALSE),"")</f>
        <v>Unidad</v>
      </c>
      <c r="D4840" s="94">
        <v>5</v>
      </c>
      <c r="E4840" s="84">
        <v>500</v>
      </c>
      <c r="F4840" s="83">
        <f t="shared" ca="1" si="213"/>
        <v>2500</v>
      </c>
    </row>
    <row r="4841" spans="1:10" ht="14.1" customHeight="1" x14ac:dyDescent="0.25">
      <c r="A4841" s="94" t="s">
        <v>10929</v>
      </c>
      <c r="B4841" s="82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4841" s="95" t="str">
        <f>IFERROR(VLOOKUP("UD",'Informacion '!P:Q,2,FALSE),"")</f>
        <v>Unidad</v>
      </c>
      <c r="D4841" s="94">
        <v>5</v>
      </c>
      <c r="E4841" s="84">
        <v>300</v>
      </c>
      <c r="F4841" s="83">
        <f t="shared" ca="1" si="213"/>
        <v>1500</v>
      </c>
    </row>
    <row r="4842" spans="1:10" ht="14.1" customHeight="1" x14ac:dyDescent="0.25">
      <c r="A4842" s="94" t="s">
        <v>9738</v>
      </c>
      <c r="B4842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4842" s="95" t="str">
        <f>IFERROR(VLOOKUP("UD",'Informacion '!P:Q,2,FALSE),"")</f>
        <v>Unidad</v>
      </c>
      <c r="D4842" s="94">
        <v>6</v>
      </c>
      <c r="E4842" s="84">
        <v>80000</v>
      </c>
      <c r="F4842" s="83">
        <f t="shared" ca="1" si="213"/>
        <v>480000</v>
      </c>
    </row>
    <row r="4843" spans="1:10" ht="14.1" customHeight="1" x14ac:dyDescent="0.25">
      <c r="E4843" s="96" t="s">
        <v>7213</v>
      </c>
      <c r="F4843" s="87">
        <f ca="1">SUM(Table128[MONTO TOTAL ESTIMADO])</f>
        <v>1443320</v>
      </c>
      <c r="H4843" s="39" t="str">
        <f>C4825</f>
        <v>Bienes</v>
      </c>
      <c r="I4843" s="39" t="str">
        <f>E4825</f>
        <v>No</v>
      </c>
      <c r="J4843" s="39" t="str">
        <f>D4825</f>
        <v>Compras Menores</v>
      </c>
    </row>
    <row r="4845" spans="1:10" ht="33.950000000000003" customHeight="1" x14ac:dyDescent="0.25">
      <c r="A4845" s="77" t="s">
        <v>17233</v>
      </c>
      <c r="B4845" s="77" t="s">
        <v>4237</v>
      </c>
      <c r="C4845" s="77" t="s">
        <v>4743</v>
      </c>
      <c r="D4845" s="77" t="s">
        <v>9891</v>
      </c>
      <c r="E4845" s="77" t="s">
        <v>3089</v>
      </c>
      <c r="F4845" s="77" t="s">
        <v>18141</v>
      </c>
    </row>
    <row r="4846" spans="1:10" ht="14.1" customHeight="1" x14ac:dyDescent="0.25">
      <c r="A4846" s="79" t="s">
        <v>4896</v>
      </c>
      <c r="B4846" s="79" t="s">
        <v>10353</v>
      </c>
      <c r="C4846" s="79" t="s">
        <v>17215</v>
      </c>
      <c r="D4846" s="79" t="s">
        <v>17798</v>
      </c>
      <c r="E4846" s="79" t="s">
        <v>18247</v>
      </c>
      <c r="F4846" s="79"/>
    </row>
    <row r="4847" spans="1:10" ht="14.1" customHeight="1" x14ac:dyDescent="0.25">
      <c r="A4847" s="2" t="s">
        <v>6643</v>
      </c>
      <c r="B4847" s="80" t="s">
        <v>1046</v>
      </c>
      <c r="C4847" s="90">
        <v>43470</v>
      </c>
      <c r="D4847" s="2" t="s">
        <v>59</v>
      </c>
      <c r="E4847" s="92" t="s">
        <v>20066</v>
      </c>
      <c r="F4847" s="93"/>
    </row>
    <row r="4848" spans="1:10" ht="14.1" customHeight="1" x14ac:dyDescent="0.25">
      <c r="A4848" s="1"/>
      <c r="B4848" s="80" t="s">
        <v>10788</v>
      </c>
      <c r="C4848" s="91">
        <f>IF(C4847="","",IF(AND(MONTH(C4847)&gt;=1,MONTH(C4847)&lt;=3),1,IF(AND(MONTH(C4847)&gt;=4,MONTH(C4847)&lt;=6),2,IF(AND(MONTH(C4847)&gt;=7,MONTH(C4847)&lt;=9),3,4))))</f>
        <v>1</v>
      </c>
      <c r="D4848" s="1"/>
      <c r="E4848" s="92" t="s">
        <v>14822</v>
      </c>
      <c r="F4848" s="93"/>
    </row>
    <row r="4849" spans="1:6" ht="14.1" customHeight="1" x14ac:dyDescent="0.25">
      <c r="A4849" s="1"/>
      <c r="B4849" s="80" t="s">
        <v>13758</v>
      </c>
      <c r="C4849" s="90">
        <v>43553</v>
      </c>
      <c r="D4849" s="1"/>
      <c r="E4849" s="92" t="s">
        <v>18636</v>
      </c>
      <c r="F4849" s="93"/>
    </row>
    <row r="4850" spans="1:6" ht="14.1" customHeight="1" x14ac:dyDescent="0.25">
      <c r="A4850" s="1"/>
      <c r="B4850" s="80" t="s">
        <v>10788</v>
      </c>
      <c r="C4850" s="91">
        <f>IF(C4849="","",IF(AND(MONTH(C4849)&gt;=1,MONTH(C4849)&lt;=3),1,IF(AND(MONTH(C4849)&gt;=4,MONTH(C4849)&lt;=6),2,IF(AND(MONTH(C4849)&gt;=7,MONTH(C4849)&lt;=9),3,4))))</f>
        <v>1</v>
      </c>
      <c r="D4850" s="1"/>
      <c r="E4850" s="92" t="s">
        <v>15990</v>
      </c>
      <c r="F4850" s="93"/>
    </row>
    <row r="4852" spans="1:6" ht="14.1" customHeight="1" x14ac:dyDescent="0.25">
      <c r="A4852" s="85" t="s">
        <v>15474</v>
      </c>
      <c r="B4852" s="85" t="s">
        <v>5027</v>
      </c>
      <c r="C4852" s="85" t="s">
        <v>17461</v>
      </c>
      <c r="D4852" s="85" t="s">
        <v>3935</v>
      </c>
      <c r="E4852" s="85" t="s">
        <v>10722</v>
      </c>
      <c r="F4852" s="85" t="s">
        <v>18237</v>
      </c>
    </row>
    <row r="4853" spans="1:6" ht="14.1" customHeight="1" x14ac:dyDescent="0.25">
      <c r="A4853" s="94" t="s">
        <v>3569</v>
      </c>
      <c r="B4853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4853" s="95" t="str">
        <f>IFERROR(VLOOKUP("UD",'Informacion '!P:Q,2,FALSE),"")</f>
        <v>Unidad</v>
      </c>
      <c r="D4853" s="94">
        <v>20</v>
      </c>
      <c r="E4853" s="84">
        <v>9000</v>
      </c>
      <c r="F4853" s="83">
        <f t="shared" ref="F4853:F4884" ca="1" si="214">INDIRECT(ADDRESS(ROW(),COLUMN()-2,4))*INDIRECT(ADDRESS(ROW(),COLUMN()-1,4))</f>
        <v>180000</v>
      </c>
    </row>
    <row r="4854" spans="1:6" ht="14.1" customHeight="1" x14ac:dyDescent="0.25">
      <c r="A4854" s="94" t="s">
        <v>9605</v>
      </c>
      <c r="B4854" s="82" t="str">
        <f ca="1">IFERROR(INDEX(UNSPSCDes,MATCH(INDIRECT(ADDRESS(ROW(),COLUMN()-1,4)),UNSPSCCode,0)),IF(INDIRECT(ADDRESS(ROW(),COLUMN()-1,4))="56101522","Sillas de brazos",""))</f>
        <v>Sillas de brazos</v>
      </c>
      <c r="C4854" s="95" t="str">
        <f>IFERROR(VLOOKUP("UD",'Informacion '!P:Q,2,FALSE),"")</f>
        <v>Unidad</v>
      </c>
      <c r="D4854" s="94">
        <v>15</v>
      </c>
      <c r="E4854" s="84">
        <v>700</v>
      </c>
      <c r="F4854" s="83">
        <f t="shared" ca="1" si="214"/>
        <v>10500</v>
      </c>
    </row>
    <row r="4855" spans="1:6" ht="14.1" customHeight="1" x14ac:dyDescent="0.25">
      <c r="A4855" s="94" t="s">
        <v>17216</v>
      </c>
      <c r="B4855" s="82" t="str">
        <f ca="1">IFERROR(INDEX(UNSPSCDes,MATCH(INDIRECT(ADDRESS(ROW(),COLUMN()-1,4)),UNSPSCCode,0)),IF(INDIRECT(ADDRESS(ROW(),COLUMN()-1,4))="27111602","Martillos",""))</f>
        <v>Martillos</v>
      </c>
      <c r="C4855" s="95" t="str">
        <f>IFERROR(VLOOKUP("UD",'Informacion '!P:Q,2,FALSE),"")</f>
        <v>Unidad</v>
      </c>
      <c r="D4855" s="94">
        <v>1</v>
      </c>
      <c r="E4855" s="84">
        <v>300</v>
      </c>
      <c r="F4855" s="83">
        <f t="shared" ca="1" si="214"/>
        <v>300</v>
      </c>
    </row>
    <row r="4856" spans="1:6" ht="14.1" customHeight="1" x14ac:dyDescent="0.25">
      <c r="A4856" s="94" t="s">
        <v>3452</v>
      </c>
      <c r="B4856" s="82" t="str">
        <f ca="1">IFERROR(INDEX(UNSPSCDes,MATCH(INDIRECT(ADDRESS(ROW(),COLUMN()-1,4)),UNSPSCCode,0)),IF(INDIRECT(ADDRESS(ROW(),COLUMN()-1,4))="11121610","Maderas duras",""))</f>
        <v>Maderas duras</v>
      </c>
      <c r="C4856" s="95" t="str">
        <f>IFERROR(VLOOKUP("UD",'Informacion '!P:Q,2,FALSE),"")</f>
        <v>Unidad</v>
      </c>
      <c r="D4856" s="94">
        <v>5</v>
      </c>
      <c r="E4856" s="84">
        <v>300</v>
      </c>
      <c r="F4856" s="83">
        <f t="shared" ca="1" si="214"/>
        <v>1500</v>
      </c>
    </row>
    <row r="4857" spans="1:6" ht="14.1" customHeight="1" x14ac:dyDescent="0.25">
      <c r="A4857" s="94" t="s">
        <v>7657</v>
      </c>
      <c r="B4857" s="82" t="str">
        <f ca="1">IFERROR(INDEX(UNSPSCDes,MATCH(INDIRECT(ADDRESS(ROW(),COLUMN()-1,4)),UNSPSCCode,0)),IF(INDIRECT(ADDRESS(ROW(),COLUMN()-1,4))="10171504","Abono",""))</f>
        <v>Abono</v>
      </c>
      <c r="C4857" s="95" t="str">
        <f>IFERROR(VLOOKUP("UD",'Informacion '!P:Q,2,FALSE),"")</f>
        <v>Unidad</v>
      </c>
      <c r="D4857" s="94">
        <v>2</v>
      </c>
      <c r="E4857" s="84">
        <v>2500</v>
      </c>
      <c r="F4857" s="83">
        <f t="shared" ca="1" si="214"/>
        <v>5000</v>
      </c>
    </row>
    <row r="4858" spans="1:6" ht="14.1" customHeight="1" x14ac:dyDescent="0.25">
      <c r="A4858" s="94" t="s">
        <v>13517</v>
      </c>
      <c r="B4858" s="82" t="str">
        <f ca="1">IFERROR(INDEX(UNSPSCDes,MATCH(INDIRECT(ADDRESS(ROW(),COLUMN()-1,4)),UNSPSCCode,0)),IF(INDIRECT(ADDRESS(ROW(),COLUMN()-1,4))="11111501","Tierra",""))</f>
        <v>Tierra</v>
      </c>
      <c r="C4858" s="95" t="str">
        <f>IFERROR(VLOOKUP("UD",'Informacion '!P:Q,2,FALSE),"")</f>
        <v>Unidad</v>
      </c>
      <c r="D4858" s="94">
        <v>5</v>
      </c>
      <c r="E4858" s="84">
        <v>100</v>
      </c>
      <c r="F4858" s="83">
        <f t="shared" ca="1" si="214"/>
        <v>500</v>
      </c>
    </row>
    <row r="4859" spans="1:6" ht="14.1" customHeight="1" x14ac:dyDescent="0.25">
      <c r="A4859" s="94" t="s">
        <v>10572</v>
      </c>
      <c r="B4859" s="82" t="str">
        <f ca="1">IFERROR(INDEX(UNSPSCDes,MATCH(INDIRECT(ADDRESS(ROW(),COLUMN()-1,4)),UNSPSCCode,0)),IF(INDIRECT(ADDRESS(ROW(),COLUMN()-1,4))="10191509","Insecticidas",""))</f>
        <v>Insecticidas</v>
      </c>
      <c r="C4859" s="95" t="str">
        <f>IFERROR(VLOOKUP("GAL",'Informacion '!P:Q,2,FALSE),"")</f>
        <v>Galón</v>
      </c>
      <c r="D4859" s="94">
        <v>3</v>
      </c>
      <c r="E4859" s="84">
        <v>1380</v>
      </c>
      <c r="F4859" s="83">
        <f t="shared" ca="1" si="214"/>
        <v>4140</v>
      </c>
    </row>
    <row r="4860" spans="1:6" ht="14.1" customHeight="1" x14ac:dyDescent="0.25">
      <c r="A4860" s="94" t="s">
        <v>10267</v>
      </c>
      <c r="B4860" s="82" t="str">
        <f ca="1">IFERROR(INDEX(UNSPSCDes,MATCH(INDIRECT(ADDRESS(ROW(),COLUMN()-1,4)),UNSPSCCode,0)),IF(INDIRECT(ADDRESS(ROW(),COLUMN()-1,4))="27112126","Alicates planos",""))</f>
        <v>Alicates planos</v>
      </c>
      <c r="C4860" s="95" t="str">
        <f>IFERROR(VLOOKUP("UD",'Informacion '!P:Q,2,FALSE),"")</f>
        <v>Unidad</v>
      </c>
      <c r="D4860" s="94">
        <v>1</v>
      </c>
      <c r="E4860" s="84">
        <v>525</v>
      </c>
      <c r="F4860" s="83">
        <f t="shared" ca="1" si="214"/>
        <v>525</v>
      </c>
    </row>
    <row r="4861" spans="1:6" ht="14.1" customHeight="1" x14ac:dyDescent="0.25">
      <c r="A4861" s="94" t="s">
        <v>2005</v>
      </c>
      <c r="B4861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4861" s="95" t="str">
        <f>IFERROR(VLOOKUP("PAQ",'Informacion '!P:Q,2,FALSE),"")</f>
        <v>Paquete</v>
      </c>
      <c r="D4861" s="94">
        <v>2</v>
      </c>
      <c r="E4861" s="84">
        <v>50</v>
      </c>
      <c r="F4861" s="83">
        <f t="shared" ca="1" si="214"/>
        <v>100</v>
      </c>
    </row>
    <row r="4862" spans="1:6" ht="14.1" customHeight="1" x14ac:dyDescent="0.25">
      <c r="A4862" s="94" t="s">
        <v>2724</v>
      </c>
      <c r="B4862" s="82" t="str">
        <f ca="1">IFERROR(INDEX(UNSPSCDes,MATCH(INDIRECT(ADDRESS(ROW(),COLUMN()-1,4)),UNSPSCCode,0)),IF(INDIRECT(ADDRESS(ROW(),COLUMN()-1,4))="31211904","Brochas",""))</f>
        <v>Brochas</v>
      </c>
      <c r="C4862" s="95" t="str">
        <f>IFERROR(VLOOKUP("UD",'Informacion '!P:Q,2,FALSE),"")</f>
        <v>Unidad</v>
      </c>
      <c r="D4862" s="94">
        <v>10</v>
      </c>
      <c r="E4862" s="84">
        <v>200</v>
      </c>
      <c r="F4862" s="83">
        <f t="shared" ca="1" si="214"/>
        <v>2000</v>
      </c>
    </row>
    <row r="4863" spans="1:6" ht="14.1" customHeight="1" x14ac:dyDescent="0.25">
      <c r="A4863" s="94" t="s">
        <v>2724</v>
      </c>
      <c r="B4863" s="82" t="str">
        <f ca="1">IFERROR(INDEX(UNSPSCDes,MATCH(INDIRECT(ADDRESS(ROW(),COLUMN()-1,4)),UNSPSCCode,0)),IF(INDIRECT(ADDRESS(ROW(),COLUMN()-1,4))="31211904","Brochas",""))</f>
        <v>Brochas</v>
      </c>
      <c r="C4863" s="95" t="str">
        <f>IFERROR(VLOOKUP("UD",'Informacion '!P:Q,2,FALSE),"")</f>
        <v>Unidad</v>
      </c>
      <c r="D4863" s="94">
        <v>2</v>
      </c>
      <c r="E4863" s="84">
        <v>100</v>
      </c>
      <c r="F4863" s="83">
        <f t="shared" ca="1" si="214"/>
        <v>200</v>
      </c>
    </row>
    <row r="4864" spans="1:6" ht="14.1" customHeight="1" x14ac:dyDescent="0.25">
      <c r="A4864" s="94" t="s">
        <v>2724</v>
      </c>
      <c r="B4864" s="82" t="str">
        <f ca="1">IFERROR(INDEX(UNSPSCDes,MATCH(INDIRECT(ADDRESS(ROW(),COLUMN()-1,4)),UNSPSCCode,0)),IF(INDIRECT(ADDRESS(ROW(),COLUMN()-1,4))="31211904","Brochas",""))</f>
        <v>Brochas</v>
      </c>
      <c r="C4864" s="95" t="str">
        <f>IFERROR(VLOOKUP("UD",'Informacion '!P:Q,2,FALSE),"")</f>
        <v>Unidad</v>
      </c>
      <c r="D4864" s="94">
        <v>3</v>
      </c>
      <c r="E4864" s="84">
        <v>300</v>
      </c>
      <c r="F4864" s="83">
        <f t="shared" ca="1" si="214"/>
        <v>900</v>
      </c>
    </row>
    <row r="4865" spans="1:6" ht="14.1" customHeight="1" x14ac:dyDescent="0.25">
      <c r="A4865" s="94" t="s">
        <v>2724</v>
      </c>
      <c r="B4865" s="82" t="str">
        <f ca="1">IFERROR(INDEX(UNSPSCDes,MATCH(INDIRECT(ADDRESS(ROW(),COLUMN()-1,4)),UNSPSCCode,0)),IF(INDIRECT(ADDRESS(ROW(),COLUMN()-1,4))="31211904","Brochas",""))</f>
        <v>Brochas</v>
      </c>
      <c r="C4865" s="95" t="str">
        <f>IFERROR(VLOOKUP("UD",'Informacion '!P:Q,2,FALSE),"")</f>
        <v>Unidad</v>
      </c>
      <c r="D4865" s="94">
        <v>10</v>
      </c>
      <c r="E4865" s="84">
        <v>250</v>
      </c>
      <c r="F4865" s="83">
        <f t="shared" ca="1" si="214"/>
        <v>2500</v>
      </c>
    </row>
    <row r="4866" spans="1:6" ht="14.1" customHeight="1" x14ac:dyDescent="0.25">
      <c r="A4866" s="94" t="s">
        <v>5243</v>
      </c>
      <c r="B4866" s="82" t="str">
        <f ca="1">IFERROR(INDEX(UNSPSCDes,MATCH(INDIRECT(ADDRESS(ROW(),COLUMN()-1,4)),UNSPSCCode,0)),IF(INDIRECT(ADDRESS(ROW(),COLUMN()-1,4))="39121425","Separador de tablero de terminales",""))</f>
        <v>Separador de tablero de terminales</v>
      </c>
      <c r="C4866" s="95" t="str">
        <f>IFERROR(VLOOKUP("UD",'Informacion '!P:Q,2,FALSE),"")</f>
        <v>Unidad</v>
      </c>
      <c r="D4866" s="94">
        <v>1</v>
      </c>
      <c r="E4866" s="84">
        <v>300</v>
      </c>
      <c r="F4866" s="83">
        <f t="shared" ca="1" si="214"/>
        <v>300</v>
      </c>
    </row>
    <row r="4867" spans="1:6" ht="14.1" customHeight="1" x14ac:dyDescent="0.25">
      <c r="A4867" s="94" t="s">
        <v>7231</v>
      </c>
      <c r="B4867" s="82" t="str">
        <f ca="1">IFERROR(INDEX(UNSPSCDes,MATCH(INDIRECT(ADDRESS(ROW(),COLUMN()-1,4)),UNSPSCCode,0)),IF(INDIRECT(ADDRESS(ROW(),COLUMN()-1,4))="27111509","Barrenas",""))</f>
        <v>Barrenas</v>
      </c>
      <c r="C4867" s="95" t="str">
        <f>IFERROR(VLOOKUP("UD",'Informacion '!P:Q,2,FALSE),"")</f>
        <v>Unidad</v>
      </c>
      <c r="D4867" s="94">
        <v>6</v>
      </c>
      <c r="E4867" s="84">
        <v>50</v>
      </c>
      <c r="F4867" s="83">
        <f t="shared" ca="1" si="214"/>
        <v>300</v>
      </c>
    </row>
    <row r="4868" spans="1:6" ht="14.1" customHeight="1" x14ac:dyDescent="0.25">
      <c r="A4868" s="94" t="s">
        <v>9812</v>
      </c>
      <c r="B4868" s="82" t="str">
        <f ca="1">IFERROR(INDEX(UNSPSCDes,MATCH(INDIRECT(ADDRESS(ROW(),COLUMN()-1,4)),UNSPSCCode,0)),IF(INDIRECT(ADDRESS(ROW(),COLUMN()-1,4))="31211510","Bases de poliuretano",""))</f>
        <v>Bases de poliuretano</v>
      </c>
      <c r="C4868" s="95" t="str">
        <f>IFERROR(VLOOKUP("UD",'Informacion '!P:Q,2,FALSE),"")</f>
        <v>Unidad</v>
      </c>
      <c r="D4868" s="94">
        <v>2</v>
      </c>
      <c r="E4868" s="84">
        <v>800</v>
      </c>
      <c r="F4868" s="83">
        <f t="shared" ca="1" si="214"/>
        <v>1600</v>
      </c>
    </row>
    <row r="4869" spans="1:6" ht="14.1" customHeight="1" x14ac:dyDescent="0.25">
      <c r="A4869" s="94" t="s">
        <v>1701</v>
      </c>
      <c r="B4869" s="82" t="str">
        <f ca="1">IFERROR(INDEX(UNSPSCDes,MATCH(INDIRECT(ADDRESS(ROW(),COLUMN()-1,4)),UNSPSCCode,0)),IF(INDIRECT(ADDRESS(ROW(),COLUMN()-1,4))="27112003","Rastrillos",""))</f>
        <v>Rastrillos</v>
      </c>
      <c r="C4869" s="95" t="str">
        <f>IFERROR(VLOOKUP("UD",'Informacion '!P:Q,2,FALSE),"")</f>
        <v>Unidad</v>
      </c>
      <c r="D4869" s="94">
        <v>1</v>
      </c>
      <c r="E4869" s="84">
        <v>500</v>
      </c>
      <c r="F4869" s="83">
        <f t="shared" ca="1" si="214"/>
        <v>500</v>
      </c>
    </row>
    <row r="4870" spans="1:6" ht="14.1" customHeight="1" x14ac:dyDescent="0.25">
      <c r="A4870" s="94" t="s">
        <v>14429</v>
      </c>
      <c r="B4870" s="82" t="str">
        <f ca="1">IFERROR(INDEX(UNSPSCDes,MATCH(INDIRECT(ADDRESS(ROW(),COLUMN()-1,4)),UNSPSCCode,0)),IF(INDIRECT(ADDRESS(ROW(),COLUMN()-1,4))="27112014","Cortadora de pasto",""))</f>
        <v>Cortadora de pasto</v>
      </c>
      <c r="C4870" s="95" t="str">
        <f>IFERROR(VLOOKUP("UD",'Informacion '!P:Q,2,FALSE),"")</f>
        <v>Unidad</v>
      </c>
      <c r="D4870" s="94">
        <v>2</v>
      </c>
      <c r="E4870" s="84">
        <v>600</v>
      </c>
      <c r="F4870" s="83">
        <f t="shared" ca="1" si="214"/>
        <v>1200</v>
      </c>
    </row>
    <row r="4871" spans="1:6" ht="14.1" customHeight="1" x14ac:dyDescent="0.25">
      <c r="A4871" s="94" t="s">
        <v>12246</v>
      </c>
      <c r="B4871" s="82" t="str">
        <f ca="1">IFERROR(INDEX(UNSPSCDes,MATCH(INDIRECT(ADDRESS(ROW(),COLUMN()-1,4)),UNSPSCCode,0)),IF(INDIRECT(ADDRESS(ROW(),COLUMN()-1,4))="30111601","Cemento",""))</f>
        <v>Cemento</v>
      </c>
      <c r="C4871" s="95" t="str">
        <f>IFERROR(VLOOKUP("UD",'Informacion '!P:Q,2,FALSE),"")</f>
        <v>Unidad</v>
      </c>
      <c r="D4871" s="94">
        <v>1</v>
      </c>
      <c r="E4871" s="84">
        <v>781</v>
      </c>
      <c r="F4871" s="83">
        <f t="shared" ca="1" si="214"/>
        <v>781</v>
      </c>
    </row>
    <row r="4872" spans="1:6" ht="14.1" customHeight="1" x14ac:dyDescent="0.25">
      <c r="A4872" s="94" t="s">
        <v>19478</v>
      </c>
      <c r="B4872" s="82" t="str">
        <f ca="1">IFERROR(INDEX(UNSPSCDes,MATCH(INDIRECT(ADDRESS(ROW(),COLUMN()-1,4)),UNSPSCCode,0)),IF(INDIRECT(ADDRESS(ROW(),COLUMN()-1,4))="56112104","Sillas para ejecutivos",""))</f>
        <v>Sillas para ejecutivos</v>
      </c>
      <c r="C4872" s="95" t="str">
        <f>IFERROR(VLOOKUP("UD",'Informacion '!P:Q,2,FALSE),"")</f>
        <v>Unidad</v>
      </c>
      <c r="D4872" s="94">
        <v>2</v>
      </c>
      <c r="E4872" s="84">
        <v>12000</v>
      </c>
      <c r="F4872" s="83">
        <f t="shared" ca="1" si="214"/>
        <v>24000</v>
      </c>
    </row>
    <row r="4873" spans="1:6" ht="14.1" customHeight="1" x14ac:dyDescent="0.25">
      <c r="A4873" s="94" t="s">
        <v>19478</v>
      </c>
      <c r="B4873" s="82" t="str">
        <f ca="1">IFERROR(INDEX(UNSPSCDes,MATCH(INDIRECT(ADDRESS(ROW(),COLUMN()-1,4)),UNSPSCCode,0)),IF(INDIRECT(ADDRESS(ROW(),COLUMN()-1,4))="56112104","Sillas para ejecutivos",""))</f>
        <v>Sillas para ejecutivos</v>
      </c>
      <c r="C4873" s="95" t="str">
        <f>IFERROR(VLOOKUP("UD",'Informacion '!P:Q,2,FALSE),"")</f>
        <v>Unidad</v>
      </c>
      <c r="D4873" s="94">
        <v>4</v>
      </c>
      <c r="E4873" s="84">
        <v>10000</v>
      </c>
      <c r="F4873" s="83">
        <f t="shared" ca="1" si="214"/>
        <v>40000</v>
      </c>
    </row>
    <row r="4874" spans="1:6" ht="14.1" customHeight="1" x14ac:dyDescent="0.25">
      <c r="A4874" s="94" t="s">
        <v>19478</v>
      </c>
      <c r="B4874" s="82" t="str">
        <f ca="1">IFERROR(INDEX(UNSPSCDes,MATCH(INDIRECT(ADDRESS(ROW(),COLUMN()-1,4)),UNSPSCCode,0)),IF(INDIRECT(ADDRESS(ROW(),COLUMN()-1,4))="56112104","Sillas para ejecutivos",""))</f>
        <v>Sillas para ejecutivos</v>
      </c>
      <c r="C4874" s="95" t="str">
        <f>IFERROR(VLOOKUP("UD",'Informacion '!P:Q,2,FALSE),"")</f>
        <v>Unidad</v>
      </c>
      <c r="D4874" s="94">
        <v>8</v>
      </c>
      <c r="E4874" s="84">
        <v>9000</v>
      </c>
      <c r="F4874" s="83">
        <f t="shared" ca="1" si="214"/>
        <v>72000</v>
      </c>
    </row>
    <row r="4875" spans="1:6" ht="14.1" customHeight="1" x14ac:dyDescent="0.25">
      <c r="A4875" s="94" t="s">
        <v>4426</v>
      </c>
      <c r="B4875" s="82" t="str">
        <f ca="1">IFERROR(INDEX(UNSPSCDes,MATCH(INDIRECT(ADDRESS(ROW(),COLUMN()-1,4)),UNSPSCCode,0)),IF(INDIRECT(ADDRESS(ROW(),COLUMN()-1,4))="56112103","Sillas para visitantes",""))</f>
        <v>Sillas para visitantes</v>
      </c>
      <c r="C4875" s="95" t="str">
        <f>IFERROR(VLOOKUP("UD",'Informacion '!P:Q,2,FALSE),"")</f>
        <v>Unidad</v>
      </c>
      <c r="D4875" s="94">
        <v>4</v>
      </c>
      <c r="E4875" s="84">
        <v>5000</v>
      </c>
      <c r="F4875" s="83">
        <f t="shared" ca="1" si="214"/>
        <v>20000</v>
      </c>
    </row>
    <row r="4876" spans="1:6" ht="14.1" customHeight="1" x14ac:dyDescent="0.25">
      <c r="A4876" s="94" t="s">
        <v>1930</v>
      </c>
      <c r="B4876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4876" s="95" t="str">
        <f>IFERROR(VLOOKUP("UD",'Informacion '!P:Q,2,FALSE),"")</f>
        <v>Unidad</v>
      </c>
      <c r="D4876" s="94">
        <v>3</v>
      </c>
      <c r="E4876" s="84">
        <v>7000</v>
      </c>
      <c r="F4876" s="83">
        <f t="shared" ca="1" si="214"/>
        <v>21000</v>
      </c>
    </row>
    <row r="4877" spans="1:6" ht="14.1" customHeight="1" x14ac:dyDescent="0.25">
      <c r="A4877" s="94" t="s">
        <v>1930</v>
      </c>
      <c r="B4877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4877" s="95" t="str">
        <f>IFERROR(VLOOKUP("UD",'Informacion '!P:Q,2,FALSE),"")</f>
        <v>Unidad</v>
      </c>
      <c r="D4877" s="94">
        <v>3</v>
      </c>
      <c r="E4877" s="84">
        <v>8000</v>
      </c>
      <c r="F4877" s="83">
        <f t="shared" ca="1" si="214"/>
        <v>24000</v>
      </c>
    </row>
    <row r="4878" spans="1:6" ht="14.1" customHeight="1" x14ac:dyDescent="0.25">
      <c r="A4878" s="94" t="s">
        <v>10620</v>
      </c>
      <c r="B4878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4878" s="95" t="str">
        <f>IFERROR(VLOOKUP("UD",'Informacion '!P:Q,2,FALSE),"")</f>
        <v>Unidad</v>
      </c>
      <c r="D4878" s="94">
        <v>10</v>
      </c>
      <c r="E4878" s="84">
        <v>1000</v>
      </c>
      <c r="F4878" s="83">
        <f t="shared" ca="1" si="214"/>
        <v>10000</v>
      </c>
    </row>
    <row r="4879" spans="1:6" ht="14.1" customHeight="1" x14ac:dyDescent="0.25">
      <c r="A4879" s="94" t="s">
        <v>1930</v>
      </c>
      <c r="B4879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4879" s="95" t="str">
        <f>IFERROR(VLOOKUP("UD",'Informacion '!P:Q,2,FALSE),"")</f>
        <v>Unidad</v>
      </c>
      <c r="D4879" s="94">
        <v>2</v>
      </c>
      <c r="E4879" s="84">
        <v>15000</v>
      </c>
      <c r="F4879" s="83">
        <f t="shared" ca="1" si="214"/>
        <v>30000</v>
      </c>
    </row>
    <row r="4880" spans="1:6" ht="14.1" customHeight="1" x14ac:dyDescent="0.25">
      <c r="A4880" s="94" t="s">
        <v>4281</v>
      </c>
      <c r="B4880" s="82" t="str">
        <f ca="1">IFERROR(INDEX(UNSPSCDes,MATCH(INDIRECT(ADDRESS(ROW(),COLUMN()-1,4)),UNSPSCCode,0)),IF(INDIRECT(ADDRESS(ROW(),COLUMN()-1,4))="24102004","Estanterías para almacenaje",""))</f>
        <v>Estanterías para almacenaje</v>
      </c>
      <c r="C4880" s="95" t="str">
        <f>IFERROR(VLOOKUP("UD",'Informacion '!P:Q,2,FALSE),"")</f>
        <v>Unidad</v>
      </c>
      <c r="D4880" s="94">
        <v>3</v>
      </c>
      <c r="E4880" s="84">
        <v>2500</v>
      </c>
      <c r="F4880" s="83">
        <f t="shared" ca="1" si="214"/>
        <v>7500</v>
      </c>
    </row>
    <row r="4881" spans="1:6" ht="14.1" customHeight="1" x14ac:dyDescent="0.25">
      <c r="A4881" s="94" t="s">
        <v>16165</v>
      </c>
      <c r="B4881" s="82" t="str">
        <f ca="1">IFERROR(INDEX(UNSPSCDes,MATCH(INDIRECT(ADDRESS(ROW(),COLUMN()-1,4)),UNSPSCCode,0)),IF(INDIRECT(ADDRESS(ROW(),COLUMN()-1,4))="45111809","Accesorios de soporte de televisiones",""))</f>
        <v>Accesorios de soporte de televisiones</v>
      </c>
      <c r="C4881" s="95" t="str">
        <f>IFERROR(VLOOKUP("UD",'Informacion '!P:Q,2,FALSE),"")</f>
        <v>Unidad</v>
      </c>
      <c r="D4881" s="94">
        <v>2</v>
      </c>
      <c r="E4881" s="84">
        <v>2000</v>
      </c>
      <c r="F4881" s="83">
        <f t="shared" ca="1" si="214"/>
        <v>4000</v>
      </c>
    </row>
    <row r="4882" spans="1:6" ht="14.1" customHeight="1" x14ac:dyDescent="0.25">
      <c r="A4882" s="94" t="s">
        <v>12629</v>
      </c>
      <c r="B4882" s="82" t="str">
        <f ca="1">IFERROR(INDEX(UNSPSCDes,MATCH(INDIRECT(ADDRESS(ROW(),COLUMN()-1,4)),UNSPSCCode,0)),IF(INDIRECT(ADDRESS(ROW(),COLUMN()-1,4))="56112105","Sillas para descansar",""))</f>
        <v>Sillas para descansar</v>
      </c>
      <c r="C4882" s="95" t="str">
        <f>IFERROR(VLOOKUP("UD",'Informacion '!P:Q,2,FALSE),"")</f>
        <v>Unidad</v>
      </c>
      <c r="D4882" s="94">
        <v>5</v>
      </c>
      <c r="E4882" s="84">
        <v>20000</v>
      </c>
      <c r="F4882" s="83">
        <f t="shared" ca="1" si="214"/>
        <v>100000</v>
      </c>
    </row>
    <row r="4883" spans="1:6" ht="14.1" customHeight="1" x14ac:dyDescent="0.25">
      <c r="A4883" s="94" t="s">
        <v>804</v>
      </c>
      <c r="B4883" s="82" t="str">
        <f ca="1">IFERROR(INDEX(UNSPSCDes,MATCH(INDIRECT(ADDRESS(ROW(),COLUMN()-1,4)),UNSPSCCode,0)),IF(INDIRECT(ADDRESS(ROW(),COLUMN()-1,4))="30161504","Protectores de esquinas",""))</f>
        <v>Protectores de esquinas</v>
      </c>
      <c r="C4883" s="95" t="str">
        <f>IFERROR(VLOOKUP("UD",'Informacion '!P:Q,2,FALSE),"")</f>
        <v>Unidad</v>
      </c>
      <c r="D4883" s="94">
        <v>6</v>
      </c>
      <c r="E4883" s="84">
        <v>350</v>
      </c>
      <c r="F4883" s="83">
        <f t="shared" ca="1" si="214"/>
        <v>2100</v>
      </c>
    </row>
    <row r="4884" spans="1:6" ht="14.1" customHeight="1" x14ac:dyDescent="0.25">
      <c r="A4884" s="94" t="s">
        <v>10073</v>
      </c>
      <c r="B4884" s="82" t="str">
        <f ca="1">IFERROR(INDEX(UNSPSCDes,MATCH(INDIRECT(ADDRESS(ROW(),COLUMN()-1,4)),UNSPSCCode,0)),IF(INDIRECT(ADDRESS(ROW(),COLUMN()-1,4))="30131504","Bloques de cerámica",""))</f>
        <v>Bloques de cerámica</v>
      </c>
      <c r="C4884" s="95" t="str">
        <f>IFERROR(VLOOKUP("M2",'Informacion '!P:Q,2,FALSE),"")</f>
        <v>Metro cuadrado</v>
      </c>
      <c r="D4884" s="94">
        <v>3</v>
      </c>
      <c r="E4884" s="84">
        <v>400</v>
      </c>
      <c r="F4884" s="83">
        <f t="shared" ca="1" si="214"/>
        <v>1200</v>
      </c>
    </row>
    <row r="4885" spans="1:6" ht="14.1" customHeight="1" x14ac:dyDescent="0.25">
      <c r="A4885" s="94" t="s">
        <v>10073</v>
      </c>
      <c r="B4885" s="82" t="str">
        <f ca="1">IFERROR(INDEX(UNSPSCDes,MATCH(INDIRECT(ADDRESS(ROW(),COLUMN()-1,4)),UNSPSCCode,0)),IF(INDIRECT(ADDRESS(ROW(),COLUMN()-1,4))="30131504","Bloques de cerámica",""))</f>
        <v>Bloques de cerámica</v>
      </c>
      <c r="C4885" s="95" t="str">
        <f>IFERROR(VLOOKUP("M2",'Informacion '!P:Q,2,FALSE),"")</f>
        <v>Metro cuadrado</v>
      </c>
      <c r="D4885" s="94">
        <v>12</v>
      </c>
      <c r="E4885" s="84">
        <v>800</v>
      </c>
      <c r="F4885" s="83">
        <f t="shared" ref="F4885:F4916" ca="1" si="215">INDIRECT(ADDRESS(ROW(),COLUMN()-2,4))*INDIRECT(ADDRESS(ROW(),COLUMN()-1,4))</f>
        <v>9600</v>
      </c>
    </row>
    <row r="4886" spans="1:6" ht="14.1" customHeight="1" x14ac:dyDescent="0.25">
      <c r="A4886" s="94" t="s">
        <v>10073</v>
      </c>
      <c r="B4886" s="82" t="str">
        <f ca="1">IFERROR(INDEX(UNSPSCDes,MATCH(INDIRECT(ADDRESS(ROW(),COLUMN()-1,4)),UNSPSCCode,0)),IF(INDIRECT(ADDRESS(ROW(),COLUMN()-1,4))="30131504","Bloques de cerámica",""))</f>
        <v>Bloques de cerámica</v>
      </c>
      <c r="C4886" s="95" t="str">
        <f>IFERROR(VLOOKUP("M2",'Informacion '!P:Q,2,FALSE),"")</f>
        <v>Metro cuadrado</v>
      </c>
      <c r="D4886" s="94">
        <v>10</v>
      </c>
      <c r="E4886" s="84">
        <v>800</v>
      </c>
      <c r="F4886" s="83">
        <f t="shared" ca="1" si="215"/>
        <v>8000</v>
      </c>
    </row>
    <row r="4887" spans="1:6" ht="14.1" customHeight="1" x14ac:dyDescent="0.25">
      <c r="A4887" s="94" t="s">
        <v>10513</v>
      </c>
      <c r="B4887" s="82" t="str">
        <f ca="1">IFERROR(INDEX(UNSPSCDes,MATCH(INDIRECT(ADDRESS(ROW(),COLUMN()-1,4)),UNSPSCCode,0)),IF(INDIRECT(ADDRESS(ROW(),COLUMN()-1,4))="30161710","Pisos laminados",""))</f>
        <v>Pisos laminados</v>
      </c>
      <c r="C4887" s="95" t="str">
        <f>IFERROR(VLOOKUP("YD",'Informacion '!P:Q,2,FALSE),"")</f>
        <v>Yarda</v>
      </c>
      <c r="D4887" s="94">
        <v>5</v>
      </c>
      <c r="E4887" s="84">
        <v>250</v>
      </c>
      <c r="F4887" s="83">
        <f t="shared" ca="1" si="215"/>
        <v>1250</v>
      </c>
    </row>
    <row r="4888" spans="1:6" ht="14.1" customHeight="1" x14ac:dyDescent="0.25">
      <c r="A4888" s="94" t="s">
        <v>7494</v>
      </c>
      <c r="B4888" s="82" t="str">
        <f ca="1">IFERROR(INDEX(UNSPSCDes,MATCH(INDIRECT(ADDRESS(ROW(),COLUMN()-1,4)),UNSPSCCode,0)),IF(INDIRECT(ADDRESS(ROW(),COLUMN()-1,4))="31162403","Goznes o bisagras",""))</f>
        <v>Goznes o bisagras</v>
      </c>
      <c r="C4888" s="95" t="str">
        <f>IFERROR(VLOOKUP("UD",'Informacion '!P:Q,2,FALSE),"")</f>
        <v>Unidad</v>
      </c>
      <c r="D4888" s="94">
        <v>10</v>
      </c>
      <c r="E4888" s="84">
        <v>536</v>
      </c>
      <c r="F4888" s="83">
        <f t="shared" ca="1" si="215"/>
        <v>5360</v>
      </c>
    </row>
    <row r="4889" spans="1:6" ht="14.1" customHeight="1" x14ac:dyDescent="0.25">
      <c r="A4889" s="94" t="s">
        <v>7494</v>
      </c>
      <c r="B4889" s="82" t="str">
        <f ca="1">IFERROR(INDEX(UNSPSCDes,MATCH(INDIRECT(ADDRESS(ROW(),COLUMN()-1,4)),UNSPSCCode,0)),IF(INDIRECT(ADDRESS(ROW(),COLUMN()-1,4))="31162403","Goznes o bisagras",""))</f>
        <v>Goznes o bisagras</v>
      </c>
      <c r="C4889" s="95" t="str">
        <f>IFERROR(VLOOKUP("UD",'Informacion '!P:Q,2,FALSE),"")</f>
        <v>Unidad</v>
      </c>
      <c r="D4889" s="94">
        <v>5</v>
      </c>
      <c r="E4889" s="84">
        <v>135</v>
      </c>
      <c r="F4889" s="83">
        <f t="shared" ca="1" si="215"/>
        <v>675</v>
      </c>
    </row>
    <row r="4890" spans="1:6" ht="14.1" customHeight="1" x14ac:dyDescent="0.25">
      <c r="A4890" s="94" t="s">
        <v>19337</v>
      </c>
      <c r="B4890" s="82" t="str">
        <f ca="1">IFERROR(INDEX(UNSPSCDes,MATCH(INDIRECT(ADDRESS(ROW(),COLUMN()-1,4)),UNSPSCCode,0)),IF(INDIRECT(ADDRESS(ROW(),COLUMN()-1,4))="30171504","Puertas de madera",""))</f>
        <v>Puertas de madera</v>
      </c>
      <c r="C4890" s="95" t="str">
        <f>IFERROR(VLOOKUP("UD",'Informacion '!P:Q,2,FALSE),"")</f>
        <v>Unidad</v>
      </c>
      <c r="D4890" s="94">
        <v>5</v>
      </c>
      <c r="E4890" s="84">
        <v>234</v>
      </c>
      <c r="F4890" s="83">
        <f t="shared" ca="1" si="215"/>
        <v>1170</v>
      </c>
    </row>
    <row r="4891" spans="1:6" ht="14.1" customHeight="1" x14ac:dyDescent="0.25">
      <c r="A4891" s="94" t="s">
        <v>19337</v>
      </c>
      <c r="B4891" s="82" t="str">
        <f ca="1">IFERROR(INDEX(UNSPSCDes,MATCH(INDIRECT(ADDRESS(ROW(),COLUMN()-1,4)),UNSPSCCode,0)),IF(INDIRECT(ADDRESS(ROW(),COLUMN()-1,4))="30171504","Puertas de madera",""))</f>
        <v>Puertas de madera</v>
      </c>
      <c r="C4891" s="95" t="str">
        <f>IFERROR(VLOOKUP("UD",'Informacion '!P:Q,2,FALSE),"")</f>
        <v>Unidad</v>
      </c>
      <c r="D4891" s="94">
        <v>5</v>
      </c>
      <c r="E4891" s="84">
        <v>175</v>
      </c>
      <c r="F4891" s="83">
        <f t="shared" ca="1" si="215"/>
        <v>875</v>
      </c>
    </row>
    <row r="4892" spans="1:6" ht="14.1" customHeight="1" x14ac:dyDescent="0.25">
      <c r="A4892" s="94" t="s">
        <v>12606</v>
      </c>
      <c r="B4892" s="82" t="str">
        <f ca="1">IFERROR(INDEX(UNSPSCDes,MATCH(INDIRECT(ADDRESS(ROW(),COLUMN()-1,4)),UNSPSCCode,0)),IF(INDIRECT(ADDRESS(ROW(),COLUMN()-1,4))="31251503","Activadores hidráulicos",""))</f>
        <v>Activadores hidráulicos</v>
      </c>
      <c r="C4892" s="95" t="str">
        <f>IFERROR(VLOOKUP("UD",'Informacion '!P:Q,2,FALSE),"")</f>
        <v>Unidad</v>
      </c>
      <c r="D4892" s="94">
        <v>5</v>
      </c>
      <c r="E4892" s="84">
        <v>3500</v>
      </c>
      <c r="F4892" s="83">
        <f t="shared" ca="1" si="215"/>
        <v>17500</v>
      </c>
    </row>
    <row r="4893" spans="1:6" ht="14.1" customHeight="1" x14ac:dyDescent="0.25">
      <c r="A4893" s="94" t="s">
        <v>12606</v>
      </c>
      <c r="B4893" s="82" t="str">
        <f ca="1">IFERROR(INDEX(UNSPSCDes,MATCH(INDIRECT(ADDRESS(ROW(),COLUMN()-1,4)),UNSPSCCode,0)),IF(INDIRECT(ADDRESS(ROW(),COLUMN()-1,4))="31251503","Activadores hidráulicos",""))</f>
        <v>Activadores hidráulicos</v>
      </c>
      <c r="C4893" s="95" t="str">
        <f>IFERROR(VLOOKUP("UD",'Informacion '!P:Q,2,FALSE),"")</f>
        <v>Unidad</v>
      </c>
      <c r="D4893" s="94">
        <v>5</v>
      </c>
      <c r="E4893" s="84">
        <v>4500</v>
      </c>
      <c r="F4893" s="83">
        <f t="shared" ca="1" si="215"/>
        <v>22500</v>
      </c>
    </row>
    <row r="4894" spans="1:6" ht="14.1" customHeight="1" x14ac:dyDescent="0.25">
      <c r="A4894" s="94" t="s">
        <v>19337</v>
      </c>
      <c r="B4894" s="82" t="str">
        <f ca="1">IFERROR(INDEX(UNSPSCDes,MATCH(INDIRECT(ADDRESS(ROW(),COLUMN()-1,4)),UNSPSCCode,0)),IF(INDIRECT(ADDRESS(ROW(),COLUMN()-1,4))="30171504","Puertas de madera",""))</f>
        <v>Puertas de madera</v>
      </c>
      <c r="C4894" s="95" t="str">
        <f>IFERROR(VLOOKUP("UD",'Informacion '!P:Q,2,FALSE),"")</f>
        <v>Unidad</v>
      </c>
      <c r="D4894" s="94">
        <v>24</v>
      </c>
      <c r="E4894" s="84">
        <v>800</v>
      </c>
      <c r="F4894" s="83">
        <f t="shared" ca="1" si="215"/>
        <v>19200</v>
      </c>
    </row>
    <row r="4895" spans="1:6" ht="14.1" customHeight="1" x14ac:dyDescent="0.25">
      <c r="A4895" s="94" t="s">
        <v>19337</v>
      </c>
      <c r="B4895" s="82" t="str">
        <f ca="1">IFERROR(INDEX(UNSPSCDes,MATCH(INDIRECT(ADDRESS(ROW(),COLUMN()-1,4)),UNSPSCCode,0)),IF(INDIRECT(ADDRESS(ROW(),COLUMN()-1,4))="30171504","Puertas de madera",""))</f>
        <v>Puertas de madera</v>
      </c>
      <c r="C4895" s="95" t="str">
        <f>IFERROR(VLOOKUP("UD",'Informacion '!P:Q,2,FALSE),"")</f>
        <v>Unidad</v>
      </c>
      <c r="D4895" s="94">
        <v>3</v>
      </c>
      <c r="E4895" s="84">
        <v>375</v>
      </c>
      <c r="F4895" s="83">
        <f t="shared" ca="1" si="215"/>
        <v>1125</v>
      </c>
    </row>
    <row r="4896" spans="1:6" ht="14.1" customHeight="1" x14ac:dyDescent="0.25">
      <c r="A4896" s="94" t="s">
        <v>19337</v>
      </c>
      <c r="B4896" s="82" t="str">
        <f ca="1">IFERROR(INDEX(UNSPSCDes,MATCH(INDIRECT(ADDRESS(ROW(),COLUMN()-1,4)),UNSPSCCode,0)),IF(INDIRECT(ADDRESS(ROW(),COLUMN()-1,4))="30171504","Puertas de madera",""))</f>
        <v>Puertas de madera</v>
      </c>
      <c r="C4896" s="95" t="str">
        <f>IFERROR(VLOOKUP("UD",'Informacion '!P:Q,2,FALSE),"")</f>
        <v>Unidad</v>
      </c>
      <c r="D4896" s="94">
        <v>10</v>
      </c>
      <c r="E4896" s="84">
        <v>3000</v>
      </c>
      <c r="F4896" s="83">
        <f t="shared" ca="1" si="215"/>
        <v>30000</v>
      </c>
    </row>
    <row r="4897" spans="1:6" ht="14.1" customHeight="1" x14ac:dyDescent="0.25">
      <c r="A4897" s="94" t="s">
        <v>2542</v>
      </c>
      <c r="B4897" s="82" t="str">
        <f ca="1">IFERROR(INDEX(UNSPSCDes,MATCH(INDIRECT(ADDRESS(ROW(),COLUMN()-1,4)),UNSPSCCode,0)),IF(INDIRECT(ADDRESS(ROW(),COLUMN()-1,4))="48101511","Planchas para uso comercial",""))</f>
        <v>Planchas para uso comercial</v>
      </c>
      <c r="C4897" s="95" t="str">
        <f>IFERROR(VLOOKUP("M2",'Informacion '!P:Q,2,FALSE),"")</f>
        <v>Metro cuadrado</v>
      </c>
      <c r="D4897" s="94">
        <v>15</v>
      </c>
      <c r="E4897" s="84">
        <v>900</v>
      </c>
      <c r="F4897" s="83">
        <f t="shared" ca="1" si="215"/>
        <v>13500</v>
      </c>
    </row>
    <row r="4898" spans="1:6" ht="14.1" customHeight="1" x14ac:dyDescent="0.25">
      <c r="A4898" s="94" t="s">
        <v>2542</v>
      </c>
      <c r="B4898" s="82" t="str">
        <f ca="1">IFERROR(INDEX(UNSPSCDes,MATCH(INDIRECT(ADDRESS(ROW(),COLUMN()-1,4)),UNSPSCCode,0)),IF(INDIRECT(ADDRESS(ROW(),COLUMN()-1,4))="48101511","Planchas para uso comercial",""))</f>
        <v>Planchas para uso comercial</v>
      </c>
      <c r="C4898" s="95" t="str">
        <f>IFERROR(VLOOKUP("UD",'Informacion '!P:Q,2,FALSE),"")</f>
        <v>Unidad</v>
      </c>
      <c r="D4898" s="94">
        <v>2</v>
      </c>
      <c r="E4898" s="84">
        <v>600</v>
      </c>
      <c r="F4898" s="83">
        <f t="shared" ca="1" si="215"/>
        <v>1200</v>
      </c>
    </row>
    <row r="4899" spans="1:6" ht="14.1" customHeight="1" x14ac:dyDescent="0.25">
      <c r="A4899" s="94" t="s">
        <v>2094</v>
      </c>
      <c r="B4899" s="82" t="str">
        <f ca="1">IFERROR(INDEX(UNSPSCDes,MATCH(INDIRECT(ADDRESS(ROW(),COLUMN()-1,4)),UNSPSCCode,0)),IF(INDIRECT(ADDRESS(ROW(),COLUMN()-1,4))="31181503","Juntas obturadoras de metal",""))</f>
        <v>Juntas obturadoras de metal</v>
      </c>
      <c r="C4899" s="95" t="str">
        <f>IFERROR(VLOOKUP("UD",'Informacion '!P:Q,2,FALSE),"")</f>
        <v>Unidad</v>
      </c>
      <c r="D4899" s="94">
        <v>4</v>
      </c>
      <c r="E4899" s="84">
        <v>250</v>
      </c>
      <c r="F4899" s="83">
        <f t="shared" ca="1" si="215"/>
        <v>1000</v>
      </c>
    </row>
    <row r="4900" spans="1:6" ht="14.1" customHeight="1" x14ac:dyDescent="0.25">
      <c r="A4900" s="94" t="s">
        <v>2094</v>
      </c>
      <c r="B4900" s="82" t="str">
        <f ca="1">IFERROR(INDEX(UNSPSCDes,MATCH(INDIRECT(ADDRESS(ROW(),COLUMN()-1,4)),UNSPSCCode,0)),IF(INDIRECT(ADDRESS(ROW(),COLUMN()-1,4))="31181503","Juntas obturadoras de metal",""))</f>
        <v>Juntas obturadoras de metal</v>
      </c>
      <c r="C4900" s="95" t="str">
        <f>IFERROR(VLOOKUP("UD",'Informacion '!P:Q,2,FALSE),"")</f>
        <v>Unidad</v>
      </c>
      <c r="D4900" s="94">
        <v>4</v>
      </c>
      <c r="E4900" s="84">
        <v>300</v>
      </c>
      <c r="F4900" s="83">
        <f t="shared" ca="1" si="215"/>
        <v>1200</v>
      </c>
    </row>
    <row r="4901" spans="1:6" ht="14.1" customHeight="1" x14ac:dyDescent="0.25">
      <c r="A4901" s="94" t="s">
        <v>250</v>
      </c>
      <c r="B4901" s="82" t="str">
        <f ca="1">IFERROR(INDEX(UNSPSCDes,MATCH(INDIRECT(ADDRESS(ROW(),COLUMN()-1,4)),UNSPSCCode,0)),IF(INDIRECT(ADDRESS(ROW(),COLUMN()-1,4))="39121719","Protectores",""))</f>
        <v>Protectores</v>
      </c>
      <c r="C4901" s="95" t="str">
        <f>IFERROR(VLOOKUP("UD",'Informacion '!P:Q,2,FALSE),"")</f>
        <v>Unidad</v>
      </c>
      <c r="D4901" s="94">
        <v>4</v>
      </c>
      <c r="E4901" s="84">
        <v>125</v>
      </c>
      <c r="F4901" s="83">
        <f t="shared" ca="1" si="215"/>
        <v>500</v>
      </c>
    </row>
    <row r="4902" spans="1:6" ht="14.1" customHeight="1" x14ac:dyDescent="0.25">
      <c r="A4902" s="94" t="s">
        <v>250</v>
      </c>
      <c r="B4902" s="82" t="str">
        <f ca="1">IFERROR(INDEX(UNSPSCDes,MATCH(INDIRECT(ADDRESS(ROW(),COLUMN()-1,4)),UNSPSCCode,0)),IF(INDIRECT(ADDRESS(ROW(),COLUMN()-1,4))="39121719","Protectores",""))</f>
        <v>Protectores</v>
      </c>
      <c r="C4902" s="95" t="str">
        <f>IFERROR(VLOOKUP("UD",'Informacion '!P:Q,2,FALSE),"")</f>
        <v>Unidad</v>
      </c>
      <c r="D4902" s="94">
        <v>20</v>
      </c>
      <c r="E4902" s="84">
        <v>1500</v>
      </c>
      <c r="F4902" s="83">
        <f t="shared" ca="1" si="215"/>
        <v>30000</v>
      </c>
    </row>
    <row r="4903" spans="1:6" ht="14.1" customHeight="1" x14ac:dyDescent="0.25">
      <c r="A4903" s="94" t="s">
        <v>3332</v>
      </c>
      <c r="B4903" s="82" t="str">
        <f ca="1">IFERROR(INDEX(UNSPSCDes,MATCH(INDIRECT(ADDRESS(ROW(),COLUMN()-1,4)),UNSPSCCode,0)),IF(INDIRECT(ADDRESS(ROW(),COLUMN()-1,4))="31201605","Masillas",""))</f>
        <v>Masillas</v>
      </c>
      <c r="C4903" s="95" t="str">
        <f>IFERROR(VLOOKUP("UD",'Informacion '!P:Q,2,FALSE),"")</f>
        <v>Unidad</v>
      </c>
      <c r="D4903" s="94">
        <v>6</v>
      </c>
      <c r="E4903" s="84">
        <v>3000</v>
      </c>
      <c r="F4903" s="83">
        <f t="shared" ca="1" si="215"/>
        <v>18000</v>
      </c>
    </row>
    <row r="4904" spans="1:6" ht="14.1" customHeight="1" x14ac:dyDescent="0.25">
      <c r="A4904" s="94" t="s">
        <v>2542</v>
      </c>
      <c r="B4904" s="82" t="str">
        <f ca="1">IFERROR(INDEX(UNSPSCDes,MATCH(INDIRECT(ADDRESS(ROW(),COLUMN()-1,4)),UNSPSCCode,0)),IF(INDIRECT(ADDRESS(ROW(),COLUMN()-1,4))="48101511","Planchas para uso comercial",""))</f>
        <v>Planchas para uso comercial</v>
      </c>
      <c r="C4904" s="95" t="str">
        <f>IFERROR(VLOOKUP("UD",'Informacion '!P:Q,2,FALSE),"")</f>
        <v>Unidad</v>
      </c>
      <c r="D4904" s="94">
        <v>2</v>
      </c>
      <c r="E4904" s="84">
        <v>1575</v>
      </c>
      <c r="F4904" s="83">
        <f t="shared" ca="1" si="215"/>
        <v>3150</v>
      </c>
    </row>
    <row r="4905" spans="1:6" ht="14.1" customHeight="1" x14ac:dyDescent="0.25">
      <c r="A4905" s="94" t="s">
        <v>2094</v>
      </c>
      <c r="B4905" s="82" t="str">
        <f ca="1">IFERROR(INDEX(UNSPSCDes,MATCH(INDIRECT(ADDRESS(ROW(),COLUMN()-1,4)),UNSPSCCode,0)),IF(INDIRECT(ADDRESS(ROW(),COLUMN()-1,4))="31181503","Juntas obturadoras de metal",""))</f>
        <v>Juntas obturadoras de metal</v>
      </c>
      <c r="C4905" s="95" t="str">
        <f>IFERROR(VLOOKUP("UD",'Informacion '!P:Q,2,FALSE),"")</f>
        <v>Unidad</v>
      </c>
      <c r="D4905" s="94">
        <v>2</v>
      </c>
      <c r="E4905" s="84">
        <v>500</v>
      </c>
      <c r="F4905" s="83">
        <f t="shared" ca="1" si="215"/>
        <v>1000</v>
      </c>
    </row>
    <row r="4906" spans="1:6" ht="14.1" customHeight="1" x14ac:dyDescent="0.25">
      <c r="A4906" s="94" t="s">
        <v>2094</v>
      </c>
      <c r="B4906" s="82" t="str">
        <f ca="1">IFERROR(INDEX(UNSPSCDes,MATCH(INDIRECT(ADDRESS(ROW(),COLUMN()-1,4)),UNSPSCCode,0)),IF(INDIRECT(ADDRESS(ROW(),COLUMN()-1,4))="31181503","Juntas obturadoras de metal",""))</f>
        <v>Juntas obturadoras de metal</v>
      </c>
      <c r="C4906" s="95" t="str">
        <f>IFERROR(VLOOKUP("UD",'Informacion '!P:Q,2,FALSE),"")</f>
        <v>Unidad</v>
      </c>
      <c r="D4906" s="94">
        <v>2</v>
      </c>
      <c r="E4906" s="84">
        <v>500</v>
      </c>
      <c r="F4906" s="83">
        <f t="shared" ca="1" si="215"/>
        <v>1000</v>
      </c>
    </row>
    <row r="4907" spans="1:6" ht="14.1" customHeight="1" x14ac:dyDescent="0.25">
      <c r="A4907" s="94" t="s">
        <v>250</v>
      </c>
      <c r="B4907" s="82" t="str">
        <f ca="1">IFERROR(INDEX(UNSPSCDes,MATCH(INDIRECT(ADDRESS(ROW(),COLUMN()-1,4)),UNSPSCCode,0)),IF(INDIRECT(ADDRESS(ROW(),COLUMN()-1,4))="39121719","Protectores",""))</f>
        <v>Protectores</v>
      </c>
      <c r="C4907" s="95" t="str">
        <f>IFERROR(VLOOKUP("UD",'Informacion '!P:Q,2,FALSE),"")</f>
        <v>Unidad</v>
      </c>
      <c r="D4907" s="94">
        <v>4</v>
      </c>
      <c r="E4907" s="84">
        <v>250</v>
      </c>
      <c r="F4907" s="83">
        <f t="shared" ca="1" si="215"/>
        <v>1000</v>
      </c>
    </row>
    <row r="4908" spans="1:6" ht="14.1" customHeight="1" x14ac:dyDescent="0.25">
      <c r="A4908" s="94" t="s">
        <v>1158</v>
      </c>
      <c r="B4908" s="82" t="str">
        <f ca="1">IFERROR(INDEX(UNSPSCDes,MATCH(INDIRECT(ADDRESS(ROW(),COLUMN()-1,4)),UNSPSCCode,0)),IF(INDIRECT(ADDRESS(ROW(),COLUMN()-1,4))="31161511","Tornillos de apriete",""))</f>
        <v>Tornillos de apriete</v>
      </c>
      <c r="C4908" s="95" t="str">
        <f>IFERROR(VLOOKUP("UD",'Informacion '!P:Q,2,FALSE),"")</f>
        <v>Unidad</v>
      </c>
      <c r="D4908" s="94">
        <v>50</v>
      </c>
      <c r="E4908" s="84">
        <v>15</v>
      </c>
      <c r="F4908" s="83">
        <f t="shared" ca="1" si="215"/>
        <v>750</v>
      </c>
    </row>
    <row r="4909" spans="1:6" ht="14.1" customHeight="1" x14ac:dyDescent="0.25">
      <c r="A4909" s="94" t="s">
        <v>3332</v>
      </c>
      <c r="B4909" s="82" t="str">
        <f ca="1">IFERROR(INDEX(UNSPSCDes,MATCH(INDIRECT(ADDRESS(ROW(),COLUMN()-1,4)),UNSPSCCode,0)),IF(INDIRECT(ADDRESS(ROW(),COLUMN()-1,4))="31201605","Masillas",""))</f>
        <v>Masillas</v>
      </c>
      <c r="C4909" s="95" t="str">
        <f>IFERROR(VLOOKUP("UD",'Informacion '!P:Q,2,FALSE),"")</f>
        <v>Unidad</v>
      </c>
      <c r="D4909" s="94">
        <v>5</v>
      </c>
      <c r="E4909" s="84">
        <v>350</v>
      </c>
      <c r="F4909" s="83">
        <f t="shared" ca="1" si="215"/>
        <v>1750</v>
      </c>
    </row>
    <row r="4910" spans="1:6" ht="14.1" customHeight="1" x14ac:dyDescent="0.25">
      <c r="A4910" s="94" t="s">
        <v>11958</v>
      </c>
      <c r="B4910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4910" s="95" t="str">
        <f>IFERROR(VLOOKUP("FT",'Informacion '!P:Q,2,FALSE),"")</f>
        <v>Pie</v>
      </c>
      <c r="D4910" s="94">
        <v>25</v>
      </c>
      <c r="E4910" s="84">
        <v>150</v>
      </c>
      <c r="F4910" s="83">
        <f t="shared" ca="1" si="215"/>
        <v>3750</v>
      </c>
    </row>
    <row r="4911" spans="1:6" ht="14.1" customHeight="1" x14ac:dyDescent="0.25">
      <c r="A4911" s="94" t="s">
        <v>11958</v>
      </c>
      <c r="B4911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4911" s="95" t="str">
        <f>IFERROR(VLOOKUP("FT",'Informacion '!P:Q,2,FALSE),"")</f>
        <v>Pie</v>
      </c>
      <c r="D4911" s="94">
        <v>5</v>
      </c>
      <c r="E4911" s="84">
        <v>80</v>
      </c>
      <c r="F4911" s="83">
        <f t="shared" ca="1" si="215"/>
        <v>400</v>
      </c>
    </row>
    <row r="4912" spans="1:6" ht="14.1" customHeight="1" x14ac:dyDescent="0.25">
      <c r="A4912" s="94" t="s">
        <v>8016</v>
      </c>
      <c r="B4912" s="82" t="str">
        <f ca="1">IFERROR(INDEX(UNSPSCDes,MATCH(INDIRECT(ADDRESS(ROW(),COLUMN()-1,4)),UNSPSCCode,0)),IF(INDIRECT(ADDRESS(ROW(),COLUMN()-1,4))="25111914","Argollas de amarre",""))</f>
        <v>Argollas de amarre</v>
      </c>
      <c r="C4912" s="95" t="str">
        <f>IFERROR(VLOOKUP("UD",'Informacion '!P:Q,2,FALSE),"")</f>
        <v>Unidad</v>
      </c>
      <c r="D4912" s="94">
        <v>10</v>
      </c>
      <c r="E4912" s="84">
        <v>40</v>
      </c>
      <c r="F4912" s="83">
        <f t="shared" ca="1" si="215"/>
        <v>400</v>
      </c>
    </row>
    <row r="4913" spans="1:6" ht="14.1" customHeight="1" x14ac:dyDescent="0.25">
      <c r="A4913" s="94" t="s">
        <v>1118</v>
      </c>
      <c r="B4913" s="82" t="str">
        <f ca="1">IFERROR(INDEX(UNSPSCDes,MATCH(INDIRECT(ADDRESS(ROW(),COLUMN()-1,4)),UNSPSCCode,0)),IF(INDIRECT(ADDRESS(ROW(),COLUMN()-1,4))="31162402","Cerraduras",""))</f>
        <v>Cerraduras</v>
      </c>
      <c r="C4913" s="95" t="str">
        <f>IFERROR(VLOOKUP("UD",'Informacion '!P:Q,2,FALSE),"")</f>
        <v>Unidad</v>
      </c>
      <c r="D4913" s="94">
        <v>5</v>
      </c>
      <c r="E4913" s="84">
        <v>1200</v>
      </c>
      <c r="F4913" s="83">
        <f t="shared" ca="1" si="215"/>
        <v>6000</v>
      </c>
    </row>
    <row r="4914" spans="1:6" ht="14.1" customHeight="1" x14ac:dyDescent="0.25">
      <c r="A4914" s="94" t="s">
        <v>1118</v>
      </c>
      <c r="B4914" s="82" t="str">
        <f ca="1">IFERROR(INDEX(UNSPSCDes,MATCH(INDIRECT(ADDRESS(ROW(),COLUMN()-1,4)),UNSPSCCode,0)),IF(INDIRECT(ADDRESS(ROW(),COLUMN()-1,4))="31162402","Cerraduras",""))</f>
        <v>Cerraduras</v>
      </c>
      <c r="C4914" s="95" t="str">
        <f>IFERROR(VLOOKUP("UD",'Informacion '!P:Q,2,FALSE),"")</f>
        <v>Unidad</v>
      </c>
      <c r="D4914" s="94">
        <v>5</v>
      </c>
      <c r="E4914" s="84">
        <v>2800</v>
      </c>
      <c r="F4914" s="83">
        <f t="shared" ca="1" si="215"/>
        <v>14000</v>
      </c>
    </row>
    <row r="4915" spans="1:6" ht="14.1" customHeight="1" x14ac:dyDescent="0.25">
      <c r="A4915" s="94" t="s">
        <v>17214</v>
      </c>
      <c r="B4915" s="82" t="str">
        <f ca="1">IFERROR(INDEX(UNSPSCDes,MATCH(INDIRECT(ADDRESS(ROW(),COLUMN()-1,4)),UNSPSCCode,0)),IF(INDIRECT(ADDRESS(ROW(),COLUMN()-1,4))="60121001","Pinturas",""))</f>
        <v>Pinturas</v>
      </c>
      <c r="C4915" s="95" t="str">
        <f>IFERROR(VLOOKUP("UD",'Informacion '!P:Q,2,FALSE),"")</f>
        <v>Unidad</v>
      </c>
      <c r="D4915" s="94">
        <v>10</v>
      </c>
      <c r="E4915" s="84">
        <v>8000</v>
      </c>
      <c r="F4915" s="83">
        <f t="shared" ca="1" si="215"/>
        <v>80000</v>
      </c>
    </row>
    <row r="4916" spans="1:6" ht="14.1" customHeight="1" x14ac:dyDescent="0.25">
      <c r="A4916" s="94" t="s">
        <v>17272</v>
      </c>
      <c r="B4916" s="82" t="str">
        <f ca="1">IFERROR(INDEX(UNSPSCDes,MATCH(INDIRECT(ADDRESS(ROW(),COLUMN()-1,4)),UNSPSCCode,0)),IF(INDIRECT(ADDRESS(ROW(),COLUMN()-1,4))="31161502","Tornillos de anclaje",""))</f>
        <v>Tornillos de anclaje</v>
      </c>
      <c r="C4916" s="95" t="str">
        <f>IFERROR(VLOOKUP("UD",'Informacion '!P:Q,2,FALSE),"")</f>
        <v>Unidad</v>
      </c>
      <c r="D4916" s="94">
        <v>100</v>
      </c>
      <c r="E4916" s="84">
        <v>15</v>
      </c>
      <c r="F4916" s="83">
        <f t="shared" ca="1" si="215"/>
        <v>1500</v>
      </c>
    </row>
    <row r="4917" spans="1:6" ht="14.1" customHeight="1" x14ac:dyDescent="0.25">
      <c r="A4917" s="94" t="s">
        <v>17272</v>
      </c>
      <c r="B4917" s="82" t="str">
        <f ca="1">IFERROR(INDEX(UNSPSCDes,MATCH(INDIRECT(ADDRESS(ROW(),COLUMN()-1,4)),UNSPSCCode,0)),IF(INDIRECT(ADDRESS(ROW(),COLUMN()-1,4))="31161502","Tornillos de anclaje",""))</f>
        <v>Tornillos de anclaje</v>
      </c>
      <c r="C4917" s="95" t="str">
        <f>IFERROR(VLOOKUP("UD",'Informacion '!P:Q,2,FALSE),"")</f>
        <v>Unidad</v>
      </c>
      <c r="D4917" s="94">
        <v>50</v>
      </c>
      <c r="E4917" s="84">
        <v>4</v>
      </c>
      <c r="F4917" s="83">
        <f t="shared" ref="F4917:F4948" ca="1" si="216">INDIRECT(ADDRESS(ROW(),COLUMN()-2,4))*INDIRECT(ADDRESS(ROW(),COLUMN()-1,4))</f>
        <v>200</v>
      </c>
    </row>
    <row r="4918" spans="1:6" ht="14.1" customHeight="1" x14ac:dyDescent="0.25">
      <c r="A4918" s="94" t="s">
        <v>12648</v>
      </c>
      <c r="B4918" s="82" t="str">
        <f ca="1">IFERROR(INDEX(UNSPSCDes,MATCH(INDIRECT(ADDRESS(ROW(),COLUMN()-1,4)),UNSPSCCode,0)),IF(INDIRECT(ADDRESS(ROW(),COLUMN()-1,4))="31162104","Anclajes de tornillo",""))</f>
        <v>Anclajes de tornillo</v>
      </c>
      <c r="C4918" s="95" t="str">
        <f>IFERROR(VLOOKUP("UD",'Informacion '!P:Q,2,FALSE),"")</f>
        <v>Unidad</v>
      </c>
      <c r="D4918" s="94">
        <v>50</v>
      </c>
      <c r="E4918" s="84">
        <v>19.62</v>
      </c>
      <c r="F4918" s="83">
        <f t="shared" ca="1" si="216"/>
        <v>981</v>
      </c>
    </row>
    <row r="4919" spans="1:6" ht="14.1" customHeight="1" x14ac:dyDescent="0.25">
      <c r="A4919" s="94" t="s">
        <v>11252</v>
      </c>
      <c r="B4919" s="82" t="str">
        <f ca="1">IFERROR(INDEX(UNSPSCDes,MATCH(INDIRECT(ADDRESS(ROW(),COLUMN()-1,4)),UNSPSCCode,0)),IF(INDIRECT(ADDRESS(ROW(),COLUMN()-1,4))="31161507","Tornillos roscadores",""))</f>
        <v>Tornillos roscadores</v>
      </c>
      <c r="C4919" s="95" t="str">
        <f>IFERROR(VLOOKUP("UD",'Informacion '!P:Q,2,FALSE),"")</f>
        <v>Unidad</v>
      </c>
      <c r="D4919" s="94">
        <v>50</v>
      </c>
      <c r="E4919" s="84">
        <v>11</v>
      </c>
      <c r="F4919" s="83">
        <f t="shared" ca="1" si="216"/>
        <v>550</v>
      </c>
    </row>
    <row r="4920" spans="1:6" ht="14.1" customHeight="1" x14ac:dyDescent="0.25">
      <c r="A4920" s="94" t="s">
        <v>11252</v>
      </c>
      <c r="B4920" s="82" t="str">
        <f ca="1">IFERROR(INDEX(UNSPSCDes,MATCH(INDIRECT(ADDRESS(ROW(),COLUMN()-1,4)),UNSPSCCode,0)),IF(INDIRECT(ADDRESS(ROW(),COLUMN()-1,4))="31161507","Tornillos roscadores",""))</f>
        <v>Tornillos roscadores</v>
      </c>
      <c r="C4920" s="95" t="str">
        <f>IFERROR(VLOOKUP("UD",'Informacion '!P:Q,2,FALSE),"")</f>
        <v>Unidad</v>
      </c>
      <c r="D4920" s="94">
        <v>50</v>
      </c>
      <c r="E4920" s="84">
        <v>2</v>
      </c>
      <c r="F4920" s="83">
        <f t="shared" ca="1" si="216"/>
        <v>100</v>
      </c>
    </row>
    <row r="4921" spans="1:6" ht="14.1" customHeight="1" x14ac:dyDescent="0.25">
      <c r="A4921" s="94" t="s">
        <v>4672</v>
      </c>
      <c r="B4921" s="82" t="str">
        <f ca="1">IFERROR(INDEX(UNSPSCDes,MATCH(INDIRECT(ADDRESS(ROW(),COLUMN()-1,4)),UNSPSCCode,0)),IF(INDIRECT(ADDRESS(ROW(),COLUMN()-1,4))="72102004","Impermeabilización",""))</f>
        <v>Impermeabilización</v>
      </c>
      <c r="C4921" s="95" t="str">
        <f>IFERROR(VLOOKUP("GAL",'Informacion '!P:Q,2,FALSE),"")</f>
        <v>Galón</v>
      </c>
      <c r="D4921" s="94">
        <v>2</v>
      </c>
      <c r="E4921" s="84">
        <v>800</v>
      </c>
      <c r="F4921" s="83">
        <f t="shared" ca="1" si="216"/>
        <v>1600</v>
      </c>
    </row>
    <row r="4922" spans="1:6" ht="14.1" customHeight="1" x14ac:dyDescent="0.25">
      <c r="A4922" s="94" t="s">
        <v>4672</v>
      </c>
      <c r="B4922" s="82" t="str">
        <f ca="1">IFERROR(INDEX(UNSPSCDes,MATCH(INDIRECT(ADDRESS(ROW(),COLUMN()-1,4)),UNSPSCCode,0)),IF(INDIRECT(ADDRESS(ROW(),COLUMN()-1,4))="72102004","Impermeabilización",""))</f>
        <v>Impermeabilización</v>
      </c>
      <c r="C4922" s="95" t="str">
        <f>IFERROR(VLOOKUP("GAL",'Informacion '!P:Q,2,FALSE),"")</f>
        <v>Galón</v>
      </c>
      <c r="D4922" s="94">
        <v>2</v>
      </c>
      <c r="E4922" s="84">
        <v>1600</v>
      </c>
      <c r="F4922" s="83">
        <f t="shared" ca="1" si="216"/>
        <v>3200</v>
      </c>
    </row>
    <row r="4923" spans="1:6" ht="14.1" customHeight="1" x14ac:dyDescent="0.25">
      <c r="A4923" s="94" t="s">
        <v>18357</v>
      </c>
      <c r="B4923" s="82" t="str">
        <f ca="1">IFERROR(INDEX(UNSPSCDes,MATCH(INDIRECT(ADDRESS(ROW(),COLUMN()-1,4)),UNSPSCCode,0)),IF(INDIRECT(ADDRESS(ROW(),COLUMN()-1,4))="30222502","Pisos",""))</f>
        <v>Pisos</v>
      </c>
      <c r="C4923" s="95" t="str">
        <f>IFERROR(VLOOKUP("GAL",'Informacion '!P:Q,2,FALSE),"")</f>
        <v>Galón</v>
      </c>
      <c r="D4923" s="94">
        <v>1</v>
      </c>
      <c r="E4923" s="84">
        <v>800</v>
      </c>
      <c r="F4923" s="83">
        <f t="shared" ca="1" si="216"/>
        <v>800</v>
      </c>
    </row>
    <row r="4924" spans="1:6" ht="14.1" customHeight="1" x14ac:dyDescent="0.25">
      <c r="A4924" s="94" t="s">
        <v>18357</v>
      </c>
      <c r="B4924" s="82" t="str">
        <f ca="1">IFERROR(INDEX(UNSPSCDes,MATCH(INDIRECT(ADDRESS(ROW(),COLUMN()-1,4)),UNSPSCCode,0)),IF(INDIRECT(ADDRESS(ROW(),COLUMN()-1,4))="30222502","Pisos",""))</f>
        <v>Pisos</v>
      </c>
      <c r="C4924" s="95" t="str">
        <f>IFERROR(VLOOKUP("UD",'Informacion '!P:Q,2,FALSE),"")</f>
        <v>Unidad</v>
      </c>
      <c r="D4924" s="94">
        <v>2</v>
      </c>
      <c r="E4924" s="84">
        <v>781</v>
      </c>
      <c r="F4924" s="83">
        <f t="shared" ca="1" si="216"/>
        <v>1562</v>
      </c>
    </row>
    <row r="4925" spans="1:6" ht="14.1" customHeight="1" x14ac:dyDescent="0.25">
      <c r="A4925" s="94" t="s">
        <v>13889</v>
      </c>
      <c r="B4925" s="82" t="str">
        <f ca="1">IFERROR(INDEX(UNSPSCDes,MATCH(INDIRECT(ADDRESS(ROW(),COLUMN()-1,4)),UNSPSCCode,0)),IF(INDIRECT(ADDRESS(ROW(),COLUMN()-1,4))="12352310","Siliconas",""))</f>
        <v>Siliconas</v>
      </c>
      <c r="C4925" s="95" t="str">
        <f>IFERROR(VLOOKUP("CAJ",'Informacion '!P:Q,2,FALSE),"")</f>
        <v>Caja</v>
      </c>
      <c r="D4925" s="94">
        <v>3</v>
      </c>
      <c r="E4925" s="84">
        <v>2000</v>
      </c>
      <c r="F4925" s="83">
        <f t="shared" ca="1" si="216"/>
        <v>6000</v>
      </c>
    </row>
    <row r="4926" spans="1:6" ht="14.1" customHeight="1" x14ac:dyDescent="0.25">
      <c r="A4926" s="94" t="s">
        <v>13889</v>
      </c>
      <c r="B4926" s="82" t="str">
        <f ca="1">IFERROR(INDEX(UNSPSCDes,MATCH(INDIRECT(ADDRESS(ROW(),COLUMN()-1,4)),UNSPSCCode,0)),IF(INDIRECT(ADDRESS(ROW(),COLUMN()-1,4))="12352310","Siliconas",""))</f>
        <v>Siliconas</v>
      </c>
      <c r="C4926" s="95" t="str">
        <f>IFERROR(VLOOKUP("CAJ",'Informacion '!P:Q,2,FALSE),"")</f>
        <v>Caja</v>
      </c>
      <c r="D4926" s="94">
        <v>1</v>
      </c>
      <c r="E4926" s="84">
        <v>1500</v>
      </c>
      <c r="F4926" s="83">
        <f t="shared" ca="1" si="216"/>
        <v>1500</v>
      </c>
    </row>
    <row r="4927" spans="1:6" ht="14.1" customHeight="1" x14ac:dyDescent="0.25">
      <c r="A4927" s="94" t="s">
        <v>3332</v>
      </c>
      <c r="B4927" s="82" t="str">
        <f ca="1">IFERROR(INDEX(UNSPSCDes,MATCH(INDIRECT(ADDRESS(ROW(),COLUMN()-1,4)),UNSPSCCode,0)),IF(INDIRECT(ADDRESS(ROW(),COLUMN()-1,4))="31201605","Masillas",""))</f>
        <v>Masillas</v>
      </c>
      <c r="C4927" s="95" t="str">
        <f>IFERROR(VLOOKUP("CAJ",'Informacion '!P:Q,2,FALSE),"")</f>
        <v>Caja</v>
      </c>
      <c r="D4927" s="94">
        <v>5</v>
      </c>
      <c r="E4927" s="84">
        <v>5000</v>
      </c>
      <c r="F4927" s="83">
        <f t="shared" ca="1" si="216"/>
        <v>25000</v>
      </c>
    </row>
    <row r="4928" spans="1:6" ht="14.1" customHeight="1" x14ac:dyDescent="0.25">
      <c r="A4928" s="94" t="s">
        <v>13889</v>
      </c>
      <c r="B4928" s="82" t="str">
        <f ca="1">IFERROR(INDEX(UNSPSCDes,MATCH(INDIRECT(ADDRESS(ROW(),COLUMN()-1,4)),UNSPSCCode,0)),IF(INDIRECT(ADDRESS(ROW(),COLUMN()-1,4))="12352310","Siliconas",""))</f>
        <v>Siliconas</v>
      </c>
      <c r="C4928" s="95" t="str">
        <f>IFERROR(VLOOKUP("CAJ",'Informacion '!P:Q,2,FALSE),"")</f>
        <v>Caja</v>
      </c>
      <c r="D4928" s="94">
        <v>1</v>
      </c>
      <c r="E4928" s="84">
        <v>1500</v>
      </c>
      <c r="F4928" s="83">
        <f t="shared" ca="1" si="216"/>
        <v>1500</v>
      </c>
    </row>
    <row r="4929" spans="1:6" ht="14.1" customHeight="1" x14ac:dyDescent="0.25">
      <c r="A4929" s="94" t="s">
        <v>2278</v>
      </c>
      <c r="B4929" s="82" t="str">
        <f ca="1">IFERROR(INDEX(UNSPSCDes,MATCH(INDIRECT(ADDRESS(ROW(),COLUMN()-1,4)),UNSPSCCode,0)),IF(INDIRECT(ADDRESS(ROW(),COLUMN()-1,4))="31201505","Cinta doble faz",""))</f>
        <v>Cinta doble faz</v>
      </c>
      <c r="C4929" s="95" t="str">
        <f>IFERROR(VLOOKUP("UD",'Informacion '!P:Q,2,FALSE),"")</f>
        <v>Unidad</v>
      </c>
      <c r="D4929" s="94">
        <v>5</v>
      </c>
      <c r="E4929" s="84">
        <v>1000</v>
      </c>
      <c r="F4929" s="83">
        <f t="shared" ca="1" si="216"/>
        <v>5000</v>
      </c>
    </row>
    <row r="4930" spans="1:6" ht="14.1" customHeight="1" x14ac:dyDescent="0.25">
      <c r="A4930" s="94" t="s">
        <v>3452</v>
      </c>
      <c r="B4930" s="82" t="str">
        <f ca="1">IFERROR(INDEX(UNSPSCDes,MATCH(INDIRECT(ADDRESS(ROW(),COLUMN()-1,4)),UNSPSCCode,0)),IF(INDIRECT(ADDRESS(ROW(),COLUMN()-1,4))="11121610","Maderas duras",""))</f>
        <v>Maderas duras</v>
      </c>
      <c r="C4930" s="95" t="str">
        <f>IFERROR(VLOOKUP("UD",'Informacion '!P:Q,2,FALSE),"")</f>
        <v>Unidad</v>
      </c>
      <c r="D4930" s="94">
        <v>2</v>
      </c>
      <c r="E4930" s="84">
        <v>1100</v>
      </c>
      <c r="F4930" s="83">
        <f t="shared" ca="1" si="216"/>
        <v>2200</v>
      </c>
    </row>
    <row r="4931" spans="1:6" ht="14.1" customHeight="1" x14ac:dyDescent="0.25">
      <c r="A4931" s="94" t="s">
        <v>9545</v>
      </c>
      <c r="B4931" s="82" t="str">
        <f ca="1">IFERROR(INDEX(UNSPSCDes,MATCH(INDIRECT(ADDRESS(ROW(),COLUMN()-1,4)),UNSPSCCode,0)),IF(INDIRECT(ADDRESS(ROW(),COLUMN()-1,4))="23101512","Sierras mecánicas",""))</f>
        <v>Sierras mecánicas</v>
      </c>
      <c r="C4931" s="95" t="str">
        <f>IFERROR(VLOOKUP("UD",'Informacion '!P:Q,2,FALSE),"")</f>
        <v>Unidad</v>
      </c>
      <c r="D4931" s="94">
        <v>2</v>
      </c>
      <c r="E4931" s="84">
        <v>219</v>
      </c>
      <c r="F4931" s="83">
        <f t="shared" ca="1" si="216"/>
        <v>438</v>
      </c>
    </row>
    <row r="4932" spans="1:6" ht="14.1" customHeight="1" x14ac:dyDescent="0.25">
      <c r="A4932" s="94" t="s">
        <v>6412</v>
      </c>
      <c r="B4932" s="82" t="str">
        <f ca="1">IFERROR(INDEX(UNSPSCDes,MATCH(INDIRECT(ADDRESS(ROW(),COLUMN()-1,4)),UNSPSCCode,0)),IF(INDIRECT(ADDRESS(ROW(),COLUMN()-1,4))="20101703","Trituradores de cono",""))</f>
        <v>Trituradores de cono</v>
      </c>
      <c r="C4932" s="95" t="str">
        <f>IFERROR(VLOOKUP("UD",'Informacion '!P:Q,2,FALSE),"")</f>
        <v>Unidad</v>
      </c>
      <c r="D4932" s="94">
        <v>2</v>
      </c>
      <c r="E4932" s="84">
        <v>200</v>
      </c>
      <c r="F4932" s="83">
        <f t="shared" ca="1" si="216"/>
        <v>400</v>
      </c>
    </row>
    <row r="4933" spans="1:6" ht="14.1" customHeight="1" x14ac:dyDescent="0.25">
      <c r="A4933" s="94" t="s">
        <v>13705</v>
      </c>
      <c r="B4933" s="82" t="str">
        <f ca="1">IFERROR(INDEX(UNSPSCDes,MATCH(INDIRECT(ADDRESS(ROW(),COLUMN()-1,4)),UNSPSCCode,0)),IF(INDIRECT(ADDRESS(ROW(),COLUMN()-1,4))="27111906","Cinceles de madera",""))</f>
        <v>Cinceles de madera</v>
      </c>
      <c r="C4933" s="95" t="str">
        <f>IFERROR(VLOOKUP("UD",'Informacion '!P:Q,2,FALSE),"")</f>
        <v>Unidad</v>
      </c>
      <c r="D4933" s="94">
        <v>2</v>
      </c>
      <c r="E4933" s="84">
        <v>868</v>
      </c>
      <c r="F4933" s="83">
        <f t="shared" ca="1" si="216"/>
        <v>1736</v>
      </c>
    </row>
    <row r="4934" spans="1:6" ht="14.1" customHeight="1" x14ac:dyDescent="0.25">
      <c r="A4934" s="94" t="s">
        <v>13705</v>
      </c>
      <c r="B4934" s="82" t="str">
        <f ca="1">IFERROR(INDEX(UNSPSCDes,MATCH(INDIRECT(ADDRESS(ROW(),COLUMN()-1,4)),UNSPSCCode,0)),IF(INDIRECT(ADDRESS(ROW(),COLUMN()-1,4))="27111906","Cinceles de madera",""))</f>
        <v>Cinceles de madera</v>
      </c>
      <c r="C4934" s="95" t="str">
        <f>IFERROR(VLOOKUP("UD",'Informacion '!P:Q,2,FALSE),"")</f>
        <v>Unidad</v>
      </c>
      <c r="D4934" s="94">
        <v>2</v>
      </c>
      <c r="E4934" s="84">
        <v>892</v>
      </c>
      <c r="F4934" s="83">
        <f t="shared" ca="1" si="216"/>
        <v>1784</v>
      </c>
    </row>
    <row r="4935" spans="1:6" ht="14.1" customHeight="1" x14ac:dyDescent="0.25">
      <c r="A4935" s="94" t="s">
        <v>13995</v>
      </c>
      <c r="B4935" s="82" t="str">
        <f ca="1">IFERROR(INDEX(UNSPSCDes,MATCH(INDIRECT(ADDRESS(ROW(),COLUMN()-1,4)),UNSPSCCode,0)),IF(INDIRECT(ADDRESS(ROW(),COLUMN()-1,4))="23101509","Lijadoras",""))</f>
        <v>Lijadoras</v>
      </c>
      <c r="C4935" s="95" t="str">
        <f>IFERROR(VLOOKUP("UD",'Informacion '!P:Q,2,FALSE),"")</f>
        <v>Unidad</v>
      </c>
      <c r="D4935" s="94">
        <v>20</v>
      </c>
      <c r="E4935" s="84">
        <v>20</v>
      </c>
      <c r="F4935" s="83">
        <f t="shared" ca="1" si="216"/>
        <v>400</v>
      </c>
    </row>
    <row r="4936" spans="1:6" ht="14.1" customHeight="1" x14ac:dyDescent="0.25">
      <c r="A4936" s="94" t="s">
        <v>13995</v>
      </c>
      <c r="B4936" s="82" t="str">
        <f ca="1">IFERROR(INDEX(UNSPSCDes,MATCH(INDIRECT(ADDRESS(ROW(),COLUMN()-1,4)),UNSPSCCode,0)),IF(INDIRECT(ADDRESS(ROW(),COLUMN()-1,4))="23101509","Lijadoras",""))</f>
        <v>Lijadoras</v>
      </c>
      <c r="C4936" s="95" t="str">
        <f>IFERROR(VLOOKUP("UD",'Informacion '!P:Q,2,FALSE),"")</f>
        <v>Unidad</v>
      </c>
      <c r="D4936" s="94">
        <v>30</v>
      </c>
      <c r="E4936" s="84">
        <v>30</v>
      </c>
      <c r="F4936" s="83">
        <f t="shared" ca="1" si="216"/>
        <v>900</v>
      </c>
    </row>
    <row r="4937" spans="1:6" ht="14.1" customHeight="1" x14ac:dyDescent="0.25">
      <c r="A4937" s="94" t="s">
        <v>13995</v>
      </c>
      <c r="B4937" s="82" t="str">
        <f ca="1">IFERROR(INDEX(UNSPSCDes,MATCH(INDIRECT(ADDRESS(ROW(),COLUMN()-1,4)),UNSPSCCode,0)),IF(INDIRECT(ADDRESS(ROW(),COLUMN()-1,4))="23101509","Lijadoras",""))</f>
        <v>Lijadoras</v>
      </c>
      <c r="C4937" s="95" t="str">
        <f>IFERROR(VLOOKUP("UD",'Informacion '!P:Q,2,FALSE),"")</f>
        <v>Unidad</v>
      </c>
      <c r="D4937" s="94">
        <v>30</v>
      </c>
      <c r="E4937" s="84">
        <v>15</v>
      </c>
      <c r="F4937" s="83">
        <f t="shared" ca="1" si="216"/>
        <v>450</v>
      </c>
    </row>
    <row r="4938" spans="1:6" ht="14.1" customHeight="1" x14ac:dyDescent="0.25">
      <c r="A4938" s="94" t="s">
        <v>16199</v>
      </c>
      <c r="B4938" s="82" t="str">
        <f ca="1">IFERROR(INDEX(UNSPSCDes,MATCH(INDIRECT(ADDRESS(ROW(),COLUMN()-1,4)),UNSPSCCode,0)),IF(INDIRECT(ADDRESS(ROW(),COLUMN()-1,4))="31162007","Clavos de tapicería",""))</f>
        <v>Clavos de tapicería</v>
      </c>
      <c r="C4938" s="95" t="str">
        <f>IFERROR(VLOOKUP("CAJ",'Informacion '!P:Q,2,FALSE),"")</f>
        <v>Caja</v>
      </c>
      <c r="D4938" s="94">
        <v>100</v>
      </c>
      <c r="E4938" s="84">
        <v>592</v>
      </c>
      <c r="F4938" s="83">
        <f t="shared" ca="1" si="216"/>
        <v>59200</v>
      </c>
    </row>
    <row r="4939" spans="1:6" ht="14.1" customHeight="1" x14ac:dyDescent="0.25">
      <c r="A4939" s="94" t="s">
        <v>15747</v>
      </c>
      <c r="B4939" s="82" t="str">
        <f ca="1">IFERROR(INDEX(UNSPSCDes,MATCH(INDIRECT(ADDRESS(ROW(),COLUMN()-1,4)),UNSPSCCode,0)),IF(INDIRECT(ADDRESS(ROW(),COLUMN()-1,4))="12131705","Fulminantes explosivos",""))</f>
        <v>Fulminantes explosivos</v>
      </c>
      <c r="C4939" s="95" t="str">
        <f>IFERROR(VLOOKUP("CAJ",'Informacion '!P:Q,2,FALSE),"")</f>
        <v>Caja</v>
      </c>
      <c r="D4939" s="94">
        <v>100</v>
      </c>
      <c r="E4939" s="84">
        <v>348</v>
      </c>
      <c r="F4939" s="83">
        <f t="shared" ca="1" si="216"/>
        <v>34800</v>
      </c>
    </row>
    <row r="4940" spans="1:6" ht="14.1" customHeight="1" x14ac:dyDescent="0.25">
      <c r="A4940" s="94" t="s">
        <v>14102</v>
      </c>
      <c r="B4940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4940" s="95" t="str">
        <f>IFERROR(VLOOKUP("UD",'Informacion '!P:Q,2,FALSE),"")</f>
        <v>Unidad</v>
      </c>
      <c r="D4940" s="94">
        <v>10</v>
      </c>
      <c r="E4940" s="84">
        <v>30000</v>
      </c>
      <c r="F4940" s="83">
        <f t="shared" ca="1" si="216"/>
        <v>300000</v>
      </c>
    </row>
    <row r="4941" spans="1:6" ht="14.1" customHeight="1" x14ac:dyDescent="0.25">
      <c r="A4941" s="94" t="s">
        <v>16618</v>
      </c>
      <c r="B4941" s="82" t="str">
        <f ca="1">IFERROR(INDEX(UNSPSCDes,MATCH(INDIRECT(ADDRESS(ROW(),COLUMN()-1,4)),UNSPSCCode,0)),IF(INDIRECT(ADDRESS(ROW(),COLUMN()-1,4))="56101520","Casilleros (“lockers”)",""))</f>
        <v>Casilleros (“lockers”)</v>
      </c>
      <c r="C4941" s="95" t="str">
        <f>IFERROR(VLOOKUP("UD",'Informacion '!P:Q,2,FALSE),"")</f>
        <v>Unidad</v>
      </c>
      <c r="D4941" s="94">
        <v>6</v>
      </c>
      <c r="E4941" s="84">
        <v>8000</v>
      </c>
      <c r="F4941" s="83">
        <f t="shared" ca="1" si="216"/>
        <v>48000</v>
      </c>
    </row>
    <row r="4942" spans="1:6" ht="14.1" customHeight="1" x14ac:dyDescent="0.25">
      <c r="A4942" s="94" t="s">
        <v>7494</v>
      </c>
      <c r="B4942" s="82" t="str">
        <f ca="1">IFERROR(INDEX(UNSPSCDes,MATCH(INDIRECT(ADDRESS(ROW(),COLUMN()-1,4)),UNSPSCCode,0)),IF(INDIRECT(ADDRESS(ROW(),COLUMN()-1,4))="31162403","Goznes o bisagras",""))</f>
        <v>Goznes o bisagras</v>
      </c>
      <c r="C4942" s="95" t="str">
        <f>IFERROR(VLOOKUP("UD",'Informacion '!P:Q,2,FALSE),"")</f>
        <v>Unidad</v>
      </c>
      <c r="D4942" s="94">
        <v>2</v>
      </c>
      <c r="E4942" s="84">
        <v>800</v>
      </c>
      <c r="F4942" s="83">
        <f t="shared" ca="1" si="216"/>
        <v>1600</v>
      </c>
    </row>
    <row r="4943" spans="1:6" ht="14.1" customHeight="1" x14ac:dyDescent="0.25">
      <c r="A4943" s="94" t="s">
        <v>19337</v>
      </c>
      <c r="B4943" s="82" t="str">
        <f ca="1">IFERROR(INDEX(UNSPSCDes,MATCH(INDIRECT(ADDRESS(ROW(),COLUMN()-1,4)),UNSPSCCode,0)),IF(INDIRECT(ADDRESS(ROW(),COLUMN()-1,4))="30171504","Puertas de madera",""))</f>
        <v>Puertas de madera</v>
      </c>
      <c r="C4943" s="95" t="str">
        <f>IFERROR(VLOOKUP("UD",'Informacion '!P:Q,2,FALSE),"")</f>
        <v>Unidad</v>
      </c>
      <c r="D4943" s="94">
        <v>1</v>
      </c>
      <c r="E4943" s="84">
        <v>45000</v>
      </c>
      <c r="F4943" s="83">
        <f t="shared" ca="1" si="216"/>
        <v>45000</v>
      </c>
    </row>
    <row r="4944" spans="1:6" ht="14.1" customHeight="1" x14ac:dyDescent="0.25">
      <c r="A4944" s="94" t="s">
        <v>1118</v>
      </c>
      <c r="B4944" s="82" t="str">
        <f ca="1">IFERROR(INDEX(UNSPSCDes,MATCH(INDIRECT(ADDRESS(ROW(),COLUMN()-1,4)),UNSPSCCode,0)),IF(INDIRECT(ADDRESS(ROW(),COLUMN()-1,4))="31162402","Cerraduras",""))</f>
        <v>Cerraduras</v>
      </c>
      <c r="C4944" s="95" t="str">
        <f>IFERROR(VLOOKUP("UD",'Informacion '!P:Q,2,FALSE),"")</f>
        <v>Unidad</v>
      </c>
      <c r="D4944" s="94">
        <v>10</v>
      </c>
      <c r="E4944" s="84">
        <v>300</v>
      </c>
      <c r="F4944" s="83">
        <f t="shared" ca="1" si="216"/>
        <v>3000</v>
      </c>
    </row>
    <row r="4945" spans="1:6" ht="14.1" customHeight="1" x14ac:dyDescent="0.25">
      <c r="A4945" s="94" t="s">
        <v>7522</v>
      </c>
      <c r="B4945" s="82" t="str">
        <f ca="1">IFERROR(INDEX(UNSPSCDes,MATCH(INDIRECT(ADDRESS(ROW(),COLUMN()-1,4)),UNSPSCCode,0)),IF(INDIRECT(ADDRESS(ROW(),COLUMN()-1,4))="23101508","Cortadoras",""))</f>
        <v>Cortadoras</v>
      </c>
      <c r="C4945" s="95" t="str">
        <f>IFERROR(VLOOKUP("UD",'Informacion '!P:Q,2,FALSE),"")</f>
        <v>Unidad</v>
      </c>
      <c r="D4945" s="94">
        <v>5</v>
      </c>
      <c r="E4945" s="84">
        <v>200</v>
      </c>
      <c r="F4945" s="83">
        <f t="shared" ca="1" si="216"/>
        <v>1000</v>
      </c>
    </row>
    <row r="4946" spans="1:6" ht="14.1" customHeight="1" x14ac:dyDescent="0.25">
      <c r="A4946" s="94" t="s">
        <v>12648</v>
      </c>
      <c r="B4946" s="82" t="str">
        <f ca="1">IFERROR(INDEX(UNSPSCDes,MATCH(INDIRECT(ADDRESS(ROW(),COLUMN()-1,4)),UNSPSCCode,0)),IF(INDIRECT(ADDRESS(ROW(),COLUMN()-1,4))="31162104","Anclajes de tornillo",""))</f>
        <v>Anclajes de tornillo</v>
      </c>
      <c r="C4946" s="95" t="str">
        <f>IFERROR(VLOOKUP("UD",'Informacion '!P:Q,2,FALSE),"")</f>
        <v>Unidad</v>
      </c>
      <c r="D4946" s="94">
        <v>50</v>
      </c>
      <c r="E4946" s="84">
        <v>1.5</v>
      </c>
      <c r="F4946" s="83">
        <f t="shared" ca="1" si="216"/>
        <v>75</v>
      </c>
    </row>
    <row r="4947" spans="1:6" ht="14.1" customHeight="1" x14ac:dyDescent="0.25">
      <c r="A4947" s="94" t="s">
        <v>12648</v>
      </c>
      <c r="B4947" s="82" t="str">
        <f ca="1">IFERROR(INDEX(UNSPSCDes,MATCH(INDIRECT(ADDRESS(ROW(),COLUMN()-1,4)),UNSPSCCode,0)),IF(INDIRECT(ADDRESS(ROW(),COLUMN()-1,4))="31162104","Anclajes de tornillo",""))</f>
        <v>Anclajes de tornillo</v>
      </c>
      <c r="C4947" s="95" t="str">
        <f>IFERROR(VLOOKUP("UD",'Informacion '!P:Q,2,FALSE),"")</f>
        <v>Unidad</v>
      </c>
      <c r="D4947" s="94">
        <v>50</v>
      </c>
      <c r="E4947" s="84">
        <v>3</v>
      </c>
      <c r="F4947" s="83">
        <f t="shared" ca="1" si="216"/>
        <v>150</v>
      </c>
    </row>
    <row r="4948" spans="1:6" ht="14.1" customHeight="1" x14ac:dyDescent="0.25">
      <c r="A4948" s="94" t="s">
        <v>12648</v>
      </c>
      <c r="B4948" s="82" t="str">
        <f ca="1">IFERROR(INDEX(UNSPSCDes,MATCH(INDIRECT(ADDRESS(ROW(),COLUMN()-1,4)),UNSPSCCode,0)),IF(INDIRECT(ADDRESS(ROW(),COLUMN()-1,4))="31162104","Anclajes de tornillo",""))</f>
        <v>Anclajes de tornillo</v>
      </c>
      <c r="C4948" s="95" t="str">
        <f>IFERROR(VLOOKUP("UD",'Informacion '!P:Q,2,FALSE),"")</f>
        <v>Unidad</v>
      </c>
      <c r="D4948" s="94">
        <v>50</v>
      </c>
      <c r="E4948" s="84">
        <v>3</v>
      </c>
      <c r="F4948" s="83">
        <f t="shared" ca="1" si="216"/>
        <v>150</v>
      </c>
    </row>
    <row r="4949" spans="1:6" ht="14.1" customHeight="1" x14ac:dyDescent="0.25">
      <c r="A4949" s="94" t="s">
        <v>12648</v>
      </c>
      <c r="B4949" s="82" t="str">
        <f ca="1">IFERROR(INDEX(UNSPSCDes,MATCH(INDIRECT(ADDRESS(ROW(),COLUMN()-1,4)),UNSPSCCode,0)),IF(INDIRECT(ADDRESS(ROW(),COLUMN()-1,4))="31162104","Anclajes de tornillo",""))</f>
        <v>Anclajes de tornillo</v>
      </c>
      <c r="C4949" s="95" t="str">
        <f>IFERROR(VLOOKUP("UD",'Informacion '!P:Q,2,FALSE),"")</f>
        <v>Unidad</v>
      </c>
      <c r="D4949" s="94">
        <v>50</v>
      </c>
      <c r="E4949" s="84">
        <v>3</v>
      </c>
      <c r="F4949" s="83">
        <f t="shared" ref="F4949:F4980" ca="1" si="217">INDIRECT(ADDRESS(ROW(),COLUMN()-2,4))*INDIRECT(ADDRESS(ROW(),COLUMN()-1,4))</f>
        <v>150</v>
      </c>
    </row>
    <row r="4950" spans="1:6" ht="14.1" customHeight="1" x14ac:dyDescent="0.25">
      <c r="A4950" s="94" t="s">
        <v>12246</v>
      </c>
      <c r="B4950" s="82" t="str">
        <f ca="1">IFERROR(INDEX(UNSPSCDes,MATCH(INDIRECT(ADDRESS(ROW(),COLUMN()-1,4)),UNSPSCCode,0)),IF(INDIRECT(ADDRESS(ROW(),COLUMN()-1,4))="30111601","Cemento",""))</f>
        <v>Cemento</v>
      </c>
      <c r="C4950" s="95" t="str">
        <f>IFERROR(VLOOKUP("UD",'Informacion '!P:Q,2,FALSE),"")</f>
        <v>Unidad</v>
      </c>
      <c r="D4950" s="94">
        <v>2</v>
      </c>
      <c r="E4950" s="84">
        <v>350</v>
      </c>
      <c r="F4950" s="83">
        <f t="shared" ca="1" si="217"/>
        <v>700</v>
      </c>
    </row>
    <row r="4951" spans="1:6" ht="14.1" customHeight="1" x14ac:dyDescent="0.25">
      <c r="A4951" s="94" t="s">
        <v>4672</v>
      </c>
      <c r="B4951" s="82" t="str">
        <f ca="1">IFERROR(INDEX(UNSPSCDes,MATCH(INDIRECT(ADDRESS(ROW(),COLUMN()-1,4)),UNSPSCCode,0)),IF(INDIRECT(ADDRESS(ROW(),COLUMN()-1,4))="72102004","Impermeabilización",""))</f>
        <v>Impermeabilización</v>
      </c>
      <c r="C4951" s="95" t="str">
        <f>IFERROR(VLOOKUP("UD",'Informacion '!P:Q,2,FALSE),"")</f>
        <v>Unidad</v>
      </c>
      <c r="D4951" s="94">
        <v>3</v>
      </c>
      <c r="E4951" s="84">
        <v>5500</v>
      </c>
      <c r="F4951" s="83">
        <f t="shared" ca="1" si="217"/>
        <v>16500</v>
      </c>
    </row>
    <row r="4952" spans="1:6" ht="14.1" customHeight="1" x14ac:dyDescent="0.25">
      <c r="A4952" s="94" t="s">
        <v>4947</v>
      </c>
      <c r="B4952" s="82" t="str">
        <f t="shared" ref="B4952:B4958" ca="1" si="218">IFERROR(INDEX(UNSPSCDes,MATCH(INDIRECT(ADDRESS(ROW(),COLUMN()-1,4)),UNSPSCCode,0)),IF(INDIRECT(ADDRESS(ROW(),COLUMN()-1,4))="86131502","Pintura",""))</f>
        <v>Pintura</v>
      </c>
      <c r="C4952" s="95" t="str">
        <f>IFERROR(VLOOKUP("GAL",'Informacion '!P:Q,2,FALSE),"")</f>
        <v>Galón</v>
      </c>
      <c r="D4952" s="94">
        <v>2</v>
      </c>
      <c r="E4952" s="84">
        <v>1525</v>
      </c>
      <c r="F4952" s="83">
        <f t="shared" ca="1" si="217"/>
        <v>3050</v>
      </c>
    </row>
    <row r="4953" spans="1:6" ht="14.1" customHeight="1" x14ac:dyDescent="0.25">
      <c r="A4953" s="94" t="s">
        <v>4947</v>
      </c>
      <c r="B4953" s="82" t="str">
        <f t="shared" ca="1" si="218"/>
        <v>Pintura</v>
      </c>
      <c r="C4953" s="95" t="str">
        <f>IFERROR(VLOOKUP("UD",'Informacion '!P:Q,2,FALSE),"")</f>
        <v>Unidad</v>
      </c>
      <c r="D4953" s="94">
        <v>6</v>
      </c>
      <c r="E4953" s="84">
        <v>5000</v>
      </c>
      <c r="F4953" s="83">
        <f t="shared" ca="1" si="217"/>
        <v>30000</v>
      </c>
    </row>
    <row r="4954" spans="1:6" ht="14.1" customHeight="1" x14ac:dyDescent="0.25">
      <c r="A4954" s="94" t="s">
        <v>4947</v>
      </c>
      <c r="B4954" s="82" t="str">
        <f t="shared" ca="1" si="218"/>
        <v>Pintura</v>
      </c>
      <c r="C4954" s="95" t="str">
        <f>IFERROR(VLOOKUP("UD",'Informacion '!P:Q,2,FALSE),"")</f>
        <v>Unidad</v>
      </c>
      <c r="D4954" s="94">
        <v>6</v>
      </c>
      <c r="E4954" s="84">
        <v>5000</v>
      </c>
      <c r="F4954" s="83">
        <f t="shared" ca="1" si="217"/>
        <v>30000</v>
      </c>
    </row>
    <row r="4955" spans="1:6" ht="14.1" customHeight="1" x14ac:dyDescent="0.25">
      <c r="A4955" s="94" t="s">
        <v>4947</v>
      </c>
      <c r="B4955" s="82" t="str">
        <f t="shared" ca="1" si="218"/>
        <v>Pintura</v>
      </c>
      <c r="C4955" s="95" t="str">
        <f>IFERROR(VLOOKUP("UD",'Informacion '!P:Q,2,FALSE),"")</f>
        <v>Unidad</v>
      </c>
      <c r="D4955" s="94">
        <v>7</v>
      </c>
      <c r="E4955" s="84">
        <v>7000</v>
      </c>
      <c r="F4955" s="83">
        <f t="shared" ca="1" si="217"/>
        <v>49000</v>
      </c>
    </row>
    <row r="4956" spans="1:6" ht="14.1" customHeight="1" x14ac:dyDescent="0.25">
      <c r="A4956" s="94" t="s">
        <v>4947</v>
      </c>
      <c r="B4956" s="82" t="str">
        <f t="shared" ca="1" si="218"/>
        <v>Pintura</v>
      </c>
      <c r="C4956" s="95" t="str">
        <f>IFERROR(VLOOKUP("GAL",'Informacion '!P:Q,2,FALSE),"")</f>
        <v>Galón</v>
      </c>
      <c r="D4956" s="94">
        <v>4</v>
      </c>
      <c r="E4956" s="84">
        <v>1600</v>
      </c>
      <c r="F4956" s="83">
        <f t="shared" ca="1" si="217"/>
        <v>6400</v>
      </c>
    </row>
    <row r="4957" spans="1:6" ht="14.1" customHeight="1" x14ac:dyDescent="0.25">
      <c r="A4957" s="94" t="s">
        <v>4947</v>
      </c>
      <c r="B4957" s="82" t="str">
        <f t="shared" ca="1" si="218"/>
        <v>Pintura</v>
      </c>
      <c r="C4957" s="95" t="str">
        <f>IFERROR(VLOOKUP("UD",'Informacion '!P:Q,2,FALSE),"")</f>
        <v>Unidad</v>
      </c>
      <c r="D4957" s="94">
        <v>2</v>
      </c>
      <c r="E4957" s="84">
        <v>5400</v>
      </c>
      <c r="F4957" s="83">
        <f t="shared" ca="1" si="217"/>
        <v>10800</v>
      </c>
    </row>
    <row r="4958" spans="1:6" ht="14.1" customHeight="1" x14ac:dyDescent="0.25">
      <c r="A4958" s="94" t="s">
        <v>4947</v>
      </c>
      <c r="B4958" s="82" t="str">
        <f t="shared" ca="1" si="218"/>
        <v>Pintura</v>
      </c>
      <c r="C4958" s="95" t="str">
        <f>IFERROR(VLOOKUP("UD",'Informacion '!P:Q,2,FALSE),"")</f>
        <v>Unidad</v>
      </c>
      <c r="D4958" s="94">
        <v>5</v>
      </c>
      <c r="E4958" s="84">
        <v>6500</v>
      </c>
      <c r="F4958" s="83">
        <f t="shared" ca="1" si="217"/>
        <v>32500</v>
      </c>
    </row>
    <row r="4959" spans="1:6" ht="14.1" customHeight="1" x14ac:dyDescent="0.25">
      <c r="A4959" s="94" t="s">
        <v>6316</v>
      </c>
      <c r="B4959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4959" s="95" t="str">
        <f>IFERROR(VLOOKUP("UD",'Informacion '!P:Q,2,FALSE),"")</f>
        <v>Unidad</v>
      </c>
      <c r="D4959" s="94">
        <v>1</v>
      </c>
      <c r="E4959" s="84">
        <v>300000</v>
      </c>
      <c r="F4959" s="83">
        <f t="shared" ca="1" si="217"/>
        <v>300000</v>
      </c>
    </row>
    <row r="4960" spans="1:6" ht="14.1" customHeight="1" x14ac:dyDescent="0.25">
      <c r="A4960" s="94" t="s">
        <v>6316</v>
      </c>
      <c r="B4960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4960" s="95" t="str">
        <f>IFERROR(VLOOKUP("UD",'Informacion '!P:Q,2,FALSE),"")</f>
        <v>Unidad</v>
      </c>
      <c r="D4960" s="94">
        <v>1</v>
      </c>
      <c r="E4960" s="84">
        <v>300000</v>
      </c>
      <c r="F4960" s="83">
        <f t="shared" ca="1" si="217"/>
        <v>300000</v>
      </c>
    </row>
    <row r="4961" spans="1:6" ht="14.1" customHeight="1" x14ac:dyDescent="0.25">
      <c r="A4961" s="94" t="s">
        <v>6316</v>
      </c>
      <c r="B4961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4961" s="95" t="str">
        <f>IFERROR(VLOOKUP("GAL",'Informacion '!P:Q,2,FALSE),"")</f>
        <v>Galón</v>
      </c>
      <c r="D4961" s="94">
        <v>3</v>
      </c>
      <c r="E4961" s="84">
        <v>1100</v>
      </c>
      <c r="F4961" s="83">
        <f t="shared" ca="1" si="217"/>
        <v>3300</v>
      </c>
    </row>
    <row r="4962" spans="1:6" ht="14.1" customHeight="1" x14ac:dyDescent="0.25">
      <c r="A4962" s="94" t="s">
        <v>6316</v>
      </c>
      <c r="B4962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4962" s="95" t="str">
        <f>IFERROR(VLOOKUP("GAL",'Informacion '!P:Q,2,FALSE),"")</f>
        <v>Galón</v>
      </c>
      <c r="D4962" s="94">
        <v>5</v>
      </c>
      <c r="E4962" s="84">
        <v>1000</v>
      </c>
      <c r="F4962" s="83">
        <f t="shared" ca="1" si="217"/>
        <v>5000</v>
      </c>
    </row>
    <row r="4963" spans="1:6" ht="14.1" customHeight="1" x14ac:dyDescent="0.25">
      <c r="A4963" s="94" t="s">
        <v>3332</v>
      </c>
      <c r="B4963" s="82" t="str">
        <f ca="1">IFERROR(INDEX(UNSPSCDes,MATCH(INDIRECT(ADDRESS(ROW(),COLUMN()-1,4)),UNSPSCCode,0)),IF(INDIRECT(ADDRESS(ROW(),COLUMN()-1,4))="31201605","Masillas",""))</f>
        <v>Masillas</v>
      </c>
      <c r="C4963" s="95" t="str">
        <f>IFERROR(VLOOKUP("UD",'Informacion '!P:Q,2,FALSE),"")</f>
        <v>Unidad</v>
      </c>
      <c r="D4963" s="94">
        <v>2</v>
      </c>
      <c r="E4963" s="84">
        <v>5000</v>
      </c>
      <c r="F4963" s="83">
        <f t="shared" ca="1" si="217"/>
        <v>10000</v>
      </c>
    </row>
    <row r="4964" spans="1:6" ht="14.1" customHeight="1" x14ac:dyDescent="0.25">
      <c r="A4964" s="94" t="s">
        <v>4947</v>
      </c>
      <c r="B4964" s="82" t="str">
        <f ca="1">IFERROR(INDEX(UNSPSCDes,MATCH(INDIRECT(ADDRESS(ROW(),COLUMN()-1,4)),UNSPSCCode,0)),IF(INDIRECT(ADDRESS(ROW(),COLUMN()-1,4))="86131502","Pintura",""))</f>
        <v>Pintura</v>
      </c>
      <c r="C4964" s="95" t="str">
        <f>IFERROR(VLOOKUP("UD",'Informacion '!P:Q,2,FALSE),"")</f>
        <v>Unidad</v>
      </c>
      <c r="D4964" s="94">
        <v>1</v>
      </c>
      <c r="E4964" s="84">
        <v>5000</v>
      </c>
      <c r="F4964" s="83">
        <f t="shared" ca="1" si="217"/>
        <v>5000</v>
      </c>
    </row>
    <row r="4965" spans="1:6" ht="14.1" customHeight="1" x14ac:dyDescent="0.25">
      <c r="A4965" s="94" t="s">
        <v>4947</v>
      </c>
      <c r="B4965" s="82" t="str">
        <f ca="1">IFERROR(INDEX(UNSPSCDes,MATCH(INDIRECT(ADDRESS(ROW(),COLUMN()-1,4)),UNSPSCCode,0)),IF(INDIRECT(ADDRESS(ROW(),COLUMN()-1,4))="86131502","Pintura",""))</f>
        <v>Pintura</v>
      </c>
      <c r="C4965" s="95" t="str">
        <f>IFERROR(VLOOKUP("GAL",'Informacion '!P:Q,2,FALSE),"")</f>
        <v>Galón</v>
      </c>
      <c r="D4965" s="94">
        <v>6</v>
      </c>
      <c r="E4965" s="84">
        <v>1800</v>
      </c>
      <c r="F4965" s="83">
        <f t="shared" ca="1" si="217"/>
        <v>10800</v>
      </c>
    </row>
    <row r="4966" spans="1:6" ht="14.1" customHeight="1" x14ac:dyDescent="0.25">
      <c r="A4966" s="94" t="s">
        <v>4947</v>
      </c>
      <c r="B4966" s="82" t="str">
        <f ca="1">IFERROR(INDEX(UNSPSCDes,MATCH(INDIRECT(ADDRESS(ROW(),COLUMN()-1,4)),UNSPSCCode,0)),IF(INDIRECT(ADDRESS(ROW(),COLUMN()-1,4))="86131502","Pintura",""))</f>
        <v>Pintura</v>
      </c>
      <c r="C4966" s="95" t="str">
        <f>IFERROR(VLOOKUP("GAL",'Informacion '!P:Q,2,FALSE),"")</f>
        <v>Galón</v>
      </c>
      <c r="D4966" s="94">
        <v>5</v>
      </c>
      <c r="E4966" s="84">
        <v>1300</v>
      </c>
      <c r="F4966" s="83">
        <f t="shared" ca="1" si="217"/>
        <v>6500</v>
      </c>
    </row>
    <row r="4967" spans="1:6" ht="14.1" customHeight="1" x14ac:dyDescent="0.25">
      <c r="A4967" s="94" t="s">
        <v>4947</v>
      </c>
      <c r="B4967" s="82" t="str">
        <f ca="1">IFERROR(INDEX(UNSPSCDes,MATCH(INDIRECT(ADDRESS(ROW(),COLUMN()-1,4)),UNSPSCCode,0)),IF(INDIRECT(ADDRESS(ROW(),COLUMN()-1,4))="86131502","Pintura",""))</f>
        <v>Pintura</v>
      </c>
      <c r="C4967" s="95" t="str">
        <f>IFERROR(VLOOKUP("GAL",'Informacion '!P:Q,2,FALSE),"")</f>
        <v>Galón</v>
      </c>
      <c r="D4967" s="94">
        <v>4</v>
      </c>
      <c r="E4967" s="84">
        <v>1200</v>
      </c>
      <c r="F4967" s="83">
        <f t="shared" ca="1" si="217"/>
        <v>4800</v>
      </c>
    </row>
    <row r="4968" spans="1:6" ht="14.1" customHeight="1" x14ac:dyDescent="0.25">
      <c r="A4968" s="94" t="s">
        <v>4947</v>
      </c>
      <c r="B4968" s="82" t="str">
        <f ca="1">IFERROR(INDEX(UNSPSCDes,MATCH(INDIRECT(ADDRESS(ROW(),COLUMN()-1,4)),UNSPSCCode,0)),IF(INDIRECT(ADDRESS(ROW(),COLUMN()-1,4))="86131502","Pintura",""))</f>
        <v>Pintura</v>
      </c>
      <c r="C4968" s="95" t="str">
        <f>IFERROR(VLOOKUP("GAL",'Informacion '!P:Q,2,FALSE),"")</f>
        <v>Galón</v>
      </c>
      <c r="D4968" s="94">
        <v>2</v>
      </c>
      <c r="E4968" s="84">
        <v>1200</v>
      </c>
      <c r="F4968" s="83">
        <f t="shared" ca="1" si="217"/>
        <v>2400</v>
      </c>
    </row>
    <row r="4969" spans="1:6" ht="14.1" customHeight="1" x14ac:dyDescent="0.25">
      <c r="A4969" s="94" t="s">
        <v>17385</v>
      </c>
      <c r="B4969" s="82" t="str">
        <f ca="1">IFERROR(INDEX(UNSPSCDes,MATCH(INDIRECT(ADDRESS(ROW(),COLUMN()-1,4)),UNSPSCCode,0)),IF(INDIRECT(ADDRESS(ROW(),COLUMN()-1,4))="31211604","Diluyentes para pinturas",""))</f>
        <v>Diluyentes para pinturas</v>
      </c>
      <c r="C4969" s="95" t="str">
        <f>IFERROR(VLOOKUP("UD",'Informacion '!P:Q,2,FALSE),"")</f>
        <v>Unidad</v>
      </c>
      <c r="D4969" s="94">
        <v>10</v>
      </c>
      <c r="E4969" s="84">
        <v>688</v>
      </c>
      <c r="F4969" s="83">
        <f t="shared" ca="1" si="217"/>
        <v>6880</v>
      </c>
    </row>
    <row r="4970" spans="1:6" ht="14.1" customHeight="1" x14ac:dyDescent="0.25">
      <c r="A4970" s="94" t="s">
        <v>250</v>
      </c>
      <c r="B4970" s="82" t="str">
        <f ca="1">IFERROR(INDEX(UNSPSCDes,MATCH(INDIRECT(ADDRESS(ROW(),COLUMN()-1,4)),UNSPSCCode,0)),IF(INDIRECT(ADDRESS(ROW(),COLUMN()-1,4))="39121719","Protectores",""))</f>
        <v>Protectores</v>
      </c>
      <c r="C4970" s="95" t="str">
        <f>IFERROR(VLOOKUP("UD",'Informacion '!P:Q,2,FALSE),"")</f>
        <v>Unidad</v>
      </c>
      <c r="D4970" s="94">
        <v>6</v>
      </c>
      <c r="E4970" s="84">
        <v>800</v>
      </c>
      <c r="F4970" s="83">
        <f t="shared" ca="1" si="217"/>
        <v>4800</v>
      </c>
    </row>
    <row r="4971" spans="1:6" ht="14.1" customHeight="1" x14ac:dyDescent="0.25">
      <c r="A4971" s="94" t="s">
        <v>13983</v>
      </c>
      <c r="B4971" s="82" t="str">
        <f ca="1">IFERROR(INDEX(UNSPSCDes,MATCH(INDIRECT(ADDRESS(ROW(),COLUMN()-1,4)),UNSPSCCode,0)),IF(INDIRECT(ADDRESS(ROW(),COLUMN()-1,4))="23231001","Portaherramientas",""))</f>
        <v>Portaherramientas</v>
      </c>
      <c r="C4971" s="95" t="str">
        <f>IFERROR(VLOOKUP("UD",'Informacion '!P:Q,2,FALSE),"")</f>
        <v>Unidad</v>
      </c>
      <c r="D4971" s="94">
        <v>1</v>
      </c>
      <c r="E4971" s="84">
        <v>2000</v>
      </c>
      <c r="F4971" s="83">
        <f t="shared" ca="1" si="217"/>
        <v>2000</v>
      </c>
    </row>
    <row r="4972" spans="1:6" ht="14.1" customHeight="1" x14ac:dyDescent="0.25">
      <c r="A4972" s="94" t="s">
        <v>10418</v>
      </c>
      <c r="B4972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4972" s="95" t="str">
        <f>IFERROR(VLOOKUP("UD",'Informacion '!P:Q,2,FALSE),"")</f>
        <v>Unidad</v>
      </c>
      <c r="D4972" s="94">
        <v>5</v>
      </c>
      <c r="E4972" s="84">
        <v>100</v>
      </c>
      <c r="F4972" s="83">
        <f t="shared" ca="1" si="217"/>
        <v>500</v>
      </c>
    </row>
    <row r="4973" spans="1:6" ht="14.1" customHeight="1" x14ac:dyDescent="0.25">
      <c r="A4973" s="94" t="s">
        <v>10418</v>
      </c>
      <c r="B4973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4973" s="95" t="str">
        <f>IFERROR(VLOOKUP("UD",'Informacion '!P:Q,2,FALSE),"")</f>
        <v>Unidad</v>
      </c>
      <c r="D4973" s="94">
        <v>20</v>
      </c>
      <c r="E4973" s="84">
        <v>100</v>
      </c>
      <c r="F4973" s="83">
        <f t="shared" ca="1" si="217"/>
        <v>2000</v>
      </c>
    </row>
    <row r="4974" spans="1:6" ht="14.1" customHeight="1" x14ac:dyDescent="0.25">
      <c r="A4974" s="94" t="s">
        <v>12654</v>
      </c>
      <c r="B4974" s="82" t="str">
        <f ca="1">IFERROR(INDEX(UNSPSCDes,MATCH(INDIRECT(ADDRESS(ROW(),COLUMN()-1,4)),UNSPSCCode,0)),IF(INDIRECT(ADDRESS(ROW(),COLUMN()-1,4))="42241811","Faja para hernias",""))</f>
        <v>Faja para hernias</v>
      </c>
      <c r="C4974" s="95" t="str">
        <f>IFERROR(VLOOKUP("UD",'Informacion '!P:Q,2,FALSE),"")</f>
        <v>Unidad</v>
      </c>
      <c r="D4974" s="94">
        <v>6</v>
      </c>
      <c r="E4974" s="84">
        <v>500</v>
      </c>
      <c r="F4974" s="83">
        <f t="shared" ca="1" si="217"/>
        <v>3000</v>
      </c>
    </row>
    <row r="4975" spans="1:6" ht="14.1" customHeight="1" x14ac:dyDescent="0.25">
      <c r="A4975" s="94" t="s">
        <v>2670</v>
      </c>
      <c r="B4975" s="82" t="str">
        <f ca="1">IFERROR(INDEX(UNSPSCDes,MATCH(INDIRECT(ADDRESS(ROW(),COLUMN()-1,4)),UNSPSCCode,0)),IF(INDIRECT(ADDRESS(ROW(),COLUMN()-1,4))="46181811","Lentes protectores",""))</f>
        <v>Lentes protectores</v>
      </c>
      <c r="C4975" s="95" t="str">
        <f>IFERROR(VLOOKUP("UD",'Informacion '!P:Q,2,FALSE),"")</f>
        <v>Unidad</v>
      </c>
      <c r="D4975" s="94">
        <v>7</v>
      </c>
      <c r="E4975" s="84">
        <v>300</v>
      </c>
      <c r="F4975" s="83">
        <f t="shared" ca="1" si="217"/>
        <v>2100</v>
      </c>
    </row>
    <row r="4976" spans="1:6" ht="14.1" customHeight="1" x14ac:dyDescent="0.25">
      <c r="A4976" s="94" t="s">
        <v>10929</v>
      </c>
      <c r="B4976" s="82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4976" s="95" t="str">
        <f>IFERROR(VLOOKUP("UD",'Informacion '!P:Q,2,FALSE),"")</f>
        <v>Unidad</v>
      </c>
      <c r="D4976" s="94">
        <v>3</v>
      </c>
      <c r="E4976" s="84">
        <v>1000</v>
      </c>
      <c r="F4976" s="83">
        <f t="shared" ca="1" si="217"/>
        <v>3000</v>
      </c>
    </row>
    <row r="4977" spans="1:10" ht="14.1" customHeight="1" x14ac:dyDescent="0.25">
      <c r="A4977" s="94" t="s">
        <v>13464</v>
      </c>
      <c r="B4977" s="82" t="str">
        <f ca="1">IFERROR(INDEX(UNSPSCDes,MATCH(INDIRECT(ADDRESS(ROW(),COLUMN()-1,4)),UNSPSCCode,0)),IF(INDIRECT(ADDRESS(ROW(),COLUMN()-1,4))="53102710","Uniformes corporativos",""))</f>
        <v>Uniformes corporativos</v>
      </c>
      <c r="C4977" s="95" t="str">
        <f>IFERROR(VLOOKUP("UD",'Informacion '!P:Q,2,FALSE),"")</f>
        <v>Unidad</v>
      </c>
      <c r="D4977" s="94">
        <v>6</v>
      </c>
      <c r="E4977" s="84">
        <v>1200</v>
      </c>
      <c r="F4977" s="83">
        <f t="shared" ca="1" si="217"/>
        <v>7200</v>
      </c>
    </row>
    <row r="4978" spans="1:10" ht="14.1" customHeight="1" x14ac:dyDescent="0.25">
      <c r="A4978" s="94" t="s">
        <v>13464</v>
      </c>
      <c r="B4978" s="82" t="str">
        <f ca="1">IFERROR(INDEX(UNSPSCDes,MATCH(INDIRECT(ADDRESS(ROW(),COLUMN()-1,4)),UNSPSCCode,0)),IF(INDIRECT(ADDRESS(ROW(),COLUMN()-1,4))="53102710","Uniformes corporativos",""))</f>
        <v>Uniformes corporativos</v>
      </c>
      <c r="C4978" s="95" t="str">
        <f>IFERROR(VLOOKUP("UD",'Informacion '!P:Q,2,FALSE),"")</f>
        <v>Unidad</v>
      </c>
      <c r="D4978" s="94">
        <v>17</v>
      </c>
      <c r="E4978" s="84">
        <v>650</v>
      </c>
      <c r="F4978" s="83">
        <f t="shared" ca="1" si="217"/>
        <v>11050</v>
      </c>
    </row>
    <row r="4979" spans="1:10" ht="14.1" customHeight="1" x14ac:dyDescent="0.25">
      <c r="A4979" s="94" t="s">
        <v>13464</v>
      </c>
      <c r="B4979" s="82" t="str">
        <f ca="1">IFERROR(INDEX(UNSPSCDes,MATCH(INDIRECT(ADDRESS(ROW(),COLUMN()-1,4)),UNSPSCCode,0)),IF(INDIRECT(ADDRESS(ROW(),COLUMN()-1,4))="53102710","Uniformes corporativos",""))</f>
        <v>Uniformes corporativos</v>
      </c>
      <c r="C4979" s="95" t="str">
        <f>IFERROR(VLOOKUP("UD",'Informacion '!P:Q,2,FALSE),"")</f>
        <v>Unidad</v>
      </c>
      <c r="D4979" s="94">
        <v>6</v>
      </c>
      <c r="E4979" s="84">
        <v>800</v>
      </c>
      <c r="F4979" s="83">
        <f t="shared" ca="1" si="217"/>
        <v>4800</v>
      </c>
    </row>
    <row r="4980" spans="1:10" ht="14.1" customHeight="1" x14ac:dyDescent="0.25">
      <c r="A4980" s="94" t="s">
        <v>14099</v>
      </c>
      <c r="B4980" s="82" t="str">
        <f ca="1">IFERROR(INDEX(UNSPSCDes,MATCH(INDIRECT(ADDRESS(ROW(),COLUMN()-1,4)),UNSPSCCode,0)),IF(INDIRECT(ADDRESS(ROW(),COLUMN()-1,4))="23153020","Guía de cinta",""))</f>
        <v>Guía de cinta</v>
      </c>
      <c r="C4980" s="95" t="str">
        <f>IFERROR(VLOOKUP("UD",'Informacion '!P:Q,2,FALSE),"")</f>
        <v>Unidad</v>
      </c>
      <c r="D4980" s="94">
        <v>3</v>
      </c>
      <c r="E4980" s="84">
        <v>785</v>
      </c>
      <c r="F4980" s="83">
        <f t="shared" ca="1" si="217"/>
        <v>2355</v>
      </c>
    </row>
    <row r="4981" spans="1:10" ht="14.1" customHeight="1" x14ac:dyDescent="0.25">
      <c r="A4981" s="94" t="s">
        <v>7608</v>
      </c>
      <c r="B4981" s="82" t="str">
        <f ca="1">IFERROR(INDEX(UNSPSCDes,MATCH(INDIRECT(ADDRESS(ROW(),COLUMN()-1,4)),UNSPSCCode,0)),IF(INDIRECT(ADDRESS(ROW(),COLUMN()-1,4))="14121809","Papel de enmascarar",""))</f>
        <v>Papel de enmascarar</v>
      </c>
      <c r="C4981" s="95" t="str">
        <f>IFERROR(VLOOKUP("CAJ",'Informacion '!P:Q,2,FALSE),"")</f>
        <v>Caja</v>
      </c>
      <c r="D4981" s="94">
        <v>3</v>
      </c>
      <c r="E4981" s="84">
        <v>500</v>
      </c>
      <c r="F4981" s="83">
        <f t="shared" ref="F4981:F4989" ca="1" si="219">INDIRECT(ADDRESS(ROW(),COLUMN()-2,4))*INDIRECT(ADDRESS(ROW(),COLUMN()-1,4))</f>
        <v>1500</v>
      </c>
    </row>
    <row r="4982" spans="1:10" ht="14.1" customHeight="1" x14ac:dyDescent="0.25">
      <c r="A4982" s="94" t="s">
        <v>9956</v>
      </c>
      <c r="B4982" s="82" t="str">
        <f ca="1">IFERROR(INDEX(UNSPSCDes,MATCH(INDIRECT(ADDRESS(ROW(),COLUMN()-1,4)),UNSPSCCode,0)),IF(INDIRECT(ADDRESS(ROW(),COLUMN()-1,4))="20121417","Colgadores de línea",""))</f>
        <v>Colgadores de línea</v>
      </c>
      <c r="C4982" s="95" t="str">
        <f>IFERROR(VLOOKUP("UD",'Informacion '!P:Q,2,FALSE),"")</f>
        <v>Unidad</v>
      </c>
      <c r="D4982" s="94">
        <v>15</v>
      </c>
      <c r="E4982" s="84">
        <v>250</v>
      </c>
      <c r="F4982" s="83">
        <f t="shared" ca="1" si="219"/>
        <v>3750</v>
      </c>
    </row>
    <row r="4983" spans="1:10" ht="14.1" customHeight="1" x14ac:dyDescent="0.25">
      <c r="A4983" s="94" t="s">
        <v>11318</v>
      </c>
      <c r="B4983" s="82" t="str">
        <f ca="1">IFERROR(INDEX(UNSPSCDes,MATCH(INDIRECT(ADDRESS(ROW(),COLUMN()-1,4)),UNSPSCCode,0)),IF(INDIRECT(ADDRESS(ROW(),COLUMN()-1,4))="30181509","Plato del jabón",""))</f>
        <v>Plato del jabón</v>
      </c>
      <c r="C4983" s="95" t="str">
        <f>IFERROR(VLOOKUP("UD",'Informacion '!P:Q,2,FALSE),"")</f>
        <v>Unidad</v>
      </c>
      <c r="D4983" s="94">
        <v>10</v>
      </c>
      <c r="E4983" s="84">
        <v>550</v>
      </c>
      <c r="F4983" s="83">
        <f t="shared" ca="1" si="219"/>
        <v>5500</v>
      </c>
    </row>
    <row r="4984" spans="1:10" ht="14.1" customHeight="1" x14ac:dyDescent="0.25">
      <c r="A4984" s="94" t="s">
        <v>4615</v>
      </c>
      <c r="B4984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4984" s="95" t="str">
        <f>IFERROR(VLOOKUP("UD",'Informacion '!P:Q,2,FALSE),"")</f>
        <v>Unidad</v>
      </c>
      <c r="D4984" s="94">
        <v>1</v>
      </c>
      <c r="E4984" s="84">
        <v>500000</v>
      </c>
      <c r="F4984" s="83">
        <f t="shared" ca="1" si="219"/>
        <v>500000</v>
      </c>
    </row>
    <row r="4985" spans="1:10" ht="14.1" customHeight="1" x14ac:dyDescent="0.25">
      <c r="A4985" s="94" t="s">
        <v>8318</v>
      </c>
      <c r="B4985" s="82" t="str">
        <f ca="1">IFERROR(INDEX(UNSPSCDes,MATCH(INDIRECT(ADDRESS(ROW(),COLUMN()-1,4)),UNSPSCCode,0)),IF(INDIRECT(ADDRESS(ROW(),COLUMN()-1,4))="83112402","Servicios de redes digitales de servicios integrados (isdn)",""))</f>
        <v>Servicios de redes digitales de servicios integrados (isdn)</v>
      </c>
      <c r="C4985" s="95" t="str">
        <f>IFERROR(VLOOKUP("UD",'Informacion '!P:Q,2,FALSE),"")</f>
        <v>Unidad</v>
      </c>
      <c r="D4985" s="94">
        <v>1</v>
      </c>
      <c r="E4985" s="84">
        <v>150000</v>
      </c>
      <c r="F4985" s="83">
        <f t="shared" ca="1" si="219"/>
        <v>150000</v>
      </c>
    </row>
    <row r="4986" spans="1:10" ht="14.1" customHeight="1" x14ac:dyDescent="0.25">
      <c r="A4986" s="94" t="s">
        <v>2688</v>
      </c>
      <c r="B4986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4986" s="95" t="str">
        <f>IFERROR(VLOOKUP("M2",'Informacion '!P:Q,2,FALSE),"")</f>
        <v>Metro cuadrado</v>
      </c>
      <c r="D4986" s="94">
        <v>1500</v>
      </c>
      <c r="E4986" s="84">
        <v>600</v>
      </c>
      <c r="F4986" s="83">
        <f t="shared" ca="1" si="219"/>
        <v>900000</v>
      </c>
    </row>
    <row r="4987" spans="1:10" ht="14.1" customHeight="1" x14ac:dyDescent="0.25">
      <c r="A4987" s="94" t="s">
        <v>96</v>
      </c>
      <c r="B4987" s="82" t="str">
        <f ca="1">IFERROR(INDEX(UNSPSCDes,MATCH(INDIRECT(ADDRESS(ROW(),COLUMN()-1,4)),UNSPSCCode,0)),IF(INDIRECT(ADDRESS(ROW(),COLUMN()-1,4))="12352206","Tejidos",""))</f>
        <v>Tejidos</v>
      </c>
      <c r="C4987" s="95" t="str">
        <f>IFERROR(VLOOKUP("UD",'Informacion '!P:Q,2,FALSE),"")</f>
        <v>Unidad</v>
      </c>
      <c r="D4987" s="94">
        <v>1</v>
      </c>
      <c r="E4987" s="84">
        <v>3300000</v>
      </c>
      <c r="F4987" s="83">
        <f t="shared" ca="1" si="219"/>
        <v>3300000</v>
      </c>
    </row>
    <row r="4988" spans="1:10" ht="14.1" customHeight="1" x14ac:dyDescent="0.25">
      <c r="A4988" s="94" t="s">
        <v>11208</v>
      </c>
      <c r="B4988" s="82" t="str">
        <f ca="1">IFERROR(INDEX(UNSPSCDes,MATCH(INDIRECT(ADDRESS(ROW(),COLUMN()-1,4)),UNSPSCCode,0)),IF(INDIRECT(ADDRESS(ROW(),COLUMN()-1,4))="30171705","Vidrio laminado",""))</f>
        <v>Vidrio laminado</v>
      </c>
      <c r="C4988" s="95" t="str">
        <f>IFERROR(VLOOKUP("FT2",'Informacion '!P:Q,2,FALSE),"")</f>
        <v>Pie cuadrado</v>
      </c>
      <c r="D4988" s="94">
        <v>150</v>
      </c>
      <c r="E4988" s="84">
        <v>150</v>
      </c>
      <c r="F4988" s="83">
        <f t="shared" ca="1" si="219"/>
        <v>22500</v>
      </c>
    </row>
    <row r="4989" spans="1:10" ht="14.1" customHeight="1" x14ac:dyDescent="0.25">
      <c r="A4989" s="94" t="s">
        <v>6316</v>
      </c>
      <c r="B4989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4989" s="95" t="str">
        <f>IFERROR(VLOOKUP("UD",'Informacion '!P:Q,2,FALSE),"")</f>
        <v>Unidad</v>
      </c>
      <c r="D4989" s="94">
        <v>1</v>
      </c>
      <c r="E4989" s="84">
        <v>300000</v>
      </c>
      <c r="F4989" s="83">
        <f t="shared" ca="1" si="219"/>
        <v>300000</v>
      </c>
    </row>
    <row r="4990" spans="1:10" ht="14.1" customHeight="1" x14ac:dyDescent="0.25">
      <c r="E4990" s="96" t="s">
        <v>7213</v>
      </c>
      <c r="F4990" s="87">
        <f ca="1">SUM(Table129[MONTO TOTAL ESTIMADO])</f>
        <v>7475112</v>
      </c>
      <c r="H4990" s="39" t="str">
        <f>C4846</f>
        <v>Bienes</v>
      </c>
      <c r="I4990" s="39" t="str">
        <f>E4846</f>
        <v>No</v>
      </c>
      <c r="J4990" s="39" t="str">
        <f>D4846</f>
        <v>Compras Menores</v>
      </c>
    </row>
    <row r="4992" spans="1:10" ht="33.950000000000003" customHeight="1" x14ac:dyDescent="0.25">
      <c r="A4992" s="77" t="s">
        <v>17233</v>
      </c>
      <c r="B4992" s="77" t="s">
        <v>4237</v>
      </c>
      <c r="C4992" s="77" t="s">
        <v>4743</v>
      </c>
      <c r="D4992" s="77" t="s">
        <v>9891</v>
      </c>
      <c r="E4992" s="77" t="s">
        <v>3089</v>
      </c>
      <c r="F4992" s="77" t="s">
        <v>18141</v>
      </c>
    </row>
    <row r="4993" spans="1:6" ht="14.1" customHeight="1" x14ac:dyDescent="0.25">
      <c r="A4993" s="79" t="s">
        <v>2391</v>
      </c>
      <c r="B4993" s="79" t="s">
        <v>10353</v>
      </c>
      <c r="C4993" s="79" t="s">
        <v>17215</v>
      </c>
      <c r="D4993" s="79" t="s">
        <v>17798</v>
      </c>
      <c r="E4993" s="79" t="s">
        <v>18247</v>
      </c>
      <c r="F4993" s="79"/>
    </row>
    <row r="4994" spans="1:6" ht="14.1" customHeight="1" x14ac:dyDescent="0.25">
      <c r="A4994" s="2" t="s">
        <v>6643</v>
      </c>
      <c r="B4994" s="80" t="s">
        <v>1046</v>
      </c>
      <c r="C4994" s="90">
        <v>43556</v>
      </c>
      <c r="D4994" s="2" t="s">
        <v>59</v>
      </c>
      <c r="E4994" s="92" t="s">
        <v>20066</v>
      </c>
      <c r="F4994" s="93"/>
    </row>
    <row r="4995" spans="1:6" ht="14.1" customHeight="1" x14ac:dyDescent="0.25">
      <c r="A4995" s="1"/>
      <c r="B4995" s="80" t="s">
        <v>10788</v>
      </c>
      <c r="C4995" s="91">
        <f>IF(C4994="","",IF(AND(MONTH(C4994)&gt;=1,MONTH(C4994)&lt;=3),1,IF(AND(MONTH(C4994)&gt;=4,MONTH(C4994)&lt;=6),2,IF(AND(MONTH(C4994)&gt;=7,MONTH(C4994)&lt;=9),3,4))))</f>
        <v>2</v>
      </c>
      <c r="D4995" s="1"/>
      <c r="E4995" s="92" t="s">
        <v>14822</v>
      </c>
      <c r="F4995" s="93"/>
    </row>
    <row r="4996" spans="1:6" ht="14.1" customHeight="1" x14ac:dyDescent="0.25">
      <c r="A4996" s="1"/>
      <c r="B4996" s="80" t="s">
        <v>13758</v>
      </c>
      <c r="C4996" s="90">
        <v>43644</v>
      </c>
      <c r="D4996" s="1"/>
      <c r="E4996" s="92" t="s">
        <v>18636</v>
      </c>
      <c r="F4996" s="93"/>
    </row>
    <row r="4997" spans="1:6" ht="14.1" customHeight="1" x14ac:dyDescent="0.25">
      <c r="A4997" s="1"/>
      <c r="B4997" s="80" t="s">
        <v>10788</v>
      </c>
      <c r="C4997" s="91">
        <f>IF(C4996="","",IF(AND(MONTH(C4996)&gt;=1,MONTH(C4996)&lt;=3),1,IF(AND(MONTH(C4996)&gt;=4,MONTH(C4996)&lt;=6),2,IF(AND(MONTH(C4996)&gt;=7,MONTH(C4996)&lt;=9),3,4))))</f>
        <v>2</v>
      </c>
      <c r="D4997" s="1"/>
      <c r="E4997" s="92" t="s">
        <v>15990</v>
      </c>
      <c r="F4997" s="93"/>
    </row>
    <row r="4999" spans="1:6" ht="14.1" customHeight="1" x14ac:dyDescent="0.25">
      <c r="A4999" s="85" t="s">
        <v>15474</v>
      </c>
      <c r="B4999" s="85" t="s">
        <v>5027</v>
      </c>
      <c r="C4999" s="85" t="s">
        <v>17461</v>
      </c>
      <c r="D4999" s="85" t="s">
        <v>3935</v>
      </c>
      <c r="E4999" s="85" t="s">
        <v>10722</v>
      </c>
      <c r="F4999" s="85" t="s">
        <v>18237</v>
      </c>
    </row>
    <row r="5000" spans="1:6" ht="14.1" customHeight="1" x14ac:dyDescent="0.25">
      <c r="A5000" s="94" t="s">
        <v>3569</v>
      </c>
      <c r="B5000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5000" s="95" t="str">
        <f>IFERROR(VLOOKUP("UD",'Informacion '!P:Q,2,FALSE),"")</f>
        <v>Unidad</v>
      </c>
      <c r="D5000" s="94">
        <v>20</v>
      </c>
      <c r="E5000" s="84">
        <v>9000</v>
      </c>
      <c r="F5000" s="83">
        <f t="shared" ref="F5000:F5031" ca="1" si="220">INDIRECT(ADDRESS(ROW(),COLUMN()-2,4))*INDIRECT(ADDRESS(ROW(),COLUMN()-1,4))</f>
        <v>180000</v>
      </c>
    </row>
    <row r="5001" spans="1:6" ht="14.1" customHeight="1" x14ac:dyDescent="0.25">
      <c r="A5001" s="94" t="s">
        <v>7657</v>
      </c>
      <c r="B5001" s="82" t="str">
        <f ca="1">IFERROR(INDEX(UNSPSCDes,MATCH(INDIRECT(ADDRESS(ROW(),COLUMN()-1,4)),UNSPSCCode,0)),IF(INDIRECT(ADDRESS(ROW(),COLUMN()-1,4))="10171504","Abono",""))</f>
        <v>Abono</v>
      </c>
      <c r="C5001" s="95" t="str">
        <f>IFERROR(VLOOKUP("UD",'Informacion '!P:Q,2,FALSE),"")</f>
        <v>Unidad</v>
      </c>
      <c r="D5001" s="94">
        <v>1</v>
      </c>
      <c r="E5001" s="84">
        <v>2500</v>
      </c>
      <c r="F5001" s="83">
        <f t="shared" ca="1" si="220"/>
        <v>2500</v>
      </c>
    </row>
    <row r="5002" spans="1:6" ht="14.1" customHeight="1" x14ac:dyDescent="0.25">
      <c r="A5002" s="94" t="s">
        <v>10572</v>
      </c>
      <c r="B5002" s="82" t="str">
        <f ca="1">IFERROR(INDEX(UNSPSCDes,MATCH(INDIRECT(ADDRESS(ROW(),COLUMN()-1,4)),UNSPSCCode,0)),IF(INDIRECT(ADDRESS(ROW(),COLUMN()-1,4))="10191509","Insecticidas",""))</f>
        <v>Insecticidas</v>
      </c>
      <c r="C5002" s="95" t="str">
        <f>IFERROR(VLOOKUP("UD",'Informacion '!P:Q,2,FALSE),"")</f>
        <v>Unidad</v>
      </c>
      <c r="D5002" s="94">
        <v>3</v>
      </c>
      <c r="E5002" s="84">
        <v>1380</v>
      </c>
      <c r="F5002" s="83">
        <f t="shared" ca="1" si="220"/>
        <v>4140</v>
      </c>
    </row>
    <row r="5003" spans="1:6" ht="14.1" customHeight="1" x14ac:dyDescent="0.25">
      <c r="A5003" s="94" t="s">
        <v>9545</v>
      </c>
      <c r="B5003" s="82" t="str">
        <f ca="1">IFERROR(INDEX(UNSPSCDes,MATCH(INDIRECT(ADDRESS(ROW(),COLUMN()-1,4)),UNSPSCCode,0)),IF(INDIRECT(ADDRESS(ROW(),COLUMN()-1,4))="23101512","Sierras mecánicas",""))</f>
        <v>Sierras mecánicas</v>
      </c>
      <c r="C5003" s="95" t="str">
        <f>IFERROR(VLOOKUP("UD",'Informacion '!P:Q,2,FALSE),"")</f>
        <v>Unidad</v>
      </c>
      <c r="D5003" s="94">
        <v>10</v>
      </c>
      <c r="E5003" s="84">
        <v>55</v>
      </c>
      <c r="F5003" s="83">
        <f t="shared" ca="1" si="220"/>
        <v>550</v>
      </c>
    </row>
    <row r="5004" spans="1:6" ht="14.1" customHeight="1" x14ac:dyDescent="0.25">
      <c r="A5004" s="94" t="s">
        <v>2724</v>
      </c>
      <c r="B5004" s="82" t="str">
        <f ca="1">IFERROR(INDEX(UNSPSCDes,MATCH(INDIRECT(ADDRESS(ROW(),COLUMN()-1,4)),UNSPSCCode,0)),IF(INDIRECT(ADDRESS(ROW(),COLUMN()-1,4))="31211904","Brochas",""))</f>
        <v>Brochas</v>
      </c>
      <c r="C5004" s="95" t="str">
        <f>IFERROR(VLOOKUP("UD",'Informacion '!P:Q,2,FALSE),"")</f>
        <v>Unidad</v>
      </c>
      <c r="D5004" s="94">
        <v>10</v>
      </c>
      <c r="E5004" s="84">
        <v>200</v>
      </c>
      <c r="F5004" s="83">
        <f t="shared" ca="1" si="220"/>
        <v>2000</v>
      </c>
    </row>
    <row r="5005" spans="1:6" ht="14.1" customHeight="1" x14ac:dyDescent="0.25">
      <c r="A5005" s="94" t="s">
        <v>2724</v>
      </c>
      <c r="B5005" s="82" t="str">
        <f ca="1">IFERROR(INDEX(UNSPSCDes,MATCH(INDIRECT(ADDRESS(ROW(),COLUMN()-1,4)),UNSPSCCode,0)),IF(INDIRECT(ADDRESS(ROW(),COLUMN()-1,4))="31211904","Brochas",""))</f>
        <v>Brochas</v>
      </c>
      <c r="C5005" s="95" t="str">
        <f>IFERROR(VLOOKUP("UD",'Informacion '!P:Q,2,FALSE),"")</f>
        <v>Unidad</v>
      </c>
      <c r="D5005" s="94">
        <v>3</v>
      </c>
      <c r="E5005" s="84">
        <v>100</v>
      </c>
      <c r="F5005" s="83">
        <f t="shared" ca="1" si="220"/>
        <v>300</v>
      </c>
    </row>
    <row r="5006" spans="1:6" ht="14.1" customHeight="1" x14ac:dyDescent="0.25">
      <c r="A5006" s="94" t="s">
        <v>2724</v>
      </c>
      <c r="B5006" s="82" t="str">
        <f ca="1">IFERROR(INDEX(UNSPSCDes,MATCH(INDIRECT(ADDRESS(ROW(),COLUMN()-1,4)),UNSPSCCode,0)),IF(INDIRECT(ADDRESS(ROW(),COLUMN()-1,4))="31211904","Brochas",""))</f>
        <v>Brochas</v>
      </c>
      <c r="C5006" s="95" t="str">
        <f>IFERROR(VLOOKUP("UD",'Informacion '!P:Q,2,FALSE),"")</f>
        <v>Unidad</v>
      </c>
      <c r="D5006" s="94">
        <v>10</v>
      </c>
      <c r="E5006" s="84">
        <v>250</v>
      </c>
      <c r="F5006" s="83">
        <f t="shared" ca="1" si="220"/>
        <v>2500</v>
      </c>
    </row>
    <row r="5007" spans="1:6" ht="14.1" customHeight="1" x14ac:dyDescent="0.25">
      <c r="A5007" s="94" t="s">
        <v>5963</v>
      </c>
      <c r="B5007" s="82" t="str">
        <f ca="1">IFERROR(INDEX(UNSPSCDes,MATCH(INDIRECT(ADDRESS(ROW(),COLUMN()-1,4)),UNSPSCCode,0)),IF(INDIRECT(ADDRESS(ROW(),COLUMN()-1,4))="27111909","Espátulas",""))</f>
        <v>Espátulas</v>
      </c>
      <c r="C5007" s="95" t="str">
        <f>IFERROR(VLOOKUP("UD",'Informacion '!P:Q,2,FALSE),"")</f>
        <v>Unidad</v>
      </c>
      <c r="D5007" s="94">
        <v>4</v>
      </c>
      <c r="E5007" s="84">
        <v>250</v>
      </c>
      <c r="F5007" s="83">
        <f t="shared" ca="1" si="220"/>
        <v>1000</v>
      </c>
    </row>
    <row r="5008" spans="1:6" ht="14.1" customHeight="1" x14ac:dyDescent="0.25">
      <c r="A5008" s="94" t="s">
        <v>5963</v>
      </c>
      <c r="B5008" s="82" t="str">
        <f ca="1">IFERROR(INDEX(UNSPSCDes,MATCH(INDIRECT(ADDRESS(ROW(),COLUMN()-1,4)),UNSPSCCode,0)),IF(INDIRECT(ADDRESS(ROW(),COLUMN()-1,4))="27111909","Espátulas",""))</f>
        <v>Espátulas</v>
      </c>
      <c r="C5008" s="95" t="str">
        <f>IFERROR(VLOOKUP("UD",'Informacion '!P:Q,2,FALSE),"")</f>
        <v>Unidad</v>
      </c>
      <c r="D5008" s="94">
        <v>4</v>
      </c>
      <c r="E5008" s="84">
        <v>100</v>
      </c>
      <c r="F5008" s="83">
        <f t="shared" ca="1" si="220"/>
        <v>400</v>
      </c>
    </row>
    <row r="5009" spans="1:6" ht="14.1" customHeight="1" x14ac:dyDescent="0.25">
      <c r="A5009" s="94" t="s">
        <v>7231</v>
      </c>
      <c r="B5009" s="82" t="str">
        <f ca="1">IFERROR(INDEX(UNSPSCDes,MATCH(INDIRECT(ADDRESS(ROW(),COLUMN()-1,4)),UNSPSCCode,0)),IF(INDIRECT(ADDRESS(ROW(),COLUMN()-1,4))="27111509","Barrenas",""))</f>
        <v>Barrenas</v>
      </c>
      <c r="C5009" s="95" t="str">
        <f>IFERROR(VLOOKUP("UD",'Informacion '!P:Q,2,FALSE),"")</f>
        <v>Unidad</v>
      </c>
      <c r="D5009" s="94">
        <v>1</v>
      </c>
      <c r="E5009" s="84">
        <v>1800</v>
      </c>
      <c r="F5009" s="83">
        <f t="shared" ca="1" si="220"/>
        <v>1800</v>
      </c>
    </row>
    <row r="5010" spans="1:6" ht="14.1" customHeight="1" x14ac:dyDescent="0.25">
      <c r="A5010" s="94" t="s">
        <v>7231</v>
      </c>
      <c r="B5010" s="82" t="str">
        <f ca="1">IFERROR(INDEX(UNSPSCDes,MATCH(INDIRECT(ADDRESS(ROW(),COLUMN()-1,4)),UNSPSCCode,0)),IF(INDIRECT(ADDRESS(ROW(),COLUMN()-1,4))="27111509","Barrenas",""))</f>
        <v>Barrenas</v>
      </c>
      <c r="C5010" s="95" t="str">
        <f>IFERROR(VLOOKUP("UD",'Informacion '!P:Q,2,FALSE),"")</f>
        <v>Unidad</v>
      </c>
      <c r="D5010" s="94">
        <v>1</v>
      </c>
      <c r="E5010" s="84">
        <v>1500</v>
      </c>
      <c r="F5010" s="83">
        <f t="shared" ca="1" si="220"/>
        <v>1500</v>
      </c>
    </row>
    <row r="5011" spans="1:6" ht="14.1" customHeight="1" x14ac:dyDescent="0.25">
      <c r="A5011" s="94" t="s">
        <v>7231</v>
      </c>
      <c r="B5011" s="82" t="str">
        <f ca="1">IFERROR(INDEX(UNSPSCDes,MATCH(INDIRECT(ADDRESS(ROW(),COLUMN()-1,4)),UNSPSCCode,0)),IF(INDIRECT(ADDRESS(ROW(),COLUMN()-1,4))="27111509","Barrenas",""))</f>
        <v>Barrenas</v>
      </c>
      <c r="C5011" s="95" t="str">
        <f>IFERROR(VLOOKUP("UD",'Informacion '!P:Q,2,FALSE),"")</f>
        <v>Unidad</v>
      </c>
      <c r="D5011" s="94">
        <v>1</v>
      </c>
      <c r="E5011" s="84">
        <v>1500</v>
      </c>
      <c r="F5011" s="83">
        <f t="shared" ca="1" si="220"/>
        <v>1500</v>
      </c>
    </row>
    <row r="5012" spans="1:6" ht="14.1" customHeight="1" x14ac:dyDescent="0.25">
      <c r="A5012" s="94" t="s">
        <v>7231</v>
      </c>
      <c r="B5012" s="82" t="str">
        <f ca="1">IFERROR(INDEX(UNSPSCDes,MATCH(INDIRECT(ADDRESS(ROW(),COLUMN()-1,4)),UNSPSCCode,0)),IF(INDIRECT(ADDRESS(ROW(),COLUMN()-1,4))="27111509","Barrenas",""))</f>
        <v>Barrenas</v>
      </c>
      <c r="C5012" s="95" t="str">
        <f>IFERROR(VLOOKUP("UD",'Informacion '!P:Q,2,FALSE),"")</f>
        <v>Unidad</v>
      </c>
      <c r="D5012" s="94">
        <v>1</v>
      </c>
      <c r="E5012" s="84">
        <v>1000</v>
      </c>
      <c r="F5012" s="83">
        <f t="shared" ca="1" si="220"/>
        <v>1000</v>
      </c>
    </row>
    <row r="5013" spans="1:6" ht="14.1" customHeight="1" x14ac:dyDescent="0.25">
      <c r="A5013" s="94" t="s">
        <v>7231</v>
      </c>
      <c r="B5013" s="82" t="str">
        <f ca="1">IFERROR(INDEX(UNSPSCDes,MATCH(INDIRECT(ADDRESS(ROW(),COLUMN()-1,4)),UNSPSCCode,0)),IF(INDIRECT(ADDRESS(ROW(),COLUMN()-1,4))="27111509","Barrenas",""))</f>
        <v>Barrenas</v>
      </c>
      <c r="C5013" s="95" t="str">
        <f>IFERROR(VLOOKUP("UD",'Informacion '!P:Q,2,FALSE),"")</f>
        <v>Unidad</v>
      </c>
      <c r="D5013" s="94">
        <v>6</v>
      </c>
      <c r="E5013" s="84">
        <v>50</v>
      </c>
      <c r="F5013" s="83">
        <f t="shared" ca="1" si="220"/>
        <v>300</v>
      </c>
    </row>
    <row r="5014" spans="1:6" ht="14.1" customHeight="1" x14ac:dyDescent="0.25">
      <c r="A5014" s="94" t="s">
        <v>4286</v>
      </c>
      <c r="B5014" s="82" t="str">
        <f ca="1">IFERROR(INDEX(UNSPSCDes,MATCH(INDIRECT(ADDRESS(ROW(),COLUMN()-1,4)),UNSPSCCode,0)),IF(INDIRECT(ADDRESS(ROW(),COLUMN()-1,4))="40142008","Mangueras de agua",""))</f>
        <v>Mangueras de agua</v>
      </c>
      <c r="C5014" s="95" t="str">
        <f>IFERROR(VLOOKUP("UD",'Informacion '!P:Q,2,FALSE),"")</f>
        <v>Unidad</v>
      </c>
      <c r="D5014" s="94">
        <v>1</v>
      </c>
      <c r="E5014" s="84">
        <v>2500</v>
      </c>
      <c r="F5014" s="83">
        <f t="shared" ca="1" si="220"/>
        <v>2500</v>
      </c>
    </row>
    <row r="5015" spans="1:6" ht="14.1" customHeight="1" x14ac:dyDescent="0.25">
      <c r="A5015" s="94" t="s">
        <v>7136</v>
      </c>
      <c r="B5015" s="82" t="str">
        <f ca="1">IFERROR(INDEX(UNSPSCDes,MATCH(INDIRECT(ADDRESS(ROW(),COLUMN()-1,4)),UNSPSCCode,0)),IF(INDIRECT(ADDRESS(ROW(),COLUMN()-1,4))="44121618","Tijeras",""))</f>
        <v>Tijeras</v>
      </c>
      <c r="C5015" s="95" t="str">
        <f>IFERROR(VLOOKUP("UD",'Informacion '!P:Q,2,FALSE),"")</f>
        <v>Unidad</v>
      </c>
      <c r="D5015" s="94">
        <v>1</v>
      </c>
      <c r="E5015" s="84">
        <v>1500</v>
      </c>
      <c r="F5015" s="83">
        <f t="shared" ca="1" si="220"/>
        <v>1500</v>
      </c>
    </row>
    <row r="5016" spans="1:6" ht="14.1" customHeight="1" x14ac:dyDescent="0.25">
      <c r="A5016" s="94" t="s">
        <v>7136</v>
      </c>
      <c r="B5016" s="82" t="str">
        <f ca="1">IFERROR(INDEX(UNSPSCDes,MATCH(INDIRECT(ADDRESS(ROW(),COLUMN()-1,4)),UNSPSCCode,0)),IF(INDIRECT(ADDRESS(ROW(),COLUMN()-1,4))="44121618","Tijeras",""))</f>
        <v>Tijeras</v>
      </c>
      <c r="C5016" s="95" t="str">
        <f>IFERROR(VLOOKUP("UD",'Informacion '!P:Q,2,FALSE),"")</f>
        <v>Unidad</v>
      </c>
      <c r="D5016" s="94">
        <v>2</v>
      </c>
      <c r="E5016" s="84">
        <v>2000</v>
      </c>
      <c r="F5016" s="83">
        <f t="shared" ca="1" si="220"/>
        <v>4000</v>
      </c>
    </row>
    <row r="5017" spans="1:6" ht="14.1" customHeight="1" x14ac:dyDescent="0.25">
      <c r="A5017" s="94" t="s">
        <v>12246</v>
      </c>
      <c r="B5017" s="82" t="str">
        <f ca="1">IFERROR(INDEX(UNSPSCDes,MATCH(INDIRECT(ADDRESS(ROW(),COLUMN()-1,4)),UNSPSCCode,0)),IF(INDIRECT(ADDRESS(ROW(),COLUMN()-1,4))="30111601","Cemento",""))</f>
        <v>Cemento</v>
      </c>
      <c r="C5017" s="95" t="str">
        <f>IFERROR(VLOOKUP("UD",'Informacion '!P:Q,2,FALSE),"")</f>
        <v>Unidad</v>
      </c>
      <c r="D5017" s="94">
        <v>1</v>
      </c>
      <c r="E5017" s="84">
        <v>781</v>
      </c>
      <c r="F5017" s="83">
        <f t="shared" ca="1" si="220"/>
        <v>781</v>
      </c>
    </row>
    <row r="5018" spans="1:6" ht="14.1" customHeight="1" x14ac:dyDescent="0.25">
      <c r="A5018" s="94" t="s">
        <v>13448</v>
      </c>
      <c r="B5018" s="82" t="str">
        <f ca="1">IFERROR(INDEX(UNSPSCDes,MATCH(INDIRECT(ADDRESS(ROW(),COLUMN()-1,4)),UNSPSCCode,0)),IF(INDIRECT(ADDRESS(ROW(),COLUMN()-1,4))="30201803","Unidades para contenedores",""))</f>
        <v>Unidades para contenedores</v>
      </c>
      <c r="C5018" s="95" t="str">
        <f>IFERROR(VLOOKUP("UD",'Informacion '!P:Q,2,FALSE),"")</f>
        <v>Unidad</v>
      </c>
      <c r="D5018" s="94">
        <v>10</v>
      </c>
      <c r="E5018" s="84">
        <v>4000</v>
      </c>
      <c r="F5018" s="83">
        <f t="shared" ca="1" si="220"/>
        <v>40000</v>
      </c>
    </row>
    <row r="5019" spans="1:6" ht="14.1" customHeight="1" x14ac:dyDescent="0.25">
      <c r="A5019" s="94" t="s">
        <v>13448</v>
      </c>
      <c r="B5019" s="82" t="str">
        <f ca="1">IFERROR(INDEX(UNSPSCDes,MATCH(INDIRECT(ADDRESS(ROW(),COLUMN()-1,4)),UNSPSCCode,0)),IF(INDIRECT(ADDRESS(ROW(),COLUMN()-1,4))="30201803","Unidades para contenedores",""))</f>
        <v>Unidades para contenedores</v>
      </c>
      <c r="C5019" s="95" t="str">
        <f>IFERROR(VLOOKUP("UD",'Informacion '!P:Q,2,FALSE),"")</f>
        <v>Unidad</v>
      </c>
      <c r="D5019" s="94">
        <v>10</v>
      </c>
      <c r="E5019" s="84">
        <v>1500</v>
      </c>
      <c r="F5019" s="83">
        <f t="shared" ca="1" si="220"/>
        <v>15000</v>
      </c>
    </row>
    <row r="5020" spans="1:6" ht="14.1" customHeight="1" x14ac:dyDescent="0.25">
      <c r="A5020" s="94" t="s">
        <v>7201</v>
      </c>
      <c r="B5020" s="82" t="str">
        <f ca="1">IFERROR(INDEX(UNSPSCDes,MATCH(INDIRECT(ADDRESS(ROW(),COLUMN()-1,4)),UNSPSCCode,0)),IF(INDIRECT(ADDRESS(ROW(),COLUMN()-1,4))="53102507","Ganchos para colgar la ropa",""))</f>
        <v>Ganchos para colgar la ropa</v>
      </c>
      <c r="C5020" s="95" t="str">
        <f>IFERROR(VLOOKUP("UD",'Informacion '!P:Q,2,FALSE),"")</f>
        <v>Unidad</v>
      </c>
      <c r="D5020" s="94">
        <v>200</v>
      </c>
      <c r="E5020" s="84">
        <v>120</v>
      </c>
      <c r="F5020" s="83">
        <f t="shared" ca="1" si="220"/>
        <v>24000</v>
      </c>
    </row>
    <row r="5021" spans="1:6" ht="14.1" customHeight="1" x14ac:dyDescent="0.25">
      <c r="A5021" s="94" t="s">
        <v>13945</v>
      </c>
      <c r="B5021" s="82" t="str">
        <f ca="1">IFERROR(INDEX(UNSPSCDes,MATCH(INDIRECT(ADDRESS(ROW(),COLUMN()-1,4)),UNSPSCCode,0)),IF(INDIRECT(ADDRESS(ROW(),COLUMN()-1,4))="70111501","Servicios de siembra de árboles, arbustos o plantas ornamentales",""))</f>
        <v>Servicios de siembra de árboles, arbustos o plantas ornamentales</v>
      </c>
      <c r="C5021" s="95" t="str">
        <f>IFERROR(VLOOKUP("UD",'Informacion '!P:Q,2,FALSE),"")</f>
        <v>Unidad</v>
      </c>
      <c r="D5021" s="94">
        <v>10</v>
      </c>
      <c r="E5021" s="84">
        <v>500</v>
      </c>
      <c r="F5021" s="83">
        <f t="shared" ca="1" si="220"/>
        <v>5000</v>
      </c>
    </row>
    <row r="5022" spans="1:6" ht="14.1" customHeight="1" x14ac:dyDescent="0.25">
      <c r="A5022" s="94" t="s">
        <v>13945</v>
      </c>
      <c r="B5022" s="82" t="str">
        <f ca="1">IFERROR(INDEX(UNSPSCDes,MATCH(INDIRECT(ADDRESS(ROW(),COLUMN()-1,4)),UNSPSCCode,0)),IF(INDIRECT(ADDRESS(ROW(),COLUMN()-1,4))="70111501","Servicios de siembra de árboles, arbustos o plantas ornamentales",""))</f>
        <v>Servicios de siembra de árboles, arbustos o plantas ornamentales</v>
      </c>
      <c r="C5022" s="95" t="str">
        <f>IFERROR(VLOOKUP("UD",'Informacion '!P:Q,2,FALSE),"")</f>
        <v>Unidad</v>
      </c>
      <c r="D5022" s="94">
        <v>10</v>
      </c>
      <c r="E5022" s="84">
        <v>2000</v>
      </c>
      <c r="F5022" s="83">
        <f t="shared" ca="1" si="220"/>
        <v>20000</v>
      </c>
    </row>
    <row r="5023" spans="1:6" ht="14.1" customHeight="1" x14ac:dyDescent="0.25">
      <c r="A5023" s="94" t="s">
        <v>19478</v>
      </c>
      <c r="B5023" s="82" t="str">
        <f ca="1">IFERROR(INDEX(UNSPSCDes,MATCH(INDIRECT(ADDRESS(ROW(),COLUMN()-1,4)),UNSPSCCode,0)),IF(INDIRECT(ADDRESS(ROW(),COLUMN()-1,4))="56112104","Sillas para ejecutivos",""))</f>
        <v>Sillas para ejecutivos</v>
      </c>
      <c r="C5023" s="95" t="str">
        <f>IFERROR(VLOOKUP("UD",'Informacion '!P:Q,2,FALSE),"")</f>
        <v>Unidad</v>
      </c>
      <c r="D5023" s="94">
        <v>2</v>
      </c>
      <c r="E5023" s="84">
        <v>12000</v>
      </c>
      <c r="F5023" s="83">
        <f t="shared" ca="1" si="220"/>
        <v>24000</v>
      </c>
    </row>
    <row r="5024" spans="1:6" ht="14.1" customHeight="1" x14ac:dyDescent="0.25">
      <c r="A5024" s="94" t="s">
        <v>19478</v>
      </c>
      <c r="B5024" s="82" t="str">
        <f ca="1">IFERROR(INDEX(UNSPSCDes,MATCH(INDIRECT(ADDRESS(ROW(),COLUMN()-1,4)),UNSPSCCode,0)),IF(INDIRECT(ADDRESS(ROW(),COLUMN()-1,4))="56112104","Sillas para ejecutivos",""))</f>
        <v>Sillas para ejecutivos</v>
      </c>
      <c r="C5024" s="95" t="str">
        <f>IFERROR(VLOOKUP("UD",'Informacion '!P:Q,2,FALSE),"")</f>
        <v>Unidad</v>
      </c>
      <c r="D5024" s="94">
        <v>4</v>
      </c>
      <c r="E5024" s="84">
        <v>10000</v>
      </c>
      <c r="F5024" s="83">
        <f t="shared" ca="1" si="220"/>
        <v>40000</v>
      </c>
    </row>
    <row r="5025" spans="1:6" ht="14.1" customHeight="1" x14ac:dyDescent="0.25">
      <c r="A5025" s="94" t="s">
        <v>19478</v>
      </c>
      <c r="B5025" s="82" t="str">
        <f ca="1">IFERROR(INDEX(UNSPSCDes,MATCH(INDIRECT(ADDRESS(ROW(),COLUMN()-1,4)),UNSPSCCode,0)),IF(INDIRECT(ADDRESS(ROW(),COLUMN()-1,4))="56112104","Sillas para ejecutivos",""))</f>
        <v>Sillas para ejecutivos</v>
      </c>
      <c r="C5025" s="95" t="str">
        <f>IFERROR(VLOOKUP("UD",'Informacion '!P:Q,2,FALSE),"")</f>
        <v>Unidad</v>
      </c>
      <c r="D5025" s="94">
        <v>8</v>
      </c>
      <c r="E5025" s="84">
        <v>9000</v>
      </c>
      <c r="F5025" s="83">
        <f t="shared" ca="1" si="220"/>
        <v>72000</v>
      </c>
    </row>
    <row r="5026" spans="1:6" ht="14.1" customHeight="1" x14ac:dyDescent="0.25">
      <c r="A5026" s="94" t="s">
        <v>4426</v>
      </c>
      <c r="B5026" s="82" t="str">
        <f ca="1">IFERROR(INDEX(UNSPSCDes,MATCH(INDIRECT(ADDRESS(ROW(),COLUMN()-1,4)),UNSPSCCode,0)),IF(INDIRECT(ADDRESS(ROW(),COLUMN()-1,4))="56112103","Sillas para visitantes",""))</f>
        <v>Sillas para visitantes</v>
      </c>
      <c r="C5026" s="95" t="str">
        <f>IFERROR(VLOOKUP("UD",'Informacion '!P:Q,2,FALSE),"")</f>
        <v>Unidad</v>
      </c>
      <c r="D5026" s="94">
        <v>4</v>
      </c>
      <c r="E5026" s="84">
        <v>5000</v>
      </c>
      <c r="F5026" s="83">
        <f t="shared" ca="1" si="220"/>
        <v>20000</v>
      </c>
    </row>
    <row r="5027" spans="1:6" ht="14.1" customHeight="1" x14ac:dyDescent="0.25">
      <c r="A5027" s="94" t="s">
        <v>1930</v>
      </c>
      <c r="B5027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5027" s="95" t="str">
        <f>IFERROR(VLOOKUP("UD",'Informacion '!P:Q,2,FALSE),"")</f>
        <v>Unidad</v>
      </c>
      <c r="D5027" s="94">
        <v>3</v>
      </c>
      <c r="E5027" s="84">
        <v>7000</v>
      </c>
      <c r="F5027" s="83">
        <f t="shared" ca="1" si="220"/>
        <v>21000</v>
      </c>
    </row>
    <row r="5028" spans="1:6" ht="14.1" customHeight="1" x14ac:dyDescent="0.25">
      <c r="A5028" s="94" t="s">
        <v>1930</v>
      </c>
      <c r="B5028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5028" s="95" t="str">
        <f>IFERROR(VLOOKUP("UD",'Informacion '!P:Q,2,FALSE),"")</f>
        <v>Unidad</v>
      </c>
      <c r="D5028" s="94">
        <v>3</v>
      </c>
      <c r="E5028" s="84">
        <v>8000</v>
      </c>
      <c r="F5028" s="83">
        <f t="shared" ca="1" si="220"/>
        <v>24000</v>
      </c>
    </row>
    <row r="5029" spans="1:6" ht="14.1" customHeight="1" x14ac:dyDescent="0.25">
      <c r="A5029" s="94" t="s">
        <v>14102</v>
      </c>
      <c r="B5029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5029" s="95" t="str">
        <f>IFERROR(VLOOKUP("UD",'Informacion '!P:Q,2,FALSE),"")</f>
        <v>Unidad</v>
      </c>
      <c r="D5029" s="94">
        <v>3</v>
      </c>
      <c r="E5029" s="84">
        <v>35000</v>
      </c>
      <c r="F5029" s="83">
        <f t="shared" ca="1" si="220"/>
        <v>105000</v>
      </c>
    </row>
    <row r="5030" spans="1:6" ht="14.1" customHeight="1" x14ac:dyDescent="0.25">
      <c r="A5030" s="94" t="s">
        <v>14102</v>
      </c>
      <c r="B5030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5030" s="95" t="str">
        <f>IFERROR(VLOOKUP("UD",'Informacion '!P:Q,2,FALSE),"")</f>
        <v>Unidad</v>
      </c>
      <c r="D5030" s="94">
        <v>13</v>
      </c>
      <c r="E5030" s="84">
        <v>30000</v>
      </c>
      <c r="F5030" s="83">
        <f t="shared" ca="1" si="220"/>
        <v>390000</v>
      </c>
    </row>
    <row r="5031" spans="1:6" ht="14.1" customHeight="1" x14ac:dyDescent="0.25">
      <c r="A5031" s="94" t="s">
        <v>14102</v>
      </c>
      <c r="B5031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5031" s="95" t="str">
        <f>IFERROR(VLOOKUP("UD",'Informacion '!P:Q,2,FALSE),"")</f>
        <v>Unidad</v>
      </c>
      <c r="D5031" s="94">
        <v>1</v>
      </c>
      <c r="E5031" s="84">
        <v>40000</v>
      </c>
      <c r="F5031" s="83">
        <f t="shared" ca="1" si="220"/>
        <v>40000</v>
      </c>
    </row>
    <row r="5032" spans="1:6" ht="14.1" customHeight="1" x14ac:dyDescent="0.25">
      <c r="A5032" s="94" t="s">
        <v>16618</v>
      </c>
      <c r="B5032" s="82" t="str">
        <f ca="1">IFERROR(INDEX(UNSPSCDes,MATCH(INDIRECT(ADDRESS(ROW(),COLUMN()-1,4)),UNSPSCCode,0)),IF(INDIRECT(ADDRESS(ROW(),COLUMN()-1,4))="56101520","Casilleros (“lockers”)",""))</f>
        <v>Casilleros (“lockers”)</v>
      </c>
      <c r="C5032" s="95" t="str">
        <f>IFERROR(VLOOKUP("UD",'Informacion '!P:Q,2,FALSE),"")</f>
        <v>Unidad</v>
      </c>
      <c r="D5032" s="94">
        <v>20</v>
      </c>
      <c r="E5032" s="84">
        <v>1000</v>
      </c>
      <c r="F5032" s="83">
        <f t="shared" ref="F5032:F5063" ca="1" si="221">INDIRECT(ADDRESS(ROW(),COLUMN()-2,4))*INDIRECT(ADDRESS(ROW(),COLUMN()-1,4))</f>
        <v>20000</v>
      </c>
    </row>
    <row r="5033" spans="1:6" ht="14.1" customHeight="1" x14ac:dyDescent="0.25">
      <c r="A5033" s="94" t="s">
        <v>10620</v>
      </c>
      <c r="B5033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5033" s="95" t="str">
        <f>IFERROR(VLOOKUP("UD",'Informacion '!P:Q,2,FALSE),"")</f>
        <v>Unidad</v>
      </c>
      <c r="D5033" s="94">
        <v>10</v>
      </c>
      <c r="E5033" s="84">
        <v>1000</v>
      </c>
      <c r="F5033" s="83">
        <f t="shared" ca="1" si="221"/>
        <v>10000</v>
      </c>
    </row>
    <row r="5034" spans="1:6" ht="14.1" customHeight="1" x14ac:dyDescent="0.25">
      <c r="A5034" s="94" t="s">
        <v>16618</v>
      </c>
      <c r="B5034" s="82" t="str">
        <f ca="1">IFERROR(INDEX(UNSPSCDes,MATCH(INDIRECT(ADDRESS(ROW(),COLUMN()-1,4)),UNSPSCCode,0)),IF(INDIRECT(ADDRESS(ROW(),COLUMN()-1,4))="56101520","Casilleros (“lockers”)",""))</f>
        <v>Casilleros (“lockers”)</v>
      </c>
      <c r="C5034" s="95" t="str">
        <f>IFERROR(VLOOKUP("UD",'Informacion '!P:Q,2,FALSE),"")</f>
        <v>Unidad</v>
      </c>
      <c r="D5034" s="94">
        <v>6</v>
      </c>
      <c r="E5034" s="84">
        <v>8000</v>
      </c>
      <c r="F5034" s="83">
        <f t="shared" ca="1" si="221"/>
        <v>48000</v>
      </c>
    </row>
    <row r="5035" spans="1:6" ht="14.1" customHeight="1" x14ac:dyDescent="0.25">
      <c r="A5035" s="94" t="s">
        <v>1930</v>
      </c>
      <c r="B5035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5035" s="95" t="str">
        <f>IFERROR(VLOOKUP("UD",'Informacion '!P:Q,2,FALSE),"")</f>
        <v>Unidad</v>
      </c>
      <c r="D5035" s="94">
        <v>2</v>
      </c>
      <c r="E5035" s="84">
        <v>120000</v>
      </c>
      <c r="F5035" s="83">
        <f t="shared" ca="1" si="221"/>
        <v>240000</v>
      </c>
    </row>
    <row r="5036" spans="1:6" ht="14.1" customHeight="1" x14ac:dyDescent="0.25">
      <c r="A5036" s="94" t="s">
        <v>4281</v>
      </c>
      <c r="B5036" s="82" t="str">
        <f ca="1">IFERROR(INDEX(UNSPSCDes,MATCH(INDIRECT(ADDRESS(ROW(),COLUMN()-1,4)),UNSPSCCode,0)),IF(INDIRECT(ADDRESS(ROW(),COLUMN()-1,4))="24102004","Estanterías para almacenaje",""))</f>
        <v>Estanterías para almacenaje</v>
      </c>
      <c r="C5036" s="95" t="str">
        <f>IFERROR(VLOOKUP("UD",'Informacion '!P:Q,2,FALSE),"")</f>
        <v>Unidad</v>
      </c>
      <c r="D5036" s="94">
        <v>3</v>
      </c>
      <c r="E5036" s="84">
        <v>12500</v>
      </c>
      <c r="F5036" s="83">
        <f t="shared" ca="1" si="221"/>
        <v>37500</v>
      </c>
    </row>
    <row r="5037" spans="1:6" ht="14.1" customHeight="1" x14ac:dyDescent="0.25">
      <c r="A5037" s="94" t="s">
        <v>16165</v>
      </c>
      <c r="B5037" s="82" t="str">
        <f ca="1">IFERROR(INDEX(UNSPSCDes,MATCH(INDIRECT(ADDRESS(ROW(),COLUMN()-1,4)),UNSPSCCode,0)),IF(INDIRECT(ADDRESS(ROW(),COLUMN()-1,4))="45111809","Accesorios de soporte de televisiones",""))</f>
        <v>Accesorios de soporte de televisiones</v>
      </c>
      <c r="C5037" s="95" t="str">
        <f>IFERROR(VLOOKUP("UD",'Informacion '!P:Q,2,FALSE),"")</f>
        <v>Unidad</v>
      </c>
      <c r="D5037" s="94">
        <v>2</v>
      </c>
      <c r="E5037" s="84">
        <v>2000</v>
      </c>
      <c r="F5037" s="83">
        <f t="shared" ca="1" si="221"/>
        <v>4000</v>
      </c>
    </row>
    <row r="5038" spans="1:6" ht="14.1" customHeight="1" x14ac:dyDescent="0.25">
      <c r="A5038" s="94" t="s">
        <v>12629</v>
      </c>
      <c r="B5038" s="82" t="str">
        <f ca="1">IFERROR(INDEX(UNSPSCDes,MATCH(INDIRECT(ADDRESS(ROW(),COLUMN()-1,4)),UNSPSCCode,0)),IF(INDIRECT(ADDRESS(ROW(),COLUMN()-1,4))="56112105","Sillas para descansar",""))</f>
        <v>Sillas para descansar</v>
      </c>
      <c r="C5038" s="95" t="str">
        <f>IFERROR(VLOOKUP("UD",'Informacion '!P:Q,2,FALSE),"")</f>
        <v>Unidad</v>
      </c>
      <c r="D5038" s="94">
        <v>5</v>
      </c>
      <c r="E5038" s="84">
        <v>20000</v>
      </c>
      <c r="F5038" s="83">
        <f t="shared" ca="1" si="221"/>
        <v>100000</v>
      </c>
    </row>
    <row r="5039" spans="1:6" ht="14.1" customHeight="1" x14ac:dyDescent="0.25">
      <c r="A5039" s="94" t="s">
        <v>250</v>
      </c>
      <c r="B5039" s="82" t="str">
        <f ca="1">IFERROR(INDEX(UNSPSCDes,MATCH(INDIRECT(ADDRESS(ROW(),COLUMN()-1,4)),UNSPSCCode,0)),IF(INDIRECT(ADDRESS(ROW(),COLUMN()-1,4))="39121719","Protectores",""))</f>
        <v>Protectores</v>
      </c>
      <c r="C5039" s="95" t="str">
        <f>IFERROR(VLOOKUP("UD",'Informacion '!P:Q,2,FALSE),"")</f>
        <v>Unidad</v>
      </c>
      <c r="D5039" s="94">
        <v>1</v>
      </c>
      <c r="E5039" s="84">
        <v>5500</v>
      </c>
      <c r="F5039" s="83">
        <f t="shared" ca="1" si="221"/>
        <v>5500</v>
      </c>
    </row>
    <row r="5040" spans="1:6" ht="14.1" customHeight="1" x14ac:dyDescent="0.25">
      <c r="A5040" s="94" t="s">
        <v>10073</v>
      </c>
      <c r="B5040" s="82" t="str">
        <f ca="1">IFERROR(INDEX(UNSPSCDes,MATCH(INDIRECT(ADDRESS(ROW(),COLUMN()-1,4)),UNSPSCCode,0)),IF(INDIRECT(ADDRESS(ROW(),COLUMN()-1,4))="30131504","Bloques de cerámica",""))</f>
        <v>Bloques de cerámica</v>
      </c>
      <c r="C5040" s="95" t="str">
        <f>IFERROR(VLOOKUP("M2",'Informacion '!P:Q,2,FALSE),"")</f>
        <v>Metro cuadrado</v>
      </c>
      <c r="D5040" s="94">
        <v>5</v>
      </c>
      <c r="E5040" s="84">
        <v>400</v>
      </c>
      <c r="F5040" s="83">
        <f t="shared" ca="1" si="221"/>
        <v>2000</v>
      </c>
    </row>
    <row r="5041" spans="1:6" ht="14.1" customHeight="1" x14ac:dyDescent="0.25">
      <c r="A5041" s="94" t="s">
        <v>10073</v>
      </c>
      <c r="B5041" s="82" t="str">
        <f ca="1">IFERROR(INDEX(UNSPSCDes,MATCH(INDIRECT(ADDRESS(ROW(),COLUMN()-1,4)),UNSPSCCode,0)),IF(INDIRECT(ADDRESS(ROW(),COLUMN()-1,4))="30131504","Bloques de cerámica",""))</f>
        <v>Bloques de cerámica</v>
      </c>
      <c r="C5041" s="95" t="str">
        <f>IFERROR(VLOOKUP("M2",'Informacion '!P:Q,2,FALSE),"")</f>
        <v>Metro cuadrado</v>
      </c>
      <c r="D5041" s="94">
        <v>10</v>
      </c>
      <c r="E5041" s="84">
        <v>800</v>
      </c>
      <c r="F5041" s="83">
        <f t="shared" ca="1" si="221"/>
        <v>8000</v>
      </c>
    </row>
    <row r="5042" spans="1:6" ht="14.1" customHeight="1" x14ac:dyDescent="0.25">
      <c r="A5042" s="94" t="s">
        <v>10073</v>
      </c>
      <c r="B5042" s="82" t="str">
        <f ca="1">IFERROR(INDEX(UNSPSCDes,MATCH(INDIRECT(ADDRESS(ROW(),COLUMN()-1,4)),UNSPSCCode,0)),IF(INDIRECT(ADDRESS(ROW(),COLUMN()-1,4))="30131504","Bloques de cerámica",""))</f>
        <v>Bloques de cerámica</v>
      </c>
      <c r="C5042" s="95" t="str">
        <f>IFERROR(VLOOKUP("M2",'Informacion '!P:Q,2,FALSE),"")</f>
        <v>Metro cuadrado</v>
      </c>
      <c r="D5042" s="94">
        <v>10</v>
      </c>
      <c r="E5042" s="84">
        <v>800</v>
      </c>
      <c r="F5042" s="83">
        <f t="shared" ca="1" si="221"/>
        <v>8000</v>
      </c>
    </row>
    <row r="5043" spans="1:6" ht="14.1" customHeight="1" x14ac:dyDescent="0.25">
      <c r="A5043" s="94" t="s">
        <v>7494</v>
      </c>
      <c r="B5043" s="82" t="str">
        <f ca="1">IFERROR(INDEX(UNSPSCDes,MATCH(INDIRECT(ADDRESS(ROW(),COLUMN()-1,4)),UNSPSCCode,0)),IF(INDIRECT(ADDRESS(ROW(),COLUMN()-1,4))="31162403","Goznes o bisagras",""))</f>
        <v>Goznes o bisagras</v>
      </c>
      <c r="C5043" s="95" t="str">
        <f>IFERROR(VLOOKUP("UD",'Informacion '!P:Q,2,FALSE),"")</f>
        <v>Unidad</v>
      </c>
      <c r="D5043" s="94">
        <v>10</v>
      </c>
      <c r="E5043" s="84">
        <v>536</v>
      </c>
      <c r="F5043" s="83">
        <f t="shared" ca="1" si="221"/>
        <v>5360</v>
      </c>
    </row>
    <row r="5044" spans="1:6" ht="14.1" customHeight="1" x14ac:dyDescent="0.25">
      <c r="A5044" s="94" t="s">
        <v>7494</v>
      </c>
      <c r="B5044" s="82" t="str">
        <f ca="1">IFERROR(INDEX(UNSPSCDes,MATCH(INDIRECT(ADDRESS(ROW(),COLUMN()-1,4)),UNSPSCCode,0)),IF(INDIRECT(ADDRESS(ROW(),COLUMN()-1,4))="31162403","Goznes o bisagras",""))</f>
        <v>Goznes o bisagras</v>
      </c>
      <c r="C5044" s="95" t="str">
        <f>IFERROR(VLOOKUP("UD",'Informacion '!P:Q,2,FALSE),"")</f>
        <v>Unidad</v>
      </c>
      <c r="D5044" s="94">
        <v>5</v>
      </c>
      <c r="E5044" s="84">
        <v>135</v>
      </c>
      <c r="F5044" s="83">
        <f t="shared" ca="1" si="221"/>
        <v>675</v>
      </c>
    </row>
    <row r="5045" spans="1:6" ht="14.1" customHeight="1" x14ac:dyDescent="0.25">
      <c r="A5045" s="94" t="s">
        <v>12606</v>
      </c>
      <c r="B5045" s="82" t="str">
        <f ca="1">IFERROR(INDEX(UNSPSCDes,MATCH(INDIRECT(ADDRESS(ROW(),COLUMN()-1,4)),UNSPSCCode,0)),IF(INDIRECT(ADDRESS(ROW(),COLUMN()-1,4))="31251503","Activadores hidráulicos",""))</f>
        <v>Activadores hidráulicos</v>
      </c>
      <c r="C5045" s="95" t="str">
        <f>IFERROR(VLOOKUP("UD",'Informacion '!P:Q,2,FALSE),"")</f>
        <v>Unidad</v>
      </c>
      <c r="D5045" s="94">
        <v>5</v>
      </c>
      <c r="E5045" s="84">
        <v>3500</v>
      </c>
      <c r="F5045" s="83">
        <f t="shared" ca="1" si="221"/>
        <v>17500</v>
      </c>
    </row>
    <row r="5046" spans="1:6" ht="14.1" customHeight="1" x14ac:dyDescent="0.25">
      <c r="A5046" s="94" t="s">
        <v>12606</v>
      </c>
      <c r="B5046" s="82" t="str">
        <f ca="1">IFERROR(INDEX(UNSPSCDes,MATCH(INDIRECT(ADDRESS(ROW(),COLUMN()-1,4)),UNSPSCCode,0)),IF(INDIRECT(ADDRESS(ROW(),COLUMN()-1,4))="31251503","Activadores hidráulicos",""))</f>
        <v>Activadores hidráulicos</v>
      </c>
      <c r="C5046" s="95" t="str">
        <f>IFERROR(VLOOKUP("UD",'Informacion '!P:Q,2,FALSE),"")</f>
        <v>Unidad</v>
      </c>
      <c r="D5046" s="94">
        <v>5</v>
      </c>
      <c r="E5046" s="84">
        <v>4500</v>
      </c>
      <c r="F5046" s="83">
        <f t="shared" ca="1" si="221"/>
        <v>22500</v>
      </c>
    </row>
    <row r="5047" spans="1:6" ht="14.1" customHeight="1" x14ac:dyDescent="0.25">
      <c r="A5047" s="94" t="s">
        <v>19337</v>
      </c>
      <c r="B5047" s="82" t="str">
        <f ca="1">IFERROR(INDEX(UNSPSCDes,MATCH(INDIRECT(ADDRESS(ROW(),COLUMN()-1,4)),UNSPSCCode,0)),IF(INDIRECT(ADDRESS(ROW(),COLUMN()-1,4))="30171504","Puertas de madera",""))</f>
        <v>Puertas de madera</v>
      </c>
      <c r="C5047" s="95" t="str">
        <f>IFERROR(VLOOKUP("UD",'Informacion '!P:Q,2,FALSE),"")</f>
        <v>Unidad</v>
      </c>
      <c r="D5047" s="94">
        <v>24</v>
      </c>
      <c r="E5047" s="84">
        <v>800</v>
      </c>
      <c r="F5047" s="83">
        <f t="shared" ca="1" si="221"/>
        <v>19200</v>
      </c>
    </row>
    <row r="5048" spans="1:6" ht="14.1" customHeight="1" x14ac:dyDescent="0.25">
      <c r="A5048" s="94" t="s">
        <v>19337</v>
      </c>
      <c r="B5048" s="82" t="str">
        <f ca="1">IFERROR(INDEX(UNSPSCDes,MATCH(INDIRECT(ADDRESS(ROW(),COLUMN()-1,4)),UNSPSCCode,0)),IF(INDIRECT(ADDRESS(ROW(),COLUMN()-1,4))="30171504","Puertas de madera",""))</f>
        <v>Puertas de madera</v>
      </c>
      <c r="C5048" s="95" t="str">
        <f>IFERROR(VLOOKUP("UD",'Informacion '!P:Q,2,FALSE),"")</f>
        <v>Unidad</v>
      </c>
      <c r="D5048" s="94">
        <v>3</v>
      </c>
      <c r="E5048" s="84">
        <v>375</v>
      </c>
      <c r="F5048" s="83">
        <f t="shared" ca="1" si="221"/>
        <v>1125</v>
      </c>
    </row>
    <row r="5049" spans="1:6" ht="14.1" customHeight="1" x14ac:dyDescent="0.25">
      <c r="A5049" s="94" t="s">
        <v>19337</v>
      </c>
      <c r="B5049" s="82" t="str">
        <f ca="1">IFERROR(INDEX(UNSPSCDes,MATCH(INDIRECT(ADDRESS(ROW(),COLUMN()-1,4)),UNSPSCCode,0)),IF(INDIRECT(ADDRESS(ROW(),COLUMN()-1,4))="30171504","Puertas de madera",""))</f>
        <v>Puertas de madera</v>
      </c>
      <c r="C5049" s="95" t="str">
        <f>IFERROR(VLOOKUP("UD",'Informacion '!P:Q,2,FALSE),"")</f>
        <v>Unidad</v>
      </c>
      <c r="D5049" s="94">
        <v>10</v>
      </c>
      <c r="E5049" s="84">
        <v>3000</v>
      </c>
      <c r="F5049" s="83">
        <f t="shared" ca="1" si="221"/>
        <v>30000</v>
      </c>
    </row>
    <row r="5050" spans="1:6" ht="14.1" customHeight="1" x14ac:dyDescent="0.25">
      <c r="A5050" s="94" t="s">
        <v>2542</v>
      </c>
      <c r="B5050" s="82" t="str">
        <f ca="1">IFERROR(INDEX(UNSPSCDes,MATCH(INDIRECT(ADDRESS(ROW(),COLUMN()-1,4)),UNSPSCCode,0)),IF(INDIRECT(ADDRESS(ROW(),COLUMN()-1,4))="48101511","Planchas para uso comercial",""))</f>
        <v>Planchas para uso comercial</v>
      </c>
      <c r="C5050" s="95" t="str">
        <f>IFERROR(VLOOKUP("UD",'Informacion '!P:Q,2,FALSE),"")</f>
        <v>Unidad</v>
      </c>
      <c r="D5050" s="94">
        <v>20</v>
      </c>
      <c r="E5050" s="84">
        <v>20</v>
      </c>
      <c r="F5050" s="83">
        <f t="shared" ca="1" si="221"/>
        <v>400</v>
      </c>
    </row>
    <row r="5051" spans="1:6" ht="14.1" customHeight="1" x14ac:dyDescent="0.25">
      <c r="A5051" s="94" t="s">
        <v>2542</v>
      </c>
      <c r="B5051" s="82" t="str">
        <f ca="1">IFERROR(INDEX(UNSPSCDes,MATCH(INDIRECT(ADDRESS(ROW(),COLUMN()-1,4)),UNSPSCCode,0)),IF(INDIRECT(ADDRESS(ROW(),COLUMN()-1,4))="48101511","Planchas para uso comercial",""))</f>
        <v>Planchas para uso comercial</v>
      </c>
      <c r="C5051" s="95" t="str">
        <f>IFERROR(VLOOKUP("UD",'Informacion '!P:Q,2,FALSE),"")</f>
        <v>Unidad</v>
      </c>
      <c r="D5051" s="94">
        <v>2</v>
      </c>
      <c r="E5051" s="84">
        <v>600</v>
      </c>
      <c r="F5051" s="83">
        <f t="shared" ca="1" si="221"/>
        <v>1200</v>
      </c>
    </row>
    <row r="5052" spans="1:6" ht="14.1" customHeight="1" x14ac:dyDescent="0.25">
      <c r="A5052" s="94" t="s">
        <v>2094</v>
      </c>
      <c r="B5052" s="82" t="str">
        <f ca="1">IFERROR(INDEX(UNSPSCDes,MATCH(INDIRECT(ADDRESS(ROW(),COLUMN()-1,4)),UNSPSCCode,0)),IF(INDIRECT(ADDRESS(ROW(),COLUMN()-1,4))="31181503","Juntas obturadoras de metal",""))</f>
        <v>Juntas obturadoras de metal</v>
      </c>
      <c r="C5052" s="95" t="str">
        <f>IFERROR(VLOOKUP("UD",'Informacion '!P:Q,2,FALSE),"")</f>
        <v>Unidad</v>
      </c>
      <c r="D5052" s="94">
        <v>4</v>
      </c>
      <c r="E5052" s="84">
        <v>250</v>
      </c>
      <c r="F5052" s="83">
        <f t="shared" ca="1" si="221"/>
        <v>1000</v>
      </c>
    </row>
    <row r="5053" spans="1:6" ht="14.1" customHeight="1" x14ac:dyDescent="0.25">
      <c r="A5053" s="94" t="s">
        <v>2094</v>
      </c>
      <c r="B5053" s="82" t="str">
        <f ca="1">IFERROR(INDEX(UNSPSCDes,MATCH(INDIRECT(ADDRESS(ROW(),COLUMN()-1,4)),UNSPSCCode,0)),IF(INDIRECT(ADDRESS(ROW(),COLUMN()-1,4))="31181503","Juntas obturadoras de metal",""))</f>
        <v>Juntas obturadoras de metal</v>
      </c>
      <c r="C5053" s="95" t="str">
        <f>IFERROR(VLOOKUP("UD",'Informacion '!P:Q,2,FALSE),"")</f>
        <v>Unidad</v>
      </c>
      <c r="D5053" s="94">
        <v>4</v>
      </c>
      <c r="E5053" s="84">
        <v>300</v>
      </c>
      <c r="F5053" s="83">
        <f t="shared" ca="1" si="221"/>
        <v>1200</v>
      </c>
    </row>
    <row r="5054" spans="1:6" ht="14.1" customHeight="1" x14ac:dyDescent="0.25">
      <c r="A5054" s="94" t="s">
        <v>250</v>
      </c>
      <c r="B5054" s="82" t="str">
        <f ca="1">IFERROR(INDEX(UNSPSCDes,MATCH(INDIRECT(ADDRESS(ROW(),COLUMN()-1,4)),UNSPSCCode,0)),IF(INDIRECT(ADDRESS(ROW(),COLUMN()-1,4))="39121719","Protectores",""))</f>
        <v>Protectores</v>
      </c>
      <c r="C5054" s="95" t="str">
        <f>IFERROR(VLOOKUP("UD",'Informacion '!P:Q,2,FALSE),"")</f>
        <v>Unidad</v>
      </c>
      <c r="D5054" s="94">
        <v>4</v>
      </c>
      <c r="E5054" s="84">
        <v>125</v>
      </c>
      <c r="F5054" s="83">
        <f t="shared" ca="1" si="221"/>
        <v>500</v>
      </c>
    </row>
    <row r="5055" spans="1:6" ht="14.1" customHeight="1" x14ac:dyDescent="0.25">
      <c r="A5055" s="94" t="s">
        <v>250</v>
      </c>
      <c r="B5055" s="82" t="str">
        <f ca="1">IFERROR(INDEX(UNSPSCDes,MATCH(INDIRECT(ADDRESS(ROW(),COLUMN()-1,4)),UNSPSCCode,0)),IF(INDIRECT(ADDRESS(ROW(),COLUMN()-1,4))="39121719","Protectores",""))</f>
        <v>Protectores</v>
      </c>
      <c r="C5055" s="95" t="str">
        <f>IFERROR(VLOOKUP("UD",'Informacion '!P:Q,2,FALSE),"")</f>
        <v>Unidad</v>
      </c>
      <c r="D5055" s="94">
        <v>20</v>
      </c>
      <c r="E5055" s="84">
        <v>1500</v>
      </c>
      <c r="F5055" s="83">
        <f t="shared" ca="1" si="221"/>
        <v>30000</v>
      </c>
    </row>
    <row r="5056" spans="1:6" ht="14.1" customHeight="1" x14ac:dyDescent="0.25">
      <c r="A5056" s="94" t="s">
        <v>3332</v>
      </c>
      <c r="B5056" s="82" t="str">
        <f ca="1">IFERROR(INDEX(UNSPSCDes,MATCH(INDIRECT(ADDRESS(ROW(),COLUMN()-1,4)),UNSPSCCode,0)),IF(INDIRECT(ADDRESS(ROW(),COLUMN()-1,4))="31201605","Masillas",""))</f>
        <v>Masillas</v>
      </c>
      <c r="C5056" s="95" t="str">
        <f>IFERROR(VLOOKUP("UD",'Informacion '!P:Q,2,FALSE),"")</f>
        <v>Unidad</v>
      </c>
      <c r="D5056" s="94">
        <v>3</v>
      </c>
      <c r="E5056" s="84">
        <v>3000</v>
      </c>
      <c r="F5056" s="83">
        <f t="shared" ca="1" si="221"/>
        <v>9000</v>
      </c>
    </row>
    <row r="5057" spans="1:6" ht="14.1" customHeight="1" x14ac:dyDescent="0.25">
      <c r="A5057" s="94" t="s">
        <v>2094</v>
      </c>
      <c r="B5057" s="82" t="str">
        <f ca="1">IFERROR(INDEX(UNSPSCDes,MATCH(INDIRECT(ADDRESS(ROW(),COLUMN()-1,4)),UNSPSCCode,0)),IF(INDIRECT(ADDRESS(ROW(),COLUMN()-1,4))="31181503","Juntas obturadoras de metal",""))</f>
        <v>Juntas obturadoras de metal</v>
      </c>
      <c r="C5057" s="95" t="str">
        <f>IFERROR(VLOOKUP("UD",'Informacion '!P:Q,2,FALSE),"")</f>
        <v>Unidad</v>
      </c>
      <c r="D5057" s="94">
        <v>2</v>
      </c>
      <c r="E5057" s="84">
        <v>500</v>
      </c>
      <c r="F5057" s="83">
        <f t="shared" ca="1" si="221"/>
        <v>1000</v>
      </c>
    </row>
    <row r="5058" spans="1:6" ht="14.1" customHeight="1" x14ac:dyDescent="0.25">
      <c r="A5058" s="94" t="s">
        <v>2094</v>
      </c>
      <c r="B5058" s="82" t="str">
        <f ca="1">IFERROR(INDEX(UNSPSCDes,MATCH(INDIRECT(ADDRESS(ROW(),COLUMN()-1,4)),UNSPSCCode,0)),IF(INDIRECT(ADDRESS(ROW(),COLUMN()-1,4))="31181503","Juntas obturadoras de metal",""))</f>
        <v>Juntas obturadoras de metal</v>
      </c>
      <c r="C5058" s="95" t="str">
        <f>IFERROR(VLOOKUP("UD",'Informacion '!P:Q,2,FALSE),"")</f>
        <v>Unidad</v>
      </c>
      <c r="D5058" s="94">
        <v>2</v>
      </c>
      <c r="E5058" s="84">
        <v>500</v>
      </c>
      <c r="F5058" s="83">
        <f t="shared" ca="1" si="221"/>
        <v>1000</v>
      </c>
    </row>
    <row r="5059" spans="1:6" ht="14.1" customHeight="1" x14ac:dyDescent="0.25">
      <c r="A5059" s="94" t="s">
        <v>3332</v>
      </c>
      <c r="B5059" s="82" t="str">
        <f ca="1">IFERROR(INDEX(UNSPSCDes,MATCH(INDIRECT(ADDRESS(ROW(),COLUMN()-1,4)),UNSPSCCode,0)),IF(INDIRECT(ADDRESS(ROW(),COLUMN()-1,4))="31201605","Masillas",""))</f>
        <v>Masillas</v>
      </c>
      <c r="C5059" s="95" t="str">
        <f>IFERROR(VLOOKUP("UD",'Informacion '!P:Q,2,FALSE),"")</f>
        <v>Unidad</v>
      </c>
      <c r="D5059" s="94">
        <v>5</v>
      </c>
      <c r="E5059" s="84">
        <v>350</v>
      </c>
      <c r="F5059" s="83">
        <f t="shared" ca="1" si="221"/>
        <v>1750</v>
      </c>
    </row>
    <row r="5060" spans="1:6" ht="14.1" customHeight="1" x14ac:dyDescent="0.25">
      <c r="A5060" s="94" t="s">
        <v>11958</v>
      </c>
      <c r="B5060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5060" s="95" t="str">
        <f>IFERROR(VLOOKUP("FT",'Informacion '!P:Q,2,FALSE),"")</f>
        <v>Pie</v>
      </c>
      <c r="D5060" s="94">
        <v>25</v>
      </c>
      <c r="E5060" s="84">
        <v>150</v>
      </c>
      <c r="F5060" s="83">
        <f t="shared" ca="1" si="221"/>
        <v>3750</v>
      </c>
    </row>
    <row r="5061" spans="1:6" ht="14.1" customHeight="1" x14ac:dyDescent="0.25">
      <c r="A5061" s="94" t="s">
        <v>11958</v>
      </c>
      <c r="B5061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5061" s="95" t="str">
        <f>IFERROR(VLOOKUP("FT",'Informacion '!P:Q,2,FALSE),"")</f>
        <v>Pie</v>
      </c>
      <c r="D5061" s="94">
        <v>10</v>
      </c>
      <c r="E5061" s="84">
        <v>80</v>
      </c>
      <c r="F5061" s="83">
        <f t="shared" ca="1" si="221"/>
        <v>800</v>
      </c>
    </row>
    <row r="5062" spans="1:6" ht="14.1" customHeight="1" x14ac:dyDescent="0.25">
      <c r="A5062" s="94" t="s">
        <v>8016</v>
      </c>
      <c r="B5062" s="82" t="str">
        <f ca="1">IFERROR(INDEX(UNSPSCDes,MATCH(INDIRECT(ADDRESS(ROW(),COLUMN()-1,4)),UNSPSCCode,0)),IF(INDIRECT(ADDRESS(ROW(),COLUMN()-1,4))="25111914","Argollas de amarre",""))</f>
        <v>Argollas de amarre</v>
      </c>
      <c r="C5062" s="95" t="str">
        <f>IFERROR(VLOOKUP("UD",'Informacion '!P:Q,2,FALSE),"")</f>
        <v>Unidad</v>
      </c>
      <c r="D5062" s="94">
        <v>10</v>
      </c>
      <c r="E5062" s="84">
        <v>40</v>
      </c>
      <c r="F5062" s="83">
        <f t="shared" ca="1" si="221"/>
        <v>400</v>
      </c>
    </row>
    <row r="5063" spans="1:6" ht="14.1" customHeight="1" x14ac:dyDescent="0.25">
      <c r="A5063" s="94" t="s">
        <v>12183</v>
      </c>
      <c r="B5063" s="82" t="str">
        <f ca="1">IFERROR(INDEX(UNSPSCDes,MATCH(INDIRECT(ADDRESS(ROW(),COLUMN()-1,4)),UNSPSCCode,0)),IF(INDIRECT(ADDRESS(ROW(),COLUMN()-1,4))="11101704","Acero",""))</f>
        <v>Acero</v>
      </c>
      <c r="C5063" s="95" t="str">
        <f>IFERROR(VLOOKUP("FT",'Informacion '!P:Q,2,FALSE),"")</f>
        <v>Pie</v>
      </c>
      <c r="D5063" s="94">
        <v>50</v>
      </c>
      <c r="E5063" s="84">
        <v>140</v>
      </c>
      <c r="F5063" s="83">
        <f t="shared" ca="1" si="221"/>
        <v>7000</v>
      </c>
    </row>
    <row r="5064" spans="1:6" ht="14.1" customHeight="1" x14ac:dyDescent="0.25">
      <c r="A5064" s="94" t="s">
        <v>1118</v>
      </c>
      <c r="B5064" s="82" t="str">
        <f ca="1">IFERROR(INDEX(UNSPSCDes,MATCH(INDIRECT(ADDRESS(ROW(),COLUMN()-1,4)),UNSPSCCode,0)),IF(INDIRECT(ADDRESS(ROW(),COLUMN()-1,4))="31162402","Cerraduras",""))</f>
        <v>Cerraduras</v>
      </c>
      <c r="C5064" s="95" t="str">
        <f>IFERROR(VLOOKUP("UD",'Informacion '!P:Q,2,FALSE),"")</f>
        <v>Unidad</v>
      </c>
      <c r="D5064" s="94">
        <v>5</v>
      </c>
      <c r="E5064" s="84">
        <v>1200</v>
      </c>
      <c r="F5064" s="83">
        <f t="shared" ref="F5064:F5095" ca="1" si="222">INDIRECT(ADDRESS(ROW(),COLUMN()-2,4))*INDIRECT(ADDRESS(ROW(),COLUMN()-1,4))</f>
        <v>6000</v>
      </c>
    </row>
    <row r="5065" spans="1:6" ht="14.1" customHeight="1" x14ac:dyDescent="0.25">
      <c r="A5065" s="94" t="s">
        <v>1118</v>
      </c>
      <c r="B5065" s="82" t="str">
        <f ca="1">IFERROR(INDEX(UNSPSCDes,MATCH(INDIRECT(ADDRESS(ROW(),COLUMN()-1,4)),UNSPSCCode,0)),IF(INDIRECT(ADDRESS(ROW(),COLUMN()-1,4))="31162402","Cerraduras",""))</f>
        <v>Cerraduras</v>
      </c>
      <c r="C5065" s="95" t="str">
        <f>IFERROR(VLOOKUP("UD",'Informacion '!P:Q,2,FALSE),"")</f>
        <v>Unidad</v>
      </c>
      <c r="D5065" s="94">
        <v>5</v>
      </c>
      <c r="E5065" s="84">
        <v>2800</v>
      </c>
      <c r="F5065" s="83">
        <f t="shared" ca="1" si="222"/>
        <v>14000</v>
      </c>
    </row>
    <row r="5066" spans="1:6" ht="14.1" customHeight="1" x14ac:dyDescent="0.25">
      <c r="A5066" s="94" t="s">
        <v>1118</v>
      </c>
      <c r="B5066" s="82" t="str">
        <f ca="1">IFERROR(INDEX(UNSPSCDes,MATCH(INDIRECT(ADDRESS(ROW(),COLUMN()-1,4)),UNSPSCCode,0)),IF(INDIRECT(ADDRESS(ROW(),COLUMN()-1,4))="31162402","Cerraduras",""))</f>
        <v>Cerraduras</v>
      </c>
      <c r="C5066" s="95" t="str">
        <f>IFERROR(VLOOKUP("UD",'Informacion '!P:Q,2,FALSE),"")</f>
        <v>Unidad</v>
      </c>
      <c r="D5066" s="94">
        <v>10</v>
      </c>
      <c r="E5066" s="84">
        <v>300</v>
      </c>
      <c r="F5066" s="83">
        <f t="shared" ca="1" si="222"/>
        <v>3000</v>
      </c>
    </row>
    <row r="5067" spans="1:6" ht="14.1" customHeight="1" x14ac:dyDescent="0.25">
      <c r="A5067" s="94" t="s">
        <v>96</v>
      </c>
      <c r="B5067" s="82" t="str">
        <f ca="1">IFERROR(INDEX(UNSPSCDes,MATCH(INDIRECT(ADDRESS(ROW(),COLUMN()-1,4)),UNSPSCCode,0)),IF(INDIRECT(ADDRESS(ROW(),COLUMN()-1,4))="12352206","Tejidos",""))</f>
        <v>Tejidos</v>
      </c>
      <c r="C5067" s="95" t="str">
        <f>IFERROR(VLOOKUP("UD",'Informacion '!P:Q,2,FALSE),"")</f>
        <v>Unidad</v>
      </c>
      <c r="D5067" s="94">
        <v>2</v>
      </c>
      <c r="E5067" s="84">
        <v>1495</v>
      </c>
      <c r="F5067" s="83">
        <f t="shared" ca="1" si="222"/>
        <v>2990</v>
      </c>
    </row>
    <row r="5068" spans="1:6" ht="14.1" customHeight="1" x14ac:dyDescent="0.25">
      <c r="A5068" s="94" t="s">
        <v>96</v>
      </c>
      <c r="B5068" s="82" t="str">
        <f ca="1">IFERROR(INDEX(UNSPSCDes,MATCH(INDIRECT(ADDRESS(ROW(),COLUMN()-1,4)),UNSPSCCode,0)),IF(INDIRECT(ADDRESS(ROW(),COLUMN()-1,4))="12352206","Tejidos",""))</f>
        <v>Tejidos</v>
      </c>
      <c r="C5068" s="95" t="str">
        <f>IFERROR(VLOOKUP("UD",'Informacion '!P:Q,2,FALSE),"")</f>
        <v>Unidad</v>
      </c>
      <c r="D5068" s="94">
        <v>2</v>
      </c>
      <c r="E5068" s="84">
        <v>1000</v>
      </c>
      <c r="F5068" s="83">
        <f t="shared" ca="1" si="222"/>
        <v>2000</v>
      </c>
    </row>
    <row r="5069" spans="1:6" ht="14.1" customHeight="1" x14ac:dyDescent="0.25">
      <c r="A5069" s="94" t="s">
        <v>3441</v>
      </c>
      <c r="B5069" s="82" t="str">
        <f ca="1">IFERROR(INDEX(UNSPSCDes,MATCH(INDIRECT(ADDRESS(ROW(),COLUMN()-1,4)),UNSPSCCode,0)),IF(INDIRECT(ADDRESS(ROW(),COLUMN()-1,4))="23101510","Pulidoras",""))</f>
        <v>Pulidoras</v>
      </c>
      <c r="C5069" s="95" t="str">
        <f>IFERROR(VLOOKUP("UD",'Informacion '!P:Q,2,FALSE),"")</f>
        <v>Unidad</v>
      </c>
      <c r="D5069" s="94">
        <v>5</v>
      </c>
      <c r="E5069" s="84">
        <v>40</v>
      </c>
      <c r="F5069" s="83">
        <f t="shared" ca="1" si="222"/>
        <v>200</v>
      </c>
    </row>
    <row r="5070" spans="1:6" ht="14.1" customHeight="1" x14ac:dyDescent="0.25">
      <c r="A5070" s="94" t="s">
        <v>3441</v>
      </c>
      <c r="B5070" s="82" t="str">
        <f ca="1">IFERROR(INDEX(UNSPSCDes,MATCH(INDIRECT(ADDRESS(ROW(),COLUMN()-1,4)),UNSPSCCode,0)),IF(INDIRECT(ADDRESS(ROW(),COLUMN()-1,4))="23101510","Pulidoras",""))</f>
        <v>Pulidoras</v>
      </c>
      <c r="C5070" s="95" t="str">
        <f>IFERROR(VLOOKUP("UD",'Informacion '!P:Q,2,FALSE),"")</f>
        <v>Unidad</v>
      </c>
      <c r="D5070" s="94">
        <v>5</v>
      </c>
      <c r="E5070" s="84">
        <v>40</v>
      </c>
      <c r="F5070" s="83">
        <f t="shared" ca="1" si="222"/>
        <v>200</v>
      </c>
    </row>
    <row r="5071" spans="1:6" ht="14.1" customHeight="1" x14ac:dyDescent="0.25">
      <c r="A5071" s="94" t="s">
        <v>3441</v>
      </c>
      <c r="B5071" s="82" t="str">
        <f ca="1">IFERROR(INDEX(UNSPSCDes,MATCH(INDIRECT(ADDRESS(ROW(),COLUMN()-1,4)),UNSPSCCode,0)),IF(INDIRECT(ADDRESS(ROW(),COLUMN()-1,4))="23101510","Pulidoras",""))</f>
        <v>Pulidoras</v>
      </c>
      <c r="C5071" s="95" t="str">
        <f>IFERROR(VLOOKUP("UD",'Informacion '!P:Q,2,FALSE),"")</f>
        <v>Unidad</v>
      </c>
      <c r="D5071" s="94">
        <v>5</v>
      </c>
      <c r="E5071" s="84">
        <v>40</v>
      </c>
      <c r="F5071" s="83">
        <f t="shared" ca="1" si="222"/>
        <v>200</v>
      </c>
    </row>
    <row r="5072" spans="1:6" ht="14.1" customHeight="1" x14ac:dyDescent="0.25">
      <c r="A5072" s="94" t="s">
        <v>7522</v>
      </c>
      <c r="B5072" s="82" t="str">
        <f ca="1">IFERROR(INDEX(UNSPSCDes,MATCH(INDIRECT(ADDRESS(ROW(),COLUMN()-1,4)),UNSPSCCode,0)),IF(INDIRECT(ADDRESS(ROW(),COLUMN()-1,4))="23101508","Cortadoras",""))</f>
        <v>Cortadoras</v>
      </c>
      <c r="C5072" s="95" t="str">
        <f>IFERROR(VLOOKUP("UD",'Informacion '!P:Q,2,FALSE),"")</f>
        <v>Unidad</v>
      </c>
      <c r="D5072" s="94">
        <v>5</v>
      </c>
      <c r="E5072" s="84">
        <v>200</v>
      </c>
      <c r="F5072" s="83">
        <f t="shared" ca="1" si="222"/>
        <v>1000</v>
      </c>
    </row>
    <row r="5073" spans="1:6" ht="14.1" customHeight="1" x14ac:dyDescent="0.25">
      <c r="A5073" s="94" t="s">
        <v>7522</v>
      </c>
      <c r="B5073" s="82" t="str">
        <f ca="1">IFERROR(INDEX(UNSPSCDes,MATCH(INDIRECT(ADDRESS(ROW(),COLUMN()-1,4)),UNSPSCCode,0)),IF(INDIRECT(ADDRESS(ROW(),COLUMN()-1,4))="23101508","Cortadoras",""))</f>
        <v>Cortadoras</v>
      </c>
      <c r="C5073" s="95" t="str">
        <f>IFERROR(VLOOKUP("UD",'Informacion '!P:Q,2,FALSE),"")</f>
        <v>Unidad</v>
      </c>
      <c r="D5073" s="94">
        <v>2</v>
      </c>
      <c r="E5073" s="84">
        <v>800</v>
      </c>
      <c r="F5073" s="83">
        <f t="shared" ca="1" si="222"/>
        <v>1600</v>
      </c>
    </row>
    <row r="5074" spans="1:6" ht="14.1" customHeight="1" x14ac:dyDescent="0.25">
      <c r="A5074" s="94" t="s">
        <v>7522</v>
      </c>
      <c r="B5074" s="82" t="str">
        <f ca="1">IFERROR(INDEX(UNSPSCDes,MATCH(INDIRECT(ADDRESS(ROW(),COLUMN()-1,4)),UNSPSCCode,0)),IF(INDIRECT(ADDRESS(ROW(),COLUMN()-1,4))="23101508","Cortadoras",""))</f>
        <v>Cortadoras</v>
      </c>
      <c r="C5074" s="95" t="str">
        <f>IFERROR(VLOOKUP("UD",'Informacion '!P:Q,2,FALSE),"")</f>
        <v>Unidad</v>
      </c>
      <c r="D5074" s="94">
        <v>2</v>
      </c>
      <c r="E5074" s="84">
        <v>1200</v>
      </c>
      <c r="F5074" s="83">
        <f t="shared" ca="1" si="222"/>
        <v>2400</v>
      </c>
    </row>
    <row r="5075" spans="1:6" ht="14.1" customHeight="1" x14ac:dyDescent="0.25">
      <c r="A5075" s="94" t="s">
        <v>18904</v>
      </c>
      <c r="B5075" s="82" t="str">
        <f ca="1">IFERROR(INDEX(UNSPSCDes,MATCH(INDIRECT(ADDRESS(ROW(),COLUMN()-1,4)),UNSPSCCode,0)),IF(INDIRECT(ADDRESS(ROW(),COLUMN()-1,4))="31201515","Cintas de papel",""))</f>
        <v>Cintas de papel</v>
      </c>
      <c r="C5075" s="95" t="str">
        <f>IFERROR(VLOOKUP("UD",'Informacion '!P:Q,2,FALSE),"")</f>
        <v>Unidad</v>
      </c>
      <c r="D5075" s="94">
        <v>10</v>
      </c>
      <c r="E5075" s="84">
        <v>300</v>
      </c>
      <c r="F5075" s="83">
        <f t="shared" ca="1" si="222"/>
        <v>3000</v>
      </c>
    </row>
    <row r="5076" spans="1:6" ht="14.1" customHeight="1" x14ac:dyDescent="0.25">
      <c r="A5076" s="94" t="s">
        <v>18904</v>
      </c>
      <c r="B5076" s="82" t="str">
        <f ca="1">IFERROR(INDEX(UNSPSCDes,MATCH(INDIRECT(ADDRESS(ROW(),COLUMN()-1,4)),UNSPSCCode,0)),IF(INDIRECT(ADDRESS(ROW(),COLUMN()-1,4))="31201515","Cintas de papel",""))</f>
        <v>Cintas de papel</v>
      </c>
      <c r="C5076" s="95" t="str">
        <f>IFERROR(VLOOKUP("UD",'Informacion '!P:Q,2,FALSE),"")</f>
        <v>Unidad</v>
      </c>
      <c r="D5076" s="94">
        <v>5</v>
      </c>
      <c r="E5076" s="84">
        <v>200</v>
      </c>
      <c r="F5076" s="83">
        <f t="shared" ca="1" si="222"/>
        <v>1000</v>
      </c>
    </row>
    <row r="5077" spans="1:6" ht="14.1" customHeight="1" x14ac:dyDescent="0.25">
      <c r="A5077" s="94" t="s">
        <v>17214</v>
      </c>
      <c r="B5077" s="82" t="str">
        <f ca="1">IFERROR(INDEX(UNSPSCDes,MATCH(INDIRECT(ADDRESS(ROW(),COLUMN()-1,4)),UNSPSCCode,0)),IF(INDIRECT(ADDRESS(ROW(),COLUMN()-1,4))="60121001","Pinturas",""))</f>
        <v>Pinturas</v>
      </c>
      <c r="C5077" s="95" t="str">
        <f>IFERROR(VLOOKUP("UD",'Informacion '!P:Q,2,FALSE),"")</f>
        <v>Unidad</v>
      </c>
      <c r="D5077" s="94">
        <v>5</v>
      </c>
      <c r="E5077" s="84">
        <v>8000</v>
      </c>
      <c r="F5077" s="83">
        <f t="shared" ca="1" si="222"/>
        <v>40000</v>
      </c>
    </row>
    <row r="5078" spans="1:6" ht="14.1" customHeight="1" x14ac:dyDescent="0.25">
      <c r="A5078" s="94" t="s">
        <v>17272</v>
      </c>
      <c r="B5078" s="82" t="str">
        <f ca="1">IFERROR(INDEX(UNSPSCDes,MATCH(INDIRECT(ADDRESS(ROW(),COLUMN()-1,4)),UNSPSCCode,0)),IF(INDIRECT(ADDRESS(ROW(),COLUMN()-1,4))="31161502","Tornillos de anclaje",""))</f>
        <v>Tornillos de anclaje</v>
      </c>
      <c r="C5078" s="95" t="str">
        <f>IFERROR(VLOOKUP("UD",'Informacion '!P:Q,2,FALSE),"")</f>
        <v>Unidad</v>
      </c>
      <c r="D5078" s="94">
        <v>100</v>
      </c>
      <c r="E5078" s="84">
        <v>4</v>
      </c>
      <c r="F5078" s="83">
        <f t="shared" ca="1" si="222"/>
        <v>400</v>
      </c>
    </row>
    <row r="5079" spans="1:6" ht="14.1" customHeight="1" x14ac:dyDescent="0.25">
      <c r="A5079" s="94" t="s">
        <v>12648</v>
      </c>
      <c r="B5079" s="82" t="str">
        <f ca="1">IFERROR(INDEX(UNSPSCDes,MATCH(INDIRECT(ADDRESS(ROW(),COLUMN()-1,4)),UNSPSCCode,0)),IF(INDIRECT(ADDRESS(ROW(),COLUMN()-1,4))="31162104","Anclajes de tornillo",""))</f>
        <v>Anclajes de tornillo</v>
      </c>
      <c r="C5079" s="95" t="str">
        <f>IFERROR(VLOOKUP("UD",'Informacion '!P:Q,2,FALSE),"")</f>
        <v>Unidad</v>
      </c>
      <c r="D5079" s="94">
        <v>50</v>
      </c>
      <c r="E5079" s="84">
        <v>19.62</v>
      </c>
      <c r="F5079" s="83">
        <f t="shared" ca="1" si="222"/>
        <v>981</v>
      </c>
    </row>
    <row r="5080" spans="1:6" ht="14.1" customHeight="1" x14ac:dyDescent="0.25">
      <c r="A5080" s="94" t="s">
        <v>12648</v>
      </c>
      <c r="B5080" s="82" t="str">
        <f ca="1">IFERROR(INDEX(UNSPSCDes,MATCH(INDIRECT(ADDRESS(ROW(),COLUMN()-1,4)),UNSPSCCode,0)),IF(INDIRECT(ADDRESS(ROW(),COLUMN()-1,4))="31162104","Anclajes de tornillo",""))</f>
        <v>Anclajes de tornillo</v>
      </c>
      <c r="C5080" s="95" t="str">
        <f>IFERROR(VLOOKUP("UD",'Informacion '!P:Q,2,FALSE),"")</f>
        <v>Unidad</v>
      </c>
      <c r="D5080" s="94">
        <v>200</v>
      </c>
      <c r="E5080" s="84">
        <v>1.5</v>
      </c>
      <c r="F5080" s="83">
        <f t="shared" ca="1" si="222"/>
        <v>300</v>
      </c>
    </row>
    <row r="5081" spans="1:6" ht="14.1" customHeight="1" x14ac:dyDescent="0.25">
      <c r="A5081" s="94" t="s">
        <v>12648</v>
      </c>
      <c r="B5081" s="82" t="str">
        <f ca="1">IFERROR(INDEX(UNSPSCDes,MATCH(INDIRECT(ADDRESS(ROW(),COLUMN()-1,4)),UNSPSCCode,0)),IF(INDIRECT(ADDRESS(ROW(),COLUMN()-1,4))="31162104","Anclajes de tornillo",""))</f>
        <v>Anclajes de tornillo</v>
      </c>
      <c r="C5081" s="95" t="str">
        <f>IFERROR(VLOOKUP("UD",'Informacion '!P:Q,2,FALSE),"")</f>
        <v>Unidad</v>
      </c>
      <c r="D5081" s="94">
        <v>100</v>
      </c>
      <c r="E5081" s="84">
        <v>3</v>
      </c>
      <c r="F5081" s="83">
        <f t="shared" ca="1" si="222"/>
        <v>300</v>
      </c>
    </row>
    <row r="5082" spans="1:6" ht="14.1" customHeight="1" x14ac:dyDescent="0.25">
      <c r="A5082" s="94" t="s">
        <v>12648</v>
      </c>
      <c r="B5082" s="82" t="str">
        <f ca="1">IFERROR(INDEX(UNSPSCDes,MATCH(INDIRECT(ADDRESS(ROW(),COLUMN()-1,4)),UNSPSCCode,0)),IF(INDIRECT(ADDRESS(ROW(),COLUMN()-1,4))="31162104","Anclajes de tornillo",""))</f>
        <v>Anclajes de tornillo</v>
      </c>
      <c r="C5082" s="95" t="str">
        <f>IFERROR(VLOOKUP("UD",'Informacion '!P:Q,2,FALSE),"")</f>
        <v>Unidad</v>
      </c>
      <c r="D5082" s="94">
        <v>100</v>
      </c>
      <c r="E5082" s="84">
        <v>3</v>
      </c>
      <c r="F5082" s="83">
        <f t="shared" ca="1" si="222"/>
        <v>300</v>
      </c>
    </row>
    <row r="5083" spans="1:6" ht="14.1" customHeight="1" x14ac:dyDescent="0.25">
      <c r="A5083" s="94" t="s">
        <v>12648</v>
      </c>
      <c r="B5083" s="82" t="str">
        <f ca="1">IFERROR(INDEX(UNSPSCDes,MATCH(INDIRECT(ADDRESS(ROW(),COLUMN()-1,4)),UNSPSCCode,0)),IF(INDIRECT(ADDRESS(ROW(),COLUMN()-1,4))="31162104","Anclajes de tornillo",""))</f>
        <v>Anclajes de tornillo</v>
      </c>
      <c r="C5083" s="95" t="str">
        <f>IFERROR(VLOOKUP("UD",'Informacion '!P:Q,2,FALSE),"")</f>
        <v>Unidad</v>
      </c>
      <c r="D5083" s="94">
        <v>100</v>
      </c>
      <c r="E5083" s="84">
        <v>3</v>
      </c>
      <c r="F5083" s="83">
        <f t="shared" ca="1" si="222"/>
        <v>300</v>
      </c>
    </row>
    <row r="5084" spans="1:6" ht="14.1" customHeight="1" x14ac:dyDescent="0.25">
      <c r="A5084" s="94" t="s">
        <v>11252</v>
      </c>
      <c r="B5084" s="82" t="str">
        <f ca="1">IFERROR(INDEX(UNSPSCDes,MATCH(INDIRECT(ADDRESS(ROW(),COLUMN()-1,4)),UNSPSCCode,0)),IF(INDIRECT(ADDRESS(ROW(),COLUMN()-1,4))="31161507","Tornillos roscadores",""))</f>
        <v>Tornillos roscadores</v>
      </c>
      <c r="C5084" s="95" t="str">
        <f>IFERROR(VLOOKUP("UD",'Informacion '!P:Q,2,FALSE),"")</f>
        <v>Unidad</v>
      </c>
      <c r="D5084" s="94">
        <v>150</v>
      </c>
      <c r="E5084" s="84">
        <v>1</v>
      </c>
      <c r="F5084" s="83">
        <f t="shared" ca="1" si="222"/>
        <v>150</v>
      </c>
    </row>
    <row r="5085" spans="1:6" ht="14.1" customHeight="1" x14ac:dyDescent="0.25">
      <c r="A5085" s="94" t="s">
        <v>11252</v>
      </c>
      <c r="B5085" s="82" t="str">
        <f ca="1">IFERROR(INDEX(UNSPSCDes,MATCH(INDIRECT(ADDRESS(ROW(),COLUMN()-1,4)),UNSPSCCode,0)),IF(INDIRECT(ADDRESS(ROW(),COLUMN()-1,4))="31161507","Tornillos roscadores",""))</f>
        <v>Tornillos roscadores</v>
      </c>
      <c r="C5085" s="95" t="str">
        <f>IFERROR(VLOOKUP("UD",'Informacion '!P:Q,2,FALSE),"")</f>
        <v>Unidad</v>
      </c>
      <c r="D5085" s="94">
        <v>150</v>
      </c>
      <c r="E5085" s="84">
        <v>1</v>
      </c>
      <c r="F5085" s="83">
        <f t="shared" ca="1" si="222"/>
        <v>150</v>
      </c>
    </row>
    <row r="5086" spans="1:6" ht="14.1" customHeight="1" x14ac:dyDescent="0.25">
      <c r="A5086" s="94" t="s">
        <v>11252</v>
      </c>
      <c r="B5086" s="82" t="str">
        <f ca="1">IFERROR(INDEX(UNSPSCDes,MATCH(INDIRECT(ADDRESS(ROW(),COLUMN()-1,4)),UNSPSCCode,0)),IF(INDIRECT(ADDRESS(ROW(),COLUMN()-1,4))="31161507","Tornillos roscadores",""))</f>
        <v>Tornillos roscadores</v>
      </c>
      <c r="C5086" s="95" t="str">
        <f>IFERROR(VLOOKUP("UD",'Informacion '!P:Q,2,FALSE),"")</f>
        <v>Unidad</v>
      </c>
      <c r="D5086" s="94">
        <v>50</v>
      </c>
      <c r="E5086" s="84">
        <v>2</v>
      </c>
      <c r="F5086" s="83">
        <f t="shared" ca="1" si="222"/>
        <v>100</v>
      </c>
    </row>
    <row r="5087" spans="1:6" ht="14.1" customHeight="1" x14ac:dyDescent="0.25">
      <c r="A5087" s="94" t="s">
        <v>4672</v>
      </c>
      <c r="B5087" s="82" t="str">
        <f ca="1">IFERROR(INDEX(UNSPSCDes,MATCH(INDIRECT(ADDRESS(ROW(),COLUMN()-1,4)),UNSPSCCode,0)),IF(INDIRECT(ADDRESS(ROW(),COLUMN()-1,4))="72102004","Impermeabilización",""))</f>
        <v>Impermeabilización</v>
      </c>
      <c r="C5087" s="95" t="str">
        <f>IFERROR(VLOOKUP("GAL",'Informacion '!P:Q,2,FALSE),"")</f>
        <v>Galón</v>
      </c>
      <c r="D5087" s="94">
        <v>2</v>
      </c>
      <c r="E5087" s="84">
        <v>800</v>
      </c>
      <c r="F5087" s="83">
        <f t="shared" ca="1" si="222"/>
        <v>1600</v>
      </c>
    </row>
    <row r="5088" spans="1:6" ht="14.1" customHeight="1" x14ac:dyDescent="0.25">
      <c r="A5088" s="94" t="s">
        <v>4672</v>
      </c>
      <c r="B5088" s="82" t="str">
        <f ca="1">IFERROR(INDEX(UNSPSCDes,MATCH(INDIRECT(ADDRESS(ROW(),COLUMN()-1,4)),UNSPSCCode,0)),IF(INDIRECT(ADDRESS(ROW(),COLUMN()-1,4))="72102004","Impermeabilización",""))</f>
        <v>Impermeabilización</v>
      </c>
      <c r="C5088" s="95" t="str">
        <f>IFERROR(VLOOKUP("UD",'Informacion '!P:Q,2,FALSE),"")</f>
        <v>Unidad</v>
      </c>
      <c r="D5088" s="94">
        <v>2</v>
      </c>
      <c r="E5088" s="84">
        <v>1600</v>
      </c>
      <c r="F5088" s="83">
        <f t="shared" ca="1" si="222"/>
        <v>3200</v>
      </c>
    </row>
    <row r="5089" spans="1:6" ht="14.1" customHeight="1" x14ac:dyDescent="0.25">
      <c r="A5089" s="94" t="s">
        <v>18357</v>
      </c>
      <c r="B5089" s="82" t="str">
        <f ca="1">IFERROR(INDEX(UNSPSCDes,MATCH(INDIRECT(ADDRESS(ROW(),COLUMN()-1,4)),UNSPSCCode,0)),IF(INDIRECT(ADDRESS(ROW(),COLUMN()-1,4))="30222502","Pisos",""))</f>
        <v>Pisos</v>
      </c>
      <c r="C5089" s="95" t="str">
        <f>IFERROR(VLOOKUP("GAL",'Informacion '!P:Q,2,FALSE),"")</f>
        <v>Galón</v>
      </c>
      <c r="D5089" s="94">
        <v>2</v>
      </c>
      <c r="E5089" s="84">
        <v>800</v>
      </c>
      <c r="F5089" s="83">
        <f t="shared" ca="1" si="222"/>
        <v>1600</v>
      </c>
    </row>
    <row r="5090" spans="1:6" ht="14.1" customHeight="1" x14ac:dyDescent="0.25">
      <c r="A5090" s="94" t="s">
        <v>18357</v>
      </c>
      <c r="B5090" s="82" t="str">
        <f ca="1">IFERROR(INDEX(UNSPSCDes,MATCH(INDIRECT(ADDRESS(ROW(),COLUMN()-1,4)),UNSPSCCode,0)),IF(INDIRECT(ADDRESS(ROW(),COLUMN()-1,4))="30222502","Pisos",""))</f>
        <v>Pisos</v>
      </c>
      <c r="C5090" s="95" t="str">
        <f>IFERROR(VLOOKUP("UD",'Informacion '!P:Q,2,FALSE),"")</f>
        <v>Unidad</v>
      </c>
      <c r="D5090" s="94">
        <v>1</v>
      </c>
      <c r="E5090" s="84">
        <v>781</v>
      </c>
      <c r="F5090" s="83">
        <f t="shared" ca="1" si="222"/>
        <v>781</v>
      </c>
    </row>
    <row r="5091" spans="1:6" ht="14.1" customHeight="1" x14ac:dyDescent="0.25">
      <c r="A5091" s="94" t="s">
        <v>13889</v>
      </c>
      <c r="B5091" s="82" t="str">
        <f ca="1">IFERROR(INDEX(UNSPSCDes,MATCH(INDIRECT(ADDRESS(ROW(),COLUMN()-1,4)),UNSPSCCode,0)),IF(INDIRECT(ADDRESS(ROW(),COLUMN()-1,4))="12352310","Siliconas",""))</f>
        <v>Siliconas</v>
      </c>
      <c r="C5091" s="95" t="str">
        <f>IFERROR(VLOOKUP("CAJ",'Informacion '!P:Q,2,FALSE),"")</f>
        <v>Caja</v>
      </c>
      <c r="D5091" s="94">
        <v>2</v>
      </c>
      <c r="E5091" s="84">
        <v>2000</v>
      </c>
      <c r="F5091" s="83">
        <f t="shared" ca="1" si="222"/>
        <v>4000</v>
      </c>
    </row>
    <row r="5092" spans="1:6" ht="14.1" customHeight="1" x14ac:dyDescent="0.25">
      <c r="A5092" s="94" t="s">
        <v>13889</v>
      </c>
      <c r="B5092" s="82" t="str">
        <f ca="1">IFERROR(INDEX(UNSPSCDes,MATCH(INDIRECT(ADDRESS(ROW(),COLUMN()-1,4)),UNSPSCCode,0)),IF(INDIRECT(ADDRESS(ROW(),COLUMN()-1,4))="12352310","Siliconas",""))</f>
        <v>Siliconas</v>
      </c>
      <c r="C5092" s="95" t="str">
        <f>IFERROR(VLOOKUP("CAJ",'Informacion '!P:Q,2,FALSE),"")</f>
        <v>Caja</v>
      </c>
      <c r="D5092" s="94">
        <v>1</v>
      </c>
      <c r="E5092" s="84">
        <v>1500</v>
      </c>
      <c r="F5092" s="83">
        <f t="shared" ca="1" si="222"/>
        <v>1500</v>
      </c>
    </row>
    <row r="5093" spans="1:6" ht="14.1" customHeight="1" x14ac:dyDescent="0.25">
      <c r="A5093" s="94" t="s">
        <v>3332</v>
      </c>
      <c r="B5093" s="82" t="str">
        <f ca="1">IFERROR(INDEX(UNSPSCDes,MATCH(INDIRECT(ADDRESS(ROW(),COLUMN()-1,4)),UNSPSCCode,0)),IF(INDIRECT(ADDRESS(ROW(),COLUMN()-1,4))="31201605","Masillas",""))</f>
        <v>Masillas</v>
      </c>
      <c r="C5093" s="95" t="str">
        <f>IFERROR(VLOOKUP("CAJ",'Informacion '!P:Q,2,FALSE),"")</f>
        <v>Caja</v>
      </c>
      <c r="D5093" s="94">
        <v>5</v>
      </c>
      <c r="E5093" s="84">
        <v>2000</v>
      </c>
      <c r="F5093" s="83">
        <f t="shared" ca="1" si="222"/>
        <v>10000</v>
      </c>
    </row>
    <row r="5094" spans="1:6" ht="14.1" customHeight="1" x14ac:dyDescent="0.25">
      <c r="A5094" s="94" t="s">
        <v>13889</v>
      </c>
      <c r="B5094" s="82" t="str">
        <f ca="1">IFERROR(INDEX(UNSPSCDes,MATCH(INDIRECT(ADDRESS(ROW(),COLUMN()-1,4)),UNSPSCCode,0)),IF(INDIRECT(ADDRESS(ROW(),COLUMN()-1,4))="12352310","Siliconas",""))</f>
        <v>Siliconas</v>
      </c>
      <c r="C5094" s="95" t="str">
        <f>IFERROR(VLOOKUP("CAJ",'Informacion '!P:Q,2,FALSE),"")</f>
        <v>Caja</v>
      </c>
      <c r="D5094" s="94">
        <v>1</v>
      </c>
      <c r="E5094" s="84">
        <v>1500</v>
      </c>
      <c r="F5094" s="83">
        <f t="shared" ca="1" si="222"/>
        <v>1500</v>
      </c>
    </row>
    <row r="5095" spans="1:6" ht="14.1" customHeight="1" x14ac:dyDescent="0.25">
      <c r="A5095" s="94" t="s">
        <v>12246</v>
      </c>
      <c r="B5095" s="82" t="str">
        <f ca="1">IFERROR(INDEX(UNSPSCDes,MATCH(INDIRECT(ADDRESS(ROW(),COLUMN()-1,4)),UNSPSCCode,0)),IF(INDIRECT(ADDRESS(ROW(),COLUMN()-1,4))="30111601","Cemento",""))</f>
        <v>Cemento</v>
      </c>
      <c r="C5095" s="95" t="str">
        <f>IFERROR(VLOOKUP("UD",'Informacion '!P:Q,2,FALSE),"")</f>
        <v>Unidad</v>
      </c>
      <c r="D5095" s="94">
        <v>2</v>
      </c>
      <c r="E5095" s="84">
        <v>350</v>
      </c>
      <c r="F5095" s="83">
        <f t="shared" ca="1" si="222"/>
        <v>700</v>
      </c>
    </row>
    <row r="5096" spans="1:6" ht="14.1" customHeight="1" x14ac:dyDescent="0.25">
      <c r="A5096" s="94" t="s">
        <v>4672</v>
      </c>
      <c r="B5096" s="82" t="str">
        <f ca="1">IFERROR(INDEX(UNSPSCDes,MATCH(INDIRECT(ADDRESS(ROW(),COLUMN()-1,4)),UNSPSCCode,0)),IF(INDIRECT(ADDRESS(ROW(),COLUMN()-1,4))="72102004","Impermeabilización",""))</f>
        <v>Impermeabilización</v>
      </c>
      <c r="C5096" s="95" t="str">
        <f>IFERROR(VLOOKUP("UD",'Informacion '!P:Q,2,FALSE),"")</f>
        <v>Unidad</v>
      </c>
      <c r="D5096" s="94">
        <v>2</v>
      </c>
      <c r="E5096" s="84">
        <v>5500</v>
      </c>
      <c r="F5096" s="83">
        <f t="shared" ref="F5096:F5124" ca="1" si="223">INDIRECT(ADDRESS(ROW(),COLUMN()-2,4))*INDIRECT(ADDRESS(ROW(),COLUMN()-1,4))</f>
        <v>11000</v>
      </c>
    </row>
    <row r="5097" spans="1:6" ht="14.1" customHeight="1" x14ac:dyDescent="0.25">
      <c r="A5097" s="94" t="s">
        <v>2243</v>
      </c>
      <c r="B5097" s="82" t="str">
        <f ca="1">IFERROR(INDEX(UNSPSCDes,MATCH(INDIRECT(ADDRESS(ROW(),COLUMN()-1,4)),UNSPSCCode,0)),IF(INDIRECT(ADDRESS(ROW(),COLUMN()-1,4))="30101717","Vigas de concreto",""))</f>
        <v>Vigas de concreto</v>
      </c>
      <c r="C5097" s="95" t="str">
        <f>IFERROR(VLOOKUP("UD",'Informacion '!P:Q,2,FALSE),"")</f>
        <v>Unidad</v>
      </c>
      <c r="D5097" s="94">
        <v>2</v>
      </c>
      <c r="E5097" s="84">
        <v>2000</v>
      </c>
      <c r="F5097" s="83">
        <f t="shared" ca="1" si="223"/>
        <v>4000</v>
      </c>
    </row>
    <row r="5098" spans="1:6" ht="14.1" customHeight="1" x14ac:dyDescent="0.25">
      <c r="A5098" s="94" t="s">
        <v>4947</v>
      </c>
      <c r="B5098" s="82" t="str">
        <f t="shared" ref="B5098:B5104" ca="1" si="224">IFERROR(INDEX(UNSPSCDes,MATCH(INDIRECT(ADDRESS(ROW(),COLUMN()-1,4)),UNSPSCCode,0)),IF(INDIRECT(ADDRESS(ROW(),COLUMN()-1,4))="86131502","Pintura",""))</f>
        <v>Pintura</v>
      </c>
      <c r="C5098" s="95" t="str">
        <f>IFERROR(VLOOKUP("GAL",'Informacion '!P:Q,2,FALSE),"")</f>
        <v>Galón</v>
      </c>
      <c r="D5098" s="94">
        <v>2</v>
      </c>
      <c r="E5098" s="84">
        <v>1525</v>
      </c>
      <c r="F5098" s="83">
        <f t="shared" ca="1" si="223"/>
        <v>3050</v>
      </c>
    </row>
    <row r="5099" spans="1:6" ht="14.1" customHeight="1" x14ac:dyDescent="0.25">
      <c r="A5099" s="94" t="s">
        <v>4947</v>
      </c>
      <c r="B5099" s="82" t="str">
        <f t="shared" ca="1" si="224"/>
        <v>Pintura</v>
      </c>
      <c r="C5099" s="95" t="str">
        <f>IFERROR(VLOOKUP("UD",'Informacion '!P:Q,2,FALSE),"")</f>
        <v>Unidad</v>
      </c>
      <c r="D5099" s="94">
        <v>6</v>
      </c>
      <c r="E5099" s="84">
        <v>5000</v>
      </c>
      <c r="F5099" s="83">
        <f t="shared" ca="1" si="223"/>
        <v>30000</v>
      </c>
    </row>
    <row r="5100" spans="1:6" ht="14.1" customHeight="1" x14ac:dyDescent="0.25">
      <c r="A5100" s="94" t="s">
        <v>4947</v>
      </c>
      <c r="B5100" s="82" t="str">
        <f t="shared" ca="1" si="224"/>
        <v>Pintura</v>
      </c>
      <c r="C5100" s="95" t="str">
        <f>IFERROR(VLOOKUP("UD",'Informacion '!P:Q,2,FALSE),"")</f>
        <v>Unidad</v>
      </c>
      <c r="D5100" s="94">
        <v>6</v>
      </c>
      <c r="E5100" s="84">
        <v>5000</v>
      </c>
      <c r="F5100" s="83">
        <f t="shared" ca="1" si="223"/>
        <v>30000</v>
      </c>
    </row>
    <row r="5101" spans="1:6" ht="14.1" customHeight="1" x14ac:dyDescent="0.25">
      <c r="A5101" s="94" t="s">
        <v>4947</v>
      </c>
      <c r="B5101" s="82" t="str">
        <f t="shared" ca="1" si="224"/>
        <v>Pintura</v>
      </c>
      <c r="C5101" s="95" t="str">
        <f>IFERROR(VLOOKUP("UD",'Informacion '!P:Q,2,FALSE),"")</f>
        <v>Unidad</v>
      </c>
      <c r="D5101" s="94">
        <v>6</v>
      </c>
      <c r="E5101" s="84">
        <v>7000</v>
      </c>
      <c r="F5101" s="83">
        <f t="shared" ca="1" si="223"/>
        <v>42000</v>
      </c>
    </row>
    <row r="5102" spans="1:6" ht="14.1" customHeight="1" x14ac:dyDescent="0.25">
      <c r="A5102" s="94" t="s">
        <v>4947</v>
      </c>
      <c r="B5102" s="82" t="str">
        <f t="shared" ca="1" si="224"/>
        <v>Pintura</v>
      </c>
      <c r="C5102" s="95" t="str">
        <f>IFERROR(VLOOKUP("GAL",'Informacion '!P:Q,2,FALSE),"")</f>
        <v>Galón</v>
      </c>
      <c r="D5102" s="94">
        <v>13</v>
      </c>
      <c r="E5102" s="84">
        <v>1600</v>
      </c>
      <c r="F5102" s="83">
        <f t="shared" ca="1" si="223"/>
        <v>20800</v>
      </c>
    </row>
    <row r="5103" spans="1:6" ht="14.1" customHeight="1" x14ac:dyDescent="0.25">
      <c r="A5103" s="94" t="s">
        <v>4947</v>
      </c>
      <c r="B5103" s="82" t="str">
        <f t="shared" ca="1" si="224"/>
        <v>Pintura</v>
      </c>
      <c r="C5103" s="95" t="str">
        <f>IFERROR(VLOOKUP("UD",'Informacion '!P:Q,2,FALSE),"")</f>
        <v>Unidad</v>
      </c>
      <c r="D5103" s="94">
        <v>2</v>
      </c>
      <c r="E5103" s="84">
        <v>5400</v>
      </c>
      <c r="F5103" s="83">
        <f t="shared" ca="1" si="223"/>
        <v>10800</v>
      </c>
    </row>
    <row r="5104" spans="1:6" ht="14.1" customHeight="1" x14ac:dyDescent="0.25">
      <c r="A5104" s="94" t="s">
        <v>4947</v>
      </c>
      <c r="B5104" s="82" t="str">
        <f t="shared" ca="1" si="224"/>
        <v>Pintura</v>
      </c>
      <c r="C5104" s="95" t="str">
        <f>IFERROR(VLOOKUP("UD",'Informacion '!P:Q,2,FALSE),"")</f>
        <v>Unidad</v>
      </c>
      <c r="D5104" s="94">
        <v>5</v>
      </c>
      <c r="E5104" s="84">
        <v>6500</v>
      </c>
      <c r="F5104" s="83">
        <f t="shared" ca="1" si="223"/>
        <v>32500</v>
      </c>
    </row>
    <row r="5105" spans="1:6" ht="14.1" customHeight="1" x14ac:dyDescent="0.25">
      <c r="A5105" s="94" t="s">
        <v>6316</v>
      </c>
      <c r="B5105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5105" s="95" t="str">
        <f>IFERROR(VLOOKUP("GAL",'Informacion '!P:Q,2,FALSE),"")</f>
        <v>Galón</v>
      </c>
      <c r="D5105" s="94">
        <v>3</v>
      </c>
      <c r="E5105" s="84">
        <v>1100</v>
      </c>
      <c r="F5105" s="83">
        <f t="shared" ca="1" si="223"/>
        <v>3300</v>
      </c>
    </row>
    <row r="5106" spans="1:6" ht="14.1" customHeight="1" x14ac:dyDescent="0.25">
      <c r="A5106" s="94" t="s">
        <v>6316</v>
      </c>
      <c r="B5106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5106" s="95" t="str">
        <f>IFERROR(VLOOKUP("GAL",'Informacion '!P:Q,2,FALSE),"")</f>
        <v>Galón</v>
      </c>
      <c r="D5106" s="94">
        <v>5</v>
      </c>
      <c r="E5106" s="84">
        <v>1000</v>
      </c>
      <c r="F5106" s="83">
        <f t="shared" ca="1" si="223"/>
        <v>5000</v>
      </c>
    </row>
    <row r="5107" spans="1:6" ht="14.1" customHeight="1" x14ac:dyDescent="0.25">
      <c r="A5107" s="94" t="s">
        <v>3332</v>
      </c>
      <c r="B5107" s="82" t="str">
        <f ca="1">IFERROR(INDEX(UNSPSCDes,MATCH(INDIRECT(ADDRESS(ROW(),COLUMN()-1,4)),UNSPSCCode,0)),IF(INDIRECT(ADDRESS(ROW(),COLUMN()-1,4))="31201605","Masillas",""))</f>
        <v>Masillas</v>
      </c>
      <c r="C5107" s="95" t="str">
        <f>IFERROR(VLOOKUP("UD",'Informacion '!P:Q,2,FALSE),"")</f>
        <v>Unidad</v>
      </c>
      <c r="D5107" s="94">
        <v>2</v>
      </c>
      <c r="E5107" s="84">
        <v>5000</v>
      </c>
      <c r="F5107" s="83">
        <f t="shared" ca="1" si="223"/>
        <v>10000</v>
      </c>
    </row>
    <row r="5108" spans="1:6" ht="14.1" customHeight="1" x14ac:dyDescent="0.25">
      <c r="A5108" s="94" t="s">
        <v>4947</v>
      </c>
      <c r="B5108" s="82" t="str">
        <f ca="1">IFERROR(INDEX(UNSPSCDes,MATCH(INDIRECT(ADDRESS(ROW(),COLUMN()-1,4)),UNSPSCCode,0)),IF(INDIRECT(ADDRESS(ROW(),COLUMN()-1,4))="86131502","Pintura",""))</f>
        <v>Pintura</v>
      </c>
      <c r="C5108" s="95" t="str">
        <f>IFERROR(VLOOKUP("GAL",'Informacion '!P:Q,2,FALSE),"")</f>
        <v>Galón</v>
      </c>
      <c r="D5108" s="94">
        <v>6</v>
      </c>
      <c r="E5108" s="84">
        <v>1800</v>
      </c>
      <c r="F5108" s="83">
        <f t="shared" ca="1" si="223"/>
        <v>10800</v>
      </c>
    </row>
    <row r="5109" spans="1:6" ht="14.1" customHeight="1" x14ac:dyDescent="0.25">
      <c r="A5109" s="94" t="s">
        <v>4947</v>
      </c>
      <c r="B5109" s="82" t="str">
        <f ca="1">IFERROR(INDEX(UNSPSCDes,MATCH(INDIRECT(ADDRESS(ROW(),COLUMN()-1,4)),UNSPSCCode,0)),IF(INDIRECT(ADDRESS(ROW(),COLUMN()-1,4))="86131502","Pintura",""))</f>
        <v>Pintura</v>
      </c>
      <c r="C5109" s="95" t="str">
        <f>IFERROR(VLOOKUP("GAL",'Informacion '!P:Q,2,FALSE),"")</f>
        <v>Galón</v>
      </c>
      <c r="D5109" s="94">
        <v>4</v>
      </c>
      <c r="E5109" s="84">
        <v>1200</v>
      </c>
      <c r="F5109" s="83">
        <f t="shared" ca="1" si="223"/>
        <v>4800</v>
      </c>
    </row>
    <row r="5110" spans="1:6" ht="14.1" customHeight="1" x14ac:dyDescent="0.25">
      <c r="A5110" s="94" t="s">
        <v>4947</v>
      </c>
      <c r="B5110" s="82" t="str">
        <f ca="1">IFERROR(INDEX(UNSPSCDes,MATCH(INDIRECT(ADDRESS(ROW(),COLUMN()-1,4)),UNSPSCCode,0)),IF(INDIRECT(ADDRESS(ROW(),COLUMN()-1,4))="86131502","Pintura",""))</f>
        <v>Pintura</v>
      </c>
      <c r="C5110" s="95" t="str">
        <f>IFERROR(VLOOKUP("GAL",'Informacion '!P:Q,2,FALSE),"")</f>
        <v>Galón</v>
      </c>
      <c r="D5110" s="94">
        <v>2</v>
      </c>
      <c r="E5110" s="84">
        <v>1200</v>
      </c>
      <c r="F5110" s="83">
        <f t="shared" ca="1" si="223"/>
        <v>2400</v>
      </c>
    </row>
    <row r="5111" spans="1:6" ht="14.1" customHeight="1" x14ac:dyDescent="0.25">
      <c r="A5111" s="94" t="s">
        <v>17385</v>
      </c>
      <c r="B5111" s="82" t="str">
        <f ca="1">IFERROR(INDEX(UNSPSCDes,MATCH(INDIRECT(ADDRESS(ROW(),COLUMN()-1,4)),UNSPSCCode,0)),IF(INDIRECT(ADDRESS(ROW(),COLUMN()-1,4))="31211604","Diluyentes para pinturas",""))</f>
        <v>Diluyentes para pinturas</v>
      </c>
      <c r="C5111" s="95" t="str">
        <f>IFERROR(VLOOKUP("GAL",'Informacion '!P:Q,2,FALSE),"")</f>
        <v>Galón</v>
      </c>
      <c r="D5111" s="94">
        <v>10</v>
      </c>
      <c r="E5111" s="84">
        <v>688</v>
      </c>
      <c r="F5111" s="83">
        <f t="shared" ca="1" si="223"/>
        <v>6880</v>
      </c>
    </row>
    <row r="5112" spans="1:6" ht="14.1" customHeight="1" x14ac:dyDescent="0.25">
      <c r="A5112" s="94" t="s">
        <v>10418</v>
      </c>
      <c r="B5112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5112" s="95" t="str">
        <f>IFERROR(VLOOKUP("UD",'Informacion '!P:Q,2,FALSE),"")</f>
        <v>Unidad</v>
      </c>
      <c r="D5112" s="94">
        <v>3</v>
      </c>
      <c r="E5112" s="84">
        <v>100</v>
      </c>
      <c r="F5112" s="83">
        <f t="shared" ca="1" si="223"/>
        <v>300</v>
      </c>
    </row>
    <row r="5113" spans="1:6" ht="14.1" customHeight="1" x14ac:dyDescent="0.25">
      <c r="A5113" s="94" t="s">
        <v>10418</v>
      </c>
      <c r="B5113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5113" s="95" t="str">
        <f>IFERROR(VLOOKUP("UD",'Informacion '!P:Q,2,FALSE),"")</f>
        <v>Unidad</v>
      </c>
      <c r="D5113" s="94">
        <v>30</v>
      </c>
      <c r="E5113" s="84">
        <v>100</v>
      </c>
      <c r="F5113" s="83">
        <f t="shared" ca="1" si="223"/>
        <v>3000</v>
      </c>
    </row>
    <row r="5114" spans="1:6" ht="14.1" customHeight="1" x14ac:dyDescent="0.25">
      <c r="A5114" s="94" t="s">
        <v>7608</v>
      </c>
      <c r="B5114" s="82" t="str">
        <f ca="1">IFERROR(INDEX(UNSPSCDes,MATCH(INDIRECT(ADDRESS(ROW(),COLUMN()-1,4)),UNSPSCCode,0)),IF(INDIRECT(ADDRESS(ROW(),COLUMN()-1,4))="14121809","Papel de enmascarar",""))</f>
        <v>Papel de enmascarar</v>
      </c>
      <c r="C5114" s="95" t="str">
        <f>IFERROR(VLOOKUP("CAJ",'Informacion '!P:Q,2,FALSE),"")</f>
        <v>Caja</v>
      </c>
      <c r="D5114" s="94">
        <v>3</v>
      </c>
      <c r="E5114" s="84">
        <v>500</v>
      </c>
      <c r="F5114" s="83">
        <f t="shared" ca="1" si="223"/>
        <v>1500</v>
      </c>
    </row>
    <row r="5115" spans="1:6" ht="14.1" customHeight="1" x14ac:dyDescent="0.25">
      <c r="A5115" s="94" t="s">
        <v>9956</v>
      </c>
      <c r="B5115" s="82" t="str">
        <f ca="1">IFERROR(INDEX(UNSPSCDes,MATCH(INDIRECT(ADDRESS(ROW(),COLUMN()-1,4)),UNSPSCCode,0)),IF(INDIRECT(ADDRESS(ROW(),COLUMN()-1,4))="20121417","Colgadores de línea",""))</f>
        <v>Colgadores de línea</v>
      </c>
      <c r="C5115" s="95" t="str">
        <f>IFERROR(VLOOKUP("UD",'Informacion '!P:Q,2,FALSE),"")</f>
        <v>Unidad</v>
      </c>
      <c r="D5115" s="94">
        <v>20</v>
      </c>
      <c r="E5115" s="84">
        <v>250</v>
      </c>
      <c r="F5115" s="83">
        <f t="shared" ca="1" si="223"/>
        <v>5000</v>
      </c>
    </row>
    <row r="5116" spans="1:6" ht="14.1" customHeight="1" x14ac:dyDescent="0.25">
      <c r="A5116" s="94" t="s">
        <v>11318</v>
      </c>
      <c r="B5116" s="82" t="str">
        <f ca="1">IFERROR(INDEX(UNSPSCDes,MATCH(INDIRECT(ADDRESS(ROW(),COLUMN()-1,4)),UNSPSCCode,0)),IF(INDIRECT(ADDRESS(ROW(),COLUMN()-1,4))="30181509","Plato del jabón",""))</f>
        <v>Plato del jabón</v>
      </c>
      <c r="C5116" s="95" t="str">
        <f>IFERROR(VLOOKUP("UD",'Informacion '!P:Q,2,FALSE),"")</f>
        <v>Unidad</v>
      </c>
      <c r="D5116" s="94">
        <v>15</v>
      </c>
      <c r="E5116" s="84">
        <v>550</v>
      </c>
      <c r="F5116" s="83">
        <f t="shared" ca="1" si="223"/>
        <v>8250</v>
      </c>
    </row>
    <row r="5117" spans="1:6" ht="14.1" customHeight="1" x14ac:dyDescent="0.25">
      <c r="A5117" s="94" t="s">
        <v>4615</v>
      </c>
      <c r="B5117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117" s="95" t="str">
        <f>IFERROR(VLOOKUP("UD",'Informacion '!P:Q,2,FALSE),"")</f>
        <v>Unidad</v>
      </c>
      <c r="D5117" s="94">
        <v>1</v>
      </c>
      <c r="E5117" s="84">
        <v>300000</v>
      </c>
      <c r="F5117" s="83">
        <f t="shared" ca="1" si="223"/>
        <v>300000</v>
      </c>
    </row>
    <row r="5118" spans="1:6" ht="14.1" customHeight="1" x14ac:dyDescent="0.25">
      <c r="A5118" s="94" t="s">
        <v>4615</v>
      </c>
      <c r="B5118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118" s="95" t="str">
        <f>IFERROR(VLOOKUP("UD",'Informacion '!P:Q,2,FALSE),"")</f>
        <v>Unidad</v>
      </c>
      <c r="D5118" s="94">
        <v>1</v>
      </c>
      <c r="E5118" s="84">
        <v>500000</v>
      </c>
      <c r="F5118" s="83">
        <f t="shared" ca="1" si="223"/>
        <v>500000</v>
      </c>
    </row>
    <row r="5119" spans="1:6" ht="14.1" customHeight="1" x14ac:dyDescent="0.25">
      <c r="A5119" s="94" t="s">
        <v>8318</v>
      </c>
      <c r="B5119" s="82" t="str">
        <f ca="1">IFERROR(INDEX(UNSPSCDes,MATCH(INDIRECT(ADDRESS(ROW(),COLUMN()-1,4)),UNSPSCCode,0)),IF(INDIRECT(ADDRESS(ROW(),COLUMN()-1,4))="83112402","Servicios de redes digitales de servicios integrados (isdn)",""))</f>
        <v>Servicios de redes digitales de servicios integrados (isdn)</v>
      </c>
      <c r="C5119" s="95" t="str">
        <f>IFERROR(VLOOKUP("UD",'Informacion '!P:Q,2,FALSE),"")</f>
        <v>Unidad</v>
      </c>
      <c r="D5119" s="94">
        <v>1</v>
      </c>
      <c r="E5119" s="84">
        <v>150000</v>
      </c>
      <c r="F5119" s="83">
        <f t="shared" ca="1" si="223"/>
        <v>150000</v>
      </c>
    </row>
    <row r="5120" spans="1:6" ht="14.1" customHeight="1" x14ac:dyDescent="0.25">
      <c r="A5120" s="94" t="s">
        <v>4435</v>
      </c>
      <c r="B5120" s="82" t="str">
        <f ca="1">IFERROR(INDEX(UNSPSCDes,MATCH(INDIRECT(ADDRESS(ROW(),COLUMN()-1,4)),UNSPSCCode,0)),IF(INDIRECT(ADDRESS(ROW(),COLUMN()-1,4))="56101703","Escritorios",""))</f>
        <v>Escritorios</v>
      </c>
      <c r="C5120" s="95" t="str">
        <f>IFERROR(VLOOKUP("UD",'Informacion '!P:Q,2,FALSE),"")</f>
        <v>Unidad</v>
      </c>
      <c r="D5120" s="94">
        <v>3</v>
      </c>
      <c r="E5120" s="84">
        <v>50000</v>
      </c>
      <c r="F5120" s="83">
        <f t="shared" ca="1" si="223"/>
        <v>150000</v>
      </c>
    </row>
    <row r="5121" spans="1:10" ht="14.1" customHeight="1" x14ac:dyDescent="0.25">
      <c r="A5121" s="94" t="s">
        <v>2688</v>
      </c>
      <c r="B5121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5121" s="95" t="str">
        <f>IFERROR(VLOOKUP("UD",'Informacion '!P:Q,2,FALSE),"")</f>
        <v>Unidad</v>
      </c>
      <c r="D5121" s="94">
        <v>1500</v>
      </c>
      <c r="E5121" s="84">
        <v>600</v>
      </c>
      <c r="F5121" s="83">
        <f t="shared" ca="1" si="223"/>
        <v>900000</v>
      </c>
    </row>
    <row r="5122" spans="1:10" ht="14.1" customHeight="1" x14ac:dyDescent="0.25">
      <c r="A5122" s="94" t="s">
        <v>7588</v>
      </c>
      <c r="B5122" s="82" t="str">
        <f ca="1">IFERROR(INDEX(UNSPSCDes,MATCH(INDIRECT(ADDRESS(ROW(),COLUMN()-1,4)),UNSPSCCode,0)),IF(INDIRECT(ADDRESS(ROW(),COLUMN()-1,4))="52131501","Cortinas",""))</f>
        <v>Cortinas</v>
      </c>
      <c r="C5122" s="95" t="str">
        <f>IFERROR(VLOOKUP("UD",'Informacion '!P:Q,2,FALSE),"")</f>
        <v>Unidad</v>
      </c>
      <c r="D5122" s="94">
        <v>6</v>
      </c>
      <c r="E5122" s="84">
        <v>10000</v>
      </c>
      <c r="F5122" s="83">
        <f t="shared" ca="1" si="223"/>
        <v>60000</v>
      </c>
    </row>
    <row r="5123" spans="1:10" ht="14.1" customHeight="1" x14ac:dyDescent="0.25">
      <c r="A5123" s="94" t="s">
        <v>11208</v>
      </c>
      <c r="B5123" s="82" t="str">
        <f ca="1">IFERROR(INDEX(UNSPSCDes,MATCH(INDIRECT(ADDRESS(ROW(),COLUMN()-1,4)),UNSPSCCode,0)),IF(INDIRECT(ADDRESS(ROW(),COLUMN()-1,4))="30171705","Vidrio laminado",""))</f>
        <v>Vidrio laminado</v>
      </c>
      <c r="C5123" s="95" t="str">
        <f>IFERROR(VLOOKUP("FT2",'Informacion '!P:Q,2,FALSE),"")</f>
        <v>Pie cuadrado</v>
      </c>
      <c r="D5123" s="94">
        <v>100</v>
      </c>
      <c r="E5123" s="84">
        <v>150</v>
      </c>
      <c r="F5123" s="83">
        <f t="shared" ca="1" si="223"/>
        <v>15000</v>
      </c>
    </row>
    <row r="5124" spans="1:10" ht="14.1" customHeight="1" x14ac:dyDescent="0.25">
      <c r="A5124" s="94" t="s">
        <v>13464</v>
      </c>
      <c r="B5124" s="82" t="str">
        <f ca="1">IFERROR(INDEX(UNSPSCDes,MATCH(INDIRECT(ADDRESS(ROW(),COLUMN()-1,4)),UNSPSCCode,0)),IF(INDIRECT(ADDRESS(ROW(),COLUMN()-1,4))="53102710","Uniformes corporativos",""))</f>
        <v>Uniformes corporativos</v>
      </c>
      <c r="C5124" s="95" t="str">
        <f>IFERROR(VLOOKUP("UD",'Informacion '!P:Q,2,FALSE),"")</f>
        <v>Unidad</v>
      </c>
      <c r="D5124" s="94">
        <v>120</v>
      </c>
      <c r="E5124" s="84">
        <v>850</v>
      </c>
      <c r="F5124" s="83">
        <f t="shared" ca="1" si="223"/>
        <v>102000</v>
      </c>
    </row>
    <row r="5125" spans="1:10" ht="14.1" customHeight="1" x14ac:dyDescent="0.25">
      <c r="E5125" s="96" t="s">
        <v>7213</v>
      </c>
      <c r="F5125" s="87">
        <f ca="1">SUM(Table130[MONTO TOTAL ESTIMADO])</f>
        <v>4214463</v>
      </c>
      <c r="H5125" s="39" t="str">
        <f>C4993</f>
        <v>Bienes</v>
      </c>
      <c r="I5125" s="39" t="str">
        <f>E4993</f>
        <v>No</v>
      </c>
      <c r="J5125" s="39" t="str">
        <f>D4993</f>
        <v>Compras Menores</v>
      </c>
    </row>
    <row r="5127" spans="1:10" ht="33.950000000000003" customHeight="1" x14ac:dyDescent="0.25">
      <c r="A5127" s="77" t="s">
        <v>17233</v>
      </c>
      <c r="B5127" s="77" t="s">
        <v>4237</v>
      </c>
      <c r="C5127" s="77" t="s">
        <v>4743</v>
      </c>
      <c r="D5127" s="77" t="s">
        <v>9891</v>
      </c>
      <c r="E5127" s="77" t="s">
        <v>3089</v>
      </c>
      <c r="F5127" s="77" t="s">
        <v>18141</v>
      </c>
    </row>
    <row r="5128" spans="1:10" ht="14.1" customHeight="1" x14ac:dyDescent="0.25">
      <c r="A5128" s="79" t="s">
        <v>7216</v>
      </c>
      <c r="B5128" s="79" t="s">
        <v>10353</v>
      </c>
      <c r="C5128" s="79" t="s">
        <v>17215</v>
      </c>
      <c r="D5128" s="79" t="s">
        <v>17798</v>
      </c>
      <c r="E5128" s="79" t="s">
        <v>18247</v>
      </c>
      <c r="F5128" s="79"/>
    </row>
    <row r="5129" spans="1:10" ht="14.1" customHeight="1" x14ac:dyDescent="0.25">
      <c r="A5129" s="2" t="s">
        <v>6643</v>
      </c>
      <c r="B5129" s="80" t="s">
        <v>1046</v>
      </c>
      <c r="C5129" s="90">
        <v>43470</v>
      </c>
      <c r="D5129" s="2" t="s">
        <v>59</v>
      </c>
      <c r="E5129" s="92" t="s">
        <v>20066</v>
      </c>
      <c r="F5129" s="93"/>
    </row>
    <row r="5130" spans="1:10" ht="14.1" customHeight="1" x14ac:dyDescent="0.25">
      <c r="A5130" s="1"/>
      <c r="B5130" s="80" t="s">
        <v>10788</v>
      </c>
      <c r="C5130" s="91">
        <f>IF(C5129="","",IF(AND(MONTH(C5129)&gt;=1,MONTH(C5129)&lt;=3),1,IF(AND(MONTH(C5129)&gt;=4,MONTH(C5129)&lt;=6),2,IF(AND(MONTH(C5129)&gt;=7,MONTH(C5129)&lt;=9),3,4))))</f>
        <v>1</v>
      </c>
      <c r="D5130" s="1"/>
      <c r="E5130" s="92" t="s">
        <v>14822</v>
      </c>
      <c r="F5130" s="93"/>
    </row>
    <row r="5131" spans="1:10" ht="14.1" customHeight="1" x14ac:dyDescent="0.25">
      <c r="A5131" s="1"/>
      <c r="B5131" s="80" t="s">
        <v>13758</v>
      </c>
      <c r="C5131" s="90">
        <v>43553</v>
      </c>
      <c r="D5131" s="1"/>
      <c r="E5131" s="92" t="s">
        <v>18636</v>
      </c>
      <c r="F5131" s="93"/>
    </row>
    <row r="5132" spans="1:10" ht="14.1" customHeight="1" x14ac:dyDescent="0.25">
      <c r="A5132" s="1"/>
      <c r="B5132" s="80" t="s">
        <v>10788</v>
      </c>
      <c r="C5132" s="91">
        <f>IF(C5131="","",IF(AND(MONTH(C5131)&gt;=1,MONTH(C5131)&lt;=3),1,IF(AND(MONTH(C5131)&gt;=4,MONTH(C5131)&lt;=6),2,IF(AND(MONTH(C5131)&gt;=7,MONTH(C5131)&lt;=9),3,4))))</f>
        <v>1</v>
      </c>
      <c r="D5132" s="1"/>
      <c r="E5132" s="92" t="s">
        <v>15990</v>
      </c>
      <c r="F5132" s="93"/>
    </row>
    <row r="5134" spans="1:10" ht="14.1" customHeight="1" x14ac:dyDescent="0.25">
      <c r="A5134" s="85" t="s">
        <v>15474</v>
      </c>
      <c r="B5134" s="85" t="s">
        <v>5027</v>
      </c>
      <c r="C5134" s="85" t="s">
        <v>17461</v>
      </c>
      <c r="D5134" s="85" t="s">
        <v>3935</v>
      </c>
      <c r="E5134" s="85" t="s">
        <v>10722</v>
      </c>
      <c r="F5134" s="85" t="s">
        <v>18237</v>
      </c>
    </row>
    <row r="5135" spans="1:10" ht="14.1" customHeight="1" x14ac:dyDescent="0.25">
      <c r="A5135" s="94" t="s">
        <v>3569</v>
      </c>
      <c r="B5135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5135" s="95" t="str">
        <f>IFERROR(VLOOKUP("UD",'Informacion '!P:Q,2,FALSE),"")</f>
        <v>Unidad</v>
      </c>
      <c r="D5135" s="94">
        <v>20</v>
      </c>
      <c r="E5135" s="84">
        <v>9000</v>
      </c>
      <c r="F5135" s="83">
        <f t="shared" ref="F5135:F5170" ca="1" si="225">INDIRECT(ADDRESS(ROW(),COLUMN()-2,4))*INDIRECT(ADDRESS(ROW(),COLUMN()-1,4))</f>
        <v>180000</v>
      </c>
    </row>
    <row r="5136" spans="1:10" ht="14.1" customHeight="1" x14ac:dyDescent="0.25">
      <c r="A5136" s="94" t="s">
        <v>9605</v>
      </c>
      <c r="B5136" s="82" t="str">
        <f ca="1">IFERROR(INDEX(UNSPSCDes,MATCH(INDIRECT(ADDRESS(ROW(),COLUMN()-1,4)),UNSPSCCode,0)),IF(INDIRECT(ADDRESS(ROW(),COLUMN()-1,4))="56101522","Sillas de brazos",""))</f>
        <v>Sillas de brazos</v>
      </c>
      <c r="C5136" s="95" t="str">
        <f>IFERROR(VLOOKUP("UD",'Informacion '!P:Q,2,FALSE),"")</f>
        <v>Unidad</v>
      </c>
      <c r="D5136" s="94">
        <v>25</v>
      </c>
      <c r="E5136" s="84">
        <v>700</v>
      </c>
      <c r="F5136" s="83">
        <f t="shared" ca="1" si="225"/>
        <v>17500</v>
      </c>
    </row>
    <row r="5137" spans="1:6" ht="14.1" customHeight="1" x14ac:dyDescent="0.25">
      <c r="A5137" s="94" t="s">
        <v>14102</v>
      </c>
      <c r="B5137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5137" s="95" t="str">
        <f>IFERROR(VLOOKUP("UD",'Informacion '!P:Q,2,FALSE),"")</f>
        <v>Unidad</v>
      </c>
      <c r="D5137" s="94">
        <v>15</v>
      </c>
      <c r="E5137" s="84">
        <v>30000</v>
      </c>
      <c r="F5137" s="83">
        <f t="shared" ca="1" si="225"/>
        <v>450000</v>
      </c>
    </row>
    <row r="5138" spans="1:6" ht="14.1" customHeight="1" x14ac:dyDescent="0.25">
      <c r="A5138" s="94" t="s">
        <v>4615</v>
      </c>
      <c r="B5138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138" s="95" t="str">
        <f>IFERROR(VLOOKUP("UD",'Informacion '!P:Q,2,FALSE),"")</f>
        <v>Unidad</v>
      </c>
      <c r="D5138" s="94">
        <v>1</v>
      </c>
      <c r="E5138" s="84">
        <v>300000</v>
      </c>
      <c r="F5138" s="83">
        <f t="shared" ca="1" si="225"/>
        <v>300000</v>
      </c>
    </row>
    <row r="5139" spans="1:6" ht="14.1" customHeight="1" x14ac:dyDescent="0.25">
      <c r="A5139" s="94" t="s">
        <v>4615</v>
      </c>
      <c r="B5139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139" s="95" t="str">
        <f>IFERROR(VLOOKUP("UD",'Informacion '!P:Q,2,FALSE),"")</f>
        <v>Unidad</v>
      </c>
      <c r="D5139" s="94">
        <v>1</v>
      </c>
      <c r="E5139" s="84">
        <v>500000</v>
      </c>
      <c r="F5139" s="83">
        <f t="shared" ca="1" si="225"/>
        <v>500000</v>
      </c>
    </row>
    <row r="5140" spans="1:6" ht="14.1" customHeight="1" x14ac:dyDescent="0.25">
      <c r="A5140" s="94" t="s">
        <v>2688</v>
      </c>
      <c r="B5140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5140" s="95" t="str">
        <f>IFERROR(VLOOKUP("M2",'Informacion '!P:Q,2,FALSE),"")</f>
        <v>Metro cuadrado</v>
      </c>
      <c r="D5140" s="94">
        <v>1100</v>
      </c>
      <c r="E5140" s="84">
        <v>600</v>
      </c>
      <c r="F5140" s="83">
        <f t="shared" ca="1" si="225"/>
        <v>660000</v>
      </c>
    </row>
    <row r="5141" spans="1:6" ht="14.1" customHeight="1" x14ac:dyDescent="0.25">
      <c r="A5141" s="94" t="s">
        <v>96</v>
      </c>
      <c r="B5141" s="82" t="str">
        <f ca="1">IFERROR(INDEX(UNSPSCDes,MATCH(INDIRECT(ADDRESS(ROW(),COLUMN()-1,4)),UNSPSCCode,0)),IF(INDIRECT(ADDRESS(ROW(),COLUMN()-1,4))="12352206","Tejidos",""))</f>
        <v>Tejidos</v>
      </c>
      <c r="C5141" s="95" t="str">
        <f>IFERROR(VLOOKUP("UD",'Informacion '!P:Q,2,FALSE),"")</f>
        <v>Unidad</v>
      </c>
      <c r="D5141" s="94">
        <v>1</v>
      </c>
      <c r="E5141" s="84">
        <v>3300000</v>
      </c>
      <c r="F5141" s="83">
        <f t="shared" ca="1" si="225"/>
        <v>3300000</v>
      </c>
    </row>
    <row r="5142" spans="1:6" ht="14.1" customHeight="1" x14ac:dyDescent="0.25">
      <c r="A5142" s="94" t="s">
        <v>11208</v>
      </c>
      <c r="B5142" s="82" t="str">
        <f ca="1">IFERROR(INDEX(UNSPSCDes,MATCH(INDIRECT(ADDRESS(ROW(),COLUMN()-1,4)),UNSPSCCode,0)),IF(INDIRECT(ADDRESS(ROW(),COLUMN()-1,4))="30171705","Vidrio laminado",""))</f>
        <v>Vidrio laminado</v>
      </c>
      <c r="C5142" s="95" t="str">
        <f>IFERROR(VLOOKUP("FT2",'Informacion '!P:Q,2,FALSE),"")</f>
        <v>Pie cuadrado</v>
      </c>
      <c r="D5142" s="94">
        <v>100</v>
      </c>
      <c r="E5142" s="84">
        <v>150</v>
      </c>
      <c r="F5142" s="83">
        <f t="shared" ca="1" si="225"/>
        <v>15000</v>
      </c>
    </row>
    <row r="5143" spans="1:6" ht="14.1" customHeight="1" x14ac:dyDescent="0.25">
      <c r="A5143" s="94" t="s">
        <v>7201</v>
      </c>
      <c r="B5143" s="82" t="str">
        <f ca="1">IFERROR(INDEX(UNSPSCDes,MATCH(INDIRECT(ADDRESS(ROW(),COLUMN()-1,4)),UNSPSCCode,0)),IF(INDIRECT(ADDRESS(ROW(),COLUMN()-1,4))="53102507","Ganchos para colgar la ropa",""))</f>
        <v>Ganchos para colgar la ropa</v>
      </c>
      <c r="C5143" s="95" t="str">
        <f>IFERROR(VLOOKUP("UD",'Informacion '!P:Q,2,FALSE),"")</f>
        <v>Unidad</v>
      </c>
      <c r="D5143" s="94">
        <v>10</v>
      </c>
      <c r="E5143" s="84">
        <v>100</v>
      </c>
      <c r="F5143" s="83">
        <f t="shared" ca="1" si="225"/>
        <v>1000</v>
      </c>
    </row>
    <row r="5144" spans="1:6" ht="14.1" customHeight="1" x14ac:dyDescent="0.25">
      <c r="A5144" s="94" t="s">
        <v>7201</v>
      </c>
      <c r="B5144" s="82" t="str">
        <f ca="1">IFERROR(INDEX(UNSPSCDes,MATCH(INDIRECT(ADDRESS(ROW(),COLUMN()-1,4)),UNSPSCCode,0)),IF(INDIRECT(ADDRESS(ROW(),COLUMN()-1,4))="53102507","Ganchos para colgar la ropa",""))</f>
        <v>Ganchos para colgar la ropa</v>
      </c>
      <c r="C5144" s="95" t="str">
        <f>IFERROR(VLOOKUP("UD",'Informacion '!P:Q,2,FALSE),"")</f>
        <v>Unidad</v>
      </c>
      <c r="D5144" s="94">
        <v>40</v>
      </c>
      <c r="E5144" s="84">
        <v>250</v>
      </c>
      <c r="F5144" s="83">
        <f t="shared" ca="1" si="225"/>
        <v>10000</v>
      </c>
    </row>
    <row r="5145" spans="1:6" ht="14.1" customHeight="1" x14ac:dyDescent="0.25">
      <c r="A5145" s="94" t="s">
        <v>7201</v>
      </c>
      <c r="B5145" s="82" t="str">
        <f ca="1">IFERROR(INDEX(UNSPSCDes,MATCH(INDIRECT(ADDRESS(ROW(),COLUMN()-1,4)),UNSPSCCode,0)),IF(INDIRECT(ADDRESS(ROW(),COLUMN()-1,4))="53102507","Ganchos para colgar la ropa",""))</f>
        <v>Ganchos para colgar la ropa</v>
      </c>
      <c r="C5145" s="95" t="str">
        <f>IFERROR(VLOOKUP("UD",'Informacion '!P:Q,2,FALSE),"")</f>
        <v>Unidad</v>
      </c>
      <c r="D5145" s="94">
        <v>6</v>
      </c>
      <c r="E5145" s="84">
        <v>1200</v>
      </c>
      <c r="F5145" s="83">
        <f t="shared" ca="1" si="225"/>
        <v>7200</v>
      </c>
    </row>
    <row r="5146" spans="1:6" ht="14.1" customHeight="1" x14ac:dyDescent="0.25">
      <c r="A5146" s="94" t="s">
        <v>6445</v>
      </c>
      <c r="B5146" s="82" t="str">
        <f ca="1">IFERROR(INDEX(UNSPSCDes,MATCH(INDIRECT(ADDRESS(ROW(),COLUMN()-1,4)),UNSPSCCode,0)),IF(INDIRECT(ADDRESS(ROW(),COLUMN()-1,4))="46182007","Sistema de respirador accionado purificador de aire papr o accesorios",""))</f>
        <v>Sistema de respirador accionado purificador de aire papr o accesorios</v>
      </c>
      <c r="C5146" s="95" t="str">
        <f>IFERROR(VLOOKUP("UD",'Informacion '!P:Q,2,FALSE),"")</f>
        <v>Unidad</v>
      </c>
      <c r="D5146" s="94">
        <v>1</v>
      </c>
      <c r="E5146" s="84">
        <v>90000</v>
      </c>
      <c r="F5146" s="83">
        <f t="shared" ca="1" si="225"/>
        <v>90000</v>
      </c>
    </row>
    <row r="5147" spans="1:6" ht="14.1" customHeight="1" x14ac:dyDescent="0.25">
      <c r="A5147" s="94" t="s">
        <v>19478</v>
      </c>
      <c r="B5147" s="82" t="str">
        <f ca="1">IFERROR(INDEX(UNSPSCDes,MATCH(INDIRECT(ADDRESS(ROW(),COLUMN()-1,4)),UNSPSCCode,0)),IF(INDIRECT(ADDRESS(ROW(),COLUMN()-1,4))="56112104","Sillas para ejecutivos",""))</f>
        <v>Sillas para ejecutivos</v>
      </c>
      <c r="C5147" s="95" t="str">
        <f>IFERROR(VLOOKUP("UD",'Informacion '!P:Q,2,FALSE),"")</f>
        <v>Unidad</v>
      </c>
      <c r="D5147" s="94">
        <v>10</v>
      </c>
      <c r="E5147" s="84">
        <v>12000</v>
      </c>
      <c r="F5147" s="83">
        <f t="shared" ca="1" si="225"/>
        <v>120000</v>
      </c>
    </row>
    <row r="5148" spans="1:6" ht="14.1" customHeight="1" x14ac:dyDescent="0.25">
      <c r="A5148" s="94" t="s">
        <v>19478</v>
      </c>
      <c r="B5148" s="82" t="str">
        <f ca="1">IFERROR(INDEX(UNSPSCDes,MATCH(INDIRECT(ADDRESS(ROW(),COLUMN()-1,4)),UNSPSCCode,0)),IF(INDIRECT(ADDRESS(ROW(),COLUMN()-1,4))="56112104","Sillas para ejecutivos",""))</f>
        <v>Sillas para ejecutivos</v>
      </c>
      <c r="C5148" s="95" t="str">
        <f>IFERROR(VLOOKUP("UD",'Informacion '!P:Q,2,FALSE),"")</f>
        <v>Unidad</v>
      </c>
      <c r="D5148" s="94">
        <v>16</v>
      </c>
      <c r="E5148" s="84">
        <v>9000</v>
      </c>
      <c r="F5148" s="83">
        <f t="shared" ca="1" si="225"/>
        <v>144000</v>
      </c>
    </row>
    <row r="5149" spans="1:6" ht="14.1" customHeight="1" x14ac:dyDescent="0.25">
      <c r="A5149" s="94" t="s">
        <v>4426</v>
      </c>
      <c r="B5149" s="82" t="str">
        <f ca="1">IFERROR(INDEX(UNSPSCDes,MATCH(INDIRECT(ADDRESS(ROW(),COLUMN()-1,4)),UNSPSCCode,0)),IF(INDIRECT(ADDRESS(ROW(),COLUMN()-1,4))="56112103","Sillas para visitantes",""))</f>
        <v>Sillas para visitantes</v>
      </c>
      <c r="C5149" s="95" t="str">
        <f>IFERROR(VLOOKUP("UD",'Informacion '!P:Q,2,FALSE),"")</f>
        <v>Unidad</v>
      </c>
      <c r="D5149" s="94">
        <v>8</v>
      </c>
      <c r="E5149" s="84">
        <v>5000</v>
      </c>
      <c r="F5149" s="83">
        <f t="shared" ca="1" si="225"/>
        <v>40000</v>
      </c>
    </row>
    <row r="5150" spans="1:6" ht="14.1" customHeight="1" x14ac:dyDescent="0.25">
      <c r="A5150" s="94" t="s">
        <v>4435</v>
      </c>
      <c r="B5150" s="82" t="str">
        <f ca="1">IFERROR(INDEX(UNSPSCDes,MATCH(INDIRECT(ADDRESS(ROW(),COLUMN()-1,4)),UNSPSCCode,0)),IF(INDIRECT(ADDRESS(ROW(),COLUMN()-1,4))="56101703","Escritorios",""))</f>
        <v>Escritorios</v>
      </c>
      <c r="C5150" s="95" t="str">
        <f>IFERROR(VLOOKUP("UD",'Informacion '!P:Q,2,FALSE),"")</f>
        <v>Unidad</v>
      </c>
      <c r="D5150" s="94">
        <v>2</v>
      </c>
      <c r="E5150" s="84">
        <v>15000</v>
      </c>
      <c r="F5150" s="83">
        <f t="shared" ca="1" si="225"/>
        <v>30000</v>
      </c>
    </row>
    <row r="5151" spans="1:6" ht="14.1" customHeight="1" x14ac:dyDescent="0.25">
      <c r="A5151" s="94" t="s">
        <v>1930</v>
      </c>
      <c r="B5151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5151" s="95" t="str">
        <f>IFERROR(VLOOKUP("UD",'Informacion '!P:Q,2,FALSE),"")</f>
        <v>Unidad</v>
      </c>
      <c r="D5151" s="94">
        <v>6</v>
      </c>
      <c r="E5151" s="84">
        <v>7000</v>
      </c>
      <c r="F5151" s="83">
        <f t="shared" ca="1" si="225"/>
        <v>42000</v>
      </c>
    </row>
    <row r="5152" spans="1:6" ht="14.1" customHeight="1" x14ac:dyDescent="0.25">
      <c r="A5152" s="94" t="s">
        <v>10620</v>
      </c>
      <c r="B5152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5152" s="95" t="str">
        <f>IFERROR(VLOOKUP("UD",'Informacion '!P:Q,2,FALSE),"")</f>
        <v>Unidad</v>
      </c>
      <c r="D5152" s="94">
        <v>6</v>
      </c>
      <c r="E5152" s="84">
        <v>8000</v>
      </c>
      <c r="F5152" s="83">
        <f t="shared" ca="1" si="225"/>
        <v>48000</v>
      </c>
    </row>
    <row r="5153" spans="1:6" ht="14.1" customHeight="1" x14ac:dyDescent="0.25">
      <c r="A5153" s="94" t="s">
        <v>14102</v>
      </c>
      <c r="B5153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5153" s="95" t="str">
        <f>IFERROR(VLOOKUP("UD",'Informacion '!P:Q,2,FALSE),"")</f>
        <v>Unidad</v>
      </c>
      <c r="D5153" s="94">
        <v>3</v>
      </c>
      <c r="E5153" s="84">
        <v>24000</v>
      </c>
      <c r="F5153" s="83">
        <f t="shared" ca="1" si="225"/>
        <v>72000</v>
      </c>
    </row>
    <row r="5154" spans="1:6" ht="14.1" customHeight="1" x14ac:dyDescent="0.25">
      <c r="A5154" s="94" t="s">
        <v>10620</v>
      </c>
      <c r="B5154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5154" s="95" t="str">
        <f>IFERROR(VLOOKUP("UD",'Informacion '!P:Q,2,FALSE),"")</f>
        <v>Unidad</v>
      </c>
      <c r="D5154" s="94">
        <v>14</v>
      </c>
      <c r="E5154" s="84">
        <v>550</v>
      </c>
      <c r="F5154" s="83">
        <f t="shared" ca="1" si="225"/>
        <v>7700</v>
      </c>
    </row>
    <row r="5155" spans="1:6" ht="14.1" customHeight="1" x14ac:dyDescent="0.25">
      <c r="A5155" s="94" t="s">
        <v>16618</v>
      </c>
      <c r="B5155" s="82" t="str">
        <f ca="1">IFERROR(INDEX(UNSPSCDes,MATCH(INDIRECT(ADDRESS(ROW(),COLUMN()-1,4)),UNSPSCCode,0)),IF(INDIRECT(ADDRESS(ROW(),COLUMN()-1,4))="56101520","Casilleros (“lockers”)",""))</f>
        <v>Casilleros (“lockers”)</v>
      </c>
      <c r="C5155" s="95" t="str">
        <f>IFERROR(VLOOKUP("UD",'Informacion '!P:Q,2,FALSE),"")</f>
        <v>Unidad</v>
      </c>
      <c r="D5155" s="94">
        <v>10</v>
      </c>
      <c r="E5155" s="84">
        <v>8000</v>
      </c>
      <c r="F5155" s="83">
        <f t="shared" ca="1" si="225"/>
        <v>80000</v>
      </c>
    </row>
    <row r="5156" spans="1:6" ht="14.1" customHeight="1" x14ac:dyDescent="0.25">
      <c r="A5156" s="94" t="s">
        <v>16618</v>
      </c>
      <c r="B5156" s="82" t="str">
        <f ca="1">IFERROR(INDEX(UNSPSCDes,MATCH(INDIRECT(ADDRESS(ROW(),COLUMN()-1,4)),UNSPSCCode,0)),IF(INDIRECT(ADDRESS(ROW(),COLUMN()-1,4))="56101520","Casilleros (“lockers”)",""))</f>
        <v>Casilleros (“lockers”)</v>
      </c>
      <c r="C5156" s="95" t="str">
        <f>IFERROR(VLOOKUP("UD",'Informacion '!P:Q,2,FALSE),"")</f>
        <v>Unidad</v>
      </c>
      <c r="D5156" s="94">
        <v>4</v>
      </c>
      <c r="E5156" s="84">
        <v>15000</v>
      </c>
      <c r="F5156" s="83">
        <f t="shared" ca="1" si="225"/>
        <v>60000</v>
      </c>
    </row>
    <row r="5157" spans="1:6" ht="14.1" customHeight="1" x14ac:dyDescent="0.25">
      <c r="A5157" s="94" t="s">
        <v>6240</v>
      </c>
      <c r="B5157" s="82" t="str">
        <f ca="1">IFERROR(INDEX(UNSPSCDes,MATCH(INDIRECT(ADDRESS(ROW(),COLUMN()-1,4)),UNSPSCCode,0)),IF(INDIRECT(ADDRESS(ROW(),COLUMN()-1,4))="56101518","Estanterías de pared",""))</f>
        <v>Estanterías de pared</v>
      </c>
      <c r="C5157" s="95" t="str">
        <f>IFERROR(VLOOKUP("UD",'Informacion '!P:Q,2,FALSE),"")</f>
        <v>Unidad</v>
      </c>
      <c r="D5157" s="94">
        <v>5</v>
      </c>
      <c r="E5157" s="84">
        <v>12000</v>
      </c>
      <c r="F5157" s="83">
        <f t="shared" ca="1" si="225"/>
        <v>60000</v>
      </c>
    </row>
    <row r="5158" spans="1:6" ht="14.1" customHeight="1" x14ac:dyDescent="0.25">
      <c r="A5158" s="94" t="s">
        <v>6240</v>
      </c>
      <c r="B5158" s="82" t="str">
        <f ca="1">IFERROR(INDEX(UNSPSCDes,MATCH(INDIRECT(ADDRESS(ROW(),COLUMN()-1,4)),UNSPSCCode,0)),IF(INDIRECT(ADDRESS(ROW(),COLUMN()-1,4))="56101518","Estanterías de pared",""))</f>
        <v>Estanterías de pared</v>
      </c>
      <c r="C5158" s="95" t="str">
        <f>IFERROR(VLOOKUP("UD",'Informacion '!P:Q,2,FALSE),"")</f>
        <v>Unidad</v>
      </c>
      <c r="D5158" s="94">
        <v>6</v>
      </c>
      <c r="E5158" s="84">
        <v>12000</v>
      </c>
      <c r="F5158" s="83">
        <f t="shared" ca="1" si="225"/>
        <v>72000</v>
      </c>
    </row>
    <row r="5159" spans="1:6" ht="14.1" customHeight="1" x14ac:dyDescent="0.25">
      <c r="A5159" s="94" t="s">
        <v>1020</v>
      </c>
      <c r="B5159" s="82" t="str">
        <f ca="1">IFERROR(INDEX(UNSPSCDes,MATCH(INDIRECT(ADDRESS(ROW(),COLUMN()-1,4)),UNSPSCCode,0)),IF(INDIRECT(ADDRESS(ROW(),COLUMN()-1,4))="45111802","Soportes para televisiones",""))</f>
        <v>Soportes para televisiones</v>
      </c>
      <c r="C5159" s="95" t="str">
        <f>IFERROR(VLOOKUP("UD",'Informacion '!P:Q,2,FALSE),"")</f>
        <v>Unidad</v>
      </c>
      <c r="D5159" s="94">
        <v>3</v>
      </c>
      <c r="E5159" s="84">
        <v>2000</v>
      </c>
      <c r="F5159" s="83">
        <f t="shared" ca="1" si="225"/>
        <v>6000</v>
      </c>
    </row>
    <row r="5160" spans="1:6" ht="14.1" customHeight="1" x14ac:dyDescent="0.25">
      <c r="A5160" s="94" t="s">
        <v>13945</v>
      </c>
      <c r="B5160" s="82" t="str">
        <f ca="1">IFERROR(INDEX(UNSPSCDes,MATCH(INDIRECT(ADDRESS(ROW(),COLUMN()-1,4)),UNSPSCCode,0)),IF(INDIRECT(ADDRESS(ROW(),COLUMN()-1,4))="70111501","Servicios de siembra de árboles, arbustos o plantas ornamentales",""))</f>
        <v>Servicios de siembra de árboles, arbustos o plantas ornamentales</v>
      </c>
      <c r="C5160" s="95" t="str">
        <f>IFERROR(VLOOKUP("UD",'Informacion '!P:Q,2,FALSE),"")</f>
        <v>Unidad</v>
      </c>
      <c r="D5160" s="94">
        <v>6</v>
      </c>
      <c r="E5160" s="84">
        <v>30092.13</v>
      </c>
      <c r="F5160" s="83">
        <f t="shared" ca="1" si="225"/>
        <v>180552.78</v>
      </c>
    </row>
    <row r="5161" spans="1:6" ht="14.1" customHeight="1" x14ac:dyDescent="0.25">
      <c r="A5161" s="94" t="s">
        <v>13945</v>
      </c>
      <c r="B5161" s="82" t="str">
        <f ca="1">IFERROR(INDEX(UNSPSCDes,MATCH(INDIRECT(ADDRESS(ROW(),COLUMN()-1,4)),UNSPSCCode,0)),IF(INDIRECT(ADDRESS(ROW(),COLUMN()-1,4))="70111501","Servicios de siembra de árboles, arbustos o plantas ornamentales",""))</f>
        <v>Servicios de siembra de árboles, arbustos o plantas ornamentales</v>
      </c>
      <c r="C5161" s="95" t="str">
        <f>IFERROR(VLOOKUP("UD",'Informacion '!P:Q,2,FALSE),"")</f>
        <v>Unidad</v>
      </c>
      <c r="D5161" s="94">
        <v>7</v>
      </c>
      <c r="E5161" s="84">
        <v>1117.4000000000001</v>
      </c>
      <c r="F5161" s="83">
        <f t="shared" ca="1" si="225"/>
        <v>7821.8000000000011</v>
      </c>
    </row>
    <row r="5162" spans="1:6" ht="14.1" customHeight="1" x14ac:dyDescent="0.25">
      <c r="A5162" s="94" t="s">
        <v>10587</v>
      </c>
      <c r="B5162" s="82" t="str">
        <f ca="1">IFERROR(INDEX(UNSPSCDes,MATCH(INDIRECT(ADDRESS(ROW(),COLUMN()-1,4)),UNSPSCCode,0)),IF(INDIRECT(ADDRESS(ROW(),COLUMN()-1,4))="10141608","Arneses o sus accesorios",""))</f>
        <v>Arneses o sus accesorios</v>
      </c>
      <c r="C5162" s="95" t="str">
        <f>IFERROR(VLOOKUP("UD",'Informacion '!P:Q,2,FALSE),"")</f>
        <v>Unidad</v>
      </c>
      <c r="D5162" s="94">
        <v>2</v>
      </c>
      <c r="E5162" s="84">
        <v>3950</v>
      </c>
      <c r="F5162" s="83">
        <f t="shared" ca="1" si="225"/>
        <v>7900</v>
      </c>
    </row>
    <row r="5163" spans="1:6" ht="14.1" customHeight="1" x14ac:dyDescent="0.25">
      <c r="A5163" s="94" t="s">
        <v>19337</v>
      </c>
      <c r="B5163" s="82" t="str">
        <f ca="1">IFERROR(INDEX(UNSPSCDes,MATCH(INDIRECT(ADDRESS(ROW(),COLUMN()-1,4)),UNSPSCCode,0)),IF(INDIRECT(ADDRESS(ROW(),COLUMN()-1,4))="30171504","Puertas de madera",""))</f>
        <v>Puertas de madera</v>
      </c>
      <c r="C5163" s="95" t="str">
        <f>IFERROR(VLOOKUP("UD",'Informacion '!P:Q,2,FALSE),"")</f>
        <v>Unidad</v>
      </c>
      <c r="D5163" s="94">
        <v>6</v>
      </c>
      <c r="E5163" s="84">
        <v>375</v>
      </c>
      <c r="F5163" s="83">
        <f t="shared" ca="1" si="225"/>
        <v>2250</v>
      </c>
    </row>
    <row r="5164" spans="1:6" ht="14.1" customHeight="1" x14ac:dyDescent="0.25">
      <c r="A5164" s="94" t="s">
        <v>250</v>
      </c>
      <c r="B5164" s="82" t="str">
        <f ca="1">IFERROR(INDEX(UNSPSCDes,MATCH(INDIRECT(ADDRESS(ROW(),COLUMN()-1,4)),UNSPSCCode,0)),IF(INDIRECT(ADDRESS(ROW(),COLUMN()-1,4))="39121719","Protectores",""))</f>
        <v>Protectores</v>
      </c>
      <c r="C5164" s="95" t="str">
        <f>IFERROR(VLOOKUP("UD",'Informacion '!P:Q,2,FALSE),"")</f>
        <v>Unidad</v>
      </c>
      <c r="D5164" s="94">
        <v>8</v>
      </c>
      <c r="E5164" s="84">
        <v>1250</v>
      </c>
      <c r="F5164" s="83">
        <f t="shared" ca="1" si="225"/>
        <v>10000</v>
      </c>
    </row>
    <row r="5165" spans="1:6" ht="14.1" customHeight="1" x14ac:dyDescent="0.25">
      <c r="A5165" s="94" t="s">
        <v>250</v>
      </c>
      <c r="B5165" s="82" t="str">
        <f ca="1">IFERROR(INDEX(UNSPSCDes,MATCH(INDIRECT(ADDRESS(ROW(),COLUMN()-1,4)),UNSPSCCode,0)),IF(INDIRECT(ADDRESS(ROW(),COLUMN()-1,4))="39121719","Protectores",""))</f>
        <v>Protectores</v>
      </c>
      <c r="C5165" s="95" t="str">
        <f>IFERROR(VLOOKUP("UD",'Informacion '!P:Q,2,FALSE),"")</f>
        <v>Unidad</v>
      </c>
      <c r="D5165" s="94">
        <v>20</v>
      </c>
      <c r="E5165" s="84">
        <v>1500</v>
      </c>
      <c r="F5165" s="83">
        <f t="shared" ca="1" si="225"/>
        <v>30000</v>
      </c>
    </row>
    <row r="5166" spans="1:6" ht="14.1" customHeight="1" x14ac:dyDescent="0.25">
      <c r="A5166" s="94" t="s">
        <v>1371</v>
      </c>
      <c r="B5166" s="82" t="str">
        <f ca="1">IFERROR(INDEX(UNSPSCDes,MATCH(INDIRECT(ADDRESS(ROW(),COLUMN()-1,4)),UNSPSCCode,0)),IF(INDIRECT(ADDRESS(ROW(),COLUMN()-1,4))="31151601","Cadenas de seguridad",""))</f>
        <v>Cadenas de seguridad</v>
      </c>
      <c r="C5166" s="95" t="str">
        <f>IFERROR(VLOOKUP("FT",'Informacion '!P:Q,2,FALSE),"")</f>
        <v>Pie</v>
      </c>
      <c r="D5166" s="94">
        <v>10</v>
      </c>
      <c r="E5166" s="84">
        <v>80</v>
      </c>
      <c r="F5166" s="83">
        <f t="shared" ca="1" si="225"/>
        <v>800</v>
      </c>
    </row>
    <row r="5167" spans="1:6" ht="14.1" customHeight="1" x14ac:dyDescent="0.25">
      <c r="A5167" s="94" t="s">
        <v>12382</v>
      </c>
      <c r="B5167" s="82" t="str">
        <f ca="1">IFERROR(INDEX(UNSPSCDes,MATCH(INDIRECT(ADDRESS(ROW(),COLUMN()-1,4)),UNSPSCCode,0)),IF(INDIRECT(ADDRESS(ROW(),COLUMN()-1,4))="31211508","Pinturas acrílicas",""))</f>
        <v>Pinturas acrílicas</v>
      </c>
      <c r="C5167" s="95" t="str">
        <f>IFERROR(VLOOKUP("GAL",'Informacion '!P:Q,2,FALSE),"")</f>
        <v>Galón</v>
      </c>
      <c r="D5167" s="94">
        <v>6</v>
      </c>
      <c r="E5167" s="84">
        <v>1000</v>
      </c>
      <c r="F5167" s="83">
        <f t="shared" ca="1" si="225"/>
        <v>6000</v>
      </c>
    </row>
    <row r="5168" spans="1:6" ht="14.1" customHeight="1" x14ac:dyDescent="0.25">
      <c r="A5168" s="94" t="s">
        <v>7720</v>
      </c>
      <c r="B5168" s="82" t="str">
        <f ca="1">IFERROR(INDEX(UNSPSCDes,MATCH(INDIRECT(ADDRESS(ROW(),COLUMN()-1,4)),UNSPSCCode,0)),IF(INDIRECT(ADDRESS(ROW(),COLUMN()-1,4))="31211509","Bases para esmalte",""))</f>
        <v>Bases para esmalte</v>
      </c>
      <c r="C5168" s="95" t="str">
        <f>IFERROR(VLOOKUP("GAL",'Informacion '!P:Q,2,FALSE),"")</f>
        <v>Galón</v>
      </c>
      <c r="D5168" s="94">
        <v>6</v>
      </c>
      <c r="E5168" s="84">
        <v>1100</v>
      </c>
      <c r="F5168" s="83">
        <f t="shared" ca="1" si="225"/>
        <v>6600</v>
      </c>
    </row>
    <row r="5169" spans="1:10" ht="14.1" customHeight="1" x14ac:dyDescent="0.25">
      <c r="A5169" s="94" t="s">
        <v>7720</v>
      </c>
      <c r="B5169" s="82" t="str">
        <f ca="1">IFERROR(INDEX(UNSPSCDes,MATCH(INDIRECT(ADDRESS(ROW(),COLUMN()-1,4)),UNSPSCCode,0)),IF(INDIRECT(ADDRESS(ROW(),COLUMN()-1,4))="31211509","Bases para esmalte",""))</f>
        <v>Bases para esmalte</v>
      </c>
      <c r="C5169" s="95" t="str">
        <f>IFERROR(VLOOKUP("GAL",'Informacion '!P:Q,2,FALSE),"")</f>
        <v>Galón</v>
      </c>
      <c r="D5169" s="94">
        <v>6</v>
      </c>
      <c r="E5169" s="84">
        <v>1000</v>
      </c>
      <c r="F5169" s="83">
        <f t="shared" ca="1" si="225"/>
        <v>6000</v>
      </c>
    </row>
    <row r="5170" spans="1:10" ht="14.1" customHeight="1" x14ac:dyDescent="0.25">
      <c r="A5170" s="94" t="s">
        <v>7201</v>
      </c>
      <c r="B5170" s="82" t="str">
        <f ca="1">IFERROR(INDEX(UNSPSCDes,MATCH(INDIRECT(ADDRESS(ROW(),COLUMN()-1,4)),UNSPSCCode,0)),IF(INDIRECT(ADDRESS(ROW(),COLUMN()-1,4))="53102507","Ganchos para colgar la ropa",""))</f>
        <v>Ganchos para colgar la ropa</v>
      </c>
      <c r="C5170" s="95" t="str">
        <f>IFERROR(VLOOKUP("PAQ",'Informacion '!P:Q,2,FALSE),"")</f>
        <v>Paquete</v>
      </c>
      <c r="D5170" s="94">
        <v>10</v>
      </c>
      <c r="E5170" s="84">
        <v>150</v>
      </c>
      <c r="F5170" s="83">
        <f t="shared" ca="1" si="225"/>
        <v>1500</v>
      </c>
    </row>
    <row r="5171" spans="1:10" ht="14.1" customHeight="1" x14ac:dyDescent="0.25">
      <c r="E5171" s="96" t="s">
        <v>7213</v>
      </c>
      <c r="F5171" s="87">
        <f ca="1">SUM(Table131[MONTO TOTAL ESTIMADO])</f>
        <v>6571824.5800000001</v>
      </c>
      <c r="H5171" s="39" t="str">
        <f>C5128</f>
        <v>Bienes</v>
      </c>
      <c r="I5171" s="39" t="str">
        <f>E5128</f>
        <v>No</v>
      </c>
      <c r="J5171" s="39" t="str">
        <f>D5128</f>
        <v>Compras Menores</v>
      </c>
    </row>
    <row r="5173" spans="1:10" ht="33.950000000000003" customHeight="1" x14ac:dyDescent="0.25">
      <c r="A5173" s="77" t="s">
        <v>17233</v>
      </c>
      <c r="B5173" s="77" t="s">
        <v>4237</v>
      </c>
      <c r="C5173" s="77" t="s">
        <v>4743</v>
      </c>
      <c r="D5173" s="77" t="s">
        <v>9891</v>
      </c>
      <c r="E5173" s="77" t="s">
        <v>3089</v>
      </c>
      <c r="F5173" s="77" t="s">
        <v>18141</v>
      </c>
    </row>
    <row r="5174" spans="1:10" ht="14.1" customHeight="1" x14ac:dyDescent="0.25">
      <c r="A5174" s="79" t="s">
        <v>19388</v>
      </c>
      <c r="B5174" s="79" t="s">
        <v>10353</v>
      </c>
      <c r="C5174" s="79" t="s">
        <v>17215</v>
      </c>
      <c r="D5174" s="79" t="s">
        <v>17798</v>
      </c>
      <c r="E5174" s="79" t="s">
        <v>18247</v>
      </c>
      <c r="F5174" s="79"/>
    </row>
    <row r="5175" spans="1:10" ht="14.1" customHeight="1" x14ac:dyDescent="0.25">
      <c r="A5175" s="2" t="s">
        <v>6643</v>
      </c>
      <c r="B5175" s="80" t="s">
        <v>1046</v>
      </c>
      <c r="C5175" s="90">
        <v>43739</v>
      </c>
      <c r="D5175" s="2" t="s">
        <v>59</v>
      </c>
      <c r="E5175" s="92" t="s">
        <v>20066</v>
      </c>
      <c r="F5175" s="93"/>
    </row>
    <row r="5176" spans="1:10" ht="14.1" customHeight="1" x14ac:dyDescent="0.25">
      <c r="A5176" s="1"/>
      <c r="B5176" s="80" t="s">
        <v>10788</v>
      </c>
      <c r="C5176" s="91">
        <f>IF(C5175="","",IF(AND(MONTH(C5175)&gt;=1,MONTH(C5175)&lt;=3),1,IF(AND(MONTH(C5175)&gt;=4,MONTH(C5175)&lt;=6),2,IF(AND(MONTH(C5175)&gt;=7,MONTH(C5175)&lt;=9),3,4))))</f>
        <v>4</v>
      </c>
      <c r="D5176" s="1"/>
      <c r="E5176" s="92" t="s">
        <v>14822</v>
      </c>
      <c r="F5176" s="93"/>
    </row>
    <row r="5177" spans="1:10" ht="14.1" customHeight="1" x14ac:dyDescent="0.25">
      <c r="A5177" s="1"/>
      <c r="B5177" s="80" t="s">
        <v>13758</v>
      </c>
      <c r="C5177" s="90">
        <v>43830</v>
      </c>
      <c r="D5177" s="1"/>
      <c r="E5177" s="92" t="s">
        <v>18636</v>
      </c>
      <c r="F5177" s="93"/>
    </row>
    <row r="5178" spans="1:10" ht="14.1" customHeight="1" x14ac:dyDescent="0.25">
      <c r="A5178" s="1"/>
      <c r="B5178" s="80" t="s">
        <v>10788</v>
      </c>
      <c r="C5178" s="91">
        <f>IF(C5177="","",IF(AND(MONTH(C5177)&gt;=1,MONTH(C5177)&lt;=3),1,IF(AND(MONTH(C5177)&gt;=4,MONTH(C5177)&lt;=6),2,IF(AND(MONTH(C5177)&gt;=7,MONTH(C5177)&lt;=9),3,4))))</f>
        <v>4</v>
      </c>
      <c r="D5178" s="1"/>
      <c r="E5178" s="92" t="s">
        <v>15990</v>
      </c>
      <c r="F5178" s="93"/>
    </row>
    <row r="5180" spans="1:10" ht="14.1" customHeight="1" x14ac:dyDescent="0.25">
      <c r="A5180" s="85" t="s">
        <v>15474</v>
      </c>
      <c r="B5180" s="85" t="s">
        <v>5027</v>
      </c>
      <c r="C5180" s="85" t="s">
        <v>17461</v>
      </c>
      <c r="D5180" s="85" t="s">
        <v>3935</v>
      </c>
      <c r="E5180" s="85" t="s">
        <v>10722</v>
      </c>
      <c r="F5180" s="85" t="s">
        <v>18237</v>
      </c>
    </row>
    <row r="5181" spans="1:10" ht="14.1" customHeight="1" x14ac:dyDescent="0.25">
      <c r="A5181" s="94" t="s">
        <v>3569</v>
      </c>
      <c r="B5181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5181" s="95" t="str">
        <f>IFERROR(VLOOKUP("UD",'Informacion '!P:Q,2,FALSE),"")</f>
        <v>Unidad</v>
      </c>
      <c r="D5181" s="94">
        <v>10</v>
      </c>
      <c r="E5181" s="84">
        <v>9000</v>
      </c>
      <c r="F5181" s="83">
        <f t="shared" ref="F5181:F5212" ca="1" si="226">INDIRECT(ADDRESS(ROW(),COLUMN()-2,4))*INDIRECT(ADDRESS(ROW(),COLUMN()-1,4))</f>
        <v>90000</v>
      </c>
    </row>
    <row r="5182" spans="1:10" ht="14.1" customHeight="1" x14ac:dyDescent="0.25">
      <c r="A5182" s="94" t="s">
        <v>7657</v>
      </c>
      <c r="B5182" s="82" t="str">
        <f ca="1">IFERROR(INDEX(UNSPSCDes,MATCH(INDIRECT(ADDRESS(ROW(),COLUMN()-1,4)),UNSPSCCode,0)),IF(INDIRECT(ADDRESS(ROW(),COLUMN()-1,4))="10171504","Abono",""))</f>
        <v>Abono</v>
      </c>
      <c r="C5182" s="95" t="str">
        <f>IFERROR(VLOOKUP("UD",'Informacion '!P:Q,2,FALSE),"")</f>
        <v>Unidad</v>
      </c>
      <c r="D5182" s="94">
        <v>1</v>
      </c>
      <c r="E5182" s="84">
        <v>2500</v>
      </c>
      <c r="F5182" s="83">
        <f t="shared" ca="1" si="226"/>
        <v>2500</v>
      </c>
    </row>
    <row r="5183" spans="1:10" ht="14.1" customHeight="1" x14ac:dyDescent="0.25">
      <c r="A5183" s="94" t="s">
        <v>13517</v>
      </c>
      <c r="B5183" s="82" t="str">
        <f ca="1">IFERROR(INDEX(UNSPSCDes,MATCH(INDIRECT(ADDRESS(ROW(),COLUMN()-1,4)),UNSPSCCode,0)),IF(INDIRECT(ADDRESS(ROW(),COLUMN()-1,4))="11111501","Tierra",""))</f>
        <v>Tierra</v>
      </c>
      <c r="C5183" s="95" t="str">
        <f>IFERROR(VLOOKUP("UD",'Informacion '!P:Q,2,FALSE),"")</f>
        <v>Unidad</v>
      </c>
      <c r="D5183" s="94">
        <v>5</v>
      </c>
      <c r="E5183" s="84">
        <v>100</v>
      </c>
      <c r="F5183" s="83">
        <f t="shared" ca="1" si="226"/>
        <v>500</v>
      </c>
    </row>
    <row r="5184" spans="1:10" ht="14.1" customHeight="1" x14ac:dyDescent="0.25">
      <c r="A5184" s="94" t="s">
        <v>10572</v>
      </c>
      <c r="B5184" s="82" t="str">
        <f ca="1">IFERROR(INDEX(UNSPSCDes,MATCH(INDIRECT(ADDRESS(ROW(),COLUMN()-1,4)),UNSPSCCode,0)),IF(INDIRECT(ADDRESS(ROW(),COLUMN()-1,4))="10191509","Insecticidas",""))</f>
        <v>Insecticidas</v>
      </c>
      <c r="C5184" s="95" t="str">
        <f>IFERROR(VLOOKUP("GAL",'Informacion '!P:Q,2,FALSE),"")</f>
        <v>Galón</v>
      </c>
      <c r="D5184" s="94">
        <v>3</v>
      </c>
      <c r="E5184" s="84">
        <v>1380</v>
      </c>
      <c r="F5184" s="83">
        <f t="shared" ca="1" si="226"/>
        <v>4140</v>
      </c>
    </row>
    <row r="5185" spans="1:6" ht="14.1" customHeight="1" x14ac:dyDescent="0.25">
      <c r="A5185" s="94" t="s">
        <v>9545</v>
      </c>
      <c r="B5185" s="82" t="str">
        <f ca="1">IFERROR(INDEX(UNSPSCDes,MATCH(INDIRECT(ADDRESS(ROW(),COLUMN()-1,4)),UNSPSCCode,0)),IF(INDIRECT(ADDRESS(ROW(),COLUMN()-1,4))="23101512","Sierras mecánicas",""))</f>
        <v>Sierras mecánicas</v>
      </c>
      <c r="C5185" s="95" t="str">
        <f>IFERROR(VLOOKUP("UD",'Informacion '!P:Q,2,FALSE),"")</f>
        <v>Unidad</v>
      </c>
      <c r="D5185" s="94">
        <v>10</v>
      </c>
      <c r="E5185" s="84">
        <v>55</v>
      </c>
      <c r="F5185" s="83">
        <f t="shared" ca="1" si="226"/>
        <v>550</v>
      </c>
    </row>
    <row r="5186" spans="1:6" ht="14.1" customHeight="1" x14ac:dyDescent="0.25">
      <c r="A5186" s="94" t="s">
        <v>2005</v>
      </c>
      <c r="B5186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5186" s="95" t="str">
        <f>IFERROR(VLOOKUP("PAQ",'Informacion '!P:Q,2,FALSE),"")</f>
        <v>Paquete</v>
      </c>
      <c r="D5186" s="94">
        <v>1</v>
      </c>
      <c r="E5186" s="84">
        <v>50</v>
      </c>
      <c r="F5186" s="83">
        <f t="shared" ca="1" si="226"/>
        <v>50</v>
      </c>
    </row>
    <row r="5187" spans="1:6" ht="14.1" customHeight="1" x14ac:dyDescent="0.25">
      <c r="A5187" s="94" t="s">
        <v>2724</v>
      </c>
      <c r="B5187" s="82" t="str">
        <f ca="1">IFERROR(INDEX(UNSPSCDes,MATCH(INDIRECT(ADDRESS(ROW(),COLUMN()-1,4)),UNSPSCCode,0)),IF(INDIRECT(ADDRESS(ROW(),COLUMN()-1,4))="31211904","Brochas",""))</f>
        <v>Brochas</v>
      </c>
      <c r="C5187" s="95" t="str">
        <f>IFERROR(VLOOKUP("UD",'Informacion '!P:Q,2,FALSE),"")</f>
        <v>Unidad</v>
      </c>
      <c r="D5187" s="94">
        <v>10</v>
      </c>
      <c r="E5187" s="84">
        <v>200</v>
      </c>
      <c r="F5187" s="83">
        <f t="shared" ca="1" si="226"/>
        <v>2000</v>
      </c>
    </row>
    <row r="5188" spans="1:6" ht="14.1" customHeight="1" x14ac:dyDescent="0.25">
      <c r="A5188" s="94" t="s">
        <v>11473</v>
      </c>
      <c r="B5188" s="82" t="str">
        <f ca="1">IFERROR(INDEX(UNSPSCDes,MATCH(INDIRECT(ADDRESS(ROW(),COLUMN()-1,4)),UNSPSCCode,0)),IF(INDIRECT(ADDRESS(ROW(),COLUMN()-1,4))="31121904","Objetos maquinados de acero inoxidable fundidos en molde de grafito",""))</f>
        <v>Objetos maquinados de acero inoxidable fundidos en molde de grafito</v>
      </c>
      <c r="C5188" s="95" t="str">
        <f>IFERROR(VLOOKUP("UD",'Informacion '!P:Q,2,FALSE),"")</f>
        <v>Unidad</v>
      </c>
      <c r="D5188" s="94">
        <v>5</v>
      </c>
      <c r="E5188" s="84">
        <v>100</v>
      </c>
      <c r="F5188" s="83">
        <f t="shared" ca="1" si="226"/>
        <v>500</v>
      </c>
    </row>
    <row r="5189" spans="1:6" ht="14.1" customHeight="1" x14ac:dyDescent="0.25">
      <c r="A5189" s="94" t="s">
        <v>2724</v>
      </c>
      <c r="B5189" s="82" t="str">
        <f ca="1">IFERROR(INDEX(UNSPSCDes,MATCH(INDIRECT(ADDRESS(ROW(),COLUMN()-1,4)),UNSPSCCode,0)),IF(INDIRECT(ADDRESS(ROW(),COLUMN()-1,4))="31211904","Brochas",""))</f>
        <v>Brochas</v>
      </c>
      <c r="C5189" s="95" t="str">
        <f>IFERROR(VLOOKUP("UD",'Informacion '!P:Q,2,FALSE),"")</f>
        <v>Unidad</v>
      </c>
      <c r="D5189" s="94">
        <v>2</v>
      </c>
      <c r="E5189" s="84">
        <v>300</v>
      </c>
      <c r="F5189" s="83">
        <f t="shared" ca="1" si="226"/>
        <v>600</v>
      </c>
    </row>
    <row r="5190" spans="1:6" ht="14.1" customHeight="1" x14ac:dyDescent="0.25">
      <c r="A5190" s="94" t="s">
        <v>13995</v>
      </c>
      <c r="B5190" s="82" t="str">
        <f ca="1">IFERROR(INDEX(UNSPSCDes,MATCH(INDIRECT(ADDRESS(ROW(),COLUMN()-1,4)),UNSPSCCode,0)),IF(INDIRECT(ADDRESS(ROW(),COLUMN()-1,4))="23101509","Lijadoras",""))</f>
        <v>Lijadoras</v>
      </c>
      <c r="C5190" s="95" t="str">
        <f>IFERROR(VLOOKUP("UD",'Informacion '!P:Q,2,FALSE),"")</f>
        <v>Unidad</v>
      </c>
      <c r="D5190" s="94">
        <v>30</v>
      </c>
      <c r="E5190" s="84">
        <v>20</v>
      </c>
      <c r="F5190" s="83">
        <f t="shared" ca="1" si="226"/>
        <v>600</v>
      </c>
    </row>
    <row r="5191" spans="1:6" ht="14.1" customHeight="1" x14ac:dyDescent="0.25">
      <c r="A5191" s="94" t="s">
        <v>13995</v>
      </c>
      <c r="B5191" s="82" t="str">
        <f ca="1">IFERROR(INDEX(UNSPSCDes,MATCH(INDIRECT(ADDRESS(ROW(),COLUMN()-1,4)),UNSPSCCode,0)),IF(INDIRECT(ADDRESS(ROW(),COLUMN()-1,4))="23101509","Lijadoras",""))</f>
        <v>Lijadoras</v>
      </c>
      <c r="C5191" s="95" t="str">
        <f>IFERROR(VLOOKUP("UD",'Informacion '!P:Q,2,FALSE),"")</f>
        <v>Unidad</v>
      </c>
      <c r="D5191" s="94">
        <v>30</v>
      </c>
      <c r="E5191" s="84">
        <v>30</v>
      </c>
      <c r="F5191" s="83">
        <f t="shared" ca="1" si="226"/>
        <v>900</v>
      </c>
    </row>
    <row r="5192" spans="1:6" ht="14.1" customHeight="1" x14ac:dyDescent="0.25">
      <c r="A5192" s="94" t="s">
        <v>13995</v>
      </c>
      <c r="B5192" s="82" t="str">
        <f ca="1">IFERROR(INDEX(UNSPSCDes,MATCH(INDIRECT(ADDRESS(ROW(),COLUMN()-1,4)),UNSPSCCode,0)),IF(INDIRECT(ADDRESS(ROW(),COLUMN()-1,4))="23101509","Lijadoras",""))</f>
        <v>Lijadoras</v>
      </c>
      <c r="C5192" s="95" t="str">
        <f>IFERROR(VLOOKUP("UD",'Informacion '!P:Q,2,FALSE),"")</f>
        <v>Unidad</v>
      </c>
      <c r="D5192" s="94">
        <v>30</v>
      </c>
      <c r="E5192" s="84">
        <v>15</v>
      </c>
      <c r="F5192" s="83">
        <f t="shared" ca="1" si="226"/>
        <v>450</v>
      </c>
    </row>
    <row r="5193" spans="1:6" ht="14.1" customHeight="1" x14ac:dyDescent="0.25">
      <c r="A5193" s="94" t="s">
        <v>13578</v>
      </c>
      <c r="B5193" s="82" t="str">
        <f ca="1">IFERROR(INDEX(UNSPSCDes,MATCH(INDIRECT(ADDRESS(ROW(),COLUMN()-1,4)),UNSPSCCode,0)),IF(INDIRECT(ADDRESS(ROW(),COLUMN()-1,4))="56111907","Carritos de herramientas industriales",""))</f>
        <v>Carritos de herramientas industriales</v>
      </c>
      <c r="C5193" s="95" t="str">
        <f>IFERROR(VLOOKUP("UD",'Informacion '!P:Q,2,FALSE),"")</f>
        <v>Unidad</v>
      </c>
      <c r="D5193" s="94">
        <v>1</v>
      </c>
      <c r="E5193" s="84">
        <v>15000</v>
      </c>
      <c r="F5193" s="83">
        <f t="shared" ca="1" si="226"/>
        <v>15000</v>
      </c>
    </row>
    <row r="5194" spans="1:6" ht="14.1" customHeight="1" x14ac:dyDescent="0.25">
      <c r="A5194" s="94" t="s">
        <v>17062</v>
      </c>
      <c r="B5194" s="82" t="str">
        <f ca="1">IFERROR(INDEX(UNSPSCDes,MATCH(INDIRECT(ADDRESS(ROW(),COLUMN()-1,4)),UNSPSCCode,0)),IF(INDIRECT(ADDRESS(ROW(),COLUMN()-1,4))="27111803","Escuadras",""))</f>
        <v>Escuadras</v>
      </c>
      <c r="C5194" s="95" t="str">
        <f>IFERROR(VLOOKUP("UD",'Informacion '!P:Q,2,FALSE),"")</f>
        <v>Unidad</v>
      </c>
      <c r="D5194" s="94">
        <v>1</v>
      </c>
      <c r="E5194" s="84">
        <v>800</v>
      </c>
      <c r="F5194" s="83">
        <f t="shared" ca="1" si="226"/>
        <v>800</v>
      </c>
    </row>
    <row r="5195" spans="1:6" ht="14.1" customHeight="1" x14ac:dyDescent="0.25">
      <c r="A5195" s="94" t="s">
        <v>6826</v>
      </c>
      <c r="B5195" s="82" t="str">
        <f ca="1">IFERROR(INDEX(UNSPSCDes,MATCH(INDIRECT(ADDRESS(ROW(),COLUMN()-1,4)),UNSPSCCode,0)),IF(INDIRECT(ADDRESS(ROW(),COLUMN()-1,4))="23101502","Taladros",""))</f>
        <v>Taladros</v>
      </c>
      <c r="C5195" s="95" t="str">
        <f>IFERROR(VLOOKUP("UD",'Informacion '!P:Q,2,FALSE),"")</f>
        <v>Unidad</v>
      </c>
      <c r="D5195" s="94">
        <v>1</v>
      </c>
      <c r="E5195" s="84">
        <v>7000</v>
      </c>
      <c r="F5195" s="83">
        <f t="shared" ca="1" si="226"/>
        <v>7000</v>
      </c>
    </row>
    <row r="5196" spans="1:6" ht="14.1" customHeight="1" x14ac:dyDescent="0.25">
      <c r="A5196" s="94" t="s">
        <v>7231</v>
      </c>
      <c r="B5196" s="82" t="str">
        <f ca="1">IFERROR(INDEX(UNSPSCDes,MATCH(INDIRECT(ADDRESS(ROW(),COLUMN()-1,4)),UNSPSCCode,0)),IF(INDIRECT(ADDRESS(ROW(),COLUMN()-1,4))="27111509","Barrenas",""))</f>
        <v>Barrenas</v>
      </c>
      <c r="C5196" s="95" t="str">
        <f>IFERROR(VLOOKUP("UD",'Informacion '!P:Q,2,FALSE),"")</f>
        <v>Unidad</v>
      </c>
      <c r="D5196" s="94">
        <v>1</v>
      </c>
      <c r="E5196" s="84">
        <v>1800</v>
      </c>
      <c r="F5196" s="83">
        <f t="shared" ca="1" si="226"/>
        <v>1800</v>
      </c>
    </row>
    <row r="5197" spans="1:6" ht="14.1" customHeight="1" x14ac:dyDescent="0.25">
      <c r="A5197" s="94" t="s">
        <v>7231</v>
      </c>
      <c r="B5197" s="82" t="str">
        <f ca="1">IFERROR(INDEX(UNSPSCDes,MATCH(INDIRECT(ADDRESS(ROW(),COLUMN()-1,4)),UNSPSCCode,0)),IF(INDIRECT(ADDRESS(ROW(),COLUMN()-1,4))="27111509","Barrenas",""))</f>
        <v>Barrenas</v>
      </c>
      <c r="C5197" s="95" t="str">
        <f>IFERROR(VLOOKUP("UD",'Informacion '!P:Q,2,FALSE),"")</f>
        <v>Unidad</v>
      </c>
      <c r="D5197" s="94">
        <v>1</v>
      </c>
      <c r="E5197" s="84">
        <v>1500</v>
      </c>
      <c r="F5197" s="83">
        <f t="shared" ca="1" si="226"/>
        <v>1500</v>
      </c>
    </row>
    <row r="5198" spans="1:6" ht="14.1" customHeight="1" x14ac:dyDescent="0.25">
      <c r="A5198" s="94" t="s">
        <v>7231</v>
      </c>
      <c r="B5198" s="82" t="str">
        <f ca="1">IFERROR(INDEX(UNSPSCDes,MATCH(INDIRECT(ADDRESS(ROW(),COLUMN()-1,4)),UNSPSCCode,0)),IF(INDIRECT(ADDRESS(ROW(),COLUMN()-1,4))="27111509","Barrenas",""))</f>
        <v>Barrenas</v>
      </c>
      <c r="C5198" s="95" t="str">
        <f>IFERROR(VLOOKUP("UD",'Informacion '!P:Q,2,FALSE),"")</f>
        <v>Unidad</v>
      </c>
      <c r="D5198" s="94">
        <v>1</v>
      </c>
      <c r="E5198" s="84">
        <v>1500</v>
      </c>
      <c r="F5198" s="83">
        <f t="shared" ca="1" si="226"/>
        <v>1500</v>
      </c>
    </row>
    <row r="5199" spans="1:6" ht="14.1" customHeight="1" x14ac:dyDescent="0.25">
      <c r="A5199" s="94" t="s">
        <v>7231</v>
      </c>
      <c r="B5199" s="82" t="str">
        <f ca="1">IFERROR(INDEX(UNSPSCDes,MATCH(INDIRECT(ADDRESS(ROW(),COLUMN()-1,4)),UNSPSCCode,0)),IF(INDIRECT(ADDRESS(ROW(),COLUMN()-1,4))="27111509","Barrenas",""))</f>
        <v>Barrenas</v>
      </c>
      <c r="C5199" s="95" t="str">
        <f>IFERROR(VLOOKUP("UD",'Informacion '!P:Q,2,FALSE),"")</f>
        <v>Unidad</v>
      </c>
      <c r="D5199" s="94">
        <v>1</v>
      </c>
      <c r="E5199" s="84">
        <v>1000</v>
      </c>
      <c r="F5199" s="83">
        <f t="shared" ca="1" si="226"/>
        <v>1000</v>
      </c>
    </row>
    <row r="5200" spans="1:6" ht="14.1" customHeight="1" x14ac:dyDescent="0.25">
      <c r="A5200" s="94" t="s">
        <v>12246</v>
      </c>
      <c r="B5200" s="82" t="str">
        <f ca="1">IFERROR(INDEX(UNSPSCDes,MATCH(INDIRECT(ADDRESS(ROW(),COLUMN()-1,4)),UNSPSCCode,0)),IF(INDIRECT(ADDRESS(ROW(),COLUMN()-1,4))="30111601","Cemento",""))</f>
        <v>Cemento</v>
      </c>
      <c r="C5200" s="95" t="str">
        <f>IFERROR(VLOOKUP("UD",'Informacion '!P:Q,2,FALSE),"")</f>
        <v>Unidad</v>
      </c>
      <c r="D5200" s="94">
        <v>1</v>
      </c>
      <c r="E5200" s="84">
        <v>781</v>
      </c>
      <c r="F5200" s="83">
        <f t="shared" ca="1" si="226"/>
        <v>781</v>
      </c>
    </row>
    <row r="5201" spans="1:6" ht="14.1" customHeight="1" x14ac:dyDescent="0.25">
      <c r="A5201" s="94" t="s">
        <v>10122</v>
      </c>
      <c r="B5201" s="82" t="str">
        <f ca="1">IFERROR(INDEX(UNSPSCDes,MATCH(INDIRECT(ADDRESS(ROW(),COLUMN()-1,4)),UNSPSCCode,0)),IF(INDIRECT(ADDRESS(ROW(),COLUMN()-1,4))="30131601","Ladrillos de cemento",""))</f>
        <v>Ladrillos de cemento</v>
      </c>
      <c r="C5201" s="95" t="str">
        <f>IFERROR(VLOOKUP("UD",'Informacion '!P:Q,2,FALSE),"")</f>
        <v>Unidad</v>
      </c>
      <c r="D5201" s="94">
        <v>100</v>
      </c>
      <c r="E5201" s="84">
        <v>28</v>
      </c>
      <c r="F5201" s="83">
        <f t="shared" ca="1" si="226"/>
        <v>2800</v>
      </c>
    </row>
    <row r="5202" spans="1:6" ht="14.1" customHeight="1" x14ac:dyDescent="0.25">
      <c r="A5202" s="94" t="s">
        <v>19478</v>
      </c>
      <c r="B5202" s="82" t="str">
        <f ca="1">IFERROR(INDEX(UNSPSCDes,MATCH(INDIRECT(ADDRESS(ROW(),COLUMN()-1,4)),UNSPSCCode,0)),IF(INDIRECT(ADDRESS(ROW(),COLUMN()-1,4))="56112104","Sillas para ejecutivos",""))</f>
        <v>Sillas para ejecutivos</v>
      </c>
      <c r="C5202" s="95" t="str">
        <f>IFERROR(VLOOKUP("UD",'Informacion '!P:Q,2,FALSE),"")</f>
        <v>Unidad</v>
      </c>
      <c r="D5202" s="94">
        <v>2</v>
      </c>
      <c r="E5202" s="84">
        <v>12000</v>
      </c>
      <c r="F5202" s="83">
        <f t="shared" ca="1" si="226"/>
        <v>24000</v>
      </c>
    </row>
    <row r="5203" spans="1:6" ht="14.1" customHeight="1" x14ac:dyDescent="0.25">
      <c r="A5203" s="94" t="s">
        <v>19478</v>
      </c>
      <c r="B5203" s="82" t="str">
        <f ca="1">IFERROR(INDEX(UNSPSCDes,MATCH(INDIRECT(ADDRESS(ROW(),COLUMN()-1,4)),UNSPSCCode,0)),IF(INDIRECT(ADDRESS(ROW(),COLUMN()-1,4))="56112104","Sillas para ejecutivos",""))</f>
        <v>Sillas para ejecutivos</v>
      </c>
      <c r="C5203" s="95" t="str">
        <f>IFERROR(VLOOKUP("UD",'Informacion '!P:Q,2,FALSE),"")</f>
        <v>Unidad</v>
      </c>
      <c r="D5203" s="94">
        <v>4</v>
      </c>
      <c r="E5203" s="84">
        <v>10000</v>
      </c>
      <c r="F5203" s="83">
        <f t="shared" ca="1" si="226"/>
        <v>40000</v>
      </c>
    </row>
    <row r="5204" spans="1:6" ht="14.1" customHeight="1" x14ac:dyDescent="0.25">
      <c r="A5204" s="94" t="s">
        <v>19478</v>
      </c>
      <c r="B5204" s="82" t="str">
        <f ca="1">IFERROR(INDEX(UNSPSCDes,MATCH(INDIRECT(ADDRESS(ROW(),COLUMN()-1,4)),UNSPSCCode,0)),IF(INDIRECT(ADDRESS(ROW(),COLUMN()-1,4))="56112104","Sillas para ejecutivos",""))</f>
        <v>Sillas para ejecutivos</v>
      </c>
      <c r="C5204" s="95" t="str">
        <f>IFERROR(VLOOKUP("UD",'Informacion '!P:Q,2,FALSE),"")</f>
        <v>Unidad</v>
      </c>
      <c r="D5204" s="94">
        <v>8</v>
      </c>
      <c r="E5204" s="84">
        <v>9000</v>
      </c>
      <c r="F5204" s="83">
        <f t="shared" ca="1" si="226"/>
        <v>72000</v>
      </c>
    </row>
    <row r="5205" spans="1:6" ht="14.1" customHeight="1" x14ac:dyDescent="0.25">
      <c r="A5205" s="94" t="s">
        <v>19478</v>
      </c>
      <c r="B5205" s="82" t="str">
        <f ca="1">IFERROR(INDEX(UNSPSCDes,MATCH(INDIRECT(ADDRESS(ROW(),COLUMN()-1,4)),UNSPSCCode,0)),IF(INDIRECT(ADDRESS(ROW(),COLUMN()-1,4))="56112104","Sillas para ejecutivos",""))</f>
        <v>Sillas para ejecutivos</v>
      </c>
      <c r="C5205" s="95" t="str">
        <f>IFERROR(VLOOKUP("UD",'Informacion '!P:Q,2,FALSE),"")</f>
        <v>Unidad</v>
      </c>
      <c r="D5205" s="94">
        <v>4</v>
      </c>
      <c r="E5205" s="84">
        <v>5000</v>
      </c>
      <c r="F5205" s="83">
        <f t="shared" ca="1" si="226"/>
        <v>20000</v>
      </c>
    </row>
    <row r="5206" spans="1:6" ht="14.1" customHeight="1" x14ac:dyDescent="0.25">
      <c r="A5206" s="94" t="s">
        <v>1930</v>
      </c>
      <c r="B5206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5206" s="95" t="str">
        <f>IFERROR(VLOOKUP("UD",'Informacion '!P:Q,2,FALSE),"")</f>
        <v>Unidad</v>
      </c>
      <c r="D5206" s="94">
        <v>3</v>
      </c>
      <c r="E5206" s="84">
        <v>7000</v>
      </c>
      <c r="F5206" s="83">
        <f t="shared" ca="1" si="226"/>
        <v>21000</v>
      </c>
    </row>
    <row r="5207" spans="1:6" ht="14.1" customHeight="1" x14ac:dyDescent="0.25">
      <c r="A5207" s="94" t="s">
        <v>1930</v>
      </c>
      <c r="B5207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5207" s="95" t="str">
        <f>IFERROR(VLOOKUP("UD",'Informacion '!P:Q,2,FALSE),"")</f>
        <v>Unidad</v>
      </c>
      <c r="D5207" s="94">
        <v>3</v>
      </c>
      <c r="E5207" s="84">
        <v>8000</v>
      </c>
      <c r="F5207" s="83">
        <f t="shared" ca="1" si="226"/>
        <v>24000</v>
      </c>
    </row>
    <row r="5208" spans="1:6" ht="14.1" customHeight="1" x14ac:dyDescent="0.25">
      <c r="A5208" s="94" t="s">
        <v>14102</v>
      </c>
      <c r="B5208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5208" s="95" t="str">
        <f>IFERROR(VLOOKUP("UD",'Informacion '!P:Q,2,FALSE),"")</f>
        <v>Unidad</v>
      </c>
      <c r="D5208" s="94">
        <v>8</v>
      </c>
      <c r="E5208" s="84">
        <v>30000</v>
      </c>
      <c r="F5208" s="83">
        <f t="shared" ca="1" si="226"/>
        <v>240000</v>
      </c>
    </row>
    <row r="5209" spans="1:6" ht="14.1" customHeight="1" x14ac:dyDescent="0.25">
      <c r="A5209" s="94" t="s">
        <v>16618</v>
      </c>
      <c r="B5209" s="82" t="str">
        <f ca="1">IFERROR(INDEX(UNSPSCDes,MATCH(INDIRECT(ADDRESS(ROW(),COLUMN()-1,4)),UNSPSCCode,0)),IF(INDIRECT(ADDRESS(ROW(),COLUMN()-1,4))="56101520","Casilleros (“lockers”)",""))</f>
        <v>Casilleros (“lockers”)</v>
      </c>
      <c r="C5209" s="95" t="str">
        <f>IFERROR(VLOOKUP("UD",'Informacion '!P:Q,2,FALSE),"")</f>
        <v>Unidad</v>
      </c>
      <c r="D5209" s="94">
        <v>20</v>
      </c>
      <c r="E5209" s="84">
        <v>1000</v>
      </c>
      <c r="F5209" s="83">
        <f t="shared" ca="1" si="226"/>
        <v>20000</v>
      </c>
    </row>
    <row r="5210" spans="1:6" ht="14.1" customHeight="1" x14ac:dyDescent="0.25">
      <c r="A5210" s="94" t="s">
        <v>10620</v>
      </c>
      <c r="B5210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5210" s="95" t="str">
        <f>IFERROR(VLOOKUP("UD",'Informacion '!P:Q,2,FALSE),"")</f>
        <v>Unidad</v>
      </c>
      <c r="D5210" s="94">
        <v>4</v>
      </c>
      <c r="E5210" s="84">
        <v>1000</v>
      </c>
      <c r="F5210" s="83">
        <f t="shared" ca="1" si="226"/>
        <v>4000</v>
      </c>
    </row>
    <row r="5211" spans="1:6" ht="14.1" customHeight="1" x14ac:dyDescent="0.25">
      <c r="A5211" s="94" t="s">
        <v>16618</v>
      </c>
      <c r="B5211" s="82" t="str">
        <f ca="1">IFERROR(INDEX(UNSPSCDes,MATCH(INDIRECT(ADDRESS(ROW(),COLUMN()-1,4)),UNSPSCCode,0)),IF(INDIRECT(ADDRESS(ROW(),COLUMN()-1,4))="56101520","Casilleros (“lockers”)",""))</f>
        <v>Casilleros (“lockers”)</v>
      </c>
      <c r="C5211" s="95" t="str">
        <f>IFERROR(VLOOKUP("UD",'Informacion '!P:Q,2,FALSE),"")</f>
        <v>Unidad</v>
      </c>
      <c r="D5211" s="94">
        <v>4</v>
      </c>
      <c r="E5211" s="84">
        <v>10000</v>
      </c>
      <c r="F5211" s="83">
        <f t="shared" ca="1" si="226"/>
        <v>40000</v>
      </c>
    </row>
    <row r="5212" spans="1:6" ht="14.1" customHeight="1" x14ac:dyDescent="0.25">
      <c r="A5212" s="94" t="s">
        <v>16618</v>
      </c>
      <c r="B5212" s="82" t="str">
        <f ca="1">IFERROR(INDEX(UNSPSCDes,MATCH(INDIRECT(ADDRESS(ROW(),COLUMN()-1,4)),UNSPSCCode,0)),IF(INDIRECT(ADDRESS(ROW(),COLUMN()-1,4))="56101520","Casilleros (“lockers”)",""))</f>
        <v>Casilleros (“lockers”)</v>
      </c>
      <c r="C5212" s="95" t="str">
        <f>IFERROR(VLOOKUP("UD",'Informacion '!P:Q,2,FALSE),"")</f>
        <v>Unidad</v>
      </c>
      <c r="D5212" s="94">
        <v>4</v>
      </c>
      <c r="E5212" s="84">
        <v>8000</v>
      </c>
      <c r="F5212" s="83">
        <f t="shared" ca="1" si="226"/>
        <v>32000</v>
      </c>
    </row>
    <row r="5213" spans="1:6" ht="14.1" customHeight="1" x14ac:dyDescent="0.25">
      <c r="A5213" s="94" t="s">
        <v>1930</v>
      </c>
      <c r="B5213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5213" s="95" t="str">
        <f>IFERROR(VLOOKUP("UD",'Informacion '!P:Q,2,FALSE),"")</f>
        <v>Unidad</v>
      </c>
      <c r="D5213" s="94">
        <v>2</v>
      </c>
      <c r="E5213" s="84">
        <v>15000</v>
      </c>
      <c r="F5213" s="83">
        <f t="shared" ref="F5213:F5244" ca="1" si="227">INDIRECT(ADDRESS(ROW(),COLUMN()-2,4))*INDIRECT(ADDRESS(ROW(),COLUMN()-1,4))</f>
        <v>30000</v>
      </c>
    </row>
    <row r="5214" spans="1:6" ht="14.1" customHeight="1" x14ac:dyDescent="0.25">
      <c r="A5214" s="94" t="s">
        <v>4281</v>
      </c>
      <c r="B5214" s="82" t="str">
        <f ca="1">IFERROR(INDEX(UNSPSCDes,MATCH(INDIRECT(ADDRESS(ROW(),COLUMN()-1,4)),UNSPSCCode,0)),IF(INDIRECT(ADDRESS(ROW(),COLUMN()-1,4))="24102004","Estanterías para almacenaje",""))</f>
        <v>Estanterías para almacenaje</v>
      </c>
      <c r="C5214" s="95" t="str">
        <f>IFERROR(VLOOKUP("UD",'Informacion '!P:Q,2,FALSE),"")</f>
        <v>Unidad</v>
      </c>
      <c r="D5214" s="94">
        <v>3</v>
      </c>
      <c r="E5214" s="84">
        <v>2500</v>
      </c>
      <c r="F5214" s="83">
        <f t="shared" ca="1" si="227"/>
        <v>7500</v>
      </c>
    </row>
    <row r="5215" spans="1:6" ht="14.1" customHeight="1" x14ac:dyDescent="0.25">
      <c r="A5215" s="94" t="s">
        <v>16165</v>
      </c>
      <c r="B5215" s="82" t="str">
        <f ca="1">IFERROR(INDEX(UNSPSCDes,MATCH(INDIRECT(ADDRESS(ROW(),COLUMN()-1,4)),UNSPSCCode,0)),IF(INDIRECT(ADDRESS(ROW(),COLUMN()-1,4))="45111809","Accesorios de soporte de televisiones",""))</f>
        <v>Accesorios de soporte de televisiones</v>
      </c>
      <c r="C5215" s="95" t="str">
        <f>IFERROR(VLOOKUP("UD",'Informacion '!P:Q,2,FALSE),"")</f>
        <v>Unidad</v>
      </c>
      <c r="D5215" s="94">
        <v>1</v>
      </c>
      <c r="E5215" s="84">
        <v>2000</v>
      </c>
      <c r="F5215" s="83">
        <f t="shared" ca="1" si="227"/>
        <v>2000</v>
      </c>
    </row>
    <row r="5216" spans="1:6" ht="14.1" customHeight="1" x14ac:dyDescent="0.25">
      <c r="A5216" s="94" t="s">
        <v>12629</v>
      </c>
      <c r="B5216" s="82" t="str">
        <f ca="1">IFERROR(INDEX(UNSPSCDes,MATCH(INDIRECT(ADDRESS(ROW(),COLUMN()-1,4)),UNSPSCCode,0)),IF(INDIRECT(ADDRESS(ROW(),COLUMN()-1,4))="56112105","Sillas para descansar",""))</f>
        <v>Sillas para descansar</v>
      </c>
      <c r="C5216" s="95" t="str">
        <f>IFERROR(VLOOKUP("UD",'Informacion '!P:Q,2,FALSE),"")</f>
        <v>Unidad</v>
      </c>
      <c r="D5216" s="94">
        <v>4</v>
      </c>
      <c r="E5216" s="84">
        <v>20000</v>
      </c>
      <c r="F5216" s="83">
        <f t="shared" ca="1" si="227"/>
        <v>80000</v>
      </c>
    </row>
    <row r="5217" spans="1:6" ht="14.1" customHeight="1" x14ac:dyDescent="0.25">
      <c r="A5217" s="94" t="s">
        <v>10073</v>
      </c>
      <c r="B5217" s="82" t="str">
        <f ca="1">IFERROR(INDEX(UNSPSCDes,MATCH(INDIRECT(ADDRESS(ROW(),COLUMN()-1,4)),UNSPSCCode,0)),IF(INDIRECT(ADDRESS(ROW(),COLUMN()-1,4))="30131504","Bloques de cerámica",""))</f>
        <v>Bloques de cerámica</v>
      </c>
      <c r="C5217" s="95" t="str">
        <f>IFERROR(VLOOKUP("FT2",'Informacion '!P:Q,2,FALSE),"")</f>
        <v>Pie cuadrado</v>
      </c>
      <c r="D5217" s="94">
        <v>1</v>
      </c>
      <c r="E5217" s="84">
        <v>400</v>
      </c>
      <c r="F5217" s="83">
        <f t="shared" ca="1" si="227"/>
        <v>400</v>
      </c>
    </row>
    <row r="5218" spans="1:6" ht="14.1" customHeight="1" x14ac:dyDescent="0.25">
      <c r="A5218" s="94" t="s">
        <v>10073</v>
      </c>
      <c r="B5218" s="82" t="str">
        <f ca="1">IFERROR(INDEX(UNSPSCDes,MATCH(INDIRECT(ADDRESS(ROW(),COLUMN()-1,4)),UNSPSCCode,0)),IF(INDIRECT(ADDRESS(ROW(),COLUMN()-1,4))="30131504","Bloques de cerámica",""))</f>
        <v>Bloques de cerámica</v>
      </c>
      <c r="C5218" s="95" t="str">
        <f>IFERROR(VLOOKUP("FT2",'Informacion '!P:Q,2,FALSE),"")</f>
        <v>Pie cuadrado</v>
      </c>
      <c r="D5218" s="94">
        <v>10</v>
      </c>
      <c r="E5218" s="84">
        <v>800</v>
      </c>
      <c r="F5218" s="83">
        <f t="shared" ca="1" si="227"/>
        <v>8000</v>
      </c>
    </row>
    <row r="5219" spans="1:6" ht="14.1" customHeight="1" x14ac:dyDescent="0.25">
      <c r="A5219" s="94" t="s">
        <v>7494</v>
      </c>
      <c r="B5219" s="82" t="str">
        <f ca="1">IFERROR(INDEX(UNSPSCDes,MATCH(INDIRECT(ADDRESS(ROW(),COLUMN()-1,4)),UNSPSCCode,0)),IF(INDIRECT(ADDRESS(ROW(),COLUMN()-1,4))="31162403","Goznes o bisagras",""))</f>
        <v>Goznes o bisagras</v>
      </c>
      <c r="C5219" s="95" t="str">
        <f>IFERROR(VLOOKUP("UD",'Informacion '!P:Q,2,FALSE),"")</f>
        <v>Unidad</v>
      </c>
      <c r="D5219" s="94">
        <v>10</v>
      </c>
      <c r="E5219" s="84">
        <v>536</v>
      </c>
      <c r="F5219" s="83">
        <f t="shared" ca="1" si="227"/>
        <v>5360</v>
      </c>
    </row>
    <row r="5220" spans="1:6" ht="14.1" customHeight="1" x14ac:dyDescent="0.25">
      <c r="A5220" s="94" t="s">
        <v>7494</v>
      </c>
      <c r="B5220" s="82" t="str">
        <f ca="1">IFERROR(INDEX(UNSPSCDes,MATCH(INDIRECT(ADDRESS(ROW(),COLUMN()-1,4)),UNSPSCCode,0)),IF(INDIRECT(ADDRESS(ROW(),COLUMN()-1,4))="31162403","Goznes o bisagras",""))</f>
        <v>Goznes o bisagras</v>
      </c>
      <c r="C5220" s="95" t="str">
        <f>IFERROR(VLOOKUP("UD",'Informacion '!P:Q,2,FALSE),"")</f>
        <v>Unidad</v>
      </c>
      <c r="D5220" s="94">
        <v>5</v>
      </c>
      <c r="E5220" s="84">
        <v>135</v>
      </c>
      <c r="F5220" s="83">
        <f t="shared" ca="1" si="227"/>
        <v>675</v>
      </c>
    </row>
    <row r="5221" spans="1:6" ht="14.1" customHeight="1" x14ac:dyDescent="0.25">
      <c r="A5221" s="94" t="s">
        <v>19337</v>
      </c>
      <c r="B5221" s="82" t="str">
        <f ca="1">IFERROR(INDEX(UNSPSCDes,MATCH(INDIRECT(ADDRESS(ROW(),COLUMN()-1,4)),UNSPSCCode,0)),IF(INDIRECT(ADDRESS(ROW(),COLUMN()-1,4))="30171504","Puertas de madera",""))</f>
        <v>Puertas de madera</v>
      </c>
      <c r="C5221" s="95" t="str">
        <f>IFERROR(VLOOKUP("UD",'Informacion '!P:Q,2,FALSE),"")</f>
        <v>Unidad</v>
      </c>
      <c r="D5221" s="94">
        <v>10</v>
      </c>
      <c r="E5221" s="84">
        <v>234</v>
      </c>
      <c r="F5221" s="83">
        <f t="shared" ca="1" si="227"/>
        <v>2340</v>
      </c>
    </row>
    <row r="5222" spans="1:6" ht="14.1" customHeight="1" x14ac:dyDescent="0.25">
      <c r="A5222" s="94" t="s">
        <v>19337</v>
      </c>
      <c r="B5222" s="82" t="str">
        <f ca="1">IFERROR(INDEX(UNSPSCDes,MATCH(INDIRECT(ADDRESS(ROW(),COLUMN()-1,4)),UNSPSCCode,0)),IF(INDIRECT(ADDRESS(ROW(),COLUMN()-1,4))="30171504","Puertas de madera",""))</f>
        <v>Puertas de madera</v>
      </c>
      <c r="C5222" s="95" t="str">
        <f>IFERROR(VLOOKUP("UD",'Informacion '!P:Q,2,FALSE),"")</f>
        <v>Unidad</v>
      </c>
      <c r="D5222" s="94">
        <v>10</v>
      </c>
      <c r="E5222" s="84">
        <v>175</v>
      </c>
      <c r="F5222" s="83">
        <f t="shared" ca="1" si="227"/>
        <v>1750</v>
      </c>
    </row>
    <row r="5223" spans="1:6" ht="14.1" customHeight="1" x14ac:dyDescent="0.25">
      <c r="A5223" s="94" t="s">
        <v>12606</v>
      </c>
      <c r="B5223" s="82" t="str">
        <f ca="1">IFERROR(INDEX(UNSPSCDes,MATCH(INDIRECT(ADDRESS(ROW(),COLUMN()-1,4)),UNSPSCCode,0)),IF(INDIRECT(ADDRESS(ROW(),COLUMN()-1,4))="31251503","Activadores hidráulicos",""))</f>
        <v>Activadores hidráulicos</v>
      </c>
      <c r="C5223" s="95" t="str">
        <f>IFERROR(VLOOKUP("UD",'Informacion '!P:Q,2,FALSE),"")</f>
        <v>Unidad</v>
      </c>
      <c r="D5223" s="94">
        <v>5</v>
      </c>
      <c r="E5223" s="84">
        <v>3500</v>
      </c>
      <c r="F5223" s="83">
        <f t="shared" ca="1" si="227"/>
        <v>17500</v>
      </c>
    </row>
    <row r="5224" spans="1:6" ht="14.1" customHeight="1" x14ac:dyDescent="0.25">
      <c r="A5224" s="94" t="s">
        <v>12606</v>
      </c>
      <c r="B5224" s="82" t="str">
        <f ca="1">IFERROR(INDEX(UNSPSCDes,MATCH(INDIRECT(ADDRESS(ROW(),COLUMN()-1,4)),UNSPSCCode,0)),IF(INDIRECT(ADDRESS(ROW(),COLUMN()-1,4))="31251503","Activadores hidráulicos",""))</f>
        <v>Activadores hidráulicos</v>
      </c>
      <c r="C5224" s="95" t="str">
        <f>IFERROR(VLOOKUP("UD",'Informacion '!P:Q,2,FALSE),"")</f>
        <v>Unidad</v>
      </c>
      <c r="D5224" s="94">
        <v>5</v>
      </c>
      <c r="E5224" s="84">
        <v>4500</v>
      </c>
      <c r="F5224" s="83">
        <f t="shared" ca="1" si="227"/>
        <v>22500</v>
      </c>
    </row>
    <row r="5225" spans="1:6" ht="14.1" customHeight="1" x14ac:dyDescent="0.25">
      <c r="A5225" s="94" t="s">
        <v>19337</v>
      </c>
      <c r="B5225" s="82" t="str">
        <f ca="1">IFERROR(INDEX(UNSPSCDes,MATCH(INDIRECT(ADDRESS(ROW(),COLUMN()-1,4)),UNSPSCCode,0)),IF(INDIRECT(ADDRESS(ROW(),COLUMN()-1,4))="30171504","Puertas de madera",""))</f>
        <v>Puertas de madera</v>
      </c>
      <c r="C5225" s="95" t="str">
        <f>IFERROR(VLOOKUP("UD",'Informacion '!P:Q,2,FALSE),"")</f>
        <v>Unidad</v>
      </c>
      <c r="D5225" s="94">
        <v>24</v>
      </c>
      <c r="E5225" s="84">
        <v>800</v>
      </c>
      <c r="F5225" s="83">
        <f t="shared" ca="1" si="227"/>
        <v>19200</v>
      </c>
    </row>
    <row r="5226" spans="1:6" ht="14.1" customHeight="1" x14ac:dyDescent="0.25">
      <c r="A5226" s="94" t="s">
        <v>19337</v>
      </c>
      <c r="B5226" s="82" t="str">
        <f ca="1">IFERROR(INDEX(UNSPSCDes,MATCH(INDIRECT(ADDRESS(ROW(),COLUMN()-1,4)),UNSPSCCode,0)),IF(INDIRECT(ADDRESS(ROW(),COLUMN()-1,4))="30171504","Puertas de madera",""))</f>
        <v>Puertas de madera</v>
      </c>
      <c r="C5226" s="95" t="str">
        <f>IFERROR(VLOOKUP("UD",'Informacion '!P:Q,2,FALSE),"")</f>
        <v>Unidad</v>
      </c>
      <c r="D5226" s="94">
        <v>3</v>
      </c>
      <c r="E5226" s="84">
        <v>375</v>
      </c>
      <c r="F5226" s="83">
        <f t="shared" ca="1" si="227"/>
        <v>1125</v>
      </c>
    </row>
    <row r="5227" spans="1:6" ht="14.1" customHeight="1" x14ac:dyDescent="0.25">
      <c r="A5227" s="94" t="s">
        <v>2542</v>
      </c>
      <c r="B5227" s="82" t="str">
        <f ca="1">IFERROR(INDEX(UNSPSCDes,MATCH(INDIRECT(ADDRESS(ROW(),COLUMN()-1,4)),UNSPSCCode,0)),IF(INDIRECT(ADDRESS(ROW(),COLUMN()-1,4))="48101511","Planchas para uso comercial",""))</f>
        <v>Planchas para uso comercial</v>
      </c>
      <c r="C5227" s="95" t="str">
        <f>IFERROR(VLOOKUP("M2",'Informacion '!P:Q,2,FALSE),"")</f>
        <v>Metro cuadrado</v>
      </c>
      <c r="D5227" s="94">
        <v>20</v>
      </c>
      <c r="E5227" s="84">
        <v>900</v>
      </c>
      <c r="F5227" s="83">
        <f t="shared" ca="1" si="227"/>
        <v>18000</v>
      </c>
    </row>
    <row r="5228" spans="1:6" ht="14.1" customHeight="1" x14ac:dyDescent="0.25">
      <c r="A5228" s="94" t="s">
        <v>250</v>
      </c>
      <c r="B5228" s="82" t="str">
        <f ca="1">IFERROR(INDEX(UNSPSCDes,MATCH(INDIRECT(ADDRESS(ROW(),COLUMN()-1,4)),UNSPSCCode,0)),IF(INDIRECT(ADDRESS(ROW(),COLUMN()-1,4))="39121719","Protectores",""))</f>
        <v>Protectores</v>
      </c>
      <c r="C5228" s="95" t="str">
        <f>IFERROR(VLOOKUP("UD",'Informacion '!P:Q,2,FALSE),"")</f>
        <v>Unidad</v>
      </c>
      <c r="D5228" s="94">
        <v>4</v>
      </c>
      <c r="E5228" s="84">
        <v>125</v>
      </c>
      <c r="F5228" s="83">
        <f t="shared" ca="1" si="227"/>
        <v>500</v>
      </c>
    </row>
    <row r="5229" spans="1:6" ht="14.1" customHeight="1" x14ac:dyDescent="0.25">
      <c r="A5229" s="94" t="s">
        <v>250</v>
      </c>
      <c r="B5229" s="82" t="str">
        <f ca="1">IFERROR(INDEX(UNSPSCDes,MATCH(INDIRECT(ADDRESS(ROW(),COLUMN()-1,4)),UNSPSCCode,0)),IF(INDIRECT(ADDRESS(ROW(),COLUMN()-1,4))="39121719","Protectores",""))</f>
        <v>Protectores</v>
      </c>
      <c r="C5229" s="95" t="str">
        <f>IFERROR(VLOOKUP("UD",'Informacion '!P:Q,2,FALSE),"")</f>
        <v>Unidad</v>
      </c>
      <c r="D5229" s="94">
        <v>10</v>
      </c>
      <c r="E5229" s="84">
        <v>1500</v>
      </c>
      <c r="F5229" s="83">
        <f t="shared" ca="1" si="227"/>
        <v>15000</v>
      </c>
    </row>
    <row r="5230" spans="1:6" ht="14.1" customHeight="1" x14ac:dyDescent="0.25">
      <c r="A5230" s="94" t="s">
        <v>3332</v>
      </c>
      <c r="B5230" s="82" t="str">
        <f ca="1">IFERROR(INDEX(UNSPSCDes,MATCH(INDIRECT(ADDRESS(ROW(),COLUMN()-1,4)),UNSPSCCode,0)),IF(INDIRECT(ADDRESS(ROW(),COLUMN()-1,4))="31201605","Masillas",""))</f>
        <v>Masillas</v>
      </c>
      <c r="C5230" s="95" t="str">
        <f>IFERROR(VLOOKUP("UD",'Informacion '!P:Q,2,FALSE),"")</f>
        <v>Unidad</v>
      </c>
      <c r="D5230" s="94">
        <v>3</v>
      </c>
      <c r="E5230" s="84">
        <v>3000</v>
      </c>
      <c r="F5230" s="83">
        <f t="shared" ca="1" si="227"/>
        <v>9000</v>
      </c>
    </row>
    <row r="5231" spans="1:6" ht="14.1" customHeight="1" x14ac:dyDescent="0.25">
      <c r="A5231" s="94" t="s">
        <v>3332</v>
      </c>
      <c r="B5231" s="82" t="str">
        <f ca="1">IFERROR(INDEX(UNSPSCDes,MATCH(INDIRECT(ADDRESS(ROW(),COLUMN()-1,4)),UNSPSCCode,0)),IF(INDIRECT(ADDRESS(ROW(),COLUMN()-1,4))="31201605","Masillas",""))</f>
        <v>Masillas</v>
      </c>
      <c r="C5231" s="95" t="str">
        <f>IFERROR(VLOOKUP("UD",'Informacion '!P:Q,2,FALSE),"")</f>
        <v>Unidad</v>
      </c>
      <c r="D5231" s="94">
        <v>5</v>
      </c>
      <c r="E5231" s="84">
        <v>350</v>
      </c>
      <c r="F5231" s="83">
        <f t="shared" ca="1" si="227"/>
        <v>1750</v>
      </c>
    </row>
    <row r="5232" spans="1:6" ht="14.1" customHeight="1" x14ac:dyDescent="0.25">
      <c r="A5232" s="94" t="s">
        <v>11958</v>
      </c>
      <c r="B5232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5232" s="95" t="str">
        <f>IFERROR(VLOOKUP("FT",'Informacion '!P:Q,2,FALSE),"")</f>
        <v>Pie</v>
      </c>
      <c r="D5232" s="94">
        <v>5</v>
      </c>
      <c r="E5232" s="84">
        <v>80</v>
      </c>
      <c r="F5232" s="83">
        <f t="shared" ca="1" si="227"/>
        <v>400</v>
      </c>
    </row>
    <row r="5233" spans="1:6" ht="14.1" customHeight="1" x14ac:dyDescent="0.25">
      <c r="A5233" s="94" t="s">
        <v>1118</v>
      </c>
      <c r="B5233" s="82" t="str">
        <f ca="1">IFERROR(INDEX(UNSPSCDes,MATCH(INDIRECT(ADDRESS(ROW(),COLUMN()-1,4)),UNSPSCCode,0)),IF(INDIRECT(ADDRESS(ROW(),COLUMN()-1,4))="31162402","Cerraduras",""))</f>
        <v>Cerraduras</v>
      </c>
      <c r="C5233" s="95" t="str">
        <f>IFERROR(VLOOKUP("UD",'Informacion '!P:Q,2,FALSE),"")</f>
        <v>Unidad</v>
      </c>
      <c r="D5233" s="94">
        <v>5</v>
      </c>
      <c r="E5233" s="84">
        <v>300</v>
      </c>
      <c r="F5233" s="83">
        <f t="shared" ca="1" si="227"/>
        <v>1500</v>
      </c>
    </row>
    <row r="5234" spans="1:6" ht="14.1" customHeight="1" x14ac:dyDescent="0.25">
      <c r="A5234" s="94" t="s">
        <v>3441</v>
      </c>
      <c r="B5234" s="82" t="str">
        <f ca="1">IFERROR(INDEX(UNSPSCDes,MATCH(INDIRECT(ADDRESS(ROW(),COLUMN()-1,4)),UNSPSCCode,0)),IF(INDIRECT(ADDRESS(ROW(),COLUMN()-1,4))="23101510","Pulidoras",""))</f>
        <v>Pulidoras</v>
      </c>
      <c r="C5234" s="95" t="str">
        <f>IFERROR(VLOOKUP("UD",'Informacion '!P:Q,2,FALSE),"")</f>
        <v>Unidad</v>
      </c>
      <c r="D5234" s="94">
        <v>5</v>
      </c>
      <c r="E5234" s="84">
        <v>40</v>
      </c>
      <c r="F5234" s="83">
        <f t="shared" ca="1" si="227"/>
        <v>200</v>
      </c>
    </row>
    <row r="5235" spans="1:6" ht="14.1" customHeight="1" x14ac:dyDescent="0.25">
      <c r="A5235" s="94" t="s">
        <v>7522</v>
      </c>
      <c r="B5235" s="82" t="str">
        <f ca="1">IFERROR(INDEX(UNSPSCDes,MATCH(INDIRECT(ADDRESS(ROW(),COLUMN()-1,4)),UNSPSCCode,0)),IF(INDIRECT(ADDRESS(ROW(),COLUMN()-1,4))="23101508","Cortadoras",""))</f>
        <v>Cortadoras</v>
      </c>
      <c r="C5235" s="95" t="str">
        <f>IFERROR(VLOOKUP("UD",'Informacion '!P:Q,2,FALSE),"")</f>
        <v>Unidad</v>
      </c>
      <c r="D5235" s="94">
        <v>5</v>
      </c>
      <c r="E5235" s="84">
        <v>200</v>
      </c>
      <c r="F5235" s="83">
        <f t="shared" ca="1" si="227"/>
        <v>1000</v>
      </c>
    </row>
    <row r="5236" spans="1:6" ht="14.1" customHeight="1" x14ac:dyDescent="0.25">
      <c r="A5236" s="94" t="s">
        <v>7522</v>
      </c>
      <c r="B5236" s="82" t="str">
        <f ca="1">IFERROR(INDEX(UNSPSCDes,MATCH(INDIRECT(ADDRESS(ROW(),COLUMN()-1,4)),UNSPSCCode,0)),IF(INDIRECT(ADDRESS(ROW(),COLUMN()-1,4))="23101508","Cortadoras",""))</f>
        <v>Cortadoras</v>
      </c>
      <c r="C5236" s="95" t="str">
        <f>IFERROR(VLOOKUP("UD",'Informacion '!P:Q,2,FALSE),"")</f>
        <v>Unidad</v>
      </c>
      <c r="D5236" s="94">
        <v>1</v>
      </c>
      <c r="E5236" s="84">
        <v>800</v>
      </c>
      <c r="F5236" s="83">
        <f t="shared" ca="1" si="227"/>
        <v>800</v>
      </c>
    </row>
    <row r="5237" spans="1:6" ht="14.1" customHeight="1" x14ac:dyDescent="0.25">
      <c r="A5237" s="94" t="s">
        <v>7522</v>
      </c>
      <c r="B5237" s="82" t="str">
        <f ca="1">IFERROR(INDEX(UNSPSCDes,MATCH(INDIRECT(ADDRESS(ROW(),COLUMN()-1,4)),UNSPSCCode,0)),IF(INDIRECT(ADDRESS(ROW(),COLUMN()-1,4))="23101508","Cortadoras",""))</f>
        <v>Cortadoras</v>
      </c>
      <c r="C5237" s="95" t="str">
        <f>IFERROR(VLOOKUP("UD",'Informacion '!P:Q,2,FALSE),"")</f>
        <v>Unidad</v>
      </c>
      <c r="D5237" s="94">
        <v>2</v>
      </c>
      <c r="E5237" s="84">
        <v>1200</v>
      </c>
      <c r="F5237" s="83">
        <f t="shared" ca="1" si="227"/>
        <v>2400</v>
      </c>
    </row>
    <row r="5238" spans="1:6" ht="14.1" customHeight="1" x14ac:dyDescent="0.25">
      <c r="A5238" s="94" t="s">
        <v>18904</v>
      </c>
      <c r="B5238" s="82" t="str">
        <f ca="1">IFERROR(INDEX(UNSPSCDes,MATCH(INDIRECT(ADDRESS(ROW(),COLUMN()-1,4)),UNSPSCCode,0)),IF(INDIRECT(ADDRESS(ROW(),COLUMN()-1,4))="31201515","Cintas de papel",""))</f>
        <v>Cintas de papel</v>
      </c>
      <c r="C5238" s="95" t="str">
        <f>IFERROR(VLOOKUP("UD",'Informacion '!P:Q,2,FALSE),"")</f>
        <v>Unidad</v>
      </c>
      <c r="D5238" s="94">
        <v>10</v>
      </c>
      <c r="E5238" s="84">
        <v>300</v>
      </c>
      <c r="F5238" s="83">
        <f t="shared" ca="1" si="227"/>
        <v>3000</v>
      </c>
    </row>
    <row r="5239" spans="1:6" ht="14.1" customHeight="1" x14ac:dyDescent="0.25">
      <c r="A5239" s="94" t="s">
        <v>17214</v>
      </c>
      <c r="B5239" s="82" t="str">
        <f ca="1">IFERROR(INDEX(UNSPSCDes,MATCH(INDIRECT(ADDRESS(ROW(),COLUMN()-1,4)),UNSPSCCode,0)),IF(INDIRECT(ADDRESS(ROW(),COLUMN()-1,4))="60121001","Pinturas",""))</f>
        <v>Pinturas</v>
      </c>
      <c r="C5239" s="95" t="str">
        <f>IFERROR(VLOOKUP("UD",'Informacion '!P:Q,2,FALSE),"")</f>
        <v>Unidad</v>
      </c>
      <c r="D5239" s="94">
        <v>5</v>
      </c>
      <c r="E5239" s="84">
        <v>8000</v>
      </c>
      <c r="F5239" s="83">
        <f t="shared" ca="1" si="227"/>
        <v>40000</v>
      </c>
    </row>
    <row r="5240" spans="1:6" ht="14.1" customHeight="1" x14ac:dyDescent="0.25">
      <c r="A5240" s="94" t="s">
        <v>17272</v>
      </c>
      <c r="B5240" s="82" t="str">
        <f ca="1">IFERROR(INDEX(UNSPSCDes,MATCH(INDIRECT(ADDRESS(ROW(),COLUMN()-1,4)),UNSPSCCode,0)),IF(INDIRECT(ADDRESS(ROW(),COLUMN()-1,4))="31161502","Tornillos de anclaje",""))</f>
        <v>Tornillos de anclaje</v>
      </c>
      <c r="C5240" s="95" t="str">
        <f>IFERROR(VLOOKUP("UD",'Informacion '!P:Q,2,FALSE),"")</f>
        <v>Unidad</v>
      </c>
      <c r="D5240" s="94">
        <v>10</v>
      </c>
      <c r="E5240" s="84">
        <v>4</v>
      </c>
      <c r="F5240" s="83">
        <f t="shared" ca="1" si="227"/>
        <v>40</v>
      </c>
    </row>
    <row r="5241" spans="1:6" ht="14.1" customHeight="1" x14ac:dyDescent="0.25">
      <c r="A5241" s="94" t="s">
        <v>10039</v>
      </c>
      <c r="B5241" s="82" t="str">
        <f ca="1">IFERROR(INDEX(UNSPSCDes,MATCH(INDIRECT(ADDRESS(ROW(),COLUMN()-1,4)),UNSPSCCode,0)),IF(INDIRECT(ADDRESS(ROW(),COLUMN()-1,4))="31161504","Tornillos de máquina",""))</f>
        <v>Tornillos de máquina</v>
      </c>
      <c r="C5241" s="95" t="str">
        <f>IFERROR(VLOOKUP("UD",'Informacion '!P:Q,2,FALSE),"")</f>
        <v>Unidad</v>
      </c>
      <c r="D5241" s="94">
        <v>25</v>
      </c>
      <c r="E5241" s="84">
        <v>19.62</v>
      </c>
      <c r="F5241" s="83">
        <f t="shared" ca="1" si="227"/>
        <v>490.5</v>
      </c>
    </row>
    <row r="5242" spans="1:6" ht="14.1" customHeight="1" x14ac:dyDescent="0.25">
      <c r="A5242" s="94" t="s">
        <v>10039</v>
      </c>
      <c r="B5242" s="82" t="str">
        <f ca="1">IFERROR(INDEX(UNSPSCDes,MATCH(INDIRECT(ADDRESS(ROW(),COLUMN()-1,4)),UNSPSCCode,0)),IF(INDIRECT(ADDRESS(ROW(),COLUMN()-1,4))="31161504","Tornillos de máquina",""))</f>
        <v>Tornillos de máquina</v>
      </c>
      <c r="C5242" s="95" t="str">
        <f>IFERROR(VLOOKUP("UD",'Informacion '!P:Q,2,FALSE),"")</f>
        <v>Unidad</v>
      </c>
      <c r="D5242" s="94">
        <v>100</v>
      </c>
      <c r="E5242" s="84">
        <v>1.5</v>
      </c>
      <c r="F5242" s="83">
        <f t="shared" ca="1" si="227"/>
        <v>150</v>
      </c>
    </row>
    <row r="5243" spans="1:6" ht="14.1" customHeight="1" x14ac:dyDescent="0.25">
      <c r="A5243" s="94" t="s">
        <v>10039</v>
      </c>
      <c r="B5243" s="82" t="str">
        <f ca="1">IFERROR(INDEX(UNSPSCDes,MATCH(INDIRECT(ADDRESS(ROW(),COLUMN()-1,4)),UNSPSCCode,0)),IF(INDIRECT(ADDRESS(ROW(),COLUMN()-1,4))="31161504","Tornillos de máquina",""))</f>
        <v>Tornillos de máquina</v>
      </c>
      <c r="C5243" s="95" t="str">
        <f>IFERROR(VLOOKUP("UD",'Informacion '!P:Q,2,FALSE),"")</f>
        <v>Unidad</v>
      </c>
      <c r="D5243" s="94">
        <v>100</v>
      </c>
      <c r="E5243" s="84">
        <v>3</v>
      </c>
      <c r="F5243" s="83">
        <f t="shared" ca="1" si="227"/>
        <v>300</v>
      </c>
    </row>
    <row r="5244" spans="1:6" ht="14.1" customHeight="1" x14ac:dyDescent="0.25">
      <c r="A5244" s="94" t="s">
        <v>10039</v>
      </c>
      <c r="B5244" s="82" t="str">
        <f ca="1">IFERROR(INDEX(UNSPSCDes,MATCH(INDIRECT(ADDRESS(ROW(),COLUMN()-1,4)),UNSPSCCode,0)),IF(INDIRECT(ADDRESS(ROW(),COLUMN()-1,4))="31161504","Tornillos de máquina",""))</f>
        <v>Tornillos de máquina</v>
      </c>
      <c r="C5244" s="95" t="str">
        <f>IFERROR(VLOOKUP("UD",'Informacion '!P:Q,2,FALSE),"")</f>
        <v>Unidad</v>
      </c>
      <c r="D5244" s="94">
        <v>100</v>
      </c>
      <c r="E5244" s="84">
        <v>3</v>
      </c>
      <c r="F5244" s="83">
        <f t="shared" ca="1" si="227"/>
        <v>300</v>
      </c>
    </row>
    <row r="5245" spans="1:6" ht="14.1" customHeight="1" x14ac:dyDescent="0.25">
      <c r="A5245" s="94" t="s">
        <v>10039</v>
      </c>
      <c r="B5245" s="82" t="str">
        <f ca="1">IFERROR(INDEX(UNSPSCDes,MATCH(INDIRECT(ADDRESS(ROW(),COLUMN()-1,4)),UNSPSCCode,0)),IF(INDIRECT(ADDRESS(ROW(),COLUMN()-1,4))="31161504","Tornillos de máquina",""))</f>
        <v>Tornillos de máquina</v>
      </c>
      <c r="C5245" s="95" t="str">
        <f>IFERROR(VLOOKUP("UD",'Informacion '!P:Q,2,FALSE),"")</f>
        <v>Unidad</v>
      </c>
      <c r="D5245" s="94">
        <v>100</v>
      </c>
      <c r="E5245" s="84">
        <v>3</v>
      </c>
      <c r="F5245" s="83">
        <f t="shared" ref="F5245:F5278" ca="1" si="228">INDIRECT(ADDRESS(ROW(),COLUMN()-2,4))*INDIRECT(ADDRESS(ROW(),COLUMN()-1,4))</f>
        <v>300</v>
      </c>
    </row>
    <row r="5246" spans="1:6" ht="14.1" customHeight="1" x14ac:dyDescent="0.25">
      <c r="A5246" s="94" t="s">
        <v>4672</v>
      </c>
      <c r="B5246" s="82" t="str">
        <f ca="1">IFERROR(INDEX(UNSPSCDes,MATCH(INDIRECT(ADDRESS(ROW(),COLUMN()-1,4)),UNSPSCCode,0)),IF(INDIRECT(ADDRESS(ROW(),COLUMN()-1,4))="72102004","Impermeabilización",""))</f>
        <v>Impermeabilización</v>
      </c>
      <c r="C5246" s="95" t="str">
        <f>IFERROR(VLOOKUP("GAL",'Informacion '!P:Q,2,FALSE),"")</f>
        <v>Galón</v>
      </c>
      <c r="D5246" s="94">
        <v>2</v>
      </c>
      <c r="E5246" s="84">
        <v>800</v>
      </c>
      <c r="F5246" s="83">
        <f t="shared" ca="1" si="228"/>
        <v>1600</v>
      </c>
    </row>
    <row r="5247" spans="1:6" ht="14.1" customHeight="1" x14ac:dyDescent="0.25">
      <c r="A5247" s="94" t="s">
        <v>4672</v>
      </c>
      <c r="B5247" s="82" t="str">
        <f ca="1">IFERROR(INDEX(UNSPSCDes,MATCH(INDIRECT(ADDRESS(ROW(),COLUMN()-1,4)),UNSPSCCode,0)),IF(INDIRECT(ADDRESS(ROW(),COLUMN()-1,4))="72102004","Impermeabilización",""))</f>
        <v>Impermeabilización</v>
      </c>
      <c r="C5247" s="95" t="str">
        <f>IFERROR(VLOOKUP("GAL",'Informacion '!P:Q,2,FALSE),"")</f>
        <v>Galón</v>
      </c>
      <c r="D5247" s="94">
        <v>2</v>
      </c>
      <c r="E5247" s="84">
        <v>1600</v>
      </c>
      <c r="F5247" s="83">
        <f t="shared" ca="1" si="228"/>
        <v>3200</v>
      </c>
    </row>
    <row r="5248" spans="1:6" ht="14.1" customHeight="1" x14ac:dyDescent="0.25">
      <c r="A5248" s="94" t="s">
        <v>18357</v>
      </c>
      <c r="B5248" s="82" t="str">
        <f ca="1">IFERROR(INDEX(UNSPSCDes,MATCH(INDIRECT(ADDRESS(ROW(),COLUMN()-1,4)),UNSPSCCode,0)),IF(INDIRECT(ADDRESS(ROW(),COLUMN()-1,4))="30222502","Pisos",""))</f>
        <v>Pisos</v>
      </c>
      <c r="C5248" s="95" t="str">
        <f>IFERROR(VLOOKUP("GAL",'Informacion '!P:Q,2,FALSE),"")</f>
        <v>Galón</v>
      </c>
      <c r="D5248" s="94">
        <v>1</v>
      </c>
      <c r="E5248" s="84">
        <v>800</v>
      </c>
      <c r="F5248" s="83">
        <f t="shared" ca="1" si="228"/>
        <v>800</v>
      </c>
    </row>
    <row r="5249" spans="1:6" ht="14.1" customHeight="1" x14ac:dyDescent="0.25">
      <c r="A5249" s="94" t="s">
        <v>18357</v>
      </c>
      <c r="B5249" s="82" t="str">
        <f ca="1">IFERROR(INDEX(UNSPSCDes,MATCH(INDIRECT(ADDRESS(ROW(),COLUMN()-1,4)),UNSPSCCode,0)),IF(INDIRECT(ADDRESS(ROW(),COLUMN()-1,4))="30222502","Pisos",""))</f>
        <v>Pisos</v>
      </c>
      <c r="C5249" s="95" t="str">
        <f>IFERROR(VLOOKUP("UD",'Informacion '!P:Q,2,FALSE),"")</f>
        <v>Unidad</v>
      </c>
      <c r="D5249" s="94">
        <v>1</v>
      </c>
      <c r="E5249" s="84">
        <v>781</v>
      </c>
      <c r="F5249" s="83">
        <f t="shared" ca="1" si="228"/>
        <v>781</v>
      </c>
    </row>
    <row r="5250" spans="1:6" ht="14.1" customHeight="1" x14ac:dyDescent="0.25">
      <c r="A5250" s="94" t="s">
        <v>13889</v>
      </c>
      <c r="B5250" s="82" t="str">
        <f ca="1">IFERROR(INDEX(UNSPSCDes,MATCH(INDIRECT(ADDRESS(ROW(),COLUMN()-1,4)),UNSPSCCode,0)),IF(INDIRECT(ADDRESS(ROW(),COLUMN()-1,4))="12352310","Siliconas",""))</f>
        <v>Siliconas</v>
      </c>
      <c r="C5250" s="95" t="str">
        <f>IFERROR(VLOOKUP("CAJ",'Informacion '!P:Q,2,FALSE),"")</f>
        <v>Caja</v>
      </c>
      <c r="D5250" s="94">
        <v>2</v>
      </c>
      <c r="E5250" s="84">
        <v>2000</v>
      </c>
      <c r="F5250" s="83">
        <f t="shared" ca="1" si="228"/>
        <v>4000</v>
      </c>
    </row>
    <row r="5251" spans="1:6" ht="14.1" customHeight="1" x14ac:dyDescent="0.25">
      <c r="A5251" s="94" t="s">
        <v>13889</v>
      </c>
      <c r="B5251" s="82" t="str">
        <f ca="1">IFERROR(INDEX(UNSPSCDes,MATCH(INDIRECT(ADDRESS(ROW(),COLUMN()-1,4)),UNSPSCCode,0)),IF(INDIRECT(ADDRESS(ROW(),COLUMN()-1,4))="12352310","Siliconas",""))</f>
        <v>Siliconas</v>
      </c>
      <c r="C5251" s="95" t="str">
        <f>IFERROR(VLOOKUP("CAJ",'Informacion '!P:Q,2,FALSE),"")</f>
        <v>Caja</v>
      </c>
      <c r="D5251" s="94">
        <v>1</v>
      </c>
      <c r="E5251" s="84">
        <v>1500</v>
      </c>
      <c r="F5251" s="83">
        <f t="shared" ca="1" si="228"/>
        <v>1500</v>
      </c>
    </row>
    <row r="5252" spans="1:6" ht="14.1" customHeight="1" x14ac:dyDescent="0.25">
      <c r="A5252" s="94" t="s">
        <v>3332</v>
      </c>
      <c r="B5252" s="82" t="str">
        <f ca="1">IFERROR(INDEX(UNSPSCDes,MATCH(INDIRECT(ADDRESS(ROW(),COLUMN()-1,4)),UNSPSCCode,0)),IF(INDIRECT(ADDRESS(ROW(),COLUMN()-1,4))="31201605","Masillas",""))</f>
        <v>Masillas</v>
      </c>
      <c r="C5252" s="95" t="str">
        <f>IFERROR(VLOOKUP("CAJ",'Informacion '!P:Q,2,FALSE),"")</f>
        <v>Caja</v>
      </c>
      <c r="D5252" s="94">
        <v>5</v>
      </c>
      <c r="E5252" s="84">
        <v>2000</v>
      </c>
      <c r="F5252" s="83">
        <f t="shared" ca="1" si="228"/>
        <v>10000</v>
      </c>
    </row>
    <row r="5253" spans="1:6" ht="14.1" customHeight="1" x14ac:dyDescent="0.25">
      <c r="A5253" s="94" t="s">
        <v>13889</v>
      </c>
      <c r="B5253" s="82" t="str">
        <f ca="1">IFERROR(INDEX(UNSPSCDes,MATCH(INDIRECT(ADDRESS(ROW(),COLUMN()-1,4)),UNSPSCCode,0)),IF(INDIRECT(ADDRESS(ROW(),COLUMN()-1,4))="12352310","Siliconas",""))</f>
        <v>Siliconas</v>
      </c>
      <c r="C5253" s="95" t="str">
        <f>IFERROR(VLOOKUP("CAJ",'Informacion '!P:Q,2,FALSE),"")</f>
        <v>Caja</v>
      </c>
      <c r="D5253" s="94">
        <v>1</v>
      </c>
      <c r="E5253" s="84">
        <v>1500</v>
      </c>
      <c r="F5253" s="83">
        <f t="shared" ca="1" si="228"/>
        <v>1500</v>
      </c>
    </row>
    <row r="5254" spans="1:6" ht="14.1" customHeight="1" x14ac:dyDescent="0.25">
      <c r="A5254" s="94" t="s">
        <v>12246</v>
      </c>
      <c r="B5254" s="82" t="str">
        <f ca="1">IFERROR(INDEX(UNSPSCDes,MATCH(INDIRECT(ADDRESS(ROW(),COLUMN()-1,4)),UNSPSCCode,0)),IF(INDIRECT(ADDRESS(ROW(),COLUMN()-1,4))="30111601","Cemento",""))</f>
        <v>Cemento</v>
      </c>
      <c r="C5254" s="95" t="str">
        <f>IFERROR(VLOOKUP("UD",'Informacion '!P:Q,2,FALSE),"")</f>
        <v>Unidad</v>
      </c>
      <c r="D5254" s="94">
        <v>2</v>
      </c>
      <c r="E5254" s="84">
        <v>350</v>
      </c>
      <c r="F5254" s="83">
        <f t="shared" ca="1" si="228"/>
        <v>700</v>
      </c>
    </row>
    <row r="5255" spans="1:6" ht="14.1" customHeight="1" x14ac:dyDescent="0.25">
      <c r="A5255" s="94" t="s">
        <v>4672</v>
      </c>
      <c r="B5255" s="82" t="str">
        <f ca="1">IFERROR(INDEX(UNSPSCDes,MATCH(INDIRECT(ADDRESS(ROW(),COLUMN()-1,4)),UNSPSCCode,0)),IF(INDIRECT(ADDRESS(ROW(),COLUMN()-1,4))="72102004","Impermeabilización",""))</f>
        <v>Impermeabilización</v>
      </c>
      <c r="C5255" s="95" t="str">
        <f>IFERROR(VLOOKUP("UD",'Informacion '!P:Q,2,FALSE),"")</f>
        <v>Unidad</v>
      </c>
      <c r="D5255" s="94">
        <v>2</v>
      </c>
      <c r="E5255" s="84">
        <v>5500</v>
      </c>
      <c r="F5255" s="83">
        <f t="shared" ca="1" si="228"/>
        <v>11000</v>
      </c>
    </row>
    <row r="5256" spans="1:6" ht="14.1" customHeight="1" x14ac:dyDescent="0.25">
      <c r="A5256" s="94" t="s">
        <v>4947</v>
      </c>
      <c r="B5256" s="82" t="str">
        <f t="shared" ref="B5256:B5262" ca="1" si="229">IFERROR(INDEX(UNSPSCDes,MATCH(INDIRECT(ADDRESS(ROW(),COLUMN()-1,4)),UNSPSCCode,0)),IF(INDIRECT(ADDRESS(ROW(),COLUMN()-1,4))="86131502","Pintura",""))</f>
        <v>Pintura</v>
      </c>
      <c r="C5256" s="95" t="str">
        <f>IFERROR(VLOOKUP("GAL",'Informacion '!P:Q,2,FALSE),"")</f>
        <v>Galón</v>
      </c>
      <c r="D5256" s="94">
        <v>2</v>
      </c>
      <c r="E5256" s="84">
        <v>1525</v>
      </c>
      <c r="F5256" s="83">
        <f t="shared" ca="1" si="228"/>
        <v>3050</v>
      </c>
    </row>
    <row r="5257" spans="1:6" ht="14.1" customHeight="1" x14ac:dyDescent="0.25">
      <c r="A5257" s="94" t="s">
        <v>4947</v>
      </c>
      <c r="B5257" s="82" t="str">
        <f t="shared" ca="1" si="229"/>
        <v>Pintura</v>
      </c>
      <c r="C5257" s="95" t="str">
        <f>IFERROR(VLOOKUP("UD",'Informacion '!P:Q,2,FALSE),"")</f>
        <v>Unidad</v>
      </c>
      <c r="D5257" s="94">
        <v>6</v>
      </c>
      <c r="E5257" s="84">
        <v>5000</v>
      </c>
      <c r="F5257" s="83">
        <f t="shared" ca="1" si="228"/>
        <v>30000</v>
      </c>
    </row>
    <row r="5258" spans="1:6" ht="14.1" customHeight="1" x14ac:dyDescent="0.25">
      <c r="A5258" s="94" t="s">
        <v>4947</v>
      </c>
      <c r="B5258" s="82" t="str">
        <f t="shared" ca="1" si="229"/>
        <v>Pintura</v>
      </c>
      <c r="C5258" s="95" t="str">
        <f>IFERROR(VLOOKUP("UD",'Informacion '!P:Q,2,FALSE),"")</f>
        <v>Unidad</v>
      </c>
      <c r="D5258" s="94">
        <v>6</v>
      </c>
      <c r="E5258" s="84">
        <v>5000</v>
      </c>
      <c r="F5258" s="83">
        <f t="shared" ca="1" si="228"/>
        <v>30000</v>
      </c>
    </row>
    <row r="5259" spans="1:6" ht="14.1" customHeight="1" x14ac:dyDescent="0.25">
      <c r="A5259" s="94" t="s">
        <v>4947</v>
      </c>
      <c r="B5259" s="82" t="str">
        <f t="shared" ca="1" si="229"/>
        <v>Pintura</v>
      </c>
      <c r="C5259" s="95" t="str">
        <f>IFERROR(VLOOKUP("UD",'Informacion '!P:Q,2,FALSE),"")</f>
        <v>Unidad</v>
      </c>
      <c r="D5259" s="94">
        <v>6</v>
      </c>
      <c r="E5259" s="84">
        <v>7000</v>
      </c>
      <c r="F5259" s="83">
        <f t="shared" ca="1" si="228"/>
        <v>42000</v>
      </c>
    </row>
    <row r="5260" spans="1:6" ht="14.1" customHeight="1" x14ac:dyDescent="0.25">
      <c r="A5260" s="94" t="s">
        <v>4947</v>
      </c>
      <c r="B5260" s="82" t="str">
        <f t="shared" ca="1" si="229"/>
        <v>Pintura</v>
      </c>
      <c r="C5260" s="95" t="str">
        <f>IFERROR(VLOOKUP("GAL",'Informacion '!P:Q,2,FALSE),"")</f>
        <v>Galón</v>
      </c>
      <c r="D5260" s="94">
        <v>2</v>
      </c>
      <c r="E5260" s="84">
        <v>1600</v>
      </c>
      <c r="F5260" s="83">
        <f t="shared" ca="1" si="228"/>
        <v>3200</v>
      </c>
    </row>
    <row r="5261" spans="1:6" ht="14.1" customHeight="1" x14ac:dyDescent="0.25">
      <c r="A5261" s="94" t="s">
        <v>4947</v>
      </c>
      <c r="B5261" s="82" t="str">
        <f t="shared" ca="1" si="229"/>
        <v>Pintura</v>
      </c>
      <c r="C5261" s="95" t="str">
        <f>IFERROR(VLOOKUP("UD",'Informacion '!P:Q,2,FALSE),"")</f>
        <v>Unidad</v>
      </c>
      <c r="D5261" s="94">
        <v>2</v>
      </c>
      <c r="E5261" s="84">
        <v>5400</v>
      </c>
      <c r="F5261" s="83">
        <f t="shared" ca="1" si="228"/>
        <v>10800</v>
      </c>
    </row>
    <row r="5262" spans="1:6" ht="14.1" customHeight="1" x14ac:dyDescent="0.25">
      <c r="A5262" s="94" t="s">
        <v>4947</v>
      </c>
      <c r="B5262" s="82" t="str">
        <f t="shared" ca="1" si="229"/>
        <v>Pintura</v>
      </c>
      <c r="C5262" s="95" t="str">
        <f>IFERROR(VLOOKUP("UD",'Informacion '!P:Q,2,FALSE),"")</f>
        <v>Unidad</v>
      </c>
      <c r="D5262" s="94">
        <v>5</v>
      </c>
      <c r="E5262" s="84">
        <v>6500</v>
      </c>
      <c r="F5262" s="83">
        <f t="shared" ca="1" si="228"/>
        <v>32500</v>
      </c>
    </row>
    <row r="5263" spans="1:6" ht="14.1" customHeight="1" x14ac:dyDescent="0.25">
      <c r="A5263" s="94" t="s">
        <v>6316</v>
      </c>
      <c r="B5263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5263" s="95" t="str">
        <f>IFERROR(VLOOKUP("UD",'Informacion '!P:Q,2,FALSE),"")</f>
        <v>Unidad</v>
      </c>
      <c r="D5263" s="94">
        <v>1</v>
      </c>
      <c r="E5263" s="84">
        <v>300000</v>
      </c>
      <c r="F5263" s="83">
        <f t="shared" ca="1" si="228"/>
        <v>300000</v>
      </c>
    </row>
    <row r="5264" spans="1:6" ht="14.1" customHeight="1" x14ac:dyDescent="0.25">
      <c r="A5264" s="94" t="s">
        <v>6316</v>
      </c>
      <c r="B5264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5264" s="95" t="str">
        <f>IFERROR(VLOOKUP("GAL",'Informacion '!P:Q,2,FALSE),"")</f>
        <v>Galón</v>
      </c>
      <c r="D5264" s="94">
        <v>3</v>
      </c>
      <c r="E5264" s="84">
        <v>1100</v>
      </c>
      <c r="F5264" s="83">
        <f t="shared" ca="1" si="228"/>
        <v>3300</v>
      </c>
    </row>
    <row r="5265" spans="1:10" ht="14.1" customHeight="1" x14ac:dyDescent="0.25">
      <c r="A5265" s="94" t="s">
        <v>3332</v>
      </c>
      <c r="B5265" s="82" t="str">
        <f ca="1">IFERROR(INDEX(UNSPSCDes,MATCH(INDIRECT(ADDRESS(ROW(),COLUMN()-1,4)),UNSPSCCode,0)),IF(INDIRECT(ADDRESS(ROW(),COLUMN()-1,4))="31201605","Masillas",""))</f>
        <v>Masillas</v>
      </c>
      <c r="C5265" s="95" t="str">
        <f>IFERROR(VLOOKUP("UD",'Informacion '!P:Q,2,FALSE),"")</f>
        <v>Unidad</v>
      </c>
      <c r="D5265" s="94">
        <v>2</v>
      </c>
      <c r="E5265" s="84">
        <v>5000</v>
      </c>
      <c r="F5265" s="83">
        <f t="shared" ca="1" si="228"/>
        <v>10000</v>
      </c>
    </row>
    <row r="5266" spans="1:10" ht="14.1" customHeight="1" x14ac:dyDescent="0.25">
      <c r="A5266" s="94" t="s">
        <v>4947</v>
      </c>
      <c r="B5266" s="82" t="str">
        <f ca="1">IFERROR(INDEX(UNSPSCDes,MATCH(INDIRECT(ADDRESS(ROW(),COLUMN()-1,4)),UNSPSCCode,0)),IF(INDIRECT(ADDRESS(ROW(),COLUMN()-1,4))="86131502","Pintura",""))</f>
        <v>Pintura</v>
      </c>
      <c r="C5266" s="95" t="str">
        <f>IFERROR(VLOOKUP("GAL",'Informacion '!P:Q,2,FALSE),"")</f>
        <v>Galón</v>
      </c>
      <c r="D5266" s="94">
        <v>6</v>
      </c>
      <c r="E5266" s="84">
        <v>1800</v>
      </c>
      <c r="F5266" s="83">
        <f t="shared" ca="1" si="228"/>
        <v>10800</v>
      </c>
    </row>
    <row r="5267" spans="1:10" ht="14.1" customHeight="1" x14ac:dyDescent="0.25">
      <c r="A5267" s="94" t="s">
        <v>4947</v>
      </c>
      <c r="B5267" s="82" t="str">
        <f ca="1">IFERROR(INDEX(UNSPSCDes,MATCH(INDIRECT(ADDRESS(ROW(),COLUMN()-1,4)),UNSPSCCode,0)),IF(INDIRECT(ADDRESS(ROW(),COLUMN()-1,4))="86131502","Pintura",""))</f>
        <v>Pintura</v>
      </c>
      <c r="C5267" s="95" t="str">
        <f>IFERROR(VLOOKUP("GAL",'Informacion '!P:Q,2,FALSE),"")</f>
        <v>Galón</v>
      </c>
      <c r="D5267" s="94">
        <v>4</v>
      </c>
      <c r="E5267" s="84">
        <v>1200</v>
      </c>
      <c r="F5267" s="83">
        <f t="shared" ca="1" si="228"/>
        <v>4800</v>
      </c>
    </row>
    <row r="5268" spans="1:10" ht="14.1" customHeight="1" x14ac:dyDescent="0.25">
      <c r="A5268" s="94" t="s">
        <v>4947</v>
      </c>
      <c r="B5268" s="82" t="str">
        <f ca="1">IFERROR(INDEX(UNSPSCDes,MATCH(INDIRECT(ADDRESS(ROW(),COLUMN()-1,4)),UNSPSCCode,0)),IF(INDIRECT(ADDRESS(ROW(),COLUMN()-1,4))="86131502","Pintura",""))</f>
        <v>Pintura</v>
      </c>
      <c r="C5268" s="95" t="str">
        <f>IFERROR(VLOOKUP("GAL",'Informacion '!P:Q,2,FALSE),"")</f>
        <v>Galón</v>
      </c>
      <c r="D5268" s="94">
        <v>2</v>
      </c>
      <c r="E5268" s="84">
        <v>1200</v>
      </c>
      <c r="F5268" s="83">
        <f t="shared" ca="1" si="228"/>
        <v>2400</v>
      </c>
    </row>
    <row r="5269" spans="1:10" ht="14.1" customHeight="1" x14ac:dyDescent="0.25">
      <c r="A5269" s="94" t="s">
        <v>10418</v>
      </c>
      <c r="B5269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5269" s="95" t="str">
        <f>IFERROR(VLOOKUP("UD",'Informacion '!P:Q,2,FALSE),"")</f>
        <v>Unidad</v>
      </c>
      <c r="D5269" s="94">
        <v>20</v>
      </c>
      <c r="E5269" s="84">
        <v>100</v>
      </c>
      <c r="F5269" s="83">
        <f t="shared" ca="1" si="228"/>
        <v>2000</v>
      </c>
    </row>
    <row r="5270" spans="1:10" ht="14.1" customHeight="1" x14ac:dyDescent="0.25">
      <c r="A5270" s="94" t="s">
        <v>14968</v>
      </c>
      <c r="B5270" s="82" t="str">
        <f ca="1">IFERROR(INDEX(UNSPSCDes,MATCH(INDIRECT(ADDRESS(ROW(),COLUMN()-1,4)),UNSPSCCode,0)),IF(INDIRECT(ADDRESS(ROW(),COLUMN()-1,4))="53102503","Sombreros",""))</f>
        <v>Sombreros</v>
      </c>
      <c r="C5270" s="95" t="str">
        <f>IFERROR(VLOOKUP("UD",'Informacion '!P:Q,2,FALSE),"")</f>
        <v>Unidad</v>
      </c>
      <c r="D5270" s="94">
        <v>1</v>
      </c>
      <c r="E5270" s="84">
        <v>400</v>
      </c>
      <c r="F5270" s="83">
        <f t="shared" ca="1" si="228"/>
        <v>400</v>
      </c>
    </row>
    <row r="5271" spans="1:10" ht="14.1" customHeight="1" x14ac:dyDescent="0.25">
      <c r="A5271" s="94" t="s">
        <v>7608</v>
      </c>
      <c r="B5271" s="82" t="str">
        <f ca="1">IFERROR(INDEX(UNSPSCDes,MATCH(INDIRECT(ADDRESS(ROW(),COLUMN()-1,4)),UNSPSCCode,0)),IF(INDIRECT(ADDRESS(ROW(),COLUMN()-1,4))="14121809","Papel de enmascarar",""))</f>
        <v>Papel de enmascarar</v>
      </c>
      <c r="C5271" s="95" t="str">
        <f>IFERROR(VLOOKUP("CAJ",'Informacion '!P:Q,2,FALSE),"")</f>
        <v>Caja</v>
      </c>
      <c r="D5271" s="94">
        <v>3</v>
      </c>
      <c r="E5271" s="84">
        <v>500</v>
      </c>
      <c r="F5271" s="83">
        <f t="shared" ca="1" si="228"/>
        <v>1500</v>
      </c>
    </row>
    <row r="5272" spans="1:10" ht="14.1" customHeight="1" x14ac:dyDescent="0.25">
      <c r="A5272" s="94" t="s">
        <v>9956</v>
      </c>
      <c r="B5272" s="82" t="str">
        <f ca="1">IFERROR(INDEX(UNSPSCDes,MATCH(INDIRECT(ADDRESS(ROW(),COLUMN()-1,4)),UNSPSCCode,0)),IF(INDIRECT(ADDRESS(ROW(),COLUMN()-1,4))="20121417","Colgadores de línea",""))</f>
        <v>Colgadores de línea</v>
      </c>
      <c r="C5272" s="95" t="str">
        <f>IFERROR(VLOOKUP("UD",'Informacion '!P:Q,2,FALSE),"")</f>
        <v>Unidad</v>
      </c>
      <c r="D5272" s="94">
        <v>20</v>
      </c>
      <c r="E5272" s="84">
        <v>250</v>
      </c>
      <c r="F5272" s="83">
        <f t="shared" ca="1" si="228"/>
        <v>5000</v>
      </c>
    </row>
    <row r="5273" spans="1:10" ht="14.1" customHeight="1" x14ac:dyDescent="0.25">
      <c r="A5273" s="94" t="s">
        <v>11318</v>
      </c>
      <c r="B5273" s="82" t="str">
        <f ca="1">IFERROR(INDEX(UNSPSCDes,MATCH(INDIRECT(ADDRESS(ROW(),COLUMN()-1,4)),UNSPSCCode,0)),IF(INDIRECT(ADDRESS(ROW(),COLUMN()-1,4))="30181509","Plato del jabón",""))</f>
        <v>Plato del jabón</v>
      </c>
      <c r="C5273" s="95" t="str">
        <f>IFERROR(VLOOKUP("UD",'Informacion '!P:Q,2,FALSE),"")</f>
        <v>Unidad</v>
      </c>
      <c r="D5273" s="94">
        <v>10</v>
      </c>
      <c r="E5273" s="84">
        <v>550</v>
      </c>
      <c r="F5273" s="83">
        <f t="shared" ca="1" si="228"/>
        <v>5500</v>
      </c>
    </row>
    <row r="5274" spans="1:10" ht="14.1" customHeight="1" x14ac:dyDescent="0.25">
      <c r="A5274" s="94" t="s">
        <v>7588</v>
      </c>
      <c r="B5274" s="82" t="str">
        <f ca="1">IFERROR(INDEX(UNSPSCDes,MATCH(INDIRECT(ADDRESS(ROW(),COLUMN()-1,4)),UNSPSCCode,0)),IF(INDIRECT(ADDRESS(ROW(),COLUMN()-1,4))="52131501","Cortinas",""))</f>
        <v>Cortinas</v>
      </c>
      <c r="C5274" s="95" t="str">
        <f>IFERROR(VLOOKUP("UD",'Informacion '!P:Q,2,FALSE),"")</f>
        <v>Unidad</v>
      </c>
      <c r="D5274" s="94">
        <v>3</v>
      </c>
      <c r="E5274" s="84">
        <v>8000</v>
      </c>
      <c r="F5274" s="83">
        <f t="shared" ca="1" si="228"/>
        <v>24000</v>
      </c>
    </row>
    <row r="5275" spans="1:10" ht="14.1" customHeight="1" x14ac:dyDescent="0.25">
      <c r="A5275" s="94" t="s">
        <v>4615</v>
      </c>
      <c r="B5275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275" s="95" t="str">
        <f>IFERROR(VLOOKUP("UD",'Informacion '!P:Q,2,FALSE),"")</f>
        <v>Unidad</v>
      </c>
      <c r="D5275" s="94">
        <v>1</v>
      </c>
      <c r="E5275" s="84">
        <v>300000</v>
      </c>
      <c r="F5275" s="83">
        <f t="shared" ca="1" si="228"/>
        <v>300000</v>
      </c>
    </row>
    <row r="5276" spans="1:10" ht="14.1" customHeight="1" x14ac:dyDescent="0.25">
      <c r="A5276" s="94" t="s">
        <v>4615</v>
      </c>
      <c r="B5276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5276" s="95" t="str">
        <f>IFERROR(VLOOKUP("UD",'Informacion '!P:Q,2,FALSE),"")</f>
        <v>Unidad</v>
      </c>
      <c r="D5276" s="94">
        <v>1</v>
      </c>
      <c r="E5276" s="84">
        <v>500000</v>
      </c>
      <c r="F5276" s="83">
        <f t="shared" ca="1" si="228"/>
        <v>500000</v>
      </c>
    </row>
    <row r="5277" spans="1:10" ht="14.1" customHeight="1" x14ac:dyDescent="0.25">
      <c r="A5277" s="94" t="s">
        <v>2688</v>
      </c>
      <c r="B5277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5277" s="95" t="str">
        <f>IFERROR(VLOOKUP("M2",'Informacion '!P:Q,2,FALSE),"")</f>
        <v>Metro cuadrado</v>
      </c>
      <c r="D5277" s="94">
        <v>1130</v>
      </c>
      <c r="E5277" s="84">
        <v>600</v>
      </c>
      <c r="F5277" s="83">
        <f t="shared" ca="1" si="228"/>
        <v>678000</v>
      </c>
    </row>
    <row r="5278" spans="1:10" ht="14.1" customHeight="1" x14ac:dyDescent="0.25">
      <c r="A5278" s="94" t="s">
        <v>11208</v>
      </c>
      <c r="B5278" s="82" t="str">
        <f ca="1">IFERROR(INDEX(UNSPSCDes,MATCH(INDIRECT(ADDRESS(ROW(),COLUMN()-1,4)),UNSPSCCode,0)),IF(INDIRECT(ADDRESS(ROW(),COLUMN()-1,4))="30171705","Vidrio laminado",""))</f>
        <v>Vidrio laminado</v>
      </c>
      <c r="C5278" s="95" t="str">
        <f>IFERROR(VLOOKUP("FT2",'Informacion '!P:Q,2,FALSE),"")</f>
        <v>Pie cuadrado</v>
      </c>
      <c r="D5278" s="94">
        <v>200</v>
      </c>
      <c r="E5278" s="84">
        <v>150</v>
      </c>
      <c r="F5278" s="83">
        <f t="shared" ca="1" si="228"/>
        <v>30000</v>
      </c>
    </row>
    <row r="5279" spans="1:10" ht="14.1" customHeight="1" x14ac:dyDescent="0.25">
      <c r="E5279" s="96" t="s">
        <v>7213</v>
      </c>
      <c r="F5279" s="87">
        <f ca="1">SUM(Table132[MONTO TOTAL ESTIMADO])</f>
        <v>3029782.5</v>
      </c>
      <c r="H5279" s="39" t="str">
        <f>C5174</f>
        <v>Bienes</v>
      </c>
      <c r="I5279" s="39" t="str">
        <f>E5174</f>
        <v>No</v>
      </c>
      <c r="J5279" s="39" t="str">
        <f>D5174</f>
        <v>Compras Menores</v>
      </c>
    </row>
    <row r="5281" spans="1:6" ht="33.950000000000003" customHeight="1" x14ac:dyDescent="0.25">
      <c r="A5281" s="77" t="s">
        <v>17233</v>
      </c>
      <c r="B5281" s="77" t="s">
        <v>4237</v>
      </c>
      <c r="C5281" s="77" t="s">
        <v>4743</v>
      </c>
      <c r="D5281" s="77" t="s">
        <v>9891</v>
      </c>
      <c r="E5281" s="77" t="s">
        <v>3089</v>
      </c>
      <c r="F5281" s="77" t="s">
        <v>18141</v>
      </c>
    </row>
    <row r="5282" spans="1:6" ht="14.1" customHeight="1" x14ac:dyDescent="0.25">
      <c r="A5282" s="79" t="s">
        <v>2114</v>
      </c>
      <c r="B5282" s="79" t="s">
        <v>14626</v>
      </c>
      <c r="C5282" s="79" t="s">
        <v>17215</v>
      </c>
      <c r="D5282" s="79" t="s">
        <v>17798</v>
      </c>
      <c r="E5282" s="79" t="s">
        <v>18247</v>
      </c>
      <c r="F5282" s="79"/>
    </row>
    <row r="5283" spans="1:6" ht="14.1" customHeight="1" x14ac:dyDescent="0.25">
      <c r="A5283" s="2" t="s">
        <v>6643</v>
      </c>
      <c r="B5283" s="80" t="s">
        <v>1046</v>
      </c>
      <c r="C5283" s="90">
        <v>43466</v>
      </c>
      <c r="D5283" s="2" t="s">
        <v>59</v>
      </c>
      <c r="E5283" s="92" t="s">
        <v>20066</v>
      </c>
      <c r="F5283" s="93"/>
    </row>
    <row r="5284" spans="1:6" ht="14.1" customHeight="1" x14ac:dyDescent="0.25">
      <c r="A5284" s="1"/>
      <c r="B5284" s="80" t="s">
        <v>10788</v>
      </c>
      <c r="C5284" s="91">
        <f>IF(C5283="","",IF(AND(MONTH(C5283)&gt;=1,MONTH(C5283)&lt;=3),1,IF(AND(MONTH(C5283)&gt;=4,MONTH(C5283)&lt;=6),2,IF(AND(MONTH(C5283)&gt;=7,MONTH(C5283)&lt;=9),3,4))))</f>
        <v>1</v>
      </c>
      <c r="D5284" s="1"/>
      <c r="E5284" s="92" t="s">
        <v>14822</v>
      </c>
      <c r="F5284" s="93"/>
    </row>
    <row r="5285" spans="1:6" ht="14.1" customHeight="1" x14ac:dyDescent="0.25">
      <c r="A5285" s="1"/>
      <c r="B5285" s="80" t="s">
        <v>13758</v>
      </c>
      <c r="C5285" s="90">
        <v>43553</v>
      </c>
      <c r="D5285" s="1"/>
      <c r="E5285" s="92" t="s">
        <v>18636</v>
      </c>
      <c r="F5285" s="93"/>
    </row>
    <row r="5286" spans="1:6" ht="14.1" customHeight="1" x14ac:dyDescent="0.25">
      <c r="A5286" s="1"/>
      <c r="B5286" s="80" t="s">
        <v>10788</v>
      </c>
      <c r="C5286" s="91">
        <f>IF(C5285="","",IF(AND(MONTH(C5285)&gt;=1,MONTH(C5285)&lt;=3),1,IF(AND(MONTH(C5285)&gt;=4,MONTH(C5285)&lt;=6),2,IF(AND(MONTH(C5285)&gt;=7,MONTH(C5285)&lt;=9),3,4))))</f>
        <v>1</v>
      </c>
      <c r="D5286" s="1"/>
      <c r="E5286" s="92" t="s">
        <v>15990</v>
      </c>
      <c r="F5286" s="93"/>
    </row>
    <row r="5288" spans="1:6" ht="14.1" customHeight="1" x14ac:dyDescent="0.25">
      <c r="A5288" s="85" t="s">
        <v>15474</v>
      </c>
      <c r="B5288" s="85" t="s">
        <v>5027</v>
      </c>
      <c r="C5288" s="85" t="s">
        <v>17461</v>
      </c>
      <c r="D5288" s="85" t="s">
        <v>3935</v>
      </c>
      <c r="E5288" s="85" t="s">
        <v>10722</v>
      </c>
      <c r="F5288" s="85" t="s">
        <v>18237</v>
      </c>
    </row>
    <row r="5289" spans="1:6" ht="14.1" customHeight="1" x14ac:dyDescent="0.25">
      <c r="A5289" s="94" t="s">
        <v>5620</v>
      </c>
      <c r="B5289" s="82" t="str">
        <f ca="1">IFERROR(INDEX(UNSPSCDes,MATCH(INDIRECT(ADDRESS(ROW(),COLUMN()-1,4)),UNSPSCCode,0)),IF(INDIRECT(ADDRESS(ROW(),COLUMN()-1,4))="20122506","Cabezales de inyector de tubería flexible",""))</f>
        <v>Cabezales de inyector de tubería flexible</v>
      </c>
      <c r="C5289" s="95" t="str">
        <f>IFERROR(VLOOKUP("UD",'Informacion '!P:Q,2,FALSE),"")</f>
        <v>Unidad</v>
      </c>
      <c r="D5289" s="94">
        <v>2</v>
      </c>
      <c r="E5289" s="84">
        <v>400</v>
      </c>
      <c r="F5289" s="83">
        <f t="shared" ref="F5289:F5301" ca="1" si="230">INDIRECT(ADDRESS(ROW(),COLUMN()-2,4))*INDIRECT(ADDRESS(ROW(),COLUMN()-1,4))</f>
        <v>800</v>
      </c>
    </row>
    <row r="5290" spans="1:6" ht="14.1" customHeight="1" x14ac:dyDescent="0.25">
      <c r="A5290" s="94" t="s">
        <v>4286</v>
      </c>
      <c r="B5290" s="82" t="str">
        <f ca="1">IFERROR(INDEX(UNSPSCDes,MATCH(INDIRECT(ADDRESS(ROW(),COLUMN()-1,4)),UNSPSCCode,0)),IF(INDIRECT(ADDRESS(ROW(),COLUMN()-1,4))="40142008","Mangueras de agua",""))</f>
        <v>Mangueras de agua</v>
      </c>
      <c r="C5290" s="95" t="str">
        <f>IFERROR(VLOOKUP("UD",'Informacion '!P:Q,2,FALSE),"")</f>
        <v>Unidad</v>
      </c>
      <c r="D5290" s="94">
        <v>2</v>
      </c>
      <c r="E5290" s="84">
        <v>1225</v>
      </c>
      <c r="F5290" s="83">
        <f t="shared" ca="1" si="230"/>
        <v>2450</v>
      </c>
    </row>
    <row r="5291" spans="1:6" ht="14.1" customHeight="1" x14ac:dyDescent="0.25">
      <c r="A5291" s="94" t="s">
        <v>10680</v>
      </c>
      <c r="B5291" s="82" t="str">
        <f ca="1">IFERROR(INDEX(UNSPSCDes,MATCH(INDIRECT(ADDRESS(ROW(),COLUMN()-1,4)),UNSPSCCode,0)),IF(INDIRECT(ADDRESS(ROW(),COLUMN()-1,4))="22101619","Máquinas pulidoras",""))</f>
        <v>Máquinas pulidoras</v>
      </c>
      <c r="C5291" s="95" t="str">
        <f>IFERROR(VLOOKUP("UD",'Informacion '!P:Q,2,FALSE),"")</f>
        <v>Unidad</v>
      </c>
      <c r="D5291" s="94">
        <v>1</v>
      </c>
      <c r="E5291" s="84">
        <v>10000</v>
      </c>
      <c r="F5291" s="83">
        <f t="shared" ca="1" si="230"/>
        <v>10000</v>
      </c>
    </row>
    <row r="5292" spans="1:6" ht="14.1" customHeight="1" x14ac:dyDescent="0.25">
      <c r="A5292" s="94" t="s">
        <v>6316</v>
      </c>
      <c r="B5292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5292" s="95" t="str">
        <f>IFERROR(VLOOKUP("UD",'Informacion '!P:Q,2,FALSE),"")</f>
        <v>Unidad</v>
      </c>
      <c r="D5292" s="94">
        <v>20</v>
      </c>
      <c r="E5292" s="84">
        <v>400</v>
      </c>
      <c r="F5292" s="83">
        <f t="shared" ca="1" si="230"/>
        <v>8000</v>
      </c>
    </row>
    <row r="5293" spans="1:6" ht="14.1" customHeight="1" x14ac:dyDescent="0.25">
      <c r="A5293" s="94" t="s">
        <v>7063</v>
      </c>
      <c r="B5293" s="82" t="str">
        <f ca="1">IFERROR(INDEX(UNSPSCDes,MATCH(INDIRECT(ADDRESS(ROW(),COLUMN()-1,4)),UNSPSCCode,0)),IF(INDIRECT(ADDRESS(ROW(),COLUMN()-1,4))="31201603","Gomas",""))</f>
        <v>Gomas</v>
      </c>
      <c r="C5293" s="95" t="str">
        <f>IFERROR(VLOOKUP("UD",'Informacion '!P:Q,2,FALSE),"")</f>
        <v>Unidad</v>
      </c>
      <c r="D5293" s="94">
        <v>2</v>
      </c>
      <c r="E5293" s="84">
        <v>1300</v>
      </c>
      <c r="F5293" s="83">
        <f t="shared" ca="1" si="230"/>
        <v>2600</v>
      </c>
    </row>
    <row r="5294" spans="1:6" ht="14.1" customHeight="1" x14ac:dyDescent="0.25">
      <c r="A5294" s="94" t="s">
        <v>7063</v>
      </c>
      <c r="B5294" s="82" t="str">
        <f ca="1">IFERROR(INDEX(UNSPSCDes,MATCH(INDIRECT(ADDRESS(ROW(),COLUMN()-1,4)),UNSPSCCode,0)),IF(INDIRECT(ADDRESS(ROW(),COLUMN()-1,4))="31201603","Gomas",""))</f>
        <v>Gomas</v>
      </c>
      <c r="C5294" s="95" t="str">
        <f>IFERROR(VLOOKUP("UD",'Informacion '!P:Q,2,FALSE),"")</f>
        <v>Unidad</v>
      </c>
      <c r="D5294" s="94">
        <v>2</v>
      </c>
      <c r="E5294" s="84">
        <v>1500</v>
      </c>
      <c r="F5294" s="83">
        <f t="shared" ca="1" si="230"/>
        <v>3000</v>
      </c>
    </row>
    <row r="5295" spans="1:6" ht="14.1" customHeight="1" x14ac:dyDescent="0.25">
      <c r="A5295" s="94" t="s">
        <v>11355</v>
      </c>
      <c r="B5295" s="82" t="str">
        <f ca="1">IFERROR(INDEX(UNSPSCDes,MATCH(INDIRECT(ADDRESS(ROW(),COLUMN()-1,4)),UNSPSCCode,0)),IF(INDIRECT(ADDRESS(ROW(),COLUMN()-1,4))="11131506","Lana sin procesar",""))</f>
        <v>Lana sin procesar</v>
      </c>
      <c r="C5295" s="95" t="str">
        <f>IFERROR(VLOOKUP("UD",'Informacion '!P:Q,2,FALSE),"")</f>
        <v>Unidad</v>
      </c>
      <c r="D5295" s="94">
        <v>15</v>
      </c>
      <c r="E5295" s="84">
        <v>170</v>
      </c>
      <c r="F5295" s="83">
        <f t="shared" ca="1" si="230"/>
        <v>2550</v>
      </c>
    </row>
    <row r="5296" spans="1:6" ht="14.1" customHeight="1" x14ac:dyDescent="0.25">
      <c r="A5296" s="94" t="s">
        <v>2005</v>
      </c>
      <c r="B5296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5296" s="95" t="str">
        <f>IFERROR(VLOOKUP("UD",'Informacion '!P:Q,2,FALSE),"")</f>
        <v>Unidad</v>
      </c>
      <c r="D5296" s="94">
        <v>10</v>
      </c>
      <c r="E5296" s="84">
        <v>200</v>
      </c>
      <c r="F5296" s="83">
        <f t="shared" ca="1" si="230"/>
        <v>2000</v>
      </c>
    </row>
    <row r="5297" spans="1:10" ht="14.1" customHeight="1" x14ac:dyDescent="0.25">
      <c r="A5297" s="94" t="s">
        <v>2005</v>
      </c>
      <c r="B5297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5297" s="95" t="str">
        <f>IFERROR(VLOOKUP("UD",'Informacion '!P:Q,2,FALSE),"")</f>
        <v>Unidad</v>
      </c>
      <c r="D5297" s="94">
        <v>1</v>
      </c>
      <c r="E5297" s="84">
        <v>160</v>
      </c>
      <c r="F5297" s="83">
        <f t="shared" ca="1" si="230"/>
        <v>160</v>
      </c>
    </row>
    <row r="5298" spans="1:10" ht="14.1" customHeight="1" x14ac:dyDescent="0.25">
      <c r="A5298" s="94" t="s">
        <v>8808</v>
      </c>
      <c r="B5298" s="82" t="str">
        <f ca="1">IFERROR(INDEX(UNSPSCDes,MATCH(INDIRECT(ADDRESS(ROW(),COLUMN()-1,4)),UNSPSCCode,0)),IF(INDIRECT(ADDRESS(ROW(),COLUMN()-1,4))="30161907","Escaleras",""))</f>
        <v>Escaleras</v>
      </c>
      <c r="C5298" s="95" t="str">
        <f>IFERROR(VLOOKUP("UD",'Informacion '!P:Q,2,FALSE),"")</f>
        <v>Unidad</v>
      </c>
      <c r="D5298" s="94">
        <v>1</v>
      </c>
      <c r="E5298" s="84">
        <v>4500</v>
      </c>
      <c r="F5298" s="83">
        <f t="shared" ca="1" si="230"/>
        <v>4500</v>
      </c>
    </row>
    <row r="5299" spans="1:10" ht="14.1" customHeight="1" x14ac:dyDescent="0.25">
      <c r="A5299" s="94" t="s">
        <v>2278</v>
      </c>
      <c r="B5299" s="82" t="str">
        <f ca="1">IFERROR(INDEX(UNSPSCDes,MATCH(INDIRECT(ADDRESS(ROW(),COLUMN()-1,4)),UNSPSCCode,0)),IF(INDIRECT(ADDRESS(ROW(),COLUMN()-1,4))="31201505","Cinta doble faz",""))</f>
        <v>Cinta doble faz</v>
      </c>
      <c r="C5299" s="95" t="str">
        <f>IFERROR(VLOOKUP("UD",'Informacion '!P:Q,2,FALSE),"")</f>
        <v>Unidad</v>
      </c>
      <c r="D5299" s="94">
        <v>4</v>
      </c>
      <c r="E5299" s="84">
        <v>1000</v>
      </c>
      <c r="F5299" s="83">
        <f t="shared" ca="1" si="230"/>
        <v>4000</v>
      </c>
    </row>
    <row r="5300" spans="1:10" ht="14.1" customHeight="1" x14ac:dyDescent="0.25">
      <c r="A5300" s="94" t="s">
        <v>7588</v>
      </c>
      <c r="B5300" s="82" t="str">
        <f ca="1">IFERROR(INDEX(UNSPSCDes,MATCH(INDIRECT(ADDRESS(ROW(),COLUMN()-1,4)),UNSPSCCode,0)),IF(INDIRECT(ADDRESS(ROW(),COLUMN()-1,4))="52131501","Cortinas",""))</f>
        <v>Cortinas</v>
      </c>
      <c r="C5300" s="95" t="str">
        <f>IFERROR(VLOOKUP("UD",'Informacion '!P:Q,2,FALSE),"")</f>
        <v>Unidad</v>
      </c>
      <c r="D5300" s="94">
        <v>55</v>
      </c>
      <c r="E5300" s="84">
        <v>1000</v>
      </c>
      <c r="F5300" s="83">
        <f t="shared" ca="1" si="230"/>
        <v>55000</v>
      </c>
    </row>
    <row r="5301" spans="1:10" ht="14.1" customHeight="1" x14ac:dyDescent="0.25">
      <c r="A5301" s="94" t="s">
        <v>7588</v>
      </c>
      <c r="B5301" s="82" t="str">
        <f ca="1">IFERROR(INDEX(UNSPSCDes,MATCH(INDIRECT(ADDRESS(ROW(),COLUMN()-1,4)),UNSPSCCode,0)),IF(INDIRECT(ADDRESS(ROW(),COLUMN()-1,4))="52131501","Cortinas",""))</f>
        <v>Cortinas</v>
      </c>
      <c r="C5301" s="95" t="str">
        <f>IFERROR(VLOOKUP("UD",'Informacion '!P:Q,2,FALSE),"")</f>
        <v>Unidad</v>
      </c>
      <c r="D5301" s="94">
        <v>110</v>
      </c>
      <c r="E5301" s="84">
        <v>150</v>
      </c>
      <c r="F5301" s="83">
        <f t="shared" ca="1" si="230"/>
        <v>16500</v>
      </c>
    </row>
    <row r="5302" spans="1:10" ht="14.1" customHeight="1" x14ac:dyDescent="0.25">
      <c r="E5302" s="96" t="s">
        <v>7213</v>
      </c>
      <c r="F5302" s="87">
        <f ca="1">SUM(Table133[MONTO TOTAL ESTIMADO])</f>
        <v>111560</v>
      </c>
      <c r="H5302" s="39" t="str">
        <f>C5282</f>
        <v>Bienes</v>
      </c>
      <c r="I5302" s="39" t="str">
        <f>E5282</f>
        <v>No</v>
      </c>
      <c r="J5302" s="39" t="str">
        <f>D5282</f>
        <v>Compras Menores</v>
      </c>
    </row>
    <row r="5304" spans="1:10" ht="33.950000000000003" customHeight="1" x14ac:dyDescent="0.25">
      <c r="A5304" s="77" t="s">
        <v>17233</v>
      </c>
      <c r="B5304" s="77" t="s">
        <v>4237</v>
      </c>
      <c r="C5304" s="77" t="s">
        <v>4743</v>
      </c>
      <c r="D5304" s="77" t="s">
        <v>9891</v>
      </c>
      <c r="E5304" s="77" t="s">
        <v>3089</v>
      </c>
      <c r="F5304" s="77" t="s">
        <v>18141</v>
      </c>
    </row>
    <row r="5305" spans="1:10" ht="14.1" customHeight="1" x14ac:dyDescent="0.25">
      <c r="A5305" s="79" t="s">
        <v>8597</v>
      </c>
      <c r="B5305" s="79" t="s">
        <v>10532</v>
      </c>
      <c r="C5305" s="79" t="s">
        <v>17215</v>
      </c>
      <c r="D5305" s="79" t="s">
        <v>17798</v>
      </c>
      <c r="E5305" s="79" t="s">
        <v>18247</v>
      </c>
      <c r="F5305" s="79"/>
    </row>
    <row r="5306" spans="1:10" ht="14.1" customHeight="1" x14ac:dyDescent="0.25">
      <c r="A5306" s="2" t="s">
        <v>6643</v>
      </c>
      <c r="B5306" s="80" t="s">
        <v>1046</v>
      </c>
      <c r="C5306" s="90">
        <v>43556</v>
      </c>
      <c r="D5306" s="2" t="s">
        <v>59</v>
      </c>
      <c r="E5306" s="92" t="s">
        <v>20066</v>
      </c>
      <c r="F5306" s="93"/>
    </row>
    <row r="5307" spans="1:10" ht="14.1" customHeight="1" x14ac:dyDescent="0.25">
      <c r="A5307" s="1"/>
      <c r="B5307" s="80" t="s">
        <v>10788</v>
      </c>
      <c r="C5307" s="91">
        <f>IF(C5306="","",IF(AND(MONTH(C5306)&gt;=1,MONTH(C5306)&lt;=3),1,IF(AND(MONTH(C5306)&gt;=4,MONTH(C5306)&lt;=6),2,IF(AND(MONTH(C5306)&gt;=7,MONTH(C5306)&lt;=9),3,4))))</f>
        <v>2</v>
      </c>
      <c r="D5307" s="1"/>
      <c r="E5307" s="92" t="s">
        <v>14822</v>
      </c>
      <c r="F5307" s="93"/>
    </row>
    <row r="5308" spans="1:10" ht="14.1" customHeight="1" x14ac:dyDescent="0.25">
      <c r="A5308" s="1"/>
      <c r="B5308" s="80" t="s">
        <v>13758</v>
      </c>
      <c r="C5308" s="90">
        <v>43644</v>
      </c>
      <c r="D5308" s="1"/>
      <c r="E5308" s="92" t="s">
        <v>18636</v>
      </c>
      <c r="F5308" s="93"/>
    </row>
    <row r="5309" spans="1:10" ht="14.1" customHeight="1" x14ac:dyDescent="0.25">
      <c r="A5309" s="1"/>
      <c r="B5309" s="80" t="s">
        <v>10788</v>
      </c>
      <c r="C5309" s="91">
        <f>IF(C5308="","",IF(AND(MONTH(C5308)&gt;=1,MONTH(C5308)&lt;=3),1,IF(AND(MONTH(C5308)&gt;=4,MONTH(C5308)&lt;=6),2,IF(AND(MONTH(C5308)&gt;=7,MONTH(C5308)&lt;=9),3,4))))</f>
        <v>2</v>
      </c>
      <c r="D5309" s="1"/>
      <c r="E5309" s="92" t="s">
        <v>15990</v>
      </c>
      <c r="F5309" s="93"/>
    </row>
    <row r="5311" spans="1:10" ht="14.1" customHeight="1" x14ac:dyDescent="0.25">
      <c r="A5311" s="85" t="s">
        <v>15474</v>
      </c>
      <c r="B5311" s="85" t="s">
        <v>5027</v>
      </c>
      <c r="C5311" s="85" t="s">
        <v>17461</v>
      </c>
      <c r="D5311" s="85" t="s">
        <v>3935</v>
      </c>
      <c r="E5311" s="85" t="s">
        <v>10722</v>
      </c>
      <c r="F5311" s="85" t="s">
        <v>18237</v>
      </c>
    </row>
    <row r="5312" spans="1:10" ht="14.1" customHeight="1" x14ac:dyDescent="0.25">
      <c r="A5312" s="94" t="s">
        <v>6316</v>
      </c>
      <c r="B5312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5312" s="95" t="str">
        <f>IFERROR(VLOOKUP("UD",'Informacion '!P:Q,2,FALSE),"")</f>
        <v>Unidad</v>
      </c>
      <c r="D5312" s="94">
        <v>14</v>
      </c>
      <c r="E5312" s="84">
        <v>400</v>
      </c>
      <c r="F5312" s="83">
        <f t="shared" ref="F5312:F5317" ca="1" si="231">INDIRECT(ADDRESS(ROW(),COLUMN()-2,4))*INDIRECT(ADDRESS(ROW(),COLUMN()-1,4))</f>
        <v>5600</v>
      </c>
    </row>
    <row r="5313" spans="1:10" ht="14.1" customHeight="1" x14ac:dyDescent="0.25">
      <c r="A5313" s="94" t="s">
        <v>7063</v>
      </c>
      <c r="B5313" s="82" t="str">
        <f ca="1">IFERROR(INDEX(UNSPSCDes,MATCH(INDIRECT(ADDRESS(ROW(),COLUMN()-1,4)),UNSPSCCode,0)),IF(INDIRECT(ADDRESS(ROW(),COLUMN()-1,4))="31201603","Gomas",""))</f>
        <v>Gomas</v>
      </c>
      <c r="C5313" s="95" t="str">
        <f>IFERROR(VLOOKUP("UD",'Informacion '!P:Q,2,FALSE),"")</f>
        <v>Unidad</v>
      </c>
      <c r="D5313" s="94">
        <v>2</v>
      </c>
      <c r="E5313" s="84">
        <v>1300</v>
      </c>
      <c r="F5313" s="83">
        <f t="shared" ca="1" si="231"/>
        <v>2600</v>
      </c>
    </row>
    <row r="5314" spans="1:10" ht="14.1" customHeight="1" x14ac:dyDescent="0.25">
      <c r="A5314" s="94" t="s">
        <v>7063</v>
      </c>
      <c r="B5314" s="82" t="str">
        <f ca="1">IFERROR(INDEX(UNSPSCDes,MATCH(INDIRECT(ADDRESS(ROW(),COLUMN()-1,4)),UNSPSCCode,0)),IF(INDIRECT(ADDRESS(ROW(),COLUMN()-1,4))="31201603","Gomas",""))</f>
        <v>Gomas</v>
      </c>
      <c r="C5314" s="95" t="str">
        <f>IFERROR(VLOOKUP("UD",'Informacion '!P:Q,2,FALSE),"")</f>
        <v>Unidad</v>
      </c>
      <c r="D5314" s="94">
        <v>2</v>
      </c>
      <c r="E5314" s="84">
        <v>1500</v>
      </c>
      <c r="F5314" s="83">
        <f t="shared" ca="1" si="231"/>
        <v>3000</v>
      </c>
    </row>
    <row r="5315" spans="1:10" ht="14.1" customHeight="1" x14ac:dyDescent="0.25">
      <c r="A5315" s="94" t="s">
        <v>11355</v>
      </c>
      <c r="B5315" s="82" t="str">
        <f ca="1">IFERROR(INDEX(UNSPSCDes,MATCH(INDIRECT(ADDRESS(ROW(),COLUMN()-1,4)),UNSPSCCode,0)),IF(INDIRECT(ADDRESS(ROW(),COLUMN()-1,4))="11131506","Lana sin procesar",""))</f>
        <v>Lana sin procesar</v>
      </c>
      <c r="C5315" s="95" t="str">
        <f>IFERROR(VLOOKUP("UD",'Informacion '!P:Q,2,FALSE),"")</f>
        <v>Unidad</v>
      </c>
      <c r="D5315" s="94">
        <v>20</v>
      </c>
      <c r="E5315" s="84">
        <v>170</v>
      </c>
      <c r="F5315" s="83">
        <f t="shared" ca="1" si="231"/>
        <v>3400</v>
      </c>
    </row>
    <row r="5316" spans="1:10" ht="14.1" customHeight="1" x14ac:dyDescent="0.25">
      <c r="A5316" s="94" t="s">
        <v>2005</v>
      </c>
      <c r="B5316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5316" s="95" t="str">
        <f>IFERROR(VLOOKUP("UD",'Informacion '!P:Q,2,FALSE),"")</f>
        <v>Unidad</v>
      </c>
      <c r="D5316" s="94">
        <v>1</v>
      </c>
      <c r="E5316" s="84">
        <v>160</v>
      </c>
      <c r="F5316" s="83">
        <f t="shared" ca="1" si="231"/>
        <v>160</v>
      </c>
    </row>
    <row r="5317" spans="1:10" ht="14.1" customHeight="1" x14ac:dyDescent="0.25">
      <c r="A5317" s="94" t="s">
        <v>2278</v>
      </c>
      <c r="B5317" s="82" t="str">
        <f ca="1">IFERROR(INDEX(UNSPSCDes,MATCH(INDIRECT(ADDRESS(ROW(),COLUMN()-1,4)),UNSPSCCode,0)),IF(INDIRECT(ADDRESS(ROW(),COLUMN()-1,4))="31201505","Cinta doble faz",""))</f>
        <v>Cinta doble faz</v>
      </c>
      <c r="C5317" s="95" t="str">
        <f>IFERROR(VLOOKUP("UD",'Informacion '!P:Q,2,FALSE),"")</f>
        <v>Unidad</v>
      </c>
      <c r="D5317" s="94">
        <v>4</v>
      </c>
      <c r="E5317" s="84">
        <v>1000</v>
      </c>
      <c r="F5317" s="83">
        <f t="shared" ca="1" si="231"/>
        <v>4000</v>
      </c>
    </row>
    <row r="5318" spans="1:10" ht="14.1" customHeight="1" x14ac:dyDescent="0.25">
      <c r="E5318" s="96" t="s">
        <v>7213</v>
      </c>
      <c r="F5318" s="87">
        <f ca="1">SUM(Table134[MONTO TOTAL ESTIMADO])</f>
        <v>18760</v>
      </c>
      <c r="H5318" s="39" t="str">
        <f>C5305</f>
        <v>Bienes</v>
      </c>
      <c r="I5318" s="39" t="str">
        <f>E5305</f>
        <v>No</v>
      </c>
      <c r="J5318" s="39" t="str">
        <f>D5305</f>
        <v>Compras Menores</v>
      </c>
    </row>
    <row r="5320" spans="1:10" ht="33.950000000000003" customHeight="1" x14ac:dyDescent="0.25">
      <c r="A5320" s="77" t="s">
        <v>17233</v>
      </c>
      <c r="B5320" s="77" t="s">
        <v>4237</v>
      </c>
      <c r="C5320" s="77" t="s">
        <v>4743</v>
      </c>
      <c r="D5320" s="77" t="s">
        <v>9891</v>
      </c>
      <c r="E5320" s="77" t="s">
        <v>3089</v>
      </c>
      <c r="F5320" s="77" t="s">
        <v>18141</v>
      </c>
    </row>
    <row r="5321" spans="1:10" ht="14.1" customHeight="1" x14ac:dyDescent="0.25">
      <c r="A5321" s="79" t="s">
        <v>8418</v>
      </c>
      <c r="B5321" s="79" t="s">
        <v>10532</v>
      </c>
      <c r="C5321" s="79" t="s">
        <v>17215</v>
      </c>
      <c r="D5321" s="79" t="s">
        <v>17798</v>
      </c>
      <c r="E5321" s="79" t="s">
        <v>18247</v>
      </c>
      <c r="F5321" s="79"/>
    </row>
    <row r="5322" spans="1:10" ht="14.1" customHeight="1" x14ac:dyDescent="0.25">
      <c r="A5322" s="2" t="s">
        <v>6643</v>
      </c>
      <c r="B5322" s="80" t="s">
        <v>1046</v>
      </c>
      <c r="C5322" s="90">
        <v>43647</v>
      </c>
      <c r="D5322" s="2" t="s">
        <v>59</v>
      </c>
      <c r="E5322" s="92" t="s">
        <v>20066</v>
      </c>
      <c r="F5322" s="93"/>
    </row>
    <row r="5323" spans="1:10" ht="14.1" customHeight="1" x14ac:dyDescent="0.25">
      <c r="A5323" s="1"/>
      <c r="B5323" s="80" t="s">
        <v>10788</v>
      </c>
      <c r="C5323" s="91">
        <f>IF(C5322="","",IF(AND(MONTH(C5322)&gt;=1,MONTH(C5322)&lt;=3),1,IF(AND(MONTH(C5322)&gt;=4,MONTH(C5322)&lt;=6),2,IF(AND(MONTH(C5322)&gt;=7,MONTH(C5322)&lt;=9),3,4))))</f>
        <v>3</v>
      </c>
      <c r="D5323" s="1"/>
      <c r="E5323" s="92" t="s">
        <v>14822</v>
      </c>
      <c r="F5323" s="93"/>
    </row>
    <row r="5324" spans="1:10" ht="14.1" customHeight="1" x14ac:dyDescent="0.25">
      <c r="A5324" s="1"/>
      <c r="B5324" s="80" t="s">
        <v>13758</v>
      </c>
      <c r="C5324" s="90">
        <v>43738</v>
      </c>
      <c r="D5324" s="1"/>
      <c r="E5324" s="92" t="s">
        <v>18636</v>
      </c>
      <c r="F5324" s="93"/>
    </row>
    <row r="5325" spans="1:10" ht="14.1" customHeight="1" x14ac:dyDescent="0.25">
      <c r="A5325" s="1"/>
      <c r="B5325" s="80" t="s">
        <v>10788</v>
      </c>
      <c r="C5325" s="91">
        <f>IF(C5324="","",IF(AND(MONTH(C5324)&gt;=1,MONTH(C5324)&lt;=3),1,IF(AND(MONTH(C5324)&gt;=4,MONTH(C5324)&lt;=6),2,IF(AND(MONTH(C5324)&gt;=7,MONTH(C5324)&lt;=9),3,4))))</f>
        <v>3</v>
      </c>
      <c r="D5325" s="1"/>
      <c r="E5325" s="92" t="s">
        <v>15990</v>
      </c>
      <c r="F5325" s="93"/>
    </row>
    <row r="5327" spans="1:10" ht="14.1" customHeight="1" x14ac:dyDescent="0.25">
      <c r="A5327" s="85" t="s">
        <v>15474</v>
      </c>
      <c r="B5327" s="85" t="s">
        <v>5027</v>
      </c>
      <c r="C5327" s="85" t="s">
        <v>17461</v>
      </c>
      <c r="D5327" s="85" t="s">
        <v>3935</v>
      </c>
      <c r="E5327" s="85" t="s">
        <v>10722</v>
      </c>
      <c r="F5327" s="85" t="s">
        <v>18237</v>
      </c>
    </row>
    <row r="5328" spans="1:10" ht="14.1" customHeight="1" x14ac:dyDescent="0.25">
      <c r="A5328" s="94" t="s">
        <v>5620</v>
      </c>
      <c r="B5328" s="82" t="str">
        <f ca="1">IFERROR(INDEX(UNSPSCDes,MATCH(INDIRECT(ADDRESS(ROW(),COLUMN()-1,4)),UNSPSCCode,0)),IF(INDIRECT(ADDRESS(ROW(),COLUMN()-1,4))="20122506","Cabezales de inyector de tubería flexible",""))</f>
        <v>Cabezales de inyector de tubería flexible</v>
      </c>
      <c r="C5328" s="95" t="str">
        <f>IFERROR(VLOOKUP("UD",'Informacion '!P:Q,2,FALSE),"")</f>
        <v>Unidad</v>
      </c>
      <c r="D5328" s="94">
        <v>1</v>
      </c>
      <c r="E5328" s="84">
        <v>400</v>
      </c>
      <c r="F5328" s="83">
        <f t="shared" ref="F5328:F5336" ca="1" si="232">INDIRECT(ADDRESS(ROW(),COLUMN()-2,4))*INDIRECT(ADDRESS(ROW(),COLUMN()-1,4))</f>
        <v>400</v>
      </c>
    </row>
    <row r="5329" spans="1:10" ht="14.1" customHeight="1" x14ac:dyDescent="0.25">
      <c r="A5329" s="94" t="s">
        <v>4286</v>
      </c>
      <c r="B5329" s="82" t="str">
        <f ca="1">IFERROR(INDEX(UNSPSCDes,MATCH(INDIRECT(ADDRESS(ROW(),COLUMN()-1,4)),UNSPSCCode,0)),IF(INDIRECT(ADDRESS(ROW(),COLUMN()-1,4))="40142008","Mangueras de agua",""))</f>
        <v>Mangueras de agua</v>
      </c>
      <c r="C5329" s="95" t="str">
        <f>IFERROR(VLOOKUP("UD",'Informacion '!P:Q,2,FALSE),"")</f>
        <v>Unidad</v>
      </c>
      <c r="D5329" s="94">
        <v>1</v>
      </c>
      <c r="E5329" s="84">
        <v>1225</v>
      </c>
      <c r="F5329" s="83">
        <f t="shared" ca="1" si="232"/>
        <v>1225</v>
      </c>
    </row>
    <row r="5330" spans="1:10" ht="14.1" customHeight="1" x14ac:dyDescent="0.25">
      <c r="A5330" s="94" t="s">
        <v>6316</v>
      </c>
      <c r="B5330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5330" s="95" t="str">
        <f>IFERROR(VLOOKUP("UD",'Informacion '!P:Q,2,FALSE),"")</f>
        <v>Unidad</v>
      </c>
      <c r="D5330" s="94">
        <v>14</v>
      </c>
      <c r="E5330" s="84">
        <v>400</v>
      </c>
      <c r="F5330" s="83">
        <f t="shared" ca="1" si="232"/>
        <v>5600</v>
      </c>
    </row>
    <row r="5331" spans="1:10" ht="14.1" customHeight="1" x14ac:dyDescent="0.25">
      <c r="A5331" s="94" t="s">
        <v>7063</v>
      </c>
      <c r="B5331" s="82" t="str">
        <f ca="1">IFERROR(INDEX(UNSPSCDes,MATCH(INDIRECT(ADDRESS(ROW(),COLUMN()-1,4)),UNSPSCCode,0)),IF(INDIRECT(ADDRESS(ROW(),COLUMN()-1,4))="31201603","Gomas",""))</f>
        <v>Gomas</v>
      </c>
      <c r="C5331" s="95" t="str">
        <f>IFERROR(VLOOKUP("UD",'Informacion '!P:Q,2,FALSE),"")</f>
        <v>Unidad</v>
      </c>
      <c r="D5331" s="94">
        <v>2</v>
      </c>
      <c r="E5331" s="84">
        <v>1300</v>
      </c>
      <c r="F5331" s="83">
        <f t="shared" ca="1" si="232"/>
        <v>2600</v>
      </c>
    </row>
    <row r="5332" spans="1:10" ht="14.1" customHeight="1" x14ac:dyDescent="0.25">
      <c r="A5332" s="94" t="s">
        <v>7063</v>
      </c>
      <c r="B5332" s="82" t="str">
        <f ca="1">IFERROR(INDEX(UNSPSCDes,MATCH(INDIRECT(ADDRESS(ROW(),COLUMN()-1,4)),UNSPSCCode,0)),IF(INDIRECT(ADDRESS(ROW(),COLUMN()-1,4))="31201603","Gomas",""))</f>
        <v>Gomas</v>
      </c>
      <c r="C5332" s="95" t="str">
        <f>IFERROR(VLOOKUP("UD",'Informacion '!P:Q,2,FALSE),"")</f>
        <v>Unidad</v>
      </c>
      <c r="D5332" s="94">
        <v>2</v>
      </c>
      <c r="E5332" s="84">
        <v>1500</v>
      </c>
      <c r="F5332" s="83">
        <f t="shared" ca="1" si="232"/>
        <v>3000</v>
      </c>
    </row>
    <row r="5333" spans="1:10" ht="14.1" customHeight="1" x14ac:dyDescent="0.25">
      <c r="A5333" s="94" t="s">
        <v>11355</v>
      </c>
      <c r="B5333" s="82" t="str">
        <f ca="1">IFERROR(INDEX(UNSPSCDes,MATCH(INDIRECT(ADDRESS(ROW(),COLUMN()-1,4)),UNSPSCCode,0)),IF(INDIRECT(ADDRESS(ROW(),COLUMN()-1,4))="11131506","Lana sin procesar",""))</f>
        <v>Lana sin procesar</v>
      </c>
      <c r="C5333" s="95" t="str">
        <f>IFERROR(VLOOKUP("UD",'Informacion '!P:Q,2,FALSE),"")</f>
        <v>Unidad</v>
      </c>
      <c r="D5333" s="94">
        <v>20</v>
      </c>
      <c r="E5333" s="84">
        <v>170</v>
      </c>
      <c r="F5333" s="83">
        <f t="shared" ca="1" si="232"/>
        <v>3400</v>
      </c>
    </row>
    <row r="5334" spans="1:10" ht="14.1" customHeight="1" x14ac:dyDescent="0.25">
      <c r="A5334" s="94" t="s">
        <v>2005</v>
      </c>
      <c r="B5334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5334" s="95" t="str">
        <f>IFERROR(VLOOKUP("UD",'Informacion '!P:Q,2,FALSE),"")</f>
        <v>Unidad</v>
      </c>
      <c r="D5334" s="94">
        <v>1</v>
      </c>
      <c r="E5334" s="84">
        <v>160</v>
      </c>
      <c r="F5334" s="83">
        <f t="shared" ca="1" si="232"/>
        <v>160</v>
      </c>
    </row>
    <row r="5335" spans="1:10" ht="14.1" customHeight="1" x14ac:dyDescent="0.25">
      <c r="A5335" s="94" t="s">
        <v>8808</v>
      </c>
      <c r="B5335" s="82" t="str">
        <f ca="1">IFERROR(INDEX(UNSPSCDes,MATCH(INDIRECT(ADDRESS(ROW(),COLUMN()-1,4)),UNSPSCCode,0)),IF(INDIRECT(ADDRESS(ROW(),COLUMN()-1,4))="30161907","Escaleras",""))</f>
        <v>Escaleras</v>
      </c>
      <c r="C5335" s="95" t="str">
        <f>IFERROR(VLOOKUP("UD",'Informacion '!P:Q,2,FALSE),"")</f>
        <v>Unidad</v>
      </c>
      <c r="D5335" s="94">
        <v>1</v>
      </c>
      <c r="E5335" s="84">
        <v>4500</v>
      </c>
      <c r="F5335" s="83">
        <f t="shared" ca="1" si="232"/>
        <v>4500</v>
      </c>
    </row>
    <row r="5336" spans="1:10" ht="14.1" customHeight="1" x14ac:dyDescent="0.25">
      <c r="A5336" s="94" t="s">
        <v>2278</v>
      </c>
      <c r="B5336" s="82" t="str">
        <f ca="1">IFERROR(INDEX(UNSPSCDes,MATCH(INDIRECT(ADDRESS(ROW(),COLUMN()-1,4)),UNSPSCCode,0)),IF(INDIRECT(ADDRESS(ROW(),COLUMN()-1,4))="31201505","Cinta doble faz",""))</f>
        <v>Cinta doble faz</v>
      </c>
      <c r="C5336" s="95" t="str">
        <f>IFERROR(VLOOKUP("UD",'Informacion '!P:Q,2,FALSE),"")</f>
        <v>Unidad</v>
      </c>
      <c r="D5336" s="94">
        <v>4</v>
      </c>
      <c r="E5336" s="84">
        <v>1000</v>
      </c>
      <c r="F5336" s="83">
        <f t="shared" ca="1" si="232"/>
        <v>4000</v>
      </c>
    </row>
    <row r="5337" spans="1:10" ht="14.1" customHeight="1" x14ac:dyDescent="0.25">
      <c r="E5337" s="96" t="s">
        <v>7213</v>
      </c>
      <c r="F5337" s="87">
        <f ca="1">SUM(Table135[MONTO TOTAL ESTIMADO])</f>
        <v>24885</v>
      </c>
      <c r="H5337" s="39" t="str">
        <f>C5321</f>
        <v>Bienes</v>
      </c>
      <c r="I5337" s="39" t="str">
        <f>E5321</f>
        <v>No</v>
      </c>
      <c r="J5337" s="39" t="str">
        <f>D5321</f>
        <v>Compras Menores</v>
      </c>
    </row>
    <row r="5339" spans="1:10" ht="33.950000000000003" customHeight="1" x14ac:dyDescent="0.25">
      <c r="A5339" s="77" t="s">
        <v>17233</v>
      </c>
      <c r="B5339" s="77" t="s">
        <v>4237</v>
      </c>
      <c r="C5339" s="77" t="s">
        <v>4743</v>
      </c>
      <c r="D5339" s="77" t="s">
        <v>9891</v>
      </c>
      <c r="E5339" s="77" t="s">
        <v>3089</v>
      </c>
      <c r="F5339" s="77" t="s">
        <v>18141</v>
      </c>
    </row>
    <row r="5340" spans="1:10" ht="14.1" customHeight="1" x14ac:dyDescent="0.25">
      <c r="A5340" s="79" t="s">
        <v>2878</v>
      </c>
      <c r="B5340" s="79" t="s">
        <v>10532</v>
      </c>
      <c r="C5340" s="79" t="s">
        <v>17215</v>
      </c>
      <c r="D5340" s="79" t="s">
        <v>17798</v>
      </c>
      <c r="E5340" s="79" t="s">
        <v>18247</v>
      </c>
      <c r="F5340" s="79"/>
    </row>
    <row r="5341" spans="1:10" ht="14.1" customHeight="1" x14ac:dyDescent="0.25">
      <c r="A5341" s="2" t="s">
        <v>6643</v>
      </c>
      <c r="B5341" s="80" t="s">
        <v>1046</v>
      </c>
      <c r="C5341" s="90">
        <v>43739</v>
      </c>
      <c r="D5341" s="2" t="s">
        <v>59</v>
      </c>
      <c r="E5341" s="92" t="s">
        <v>20066</v>
      </c>
      <c r="F5341" s="93"/>
    </row>
    <row r="5342" spans="1:10" ht="14.1" customHeight="1" x14ac:dyDescent="0.25">
      <c r="A5342" s="1"/>
      <c r="B5342" s="80" t="s">
        <v>10788</v>
      </c>
      <c r="C5342" s="91">
        <f>IF(C5341="","",IF(AND(MONTH(C5341)&gt;=1,MONTH(C5341)&lt;=3),1,IF(AND(MONTH(C5341)&gt;=4,MONTH(C5341)&lt;=6),2,IF(AND(MONTH(C5341)&gt;=7,MONTH(C5341)&lt;=9),3,4))))</f>
        <v>4</v>
      </c>
      <c r="D5342" s="1"/>
      <c r="E5342" s="92" t="s">
        <v>14822</v>
      </c>
      <c r="F5342" s="93"/>
    </row>
    <row r="5343" spans="1:10" ht="14.1" customHeight="1" x14ac:dyDescent="0.25">
      <c r="A5343" s="1"/>
      <c r="B5343" s="80" t="s">
        <v>13758</v>
      </c>
      <c r="C5343" s="90">
        <v>43830</v>
      </c>
      <c r="D5343" s="1"/>
      <c r="E5343" s="92" t="s">
        <v>18636</v>
      </c>
      <c r="F5343" s="93"/>
    </row>
    <row r="5344" spans="1:10" ht="14.1" customHeight="1" x14ac:dyDescent="0.25">
      <c r="A5344" s="1"/>
      <c r="B5344" s="80" t="s">
        <v>10788</v>
      </c>
      <c r="C5344" s="91">
        <f>IF(C5343="","",IF(AND(MONTH(C5343)&gt;=1,MONTH(C5343)&lt;=3),1,IF(AND(MONTH(C5343)&gt;=4,MONTH(C5343)&lt;=6),2,IF(AND(MONTH(C5343)&gt;=7,MONTH(C5343)&lt;=9),3,4))))</f>
        <v>4</v>
      </c>
      <c r="D5344" s="1"/>
      <c r="E5344" s="92" t="s">
        <v>15990</v>
      </c>
      <c r="F5344" s="93"/>
    </row>
    <row r="5346" spans="1:10" ht="14.1" customHeight="1" x14ac:dyDescent="0.25">
      <c r="A5346" s="85" t="s">
        <v>15474</v>
      </c>
      <c r="B5346" s="85" t="s">
        <v>5027</v>
      </c>
      <c r="C5346" s="85" t="s">
        <v>17461</v>
      </c>
      <c r="D5346" s="85" t="s">
        <v>3935</v>
      </c>
      <c r="E5346" s="85" t="s">
        <v>10722</v>
      </c>
      <c r="F5346" s="85" t="s">
        <v>18237</v>
      </c>
    </row>
    <row r="5347" spans="1:10" ht="14.1" customHeight="1" x14ac:dyDescent="0.25">
      <c r="A5347" s="94" t="s">
        <v>10680</v>
      </c>
      <c r="B5347" s="82" t="str">
        <f ca="1">IFERROR(INDEX(UNSPSCDes,MATCH(INDIRECT(ADDRESS(ROW(),COLUMN()-1,4)),UNSPSCCode,0)),IF(INDIRECT(ADDRESS(ROW(),COLUMN()-1,4))="22101619","Máquinas pulidoras",""))</f>
        <v>Máquinas pulidoras</v>
      </c>
      <c r="C5347" s="95" t="str">
        <f>IFERROR(VLOOKUP("UD",'Informacion '!P:Q,2,FALSE),"")</f>
        <v>Unidad</v>
      </c>
      <c r="D5347" s="94">
        <v>1</v>
      </c>
      <c r="E5347" s="84">
        <v>10000</v>
      </c>
      <c r="F5347" s="83">
        <f t="shared" ref="F5347:F5355" ca="1" si="233">INDIRECT(ADDRESS(ROW(),COLUMN()-2,4))*INDIRECT(ADDRESS(ROW(),COLUMN()-1,4))</f>
        <v>10000</v>
      </c>
    </row>
    <row r="5348" spans="1:10" ht="14.1" customHeight="1" x14ac:dyDescent="0.25">
      <c r="A5348" s="94" t="s">
        <v>6316</v>
      </c>
      <c r="B5348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5348" s="95" t="str">
        <f>IFERROR(VLOOKUP("UD",'Informacion '!P:Q,2,FALSE),"")</f>
        <v>Unidad</v>
      </c>
      <c r="D5348" s="94">
        <v>14</v>
      </c>
      <c r="E5348" s="84">
        <v>400</v>
      </c>
      <c r="F5348" s="83">
        <f t="shared" ca="1" si="233"/>
        <v>5600</v>
      </c>
    </row>
    <row r="5349" spans="1:10" ht="14.1" customHeight="1" x14ac:dyDescent="0.25">
      <c r="A5349" s="94" t="s">
        <v>7063</v>
      </c>
      <c r="B5349" s="82" t="str">
        <f ca="1">IFERROR(INDEX(UNSPSCDes,MATCH(INDIRECT(ADDRESS(ROW(),COLUMN()-1,4)),UNSPSCCode,0)),IF(INDIRECT(ADDRESS(ROW(),COLUMN()-1,4))="31201603","Gomas",""))</f>
        <v>Gomas</v>
      </c>
      <c r="C5349" s="95" t="str">
        <f>IFERROR(VLOOKUP("UD",'Informacion '!P:Q,2,FALSE),"")</f>
        <v>Unidad</v>
      </c>
      <c r="D5349" s="94">
        <v>2</v>
      </c>
      <c r="E5349" s="84">
        <v>1300</v>
      </c>
      <c r="F5349" s="83">
        <f t="shared" ca="1" si="233"/>
        <v>2600</v>
      </c>
    </row>
    <row r="5350" spans="1:10" ht="14.1" customHeight="1" x14ac:dyDescent="0.25">
      <c r="A5350" s="94" t="s">
        <v>7063</v>
      </c>
      <c r="B5350" s="82" t="str">
        <f ca="1">IFERROR(INDEX(UNSPSCDes,MATCH(INDIRECT(ADDRESS(ROW(),COLUMN()-1,4)),UNSPSCCode,0)),IF(INDIRECT(ADDRESS(ROW(),COLUMN()-1,4))="31201603","Gomas",""))</f>
        <v>Gomas</v>
      </c>
      <c r="C5350" s="95" t="str">
        <f>IFERROR(VLOOKUP("UD",'Informacion '!P:Q,2,FALSE),"")</f>
        <v>Unidad</v>
      </c>
      <c r="D5350" s="94">
        <v>2</v>
      </c>
      <c r="E5350" s="84">
        <v>1500</v>
      </c>
      <c r="F5350" s="83">
        <f t="shared" ca="1" si="233"/>
        <v>3000</v>
      </c>
    </row>
    <row r="5351" spans="1:10" ht="14.1" customHeight="1" x14ac:dyDescent="0.25">
      <c r="A5351" s="94" t="s">
        <v>11355</v>
      </c>
      <c r="B5351" s="82" t="str">
        <f ca="1">IFERROR(INDEX(UNSPSCDes,MATCH(INDIRECT(ADDRESS(ROW(),COLUMN()-1,4)),UNSPSCCode,0)),IF(INDIRECT(ADDRESS(ROW(),COLUMN()-1,4))="11131506","Lana sin procesar",""))</f>
        <v>Lana sin procesar</v>
      </c>
      <c r="C5351" s="95" t="str">
        <f>IFERROR(VLOOKUP("UD",'Informacion '!P:Q,2,FALSE),"")</f>
        <v>Unidad</v>
      </c>
      <c r="D5351" s="94">
        <v>20</v>
      </c>
      <c r="E5351" s="84">
        <v>170</v>
      </c>
      <c r="F5351" s="83">
        <f t="shared" ca="1" si="233"/>
        <v>3400</v>
      </c>
    </row>
    <row r="5352" spans="1:10" ht="14.1" customHeight="1" x14ac:dyDescent="0.25">
      <c r="A5352" s="94" t="s">
        <v>2005</v>
      </c>
      <c r="B5352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5352" s="95" t="str">
        <f>IFERROR(VLOOKUP("UD",'Informacion '!P:Q,2,FALSE),"")</f>
        <v>Unidad</v>
      </c>
      <c r="D5352" s="94">
        <v>1</v>
      </c>
      <c r="E5352" s="84">
        <v>160</v>
      </c>
      <c r="F5352" s="83">
        <f t="shared" ca="1" si="233"/>
        <v>160</v>
      </c>
    </row>
    <row r="5353" spans="1:10" ht="14.1" customHeight="1" x14ac:dyDescent="0.25">
      <c r="A5353" s="94" t="s">
        <v>2278</v>
      </c>
      <c r="B5353" s="82" t="str">
        <f ca="1">IFERROR(INDEX(UNSPSCDes,MATCH(INDIRECT(ADDRESS(ROW(),COLUMN()-1,4)),UNSPSCCode,0)),IF(INDIRECT(ADDRESS(ROW(),COLUMN()-1,4))="31201505","Cinta doble faz",""))</f>
        <v>Cinta doble faz</v>
      </c>
      <c r="C5353" s="95" t="str">
        <f>IFERROR(VLOOKUP("UD",'Informacion '!P:Q,2,FALSE),"")</f>
        <v>Unidad</v>
      </c>
      <c r="D5353" s="94">
        <v>2</v>
      </c>
      <c r="E5353" s="84">
        <v>1000</v>
      </c>
      <c r="F5353" s="83">
        <f t="shared" ca="1" si="233"/>
        <v>2000</v>
      </c>
    </row>
    <row r="5354" spans="1:10" ht="14.1" customHeight="1" x14ac:dyDescent="0.25">
      <c r="A5354" s="94" t="s">
        <v>7588</v>
      </c>
      <c r="B5354" s="82" t="str">
        <f ca="1">IFERROR(INDEX(UNSPSCDes,MATCH(INDIRECT(ADDRESS(ROW(),COLUMN()-1,4)),UNSPSCCode,0)),IF(INDIRECT(ADDRESS(ROW(),COLUMN()-1,4))="52131501","Cortinas",""))</f>
        <v>Cortinas</v>
      </c>
      <c r="C5354" s="95" t="str">
        <f>IFERROR(VLOOKUP("UD",'Informacion '!P:Q,2,FALSE),"")</f>
        <v>Unidad</v>
      </c>
      <c r="D5354" s="94">
        <v>55</v>
      </c>
      <c r="E5354" s="84">
        <v>1000</v>
      </c>
      <c r="F5354" s="83">
        <f t="shared" ca="1" si="233"/>
        <v>55000</v>
      </c>
    </row>
    <row r="5355" spans="1:10" ht="14.1" customHeight="1" x14ac:dyDescent="0.25">
      <c r="A5355" s="94" t="s">
        <v>7588</v>
      </c>
      <c r="B5355" s="82" t="str">
        <f ca="1">IFERROR(INDEX(UNSPSCDes,MATCH(INDIRECT(ADDRESS(ROW(),COLUMN()-1,4)),UNSPSCCode,0)),IF(INDIRECT(ADDRESS(ROW(),COLUMN()-1,4))="52131501","Cortinas",""))</f>
        <v>Cortinas</v>
      </c>
      <c r="C5355" s="95" t="str">
        <f>IFERROR(VLOOKUP("UD",'Informacion '!P:Q,2,FALSE),"")</f>
        <v>Unidad</v>
      </c>
      <c r="D5355" s="94">
        <v>55</v>
      </c>
      <c r="E5355" s="84">
        <v>150</v>
      </c>
      <c r="F5355" s="83">
        <f t="shared" ca="1" si="233"/>
        <v>8250</v>
      </c>
    </row>
    <row r="5356" spans="1:10" ht="14.1" customHeight="1" x14ac:dyDescent="0.25">
      <c r="E5356" s="96" t="s">
        <v>7213</v>
      </c>
      <c r="F5356" s="87">
        <f ca="1">SUM(Table136[MONTO TOTAL ESTIMADO])</f>
        <v>90010</v>
      </c>
      <c r="H5356" s="39" t="str">
        <f>C5340</f>
        <v>Bienes</v>
      </c>
      <c r="I5356" s="39" t="str">
        <f>E5340</f>
        <v>No</v>
      </c>
      <c r="J5356" s="39" t="str">
        <f>D5340</f>
        <v>Compras Menores</v>
      </c>
    </row>
    <row r="5358" spans="1:10" ht="33.950000000000003" customHeight="1" x14ac:dyDescent="0.25">
      <c r="A5358" s="77" t="s">
        <v>17233</v>
      </c>
      <c r="B5358" s="77" t="s">
        <v>4237</v>
      </c>
      <c r="C5358" s="77" t="s">
        <v>4743</v>
      </c>
      <c r="D5358" s="77" t="s">
        <v>9891</v>
      </c>
      <c r="E5358" s="77" t="s">
        <v>3089</v>
      </c>
      <c r="F5358" s="77" t="s">
        <v>18141</v>
      </c>
    </row>
    <row r="5359" spans="1:10" ht="14.1" customHeight="1" x14ac:dyDescent="0.25">
      <c r="A5359" s="79" t="s">
        <v>18177</v>
      </c>
      <c r="B5359" s="79" t="s">
        <v>2182</v>
      </c>
      <c r="C5359" s="79" t="s">
        <v>17215</v>
      </c>
      <c r="D5359" s="79" t="s">
        <v>17798</v>
      </c>
      <c r="E5359" s="79" t="s">
        <v>18247</v>
      </c>
      <c r="F5359" s="79"/>
    </row>
    <row r="5360" spans="1:10" ht="14.1" customHeight="1" x14ac:dyDescent="0.25">
      <c r="A5360" s="2" t="s">
        <v>6643</v>
      </c>
      <c r="B5360" s="80" t="s">
        <v>1046</v>
      </c>
      <c r="C5360" s="90">
        <v>43469</v>
      </c>
      <c r="D5360" s="2" t="s">
        <v>59</v>
      </c>
      <c r="E5360" s="92" t="s">
        <v>20066</v>
      </c>
      <c r="F5360" s="93" t="s">
        <v>5684</v>
      </c>
    </row>
    <row r="5361" spans="1:6" ht="14.1" customHeight="1" x14ac:dyDescent="0.25">
      <c r="A5361" s="1"/>
      <c r="B5361" s="80" t="s">
        <v>10788</v>
      </c>
      <c r="C5361" s="91">
        <f>IF(C5360="","",IF(AND(MONTH(C5360)&gt;=1,MONTH(C5360)&lt;=3),1,IF(AND(MONTH(C5360)&gt;=4,MONTH(C5360)&lt;=6),2,IF(AND(MONTH(C5360)&gt;=7,MONTH(C5360)&lt;=9),3,4))))</f>
        <v>1</v>
      </c>
      <c r="D5361" s="1"/>
      <c r="E5361" s="92" t="s">
        <v>14822</v>
      </c>
      <c r="F5361" s="93"/>
    </row>
    <row r="5362" spans="1:6" ht="14.1" customHeight="1" x14ac:dyDescent="0.25">
      <c r="A5362" s="1"/>
      <c r="B5362" s="80" t="s">
        <v>13758</v>
      </c>
      <c r="C5362" s="90">
        <v>43553</v>
      </c>
      <c r="D5362" s="1"/>
      <c r="E5362" s="92" t="s">
        <v>18636</v>
      </c>
      <c r="F5362" s="93"/>
    </row>
    <row r="5363" spans="1:6" ht="14.1" customHeight="1" x14ac:dyDescent="0.25">
      <c r="A5363" s="1"/>
      <c r="B5363" s="80" t="s">
        <v>10788</v>
      </c>
      <c r="C5363" s="91">
        <f>IF(C5362="","",IF(AND(MONTH(C5362)&gt;=1,MONTH(C5362)&lt;=3),1,IF(AND(MONTH(C5362)&gt;=4,MONTH(C5362)&lt;=6),2,IF(AND(MONTH(C5362)&gt;=7,MONTH(C5362)&lt;=9),3,4))))</f>
        <v>1</v>
      </c>
      <c r="D5363" s="1"/>
      <c r="E5363" s="92" t="s">
        <v>15990</v>
      </c>
      <c r="F5363" s="93"/>
    </row>
    <row r="5365" spans="1:6" ht="14.1" customHeight="1" x14ac:dyDescent="0.25">
      <c r="A5365" s="85" t="s">
        <v>15474</v>
      </c>
      <c r="B5365" s="85" t="s">
        <v>5027</v>
      </c>
      <c r="C5365" s="85" t="s">
        <v>17461</v>
      </c>
      <c r="D5365" s="85" t="s">
        <v>3935</v>
      </c>
      <c r="E5365" s="85" t="s">
        <v>10722</v>
      </c>
      <c r="F5365" s="85" t="s">
        <v>18237</v>
      </c>
    </row>
    <row r="5366" spans="1:6" ht="14.1" customHeight="1" x14ac:dyDescent="0.25">
      <c r="A5366" s="94" t="s">
        <v>9741</v>
      </c>
      <c r="B5366" s="82" t="str">
        <f ca="1">IFERROR(INDEX(UNSPSCDes,MATCH(INDIRECT(ADDRESS(ROW(),COLUMN()-1,4)),UNSPSCCode,0)),IF(INDIRECT(ADDRESS(ROW(),COLUMN()-1,4))="51142106","Ibuprofeno",""))</f>
        <v>Ibuprofeno</v>
      </c>
      <c r="C5366" s="95" t="str">
        <f>IFERROR(VLOOKUP("UD",'Informacion '!P:Q,2,FALSE),"")</f>
        <v>Unidad</v>
      </c>
      <c r="D5366" s="94">
        <v>2</v>
      </c>
      <c r="E5366" s="84">
        <v>39.6</v>
      </c>
      <c r="F5366" s="83">
        <f t="shared" ref="F5366:F5376" ca="1" si="234">INDIRECT(ADDRESS(ROW(),COLUMN()-2,4))*INDIRECT(ADDRESS(ROW(),COLUMN()-1,4))</f>
        <v>79.2</v>
      </c>
    </row>
    <row r="5367" spans="1:6" ht="14.1" customHeight="1" x14ac:dyDescent="0.25">
      <c r="A5367" s="94" t="s">
        <v>19445</v>
      </c>
      <c r="B5367" s="82" t="str">
        <f ca="1">IFERROR(INDEX(UNSPSCDes,MATCH(INDIRECT(ADDRESS(ROW(),COLUMN()-1,4)),UNSPSCCode,0)),IF(INDIRECT(ADDRESS(ROW(),COLUMN()-1,4))="51142123","Ketorolaco trometamol",""))</f>
        <v>Ketorolaco trometamol</v>
      </c>
      <c r="C5367" s="95" t="str">
        <f>IFERROR(VLOOKUP("UD",'Informacion '!P:Q,2,FALSE),"")</f>
        <v>Unidad</v>
      </c>
      <c r="D5367" s="94">
        <v>57</v>
      </c>
      <c r="E5367" s="84">
        <v>38</v>
      </c>
      <c r="F5367" s="83">
        <f t="shared" ca="1" si="234"/>
        <v>2166</v>
      </c>
    </row>
    <row r="5368" spans="1:6" ht="14.1" customHeight="1" x14ac:dyDescent="0.25">
      <c r="A5368" s="94" t="s">
        <v>3649</v>
      </c>
      <c r="B5368" s="82" t="str">
        <f ca="1">IFERROR(INDEX(UNSPSCDes,MATCH(INDIRECT(ADDRESS(ROW(),COLUMN()-1,4)),UNSPSCCode,0)),IF(INDIRECT(ADDRESS(ROW(),COLUMN()-1,4))="51142702","Ácido meclofenámico",""))</f>
        <v>Ácido meclofenámico</v>
      </c>
      <c r="C5368" s="95" t="str">
        <f>IFERROR(VLOOKUP("UD",'Informacion '!P:Q,2,FALSE),"")</f>
        <v>Unidad</v>
      </c>
      <c r="D5368" s="94">
        <v>4</v>
      </c>
      <c r="E5368" s="84">
        <v>62.37</v>
      </c>
      <c r="F5368" s="83">
        <f t="shared" ca="1" si="234"/>
        <v>249.48</v>
      </c>
    </row>
    <row r="5369" spans="1:6" ht="14.1" customHeight="1" x14ac:dyDescent="0.25">
      <c r="A5369" s="94" t="s">
        <v>19052</v>
      </c>
      <c r="B5369" s="82" t="str">
        <f ca="1">IFERROR(INDEX(UNSPSCDes,MATCH(INDIRECT(ADDRESS(ROW(),COLUMN()-1,4)),UNSPSCCode,0)),IF(INDIRECT(ADDRESS(ROW(),COLUMN()-1,4))="51142220","Citrato de fentanilo",""))</f>
        <v>Citrato de fentanilo</v>
      </c>
      <c r="C5369" s="95" t="str">
        <f>IFERROR(VLOOKUP("UD",'Informacion '!P:Q,2,FALSE),"")</f>
        <v>Unidad</v>
      </c>
      <c r="D5369" s="94">
        <v>1</v>
      </c>
      <c r="E5369" s="84">
        <v>60</v>
      </c>
      <c r="F5369" s="83">
        <f t="shared" ca="1" si="234"/>
        <v>60</v>
      </c>
    </row>
    <row r="5370" spans="1:6" ht="14.1" customHeight="1" x14ac:dyDescent="0.25">
      <c r="A5370" s="94" t="s">
        <v>19445</v>
      </c>
      <c r="B5370" s="82" t="str">
        <f ca="1">IFERROR(INDEX(UNSPSCDes,MATCH(INDIRECT(ADDRESS(ROW(),COLUMN()-1,4)),UNSPSCCode,0)),IF(INDIRECT(ADDRESS(ROW(),COLUMN()-1,4))="51142123","Ketorolaco trometamol",""))</f>
        <v>Ketorolaco trometamol</v>
      </c>
      <c r="C5370" s="95" t="str">
        <f>IFERROR(VLOOKUP("UD",'Informacion '!P:Q,2,FALSE),"")</f>
        <v>Unidad</v>
      </c>
      <c r="D5370" s="94">
        <v>489</v>
      </c>
      <c r="E5370" s="84">
        <v>41.93</v>
      </c>
      <c r="F5370" s="83">
        <f t="shared" ca="1" si="234"/>
        <v>20503.77</v>
      </c>
    </row>
    <row r="5371" spans="1:6" ht="14.1" customHeight="1" x14ac:dyDescent="0.25">
      <c r="A5371" s="94" t="s">
        <v>8114</v>
      </c>
      <c r="B5371" s="82" t="str">
        <f ca="1">IFERROR(INDEX(UNSPSCDes,MATCH(INDIRECT(ADDRESS(ROW(),COLUMN()-1,4)),UNSPSCCode,0)),IF(INDIRECT(ADDRESS(ROW(),COLUMN()-1,4))="51142235","Clorhidrato de tramadol",""))</f>
        <v>Clorhidrato de tramadol</v>
      </c>
      <c r="C5371" s="95" t="str">
        <f>IFERROR(VLOOKUP("UD",'Informacion '!P:Q,2,FALSE),"")</f>
        <v>Unidad</v>
      </c>
      <c r="D5371" s="94">
        <v>266</v>
      </c>
      <c r="E5371" s="84">
        <v>14.83</v>
      </c>
      <c r="F5371" s="83">
        <f t="shared" ca="1" si="234"/>
        <v>3944.78</v>
      </c>
    </row>
    <row r="5372" spans="1:6" ht="14.1" customHeight="1" x14ac:dyDescent="0.25">
      <c r="A5372" s="94" t="s">
        <v>13850</v>
      </c>
      <c r="B5372" s="82" t="str">
        <f ca="1">IFERROR(INDEX(UNSPSCDes,MATCH(INDIRECT(ADDRESS(ROW(),COLUMN()-1,4)),UNSPSCCode,0)),IF(INDIRECT(ADDRESS(ROW(),COLUMN()-1,4))="51142001","Acetaminofén",""))</f>
        <v>Acetaminofén</v>
      </c>
      <c r="C5372" s="95" t="str">
        <f>IFERROR(VLOOKUP("UD",'Informacion '!P:Q,2,FALSE),"")</f>
        <v>Unidad</v>
      </c>
      <c r="D5372" s="94">
        <v>836</v>
      </c>
      <c r="E5372" s="84">
        <v>4.82</v>
      </c>
      <c r="F5372" s="83">
        <f t="shared" ca="1" si="234"/>
        <v>4029.5200000000004</v>
      </c>
    </row>
    <row r="5373" spans="1:6" ht="14.1" customHeight="1" x14ac:dyDescent="0.25">
      <c r="A5373" s="94" t="s">
        <v>2887</v>
      </c>
      <c r="B5373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373" s="95" t="str">
        <f>IFERROR(VLOOKUP("UD",'Informacion '!P:Q,2,FALSE),"")</f>
        <v>Unidad</v>
      </c>
      <c r="D5373" s="94">
        <v>14</v>
      </c>
      <c r="E5373" s="84">
        <v>195.44</v>
      </c>
      <c r="F5373" s="83">
        <f t="shared" ca="1" si="234"/>
        <v>2736.16</v>
      </c>
    </row>
    <row r="5374" spans="1:6" ht="14.1" customHeight="1" x14ac:dyDescent="0.25">
      <c r="A5374" s="94" t="s">
        <v>18457</v>
      </c>
      <c r="B5374" s="82" t="str">
        <f ca="1">IFERROR(INDEX(UNSPSCDes,MATCH(INDIRECT(ADDRESS(ROW(),COLUMN()-1,4)),UNSPSCCode,0)),IF(INDIRECT(ADDRESS(ROW(),COLUMN()-1,4))="51142009","Metamizol sódico",""))</f>
        <v>Metamizol sódico</v>
      </c>
      <c r="C5374" s="95" t="str">
        <f>IFERROR(VLOOKUP("UD",'Informacion '!P:Q,2,FALSE),"")</f>
        <v>Unidad</v>
      </c>
      <c r="D5374" s="94">
        <v>198</v>
      </c>
      <c r="E5374" s="84">
        <v>11.54</v>
      </c>
      <c r="F5374" s="83">
        <f t="shared" ca="1" si="234"/>
        <v>2284.9199999999996</v>
      </c>
    </row>
    <row r="5375" spans="1:6" ht="14.1" customHeight="1" x14ac:dyDescent="0.25">
      <c r="A5375" s="94" t="s">
        <v>18457</v>
      </c>
      <c r="B5375" s="82" t="str">
        <f ca="1">IFERROR(INDEX(UNSPSCDes,MATCH(INDIRECT(ADDRESS(ROW(),COLUMN()-1,4)),UNSPSCCode,0)),IF(INDIRECT(ADDRESS(ROW(),COLUMN()-1,4))="51142009","Metamizol sódico",""))</f>
        <v>Metamizol sódico</v>
      </c>
      <c r="C5375" s="95" t="str">
        <f>IFERROR(VLOOKUP("UD",'Informacion '!P:Q,2,FALSE),"")</f>
        <v>Unidad</v>
      </c>
      <c r="D5375" s="94">
        <v>13</v>
      </c>
      <c r="E5375" s="84">
        <v>9</v>
      </c>
      <c r="F5375" s="83">
        <f t="shared" ca="1" si="234"/>
        <v>117</v>
      </c>
    </row>
    <row r="5376" spans="1:6" ht="14.1" customHeight="1" x14ac:dyDescent="0.25">
      <c r="A5376" s="94" t="s">
        <v>13850</v>
      </c>
      <c r="B5376" s="82" t="str">
        <f ca="1">IFERROR(INDEX(UNSPSCDes,MATCH(INDIRECT(ADDRESS(ROW(),COLUMN()-1,4)),UNSPSCCode,0)),IF(INDIRECT(ADDRESS(ROW(),COLUMN()-1,4))="51142001","Acetaminofén",""))</f>
        <v>Acetaminofén</v>
      </c>
      <c r="C5376" s="95" t="str">
        <f>IFERROR(VLOOKUP("UD",'Informacion '!P:Q,2,FALSE),"")</f>
        <v>Unidad</v>
      </c>
      <c r="D5376" s="94">
        <v>1</v>
      </c>
      <c r="E5376" s="84">
        <v>12.75</v>
      </c>
      <c r="F5376" s="83">
        <f t="shared" ca="1" si="234"/>
        <v>12.75</v>
      </c>
    </row>
    <row r="5377" spans="1:10" ht="14.1" customHeight="1" x14ac:dyDescent="0.25">
      <c r="E5377" s="96" t="s">
        <v>7213</v>
      </c>
      <c r="F5377" s="87">
        <f ca="1">SUM(Table137[MONTO TOTAL ESTIMADO])</f>
        <v>36183.58</v>
      </c>
      <c r="H5377" s="39" t="str">
        <f>C5359</f>
        <v>Bienes</v>
      </c>
      <c r="I5377" s="39" t="str">
        <f>E5359</f>
        <v>No</v>
      </c>
      <c r="J5377" s="39" t="str">
        <f>D5359</f>
        <v>Compras Menores</v>
      </c>
    </row>
    <row r="5379" spans="1:10" ht="33.950000000000003" customHeight="1" x14ac:dyDescent="0.25">
      <c r="A5379" s="77" t="s">
        <v>17233</v>
      </c>
      <c r="B5379" s="77" t="s">
        <v>4237</v>
      </c>
      <c r="C5379" s="77" t="s">
        <v>4743</v>
      </c>
      <c r="D5379" s="77" t="s">
        <v>9891</v>
      </c>
      <c r="E5379" s="77" t="s">
        <v>3089</v>
      </c>
      <c r="F5379" s="77" t="s">
        <v>18141</v>
      </c>
    </row>
    <row r="5380" spans="1:10" ht="14.1" customHeight="1" x14ac:dyDescent="0.25">
      <c r="A5380" s="79" t="s">
        <v>12472</v>
      </c>
      <c r="B5380" s="79" t="s">
        <v>2182</v>
      </c>
      <c r="C5380" s="79" t="s">
        <v>17215</v>
      </c>
      <c r="D5380" s="79" t="s">
        <v>17798</v>
      </c>
      <c r="E5380" s="79" t="s">
        <v>18247</v>
      </c>
      <c r="F5380" s="79"/>
    </row>
    <row r="5381" spans="1:10" ht="14.1" customHeight="1" x14ac:dyDescent="0.25">
      <c r="A5381" s="2" t="s">
        <v>6643</v>
      </c>
      <c r="B5381" s="80" t="s">
        <v>1046</v>
      </c>
      <c r="C5381" s="90">
        <v>43469</v>
      </c>
      <c r="D5381" s="2" t="s">
        <v>59</v>
      </c>
      <c r="E5381" s="92" t="s">
        <v>20066</v>
      </c>
      <c r="F5381" s="93"/>
    </row>
    <row r="5382" spans="1:10" ht="14.1" customHeight="1" x14ac:dyDescent="0.25">
      <c r="A5382" s="1"/>
      <c r="B5382" s="80" t="s">
        <v>10788</v>
      </c>
      <c r="C5382" s="91">
        <f>IF(C5381="","",IF(AND(MONTH(C5381)&gt;=1,MONTH(C5381)&lt;=3),1,IF(AND(MONTH(C5381)&gt;=4,MONTH(C5381)&lt;=6),2,IF(AND(MONTH(C5381)&gt;=7,MONTH(C5381)&lt;=9),3,4))))</f>
        <v>1</v>
      </c>
      <c r="D5382" s="1"/>
      <c r="E5382" s="92" t="s">
        <v>14822</v>
      </c>
      <c r="F5382" s="93"/>
    </row>
    <row r="5383" spans="1:10" ht="14.1" customHeight="1" x14ac:dyDescent="0.25">
      <c r="A5383" s="1"/>
      <c r="B5383" s="80" t="s">
        <v>13758</v>
      </c>
      <c r="C5383" s="90">
        <v>43554</v>
      </c>
      <c r="D5383" s="1"/>
      <c r="E5383" s="92" t="s">
        <v>18636</v>
      </c>
      <c r="F5383" s="93"/>
    </row>
    <row r="5384" spans="1:10" ht="14.1" customHeight="1" x14ac:dyDescent="0.25">
      <c r="A5384" s="1"/>
      <c r="B5384" s="80" t="s">
        <v>10788</v>
      </c>
      <c r="C5384" s="91">
        <f>IF(C5383="","",IF(AND(MONTH(C5383)&gt;=1,MONTH(C5383)&lt;=3),1,IF(AND(MONTH(C5383)&gt;=4,MONTH(C5383)&lt;=6),2,IF(AND(MONTH(C5383)&gt;=7,MONTH(C5383)&lt;=9),3,4))))</f>
        <v>1</v>
      </c>
      <c r="D5384" s="1"/>
      <c r="E5384" s="92" t="s">
        <v>15990</v>
      </c>
      <c r="F5384" s="93"/>
    </row>
    <row r="5386" spans="1:10" ht="14.1" customHeight="1" x14ac:dyDescent="0.25">
      <c r="A5386" s="85" t="s">
        <v>15474</v>
      </c>
      <c r="B5386" s="85" t="s">
        <v>5027</v>
      </c>
      <c r="C5386" s="85" t="s">
        <v>17461</v>
      </c>
      <c r="D5386" s="85" t="s">
        <v>3935</v>
      </c>
      <c r="E5386" s="85" t="s">
        <v>10722</v>
      </c>
      <c r="F5386" s="85" t="s">
        <v>18237</v>
      </c>
    </row>
    <row r="5387" spans="1:10" ht="14.1" customHeight="1" x14ac:dyDescent="0.25">
      <c r="A5387" s="94" t="s">
        <v>16517</v>
      </c>
      <c r="B5387" s="82" t="str">
        <f ca="1">IFERROR(INDEX(UNSPSCDes,MATCH(INDIRECT(ADDRESS(ROW(),COLUMN()-1,4)),UNSPSCCode,0)),IF(INDIRECT(ADDRESS(ROW(),COLUMN()-1,4))="51142904","Lidocaína",""))</f>
        <v>Lidocaína</v>
      </c>
      <c r="C5387" s="95" t="str">
        <f>IFERROR(VLOOKUP("UD",'Informacion '!P:Q,2,FALSE),"")</f>
        <v>Unidad</v>
      </c>
      <c r="D5387" s="94">
        <v>9</v>
      </c>
      <c r="E5387" s="84">
        <v>258.18</v>
      </c>
      <c r="F5387" s="83">
        <f t="shared" ref="F5387:F5398" ca="1" si="235">INDIRECT(ADDRESS(ROW(),COLUMN()-2,4))*INDIRECT(ADDRESS(ROW(),COLUMN()-1,4))</f>
        <v>2323.62</v>
      </c>
    </row>
    <row r="5388" spans="1:10" ht="14.1" customHeight="1" x14ac:dyDescent="0.25">
      <c r="A5388" s="94" t="s">
        <v>16517</v>
      </c>
      <c r="B5388" s="82" t="str">
        <f ca="1">IFERROR(INDEX(UNSPSCDes,MATCH(INDIRECT(ADDRESS(ROW(),COLUMN()-1,4)),UNSPSCCode,0)),IF(INDIRECT(ADDRESS(ROW(),COLUMN()-1,4))="51142904","Lidocaína",""))</f>
        <v>Lidocaína</v>
      </c>
      <c r="C5388" s="95" t="str">
        <f>IFERROR(VLOOKUP("UD",'Informacion '!P:Q,2,FALSE),"")</f>
        <v>Unidad</v>
      </c>
      <c r="D5388" s="94">
        <v>4</v>
      </c>
      <c r="E5388" s="84">
        <v>9.65</v>
      </c>
      <c r="F5388" s="83">
        <f t="shared" ca="1" si="235"/>
        <v>38.6</v>
      </c>
    </row>
    <row r="5389" spans="1:10" ht="14.1" customHeight="1" x14ac:dyDescent="0.25">
      <c r="A5389" s="94" t="s">
        <v>5889</v>
      </c>
      <c r="B5389" s="82" t="str">
        <f ca="1">IFERROR(INDEX(UNSPSCDes,MATCH(INDIRECT(ADDRESS(ROW(),COLUMN()-1,4)),UNSPSCCode,0)),IF(INDIRECT(ADDRESS(ROW(),COLUMN()-1,4))="51141812","Didrocloruro de dexmedetomidina",""))</f>
        <v>Didrocloruro de dexmedetomidina</v>
      </c>
      <c r="C5389" s="95" t="str">
        <f>IFERROR(VLOOKUP("UD",'Informacion '!P:Q,2,FALSE),"")</f>
        <v>Unidad</v>
      </c>
      <c r="D5389" s="94">
        <v>763</v>
      </c>
      <c r="E5389" s="84">
        <v>4</v>
      </c>
      <c r="F5389" s="83">
        <f t="shared" ca="1" si="235"/>
        <v>3052</v>
      </c>
    </row>
    <row r="5390" spans="1:10" ht="14.1" customHeight="1" x14ac:dyDescent="0.25">
      <c r="A5390" s="94" t="s">
        <v>16517</v>
      </c>
      <c r="B5390" s="82" t="str">
        <f ca="1">IFERROR(INDEX(UNSPSCDes,MATCH(INDIRECT(ADDRESS(ROW(),COLUMN()-1,4)),UNSPSCCode,0)),IF(INDIRECT(ADDRESS(ROW(),COLUMN()-1,4))="51142904","Lidocaína",""))</f>
        <v>Lidocaína</v>
      </c>
      <c r="C5390" s="95" t="str">
        <f>IFERROR(VLOOKUP("UD",'Informacion '!P:Q,2,FALSE),"")</f>
        <v>Unidad</v>
      </c>
      <c r="D5390" s="94">
        <v>78</v>
      </c>
      <c r="E5390" s="84">
        <v>10.61</v>
      </c>
      <c r="F5390" s="83">
        <f t="shared" ca="1" si="235"/>
        <v>827.57999999999993</v>
      </c>
    </row>
    <row r="5391" spans="1:10" ht="14.1" customHeight="1" x14ac:dyDescent="0.25">
      <c r="A5391" s="94" t="s">
        <v>16517</v>
      </c>
      <c r="B5391" s="82" t="str">
        <f ca="1">IFERROR(INDEX(UNSPSCDes,MATCH(INDIRECT(ADDRESS(ROW(),COLUMN()-1,4)),UNSPSCCode,0)),IF(INDIRECT(ADDRESS(ROW(),COLUMN()-1,4))="51142904","Lidocaína",""))</f>
        <v>Lidocaína</v>
      </c>
      <c r="C5391" s="95" t="str">
        <f>IFERROR(VLOOKUP("UD",'Informacion '!P:Q,2,FALSE),"")</f>
        <v>Unidad</v>
      </c>
      <c r="D5391" s="94">
        <v>546</v>
      </c>
      <c r="E5391" s="84">
        <v>2.96</v>
      </c>
      <c r="F5391" s="83">
        <f t="shared" ca="1" si="235"/>
        <v>1616.16</v>
      </c>
    </row>
    <row r="5392" spans="1:10" ht="14.1" customHeight="1" x14ac:dyDescent="0.25">
      <c r="A5392" s="94" t="s">
        <v>16517</v>
      </c>
      <c r="B5392" s="82" t="str">
        <f ca="1">IFERROR(INDEX(UNSPSCDes,MATCH(INDIRECT(ADDRESS(ROW(),COLUMN()-1,4)),UNSPSCCode,0)),IF(INDIRECT(ADDRESS(ROW(),COLUMN()-1,4))="51142904","Lidocaína",""))</f>
        <v>Lidocaína</v>
      </c>
      <c r="C5392" s="95" t="str">
        <f>IFERROR(VLOOKUP("UD",'Informacion '!P:Q,2,FALSE),"")</f>
        <v>Unidad</v>
      </c>
      <c r="D5392" s="94">
        <v>4031</v>
      </c>
      <c r="E5392" s="84">
        <v>1.2</v>
      </c>
      <c r="F5392" s="83">
        <f t="shared" ca="1" si="235"/>
        <v>4837.2</v>
      </c>
    </row>
    <row r="5393" spans="1:10" ht="14.1" customHeight="1" x14ac:dyDescent="0.25">
      <c r="A5393" s="94" t="s">
        <v>16517</v>
      </c>
      <c r="B5393" s="82" t="str">
        <f ca="1">IFERROR(INDEX(UNSPSCDes,MATCH(INDIRECT(ADDRESS(ROW(),COLUMN()-1,4)),UNSPSCCode,0)),IF(INDIRECT(ADDRESS(ROW(),COLUMN()-1,4))="51142904","Lidocaína",""))</f>
        <v>Lidocaína</v>
      </c>
      <c r="C5393" s="95" t="str">
        <f>IFERROR(VLOOKUP("UD",'Informacion '!P:Q,2,FALSE),"")</f>
        <v>Unidad</v>
      </c>
      <c r="D5393" s="94">
        <v>2</v>
      </c>
      <c r="E5393" s="84">
        <v>702.12</v>
      </c>
      <c r="F5393" s="83">
        <f t="shared" ca="1" si="235"/>
        <v>1404.24</v>
      </c>
    </row>
    <row r="5394" spans="1:10" ht="14.1" customHeight="1" x14ac:dyDescent="0.25">
      <c r="A5394" s="94" t="s">
        <v>16517</v>
      </c>
      <c r="B5394" s="82" t="str">
        <f ca="1">IFERROR(INDEX(UNSPSCDes,MATCH(INDIRECT(ADDRESS(ROW(),COLUMN()-1,4)),UNSPSCCode,0)),IF(INDIRECT(ADDRESS(ROW(),COLUMN()-1,4))="51142904","Lidocaína",""))</f>
        <v>Lidocaína</v>
      </c>
      <c r="C5394" s="95" t="str">
        <f>IFERROR(VLOOKUP("UD",'Informacion '!P:Q,2,FALSE),"")</f>
        <v>Unidad</v>
      </c>
      <c r="D5394" s="94">
        <v>1</v>
      </c>
      <c r="E5394" s="84">
        <v>122.6</v>
      </c>
      <c r="F5394" s="83">
        <f t="shared" ca="1" si="235"/>
        <v>122.6</v>
      </c>
    </row>
    <row r="5395" spans="1:10" ht="14.1" customHeight="1" x14ac:dyDescent="0.25">
      <c r="A5395" s="94" t="s">
        <v>292</v>
      </c>
      <c r="B5395" s="82" t="str">
        <f ca="1">IFERROR(INDEX(UNSPSCDes,MATCH(INDIRECT(ADDRESS(ROW(),COLUMN()-1,4)),UNSPSCCode,0)),IF(INDIRECT(ADDRESS(ROW(),COLUMN()-1,4))="51152003","Bromuro de rocuronio",""))</f>
        <v>Bromuro de rocuronio</v>
      </c>
      <c r="C5395" s="95" t="str">
        <f>IFERROR(VLOOKUP("UD",'Informacion '!P:Q,2,FALSE),"")</f>
        <v>Unidad</v>
      </c>
      <c r="D5395" s="94">
        <v>9</v>
      </c>
      <c r="E5395" s="84">
        <v>2456.15</v>
      </c>
      <c r="F5395" s="83">
        <f t="shared" ca="1" si="235"/>
        <v>22105.350000000002</v>
      </c>
    </row>
    <row r="5396" spans="1:10" ht="14.1" customHeight="1" x14ac:dyDescent="0.25">
      <c r="A5396" s="94" t="s">
        <v>1764</v>
      </c>
      <c r="B5396" s="82" t="str">
        <f ca="1">IFERROR(INDEX(UNSPSCDes,MATCH(INDIRECT(ADDRESS(ROW(),COLUMN()-1,4)),UNSPSCCode,0)),IF(INDIRECT(ADDRESS(ROW(),COLUMN()-1,4))="51152001","Besilato de atracurio",""))</f>
        <v>Besilato de atracurio</v>
      </c>
      <c r="C5396" s="95" t="str">
        <f>IFERROR(VLOOKUP("UD",'Informacion '!P:Q,2,FALSE),"")</f>
        <v>Unidad</v>
      </c>
      <c r="D5396" s="94">
        <v>69</v>
      </c>
      <c r="E5396" s="84">
        <v>130</v>
      </c>
      <c r="F5396" s="83">
        <f t="shared" ca="1" si="235"/>
        <v>8970</v>
      </c>
    </row>
    <row r="5397" spans="1:10" ht="14.1" customHeight="1" x14ac:dyDescent="0.25">
      <c r="A5397" s="94" t="s">
        <v>5197</v>
      </c>
      <c r="B5397" s="82" t="str">
        <f ca="1">IFERROR(INDEX(UNSPSCDes,MATCH(INDIRECT(ADDRESS(ROW(),COLUMN()-1,4)),UNSPSCCode,0)),IF(INDIRECT(ADDRESS(ROW(),COLUMN()-1,4))="51142942","Sevoflurano",""))</f>
        <v>Sevoflurano</v>
      </c>
      <c r="C5397" s="95" t="str">
        <f>IFERROR(VLOOKUP("UD",'Informacion '!P:Q,2,FALSE),"")</f>
        <v>Unidad</v>
      </c>
      <c r="D5397" s="94">
        <v>13</v>
      </c>
      <c r="E5397" s="84">
        <v>25.64</v>
      </c>
      <c r="F5397" s="83">
        <f t="shared" ca="1" si="235"/>
        <v>333.32</v>
      </c>
    </row>
    <row r="5398" spans="1:10" ht="14.1" customHeight="1" x14ac:dyDescent="0.25">
      <c r="A5398" s="94" t="s">
        <v>4890</v>
      </c>
      <c r="B5398" s="82" t="str">
        <f ca="1">IFERROR(INDEX(UNSPSCDes,MATCH(INDIRECT(ADDRESS(ROW(),COLUMN()-1,4)),UNSPSCCode,0)),IF(INDIRECT(ADDRESS(ROW(),COLUMN()-1,4))="51142941","Propofol",""))</f>
        <v>Propofol</v>
      </c>
      <c r="C5398" s="95" t="str">
        <f>IFERROR(VLOOKUP("UD",'Informacion '!P:Q,2,FALSE),"")</f>
        <v>Unidad</v>
      </c>
      <c r="D5398" s="94">
        <v>413</v>
      </c>
      <c r="E5398" s="84">
        <v>112.54</v>
      </c>
      <c r="F5398" s="83">
        <f t="shared" ca="1" si="235"/>
        <v>46479.020000000004</v>
      </c>
    </row>
    <row r="5399" spans="1:10" ht="14.1" customHeight="1" x14ac:dyDescent="0.25">
      <c r="E5399" s="96" t="s">
        <v>7213</v>
      </c>
      <c r="F5399" s="87">
        <f ca="1">SUM(Table138[MONTO TOTAL ESTIMADO])</f>
        <v>92109.69</v>
      </c>
      <c r="H5399" s="39" t="str">
        <f>C5380</f>
        <v>Bienes</v>
      </c>
      <c r="I5399" s="39" t="str">
        <f>E5380</f>
        <v>No</v>
      </c>
      <c r="J5399" s="39" t="str">
        <f>D5380</f>
        <v>Compras Menores</v>
      </c>
    </row>
    <row r="5401" spans="1:10" ht="33.950000000000003" customHeight="1" x14ac:dyDescent="0.25">
      <c r="A5401" s="77" t="s">
        <v>17233</v>
      </c>
      <c r="B5401" s="77" t="s">
        <v>4237</v>
      </c>
      <c r="C5401" s="77" t="s">
        <v>4743</v>
      </c>
      <c r="D5401" s="77" t="s">
        <v>9891</v>
      </c>
      <c r="E5401" s="77" t="s">
        <v>3089</v>
      </c>
      <c r="F5401" s="77" t="s">
        <v>18141</v>
      </c>
    </row>
    <row r="5402" spans="1:10" ht="14.1" customHeight="1" x14ac:dyDescent="0.25">
      <c r="A5402" s="79" t="s">
        <v>5747</v>
      </c>
      <c r="B5402" s="79" t="s">
        <v>2182</v>
      </c>
      <c r="C5402" s="79" t="s">
        <v>17215</v>
      </c>
      <c r="D5402" s="79" t="s">
        <v>17798</v>
      </c>
      <c r="E5402" s="79" t="s">
        <v>18247</v>
      </c>
      <c r="F5402" s="79"/>
    </row>
    <row r="5403" spans="1:10" ht="14.1" customHeight="1" x14ac:dyDescent="0.25">
      <c r="A5403" s="2" t="s">
        <v>6643</v>
      </c>
      <c r="B5403" s="80" t="s">
        <v>1046</v>
      </c>
      <c r="C5403" s="90">
        <v>43556</v>
      </c>
      <c r="D5403" s="2" t="s">
        <v>59</v>
      </c>
      <c r="E5403" s="92" t="s">
        <v>20066</v>
      </c>
      <c r="F5403" s="93" t="s">
        <v>5684</v>
      </c>
    </row>
    <row r="5404" spans="1:10" ht="14.1" customHeight="1" x14ac:dyDescent="0.25">
      <c r="A5404" s="1"/>
      <c r="B5404" s="80" t="s">
        <v>10788</v>
      </c>
      <c r="C5404" s="91">
        <f>IF(C5403="","",IF(AND(MONTH(C5403)&gt;=1,MONTH(C5403)&lt;=3),1,IF(AND(MONTH(C5403)&gt;=4,MONTH(C5403)&lt;=6),2,IF(AND(MONTH(C5403)&gt;=7,MONTH(C5403)&lt;=9),3,4))))</f>
        <v>2</v>
      </c>
      <c r="D5404" s="1"/>
      <c r="E5404" s="92" t="s">
        <v>14822</v>
      </c>
      <c r="F5404" s="93"/>
    </row>
    <row r="5405" spans="1:10" ht="14.1" customHeight="1" x14ac:dyDescent="0.25">
      <c r="A5405" s="1"/>
      <c r="B5405" s="80" t="s">
        <v>13758</v>
      </c>
      <c r="C5405" s="90">
        <v>43645</v>
      </c>
      <c r="D5405" s="1"/>
      <c r="E5405" s="92" t="s">
        <v>18636</v>
      </c>
      <c r="F5405" s="93"/>
    </row>
    <row r="5406" spans="1:10" ht="14.1" customHeight="1" x14ac:dyDescent="0.25">
      <c r="A5406" s="1"/>
      <c r="B5406" s="80" t="s">
        <v>10788</v>
      </c>
      <c r="C5406" s="91">
        <f>IF(C5405="","",IF(AND(MONTH(C5405)&gt;=1,MONTH(C5405)&lt;=3),1,IF(AND(MONTH(C5405)&gt;=4,MONTH(C5405)&lt;=6),2,IF(AND(MONTH(C5405)&gt;=7,MONTH(C5405)&lt;=9),3,4))))</f>
        <v>2</v>
      </c>
      <c r="D5406" s="1"/>
      <c r="E5406" s="92" t="s">
        <v>15990</v>
      </c>
      <c r="F5406" s="93"/>
    </row>
    <row r="5408" spans="1:10" ht="14.1" customHeight="1" x14ac:dyDescent="0.25">
      <c r="A5408" s="85" t="s">
        <v>15474</v>
      </c>
      <c r="B5408" s="85" t="s">
        <v>5027</v>
      </c>
      <c r="C5408" s="85" t="s">
        <v>17461</v>
      </c>
      <c r="D5408" s="85" t="s">
        <v>3935</v>
      </c>
      <c r="E5408" s="85" t="s">
        <v>10722</v>
      </c>
      <c r="F5408" s="85" t="s">
        <v>18237</v>
      </c>
    </row>
    <row r="5409" spans="1:10" ht="14.1" customHeight="1" x14ac:dyDescent="0.25">
      <c r="A5409" s="94" t="s">
        <v>16517</v>
      </c>
      <c r="B5409" s="82" t="str">
        <f ca="1">IFERROR(INDEX(UNSPSCDes,MATCH(INDIRECT(ADDRESS(ROW(),COLUMN()-1,4)),UNSPSCCode,0)),IF(INDIRECT(ADDRESS(ROW(),COLUMN()-1,4))="51142904","Lidocaína",""))</f>
        <v>Lidocaína</v>
      </c>
      <c r="C5409" s="95" t="str">
        <f>IFERROR(VLOOKUP("UD",'Informacion '!P:Q,2,FALSE),"")</f>
        <v>Unidad</v>
      </c>
      <c r="D5409" s="94">
        <v>10</v>
      </c>
      <c r="E5409" s="84">
        <v>258.18</v>
      </c>
      <c r="F5409" s="83">
        <f t="shared" ref="F5409:F5420" ca="1" si="236">INDIRECT(ADDRESS(ROW(),COLUMN()-2,4))*INDIRECT(ADDRESS(ROW(),COLUMN()-1,4))</f>
        <v>2581.8000000000002</v>
      </c>
    </row>
    <row r="5410" spans="1:10" ht="14.1" customHeight="1" x14ac:dyDescent="0.25">
      <c r="A5410" s="94" t="s">
        <v>16517</v>
      </c>
      <c r="B5410" s="82" t="str">
        <f ca="1">IFERROR(INDEX(UNSPSCDes,MATCH(INDIRECT(ADDRESS(ROW(),COLUMN()-1,4)),UNSPSCCode,0)),IF(INDIRECT(ADDRESS(ROW(),COLUMN()-1,4))="51142904","Lidocaína",""))</f>
        <v>Lidocaína</v>
      </c>
      <c r="C5410" s="95" t="str">
        <f>IFERROR(VLOOKUP("UD",'Informacion '!P:Q,2,FALSE),"")</f>
        <v>Unidad</v>
      </c>
      <c r="D5410" s="94">
        <v>5</v>
      </c>
      <c r="E5410" s="84">
        <v>9.65</v>
      </c>
      <c r="F5410" s="83">
        <f t="shared" ca="1" si="236"/>
        <v>48.25</v>
      </c>
    </row>
    <row r="5411" spans="1:10" ht="14.1" customHeight="1" x14ac:dyDescent="0.25">
      <c r="A5411" s="94" t="s">
        <v>5889</v>
      </c>
      <c r="B5411" s="82" t="str">
        <f ca="1">IFERROR(INDEX(UNSPSCDes,MATCH(INDIRECT(ADDRESS(ROW(),COLUMN()-1,4)),UNSPSCCode,0)),IF(INDIRECT(ADDRESS(ROW(),COLUMN()-1,4))="51141812","Didrocloruro de dexmedetomidina",""))</f>
        <v>Didrocloruro de dexmedetomidina</v>
      </c>
      <c r="C5411" s="95" t="str">
        <f>IFERROR(VLOOKUP("UD",'Informacion '!P:Q,2,FALSE),"")</f>
        <v>Unidad</v>
      </c>
      <c r="D5411" s="94">
        <v>779</v>
      </c>
      <c r="E5411" s="84">
        <v>4</v>
      </c>
      <c r="F5411" s="83">
        <f t="shared" ca="1" si="236"/>
        <v>3116</v>
      </c>
    </row>
    <row r="5412" spans="1:10" ht="14.1" customHeight="1" x14ac:dyDescent="0.25">
      <c r="A5412" s="94" t="s">
        <v>16517</v>
      </c>
      <c r="B5412" s="82" t="str">
        <f ca="1">IFERROR(INDEX(UNSPSCDes,MATCH(INDIRECT(ADDRESS(ROW(),COLUMN()-1,4)),UNSPSCCode,0)),IF(INDIRECT(ADDRESS(ROW(),COLUMN()-1,4))="51142904","Lidocaína",""))</f>
        <v>Lidocaína</v>
      </c>
      <c r="C5412" s="95" t="str">
        <f>IFERROR(VLOOKUP("UD",'Informacion '!P:Q,2,FALSE),"")</f>
        <v>Unidad</v>
      </c>
      <c r="D5412" s="94">
        <v>80</v>
      </c>
      <c r="E5412" s="84">
        <v>10.61</v>
      </c>
      <c r="F5412" s="83">
        <f t="shared" ca="1" si="236"/>
        <v>848.8</v>
      </c>
    </row>
    <row r="5413" spans="1:10" ht="14.1" customHeight="1" x14ac:dyDescent="0.25">
      <c r="A5413" s="94" t="s">
        <v>16517</v>
      </c>
      <c r="B5413" s="82" t="str">
        <f ca="1">IFERROR(INDEX(UNSPSCDes,MATCH(INDIRECT(ADDRESS(ROW(),COLUMN()-1,4)),UNSPSCCode,0)),IF(INDIRECT(ADDRESS(ROW(),COLUMN()-1,4))="51142904","Lidocaína",""))</f>
        <v>Lidocaína</v>
      </c>
      <c r="C5413" s="95" t="str">
        <f>IFERROR(VLOOKUP("UD",'Informacion '!P:Q,2,FALSE),"")</f>
        <v>Unidad</v>
      </c>
      <c r="D5413" s="94">
        <v>557</v>
      </c>
      <c r="E5413" s="84">
        <v>2.09</v>
      </c>
      <c r="F5413" s="83">
        <f t="shared" ca="1" si="236"/>
        <v>1164.1299999999999</v>
      </c>
    </row>
    <row r="5414" spans="1:10" ht="14.1" customHeight="1" x14ac:dyDescent="0.25">
      <c r="A5414" s="94" t="s">
        <v>16517</v>
      </c>
      <c r="B5414" s="82" t="str">
        <f ca="1">IFERROR(INDEX(UNSPSCDes,MATCH(INDIRECT(ADDRESS(ROW(),COLUMN()-1,4)),UNSPSCCode,0)),IF(INDIRECT(ADDRESS(ROW(),COLUMN()-1,4))="51142904","Lidocaína",""))</f>
        <v>Lidocaína</v>
      </c>
      <c r="C5414" s="95" t="str">
        <f>IFERROR(VLOOKUP("UD",'Informacion '!P:Q,2,FALSE),"")</f>
        <v>Unidad</v>
      </c>
      <c r="D5414" s="94">
        <v>4114</v>
      </c>
      <c r="E5414" s="84">
        <v>1.2</v>
      </c>
      <c r="F5414" s="83">
        <f t="shared" ca="1" si="236"/>
        <v>4936.8</v>
      </c>
    </row>
    <row r="5415" spans="1:10" ht="14.1" customHeight="1" x14ac:dyDescent="0.25">
      <c r="A5415" s="94" t="s">
        <v>16517</v>
      </c>
      <c r="B5415" s="82" t="str">
        <f ca="1">IFERROR(INDEX(UNSPSCDes,MATCH(INDIRECT(ADDRESS(ROW(),COLUMN()-1,4)),UNSPSCCode,0)),IF(INDIRECT(ADDRESS(ROW(),COLUMN()-1,4))="51142904","Lidocaína",""))</f>
        <v>Lidocaína</v>
      </c>
      <c r="C5415" s="95" t="str">
        <f>IFERROR(VLOOKUP("UD",'Informacion '!P:Q,2,FALSE),"")</f>
        <v>Unidad</v>
      </c>
      <c r="D5415" s="94">
        <v>3</v>
      </c>
      <c r="E5415" s="84">
        <v>702.12</v>
      </c>
      <c r="F5415" s="83">
        <f t="shared" ca="1" si="236"/>
        <v>2106.36</v>
      </c>
    </row>
    <row r="5416" spans="1:10" ht="14.1" customHeight="1" x14ac:dyDescent="0.25">
      <c r="A5416" s="94" t="s">
        <v>16517</v>
      </c>
      <c r="B5416" s="82" t="str">
        <f ca="1">IFERROR(INDEX(UNSPSCDes,MATCH(INDIRECT(ADDRESS(ROW(),COLUMN()-1,4)),UNSPSCCode,0)),IF(INDIRECT(ADDRESS(ROW(),COLUMN()-1,4))="51142904","Lidocaína",""))</f>
        <v>Lidocaína</v>
      </c>
      <c r="C5416" s="95" t="str">
        <f>IFERROR(VLOOKUP("UD",'Informacion '!P:Q,2,FALSE),"")</f>
        <v>Unidad</v>
      </c>
      <c r="D5416" s="94">
        <v>2</v>
      </c>
      <c r="E5416" s="84">
        <v>122.6</v>
      </c>
      <c r="F5416" s="83">
        <f t="shared" ca="1" si="236"/>
        <v>245.2</v>
      </c>
    </row>
    <row r="5417" spans="1:10" ht="14.1" customHeight="1" x14ac:dyDescent="0.25">
      <c r="A5417" s="94" t="s">
        <v>292</v>
      </c>
      <c r="B5417" s="82" t="str">
        <f ca="1">IFERROR(INDEX(UNSPSCDes,MATCH(INDIRECT(ADDRESS(ROW(),COLUMN()-1,4)),UNSPSCCode,0)),IF(INDIRECT(ADDRESS(ROW(),COLUMN()-1,4))="51152003","Bromuro de rocuronio",""))</f>
        <v>Bromuro de rocuronio</v>
      </c>
      <c r="C5417" s="95" t="str">
        <f>IFERROR(VLOOKUP("UD",'Informacion '!P:Q,2,FALSE),"")</f>
        <v>Unidad</v>
      </c>
      <c r="D5417" s="94">
        <v>10</v>
      </c>
      <c r="E5417" s="84">
        <v>2456.15</v>
      </c>
      <c r="F5417" s="83">
        <f t="shared" ca="1" si="236"/>
        <v>24561.5</v>
      </c>
    </row>
    <row r="5418" spans="1:10" ht="14.1" customHeight="1" x14ac:dyDescent="0.25">
      <c r="A5418" s="94" t="s">
        <v>1764</v>
      </c>
      <c r="B5418" s="82" t="str">
        <f ca="1">IFERROR(INDEX(UNSPSCDes,MATCH(INDIRECT(ADDRESS(ROW(),COLUMN()-1,4)),UNSPSCCode,0)),IF(INDIRECT(ADDRESS(ROW(),COLUMN()-1,4))="51152001","Besilato de atracurio",""))</f>
        <v>Besilato de atracurio</v>
      </c>
      <c r="C5418" s="95" t="str">
        <f>IFERROR(VLOOKUP("UD",'Informacion '!P:Q,2,FALSE),"")</f>
        <v>Unidad</v>
      </c>
      <c r="D5418" s="94">
        <v>71</v>
      </c>
      <c r="E5418" s="84">
        <v>130</v>
      </c>
      <c r="F5418" s="83">
        <f t="shared" ca="1" si="236"/>
        <v>9230</v>
      </c>
    </row>
    <row r="5419" spans="1:10" ht="14.1" customHeight="1" x14ac:dyDescent="0.25">
      <c r="A5419" s="94" t="s">
        <v>5197</v>
      </c>
      <c r="B5419" s="82" t="str">
        <f ca="1">IFERROR(INDEX(UNSPSCDes,MATCH(INDIRECT(ADDRESS(ROW(),COLUMN()-1,4)),UNSPSCCode,0)),IF(INDIRECT(ADDRESS(ROW(),COLUMN()-1,4))="51142942","Sevoflurano",""))</f>
        <v>Sevoflurano</v>
      </c>
      <c r="C5419" s="95" t="str">
        <f>IFERROR(VLOOKUP("UD",'Informacion '!P:Q,2,FALSE),"")</f>
        <v>Unidad</v>
      </c>
      <c r="D5419" s="94">
        <v>14</v>
      </c>
      <c r="E5419" s="84">
        <v>25.64</v>
      </c>
      <c r="F5419" s="83">
        <f t="shared" ca="1" si="236"/>
        <v>358.96000000000004</v>
      </c>
    </row>
    <row r="5420" spans="1:10" ht="14.1" customHeight="1" x14ac:dyDescent="0.25">
      <c r="A5420" s="94" t="s">
        <v>4890</v>
      </c>
      <c r="B5420" s="82" t="str">
        <f ca="1">IFERROR(INDEX(UNSPSCDes,MATCH(INDIRECT(ADDRESS(ROW(),COLUMN()-1,4)),UNSPSCCode,0)),IF(INDIRECT(ADDRESS(ROW(),COLUMN()-1,4))="51142941","Propofol",""))</f>
        <v>Propofol</v>
      </c>
      <c r="C5420" s="95" t="str">
        <f>IFERROR(VLOOKUP("UD",'Informacion '!P:Q,2,FALSE),"")</f>
        <v>Unidad</v>
      </c>
      <c r="D5420" s="94">
        <v>422</v>
      </c>
      <c r="E5420" s="84">
        <v>112.54</v>
      </c>
      <c r="F5420" s="83">
        <f t="shared" ca="1" si="236"/>
        <v>47491.880000000005</v>
      </c>
    </row>
    <row r="5421" spans="1:10" ht="14.1" customHeight="1" x14ac:dyDescent="0.25">
      <c r="E5421" s="96" t="s">
        <v>7213</v>
      </c>
      <c r="F5421" s="87">
        <f ca="1">SUM(Table139[MONTO TOTAL ESTIMADO])</f>
        <v>96689.680000000008</v>
      </c>
      <c r="H5421" s="39" t="str">
        <f>C5402</f>
        <v>Bienes</v>
      </c>
      <c r="I5421" s="39" t="str">
        <f>E5402</f>
        <v>No</v>
      </c>
      <c r="J5421" s="39" t="str">
        <f>D5402</f>
        <v>Compras Menores</v>
      </c>
    </row>
    <row r="5423" spans="1:10" ht="33.950000000000003" customHeight="1" x14ac:dyDescent="0.25">
      <c r="A5423" s="77" t="s">
        <v>17233</v>
      </c>
      <c r="B5423" s="77" t="s">
        <v>4237</v>
      </c>
      <c r="C5423" s="77" t="s">
        <v>4743</v>
      </c>
      <c r="D5423" s="77" t="s">
        <v>9891</v>
      </c>
      <c r="E5423" s="77" t="s">
        <v>3089</v>
      </c>
      <c r="F5423" s="77" t="s">
        <v>18141</v>
      </c>
    </row>
    <row r="5424" spans="1:10" ht="14.1" customHeight="1" x14ac:dyDescent="0.25">
      <c r="A5424" s="79" t="s">
        <v>14951</v>
      </c>
      <c r="B5424" s="79" t="s">
        <v>2182</v>
      </c>
      <c r="C5424" s="79" t="s">
        <v>17215</v>
      </c>
      <c r="D5424" s="79" t="s">
        <v>17798</v>
      </c>
      <c r="E5424" s="79" t="s">
        <v>18247</v>
      </c>
      <c r="F5424" s="79"/>
    </row>
    <row r="5425" spans="1:6" ht="14.1" customHeight="1" x14ac:dyDescent="0.25">
      <c r="A5425" s="2" t="s">
        <v>6643</v>
      </c>
      <c r="B5425" s="80" t="s">
        <v>1046</v>
      </c>
      <c r="C5425" s="90">
        <v>43647</v>
      </c>
      <c r="D5425" s="2" t="s">
        <v>59</v>
      </c>
      <c r="E5425" s="92" t="s">
        <v>20066</v>
      </c>
      <c r="F5425" s="93"/>
    </row>
    <row r="5426" spans="1:6" ht="14.1" customHeight="1" x14ac:dyDescent="0.25">
      <c r="A5426" s="1"/>
      <c r="B5426" s="80" t="s">
        <v>10788</v>
      </c>
      <c r="C5426" s="91">
        <f>IF(C5425="","",IF(AND(MONTH(C5425)&gt;=1,MONTH(C5425)&lt;=3),1,IF(AND(MONTH(C5425)&gt;=4,MONTH(C5425)&lt;=6),2,IF(AND(MONTH(C5425)&gt;=7,MONTH(C5425)&lt;=9),3,4))))</f>
        <v>3</v>
      </c>
      <c r="D5426" s="1"/>
      <c r="E5426" s="92" t="s">
        <v>14822</v>
      </c>
      <c r="F5426" s="93"/>
    </row>
    <row r="5427" spans="1:6" ht="14.1" customHeight="1" x14ac:dyDescent="0.25">
      <c r="A5427" s="1"/>
      <c r="B5427" s="80" t="s">
        <v>13758</v>
      </c>
      <c r="C5427" s="90">
        <v>43738</v>
      </c>
      <c r="D5427" s="1"/>
      <c r="E5427" s="92" t="s">
        <v>18636</v>
      </c>
      <c r="F5427" s="93"/>
    </row>
    <row r="5428" spans="1:6" ht="14.1" customHeight="1" x14ac:dyDescent="0.25">
      <c r="A5428" s="1"/>
      <c r="B5428" s="80" t="s">
        <v>10788</v>
      </c>
      <c r="C5428" s="91">
        <f>IF(C5427="","",IF(AND(MONTH(C5427)&gt;=1,MONTH(C5427)&lt;=3),1,IF(AND(MONTH(C5427)&gt;=4,MONTH(C5427)&lt;=6),2,IF(AND(MONTH(C5427)&gt;=7,MONTH(C5427)&lt;=9),3,4))))</f>
        <v>3</v>
      </c>
      <c r="D5428" s="1"/>
      <c r="E5428" s="92" t="s">
        <v>15990</v>
      </c>
      <c r="F5428" s="93"/>
    </row>
    <row r="5430" spans="1:6" ht="14.1" customHeight="1" x14ac:dyDescent="0.25">
      <c r="A5430" s="85" t="s">
        <v>15474</v>
      </c>
      <c r="B5430" s="85" t="s">
        <v>5027</v>
      </c>
      <c r="C5430" s="85" t="s">
        <v>17461</v>
      </c>
      <c r="D5430" s="85" t="s">
        <v>3935</v>
      </c>
      <c r="E5430" s="85" t="s">
        <v>10722</v>
      </c>
      <c r="F5430" s="85" t="s">
        <v>18237</v>
      </c>
    </row>
    <row r="5431" spans="1:6" ht="14.1" customHeight="1" x14ac:dyDescent="0.25">
      <c r="A5431" s="94" t="s">
        <v>16517</v>
      </c>
      <c r="B5431" s="82" t="str">
        <f ca="1">IFERROR(INDEX(UNSPSCDes,MATCH(INDIRECT(ADDRESS(ROW(),COLUMN()-1,4)),UNSPSCCode,0)),IF(INDIRECT(ADDRESS(ROW(),COLUMN()-1,4))="51142904","Lidocaína",""))</f>
        <v>Lidocaína</v>
      </c>
      <c r="C5431" s="95" t="str">
        <f>IFERROR(VLOOKUP("UD",'Informacion '!P:Q,2,FALSE),"")</f>
        <v>Unidad</v>
      </c>
      <c r="D5431" s="94">
        <v>11</v>
      </c>
      <c r="E5431" s="84">
        <v>258.18</v>
      </c>
      <c r="F5431" s="83">
        <f t="shared" ref="F5431:F5442" ca="1" si="237">INDIRECT(ADDRESS(ROW(),COLUMN()-2,4))*INDIRECT(ADDRESS(ROW(),COLUMN()-1,4))</f>
        <v>2839.98</v>
      </c>
    </row>
    <row r="5432" spans="1:6" ht="14.1" customHeight="1" x14ac:dyDescent="0.25">
      <c r="A5432" s="94" t="s">
        <v>16517</v>
      </c>
      <c r="B5432" s="82" t="str">
        <f ca="1">IFERROR(INDEX(UNSPSCDes,MATCH(INDIRECT(ADDRESS(ROW(),COLUMN()-1,4)),UNSPSCCode,0)),IF(INDIRECT(ADDRESS(ROW(),COLUMN()-1,4))="51142904","Lidocaína",""))</f>
        <v>Lidocaína</v>
      </c>
      <c r="C5432" s="95" t="str">
        <f>IFERROR(VLOOKUP("UD",'Informacion '!P:Q,2,FALSE),"")</f>
        <v>Unidad</v>
      </c>
      <c r="D5432" s="94">
        <v>6</v>
      </c>
      <c r="E5432" s="84">
        <v>212.27</v>
      </c>
      <c r="F5432" s="83">
        <f t="shared" ca="1" si="237"/>
        <v>1273.6200000000001</v>
      </c>
    </row>
    <row r="5433" spans="1:6" ht="14.1" customHeight="1" x14ac:dyDescent="0.25">
      <c r="A5433" s="94" t="s">
        <v>5889</v>
      </c>
      <c r="B5433" s="82" t="str">
        <f ca="1">IFERROR(INDEX(UNSPSCDes,MATCH(INDIRECT(ADDRESS(ROW(),COLUMN()-1,4)),UNSPSCCode,0)),IF(INDIRECT(ADDRESS(ROW(),COLUMN()-1,4))="51141812","Didrocloruro de dexmedetomidina",""))</f>
        <v>Didrocloruro de dexmedetomidina</v>
      </c>
      <c r="C5433" s="95" t="str">
        <f>IFERROR(VLOOKUP("UD",'Informacion '!P:Q,2,FALSE),"")</f>
        <v>Unidad</v>
      </c>
      <c r="D5433" s="94">
        <v>795</v>
      </c>
      <c r="E5433" s="84">
        <v>4</v>
      </c>
      <c r="F5433" s="83">
        <f t="shared" ca="1" si="237"/>
        <v>3180</v>
      </c>
    </row>
    <row r="5434" spans="1:6" ht="14.1" customHeight="1" x14ac:dyDescent="0.25">
      <c r="A5434" s="94" t="s">
        <v>16517</v>
      </c>
      <c r="B5434" s="82" t="str">
        <f ca="1">IFERROR(INDEX(UNSPSCDes,MATCH(INDIRECT(ADDRESS(ROW(),COLUMN()-1,4)),UNSPSCCode,0)),IF(INDIRECT(ADDRESS(ROW(),COLUMN()-1,4))="51142904","Lidocaína",""))</f>
        <v>Lidocaína</v>
      </c>
      <c r="C5434" s="95" t="str">
        <f>IFERROR(VLOOKUP("UD",'Informacion '!P:Q,2,FALSE),"")</f>
        <v>Unidad</v>
      </c>
      <c r="D5434" s="94">
        <v>82</v>
      </c>
      <c r="E5434" s="84">
        <v>10.61</v>
      </c>
      <c r="F5434" s="83">
        <f t="shared" ca="1" si="237"/>
        <v>870.02</v>
      </c>
    </row>
    <row r="5435" spans="1:6" ht="14.1" customHeight="1" x14ac:dyDescent="0.25">
      <c r="A5435" s="94" t="s">
        <v>16517</v>
      </c>
      <c r="B5435" s="82" t="str">
        <f ca="1">IFERROR(INDEX(UNSPSCDes,MATCH(INDIRECT(ADDRESS(ROW(),COLUMN()-1,4)),UNSPSCCode,0)),IF(INDIRECT(ADDRESS(ROW(),COLUMN()-1,4))="51142904","Lidocaína",""))</f>
        <v>Lidocaína</v>
      </c>
      <c r="C5435" s="95" t="str">
        <f>IFERROR(VLOOKUP("UD",'Informacion '!P:Q,2,FALSE),"")</f>
        <v>Unidad</v>
      </c>
      <c r="D5435" s="94">
        <v>569</v>
      </c>
      <c r="E5435" s="84">
        <v>2.96</v>
      </c>
      <c r="F5435" s="83">
        <f t="shared" ca="1" si="237"/>
        <v>1684.24</v>
      </c>
    </row>
    <row r="5436" spans="1:6" ht="14.1" customHeight="1" x14ac:dyDescent="0.25">
      <c r="A5436" s="94" t="s">
        <v>16517</v>
      </c>
      <c r="B5436" s="82" t="str">
        <f ca="1">IFERROR(INDEX(UNSPSCDes,MATCH(INDIRECT(ADDRESS(ROW(),COLUMN()-1,4)),UNSPSCCode,0)),IF(INDIRECT(ADDRESS(ROW(),COLUMN()-1,4))="51142904","Lidocaína",""))</f>
        <v>Lidocaína</v>
      </c>
      <c r="C5436" s="95" t="str">
        <f>IFERROR(VLOOKUP("UD",'Informacion '!P:Q,2,FALSE),"")</f>
        <v>Unidad</v>
      </c>
      <c r="D5436" s="94">
        <v>4198</v>
      </c>
      <c r="E5436" s="84">
        <v>1.2</v>
      </c>
      <c r="F5436" s="83">
        <f t="shared" ca="1" si="237"/>
        <v>5037.5999999999995</v>
      </c>
    </row>
    <row r="5437" spans="1:6" ht="14.1" customHeight="1" x14ac:dyDescent="0.25">
      <c r="A5437" s="94" t="s">
        <v>16517</v>
      </c>
      <c r="B5437" s="82" t="str">
        <f ca="1">IFERROR(INDEX(UNSPSCDes,MATCH(INDIRECT(ADDRESS(ROW(),COLUMN()-1,4)),UNSPSCCode,0)),IF(INDIRECT(ADDRESS(ROW(),COLUMN()-1,4))="51142904","Lidocaína",""))</f>
        <v>Lidocaína</v>
      </c>
      <c r="C5437" s="95" t="str">
        <f>IFERROR(VLOOKUP("UD",'Informacion '!P:Q,2,FALSE),"")</f>
        <v>Unidad</v>
      </c>
      <c r="D5437" s="94">
        <v>4</v>
      </c>
      <c r="E5437" s="84">
        <v>702.12</v>
      </c>
      <c r="F5437" s="83">
        <f t="shared" ca="1" si="237"/>
        <v>2808.48</v>
      </c>
    </row>
    <row r="5438" spans="1:6" ht="14.1" customHeight="1" x14ac:dyDescent="0.25">
      <c r="A5438" s="94" t="s">
        <v>16517</v>
      </c>
      <c r="B5438" s="82" t="str">
        <f ca="1">IFERROR(INDEX(UNSPSCDes,MATCH(INDIRECT(ADDRESS(ROW(),COLUMN()-1,4)),UNSPSCCode,0)),IF(INDIRECT(ADDRESS(ROW(),COLUMN()-1,4))="51142904","Lidocaína",""))</f>
        <v>Lidocaína</v>
      </c>
      <c r="C5438" s="95" t="str">
        <f>IFERROR(VLOOKUP("UD",'Informacion '!P:Q,2,FALSE),"")</f>
        <v>Unidad</v>
      </c>
      <c r="D5438" s="94">
        <v>3</v>
      </c>
      <c r="E5438" s="84">
        <v>122.6</v>
      </c>
      <c r="F5438" s="83">
        <f t="shared" ca="1" si="237"/>
        <v>367.79999999999995</v>
      </c>
    </row>
    <row r="5439" spans="1:6" ht="14.1" customHeight="1" x14ac:dyDescent="0.25">
      <c r="A5439" s="94" t="s">
        <v>292</v>
      </c>
      <c r="B5439" s="82" t="str">
        <f ca="1">IFERROR(INDEX(UNSPSCDes,MATCH(INDIRECT(ADDRESS(ROW(),COLUMN()-1,4)),UNSPSCCode,0)),IF(INDIRECT(ADDRESS(ROW(),COLUMN()-1,4))="51152003","Bromuro de rocuronio",""))</f>
        <v>Bromuro de rocuronio</v>
      </c>
      <c r="C5439" s="95" t="str">
        <f>IFERROR(VLOOKUP("UD",'Informacion '!P:Q,2,FALSE),"")</f>
        <v>Unidad</v>
      </c>
      <c r="D5439" s="94">
        <v>11</v>
      </c>
      <c r="E5439" s="84">
        <v>2456.15</v>
      </c>
      <c r="F5439" s="83">
        <f t="shared" ca="1" si="237"/>
        <v>27017.65</v>
      </c>
    </row>
    <row r="5440" spans="1:6" ht="14.1" customHeight="1" x14ac:dyDescent="0.25">
      <c r="A5440" s="94" t="s">
        <v>1764</v>
      </c>
      <c r="B5440" s="82" t="str">
        <f ca="1">IFERROR(INDEX(UNSPSCDes,MATCH(INDIRECT(ADDRESS(ROW(),COLUMN()-1,4)),UNSPSCCode,0)),IF(INDIRECT(ADDRESS(ROW(),COLUMN()-1,4))="51152001","Besilato de atracurio",""))</f>
        <v>Besilato de atracurio</v>
      </c>
      <c r="C5440" s="95" t="str">
        <f>IFERROR(VLOOKUP("UD",'Informacion '!P:Q,2,FALSE),"")</f>
        <v>Unidad</v>
      </c>
      <c r="D5440" s="94">
        <v>73</v>
      </c>
      <c r="E5440" s="84">
        <v>130</v>
      </c>
      <c r="F5440" s="83">
        <f t="shared" ca="1" si="237"/>
        <v>9490</v>
      </c>
    </row>
    <row r="5441" spans="1:10" ht="14.1" customHeight="1" x14ac:dyDescent="0.25">
      <c r="A5441" s="94" t="s">
        <v>5197</v>
      </c>
      <c r="B5441" s="82" t="str">
        <f ca="1">IFERROR(INDEX(UNSPSCDes,MATCH(INDIRECT(ADDRESS(ROW(),COLUMN()-1,4)),UNSPSCCode,0)),IF(INDIRECT(ADDRESS(ROW(),COLUMN()-1,4))="51142942","Sevoflurano",""))</f>
        <v>Sevoflurano</v>
      </c>
      <c r="C5441" s="95" t="str">
        <f>IFERROR(VLOOKUP("UD",'Informacion '!P:Q,2,FALSE),"")</f>
        <v>Unidad</v>
      </c>
      <c r="D5441" s="94">
        <v>15</v>
      </c>
      <c r="E5441" s="84">
        <v>25.64</v>
      </c>
      <c r="F5441" s="83">
        <f t="shared" ca="1" si="237"/>
        <v>384.6</v>
      </c>
    </row>
    <row r="5442" spans="1:10" ht="14.1" customHeight="1" x14ac:dyDescent="0.25">
      <c r="A5442" s="94" t="s">
        <v>4890</v>
      </c>
      <c r="B5442" s="82" t="str">
        <f ca="1">IFERROR(INDEX(UNSPSCDes,MATCH(INDIRECT(ADDRESS(ROW(),COLUMN()-1,4)),UNSPSCCode,0)),IF(INDIRECT(ADDRESS(ROW(),COLUMN()-1,4))="51142941","Propofol",""))</f>
        <v>Propofol</v>
      </c>
      <c r="C5442" s="95" t="str">
        <f>IFERROR(VLOOKUP("UD",'Informacion '!P:Q,2,FALSE),"")</f>
        <v>Unidad</v>
      </c>
      <c r="D5442" s="94">
        <v>431</v>
      </c>
      <c r="E5442" s="84">
        <v>112.54</v>
      </c>
      <c r="F5442" s="83">
        <f t="shared" ca="1" si="237"/>
        <v>48504.740000000005</v>
      </c>
    </row>
    <row r="5443" spans="1:10" ht="14.1" customHeight="1" x14ac:dyDescent="0.25">
      <c r="E5443" s="96" t="s">
        <v>7213</v>
      </c>
      <c r="F5443" s="87">
        <f ca="1">SUM(Table140[MONTO TOTAL ESTIMADO])</f>
        <v>103458.73000000001</v>
      </c>
      <c r="H5443" s="39" t="str">
        <f>C5424</f>
        <v>Bienes</v>
      </c>
      <c r="I5443" s="39" t="str">
        <f>E5424</f>
        <v>No</v>
      </c>
      <c r="J5443" s="39" t="str">
        <f>D5424</f>
        <v>Compras Menores</v>
      </c>
    </row>
    <row r="5445" spans="1:10" ht="33.950000000000003" customHeight="1" x14ac:dyDescent="0.25">
      <c r="A5445" s="77" t="s">
        <v>17233</v>
      </c>
      <c r="B5445" s="77" t="s">
        <v>4237</v>
      </c>
      <c r="C5445" s="77" t="s">
        <v>4743</v>
      </c>
      <c r="D5445" s="77" t="s">
        <v>9891</v>
      </c>
      <c r="E5445" s="77" t="s">
        <v>3089</v>
      </c>
      <c r="F5445" s="77" t="s">
        <v>18141</v>
      </c>
    </row>
    <row r="5446" spans="1:10" ht="14.1" customHeight="1" x14ac:dyDescent="0.25">
      <c r="A5446" s="79" t="s">
        <v>17298</v>
      </c>
      <c r="B5446" s="79" t="s">
        <v>2182</v>
      </c>
      <c r="C5446" s="79" t="s">
        <v>17215</v>
      </c>
      <c r="D5446" s="79" t="s">
        <v>17798</v>
      </c>
      <c r="E5446" s="79" t="s">
        <v>18247</v>
      </c>
      <c r="F5446" s="79"/>
    </row>
    <row r="5447" spans="1:10" ht="14.1" customHeight="1" x14ac:dyDescent="0.25">
      <c r="A5447" s="2" t="s">
        <v>6643</v>
      </c>
      <c r="B5447" s="80" t="s">
        <v>1046</v>
      </c>
      <c r="C5447" s="90">
        <v>43739</v>
      </c>
      <c r="D5447" s="2" t="s">
        <v>59</v>
      </c>
      <c r="E5447" s="92" t="s">
        <v>20066</v>
      </c>
      <c r="F5447" s="93"/>
    </row>
    <row r="5448" spans="1:10" ht="14.1" customHeight="1" x14ac:dyDescent="0.25">
      <c r="A5448" s="1"/>
      <c r="B5448" s="80" t="s">
        <v>10788</v>
      </c>
      <c r="C5448" s="91">
        <f>IF(C5447="","",IF(AND(MONTH(C5447)&gt;=1,MONTH(C5447)&lt;=3),1,IF(AND(MONTH(C5447)&gt;=4,MONTH(C5447)&lt;=6),2,IF(AND(MONTH(C5447)&gt;=7,MONTH(C5447)&lt;=9),3,4))))</f>
        <v>4</v>
      </c>
      <c r="D5448" s="1"/>
      <c r="E5448" s="92" t="s">
        <v>14822</v>
      </c>
      <c r="F5448" s="93"/>
    </row>
    <row r="5449" spans="1:10" ht="14.1" customHeight="1" x14ac:dyDescent="0.25">
      <c r="A5449" s="1"/>
      <c r="B5449" s="80" t="s">
        <v>13758</v>
      </c>
      <c r="C5449" s="90">
        <v>43830</v>
      </c>
      <c r="D5449" s="1"/>
      <c r="E5449" s="92" t="s">
        <v>18636</v>
      </c>
      <c r="F5449" s="93"/>
    </row>
    <row r="5450" spans="1:10" ht="14.1" customHeight="1" x14ac:dyDescent="0.25">
      <c r="A5450" s="1"/>
      <c r="B5450" s="80" t="s">
        <v>10788</v>
      </c>
      <c r="C5450" s="91">
        <f>IF(C5449="","",IF(AND(MONTH(C5449)&gt;=1,MONTH(C5449)&lt;=3),1,IF(AND(MONTH(C5449)&gt;=4,MONTH(C5449)&lt;=6),2,IF(AND(MONTH(C5449)&gt;=7,MONTH(C5449)&lt;=9),3,4))))</f>
        <v>4</v>
      </c>
      <c r="D5450" s="1"/>
      <c r="E5450" s="92" t="s">
        <v>15990</v>
      </c>
      <c r="F5450" s="93"/>
    </row>
    <row r="5452" spans="1:10" ht="14.1" customHeight="1" x14ac:dyDescent="0.25">
      <c r="A5452" s="85" t="s">
        <v>15474</v>
      </c>
      <c r="B5452" s="85" t="s">
        <v>5027</v>
      </c>
      <c r="C5452" s="85" t="s">
        <v>17461</v>
      </c>
      <c r="D5452" s="85" t="s">
        <v>3935</v>
      </c>
      <c r="E5452" s="85" t="s">
        <v>10722</v>
      </c>
      <c r="F5452" s="85" t="s">
        <v>18237</v>
      </c>
    </row>
    <row r="5453" spans="1:10" ht="14.1" customHeight="1" x14ac:dyDescent="0.25">
      <c r="A5453" s="94" t="s">
        <v>16517</v>
      </c>
      <c r="B5453" s="82" t="str">
        <f ca="1">IFERROR(INDEX(UNSPSCDes,MATCH(INDIRECT(ADDRESS(ROW(),COLUMN()-1,4)),UNSPSCCode,0)),IF(INDIRECT(ADDRESS(ROW(),COLUMN()-1,4))="51142904","Lidocaína",""))</f>
        <v>Lidocaína</v>
      </c>
      <c r="C5453" s="95" t="str">
        <f>IFERROR(VLOOKUP("UD",'Informacion '!P:Q,2,FALSE),"")</f>
        <v>Unidad</v>
      </c>
      <c r="D5453" s="94">
        <v>18</v>
      </c>
      <c r="E5453" s="84">
        <v>258.18</v>
      </c>
      <c r="F5453" s="83">
        <f t="shared" ref="F5453:F5464" ca="1" si="238">INDIRECT(ADDRESS(ROW(),COLUMN()-2,4))*INDIRECT(ADDRESS(ROW(),COLUMN()-1,4))</f>
        <v>4647.24</v>
      </c>
    </row>
    <row r="5454" spans="1:10" ht="14.1" customHeight="1" x14ac:dyDescent="0.25">
      <c r="A5454" s="94" t="s">
        <v>16517</v>
      </c>
      <c r="B5454" s="82" t="str">
        <f ca="1">IFERROR(INDEX(UNSPSCDes,MATCH(INDIRECT(ADDRESS(ROW(),COLUMN()-1,4)),UNSPSCCode,0)),IF(INDIRECT(ADDRESS(ROW(),COLUMN()-1,4))="51142904","Lidocaína",""))</f>
        <v>Lidocaína</v>
      </c>
      <c r="C5454" s="95" t="str">
        <f>IFERROR(VLOOKUP("UD",'Informacion '!P:Q,2,FALSE),"")</f>
        <v>Unidad</v>
      </c>
      <c r="D5454" s="94">
        <v>7</v>
      </c>
      <c r="E5454" s="84">
        <v>9.65</v>
      </c>
      <c r="F5454" s="83">
        <f t="shared" ca="1" si="238"/>
        <v>67.55</v>
      </c>
    </row>
    <row r="5455" spans="1:10" ht="14.1" customHeight="1" x14ac:dyDescent="0.25">
      <c r="A5455" s="94" t="s">
        <v>5889</v>
      </c>
      <c r="B5455" s="82" t="str">
        <f ca="1">IFERROR(INDEX(UNSPSCDes,MATCH(INDIRECT(ADDRESS(ROW(),COLUMN()-1,4)),UNSPSCCode,0)),IF(INDIRECT(ADDRESS(ROW(),COLUMN()-1,4))="51141812","Didrocloruro de dexmedetomidina",""))</f>
        <v>Didrocloruro de dexmedetomidina</v>
      </c>
      <c r="C5455" s="95" t="str">
        <f>IFERROR(VLOOKUP("UD",'Informacion '!P:Q,2,FALSE),"")</f>
        <v>Unidad</v>
      </c>
      <c r="D5455" s="94">
        <v>811</v>
      </c>
      <c r="E5455" s="84">
        <v>4</v>
      </c>
      <c r="F5455" s="83">
        <f t="shared" ca="1" si="238"/>
        <v>3244</v>
      </c>
    </row>
    <row r="5456" spans="1:10" ht="14.1" customHeight="1" x14ac:dyDescent="0.25">
      <c r="A5456" s="94" t="s">
        <v>16517</v>
      </c>
      <c r="B5456" s="82" t="str">
        <f ca="1">IFERROR(INDEX(UNSPSCDes,MATCH(INDIRECT(ADDRESS(ROW(),COLUMN()-1,4)),UNSPSCCode,0)),IF(INDIRECT(ADDRESS(ROW(),COLUMN()-1,4))="51142904","Lidocaína",""))</f>
        <v>Lidocaína</v>
      </c>
      <c r="C5456" s="95" t="str">
        <f>IFERROR(VLOOKUP("UD",'Informacion '!P:Q,2,FALSE),"")</f>
        <v>Unidad</v>
      </c>
      <c r="D5456" s="94">
        <v>84</v>
      </c>
      <c r="E5456" s="84">
        <v>10.61</v>
      </c>
      <c r="F5456" s="83">
        <f t="shared" ca="1" si="238"/>
        <v>891.24</v>
      </c>
    </row>
    <row r="5457" spans="1:10" ht="14.1" customHeight="1" x14ac:dyDescent="0.25">
      <c r="A5457" s="94" t="s">
        <v>16517</v>
      </c>
      <c r="B5457" s="82" t="str">
        <f ca="1">IFERROR(INDEX(UNSPSCDes,MATCH(INDIRECT(ADDRESS(ROW(),COLUMN()-1,4)),UNSPSCCode,0)),IF(INDIRECT(ADDRESS(ROW(),COLUMN()-1,4))="51142904","Lidocaína",""))</f>
        <v>Lidocaína</v>
      </c>
      <c r="C5457" s="95" t="str">
        <f>IFERROR(VLOOKUP("UD",'Informacion '!P:Q,2,FALSE),"")</f>
        <v>Unidad</v>
      </c>
      <c r="D5457" s="94">
        <v>581</v>
      </c>
      <c r="E5457" s="84">
        <v>2.96</v>
      </c>
      <c r="F5457" s="83">
        <f t="shared" ca="1" si="238"/>
        <v>1719.76</v>
      </c>
    </row>
    <row r="5458" spans="1:10" ht="14.1" customHeight="1" x14ac:dyDescent="0.25">
      <c r="A5458" s="94" t="s">
        <v>16517</v>
      </c>
      <c r="B5458" s="82" t="str">
        <f ca="1">IFERROR(INDEX(UNSPSCDes,MATCH(INDIRECT(ADDRESS(ROW(),COLUMN()-1,4)),UNSPSCCode,0)),IF(INDIRECT(ADDRESS(ROW(),COLUMN()-1,4))="51142904","Lidocaína",""))</f>
        <v>Lidocaína</v>
      </c>
      <c r="C5458" s="95" t="str">
        <f>IFERROR(VLOOKUP("UD",'Informacion '!P:Q,2,FALSE),"")</f>
        <v>Unidad</v>
      </c>
      <c r="D5458" s="94">
        <v>4284</v>
      </c>
      <c r="E5458" s="84">
        <v>1.2</v>
      </c>
      <c r="F5458" s="83">
        <f t="shared" ca="1" si="238"/>
        <v>5140.8</v>
      </c>
    </row>
    <row r="5459" spans="1:10" ht="14.1" customHeight="1" x14ac:dyDescent="0.25">
      <c r="A5459" s="94" t="s">
        <v>16517</v>
      </c>
      <c r="B5459" s="82" t="str">
        <f ca="1">IFERROR(INDEX(UNSPSCDes,MATCH(INDIRECT(ADDRESS(ROW(),COLUMN()-1,4)),UNSPSCCode,0)),IF(INDIRECT(ADDRESS(ROW(),COLUMN()-1,4))="51142904","Lidocaína",""))</f>
        <v>Lidocaína</v>
      </c>
      <c r="C5459" s="95" t="str">
        <f>IFERROR(VLOOKUP("UD",'Informacion '!P:Q,2,FALSE),"")</f>
        <v>Unidad</v>
      </c>
      <c r="D5459" s="94">
        <v>5</v>
      </c>
      <c r="E5459" s="84">
        <v>702.12</v>
      </c>
      <c r="F5459" s="83">
        <f t="shared" ca="1" si="238"/>
        <v>3510.6</v>
      </c>
    </row>
    <row r="5460" spans="1:10" ht="14.1" customHeight="1" x14ac:dyDescent="0.25">
      <c r="A5460" s="94" t="s">
        <v>16517</v>
      </c>
      <c r="B5460" s="82" t="str">
        <f ca="1">IFERROR(INDEX(UNSPSCDes,MATCH(INDIRECT(ADDRESS(ROW(),COLUMN()-1,4)),UNSPSCCode,0)),IF(INDIRECT(ADDRESS(ROW(),COLUMN()-1,4))="51142904","Lidocaína",""))</f>
        <v>Lidocaína</v>
      </c>
      <c r="C5460" s="95" t="str">
        <f>IFERROR(VLOOKUP("UD",'Informacion '!P:Q,2,FALSE),"")</f>
        <v>Unidad</v>
      </c>
      <c r="D5460" s="94">
        <v>4</v>
      </c>
      <c r="E5460" s="84">
        <v>122.6</v>
      </c>
      <c r="F5460" s="83">
        <f t="shared" ca="1" si="238"/>
        <v>490.4</v>
      </c>
    </row>
    <row r="5461" spans="1:10" ht="14.1" customHeight="1" x14ac:dyDescent="0.25">
      <c r="A5461" s="94" t="s">
        <v>292</v>
      </c>
      <c r="B5461" s="82" t="str">
        <f ca="1">IFERROR(INDEX(UNSPSCDes,MATCH(INDIRECT(ADDRESS(ROW(),COLUMN()-1,4)),UNSPSCCode,0)),IF(INDIRECT(ADDRESS(ROW(),COLUMN()-1,4))="51152003","Bromuro de rocuronio",""))</f>
        <v>Bromuro de rocuronio</v>
      </c>
      <c r="C5461" s="95" t="str">
        <f>IFERROR(VLOOKUP("UD",'Informacion '!P:Q,2,FALSE),"")</f>
        <v>Unidad</v>
      </c>
      <c r="D5461" s="94">
        <v>12</v>
      </c>
      <c r="E5461" s="84">
        <v>2456.15</v>
      </c>
      <c r="F5461" s="83">
        <f t="shared" ca="1" si="238"/>
        <v>29473.800000000003</v>
      </c>
    </row>
    <row r="5462" spans="1:10" ht="14.1" customHeight="1" x14ac:dyDescent="0.25">
      <c r="A5462" s="94" t="s">
        <v>1764</v>
      </c>
      <c r="B5462" s="82" t="str">
        <f ca="1">IFERROR(INDEX(UNSPSCDes,MATCH(INDIRECT(ADDRESS(ROW(),COLUMN()-1,4)),UNSPSCCode,0)),IF(INDIRECT(ADDRESS(ROW(),COLUMN()-1,4))="51152001","Besilato de atracurio",""))</f>
        <v>Besilato de atracurio</v>
      </c>
      <c r="C5462" s="95" t="str">
        <f>IFERROR(VLOOKUP("UD",'Informacion '!P:Q,2,FALSE),"")</f>
        <v>Unidad</v>
      </c>
      <c r="D5462" s="94">
        <v>75</v>
      </c>
      <c r="E5462" s="84">
        <v>130</v>
      </c>
      <c r="F5462" s="83">
        <f t="shared" ca="1" si="238"/>
        <v>9750</v>
      </c>
    </row>
    <row r="5463" spans="1:10" ht="14.1" customHeight="1" x14ac:dyDescent="0.25">
      <c r="A5463" s="94" t="s">
        <v>5197</v>
      </c>
      <c r="B5463" s="82" t="str">
        <f ca="1">IFERROR(INDEX(UNSPSCDes,MATCH(INDIRECT(ADDRESS(ROW(),COLUMN()-1,4)),UNSPSCCode,0)),IF(INDIRECT(ADDRESS(ROW(),COLUMN()-1,4))="51142942","Sevoflurano",""))</f>
        <v>Sevoflurano</v>
      </c>
      <c r="C5463" s="95" t="str">
        <f>IFERROR(VLOOKUP("UD",'Informacion '!P:Q,2,FALSE),"")</f>
        <v>Unidad</v>
      </c>
      <c r="D5463" s="94">
        <v>16</v>
      </c>
      <c r="E5463" s="84">
        <v>25.64</v>
      </c>
      <c r="F5463" s="83">
        <f t="shared" ca="1" si="238"/>
        <v>410.24</v>
      </c>
    </row>
    <row r="5464" spans="1:10" ht="14.1" customHeight="1" x14ac:dyDescent="0.25">
      <c r="A5464" s="94" t="s">
        <v>4890</v>
      </c>
      <c r="B5464" s="82" t="str">
        <f ca="1">IFERROR(INDEX(UNSPSCDes,MATCH(INDIRECT(ADDRESS(ROW(),COLUMN()-1,4)),UNSPSCCode,0)),IF(INDIRECT(ADDRESS(ROW(),COLUMN()-1,4))="51142941","Propofol",""))</f>
        <v>Propofol</v>
      </c>
      <c r="C5464" s="95" t="str">
        <f>IFERROR(VLOOKUP("UD",'Informacion '!P:Q,2,FALSE),"")</f>
        <v>Unidad</v>
      </c>
      <c r="D5464" s="94">
        <v>440</v>
      </c>
      <c r="E5464" s="84">
        <v>112.54</v>
      </c>
      <c r="F5464" s="83">
        <f t="shared" ca="1" si="238"/>
        <v>49517.600000000006</v>
      </c>
    </row>
    <row r="5465" spans="1:10" ht="14.1" customHeight="1" x14ac:dyDescent="0.25">
      <c r="E5465" s="96" t="s">
        <v>7213</v>
      </c>
      <c r="F5465" s="87">
        <f ca="1">SUM(Table141[MONTO TOTAL ESTIMADO])</f>
        <v>108863.23000000001</v>
      </c>
      <c r="H5465" s="39" t="str">
        <f>C5446</f>
        <v>Bienes</v>
      </c>
      <c r="I5465" s="39" t="str">
        <f>E5446</f>
        <v>No</v>
      </c>
      <c r="J5465" s="39" t="str">
        <f>D5446</f>
        <v>Compras Menores</v>
      </c>
    </row>
    <row r="5467" spans="1:10" ht="33.950000000000003" customHeight="1" x14ac:dyDescent="0.25">
      <c r="A5467" s="77" t="s">
        <v>17233</v>
      </c>
      <c r="B5467" s="77" t="s">
        <v>4237</v>
      </c>
      <c r="C5467" s="77" t="s">
        <v>4743</v>
      </c>
      <c r="D5467" s="77" t="s">
        <v>9891</v>
      </c>
      <c r="E5467" s="77" t="s">
        <v>3089</v>
      </c>
      <c r="F5467" s="77" t="s">
        <v>18141</v>
      </c>
    </row>
    <row r="5468" spans="1:10" ht="14.1" customHeight="1" x14ac:dyDescent="0.25">
      <c r="A5468" s="79" t="s">
        <v>9974</v>
      </c>
      <c r="B5468" s="79" t="s">
        <v>2182</v>
      </c>
      <c r="C5468" s="79" t="s">
        <v>17215</v>
      </c>
      <c r="D5468" s="79" t="s">
        <v>15249</v>
      </c>
      <c r="E5468" s="79" t="s">
        <v>18247</v>
      </c>
      <c r="F5468" s="79"/>
    </row>
    <row r="5469" spans="1:10" ht="14.1" customHeight="1" x14ac:dyDescent="0.25">
      <c r="A5469" s="2" t="s">
        <v>6643</v>
      </c>
      <c r="B5469" s="80" t="s">
        <v>1046</v>
      </c>
      <c r="C5469" s="90">
        <v>43469</v>
      </c>
      <c r="D5469" s="2" t="s">
        <v>59</v>
      </c>
      <c r="E5469" s="92" t="s">
        <v>20066</v>
      </c>
      <c r="F5469" s="93"/>
    </row>
    <row r="5470" spans="1:10" ht="14.1" customHeight="1" x14ac:dyDescent="0.25">
      <c r="A5470" s="1"/>
      <c r="B5470" s="80" t="s">
        <v>10788</v>
      </c>
      <c r="C5470" s="91">
        <f>IF(C5469="","",IF(AND(MONTH(C5469)&gt;=1,MONTH(C5469)&lt;=3),1,IF(AND(MONTH(C5469)&gt;=4,MONTH(C5469)&lt;=6),2,IF(AND(MONTH(C5469)&gt;=7,MONTH(C5469)&lt;=9),3,4))))</f>
        <v>1</v>
      </c>
      <c r="D5470" s="1"/>
      <c r="E5470" s="92" t="s">
        <v>14822</v>
      </c>
      <c r="F5470" s="93"/>
    </row>
    <row r="5471" spans="1:10" ht="14.1" customHeight="1" x14ac:dyDescent="0.25">
      <c r="A5471" s="1"/>
      <c r="B5471" s="80" t="s">
        <v>13758</v>
      </c>
      <c r="C5471" s="90">
        <v>43554</v>
      </c>
      <c r="D5471" s="1"/>
      <c r="E5471" s="92" t="s">
        <v>18636</v>
      </c>
      <c r="F5471" s="93"/>
    </row>
    <row r="5472" spans="1:10" ht="14.1" customHeight="1" x14ac:dyDescent="0.25">
      <c r="A5472" s="1"/>
      <c r="B5472" s="80" t="s">
        <v>10788</v>
      </c>
      <c r="C5472" s="91">
        <f>IF(C5471="","",IF(AND(MONTH(C5471)&gt;=1,MONTH(C5471)&lt;=3),1,IF(AND(MONTH(C5471)&gt;=4,MONTH(C5471)&lt;=6),2,IF(AND(MONTH(C5471)&gt;=7,MONTH(C5471)&lt;=9),3,4))))</f>
        <v>1</v>
      </c>
      <c r="D5472" s="1"/>
      <c r="E5472" s="92" t="s">
        <v>15990</v>
      </c>
      <c r="F5472" s="93"/>
    </row>
    <row r="5474" spans="1:6" ht="14.1" customHeight="1" x14ac:dyDescent="0.25">
      <c r="A5474" s="85" t="s">
        <v>15474</v>
      </c>
      <c r="B5474" s="85" t="s">
        <v>5027</v>
      </c>
      <c r="C5474" s="85" t="s">
        <v>17461</v>
      </c>
      <c r="D5474" s="85" t="s">
        <v>3935</v>
      </c>
      <c r="E5474" s="85" t="s">
        <v>10722</v>
      </c>
      <c r="F5474" s="85" t="s">
        <v>18237</v>
      </c>
    </row>
    <row r="5475" spans="1:6" ht="14.1" customHeight="1" x14ac:dyDescent="0.25">
      <c r="A5475" s="94" t="s">
        <v>17652</v>
      </c>
      <c r="B5475" s="82" t="str">
        <f ca="1">IFERROR(INDEX(UNSPSCDes,MATCH(INDIRECT(ADDRESS(ROW(),COLUMN()-1,4)),UNSPSCCode,0)),IF(INDIRECT(ADDRESS(ROW(),COLUMN()-1,4))="51171513","Dihidroxialuminio-carbonato de sodio",""))</f>
        <v>Dihidroxialuminio-carbonato de sodio</v>
      </c>
      <c r="C5475" s="95" t="str">
        <f>IFERROR(VLOOKUP("UD",'Informacion '!P:Q,2,FALSE),"")</f>
        <v>Unidad</v>
      </c>
      <c r="D5475" s="94">
        <v>27</v>
      </c>
      <c r="E5475" s="84">
        <v>46.15</v>
      </c>
      <c r="F5475" s="83">
        <f t="shared" ref="F5475:F5504" ca="1" si="239">INDIRECT(ADDRESS(ROW(),COLUMN()-2,4))*INDIRECT(ADDRESS(ROW(),COLUMN()-1,4))</f>
        <v>1246.05</v>
      </c>
    </row>
    <row r="5476" spans="1:6" ht="14.1" customHeight="1" x14ac:dyDescent="0.25">
      <c r="A5476" s="94" t="s">
        <v>10723</v>
      </c>
      <c r="B5476" s="82" t="str">
        <f ca="1">IFERROR(INDEX(UNSPSCDes,MATCH(INDIRECT(ADDRESS(ROW(),COLUMN()-1,4)),UNSPSCCode,0)),IF(INDIRECT(ADDRESS(ROW(),COLUMN()-1,4))="51101567","Ampicilina",""))</f>
        <v>Ampicilina</v>
      </c>
      <c r="C5476" s="95" t="str">
        <f>IFERROR(VLOOKUP("UD",'Informacion '!P:Q,2,FALSE),"")</f>
        <v>Unidad</v>
      </c>
      <c r="D5476" s="94">
        <v>1</v>
      </c>
      <c r="E5476" s="84">
        <v>24.9</v>
      </c>
      <c r="F5476" s="83">
        <f t="shared" ca="1" si="239"/>
        <v>24.9</v>
      </c>
    </row>
    <row r="5477" spans="1:6" ht="14.1" customHeight="1" x14ac:dyDescent="0.25">
      <c r="A5477" s="94" t="s">
        <v>5834</v>
      </c>
      <c r="B5477" s="82" t="str">
        <f ca="1">IFERROR(INDEX(UNSPSCDes,MATCH(INDIRECT(ADDRESS(ROW(),COLUMN()-1,4)),UNSPSCCode,0)),IF(INDIRECT(ADDRESS(ROW(),COLUMN()-1,4))="51101551","Ceftriaxona",""))</f>
        <v>Ceftriaxona</v>
      </c>
      <c r="C5477" s="95" t="str">
        <f>IFERROR(VLOOKUP("UD",'Informacion '!P:Q,2,FALSE),"")</f>
        <v>Unidad</v>
      </c>
      <c r="D5477" s="94">
        <v>2</v>
      </c>
      <c r="E5477" s="84">
        <v>2.34</v>
      </c>
      <c r="F5477" s="83">
        <f t="shared" ca="1" si="239"/>
        <v>4.68</v>
      </c>
    </row>
    <row r="5478" spans="1:6" ht="14.1" customHeight="1" x14ac:dyDescent="0.25">
      <c r="A5478" s="94" t="s">
        <v>1761</v>
      </c>
      <c r="B5478" s="82" t="str">
        <f ca="1">IFERROR(INDEX(UNSPSCDes,MATCH(INDIRECT(ADDRESS(ROW(),COLUMN()-1,4)),UNSPSCCode,0)),IF(INDIRECT(ADDRESS(ROW(),COLUMN()-1,4))="51101593","Cefotaxima",""))</f>
        <v>Cefotaxima</v>
      </c>
      <c r="C5478" s="95" t="str">
        <f>IFERROR(VLOOKUP("UD",'Informacion '!P:Q,2,FALSE),"")</f>
        <v>Unidad</v>
      </c>
      <c r="D5478" s="94">
        <v>29</v>
      </c>
      <c r="E5478" s="84">
        <v>15.95</v>
      </c>
      <c r="F5478" s="83">
        <f t="shared" ca="1" si="239"/>
        <v>462.54999999999995</v>
      </c>
    </row>
    <row r="5479" spans="1:6" ht="14.1" customHeight="1" x14ac:dyDescent="0.25">
      <c r="A5479" s="94" t="s">
        <v>12333</v>
      </c>
      <c r="B5479" s="82" t="str">
        <f ca="1">IFERROR(INDEX(UNSPSCDes,MATCH(INDIRECT(ADDRESS(ROW(),COLUMN()-1,4)),UNSPSCCode,0)),IF(INDIRECT(ADDRESS(ROW(),COLUMN()-1,4))="51101542","Ciprofloxacina",""))</f>
        <v>Ciprofloxacina</v>
      </c>
      <c r="C5479" s="95" t="str">
        <f>IFERROR(VLOOKUP("UD",'Informacion '!P:Q,2,FALSE),"")</f>
        <v>Unidad</v>
      </c>
      <c r="D5479" s="94">
        <v>1</v>
      </c>
      <c r="E5479" s="84">
        <v>273.20999999999998</v>
      </c>
      <c r="F5479" s="83">
        <f t="shared" ca="1" si="239"/>
        <v>273.20999999999998</v>
      </c>
    </row>
    <row r="5480" spans="1:6" ht="14.1" customHeight="1" x14ac:dyDescent="0.25">
      <c r="A5480" s="94" t="s">
        <v>12333</v>
      </c>
      <c r="B5480" s="82" t="str">
        <f ca="1">IFERROR(INDEX(UNSPSCDes,MATCH(INDIRECT(ADDRESS(ROW(),COLUMN()-1,4)),UNSPSCCode,0)),IF(INDIRECT(ADDRESS(ROW(),COLUMN()-1,4))="51101542","Ciprofloxacina",""))</f>
        <v>Ciprofloxacina</v>
      </c>
      <c r="C5480" s="95" t="str">
        <f>IFERROR(VLOOKUP("UD",'Informacion '!P:Q,2,FALSE),"")</f>
        <v>Unidad</v>
      </c>
      <c r="D5480" s="94">
        <v>29</v>
      </c>
      <c r="E5480" s="84">
        <v>125.5</v>
      </c>
      <c r="F5480" s="83">
        <f t="shared" ca="1" si="239"/>
        <v>3639.5</v>
      </c>
    </row>
    <row r="5481" spans="1:6" ht="14.1" customHeight="1" x14ac:dyDescent="0.25">
      <c r="A5481" s="94" t="s">
        <v>12333</v>
      </c>
      <c r="B5481" s="82" t="str">
        <f ca="1">IFERROR(INDEX(UNSPSCDes,MATCH(INDIRECT(ADDRESS(ROW(),COLUMN()-1,4)),UNSPSCCode,0)),IF(INDIRECT(ADDRESS(ROW(),COLUMN()-1,4))="51101542","Ciprofloxacina",""))</f>
        <v>Ciprofloxacina</v>
      </c>
      <c r="C5481" s="95" t="str">
        <f>IFERROR(VLOOKUP("UD",'Informacion '!P:Q,2,FALSE),"")</f>
        <v>Unidad</v>
      </c>
      <c r="D5481" s="94">
        <v>2</v>
      </c>
      <c r="E5481" s="84">
        <v>652.08000000000004</v>
      </c>
      <c r="F5481" s="83">
        <f t="shared" ca="1" si="239"/>
        <v>1304.1600000000001</v>
      </c>
    </row>
    <row r="5482" spans="1:6" ht="14.1" customHeight="1" x14ac:dyDescent="0.25">
      <c r="A5482" s="94" t="s">
        <v>12333</v>
      </c>
      <c r="B5482" s="82" t="str">
        <f ca="1">IFERROR(INDEX(UNSPSCDes,MATCH(INDIRECT(ADDRESS(ROW(),COLUMN()-1,4)),UNSPSCCode,0)),IF(INDIRECT(ADDRESS(ROW(),COLUMN()-1,4))="51101542","Ciprofloxacina",""))</f>
        <v>Ciprofloxacina</v>
      </c>
      <c r="C5482" s="95" t="str">
        <f>IFERROR(VLOOKUP("UD",'Informacion '!P:Q,2,FALSE),"")</f>
        <v>Unidad</v>
      </c>
      <c r="D5482" s="94">
        <v>8</v>
      </c>
      <c r="E5482" s="84">
        <v>297.85000000000002</v>
      </c>
      <c r="F5482" s="83">
        <f t="shared" ca="1" si="239"/>
        <v>2382.8000000000002</v>
      </c>
    </row>
    <row r="5483" spans="1:6" ht="14.1" customHeight="1" x14ac:dyDescent="0.25">
      <c r="A5483" s="94" t="s">
        <v>10047</v>
      </c>
      <c r="B5483" s="82" t="str">
        <f ca="1">IFERROR(INDEX(UNSPSCDes,MATCH(INDIRECT(ADDRESS(ROW(),COLUMN()-1,4)),UNSPSCCode,0)),IF(INDIRECT(ADDRESS(ROW(),COLUMN()-1,4))="51101561","Piperacilina",""))</f>
        <v>Piperacilina</v>
      </c>
      <c r="C5483" s="95" t="str">
        <f>IFERROR(VLOOKUP("UD",'Informacion '!P:Q,2,FALSE),"")</f>
        <v>Unidad</v>
      </c>
      <c r="D5483" s="94">
        <v>30</v>
      </c>
      <c r="E5483" s="84">
        <v>1255</v>
      </c>
      <c r="F5483" s="83">
        <f t="shared" ca="1" si="239"/>
        <v>37650</v>
      </c>
    </row>
    <row r="5484" spans="1:6" ht="14.1" customHeight="1" x14ac:dyDescent="0.25">
      <c r="A5484" s="94" t="s">
        <v>15617</v>
      </c>
      <c r="B5484" s="82" t="str">
        <f ca="1">IFERROR(INDEX(UNSPSCDes,MATCH(INDIRECT(ADDRESS(ROW(),COLUMN()-1,4)),UNSPSCCode,0)),IF(INDIRECT(ADDRESS(ROW(),COLUMN()-1,4))="51101603","Metronidazol",""))</f>
        <v>Metronidazol</v>
      </c>
      <c r="C5484" s="95" t="str">
        <f>IFERROR(VLOOKUP("UD",'Informacion '!P:Q,2,FALSE),"")</f>
        <v>Unidad</v>
      </c>
      <c r="D5484" s="94">
        <v>139</v>
      </c>
      <c r="E5484" s="84">
        <v>16.989999999999998</v>
      </c>
      <c r="F5484" s="83">
        <f t="shared" ca="1" si="239"/>
        <v>2361.6099999999997</v>
      </c>
    </row>
    <row r="5485" spans="1:6" ht="14.1" customHeight="1" x14ac:dyDescent="0.25">
      <c r="A5485" s="94" t="s">
        <v>12333</v>
      </c>
      <c r="B5485" s="82" t="str">
        <f ca="1">IFERROR(INDEX(UNSPSCDes,MATCH(INDIRECT(ADDRESS(ROW(),COLUMN()-1,4)),UNSPSCCode,0)),IF(INDIRECT(ADDRESS(ROW(),COLUMN()-1,4))="51101542","Ciprofloxacina",""))</f>
        <v>Ciprofloxacina</v>
      </c>
      <c r="C5485" s="95" t="str">
        <f>IFERROR(VLOOKUP("UD",'Informacion '!P:Q,2,FALSE),"")</f>
        <v>Unidad</v>
      </c>
      <c r="D5485" s="94">
        <v>418</v>
      </c>
      <c r="E5485" s="84">
        <v>29.4</v>
      </c>
      <c r="F5485" s="83">
        <f t="shared" ca="1" si="239"/>
        <v>12289.199999999999</v>
      </c>
    </row>
    <row r="5486" spans="1:6" ht="14.1" customHeight="1" x14ac:dyDescent="0.25">
      <c r="A5486" s="94" t="s">
        <v>9006</v>
      </c>
      <c r="B5486" s="82" t="str">
        <f ca="1">IFERROR(INDEX(UNSPSCDes,MATCH(INDIRECT(ADDRESS(ROW(),COLUMN()-1,4)),UNSPSCCode,0)),IF(INDIRECT(ADDRESS(ROW(),COLUMN()-1,4))="51101801","Anfotericina b",""))</f>
        <v>Anfotericina b</v>
      </c>
      <c r="C5486" s="95" t="str">
        <f>IFERROR(VLOOKUP("UD",'Informacion '!P:Q,2,FALSE),"")</f>
        <v>Unidad</v>
      </c>
      <c r="D5486" s="94">
        <v>1</v>
      </c>
      <c r="E5486" s="84">
        <v>6397.71</v>
      </c>
      <c r="F5486" s="83">
        <f t="shared" ca="1" si="239"/>
        <v>6397.71</v>
      </c>
    </row>
    <row r="5487" spans="1:6" ht="14.1" customHeight="1" x14ac:dyDescent="0.25">
      <c r="A5487" s="94" t="s">
        <v>18885</v>
      </c>
      <c r="B5487" s="82" t="str">
        <f ca="1">IFERROR(INDEX(UNSPSCDes,MATCH(INDIRECT(ADDRESS(ROW(),COLUMN()-1,4)),UNSPSCCode,0)),IF(INDIRECT(ADDRESS(ROW(),COLUMN()-1,4))="51101511","Amoxicilina",""))</f>
        <v>Amoxicilina</v>
      </c>
      <c r="C5487" s="95" t="str">
        <f>IFERROR(VLOOKUP("UD",'Informacion '!P:Q,2,FALSE),"")</f>
        <v>Unidad</v>
      </c>
      <c r="D5487" s="94">
        <v>5</v>
      </c>
      <c r="E5487" s="84">
        <v>2.82</v>
      </c>
      <c r="F5487" s="83">
        <f t="shared" ca="1" si="239"/>
        <v>14.1</v>
      </c>
    </row>
    <row r="5488" spans="1:6" ht="14.1" customHeight="1" x14ac:dyDescent="0.25">
      <c r="A5488" s="94" t="s">
        <v>14780</v>
      </c>
      <c r="B5488" s="82" t="str">
        <f ca="1">IFERROR(INDEX(UNSPSCDes,MATCH(INDIRECT(ADDRESS(ROW(),COLUMN()-1,4)),UNSPSCCode,0)),IF(INDIRECT(ADDRESS(ROW(),COLUMN()-1,4))="51101594","Cefepima",""))</f>
        <v>Cefepima</v>
      </c>
      <c r="C5488" s="95" t="str">
        <f>IFERROR(VLOOKUP("UD",'Informacion '!P:Q,2,FALSE),"")</f>
        <v>Unidad</v>
      </c>
      <c r="D5488" s="94">
        <v>620</v>
      </c>
      <c r="E5488" s="84">
        <v>196</v>
      </c>
      <c r="F5488" s="83">
        <f t="shared" ca="1" si="239"/>
        <v>121520</v>
      </c>
    </row>
    <row r="5489" spans="1:6" ht="14.1" customHeight="1" x14ac:dyDescent="0.25">
      <c r="A5489" s="94" t="s">
        <v>15568</v>
      </c>
      <c r="B5489" s="82" t="str">
        <f ca="1">IFERROR(INDEX(UNSPSCDes,MATCH(INDIRECT(ADDRESS(ROW(),COLUMN()-1,4)),UNSPSCCode,0)),IF(INDIRECT(ADDRESS(ROW(),COLUMN()-1,4))="51101586","Amikacina",""))</f>
        <v>Amikacina</v>
      </c>
      <c r="C5489" s="95" t="str">
        <f>IFERROR(VLOOKUP("UD",'Informacion '!P:Q,2,FALSE),"")</f>
        <v>Unidad</v>
      </c>
      <c r="D5489" s="94">
        <v>3</v>
      </c>
      <c r="E5489" s="84">
        <v>14.18</v>
      </c>
      <c r="F5489" s="83">
        <f t="shared" ca="1" si="239"/>
        <v>42.54</v>
      </c>
    </row>
    <row r="5490" spans="1:6" ht="14.1" customHeight="1" x14ac:dyDescent="0.25">
      <c r="A5490" s="94" t="s">
        <v>4548</v>
      </c>
      <c r="B5490" s="82" t="str">
        <f ca="1">IFERROR(INDEX(UNSPSCDes,MATCH(INDIRECT(ADDRESS(ROW(),COLUMN()-1,4)),UNSPSCCode,0)),IF(INDIRECT(ADDRESS(ROW(),COLUMN()-1,4))="51101548","Fosfomicina trometamol",""))</f>
        <v>Fosfomicina trometamol</v>
      </c>
      <c r="C5490" s="95" t="str">
        <f>IFERROR(VLOOKUP("UD",'Informacion '!P:Q,2,FALSE),"")</f>
        <v>Unidad</v>
      </c>
      <c r="D5490" s="94">
        <v>7</v>
      </c>
      <c r="E5490" s="84">
        <v>1460.08</v>
      </c>
      <c r="F5490" s="83">
        <f t="shared" ca="1" si="239"/>
        <v>10220.56</v>
      </c>
    </row>
    <row r="5491" spans="1:6" ht="14.1" customHeight="1" x14ac:dyDescent="0.25">
      <c r="A5491" s="94" t="s">
        <v>4420</v>
      </c>
      <c r="B5491" s="82" t="str">
        <f ca="1">IFERROR(INDEX(UNSPSCDes,MATCH(INDIRECT(ADDRESS(ROW(),COLUMN()-1,4)),UNSPSCCode,0)),IF(INDIRECT(ADDRESS(ROW(),COLUMN()-1,4))="51101584","Gentamicina",""))</f>
        <v>Gentamicina</v>
      </c>
      <c r="C5491" s="95" t="str">
        <f>IFERROR(VLOOKUP("UD",'Informacion '!P:Q,2,FALSE),"")</f>
        <v>Unidad</v>
      </c>
      <c r="D5491" s="94">
        <v>9</v>
      </c>
      <c r="E5491" s="84">
        <v>13.33</v>
      </c>
      <c r="F5491" s="83">
        <f t="shared" ca="1" si="239"/>
        <v>119.97</v>
      </c>
    </row>
    <row r="5492" spans="1:6" ht="14.1" customHeight="1" x14ac:dyDescent="0.25">
      <c r="A5492" s="94" t="s">
        <v>4420</v>
      </c>
      <c r="B5492" s="82" t="str">
        <f ca="1">IFERROR(INDEX(UNSPSCDes,MATCH(INDIRECT(ADDRESS(ROW(),COLUMN()-1,4)),UNSPSCCode,0)),IF(INDIRECT(ADDRESS(ROW(),COLUMN()-1,4))="51101584","Gentamicina",""))</f>
        <v>Gentamicina</v>
      </c>
      <c r="C5492" s="95" t="str">
        <f>IFERROR(VLOOKUP("UD",'Informacion '!P:Q,2,FALSE),"")</f>
        <v>Unidad</v>
      </c>
      <c r="D5492" s="94">
        <v>3</v>
      </c>
      <c r="E5492" s="84">
        <v>178.95</v>
      </c>
      <c r="F5492" s="83">
        <f t="shared" ca="1" si="239"/>
        <v>536.84999999999991</v>
      </c>
    </row>
    <row r="5493" spans="1:6" ht="14.1" customHeight="1" x14ac:dyDescent="0.25">
      <c r="A5493" s="94" t="s">
        <v>16333</v>
      </c>
      <c r="B5493" s="82" t="str">
        <f ca="1">IFERROR(INDEX(UNSPSCDes,MATCH(INDIRECT(ADDRESS(ROW(),COLUMN()-1,4)),UNSPSCCode,0)),IF(INDIRECT(ADDRESS(ROW(),COLUMN()-1,4))="51101508","Sulfonamidas antibióticas",""))</f>
        <v>Sulfonamidas antibióticas</v>
      </c>
      <c r="C5493" s="95" t="str">
        <f>IFERROR(VLOOKUP("UD",'Informacion '!P:Q,2,FALSE),"")</f>
        <v>Unidad</v>
      </c>
      <c r="D5493" s="94">
        <v>2</v>
      </c>
      <c r="E5493" s="84">
        <v>517.6</v>
      </c>
      <c r="F5493" s="83">
        <f t="shared" ca="1" si="239"/>
        <v>1035.2</v>
      </c>
    </row>
    <row r="5494" spans="1:6" ht="14.1" customHeight="1" x14ac:dyDescent="0.25">
      <c r="A5494" s="94" t="s">
        <v>2660</v>
      </c>
      <c r="B5494" s="82" t="str">
        <f ca="1">IFERROR(INDEX(UNSPSCDes,MATCH(INDIRECT(ADDRESS(ROW(),COLUMN()-1,4)),UNSPSCCode,0)),IF(INDIRECT(ADDRESS(ROW(),COLUMN()-1,4))="51101504","Clindamicina",""))</f>
        <v>Clindamicina</v>
      </c>
      <c r="C5494" s="95" t="str">
        <f>IFERROR(VLOOKUP("UD",'Informacion '!P:Q,2,FALSE),"")</f>
        <v>Unidad</v>
      </c>
      <c r="D5494" s="94">
        <v>1156</v>
      </c>
      <c r="E5494" s="84">
        <v>49.1</v>
      </c>
      <c r="F5494" s="83">
        <f t="shared" ca="1" si="239"/>
        <v>56759.6</v>
      </c>
    </row>
    <row r="5495" spans="1:6" ht="14.1" customHeight="1" x14ac:dyDescent="0.25">
      <c r="A5495" s="94" t="s">
        <v>17776</v>
      </c>
      <c r="B5495" s="82" t="str">
        <f ca="1">IFERROR(INDEX(UNSPSCDes,MATCH(INDIRECT(ADDRESS(ROW(),COLUMN()-1,4)),UNSPSCCode,0)),IF(INDIRECT(ADDRESS(ROW(),COLUMN()-1,4))="51101611","Meropenem",""))</f>
        <v>Meropenem</v>
      </c>
      <c r="C5495" s="95" t="str">
        <f>IFERROR(VLOOKUP("UD",'Informacion '!P:Q,2,FALSE),"")</f>
        <v>Unidad</v>
      </c>
      <c r="D5495" s="94">
        <v>107</v>
      </c>
      <c r="E5495" s="84">
        <v>753.05</v>
      </c>
      <c r="F5495" s="83">
        <f t="shared" ca="1" si="239"/>
        <v>80576.349999999991</v>
      </c>
    </row>
    <row r="5496" spans="1:6" ht="14.1" customHeight="1" x14ac:dyDescent="0.25">
      <c r="A5496" s="94" t="s">
        <v>4998</v>
      </c>
      <c r="B5496" s="82" t="str">
        <f ca="1">IFERROR(INDEX(UNSPSCDes,MATCH(INDIRECT(ADDRESS(ROW(),COLUMN()-1,4)),UNSPSCCode,0)),IF(INDIRECT(ADDRESS(ROW(),COLUMN()-1,4))="51101538","Levofloxacina",""))</f>
        <v>Levofloxacina</v>
      </c>
      <c r="C5496" s="95" t="str">
        <f>IFERROR(VLOOKUP("UD",'Informacion '!P:Q,2,FALSE),"")</f>
        <v>Unidad</v>
      </c>
      <c r="D5496" s="94">
        <v>71</v>
      </c>
      <c r="E5496" s="84">
        <v>121.02</v>
      </c>
      <c r="F5496" s="83">
        <f t="shared" ca="1" si="239"/>
        <v>8592.42</v>
      </c>
    </row>
    <row r="5497" spans="1:6" ht="14.1" customHeight="1" x14ac:dyDescent="0.25">
      <c r="A5497" s="94" t="s">
        <v>7992</v>
      </c>
      <c r="B5497" s="82" t="str">
        <f ca="1">IFERROR(INDEX(UNSPSCDes,MATCH(INDIRECT(ADDRESS(ROW(),COLUMN()-1,4)),UNSPSCCode,0)),IF(INDIRECT(ADDRESS(ROW(),COLUMN()-1,4))="51101572","Azitromicina",""))</f>
        <v>Azitromicina</v>
      </c>
      <c r="C5497" s="95" t="str">
        <f>IFERROR(VLOOKUP("UD",'Informacion '!P:Q,2,FALSE),"")</f>
        <v>Unidad</v>
      </c>
      <c r="D5497" s="94">
        <v>25</v>
      </c>
      <c r="E5497" s="84">
        <v>121.02</v>
      </c>
      <c r="F5497" s="83">
        <f t="shared" ca="1" si="239"/>
        <v>3025.5</v>
      </c>
    </row>
    <row r="5498" spans="1:6" ht="14.1" customHeight="1" x14ac:dyDescent="0.25">
      <c r="A5498" s="94" t="s">
        <v>10047</v>
      </c>
      <c r="B5498" s="82" t="str">
        <f ca="1">IFERROR(INDEX(UNSPSCDes,MATCH(INDIRECT(ADDRESS(ROW(),COLUMN()-1,4)),UNSPSCCode,0)),IF(INDIRECT(ADDRESS(ROW(),COLUMN()-1,4))="51101561","Piperacilina",""))</f>
        <v>Piperacilina</v>
      </c>
      <c r="C5498" s="95" t="str">
        <f>IFERROR(VLOOKUP("UD",'Informacion '!P:Q,2,FALSE),"")</f>
        <v>Unidad</v>
      </c>
      <c r="D5498" s="94">
        <v>229</v>
      </c>
      <c r="E5498" s="84">
        <v>257.37</v>
      </c>
      <c r="F5498" s="83">
        <f t="shared" ca="1" si="239"/>
        <v>58937.73</v>
      </c>
    </row>
    <row r="5499" spans="1:6" ht="14.1" customHeight="1" x14ac:dyDescent="0.25">
      <c r="A5499" s="94" t="s">
        <v>2988</v>
      </c>
      <c r="B5499" s="82" t="str">
        <f ca="1">IFERROR(INDEX(UNSPSCDes,MATCH(INDIRECT(ADDRESS(ROW(),COLUMN()-1,4)),UNSPSCCode,0)),IF(INDIRECT(ADDRESS(ROW(),COLUMN()-1,4))="51101509","Tetraciclina",""))</f>
        <v>Tetraciclina</v>
      </c>
      <c r="C5499" s="95" t="str">
        <f>IFERROR(VLOOKUP("UD",'Informacion '!P:Q,2,FALSE),"")</f>
        <v>Unidad</v>
      </c>
      <c r="D5499" s="94">
        <v>1</v>
      </c>
      <c r="E5499" s="84">
        <v>3524.07</v>
      </c>
      <c r="F5499" s="83">
        <f t="shared" ca="1" si="239"/>
        <v>3524.07</v>
      </c>
    </row>
    <row r="5500" spans="1:6" ht="14.1" customHeight="1" x14ac:dyDescent="0.25">
      <c r="A5500" s="94" t="s">
        <v>11458</v>
      </c>
      <c r="B5500" s="82" t="str">
        <f ca="1">IFERROR(INDEX(UNSPSCDes,MATCH(INDIRECT(ADDRESS(ROW(),COLUMN()-1,4)),UNSPSCCode,0)),IF(INDIRECT(ADDRESS(ROW(),COLUMN()-1,4))="51102717","Nitrofurazona",""))</f>
        <v>Nitrofurazona</v>
      </c>
      <c r="C5500" s="95" t="str">
        <f>IFERROR(VLOOKUP("UD",'Informacion '!P:Q,2,FALSE),"")</f>
        <v>Unidad</v>
      </c>
      <c r="D5500" s="94">
        <v>3</v>
      </c>
      <c r="E5500" s="84">
        <v>199.99</v>
      </c>
      <c r="F5500" s="83">
        <f t="shared" ca="1" si="239"/>
        <v>599.97</v>
      </c>
    </row>
    <row r="5501" spans="1:6" ht="14.1" customHeight="1" x14ac:dyDescent="0.25">
      <c r="A5501" s="94" t="s">
        <v>12823</v>
      </c>
      <c r="B5501" s="82" t="str">
        <f ca="1">IFERROR(INDEX(UNSPSCDes,MATCH(INDIRECT(ADDRESS(ROW(),COLUMN()-1,4)),UNSPSCCode,0)),IF(INDIRECT(ADDRESS(ROW(),COLUMN()-1,4))="51101578","Cefazolina",""))</f>
        <v>Cefazolina</v>
      </c>
      <c r="C5501" s="95" t="str">
        <f>IFERROR(VLOOKUP("UD",'Informacion '!P:Q,2,FALSE),"")</f>
        <v>Unidad</v>
      </c>
      <c r="D5501" s="94">
        <v>476</v>
      </c>
      <c r="E5501" s="84">
        <v>126.51</v>
      </c>
      <c r="F5501" s="83">
        <f t="shared" ca="1" si="239"/>
        <v>60218.76</v>
      </c>
    </row>
    <row r="5502" spans="1:6" ht="14.1" customHeight="1" x14ac:dyDescent="0.25">
      <c r="A5502" s="94" t="s">
        <v>446</v>
      </c>
      <c r="B5502" s="82" t="str">
        <f ca="1">IFERROR(INDEX(UNSPSCDes,MATCH(INDIRECT(ADDRESS(ROW(),COLUMN()-1,4)),UNSPSCCode,0)),IF(INDIRECT(ADDRESS(ROW(),COLUMN()-1,4))="51101591","Vancomicina",""))</f>
        <v>Vancomicina</v>
      </c>
      <c r="C5502" s="95" t="str">
        <f>IFERROR(VLOOKUP("UD",'Informacion '!P:Q,2,FALSE),"")</f>
        <v>Unidad</v>
      </c>
      <c r="D5502" s="94">
        <v>117</v>
      </c>
      <c r="E5502" s="84">
        <v>164.88</v>
      </c>
      <c r="F5502" s="83">
        <f t="shared" ca="1" si="239"/>
        <v>19290.96</v>
      </c>
    </row>
    <row r="5503" spans="1:6" ht="14.1" customHeight="1" x14ac:dyDescent="0.25">
      <c r="A5503" s="94" t="s">
        <v>5834</v>
      </c>
      <c r="B5503" s="82" t="str">
        <f ca="1">IFERROR(INDEX(UNSPSCDes,MATCH(INDIRECT(ADDRESS(ROW(),COLUMN()-1,4)),UNSPSCCode,0)),IF(INDIRECT(ADDRESS(ROW(),COLUMN()-1,4))="51101551","Ceftriaxona",""))</f>
        <v>Ceftriaxona</v>
      </c>
      <c r="C5503" s="95" t="str">
        <f>IFERROR(VLOOKUP("UD",'Informacion '!P:Q,2,FALSE),"")</f>
        <v>Unidad</v>
      </c>
      <c r="D5503" s="94">
        <v>1718</v>
      </c>
      <c r="E5503" s="84">
        <v>37.5</v>
      </c>
      <c r="F5503" s="83">
        <f t="shared" ca="1" si="239"/>
        <v>64425</v>
      </c>
    </row>
    <row r="5504" spans="1:6" ht="14.1" customHeight="1" x14ac:dyDescent="0.25">
      <c r="A5504" s="94" t="s">
        <v>5968</v>
      </c>
      <c r="B5504" s="82" t="str">
        <f ca="1">IFERROR(INDEX(UNSPSCDes,MATCH(INDIRECT(ADDRESS(ROW(),COLUMN()-1,4)),UNSPSCCode,0)),IF(INDIRECT(ADDRESS(ROW(),COLUMN()-1,4))="51101552","Ceftazidima",""))</f>
        <v>Ceftazidima</v>
      </c>
      <c r="C5504" s="95" t="str">
        <f>IFERROR(VLOOKUP("UD",'Informacion '!P:Q,2,FALSE),"")</f>
        <v>Unidad</v>
      </c>
      <c r="D5504" s="94">
        <v>14</v>
      </c>
      <c r="E5504" s="84">
        <v>181.5</v>
      </c>
      <c r="F5504" s="83">
        <f t="shared" ca="1" si="239"/>
        <v>2541</v>
      </c>
    </row>
    <row r="5505" spans="1:10" ht="14.1" customHeight="1" x14ac:dyDescent="0.25">
      <c r="E5505" s="96" t="s">
        <v>7213</v>
      </c>
      <c r="F5505" s="87">
        <f ca="1">SUM(Table142[MONTO TOTAL ESTIMADO])</f>
        <v>560016.94999999995</v>
      </c>
      <c r="H5505" s="39" t="str">
        <f>C5468</f>
        <v>Bienes</v>
      </c>
      <c r="I5505" s="39" t="str">
        <f>E5468</f>
        <v>No</v>
      </c>
      <c r="J5505" s="39" t="str">
        <f>D5468</f>
        <v>Comparacion de Precios</v>
      </c>
    </row>
    <row r="5507" spans="1:10" ht="33.950000000000003" customHeight="1" x14ac:dyDescent="0.25">
      <c r="A5507" s="77" t="s">
        <v>17233</v>
      </c>
      <c r="B5507" s="77" t="s">
        <v>4237</v>
      </c>
      <c r="C5507" s="77" t="s">
        <v>4743</v>
      </c>
      <c r="D5507" s="77" t="s">
        <v>9891</v>
      </c>
      <c r="E5507" s="77" t="s">
        <v>3089</v>
      </c>
      <c r="F5507" s="77" t="s">
        <v>18141</v>
      </c>
    </row>
    <row r="5508" spans="1:10" ht="14.1" customHeight="1" x14ac:dyDescent="0.25">
      <c r="A5508" s="79" t="s">
        <v>3515</v>
      </c>
      <c r="B5508" s="79" t="s">
        <v>2182</v>
      </c>
      <c r="C5508" s="79" t="s">
        <v>17215</v>
      </c>
      <c r="D5508" s="79" t="s">
        <v>15249</v>
      </c>
      <c r="E5508" s="79" t="s">
        <v>18247</v>
      </c>
      <c r="F5508" s="79"/>
    </row>
    <row r="5509" spans="1:10" ht="14.1" customHeight="1" x14ac:dyDescent="0.25">
      <c r="A5509" s="2" t="s">
        <v>6643</v>
      </c>
      <c r="B5509" s="80" t="s">
        <v>1046</v>
      </c>
      <c r="C5509" s="90">
        <v>43556</v>
      </c>
      <c r="D5509" s="2" t="s">
        <v>59</v>
      </c>
      <c r="E5509" s="92" t="s">
        <v>20066</v>
      </c>
      <c r="F5509" s="93" t="s">
        <v>5684</v>
      </c>
    </row>
    <row r="5510" spans="1:10" ht="14.1" customHeight="1" x14ac:dyDescent="0.25">
      <c r="A5510" s="1"/>
      <c r="B5510" s="80" t="s">
        <v>10788</v>
      </c>
      <c r="C5510" s="91">
        <f>IF(C5509="","",IF(AND(MONTH(C5509)&gt;=1,MONTH(C5509)&lt;=3),1,IF(AND(MONTH(C5509)&gt;=4,MONTH(C5509)&lt;=6),2,IF(AND(MONTH(C5509)&gt;=7,MONTH(C5509)&lt;=9),3,4))))</f>
        <v>2</v>
      </c>
      <c r="D5510" s="1"/>
      <c r="E5510" s="92" t="s">
        <v>14822</v>
      </c>
      <c r="F5510" s="93"/>
    </row>
    <row r="5511" spans="1:10" ht="14.1" customHeight="1" x14ac:dyDescent="0.25">
      <c r="A5511" s="1"/>
      <c r="B5511" s="80" t="s">
        <v>13758</v>
      </c>
      <c r="C5511" s="90">
        <v>43645</v>
      </c>
      <c r="D5511" s="1"/>
      <c r="E5511" s="92" t="s">
        <v>18636</v>
      </c>
      <c r="F5511" s="93"/>
    </row>
    <row r="5512" spans="1:10" ht="14.1" customHeight="1" x14ac:dyDescent="0.25">
      <c r="A5512" s="1"/>
      <c r="B5512" s="80" t="s">
        <v>10788</v>
      </c>
      <c r="C5512" s="91">
        <f>IF(C5511="","",IF(AND(MONTH(C5511)&gt;=1,MONTH(C5511)&lt;=3),1,IF(AND(MONTH(C5511)&gt;=4,MONTH(C5511)&lt;=6),2,IF(AND(MONTH(C5511)&gt;=7,MONTH(C5511)&lt;=9),3,4))))</f>
        <v>2</v>
      </c>
      <c r="D5512" s="1"/>
      <c r="E5512" s="92" t="s">
        <v>15990</v>
      </c>
      <c r="F5512" s="93"/>
    </row>
    <row r="5514" spans="1:10" ht="14.1" customHeight="1" x14ac:dyDescent="0.25">
      <c r="A5514" s="85" t="s">
        <v>15474</v>
      </c>
      <c r="B5514" s="85" t="s">
        <v>5027</v>
      </c>
      <c r="C5514" s="85" t="s">
        <v>17461</v>
      </c>
      <c r="D5514" s="85" t="s">
        <v>3935</v>
      </c>
      <c r="E5514" s="85" t="s">
        <v>10722</v>
      </c>
      <c r="F5514" s="85" t="s">
        <v>18237</v>
      </c>
    </row>
    <row r="5515" spans="1:10" ht="14.1" customHeight="1" x14ac:dyDescent="0.25">
      <c r="A5515" s="94" t="s">
        <v>17652</v>
      </c>
      <c r="B5515" s="82" t="str">
        <f ca="1">IFERROR(INDEX(UNSPSCDes,MATCH(INDIRECT(ADDRESS(ROW(),COLUMN()-1,4)),UNSPSCCode,0)),IF(INDIRECT(ADDRESS(ROW(),COLUMN()-1,4))="51171513","Dihidroxialuminio-carbonato de sodio",""))</f>
        <v>Dihidroxialuminio-carbonato de sodio</v>
      </c>
      <c r="C5515" s="95" t="str">
        <f>IFERROR(VLOOKUP("UD",'Informacion '!P:Q,2,FALSE),"")</f>
        <v>Unidad</v>
      </c>
      <c r="D5515" s="94">
        <v>28</v>
      </c>
      <c r="E5515" s="84">
        <v>46.15</v>
      </c>
      <c r="F5515" s="83">
        <f t="shared" ref="F5515:F5544" ca="1" si="240">INDIRECT(ADDRESS(ROW(),COLUMN()-2,4))*INDIRECT(ADDRESS(ROW(),COLUMN()-1,4))</f>
        <v>1292.2</v>
      </c>
    </row>
    <row r="5516" spans="1:10" ht="14.1" customHeight="1" x14ac:dyDescent="0.25">
      <c r="A5516" s="94" t="s">
        <v>10723</v>
      </c>
      <c r="B5516" s="82" t="str">
        <f ca="1">IFERROR(INDEX(UNSPSCDes,MATCH(INDIRECT(ADDRESS(ROW(),COLUMN()-1,4)),UNSPSCCode,0)),IF(INDIRECT(ADDRESS(ROW(),COLUMN()-1,4))="51101567","Ampicilina",""))</f>
        <v>Ampicilina</v>
      </c>
      <c r="C5516" s="95" t="str">
        <f>IFERROR(VLOOKUP("UD",'Informacion '!P:Q,2,FALSE),"")</f>
        <v>Unidad</v>
      </c>
      <c r="D5516" s="94">
        <v>2</v>
      </c>
      <c r="E5516" s="84">
        <v>24.9</v>
      </c>
      <c r="F5516" s="83">
        <f t="shared" ca="1" si="240"/>
        <v>49.8</v>
      </c>
    </row>
    <row r="5517" spans="1:10" ht="14.1" customHeight="1" x14ac:dyDescent="0.25">
      <c r="A5517" s="94" t="s">
        <v>5834</v>
      </c>
      <c r="B5517" s="82" t="str">
        <f ca="1">IFERROR(INDEX(UNSPSCDes,MATCH(INDIRECT(ADDRESS(ROW(),COLUMN()-1,4)),UNSPSCCode,0)),IF(INDIRECT(ADDRESS(ROW(),COLUMN()-1,4))="51101551","Ceftriaxona",""))</f>
        <v>Ceftriaxona</v>
      </c>
      <c r="C5517" s="95" t="str">
        <f>IFERROR(VLOOKUP("UD",'Informacion '!P:Q,2,FALSE),"")</f>
        <v>Unidad</v>
      </c>
      <c r="D5517" s="94">
        <v>3</v>
      </c>
      <c r="E5517" s="84">
        <v>2.34</v>
      </c>
      <c r="F5517" s="83">
        <f t="shared" ca="1" si="240"/>
        <v>7.02</v>
      </c>
    </row>
    <row r="5518" spans="1:10" ht="14.1" customHeight="1" x14ac:dyDescent="0.25">
      <c r="A5518" s="94" t="s">
        <v>1761</v>
      </c>
      <c r="B5518" s="82" t="str">
        <f ca="1">IFERROR(INDEX(UNSPSCDes,MATCH(INDIRECT(ADDRESS(ROW(),COLUMN()-1,4)),UNSPSCCode,0)),IF(INDIRECT(ADDRESS(ROW(),COLUMN()-1,4))="51101593","Cefotaxima",""))</f>
        <v>Cefotaxima</v>
      </c>
      <c r="C5518" s="95" t="str">
        <f>IFERROR(VLOOKUP("UD",'Informacion '!P:Q,2,FALSE),"")</f>
        <v>Unidad</v>
      </c>
      <c r="D5518" s="94">
        <v>30</v>
      </c>
      <c r="E5518" s="84">
        <v>15.95</v>
      </c>
      <c r="F5518" s="83">
        <f t="shared" ca="1" si="240"/>
        <v>478.5</v>
      </c>
    </row>
    <row r="5519" spans="1:10" ht="14.1" customHeight="1" x14ac:dyDescent="0.25">
      <c r="A5519" s="94" t="s">
        <v>12333</v>
      </c>
      <c r="B5519" s="82" t="str">
        <f ca="1">IFERROR(INDEX(UNSPSCDes,MATCH(INDIRECT(ADDRESS(ROW(),COLUMN()-1,4)),UNSPSCCode,0)),IF(INDIRECT(ADDRESS(ROW(),COLUMN()-1,4))="51101542","Ciprofloxacina",""))</f>
        <v>Ciprofloxacina</v>
      </c>
      <c r="C5519" s="95" t="str">
        <f>IFERROR(VLOOKUP("UD",'Informacion '!P:Q,2,FALSE),"")</f>
        <v>Unidad</v>
      </c>
      <c r="D5519" s="94">
        <v>2</v>
      </c>
      <c r="E5519" s="84">
        <v>273.20999999999998</v>
      </c>
      <c r="F5519" s="83">
        <f t="shared" ca="1" si="240"/>
        <v>546.41999999999996</v>
      </c>
    </row>
    <row r="5520" spans="1:10" ht="14.1" customHeight="1" x14ac:dyDescent="0.25">
      <c r="A5520" s="94" t="s">
        <v>12333</v>
      </c>
      <c r="B5520" s="82" t="str">
        <f ca="1">IFERROR(INDEX(UNSPSCDes,MATCH(INDIRECT(ADDRESS(ROW(),COLUMN()-1,4)),UNSPSCCode,0)),IF(INDIRECT(ADDRESS(ROW(),COLUMN()-1,4))="51101542","Ciprofloxacina",""))</f>
        <v>Ciprofloxacina</v>
      </c>
      <c r="C5520" s="95" t="str">
        <f>IFERROR(VLOOKUP("UD",'Informacion '!P:Q,2,FALSE),"")</f>
        <v>Unidad</v>
      </c>
      <c r="D5520" s="94">
        <v>30</v>
      </c>
      <c r="E5520" s="84">
        <v>125.5</v>
      </c>
      <c r="F5520" s="83">
        <f t="shared" ca="1" si="240"/>
        <v>3765</v>
      </c>
    </row>
    <row r="5521" spans="1:6" ht="14.1" customHeight="1" x14ac:dyDescent="0.25">
      <c r="A5521" s="94" t="s">
        <v>12333</v>
      </c>
      <c r="B5521" s="82" t="str">
        <f ca="1">IFERROR(INDEX(UNSPSCDes,MATCH(INDIRECT(ADDRESS(ROW(),COLUMN()-1,4)),UNSPSCCode,0)),IF(INDIRECT(ADDRESS(ROW(),COLUMN()-1,4))="51101542","Ciprofloxacina",""))</f>
        <v>Ciprofloxacina</v>
      </c>
      <c r="C5521" s="95" t="str">
        <f>IFERROR(VLOOKUP("UD",'Informacion '!P:Q,2,FALSE),"")</f>
        <v>Unidad</v>
      </c>
      <c r="D5521" s="94">
        <v>3</v>
      </c>
      <c r="E5521" s="84">
        <v>652.08000000000004</v>
      </c>
      <c r="F5521" s="83">
        <f t="shared" ca="1" si="240"/>
        <v>1956.2400000000002</v>
      </c>
    </row>
    <row r="5522" spans="1:6" ht="14.1" customHeight="1" x14ac:dyDescent="0.25">
      <c r="A5522" s="94" t="s">
        <v>1761</v>
      </c>
      <c r="B5522" s="82" t="str">
        <f ca="1">IFERROR(INDEX(UNSPSCDes,MATCH(INDIRECT(ADDRESS(ROW(),COLUMN()-1,4)),UNSPSCCode,0)),IF(INDIRECT(ADDRESS(ROW(),COLUMN()-1,4))="51101593","Cefotaxima",""))</f>
        <v>Cefotaxima</v>
      </c>
      <c r="C5522" s="95" t="str">
        <f>IFERROR(VLOOKUP("UD",'Informacion '!P:Q,2,FALSE),"")</f>
        <v>Unidad</v>
      </c>
      <c r="D5522" s="94">
        <v>9</v>
      </c>
      <c r="E5522" s="84">
        <v>297.85000000000002</v>
      </c>
      <c r="F5522" s="83">
        <f t="shared" ca="1" si="240"/>
        <v>2680.65</v>
      </c>
    </row>
    <row r="5523" spans="1:6" ht="14.1" customHeight="1" x14ac:dyDescent="0.25">
      <c r="A5523" s="94" t="s">
        <v>10047</v>
      </c>
      <c r="B5523" s="82" t="str">
        <f ca="1">IFERROR(INDEX(UNSPSCDes,MATCH(INDIRECT(ADDRESS(ROW(),COLUMN()-1,4)),UNSPSCCode,0)),IF(INDIRECT(ADDRESS(ROW(),COLUMN()-1,4))="51101561","Piperacilina",""))</f>
        <v>Piperacilina</v>
      </c>
      <c r="C5523" s="95" t="str">
        <f>IFERROR(VLOOKUP("UD",'Informacion '!P:Q,2,FALSE),"")</f>
        <v>Unidad</v>
      </c>
      <c r="D5523" s="94">
        <v>31</v>
      </c>
      <c r="E5523" s="84">
        <v>1255</v>
      </c>
      <c r="F5523" s="83">
        <f t="shared" ca="1" si="240"/>
        <v>38905</v>
      </c>
    </row>
    <row r="5524" spans="1:6" ht="14.1" customHeight="1" x14ac:dyDescent="0.25">
      <c r="A5524" s="94" t="s">
        <v>15617</v>
      </c>
      <c r="B5524" s="82" t="str">
        <f ca="1">IFERROR(INDEX(UNSPSCDes,MATCH(INDIRECT(ADDRESS(ROW(),COLUMN()-1,4)),UNSPSCCode,0)),IF(INDIRECT(ADDRESS(ROW(),COLUMN()-1,4))="51101603","Metronidazol",""))</f>
        <v>Metronidazol</v>
      </c>
      <c r="C5524" s="95" t="str">
        <f>IFERROR(VLOOKUP("UD",'Informacion '!P:Q,2,FALSE),"")</f>
        <v>Unidad</v>
      </c>
      <c r="D5524" s="94">
        <v>142</v>
      </c>
      <c r="E5524" s="84">
        <v>16.989999999999998</v>
      </c>
      <c r="F5524" s="83">
        <f t="shared" ca="1" si="240"/>
        <v>2412.58</v>
      </c>
    </row>
    <row r="5525" spans="1:6" ht="14.1" customHeight="1" x14ac:dyDescent="0.25">
      <c r="A5525" s="94" t="s">
        <v>12333</v>
      </c>
      <c r="B5525" s="82" t="str">
        <f ca="1">IFERROR(INDEX(UNSPSCDes,MATCH(INDIRECT(ADDRESS(ROW(),COLUMN()-1,4)),UNSPSCCode,0)),IF(INDIRECT(ADDRESS(ROW(),COLUMN()-1,4))="51101542","Ciprofloxacina",""))</f>
        <v>Ciprofloxacina</v>
      </c>
      <c r="C5525" s="95" t="str">
        <f>IFERROR(VLOOKUP("UD",'Informacion '!P:Q,2,FALSE),"")</f>
        <v>Unidad</v>
      </c>
      <c r="D5525" s="94">
        <v>427</v>
      </c>
      <c r="E5525" s="84">
        <v>29.4</v>
      </c>
      <c r="F5525" s="83">
        <f t="shared" ca="1" si="240"/>
        <v>12553.8</v>
      </c>
    </row>
    <row r="5526" spans="1:6" ht="14.1" customHeight="1" x14ac:dyDescent="0.25">
      <c r="A5526" s="94" t="s">
        <v>9006</v>
      </c>
      <c r="B5526" s="82" t="str">
        <f ca="1">IFERROR(INDEX(UNSPSCDes,MATCH(INDIRECT(ADDRESS(ROW(),COLUMN()-1,4)),UNSPSCCode,0)),IF(INDIRECT(ADDRESS(ROW(),COLUMN()-1,4))="51101801","Anfotericina b",""))</f>
        <v>Anfotericina b</v>
      </c>
      <c r="C5526" s="95" t="str">
        <f>IFERROR(VLOOKUP("UD",'Informacion '!P:Q,2,FALSE),"")</f>
        <v>Unidad</v>
      </c>
      <c r="D5526" s="94">
        <v>2</v>
      </c>
      <c r="E5526" s="84">
        <v>6397.71</v>
      </c>
      <c r="F5526" s="83">
        <f t="shared" ca="1" si="240"/>
        <v>12795.42</v>
      </c>
    </row>
    <row r="5527" spans="1:6" ht="14.1" customHeight="1" x14ac:dyDescent="0.25">
      <c r="A5527" s="94" t="s">
        <v>18885</v>
      </c>
      <c r="B5527" s="82" t="str">
        <f ca="1">IFERROR(INDEX(UNSPSCDes,MATCH(INDIRECT(ADDRESS(ROW(),COLUMN()-1,4)),UNSPSCCode,0)),IF(INDIRECT(ADDRESS(ROW(),COLUMN()-1,4))="51101511","Amoxicilina",""))</f>
        <v>Amoxicilina</v>
      </c>
      <c r="C5527" s="95" t="str">
        <f>IFERROR(VLOOKUP("UD",'Informacion '!P:Q,2,FALSE),"")</f>
        <v>Unidad</v>
      </c>
      <c r="D5527" s="94">
        <v>6</v>
      </c>
      <c r="E5527" s="84">
        <v>2.82</v>
      </c>
      <c r="F5527" s="83">
        <f t="shared" ca="1" si="240"/>
        <v>16.919999999999998</v>
      </c>
    </row>
    <row r="5528" spans="1:6" ht="14.1" customHeight="1" x14ac:dyDescent="0.25">
      <c r="A5528" s="94" t="s">
        <v>14780</v>
      </c>
      <c r="B5528" s="82" t="str">
        <f ca="1">IFERROR(INDEX(UNSPSCDes,MATCH(INDIRECT(ADDRESS(ROW(),COLUMN()-1,4)),UNSPSCCode,0)),IF(INDIRECT(ADDRESS(ROW(),COLUMN()-1,4))="51101594","Cefepima",""))</f>
        <v>Cefepima</v>
      </c>
      <c r="C5528" s="95" t="str">
        <f>IFERROR(VLOOKUP("UD",'Informacion '!P:Q,2,FALSE),"")</f>
        <v>Unidad</v>
      </c>
      <c r="D5528" s="94">
        <v>633</v>
      </c>
      <c r="E5528" s="84">
        <v>196</v>
      </c>
      <c r="F5528" s="83">
        <f t="shared" ca="1" si="240"/>
        <v>124068</v>
      </c>
    </row>
    <row r="5529" spans="1:6" ht="14.1" customHeight="1" x14ac:dyDescent="0.25">
      <c r="A5529" s="94" t="s">
        <v>15568</v>
      </c>
      <c r="B5529" s="82" t="str">
        <f ca="1">IFERROR(INDEX(UNSPSCDes,MATCH(INDIRECT(ADDRESS(ROW(),COLUMN()-1,4)),UNSPSCCode,0)),IF(INDIRECT(ADDRESS(ROW(),COLUMN()-1,4))="51101586","Amikacina",""))</f>
        <v>Amikacina</v>
      </c>
      <c r="C5529" s="95" t="str">
        <f>IFERROR(VLOOKUP("UD",'Informacion '!P:Q,2,FALSE),"")</f>
        <v>Unidad</v>
      </c>
      <c r="D5529" s="94">
        <v>4</v>
      </c>
      <c r="E5529" s="84">
        <v>14.18</v>
      </c>
      <c r="F5529" s="83">
        <f t="shared" ca="1" si="240"/>
        <v>56.72</v>
      </c>
    </row>
    <row r="5530" spans="1:6" ht="14.1" customHeight="1" x14ac:dyDescent="0.25">
      <c r="A5530" s="94" t="s">
        <v>4548</v>
      </c>
      <c r="B5530" s="82" t="str">
        <f ca="1">IFERROR(INDEX(UNSPSCDes,MATCH(INDIRECT(ADDRESS(ROW(),COLUMN()-1,4)),UNSPSCCode,0)),IF(INDIRECT(ADDRESS(ROW(),COLUMN()-1,4))="51101548","Fosfomicina trometamol",""))</f>
        <v>Fosfomicina trometamol</v>
      </c>
      <c r="C5530" s="95" t="str">
        <f>IFERROR(VLOOKUP("UD",'Informacion '!P:Q,2,FALSE),"")</f>
        <v>Unidad</v>
      </c>
      <c r="D5530" s="94">
        <v>8</v>
      </c>
      <c r="E5530" s="84">
        <v>1460.08</v>
      </c>
      <c r="F5530" s="83">
        <f t="shared" ca="1" si="240"/>
        <v>11680.64</v>
      </c>
    </row>
    <row r="5531" spans="1:6" ht="14.1" customHeight="1" x14ac:dyDescent="0.25">
      <c r="A5531" s="94" t="s">
        <v>4420</v>
      </c>
      <c r="B5531" s="82" t="str">
        <f ca="1">IFERROR(INDEX(UNSPSCDes,MATCH(INDIRECT(ADDRESS(ROW(),COLUMN()-1,4)),UNSPSCCode,0)),IF(INDIRECT(ADDRESS(ROW(),COLUMN()-1,4))="51101584","Gentamicina",""))</f>
        <v>Gentamicina</v>
      </c>
      <c r="C5531" s="95" t="str">
        <f>IFERROR(VLOOKUP("UD",'Informacion '!P:Q,2,FALSE),"")</f>
        <v>Unidad</v>
      </c>
      <c r="D5531" s="94">
        <v>10</v>
      </c>
      <c r="E5531" s="84">
        <v>13.33</v>
      </c>
      <c r="F5531" s="83">
        <f t="shared" ca="1" si="240"/>
        <v>133.30000000000001</v>
      </c>
    </row>
    <row r="5532" spans="1:6" ht="14.1" customHeight="1" x14ac:dyDescent="0.25">
      <c r="A5532" s="94" t="s">
        <v>4420</v>
      </c>
      <c r="B5532" s="82" t="str">
        <f ca="1">IFERROR(INDEX(UNSPSCDes,MATCH(INDIRECT(ADDRESS(ROW(),COLUMN()-1,4)),UNSPSCCode,0)),IF(INDIRECT(ADDRESS(ROW(),COLUMN()-1,4))="51101584","Gentamicina",""))</f>
        <v>Gentamicina</v>
      </c>
      <c r="C5532" s="95" t="str">
        <f>IFERROR(VLOOKUP("UD",'Informacion '!P:Q,2,FALSE),"")</f>
        <v>Unidad</v>
      </c>
      <c r="D5532" s="94">
        <v>4</v>
      </c>
      <c r="E5532" s="84">
        <v>178.95</v>
      </c>
      <c r="F5532" s="83">
        <f t="shared" ca="1" si="240"/>
        <v>715.8</v>
      </c>
    </row>
    <row r="5533" spans="1:6" ht="14.1" customHeight="1" x14ac:dyDescent="0.25">
      <c r="A5533" s="94" t="s">
        <v>16333</v>
      </c>
      <c r="B5533" s="82" t="str">
        <f ca="1">IFERROR(INDEX(UNSPSCDes,MATCH(INDIRECT(ADDRESS(ROW(),COLUMN()-1,4)),UNSPSCCode,0)),IF(INDIRECT(ADDRESS(ROW(),COLUMN()-1,4))="51101508","Sulfonamidas antibióticas",""))</f>
        <v>Sulfonamidas antibióticas</v>
      </c>
      <c r="C5533" s="95" t="str">
        <f>IFERROR(VLOOKUP("UD",'Informacion '!P:Q,2,FALSE),"")</f>
        <v>Unidad</v>
      </c>
      <c r="D5533" s="94">
        <v>3</v>
      </c>
      <c r="E5533" s="84">
        <v>517.6</v>
      </c>
      <c r="F5533" s="83">
        <f t="shared" ca="1" si="240"/>
        <v>1552.8000000000002</v>
      </c>
    </row>
    <row r="5534" spans="1:6" ht="14.1" customHeight="1" x14ac:dyDescent="0.25">
      <c r="A5534" s="94" t="s">
        <v>2660</v>
      </c>
      <c r="B5534" s="82" t="str">
        <f ca="1">IFERROR(INDEX(UNSPSCDes,MATCH(INDIRECT(ADDRESS(ROW(),COLUMN()-1,4)),UNSPSCCode,0)),IF(INDIRECT(ADDRESS(ROW(),COLUMN()-1,4))="51101504","Clindamicina",""))</f>
        <v>Clindamicina</v>
      </c>
      <c r="C5534" s="95" t="str">
        <f>IFERROR(VLOOKUP("UD",'Informacion '!P:Q,2,FALSE),"")</f>
        <v>Unidad</v>
      </c>
      <c r="D5534" s="94">
        <v>1180</v>
      </c>
      <c r="E5534" s="84">
        <v>49.1</v>
      </c>
      <c r="F5534" s="83">
        <f t="shared" ca="1" si="240"/>
        <v>57938</v>
      </c>
    </row>
    <row r="5535" spans="1:6" ht="14.1" customHeight="1" x14ac:dyDescent="0.25">
      <c r="A5535" s="94" t="s">
        <v>17776</v>
      </c>
      <c r="B5535" s="82" t="str">
        <f ca="1">IFERROR(INDEX(UNSPSCDes,MATCH(INDIRECT(ADDRESS(ROW(),COLUMN()-1,4)),UNSPSCCode,0)),IF(INDIRECT(ADDRESS(ROW(),COLUMN()-1,4))="51101611","Meropenem",""))</f>
        <v>Meropenem</v>
      </c>
      <c r="C5535" s="95" t="str">
        <f>IFERROR(VLOOKUP("UD",'Informacion '!P:Q,2,FALSE),"")</f>
        <v>Unidad</v>
      </c>
      <c r="D5535" s="94">
        <v>110</v>
      </c>
      <c r="E5535" s="84">
        <v>753.05</v>
      </c>
      <c r="F5535" s="83">
        <f t="shared" ca="1" si="240"/>
        <v>82835.5</v>
      </c>
    </row>
    <row r="5536" spans="1:6" ht="14.1" customHeight="1" x14ac:dyDescent="0.25">
      <c r="A5536" s="94" t="s">
        <v>4998</v>
      </c>
      <c r="B5536" s="82" t="str">
        <f ca="1">IFERROR(INDEX(UNSPSCDes,MATCH(INDIRECT(ADDRESS(ROW(),COLUMN()-1,4)),UNSPSCCode,0)),IF(INDIRECT(ADDRESS(ROW(),COLUMN()-1,4))="51101538","Levofloxacina",""))</f>
        <v>Levofloxacina</v>
      </c>
      <c r="C5536" s="95" t="str">
        <f>IFERROR(VLOOKUP("UD",'Informacion '!P:Q,2,FALSE),"")</f>
        <v>Unidad</v>
      </c>
      <c r="D5536" s="94">
        <v>73</v>
      </c>
      <c r="E5536" s="84">
        <v>121.02</v>
      </c>
      <c r="F5536" s="83">
        <f t="shared" ca="1" si="240"/>
        <v>8834.4599999999991</v>
      </c>
    </row>
    <row r="5537" spans="1:10" ht="14.1" customHeight="1" x14ac:dyDescent="0.25">
      <c r="A5537" s="94" t="s">
        <v>7992</v>
      </c>
      <c r="B5537" s="82" t="str">
        <f ca="1">IFERROR(INDEX(UNSPSCDes,MATCH(INDIRECT(ADDRESS(ROW(),COLUMN()-1,4)),UNSPSCCode,0)),IF(INDIRECT(ADDRESS(ROW(),COLUMN()-1,4))="51101572","Azitromicina",""))</f>
        <v>Azitromicina</v>
      </c>
      <c r="C5537" s="95" t="str">
        <f>IFERROR(VLOOKUP("UD",'Informacion '!P:Q,2,FALSE),"")</f>
        <v>Unidad</v>
      </c>
      <c r="D5537" s="94">
        <v>26</v>
      </c>
      <c r="E5537" s="84">
        <v>13.89</v>
      </c>
      <c r="F5537" s="83">
        <f t="shared" ca="1" si="240"/>
        <v>361.14</v>
      </c>
    </row>
    <row r="5538" spans="1:10" ht="14.1" customHeight="1" x14ac:dyDescent="0.25">
      <c r="A5538" s="94" t="s">
        <v>10047</v>
      </c>
      <c r="B5538" s="82" t="str">
        <f ca="1">IFERROR(INDEX(UNSPSCDes,MATCH(INDIRECT(ADDRESS(ROW(),COLUMN()-1,4)),UNSPSCCode,0)),IF(INDIRECT(ADDRESS(ROW(),COLUMN()-1,4))="51101561","Piperacilina",""))</f>
        <v>Piperacilina</v>
      </c>
      <c r="C5538" s="95" t="str">
        <f>IFERROR(VLOOKUP("UD",'Informacion '!P:Q,2,FALSE),"")</f>
        <v>Unidad</v>
      </c>
      <c r="D5538" s="94">
        <v>234</v>
      </c>
      <c r="E5538" s="84">
        <v>257.37</v>
      </c>
      <c r="F5538" s="83">
        <f t="shared" ca="1" si="240"/>
        <v>60224.58</v>
      </c>
    </row>
    <row r="5539" spans="1:10" ht="14.1" customHeight="1" x14ac:dyDescent="0.25">
      <c r="A5539" s="94" t="s">
        <v>2988</v>
      </c>
      <c r="B5539" s="82" t="str">
        <f ca="1">IFERROR(INDEX(UNSPSCDes,MATCH(INDIRECT(ADDRESS(ROW(),COLUMN()-1,4)),UNSPSCCode,0)),IF(INDIRECT(ADDRESS(ROW(),COLUMN()-1,4))="51101509","Tetraciclina",""))</f>
        <v>Tetraciclina</v>
      </c>
      <c r="C5539" s="95" t="str">
        <f>IFERROR(VLOOKUP("UD",'Informacion '!P:Q,2,FALSE),"")</f>
        <v>Unidad</v>
      </c>
      <c r="D5539" s="94">
        <v>2</v>
      </c>
      <c r="E5539" s="84">
        <v>3524.07</v>
      </c>
      <c r="F5539" s="83">
        <f t="shared" ca="1" si="240"/>
        <v>7048.14</v>
      </c>
    </row>
    <row r="5540" spans="1:10" ht="14.1" customHeight="1" x14ac:dyDescent="0.25">
      <c r="A5540" s="94" t="s">
        <v>11458</v>
      </c>
      <c r="B5540" s="82" t="str">
        <f ca="1">IFERROR(INDEX(UNSPSCDes,MATCH(INDIRECT(ADDRESS(ROW(),COLUMN()-1,4)),UNSPSCCode,0)),IF(INDIRECT(ADDRESS(ROW(),COLUMN()-1,4))="51102717","Nitrofurazona",""))</f>
        <v>Nitrofurazona</v>
      </c>
      <c r="C5540" s="95" t="str">
        <f>IFERROR(VLOOKUP("UD",'Informacion '!P:Q,2,FALSE),"")</f>
        <v>Unidad</v>
      </c>
      <c r="D5540" s="94">
        <v>4</v>
      </c>
      <c r="E5540" s="84">
        <v>199.99</v>
      </c>
      <c r="F5540" s="83">
        <f t="shared" ca="1" si="240"/>
        <v>799.96</v>
      </c>
    </row>
    <row r="5541" spans="1:10" ht="14.1" customHeight="1" x14ac:dyDescent="0.25">
      <c r="A5541" s="94" t="s">
        <v>12823</v>
      </c>
      <c r="B5541" s="82" t="str">
        <f ca="1">IFERROR(INDEX(UNSPSCDes,MATCH(INDIRECT(ADDRESS(ROW(),COLUMN()-1,4)),UNSPSCCode,0)),IF(INDIRECT(ADDRESS(ROW(),COLUMN()-1,4))="51101578","Cefazolina",""))</f>
        <v>Cefazolina</v>
      </c>
      <c r="C5541" s="95" t="str">
        <f>IFERROR(VLOOKUP("UD",'Informacion '!P:Q,2,FALSE),"")</f>
        <v>Unidad</v>
      </c>
      <c r="D5541" s="94">
        <v>486</v>
      </c>
      <c r="E5541" s="84">
        <v>126.51</v>
      </c>
      <c r="F5541" s="83">
        <f t="shared" ca="1" si="240"/>
        <v>61483.86</v>
      </c>
    </row>
    <row r="5542" spans="1:10" ht="14.1" customHeight="1" x14ac:dyDescent="0.25">
      <c r="A5542" s="94" t="s">
        <v>446</v>
      </c>
      <c r="B5542" s="82" t="str">
        <f ca="1">IFERROR(INDEX(UNSPSCDes,MATCH(INDIRECT(ADDRESS(ROW(),COLUMN()-1,4)),UNSPSCCode,0)),IF(INDIRECT(ADDRESS(ROW(),COLUMN()-1,4))="51101591","Vancomicina",""))</f>
        <v>Vancomicina</v>
      </c>
      <c r="C5542" s="95" t="str">
        <f>IFERROR(VLOOKUP("UD",'Informacion '!P:Q,2,FALSE),"")</f>
        <v>Unidad</v>
      </c>
      <c r="D5542" s="94">
        <v>120</v>
      </c>
      <c r="E5542" s="84">
        <v>164.88</v>
      </c>
      <c r="F5542" s="83">
        <f t="shared" ca="1" si="240"/>
        <v>19785.599999999999</v>
      </c>
    </row>
    <row r="5543" spans="1:10" ht="14.1" customHeight="1" x14ac:dyDescent="0.25">
      <c r="A5543" s="94" t="s">
        <v>5834</v>
      </c>
      <c r="B5543" s="82" t="str">
        <f ca="1">IFERROR(INDEX(UNSPSCDes,MATCH(INDIRECT(ADDRESS(ROW(),COLUMN()-1,4)),UNSPSCCode,0)),IF(INDIRECT(ADDRESS(ROW(),COLUMN()-1,4))="51101551","Ceftriaxona",""))</f>
        <v>Ceftriaxona</v>
      </c>
      <c r="C5543" s="95" t="str">
        <f>IFERROR(VLOOKUP("UD",'Informacion '!P:Q,2,FALSE),"")</f>
        <v>Unidad</v>
      </c>
      <c r="D5543" s="94">
        <v>1753</v>
      </c>
      <c r="E5543" s="84">
        <v>37.5</v>
      </c>
      <c r="F5543" s="83">
        <f t="shared" ca="1" si="240"/>
        <v>65737.5</v>
      </c>
    </row>
    <row r="5544" spans="1:10" ht="14.1" customHeight="1" x14ac:dyDescent="0.25">
      <c r="A5544" s="94" t="s">
        <v>5968</v>
      </c>
      <c r="B5544" s="82" t="str">
        <f ca="1">IFERROR(INDEX(UNSPSCDes,MATCH(INDIRECT(ADDRESS(ROW(),COLUMN()-1,4)),UNSPSCCode,0)),IF(INDIRECT(ADDRESS(ROW(),COLUMN()-1,4))="51101552","Ceftazidima",""))</f>
        <v>Ceftazidima</v>
      </c>
      <c r="C5544" s="95" t="str">
        <f>IFERROR(VLOOKUP("UD",'Informacion '!P:Q,2,FALSE),"")</f>
        <v>Unidad</v>
      </c>
      <c r="D5544" s="94">
        <v>15</v>
      </c>
      <c r="E5544" s="84">
        <v>181.5</v>
      </c>
      <c r="F5544" s="83">
        <f t="shared" ca="1" si="240"/>
        <v>2722.5</v>
      </c>
    </row>
    <row r="5545" spans="1:10" ht="14.1" customHeight="1" x14ac:dyDescent="0.25">
      <c r="E5545" s="96" t="s">
        <v>7213</v>
      </c>
      <c r="F5545" s="87">
        <f ca="1">SUM(Table143[MONTO TOTAL ESTIMADO])</f>
        <v>583438.05000000005</v>
      </c>
      <c r="H5545" s="39" t="str">
        <f>C5508</f>
        <v>Bienes</v>
      </c>
      <c r="I5545" s="39" t="str">
        <f>E5508</f>
        <v>No</v>
      </c>
      <c r="J5545" s="39" t="str">
        <f>D5508</f>
        <v>Comparacion de Precios</v>
      </c>
    </row>
    <row r="5547" spans="1:10" ht="33.950000000000003" customHeight="1" x14ac:dyDescent="0.25">
      <c r="A5547" s="77" t="s">
        <v>17233</v>
      </c>
      <c r="B5547" s="77" t="s">
        <v>4237</v>
      </c>
      <c r="C5547" s="77" t="s">
        <v>4743</v>
      </c>
      <c r="D5547" s="77" t="s">
        <v>9891</v>
      </c>
      <c r="E5547" s="77" t="s">
        <v>3089</v>
      </c>
      <c r="F5547" s="77" t="s">
        <v>18141</v>
      </c>
    </row>
    <row r="5548" spans="1:10" ht="14.1" customHeight="1" x14ac:dyDescent="0.25">
      <c r="A5548" s="79" t="s">
        <v>8189</v>
      </c>
      <c r="B5548" s="79" t="s">
        <v>765</v>
      </c>
      <c r="C5548" s="79" t="s">
        <v>17215</v>
      </c>
      <c r="D5548" s="79" t="s">
        <v>17798</v>
      </c>
      <c r="E5548" s="79" t="s">
        <v>18247</v>
      </c>
      <c r="F5548" s="79"/>
    </row>
    <row r="5549" spans="1:10" ht="14.1" customHeight="1" x14ac:dyDescent="0.25">
      <c r="A5549" s="2" t="s">
        <v>6643</v>
      </c>
      <c r="B5549" s="80" t="s">
        <v>1046</v>
      </c>
      <c r="C5549" s="90">
        <v>43556</v>
      </c>
      <c r="D5549" s="2" t="s">
        <v>59</v>
      </c>
      <c r="E5549" s="92" t="s">
        <v>20066</v>
      </c>
      <c r="F5549" s="93" t="s">
        <v>5684</v>
      </c>
    </row>
    <row r="5550" spans="1:10" ht="14.1" customHeight="1" x14ac:dyDescent="0.25">
      <c r="A5550" s="1"/>
      <c r="B5550" s="80" t="s">
        <v>10788</v>
      </c>
      <c r="C5550" s="91">
        <f>IF(C5549="","",IF(AND(MONTH(C5549)&gt;=1,MONTH(C5549)&lt;=3),1,IF(AND(MONTH(C5549)&gt;=4,MONTH(C5549)&lt;=6),2,IF(AND(MONTH(C5549)&gt;=7,MONTH(C5549)&lt;=9),3,4))))</f>
        <v>2</v>
      </c>
      <c r="D5550" s="1"/>
      <c r="E5550" s="92" t="s">
        <v>14822</v>
      </c>
      <c r="F5550" s="93"/>
    </row>
    <row r="5551" spans="1:10" ht="14.1" customHeight="1" x14ac:dyDescent="0.25">
      <c r="A5551" s="1"/>
      <c r="B5551" s="80" t="s">
        <v>13758</v>
      </c>
      <c r="C5551" s="90">
        <v>43645</v>
      </c>
      <c r="D5551" s="1"/>
      <c r="E5551" s="92" t="s">
        <v>18636</v>
      </c>
      <c r="F5551" s="93"/>
    </row>
    <row r="5552" spans="1:10" ht="14.1" customHeight="1" x14ac:dyDescent="0.25">
      <c r="A5552" s="1"/>
      <c r="B5552" s="80" t="s">
        <v>10788</v>
      </c>
      <c r="C5552" s="91">
        <f>IF(C5551="","",IF(AND(MONTH(C5551)&gt;=1,MONTH(C5551)&lt;=3),1,IF(AND(MONTH(C5551)&gt;=4,MONTH(C5551)&lt;=6),2,IF(AND(MONTH(C5551)&gt;=7,MONTH(C5551)&lt;=9),3,4))))</f>
        <v>2</v>
      </c>
      <c r="D5552" s="1"/>
      <c r="E5552" s="92" t="s">
        <v>15990</v>
      </c>
      <c r="F5552" s="93"/>
    </row>
    <row r="5554" spans="1:10" ht="14.1" customHeight="1" x14ac:dyDescent="0.25">
      <c r="A5554" s="85" t="s">
        <v>15474</v>
      </c>
      <c r="B5554" s="85" t="s">
        <v>5027</v>
      </c>
      <c r="C5554" s="85" t="s">
        <v>17461</v>
      </c>
      <c r="D5554" s="85" t="s">
        <v>3935</v>
      </c>
      <c r="E5554" s="85" t="s">
        <v>10722</v>
      </c>
      <c r="F5554" s="85" t="s">
        <v>18237</v>
      </c>
    </row>
    <row r="5555" spans="1:10" ht="14.1" customHeight="1" x14ac:dyDescent="0.25">
      <c r="A5555" s="94" t="s">
        <v>9741</v>
      </c>
      <c r="B5555" s="82" t="str">
        <f ca="1">IFERROR(INDEX(UNSPSCDes,MATCH(INDIRECT(ADDRESS(ROW(),COLUMN()-1,4)),UNSPSCCode,0)),IF(INDIRECT(ADDRESS(ROW(),COLUMN()-1,4))="51142106","Ibuprofeno",""))</f>
        <v>Ibuprofeno</v>
      </c>
      <c r="C5555" s="95" t="str">
        <f>IFERROR(VLOOKUP("UD",'Informacion '!P:Q,2,FALSE),"")</f>
        <v>Unidad</v>
      </c>
      <c r="D5555" s="94">
        <v>3</v>
      </c>
      <c r="E5555" s="84">
        <v>39.6</v>
      </c>
      <c r="F5555" s="83">
        <f t="shared" ref="F5555:F5565" ca="1" si="241">INDIRECT(ADDRESS(ROW(),COLUMN()-2,4))*INDIRECT(ADDRESS(ROW(),COLUMN()-1,4))</f>
        <v>118.80000000000001</v>
      </c>
    </row>
    <row r="5556" spans="1:10" ht="14.1" customHeight="1" x14ac:dyDescent="0.25">
      <c r="A5556" s="94" t="s">
        <v>19445</v>
      </c>
      <c r="B5556" s="82" t="str">
        <f ca="1">IFERROR(INDEX(UNSPSCDes,MATCH(INDIRECT(ADDRESS(ROW(),COLUMN()-1,4)),UNSPSCCode,0)),IF(INDIRECT(ADDRESS(ROW(),COLUMN()-1,4))="51142123","Ketorolaco trometamol",""))</f>
        <v>Ketorolaco trometamol</v>
      </c>
      <c r="C5556" s="95" t="str">
        <f>IFERROR(VLOOKUP("UD",'Informacion '!P:Q,2,FALSE),"")</f>
        <v>Unidad</v>
      </c>
      <c r="D5556" s="94">
        <v>59</v>
      </c>
      <c r="E5556" s="84">
        <v>38</v>
      </c>
      <c r="F5556" s="83">
        <f t="shared" ca="1" si="241"/>
        <v>2242</v>
      </c>
    </row>
    <row r="5557" spans="1:10" ht="14.1" customHeight="1" x14ac:dyDescent="0.25">
      <c r="A5557" s="94" t="s">
        <v>3649</v>
      </c>
      <c r="B5557" s="82" t="str">
        <f ca="1">IFERROR(INDEX(UNSPSCDes,MATCH(INDIRECT(ADDRESS(ROW(),COLUMN()-1,4)),UNSPSCCode,0)),IF(INDIRECT(ADDRESS(ROW(),COLUMN()-1,4))="51142702","Ácido meclofenámico",""))</f>
        <v>Ácido meclofenámico</v>
      </c>
      <c r="C5557" s="95" t="str">
        <f>IFERROR(VLOOKUP("UD",'Informacion '!P:Q,2,FALSE),"")</f>
        <v>Unidad</v>
      </c>
      <c r="D5557" s="94">
        <v>5</v>
      </c>
      <c r="E5557" s="84">
        <v>62.37</v>
      </c>
      <c r="F5557" s="83">
        <f t="shared" ca="1" si="241"/>
        <v>311.84999999999997</v>
      </c>
    </row>
    <row r="5558" spans="1:10" ht="14.1" customHeight="1" x14ac:dyDescent="0.25">
      <c r="A5558" s="94" t="s">
        <v>19052</v>
      </c>
      <c r="B5558" s="82" t="str">
        <f ca="1">IFERROR(INDEX(UNSPSCDes,MATCH(INDIRECT(ADDRESS(ROW(),COLUMN()-1,4)),UNSPSCCode,0)),IF(INDIRECT(ADDRESS(ROW(),COLUMN()-1,4))="51142220","Citrato de fentanilo",""))</f>
        <v>Citrato de fentanilo</v>
      </c>
      <c r="C5558" s="95" t="str">
        <f>IFERROR(VLOOKUP("UD",'Informacion '!P:Q,2,FALSE),"")</f>
        <v>Unidad</v>
      </c>
      <c r="D5558" s="94">
        <v>2</v>
      </c>
      <c r="E5558" s="84">
        <v>60</v>
      </c>
      <c r="F5558" s="83">
        <f t="shared" ca="1" si="241"/>
        <v>120</v>
      </c>
    </row>
    <row r="5559" spans="1:10" ht="14.1" customHeight="1" x14ac:dyDescent="0.25">
      <c r="A5559" s="94" t="s">
        <v>19445</v>
      </c>
      <c r="B5559" s="82" t="str">
        <f ca="1">IFERROR(INDEX(UNSPSCDes,MATCH(INDIRECT(ADDRESS(ROW(),COLUMN()-1,4)),UNSPSCCode,0)),IF(INDIRECT(ADDRESS(ROW(),COLUMN()-1,4))="51142123","Ketorolaco trometamol",""))</f>
        <v>Ketorolaco trometamol</v>
      </c>
      <c r="C5559" s="95" t="str">
        <f>IFERROR(VLOOKUP("UD",'Informacion '!P:Q,2,FALSE),"")</f>
        <v>Unidad</v>
      </c>
      <c r="D5559" s="94">
        <v>499</v>
      </c>
      <c r="E5559" s="84">
        <v>41.93</v>
      </c>
      <c r="F5559" s="83">
        <f t="shared" ca="1" si="241"/>
        <v>20923.07</v>
      </c>
    </row>
    <row r="5560" spans="1:10" ht="14.1" customHeight="1" x14ac:dyDescent="0.25">
      <c r="A5560" s="94" t="s">
        <v>8114</v>
      </c>
      <c r="B5560" s="82" t="str">
        <f ca="1">IFERROR(INDEX(UNSPSCDes,MATCH(INDIRECT(ADDRESS(ROW(),COLUMN()-1,4)),UNSPSCCode,0)),IF(INDIRECT(ADDRESS(ROW(),COLUMN()-1,4))="51142235","Clorhidrato de tramadol",""))</f>
        <v>Clorhidrato de tramadol</v>
      </c>
      <c r="C5560" s="95" t="str">
        <f>IFERROR(VLOOKUP("UD",'Informacion '!P:Q,2,FALSE),"")</f>
        <v>Unidad</v>
      </c>
      <c r="D5560" s="94">
        <v>272</v>
      </c>
      <c r="E5560" s="84">
        <v>14.83</v>
      </c>
      <c r="F5560" s="83">
        <f t="shared" ca="1" si="241"/>
        <v>4033.76</v>
      </c>
    </row>
    <row r="5561" spans="1:10" ht="14.1" customHeight="1" x14ac:dyDescent="0.25">
      <c r="A5561" s="94" t="s">
        <v>13850</v>
      </c>
      <c r="B5561" s="82" t="str">
        <f ca="1">IFERROR(INDEX(UNSPSCDes,MATCH(INDIRECT(ADDRESS(ROW(),COLUMN()-1,4)),UNSPSCCode,0)),IF(INDIRECT(ADDRESS(ROW(),COLUMN()-1,4))="51142001","Acetaminofén",""))</f>
        <v>Acetaminofén</v>
      </c>
      <c r="C5561" s="95" t="str">
        <f>IFERROR(VLOOKUP("UD",'Informacion '!P:Q,2,FALSE),"")</f>
        <v>Unidad</v>
      </c>
      <c r="D5561" s="94">
        <v>853</v>
      </c>
      <c r="E5561" s="84">
        <v>4.82</v>
      </c>
      <c r="F5561" s="83">
        <f t="shared" ca="1" si="241"/>
        <v>4111.46</v>
      </c>
    </row>
    <row r="5562" spans="1:10" ht="14.1" customHeight="1" x14ac:dyDescent="0.25">
      <c r="A5562" s="94" t="s">
        <v>2887</v>
      </c>
      <c r="B5562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562" s="95" t="str">
        <f>IFERROR(VLOOKUP("UD",'Informacion '!P:Q,2,FALSE),"")</f>
        <v>Unidad</v>
      </c>
      <c r="D5562" s="94">
        <v>15</v>
      </c>
      <c r="E5562" s="84">
        <v>195.44</v>
      </c>
      <c r="F5562" s="83">
        <f t="shared" ca="1" si="241"/>
        <v>2931.6</v>
      </c>
    </row>
    <row r="5563" spans="1:10" ht="14.1" customHeight="1" x14ac:dyDescent="0.25">
      <c r="A5563" s="94" t="s">
        <v>18457</v>
      </c>
      <c r="B5563" s="82" t="str">
        <f ca="1">IFERROR(INDEX(UNSPSCDes,MATCH(INDIRECT(ADDRESS(ROW(),COLUMN()-1,4)),UNSPSCCode,0)),IF(INDIRECT(ADDRESS(ROW(),COLUMN()-1,4))="51142009","Metamizol sódico",""))</f>
        <v>Metamizol sódico</v>
      </c>
      <c r="C5563" s="95" t="str">
        <f>IFERROR(VLOOKUP("UD",'Informacion '!P:Q,2,FALSE),"")</f>
        <v>Unidad</v>
      </c>
      <c r="D5563" s="94">
        <v>202</v>
      </c>
      <c r="E5563" s="84">
        <v>11.54</v>
      </c>
      <c r="F5563" s="83">
        <f t="shared" ca="1" si="241"/>
        <v>2331.08</v>
      </c>
    </row>
    <row r="5564" spans="1:10" ht="14.1" customHeight="1" x14ac:dyDescent="0.25">
      <c r="A5564" s="94" t="s">
        <v>18457</v>
      </c>
      <c r="B5564" s="82" t="str">
        <f ca="1">IFERROR(INDEX(UNSPSCDes,MATCH(INDIRECT(ADDRESS(ROW(),COLUMN()-1,4)),UNSPSCCode,0)),IF(INDIRECT(ADDRESS(ROW(),COLUMN()-1,4))="51142009","Metamizol sódico",""))</f>
        <v>Metamizol sódico</v>
      </c>
      <c r="C5564" s="95" t="str">
        <f>IFERROR(VLOOKUP("UD",'Informacion '!P:Q,2,FALSE),"")</f>
        <v>Unidad</v>
      </c>
      <c r="D5564" s="94">
        <v>14</v>
      </c>
      <c r="E5564" s="84">
        <v>9</v>
      </c>
      <c r="F5564" s="83">
        <f t="shared" ca="1" si="241"/>
        <v>126</v>
      </c>
    </row>
    <row r="5565" spans="1:10" ht="14.1" customHeight="1" x14ac:dyDescent="0.25">
      <c r="A5565" s="94" t="s">
        <v>13850</v>
      </c>
      <c r="B5565" s="82" t="str">
        <f ca="1">IFERROR(INDEX(UNSPSCDes,MATCH(INDIRECT(ADDRESS(ROW(),COLUMN()-1,4)),UNSPSCCode,0)),IF(INDIRECT(ADDRESS(ROW(),COLUMN()-1,4))="51142001","Acetaminofén",""))</f>
        <v>Acetaminofén</v>
      </c>
      <c r="C5565" s="95" t="str">
        <f>IFERROR(VLOOKUP("UD",'Informacion '!P:Q,2,FALSE),"")</f>
        <v>Unidad</v>
      </c>
      <c r="D5565" s="94">
        <v>2</v>
      </c>
      <c r="E5565" s="84">
        <v>12.75</v>
      </c>
      <c r="F5565" s="83">
        <f t="shared" ca="1" si="241"/>
        <v>25.5</v>
      </c>
    </row>
    <row r="5566" spans="1:10" ht="14.1" customHeight="1" x14ac:dyDescent="0.25">
      <c r="E5566" s="96" t="s">
        <v>7213</v>
      </c>
      <c r="F5566" s="87">
        <f ca="1">SUM(Table144[MONTO TOTAL ESTIMADO])</f>
        <v>37275.120000000003</v>
      </c>
      <c r="H5566" s="39" t="str">
        <f>C5548</f>
        <v>Bienes</v>
      </c>
      <c r="I5566" s="39" t="str">
        <f>E5548</f>
        <v>No</v>
      </c>
      <c r="J5566" s="39" t="str">
        <f>D5548</f>
        <v>Compras Menores</v>
      </c>
    </row>
    <row r="5568" spans="1:10" ht="33.950000000000003" customHeight="1" x14ac:dyDescent="0.25">
      <c r="A5568" s="77" t="s">
        <v>17233</v>
      </c>
      <c r="B5568" s="77" t="s">
        <v>4237</v>
      </c>
      <c r="C5568" s="77" t="s">
        <v>4743</v>
      </c>
      <c r="D5568" s="77" t="s">
        <v>9891</v>
      </c>
      <c r="E5568" s="77" t="s">
        <v>3089</v>
      </c>
      <c r="F5568" s="77" t="s">
        <v>18141</v>
      </c>
    </row>
    <row r="5569" spans="1:6" ht="14.1" customHeight="1" x14ac:dyDescent="0.25">
      <c r="A5569" s="79" t="s">
        <v>1638</v>
      </c>
      <c r="B5569" s="79" t="s">
        <v>2182</v>
      </c>
      <c r="C5569" s="79" t="s">
        <v>17215</v>
      </c>
      <c r="D5569" s="79" t="s">
        <v>17798</v>
      </c>
      <c r="E5569" s="79" t="s">
        <v>18247</v>
      </c>
      <c r="F5569" s="79"/>
    </row>
    <row r="5570" spans="1:6" ht="14.1" customHeight="1" x14ac:dyDescent="0.25">
      <c r="A5570" s="2" t="s">
        <v>6643</v>
      </c>
      <c r="B5570" s="80" t="s">
        <v>1046</v>
      </c>
      <c r="C5570" s="90">
        <v>43647</v>
      </c>
      <c r="D5570" s="2" t="s">
        <v>59</v>
      </c>
      <c r="E5570" s="92" t="s">
        <v>20066</v>
      </c>
      <c r="F5570" s="93" t="s">
        <v>5684</v>
      </c>
    </row>
    <row r="5571" spans="1:6" ht="14.1" customHeight="1" x14ac:dyDescent="0.25">
      <c r="A5571" s="1"/>
      <c r="B5571" s="80" t="s">
        <v>10788</v>
      </c>
      <c r="C5571" s="91">
        <f>IF(C5570="","",IF(AND(MONTH(C5570)&gt;=1,MONTH(C5570)&lt;=3),1,IF(AND(MONTH(C5570)&gt;=4,MONTH(C5570)&lt;=6),2,IF(AND(MONTH(C5570)&gt;=7,MONTH(C5570)&lt;=9),3,4))))</f>
        <v>3</v>
      </c>
      <c r="D5571" s="1"/>
      <c r="E5571" s="92" t="s">
        <v>14822</v>
      </c>
      <c r="F5571" s="93"/>
    </row>
    <row r="5572" spans="1:6" ht="14.1" customHeight="1" x14ac:dyDescent="0.25">
      <c r="A5572" s="1"/>
      <c r="B5572" s="80" t="s">
        <v>13758</v>
      </c>
      <c r="C5572" s="90">
        <v>43738</v>
      </c>
      <c r="D5572" s="1"/>
      <c r="E5572" s="92" t="s">
        <v>18636</v>
      </c>
      <c r="F5572" s="93"/>
    </row>
    <row r="5573" spans="1:6" ht="14.1" customHeight="1" x14ac:dyDescent="0.25">
      <c r="A5573" s="1"/>
      <c r="B5573" s="80" t="s">
        <v>10788</v>
      </c>
      <c r="C5573" s="91">
        <f>IF(C5572="","",IF(AND(MONTH(C5572)&gt;=1,MONTH(C5572)&lt;=3),1,IF(AND(MONTH(C5572)&gt;=4,MONTH(C5572)&lt;=6),2,IF(AND(MONTH(C5572)&gt;=7,MONTH(C5572)&lt;=9),3,4))))</f>
        <v>3</v>
      </c>
      <c r="D5573" s="1"/>
      <c r="E5573" s="92" t="s">
        <v>15990</v>
      </c>
      <c r="F5573" s="93"/>
    </row>
    <row r="5575" spans="1:6" ht="14.1" customHeight="1" x14ac:dyDescent="0.25">
      <c r="A5575" s="85" t="s">
        <v>15474</v>
      </c>
      <c r="B5575" s="85" t="s">
        <v>5027</v>
      </c>
      <c r="C5575" s="85" t="s">
        <v>17461</v>
      </c>
      <c r="D5575" s="85" t="s">
        <v>3935</v>
      </c>
      <c r="E5575" s="85" t="s">
        <v>10722</v>
      </c>
      <c r="F5575" s="85" t="s">
        <v>18237</v>
      </c>
    </row>
    <row r="5576" spans="1:6" ht="14.1" customHeight="1" x14ac:dyDescent="0.25">
      <c r="A5576" s="94" t="s">
        <v>9741</v>
      </c>
      <c r="B5576" s="82" t="str">
        <f ca="1">IFERROR(INDEX(UNSPSCDes,MATCH(INDIRECT(ADDRESS(ROW(),COLUMN()-1,4)),UNSPSCCode,0)),IF(INDIRECT(ADDRESS(ROW(),COLUMN()-1,4))="51142106","Ibuprofeno",""))</f>
        <v>Ibuprofeno</v>
      </c>
      <c r="C5576" s="95" t="str">
        <f>IFERROR(VLOOKUP("UD",'Informacion '!P:Q,2,FALSE),"")</f>
        <v>Unidad</v>
      </c>
      <c r="D5576" s="94">
        <v>4</v>
      </c>
      <c r="E5576" s="84">
        <v>39.6</v>
      </c>
      <c r="F5576" s="83">
        <f t="shared" ref="F5576:F5586" ca="1" si="242">INDIRECT(ADDRESS(ROW(),COLUMN()-2,4))*INDIRECT(ADDRESS(ROW(),COLUMN()-1,4))</f>
        <v>158.4</v>
      </c>
    </row>
    <row r="5577" spans="1:6" ht="14.1" customHeight="1" x14ac:dyDescent="0.25">
      <c r="A5577" s="94" t="s">
        <v>19445</v>
      </c>
      <c r="B5577" s="82" t="str">
        <f ca="1">IFERROR(INDEX(UNSPSCDes,MATCH(INDIRECT(ADDRESS(ROW(),COLUMN()-1,4)),UNSPSCCode,0)),IF(INDIRECT(ADDRESS(ROW(),COLUMN()-1,4))="51142123","Ketorolaco trometamol",""))</f>
        <v>Ketorolaco trometamol</v>
      </c>
      <c r="C5577" s="95" t="str">
        <f>IFERROR(VLOOKUP("UD",'Informacion '!P:Q,2,FALSE),"")</f>
        <v>Unidad</v>
      </c>
      <c r="D5577" s="94">
        <v>61</v>
      </c>
      <c r="E5577" s="84">
        <v>38</v>
      </c>
      <c r="F5577" s="83">
        <f t="shared" ca="1" si="242"/>
        <v>2318</v>
      </c>
    </row>
    <row r="5578" spans="1:6" ht="14.1" customHeight="1" x14ac:dyDescent="0.25">
      <c r="A5578" s="94" t="s">
        <v>3649</v>
      </c>
      <c r="B5578" s="82" t="str">
        <f ca="1">IFERROR(INDEX(UNSPSCDes,MATCH(INDIRECT(ADDRESS(ROW(),COLUMN()-1,4)),UNSPSCCode,0)),IF(INDIRECT(ADDRESS(ROW(),COLUMN()-1,4))="51142702","Ácido meclofenámico",""))</f>
        <v>Ácido meclofenámico</v>
      </c>
      <c r="C5578" s="95" t="str">
        <f>IFERROR(VLOOKUP("UD",'Informacion '!P:Q,2,FALSE),"")</f>
        <v>Unidad</v>
      </c>
      <c r="D5578" s="94">
        <v>6</v>
      </c>
      <c r="E5578" s="84">
        <v>62.37</v>
      </c>
      <c r="F5578" s="83">
        <f t="shared" ca="1" si="242"/>
        <v>374.21999999999997</v>
      </c>
    </row>
    <row r="5579" spans="1:6" ht="14.1" customHeight="1" x14ac:dyDescent="0.25">
      <c r="A5579" s="94" t="s">
        <v>19052</v>
      </c>
      <c r="B5579" s="82" t="str">
        <f ca="1">IFERROR(INDEX(UNSPSCDes,MATCH(INDIRECT(ADDRESS(ROW(),COLUMN()-1,4)),UNSPSCCode,0)),IF(INDIRECT(ADDRESS(ROW(),COLUMN()-1,4))="51142220","Citrato de fentanilo",""))</f>
        <v>Citrato de fentanilo</v>
      </c>
      <c r="C5579" s="95" t="str">
        <f>IFERROR(VLOOKUP("UD",'Informacion '!P:Q,2,FALSE),"")</f>
        <v>Unidad</v>
      </c>
      <c r="D5579" s="94">
        <v>3</v>
      </c>
      <c r="E5579" s="84">
        <v>60</v>
      </c>
      <c r="F5579" s="83">
        <f t="shared" ca="1" si="242"/>
        <v>180</v>
      </c>
    </row>
    <row r="5580" spans="1:6" ht="14.1" customHeight="1" x14ac:dyDescent="0.25">
      <c r="A5580" s="94" t="s">
        <v>19445</v>
      </c>
      <c r="B5580" s="82" t="str">
        <f ca="1">IFERROR(INDEX(UNSPSCDes,MATCH(INDIRECT(ADDRESS(ROW(),COLUMN()-1,4)),UNSPSCCode,0)),IF(INDIRECT(ADDRESS(ROW(),COLUMN()-1,4))="51142123","Ketorolaco trometamol",""))</f>
        <v>Ketorolaco trometamol</v>
      </c>
      <c r="C5580" s="95" t="str">
        <f>IFERROR(VLOOKUP("UD",'Informacion '!P:Q,2,FALSE),"")</f>
        <v>Unidad</v>
      </c>
      <c r="D5580" s="94">
        <v>509</v>
      </c>
      <c r="E5580" s="84">
        <v>41.93</v>
      </c>
      <c r="F5580" s="83">
        <f t="shared" ca="1" si="242"/>
        <v>21342.37</v>
      </c>
    </row>
    <row r="5581" spans="1:6" ht="14.1" customHeight="1" x14ac:dyDescent="0.25">
      <c r="A5581" s="94" t="s">
        <v>8114</v>
      </c>
      <c r="B5581" s="82" t="str">
        <f ca="1">IFERROR(INDEX(UNSPSCDes,MATCH(INDIRECT(ADDRESS(ROW(),COLUMN()-1,4)),UNSPSCCode,0)),IF(INDIRECT(ADDRESS(ROW(),COLUMN()-1,4))="51142235","Clorhidrato de tramadol",""))</f>
        <v>Clorhidrato de tramadol</v>
      </c>
      <c r="C5581" s="95" t="str">
        <f>IFERROR(VLOOKUP("UD",'Informacion '!P:Q,2,FALSE),"")</f>
        <v>Unidad</v>
      </c>
      <c r="D5581" s="94">
        <v>278</v>
      </c>
      <c r="E5581" s="84">
        <v>14.83</v>
      </c>
      <c r="F5581" s="83">
        <f t="shared" ca="1" si="242"/>
        <v>4122.74</v>
      </c>
    </row>
    <row r="5582" spans="1:6" ht="14.1" customHeight="1" x14ac:dyDescent="0.25">
      <c r="A5582" s="94" t="s">
        <v>13850</v>
      </c>
      <c r="B5582" s="82" t="str">
        <f ca="1">IFERROR(INDEX(UNSPSCDes,MATCH(INDIRECT(ADDRESS(ROW(),COLUMN()-1,4)),UNSPSCCode,0)),IF(INDIRECT(ADDRESS(ROW(),COLUMN()-1,4))="51142001","Acetaminofén",""))</f>
        <v>Acetaminofén</v>
      </c>
      <c r="C5582" s="95" t="str">
        <f>IFERROR(VLOOKUP("UD",'Informacion '!P:Q,2,FALSE),"")</f>
        <v>Unidad</v>
      </c>
      <c r="D5582" s="94">
        <v>871</v>
      </c>
      <c r="E5582" s="84">
        <v>4.82</v>
      </c>
      <c r="F5582" s="83">
        <f t="shared" ca="1" si="242"/>
        <v>4198.22</v>
      </c>
    </row>
    <row r="5583" spans="1:6" ht="14.1" customHeight="1" x14ac:dyDescent="0.25">
      <c r="A5583" s="94" t="s">
        <v>2887</v>
      </c>
      <c r="B5583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583" s="95" t="str">
        <f>IFERROR(VLOOKUP("UD",'Informacion '!P:Q,2,FALSE),"")</f>
        <v>Unidad</v>
      </c>
      <c r="D5583" s="94">
        <v>16</v>
      </c>
      <c r="E5583" s="84">
        <v>195.44</v>
      </c>
      <c r="F5583" s="83">
        <f t="shared" ca="1" si="242"/>
        <v>3127.04</v>
      </c>
    </row>
    <row r="5584" spans="1:6" ht="14.1" customHeight="1" x14ac:dyDescent="0.25">
      <c r="A5584" s="94" t="s">
        <v>18457</v>
      </c>
      <c r="B5584" s="82" t="str">
        <f ca="1">IFERROR(INDEX(UNSPSCDes,MATCH(INDIRECT(ADDRESS(ROW(),COLUMN()-1,4)),UNSPSCCode,0)),IF(INDIRECT(ADDRESS(ROW(),COLUMN()-1,4))="51142009","Metamizol sódico",""))</f>
        <v>Metamizol sódico</v>
      </c>
      <c r="C5584" s="95" t="str">
        <f>IFERROR(VLOOKUP("UD",'Informacion '!P:Q,2,FALSE),"")</f>
        <v>Unidad</v>
      </c>
      <c r="D5584" s="94">
        <v>207</v>
      </c>
      <c r="E5584" s="84">
        <v>11.54</v>
      </c>
      <c r="F5584" s="83">
        <f t="shared" ca="1" si="242"/>
        <v>2388.7799999999997</v>
      </c>
    </row>
    <row r="5585" spans="1:10" ht="14.1" customHeight="1" x14ac:dyDescent="0.25">
      <c r="A5585" s="94" t="s">
        <v>18457</v>
      </c>
      <c r="B5585" s="82" t="str">
        <f ca="1">IFERROR(INDEX(UNSPSCDes,MATCH(INDIRECT(ADDRESS(ROW(),COLUMN()-1,4)),UNSPSCCode,0)),IF(INDIRECT(ADDRESS(ROW(),COLUMN()-1,4))="51142009","Metamizol sódico",""))</f>
        <v>Metamizol sódico</v>
      </c>
      <c r="C5585" s="95" t="str">
        <f>IFERROR(VLOOKUP("UD",'Informacion '!P:Q,2,FALSE),"")</f>
        <v>Unidad</v>
      </c>
      <c r="D5585" s="94">
        <v>15</v>
      </c>
      <c r="E5585" s="84">
        <v>9</v>
      </c>
      <c r="F5585" s="83">
        <f t="shared" ca="1" si="242"/>
        <v>135</v>
      </c>
    </row>
    <row r="5586" spans="1:10" ht="14.1" customHeight="1" x14ac:dyDescent="0.25">
      <c r="A5586" s="94" t="s">
        <v>13850</v>
      </c>
      <c r="B5586" s="82" t="str">
        <f ca="1">IFERROR(INDEX(UNSPSCDes,MATCH(INDIRECT(ADDRESS(ROW(),COLUMN()-1,4)),UNSPSCCode,0)),IF(INDIRECT(ADDRESS(ROW(),COLUMN()-1,4))="51142001","Acetaminofén",""))</f>
        <v>Acetaminofén</v>
      </c>
      <c r="C5586" s="95" t="str">
        <f>IFERROR(VLOOKUP("UD",'Informacion '!P:Q,2,FALSE),"")</f>
        <v>Unidad</v>
      </c>
      <c r="D5586" s="94">
        <v>3</v>
      </c>
      <c r="E5586" s="84">
        <v>12.75</v>
      </c>
      <c r="F5586" s="83">
        <f t="shared" ca="1" si="242"/>
        <v>38.25</v>
      </c>
    </row>
    <row r="5587" spans="1:10" ht="14.1" customHeight="1" x14ac:dyDescent="0.25">
      <c r="E5587" s="96" t="s">
        <v>7213</v>
      </c>
      <c r="F5587" s="87">
        <f ca="1">SUM(Table145[MONTO TOTAL ESTIMADO])</f>
        <v>38383.019999999997</v>
      </c>
      <c r="H5587" s="39" t="str">
        <f>C5569</f>
        <v>Bienes</v>
      </c>
      <c r="I5587" s="39" t="str">
        <f>E5569</f>
        <v>No</v>
      </c>
      <c r="J5587" s="39" t="str">
        <f>D5569</f>
        <v>Compras Menores</v>
      </c>
    </row>
    <row r="5589" spans="1:10" ht="33.950000000000003" customHeight="1" x14ac:dyDescent="0.25">
      <c r="A5589" s="77" t="s">
        <v>17233</v>
      </c>
      <c r="B5589" s="77" t="s">
        <v>4237</v>
      </c>
      <c r="C5589" s="77" t="s">
        <v>4743</v>
      </c>
      <c r="D5589" s="77" t="s">
        <v>9891</v>
      </c>
      <c r="E5589" s="77" t="s">
        <v>3089</v>
      </c>
      <c r="F5589" s="77" t="s">
        <v>18141</v>
      </c>
    </row>
    <row r="5590" spans="1:10" ht="14.1" customHeight="1" x14ac:dyDescent="0.25">
      <c r="A5590" s="79" t="s">
        <v>3640</v>
      </c>
      <c r="B5590" s="79" t="s">
        <v>2182</v>
      </c>
      <c r="C5590" s="79" t="s">
        <v>17215</v>
      </c>
      <c r="D5590" s="79" t="s">
        <v>17798</v>
      </c>
      <c r="E5590" s="79" t="s">
        <v>18247</v>
      </c>
      <c r="F5590" s="79"/>
    </row>
    <row r="5591" spans="1:10" ht="14.1" customHeight="1" x14ac:dyDescent="0.25">
      <c r="A5591" s="2" t="s">
        <v>6643</v>
      </c>
      <c r="B5591" s="80" t="s">
        <v>1046</v>
      </c>
      <c r="C5591" s="90">
        <v>43739</v>
      </c>
      <c r="D5591" s="2" t="s">
        <v>59</v>
      </c>
      <c r="E5591" s="92" t="s">
        <v>20066</v>
      </c>
      <c r="F5591" s="93" t="s">
        <v>5684</v>
      </c>
    </row>
    <row r="5592" spans="1:10" ht="14.1" customHeight="1" x14ac:dyDescent="0.25">
      <c r="A5592" s="1"/>
      <c r="B5592" s="80" t="s">
        <v>10788</v>
      </c>
      <c r="C5592" s="91">
        <f>IF(C5591="","",IF(AND(MONTH(C5591)&gt;=1,MONTH(C5591)&lt;=3),1,IF(AND(MONTH(C5591)&gt;=4,MONTH(C5591)&lt;=6),2,IF(AND(MONTH(C5591)&gt;=7,MONTH(C5591)&lt;=9),3,4))))</f>
        <v>4</v>
      </c>
      <c r="D5592" s="1"/>
      <c r="E5592" s="92" t="s">
        <v>14822</v>
      </c>
      <c r="F5592" s="93"/>
    </row>
    <row r="5593" spans="1:10" ht="14.1" customHeight="1" x14ac:dyDescent="0.25">
      <c r="A5593" s="1"/>
      <c r="B5593" s="80" t="s">
        <v>13758</v>
      </c>
      <c r="C5593" s="90">
        <v>43830</v>
      </c>
      <c r="D5593" s="1"/>
      <c r="E5593" s="92" t="s">
        <v>18636</v>
      </c>
      <c r="F5593" s="93"/>
    </row>
    <row r="5594" spans="1:10" ht="14.1" customHeight="1" x14ac:dyDescent="0.25">
      <c r="A5594" s="1"/>
      <c r="B5594" s="80" t="s">
        <v>10788</v>
      </c>
      <c r="C5594" s="91">
        <f>IF(C5593="","",IF(AND(MONTH(C5593)&gt;=1,MONTH(C5593)&lt;=3),1,IF(AND(MONTH(C5593)&gt;=4,MONTH(C5593)&lt;=6),2,IF(AND(MONTH(C5593)&gt;=7,MONTH(C5593)&lt;=9),3,4))))</f>
        <v>4</v>
      </c>
      <c r="D5594" s="1"/>
      <c r="E5594" s="92" t="s">
        <v>15990</v>
      </c>
      <c r="F5594" s="93"/>
    </row>
    <row r="5596" spans="1:10" ht="14.1" customHeight="1" x14ac:dyDescent="0.25">
      <c r="A5596" s="85" t="s">
        <v>15474</v>
      </c>
      <c r="B5596" s="85" t="s">
        <v>5027</v>
      </c>
      <c r="C5596" s="85" t="s">
        <v>17461</v>
      </c>
      <c r="D5596" s="85" t="s">
        <v>3935</v>
      </c>
      <c r="E5596" s="85" t="s">
        <v>10722</v>
      </c>
      <c r="F5596" s="85" t="s">
        <v>18237</v>
      </c>
    </row>
    <row r="5597" spans="1:10" ht="14.1" customHeight="1" x14ac:dyDescent="0.25">
      <c r="A5597" s="94" t="s">
        <v>9741</v>
      </c>
      <c r="B5597" s="82" t="str">
        <f ca="1">IFERROR(INDEX(UNSPSCDes,MATCH(INDIRECT(ADDRESS(ROW(),COLUMN()-1,4)),UNSPSCCode,0)),IF(INDIRECT(ADDRESS(ROW(),COLUMN()-1,4))="51142106","Ibuprofeno",""))</f>
        <v>Ibuprofeno</v>
      </c>
      <c r="C5597" s="95" t="str">
        <f>IFERROR(VLOOKUP("UD",'Informacion '!P:Q,2,FALSE),"")</f>
        <v>Unidad</v>
      </c>
      <c r="D5597" s="94">
        <v>5</v>
      </c>
      <c r="E5597" s="84">
        <v>39.6</v>
      </c>
      <c r="F5597" s="83">
        <f t="shared" ref="F5597:F5607" ca="1" si="243">INDIRECT(ADDRESS(ROW(),COLUMN()-2,4))*INDIRECT(ADDRESS(ROW(),COLUMN()-1,4))</f>
        <v>198</v>
      </c>
    </row>
    <row r="5598" spans="1:10" ht="14.1" customHeight="1" x14ac:dyDescent="0.25">
      <c r="A5598" s="94" t="s">
        <v>19445</v>
      </c>
      <c r="B5598" s="82" t="str">
        <f ca="1">IFERROR(INDEX(UNSPSCDes,MATCH(INDIRECT(ADDRESS(ROW(),COLUMN()-1,4)),UNSPSCCode,0)),IF(INDIRECT(ADDRESS(ROW(),COLUMN()-1,4))="51142123","Ketorolaco trometamol",""))</f>
        <v>Ketorolaco trometamol</v>
      </c>
      <c r="C5598" s="95" t="str">
        <f>IFERROR(VLOOKUP("UD",'Informacion '!P:Q,2,FALSE),"")</f>
        <v>Unidad</v>
      </c>
      <c r="D5598" s="94">
        <v>63</v>
      </c>
      <c r="E5598" s="84">
        <v>38</v>
      </c>
      <c r="F5598" s="83">
        <f t="shared" ca="1" si="243"/>
        <v>2394</v>
      </c>
    </row>
    <row r="5599" spans="1:10" ht="14.1" customHeight="1" x14ac:dyDescent="0.25">
      <c r="A5599" s="94" t="s">
        <v>3649</v>
      </c>
      <c r="B5599" s="82" t="str">
        <f ca="1">IFERROR(INDEX(UNSPSCDes,MATCH(INDIRECT(ADDRESS(ROW(),COLUMN()-1,4)),UNSPSCCode,0)),IF(INDIRECT(ADDRESS(ROW(),COLUMN()-1,4))="51142702","Ácido meclofenámico",""))</f>
        <v>Ácido meclofenámico</v>
      </c>
      <c r="C5599" s="95" t="str">
        <f>IFERROR(VLOOKUP("UD",'Informacion '!P:Q,2,FALSE),"")</f>
        <v>Unidad</v>
      </c>
      <c r="D5599" s="94">
        <v>17</v>
      </c>
      <c r="E5599" s="84">
        <v>62.37</v>
      </c>
      <c r="F5599" s="83">
        <f t="shared" ca="1" si="243"/>
        <v>1060.29</v>
      </c>
    </row>
    <row r="5600" spans="1:10" ht="14.1" customHeight="1" x14ac:dyDescent="0.25">
      <c r="A5600" s="94" t="s">
        <v>19052</v>
      </c>
      <c r="B5600" s="82" t="str">
        <f ca="1">IFERROR(INDEX(UNSPSCDes,MATCH(INDIRECT(ADDRESS(ROW(),COLUMN()-1,4)),UNSPSCCode,0)),IF(INDIRECT(ADDRESS(ROW(),COLUMN()-1,4))="51142220","Citrato de fentanilo",""))</f>
        <v>Citrato de fentanilo</v>
      </c>
      <c r="C5600" s="95" t="str">
        <f>IFERROR(VLOOKUP("UD",'Informacion '!P:Q,2,FALSE),"")</f>
        <v>Unidad</v>
      </c>
      <c r="D5600" s="94">
        <v>4</v>
      </c>
      <c r="E5600" s="84">
        <v>60</v>
      </c>
      <c r="F5600" s="83">
        <f t="shared" ca="1" si="243"/>
        <v>240</v>
      </c>
    </row>
    <row r="5601" spans="1:10" ht="14.1" customHeight="1" x14ac:dyDescent="0.25">
      <c r="A5601" s="94" t="s">
        <v>19445</v>
      </c>
      <c r="B5601" s="82" t="str">
        <f ca="1">IFERROR(INDEX(UNSPSCDes,MATCH(INDIRECT(ADDRESS(ROW(),COLUMN()-1,4)),UNSPSCCode,0)),IF(INDIRECT(ADDRESS(ROW(),COLUMN()-1,4))="51142123","Ketorolaco trometamol",""))</f>
        <v>Ketorolaco trometamol</v>
      </c>
      <c r="C5601" s="95" t="str">
        <f>IFERROR(VLOOKUP("UD",'Informacion '!P:Q,2,FALSE),"")</f>
        <v>Unidad</v>
      </c>
      <c r="D5601" s="94">
        <v>520</v>
      </c>
      <c r="E5601" s="84">
        <v>41.93</v>
      </c>
      <c r="F5601" s="83">
        <f t="shared" ca="1" si="243"/>
        <v>21803.599999999999</v>
      </c>
    </row>
    <row r="5602" spans="1:10" ht="14.1" customHeight="1" x14ac:dyDescent="0.25">
      <c r="A5602" s="94" t="s">
        <v>8114</v>
      </c>
      <c r="B5602" s="82" t="str">
        <f ca="1">IFERROR(INDEX(UNSPSCDes,MATCH(INDIRECT(ADDRESS(ROW(),COLUMN()-1,4)),UNSPSCCode,0)),IF(INDIRECT(ADDRESS(ROW(),COLUMN()-1,4))="51142235","Clorhidrato de tramadol",""))</f>
        <v>Clorhidrato de tramadol</v>
      </c>
      <c r="C5602" s="95" t="str">
        <f>IFERROR(VLOOKUP("UD",'Informacion '!P:Q,2,FALSE),"")</f>
        <v>Unidad</v>
      </c>
      <c r="D5602" s="94">
        <v>284</v>
      </c>
      <c r="E5602" s="84">
        <v>14.83</v>
      </c>
      <c r="F5602" s="83">
        <f t="shared" ca="1" si="243"/>
        <v>4211.72</v>
      </c>
    </row>
    <row r="5603" spans="1:10" ht="14.1" customHeight="1" x14ac:dyDescent="0.25">
      <c r="A5603" s="94" t="s">
        <v>13850</v>
      </c>
      <c r="B5603" s="82" t="str">
        <f ca="1">IFERROR(INDEX(UNSPSCDes,MATCH(INDIRECT(ADDRESS(ROW(),COLUMN()-1,4)),UNSPSCCode,0)),IF(INDIRECT(ADDRESS(ROW(),COLUMN()-1,4))="51142001","Acetaminofén",""))</f>
        <v>Acetaminofén</v>
      </c>
      <c r="C5603" s="95" t="str">
        <f>IFERROR(VLOOKUP("UD",'Informacion '!P:Q,2,FALSE),"")</f>
        <v>Unidad</v>
      </c>
      <c r="D5603" s="94">
        <v>889</v>
      </c>
      <c r="E5603" s="84">
        <v>4.82</v>
      </c>
      <c r="F5603" s="83">
        <f t="shared" ca="1" si="243"/>
        <v>4284.9800000000005</v>
      </c>
    </row>
    <row r="5604" spans="1:10" ht="14.1" customHeight="1" x14ac:dyDescent="0.25">
      <c r="A5604" s="94" t="s">
        <v>2887</v>
      </c>
      <c r="B5604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604" s="95" t="str">
        <f>IFERROR(VLOOKUP("UD",'Informacion '!P:Q,2,FALSE),"")</f>
        <v>Unidad</v>
      </c>
      <c r="D5604" s="94">
        <v>17</v>
      </c>
      <c r="E5604" s="84">
        <v>195.44</v>
      </c>
      <c r="F5604" s="83">
        <f t="shared" ca="1" si="243"/>
        <v>3322.48</v>
      </c>
    </row>
    <row r="5605" spans="1:10" ht="14.1" customHeight="1" x14ac:dyDescent="0.25">
      <c r="A5605" s="94" t="s">
        <v>18457</v>
      </c>
      <c r="B5605" s="82" t="str">
        <f ca="1">IFERROR(INDEX(UNSPSCDes,MATCH(INDIRECT(ADDRESS(ROW(),COLUMN()-1,4)),UNSPSCCode,0)),IF(INDIRECT(ADDRESS(ROW(),COLUMN()-1,4))="51142009","Metamizol sódico",""))</f>
        <v>Metamizol sódico</v>
      </c>
      <c r="C5605" s="95" t="str">
        <f>IFERROR(VLOOKUP("UD",'Informacion '!P:Q,2,FALSE),"")</f>
        <v>Unidad</v>
      </c>
      <c r="D5605" s="94">
        <v>212</v>
      </c>
      <c r="E5605" s="84">
        <v>11.54</v>
      </c>
      <c r="F5605" s="83">
        <f t="shared" ca="1" si="243"/>
        <v>2446.48</v>
      </c>
    </row>
    <row r="5606" spans="1:10" ht="14.1" customHeight="1" x14ac:dyDescent="0.25">
      <c r="A5606" s="94" t="s">
        <v>18457</v>
      </c>
      <c r="B5606" s="82" t="str">
        <f ca="1">IFERROR(INDEX(UNSPSCDes,MATCH(INDIRECT(ADDRESS(ROW(),COLUMN()-1,4)),UNSPSCCode,0)),IF(INDIRECT(ADDRESS(ROW(),COLUMN()-1,4))="51142009","Metamizol sódico",""))</f>
        <v>Metamizol sódico</v>
      </c>
      <c r="C5606" s="95" t="str">
        <f>IFERROR(VLOOKUP("UD",'Informacion '!P:Q,2,FALSE),"")</f>
        <v>Unidad</v>
      </c>
      <c r="D5606" s="94">
        <v>16</v>
      </c>
      <c r="E5606" s="84">
        <v>9</v>
      </c>
      <c r="F5606" s="83">
        <f t="shared" ca="1" si="243"/>
        <v>144</v>
      </c>
    </row>
    <row r="5607" spans="1:10" ht="14.1" customHeight="1" x14ac:dyDescent="0.25">
      <c r="A5607" s="94" t="s">
        <v>13850</v>
      </c>
      <c r="B5607" s="82" t="str">
        <f ca="1">IFERROR(INDEX(UNSPSCDes,MATCH(INDIRECT(ADDRESS(ROW(),COLUMN()-1,4)),UNSPSCCode,0)),IF(INDIRECT(ADDRESS(ROW(),COLUMN()-1,4))="51142001","Acetaminofén",""))</f>
        <v>Acetaminofén</v>
      </c>
      <c r="C5607" s="95" t="str">
        <f>IFERROR(VLOOKUP("UD",'Informacion '!P:Q,2,FALSE),"")</f>
        <v>Unidad</v>
      </c>
      <c r="D5607" s="94">
        <v>4</v>
      </c>
      <c r="E5607" s="84">
        <v>12.75</v>
      </c>
      <c r="F5607" s="83">
        <f t="shared" ca="1" si="243"/>
        <v>51</v>
      </c>
    </row>
    <row r="5608" spans="1:10" ht="14.1" customHeight="1" x14ac:dyDescent="0.25">
      <c r="E5608" s="96" t="s">
        <v>7213</v>
      </c>
      <c r="F5608" s="87">
        <f ca="1">SUM(Table146[MONTO TOTAL ESTIMADO])</f>
        <v>40156.55000000001</v>
      </c>
      <c r="H5608" s="39" t="str">
        <f>C5590</f>
        <v>Bienes</v>
      </c>
      <c r="I5608" s="39" t="str">
        <f>E5590</f>
        <v>No</v>
      </c>
      <c r="J5608" s="39" t="str">
        <f>D5590</f>
        <v>Compras Menores</v>
      </c>
    </row>
    <row r="5610" spans="1:10" ht="33.950000000000003" customHeight="1" x14ac:dyDescent="0.25">
      <c r="A5610" s="77" t="s">
        <v>17233</v>
      </c>
      <c r="B5610" s="77" t="s">
        <v>4237</v>
      </c>
      <c r="C5610" s="77" t="s">
        <v>4743</v>
      </c>
      <c r="D5610" s="77" t="s">
        <v>9891</v>
      </c>
      <c r="E5610" s="77" t="s">
        <v>3089</v>
      </c>
      <c r="F5610" s="77" t="s">
        <v>18141</v>
      </c>
    </row>
    <row r="5611" spans="1:10" ht="14.1" customHeight="1" x14ac:dyDescent="0.25">
      <c r="A5611" s="79" t="s">
        <v>10668</v>
      </c>
      <c r="B5611" s="79" t="s">
        <v>2182</v>
      </c>
      <c r="C5611" s="79" t="s">
        <v>17215</v>
      </c>
      <c r="D5611" s="79" t="s">
        <v>17798</v>
      </c>
      <c r="E5611" s="79" t="s">
        <v>18247</v>
      </c>
      <c r="F5611" s="79"/>
    </row>
    <row r="5612" spans="1:10" ht="14.1" customHeight="1" x14ac:dyDescent="0.25">
      <c r="A5612" s="2" t="s">
        <v>6643</v>
      </c>
      <c r="B5612" s="80" t="s">
        <v>1046</v>
      </c>
      <c r="C5612" s="90">
        <v>43469</v>
      </c>
      <c r="D5612" s="2" t="s">
        <v>59</v>
      </c>
      <c r="E5612" s="92" t="s">
        <v>20066</v>
      </c>
      <c r="F5612" s="93" t="s">
        <v>5684</v>
      </c>
    </row>
    <row r="5613" spans="1:10" ht="14.1" customHeight="1" x14ac:dyDescent="0.25">
      <c r="A5613" s="1"/>
      <c r="B5613" s="80" t="s">
        <v>10788</v>
      </c>
      <c r="C5613" s="91">
        <f>IF(C5612="","",IF(AND(MONTH(C5612)&gt;=1,MONTH(C5612)&lt;=3),1,IF(AND(MONTH(C5612)&gt;=4,MONTH(C5612)&lt;=6),2,IF(AND(MONTH(C5612)&gt;=7,MONTH(C5612)&lt;=9),3,4))))</f>
        <v>1</v>
      </c>
      <c r="D5613" s="1"/>
      <c r="E5613" s="92" t="s">
        <v>14822</v>
      </c>
      <c r="F5613" s="93"/>
    </row>
    <row r="5614" spans="1:10" ht="14.1" customHeight="1" x14ac:dyDescent="0.25">
      <c r="A5614" s="1"/>
      <c r="B5614" s="80" t="s">
        <v>13758</v>
      </c>
      <c r="C5614" s="90">
        <v>43496</v>
      </c>
      <c r="D5614" s="1"/>
      <c r="E5614" s="92" t="s">
        <v>18636</v>
      </c>
      <c r="F5614" s="93"/>
    </row>
    <row r="5615" spans="1:10" ht="14.1" customHeight="1" x14ac:dyDescent="0.25">
      <c r="A5615" s="1"/>
      <c r="B5615" s="80" t="s">
        <v>10788</v>
      </c>
      <c r="C5615" s="91">
        <f>IF(C5614="","",IF(AND(MONTH(C5614)&gt;=1,MONTH(C5614)&lt;=3),1,IF(AND(MONTH(C5614)&gt;=4,MONTH(C5614)&lt;=6),2,IF(AND(MONTH(C5614)&gt;=7,MONTH(C5614)&lt;=9),3,4))))</f>
        <v>1</v>
      </c>
      <c r="D5615" s="1"/>
      <c r="E5615" s="92" t="s">
        <v>15990</v>
      </c>
      <c r="F5615" s="93"/>
    </row>
    <row r="5617" spans="1:10" ht="14.1" customHeight="1" x14ac:dyDescent="0.25">
      <c r="A5617" s="85" t="s">
        <v>15474</v>
      </c>
      <c r="B5617" s="85" t="s">
        <v>5027</v>
      </c>
      <c r="C5617" s="85" t="s">
        <v>17461</v>
      </c>
      <c r="D5617" s="85" t="s">
        <v>3935</v>
      </c>
      <c r="E5617" s="85" t="s">
        <v>10722</v>
      </c>
      <c r="F5617" s="85" t="s">
        <v>18237</v>
      </c>
    </row>
    <row r="5618" spans="1:10" ht="14.1" customHeight="1" x14ac:dyDescent="0.25">
      <c r="A5618" s="94" t="s">
        <v>16970</v>
      </c>
      <c r="B5618" s="82" t="str">
        <f ca="1">IFERROR(INDEX(UNSPSCDes,MATCH(INDIRECT(ADDRESS(ROW(),COLUMN()-1,4)),UNSPSCCode,0)),IF(INDIRECT(ADDRESS(ROW(),COLUMN()-1,4))="51131603","Heparina sódica",""))</f>
        <v>Heparina sódica</v>
      </c>
      <c r="C5618" s="95" t="str">
        <f>IFERROR(VLOOKUP("UD",'Informacion '!P:Q,2,FALSE),"")</f>
        <v>Unidad</v>
      </c>
      <c r="D5618" s="94">
        <v>16</v>
      </c>
      <c r="E5618" s="84">
        <v>130.68</v>
      </c>
      <c r="F5618" s="83">
        <f t="shared" ref="F5618:F5628" ca="1" si="244">INDIRECT(ADDRESS(ROW(),COLUMN()-2,4))*INDIRECT(ADDRESS(ROW(),COLUMN()-1,4))</f>
        <v>2090.88</v>
      </c>
    </row>
    <row r="5619" spans="1:10" ht="14.1" customHeight="1" x14ac:dyDescent="0.25">
      <c r="A5619" s="94" t="s">
        <v>16970</v>
      </c>
      <c r="B5619" s="82" t="str">
        <f ca="1">IFERROR(INDEX(UNSPSCDes,MATCH(INDIRECT(ADDRESS(ROW(),COLUMN()-1,4)),UNSPSCCode,0)),IF(INDIRECT(ADDRESS(ROW(),COLUMN()-1,4))="51131603","Heparina sódica",""))</f>
        <v>Heparina sódica</v>
      </c>
      <c r="C5619" s="95" t="str">
        <f>IFERROR(VLOOKUP("UD",'Informacion '!P:Q,2,FALSE),"")</f>
        <v>Unidad</v>
      </c>
      <c r="D5619" s="94">
        <v>4</v>
      </c>
      <c r="E5619" s="84">
        <v>103.79</v>
      </c>
      <c r="F5619" s="83">
        <f t="shared" ca="1" si="244"/>
        <v>415.16</v>
      </c>
    </row>
    <row r="5620" spans="1:10" ht="14.1" customHeight="1" x14ac:dyDescent="0.25">
      <c r="A5620" s="94" t="s">
        <v>5943</v>
      </c>
      <c r="B5620" s="82" t="str">
        <f ca="1">IFERROR(INDEX(UNSPSCDes,MATCH(INDIRECT(ADDRESS(ROW(),COLUMN()-1,4)),UNSPSCCode,0)),IF(INDIRECT(ADDRESS(ROW(),COLUMN()-1,4))="51131607","Enoxaparina sódica",""))</f>
        <v>Enoxaparina sódica</v>
      </c>
      <c r="C5620" s="95" t="str">
        <f>IFERROR(VLOOKUP("UD",'Informacion '!P:Q,2,FALSE),"")</f>
        <v>Unidad</v>
      </c>
      <c r="D5620" s="94">
        <v>5</v>
      </c>
      <c r="E5620" s="84">
        <v>299.14999999999998</v>
      </c>
      <c r="F5620" s="83">
        <f t="shared" ca="1" si="244"/>
        <v>1495.75</v>
      </c>
    </row>
    <row r="5621" spans="1:10" ht="14.1" customHeight="1" x14ac:dyDescent="0.25">
      <c r="A5621" s="94" t="s">
        <v>16970</v>
      </c>
      <c r="B5621" s="82" t="str">
        <f ca="1">IFERROR(INDEX(UNSPSCDes,MATCH(INDIRECT(ADDRESS(ROW(),COLUMN()-1,4)),UNSPSCCode,0)),IF(INDIRECT(ADDRESS(ROW(),COLUMN()-1,4))="51131603","Heparina sódica",""))</f>
        <v>Heparina sódica</v>
      </c>
      <c r="C5621" s="95" t="str">
        <f>IFERROR(VLOOKUP("UD",'Informacion '!P:Q,2,FALSE),"")</f>
        <v>Unidad</v>
      </c>
      <c r="D5621" s="94">
        <v>27</v>
      </c>
      <c r="E5621" s="84">
        <v>89.08</v>
      </c>
      <c r="F5621" s="83">
        <f t="shared" ca="1" si="244"/>
        <v>2405.16</v>
      </c>
    </row>
    <row r="5622" spans="1:10" ht="14.1" customHeight="1" x14ac:dyDescent="0.25">
      <c r="A5622" s="94" t="s">
        <v>5943</v>
      </c>
      <c r="B5622" s="82" t="str">
        <f ca="1">IFERROR(INDEX(UNSPSCDes,MATCH(INDIRECT(ADDRESS(ROW(),COLUMN()-1,4)),UNSPSCCode,0)),IF(INDIRECT(ADDRESS(ROW(),COLUMN()-1,4))="51131607","Enoxaparina sódica",""))</f>
        <v>Enoxaparina sódica</v>
      </c>
      <c r="C5622" s="95" t="str">
        <f>IFERROR(VLOOKUP("UD",'Informacion '!P:Q,2,FALSE),"")</f>
        <v>Unidad</v>
      </c>
      <c r="D5622" s="94">
        <v>458</v>
      </c>
      <c r="E5622" s="84">
        <v>140.35</v>
      </c>
      <c r="F5622" s="83">
        <f t="shared" ca="1" si="244"/>
        <v>64280.299999999996</v>
      </c>
    </row>
    <row r="5623" spans="1:10" ht="14.1" customHeight="1" x14ac:dyDescent="0.25">
      <c r="A5623" s="94" t="s">
        <v>12302</v>
      </c>
      <c r="B5623" s="82" t="str">
        <f ca="1">IFERROR(INDEX(UNSPSCDes,MATCH(INDIRECT(ADDRESS(ROW(),COLUMN()-1,4)),UNSPSCCode,0)),IF(INDIRECT(ADDRESS(ROW(),COLUMN()-1,4))="51141507","Fenitoína",""))</f>
        <v>Fenitoína</v>
      </c>
      <c r="C5623" s="95" t="str">
        <f>IFERROR(VLOOKUP("UD",'Informacion '!P:Q,2,FALSE),"")</f>
        <v>Unidad</v>
      </c>
      <c r="D5623" s="94">
        <v>386</v>
      </c>
      <c r="E5623" s="84">
        <v>318.86</v>
      </c>
      <c r="F5623" s="83">
        <f t="shared" ca="1" si="244"/>
        <v>123079.96</v>
      </c>
    </row>
    <row r="5624" spans="1:10" ht="14.1" customHeight="1" x14ac:dyDescent="0.25">
      <c r="A5624" s="94" t="s">
        <v>6327</v>
      </c>
      <c r="B5624" s="82" t="str">
        <f ca="1">IFERROR(INDEX(UNSPSCDes,MATCH(INDIRECT(ADDRESS(ROW(),COLUMN()-1,4)),UNSPSCCode,0)),IF(INDIRECT(ADDRESS(ROW(),COLUMN()-1,4))="51171606","Sulfato de magnesio",""))</f>
        <v>Sulfato de magnesio</v>
      </c>
      <c r="C5624" s="95" t="str">
        <f>IFERROR(VLOOKUP("UD",'Informacion '!P:Q,2,FALSE),"")</f>
        <v>Unidad</v>
      </c>
      <c r="D5624" s="94">
        <v>187</v>
      </c>
      <c r="E5624" s="84">
        <v>14</v>
      </c>
      <c r="F5624" s="83">
        <f t="shared" ca="1" si="244"/>
        <v>2618</v>
      </c>
    </row>
    <row r="5625" spans="1:10" ht="14.1" customHeight="1" x14ac:dyDescent="0.25">
      <c r="A5625" s="94" t="s">
        <v>15432</v>
      </c>
      <c r="B5625" s="82" t="str">
        <f ca="1">IFERROR(INDEX(UNSPSCDes,MATCH(INDIRECT(ADDRESS(ROW(),COLUMN()-1,4)),UNSPSCCode,0)),IF(INDIRECT(ADDRESS(ROW(),COLUMN()-1,4))="51141518","Levetiracetam",""))</f>
        <v>Levetiracetam</v>
      </c>
      <c r="C5625" s="95" t="str">
        <f>IFERROR(VLOOKUP("UD",'Informacion '!P:Q,2,FALSE),"")</f>
        <v>Unidad</v>
      </c>
      <c r="D5625" s="94">
        <v>51</v>
      </c>
      <c r="E5625" s="84">
        <v>566.94000000000005</v>
      </c>
      <c r="F5625" s="83">
        <f t="shared" ca="1" si="244"/>
        <v>28913.940000000002</v>
      </c>
    </row>
    <row r="5626" spans="1:10" ht="14.1" customHeight="1" x14ac:dyDescent="0.25">
      <c r="A5626" s="94" t="s">
        <v>15432</v>
      </c>
      <c r="B5626" s="82" t="str">
        <f ca="1">IFERROR(INDEX(UNSPSCDes,MATCH(INDIRECT(ADDRESS(ROW(),COLUMN()-1,4)),UNSPSCCode,0)),IF(INDIRECT(ADDRESS(ROW(),COLUMN()-1,4))="51141518","Levetiracetam",""))</f>
        <v>Levetiracetam</v>
      </c>
      <c r="C5626" s="95" t="str">
        <f>IFERROR(VLOOKUP("UD",'Informacion '!P:Q,2,FALSE),"")</f>
        <v>Unidad</v>
      </c>
      <c r="D5626" s="94">
        <v>2</v>
      </c>
      <c r="E5626" s="84">
        <v>669</v>
      </c>
      <c r="F5626" s="83">
        <f t="shared" ca="1" si="244"/>
        <v>1338</v>
      </c>
    </row>
    <row r="5627" spans="1:10" ht="14.1" customHeight="1" x14ac:dyDescent="0.25">
      <c r="A5627" s="94" t="s">
        <v>6379</v>
      </c>
      <c r="B5627" s="82" t="str">
        <f ca="1">IFERROR(INDEX(UNSPSCDes,MATCH(INDIRECT(ADDRESS(ROW(),COLUMN()-1,4)),UNSPSCCode,0)),IF(INDIRECT(ADDRESS(ROW(),COLUMN()-1,4))="51141702","Haloperidol",""))</f>
        <v>Haloperidol</v>
      </c>
      <c r="C5627" s="95" t="str">
        <f>IFERROR(VLOOKUP("UD",'Informacion '!P:Q,2,FALSE),"")</f>
        <v>Unidad</v>
      </c>
      <c r="D5627" s="94">
        <v>17</v>
      </c>
      <c r="E5627" s="84">
        <v>32.47</v>
      </c>
      <c r="F5627" s="83">
        <f t="shared" ca="1" si="244"/>
        <v>551.99</v>
      </c>
    </row>
    <row r="5628" spans="1:10" ht="14.1" customHeight="1" x14ac:dyDescent="0.25">
      <c r="A5628" s="94" t="s">
        <v>11765</v>
      </c>
      <c r="B5628" s="82" t="str">
        <f ca="1">IFERROR(INDEX(UNSPSCDes,MATCH(INDIRECT(ADDRESS(ROW(),COLUMN()-1,4)),UNSPSCCode,0)),IF(INDIRECT(ADDRESS(ROW(),COLUMN()-1,4))="51141513","Carbamazepina",""))</f>
        <v>Carbamazepina</v>
      </c>
      <c r="C5628" s="95" t="str">
        <f>IFERROR(VLOOKUP("UD",'Informacion '!P:Q,2,FALSE),"")</f>
        <v>Unidad</v>
      </c>
      <c r="D5628" s="94">
        <v>4</v>
      </c>
      <c r="E5628" s="84">
        <v>0.77</v>
      </c>
      <c r="F5628" s="83">
        <f t="shared" ca="1" si="244"/>
        <v>3.08</v>
      </c>
    </row>
    <row r="5629" spans="1:10" ht="14.1" customHeight="1" x14ac:dyDescent="0.25">
      <c r="E5629" s="96" t="s">
        <v>7213</v>
      </c>
      <c r="F5629" s="87">
        <f ca="1">SUM(Table147[MONTO TOTAL ESTIMADO])</f>
        <v>227192.22</v>
      </c>
      <c r="H5629" s="39" t="str">
        <f>C5611</f>
        <v>Bienes</v>
      </c>
      <c r="I5629" s="39" t="str">
        <f>E5611</f>
        <v>No</v>
      </c>
      <c r="J5629" s="39" t="str">
        <f>D5611</f>
        <v>Compras Menores</v>
      </c>
    </row>
    <row r="5631" spans="1:10" ht="33.950000000000003" customHeight="1" x14ac:dyDescent="0.25">
      <c r="A5631" s="77" t="s">
        <v>17233</v>
      </c>
      <c r="B5631" s="77" t="s">
        <v>4237</v>
      </c>
      <c r="C5631" s="77" t="s">
        <v>4743</v>
      </c>
      <c r="D5631" s="77" t="s">
        <v>9891</v>
      </c>
      <c r="E5631" s="77" t="s">
        <v>3089</v>
      </c>
      <c r="F5631" s="77" t="s">
        <v>18141</v>
      </c>
    </row>
    <row r="5632" spans="1:10" ht="14.1" customHeight="1" x14ac:dyDescent="0.25">
      <c r="A5632" s="79" t="s">
        <v>9150</v>
      </c>
      <c r="B5632" s="79" t="s">
        <v>2182</v>
      </c>
      <c r="C5632" s="79" t="s">
        <v>17215</v>
      </c>
      <c r="D5632" s="79" t="s">
        <v>17798</v>
      </c>
      <c r="E5632" s="79" t="s">
        <v>18247</v>
      </c>
      <c r="F5632" s="79"/>
    </row>
    <row r="5633" spans="1:6" ht="14.1" customHeight="1" x14ac:dyDescent="0.25">
      <c r="A5633" s="2" t="s">
        <v>6643</v>
      </c>
      <c r="B5633" s="80" t="s">
        <v>1046</v>
      </c>
      <c r="C5633" s="90">
        <v>43556</v>
      </c>
      <c r="D5633" s="2" t="s">
        <v>59</v>
      </c>
      <c r="E5633" s="92" t="s">
        <v>20066</v>
      </c>
      <c r="F5633" s="93" t="s">
        <v>5684</v>
      </c>
    </row>
    <row r="5634" spans="1:6" ht="14.1" customHeight="1" x14ac:dyDescent="0.25">
      <c r="A5634" s="1"/>
      <c r="B5634" s="80" t="s">
        <v>10788</v>
      </c>
      <c r="C5634" s="91">
        <f>IF(C5633="","",IF(AND(MONTH(C5633)&gt;=1,MONTH(C5633)&lt;=3),1,IF(AND(MONTH(C5633)&gt;=4,MONTH(C5633)&lt;=6),2,IF(AND(MONTH(C5633)&gt;=7,MONTH(C5633)&lt;=9),3,4))))</f>
        <v>2</v>
      </c>
      <c r="D5634" s="1"/>
      <c r="E5634" s="92" t="s">
        <v>14822</v>
      </c>
      <c r="F5634" s="93"/>
    </row>
    <row r="5635" spans="1:6" ht="14.1" customHeight="1" x14ac:dyDescent="0.25">
      <c r="A5635" s="1"/>
      <c r="B5635" s="80" t="s">
        <v>13758</v>
      </c>
      <c r="C5635" s="90">
        <v>43645</v>
      </c>
      <c r="D5635" s="1"/>
      <c r="E5635" s="92" t="s">
        <v>18636</v>
      </c>
      <c r="F5635" s="93"/>
    </row>
    <row r="5636" spans="1:6" ht="14.1" customHeight="1" x14ac:dyDescent="0.25">
      <c r="A5636" s="1"/>
      <c r="B5636" s="80" t="s">
        <v>10788</v>
      </c>
      <c r="C5636" s="91">
        <f>IF(C5635="","",IF(AND(MONTH(C5635)&gt;=1,MONTH(C5635)&lt;=3),1,IF(AND(MONTH(C5635)&gt;=4,MONTH(C5635)&lt;=6),2,IF(AND(MONTH(C5635)&gt;=7,MONTH(C5635)&lt;=9),3,4))))</f>
        <v>2</v>
      </c>
      <c r="D5636" s="1"/>
      <c r="E5636" s="92" t="s">
        <v>15990</v>
      </c>
      <c r="F5636" s="93"/>
    </row>
    <row r="5638" spans="1:6" ht="14.1" customHeight="1" x14ac:dyDescent="0.25">
      <c r="A5638" s="85" t="s">
        <v>15474</v>
      </c>
      <c r="B5638" s="85" t="s">
        <v>5027</v>
      </c>
      <c r="C5638" s="85" t="s">
        <v>17461</v>
      </c>
      <c r="D5638" s="85" t="s">
        <v>3935</v>
      </c>
      <c r="E5638" s="85" t="s">
        <v>10722</v>
      </c>
      <c r="F5638" s="85" t="s">
        <v>18237</v>
      </c>
    </row>
    <row r="5639" spans="1:6" ht="14.1" customHeight="1" x14ac:dyDescent="0.25">
      <c r="A5639" s="94" t="s">
        <v>16970</v>
      </c>
      <c r="B5639" s="82" t="str">
        <f ca="1">IFERROR(INDEX(UNSPSCDes,MATCH(INDIRECT(ADDRESS(ROW(),COLUMN()-1,4)),UNSPSCCode,0)),IF(INDIRECT(ADDRESS(ROW(),COLUMN()-1,4))="51131603","Heparina sódica",""))</f>
        <v>Heparina sódica</v>
      </c>
      <c r="C5639" s="95" t="str">
        <f>IFERROR(VLOOKUP("UD",'Informacion '!P:Q,2,FALSE),"")</f>
        <v>Unidad</v>
      </c>
      <c r="D5639" s="94">
        <v>17</v>
      </c>
      <c r="E5639" s="84">
        <v>130.68</v>
      </c>
      <c r="F5639" s="83">
        <f t="shared" ref="F5639:F5649" ca="1" si="245">INDIRECT(ADDRESS(ROW(),COLUMN()-2,4))*INDIRECT(ADDRESS(ROW(),COLUMN()-1,4))</f>
        <v>2221.56</v>
      </c>
    </row>
    <row r="5640" spans="1:6" ht="14.1" customHeight="1" x14ac:dyDescent="0.25">
      <c r="A5640" s="94" t="s">
        <v>16970</v>
      </c>
      <c r="B5640" s="82" t="str">
        <f ca="1">IFERROR(INDEX(UNSPSCDes,MATCH(INDIRECT(ADDRESS(ROW(),COLUMN()-1,4)),UNSPSCCode,0)),IF(INDIRECT(ADDRESS(ROW(),COLUMN()-1,4))="51131603","Heparina sódica",""))</f>
        <v>Heparina sódica</v>
      </c>
      <c r="C5640" s="95" t="str">
        <f>IFERROR(VLOOKUP("UD",'Informacion '!P:Q,2,FALSE),"")</f>
        <v>Unidad</v>
      </c>
      <c r="D5640" s="94">
        <v>5</v>
      </c>
      <c r="E5640" s="84">
        <v>103.79</v>
      </c>
      <c r="F5640" s="83">
        <f t="shared" ca="1" si="245"/>
        <v>518.95000000000005</v>
      </c>
    </row>
    <row r="5641" spans="1:6" ht="14.1" customHeight="1" x14ac:dyDescent="0.25">
      <c r="A5641" s="94" t="s">
        <v>5943</v>
      </c>
      <c r="B5641" s="82" t="str">
        <f ca="1">IFERROR(INDEX(UNSPSCDes,MATCH(INDIRECT(ADDRESS(ROW(),COLUMN()-1,4)),UNSPSCCode,0)),IF(INDIRECT(ADDRESS(ROW(),COLUMN()-1,4))="51131607","Enoxaparina sódica",""))</f>
        <v>Enoxaparina sódica</v>
      </c>
      <c r="C5641" s="95" t="str">
        <f>IFERROR(VLOOKUP("UD",'Informacion '!P:Q,2,FALSE),"")</f>
        <v>Unidad</v>
      </c>
      <c r="D5641" s="94">
        <v>6</v>
      </c>
      <c r="E5641" s="84">
        <v>299.14999999999998</v>
      </c>
      <c r="F5641" s="83">
        <f t="shared" ca="1" si="245"/>
        <v>1794.8999999999999</v>
      </c>
    </row>
    <row r="5642" spans="1:6" ht="14.1" customHeight="1" x14ac:dyDescent="0.25">
      <c r="A5642" s="94" t="s">
        <v>16970</v>
      </c>
      <c r="B5642" s="82" t="str">
        <f ca="1">IFERROR(INDEX(UNSPSCDes,MATCH(INDIRECT(ADDRESS(ROW(),COLUMN()-1,4)),UNSPSCCode,0)),IF(INDIRECT(ADDRESS(ROW(),COLUMN()-1,4))="51131603","Heparina sódica",""))</f>
        <v>Heparina sódica</v>
      </c>
      <c r="C5642" s="95" t="str">
        <f>IFERROR(VLOOKUP("UD",'Informacion '!P:Q,2,FALSE),"")</f>
        <v>Unidad</v>
      </c>
      <c r="D5642" s="94">
        <v>28</v>
      </c>
      <c r="E5642" s="84">
        <v>89.08</v>
      </c>
      <c r="F5642" s="83">
        <f t="shared" ca="1" si="245"/>
        <v>2494.2399999999998</v>
      </c>
    </row>
    <row r="5643" spans="1:6" ht="14.1" customHeight="1" x14ac:dyDescent="0.25">
      <c r="A5643" s="94" t="s">
        <v>5943</v>
      </c>
      <c r="B5643" s="82" t="str">
        <f ca="1">IFERROR(INDEX(UNSPSCDes,MATCH(INDIRECT(ADDRESS(ROW(),COLUMN()-1,4)),UNSPSCCode,0)),IF(INDIRECT(ADDRESS(ROW(),COLUMN()-1,4))="51131607","Enoxaparina sódica",""))</f>
        <v>Enoxaparina sódica</v>
      </c>
      <c r="C5643" s="95" t="str">
        <f>IFERROR(VLOOKUP("UD",'Informacion '!P:Q,2,FALSE),"")</f>
        <v>Unidad</v>
      </c>
      <c r="D5643" s="94">
        <v>468</v>
      </c>
      <c r="E5643" s="84">
        <v>140.35</v>
      </c>
      <c r="F5643" s="83">
        <f t="shared" ca="1" si="245"/>
        <v>65683.8</v>
      </c>
    </row>
    <row r="5644" spans="1:6" ht="14.1" customHeight="1" x14ac:dyDescent="0.25">
      <c r="A5644" s="94" t="s">
        <v>12302</v>
      </c>
      <c r="B5644" s="82" t="str">
        <f ca="1">IFERROR(INDEX(UNSPSCDes,MATCH(INDIRECT(ADDRESS(ROW(),COLUMN()-1,4)),UNSPSCCode,0)),IF(INDIRECT(ADDRESS(ROW(),COLUMN()-1,4))="51141507","Fenitoína",""))</f>
        <v>Fenitoína</v>
      </c>
      <c r="C5644" s="95" t="str">
        <f>IFERROR(VLOOKUP("UD",'Informacion '!P:Q,2,FALSE),"")</f>
        <v>Unidad</v>
      </c>
      <c r="D5644" s="94">
        <v>394</v>
      </c>
      <c r="E5644" s="84">
        <v>318.86</v>
      </c>
      <c r="F5644" s="83">
        <f t="shared" ca="1" si="245"/>
        <v>125630.84000000001</v>
      </c>
    </row>
    <row r="5645" spans="1:6" ht="14.1" customHeight="1" x14ac:dyDescent="0.25">
      <c r="A5645" s="94" t="s">
        <v>6327</v>
      </c>
      <c r="B5645" s="82" t="str">
        <f ca="1">IFERROR(INDEX(UNSPSCDes,MATCH(INDIRECT(ADDRESS(ROW(),COLUMN()-1,4)),UNSPSCCode,0)),IF(INDIRECT(ADDRESS(ROW(),COLUMN()-1,4))="51171606","Sulfato de magnesio",""))</f>
        <v>Sulfato de magnesio</v>
      </c>
      <c r="C5645" s="95" t="str">
        <f>IFERROR(VLOOKUP("UD",'Informacion '!P:Q,2,FALSE),"")</f>
        <v>Unidad</v>
      </c>
      <c r="D5645" s="94">
        <v>191</v>
      </c>
      <c r="E5645" s="84">
        <v>14</v>
      </c>
      <c r="F5645" s="83">
        <f t="shared" ca="1" si="245"/>
        <v>2674</v>
      </c>
    </row>
    <row r="5646" spans="1:6" ht="14.1" customHeight="1" x14ac:dyDescent="0.25">
      <c r="A5646" s="94" t="s">
        <v>15432</v>
      </c>
      <c r="B5646" s="82" t="str">
        <f ca="1">IFERROR(INDEX(UNSPSCDes,MATCH(INDIRECT(ADDRESS(ROW(),COLUMN()-1,4)),UNSPSCCode,0)),IF(INDIRECT(ADDRESS(ROW(),COLUMN()-1,4))="51141518","Levetiracetam",""))</f>
        <v>Levetiracetam</v>
      </c>
      <c r="C5646" s="95" t="str">
        <f>IFERROR(VLOOKUP("UD",'Informacion '!P:Q,2,FALSE),"")</f>
        <v>Unidad</v>
      </c>
      <c r="D5646" s="94">
        <v>53</v>
      </c>
      <c r="E5646" s="84">
        <v>566.94000000000005</v>
      </c>
      <c r="F5646" s="83">
        <f t="shared" ca="1" si="245"/>
        <v>30047.820000000003</v>
      </c>
    </row>
    <row r="5647" spans="1:6" ht="14.1" customHeight="1" x14ac:dyDescent="0.25">
      <c r="A5647" s="94" t="s">
        <v>15432</v>
      </c>
      <c r="B5647" s="82" t="str">
        <f ca="1">IFERROR(INDEX(UNSPSCDes,MATCH(INDIRECT(ADDRESS(ROW(),COLUMN()-1,4)),UNSPSCCode,0)),IF(INDIRECT(ADDRESS(ROW(),COLUMN()-1,4))="51141518","Levetiracetam",""))</f>
        <v>Levetiracetam</v>
      </c>
      <c r="C5647" s="95" t="str">
        <f>IFERROR(VLOOKUP("UD",'Informacion '!P:Q,2,FALSE),"")</f>
        <v>Unidad</v>
      </c>
      <c r="D5647" s="94">
        <v>3</v>
      </c>
      <c r="E5647" s="84">
        <v>669</v>
      </c>
      <c r="F5647" s="83">
        <f t="shared" ca="1" si="245"/>
        <v>2007</v>
      </c>
    </row>
    <row r="5648" spans="1:6" ht="14.1" customHeight="1" x14ac:dyDescent="0.25">
      <c r="A5648" s="94" t="s">
        <v>6379</v>
      </c>
      <c r="B5648" s="82" t="str">
        <f ca="1">IFERROR(INDEX(UNSPSCDes,MATCH(INDIRECT(ADDRESS(ROW(),COLUMN()-1,4)),UNSPSCCode,0)),IF(INDIRECT(ADDRESS(ROW(),COLUMN()-1,4))="51141702","Haloperidol",""))</f>
        <v>Haloperidol</v>
      </c>
      <c r="C5648" s="95" t="str">
        <f>IFERROR(VLOOKUP("UD",'Informacion '!P:Q,2,FALSE),"")</f>
        <v>Unidad</v>
      </c>
      <c r="D5648" s="94">
        <v>18</v>
      </c>
      <c r="E5648" s="84">
        <v>32.47</v>
      </c>
      <c r="F5648" s="83">
        <f t="shared" ca="1" si="245"/>
        <v>584.46</v>
      </c>
    </row>
    <row r="5649" spans="1:10" ht="14.1" customHeight="1" x14ac:dyDescent="0.25">
      <c r="A5649" s="94" t="s">
        <v>11765</v>
      </c>
      <c r="B5649" s="82" t="str">
        <f ca="1">IFERROR(INDEX(UNSPSCDes,MATCH(INDIRECT(ADDRESS(ROW(),COLUMN()-1,4)),UNSPSCCode,0)),IF(INDIRECT(ADDRESS(ROW(),COLUMN()-1,4))="51141513","Carbamazepina",""))</f>
        <v>Carbamazepina</v>
      </c>
      <c r="C5649" s="95" t="str">
        <f>IFERROR(VLOOKUP("UD",'Informacion '!P:Q,2,FALSE),"")</f>
        <v>Unidad</v>
      </c>
      <c r="D5649" s="94">
        <v>5</v>
      </c>
      <c r="E5649" s="84">
        <v>0.77</v>
      </c>
      <c r="F5649" s="83">
        <f t="shared" ca="1" si="245"/>
        <v>3.85</v>
      </c>
    </row>
    <row r="5650" spans="1:10" ht="14.1" customHeight="1" x14ac:dyDescent="0.25">
      <c r="E5650" s="96" t="s">
        <v>7213</v>
      </c>
      <c r="F5650" s="87">
        <f ca="1">SUM(Table148[MONTO TOTAL ESTIMADO])</f>
        <v>233661.42</v>
      </c>
      <c r="H5650" s="39" t="str">
        <f>C5632</f>
        <v>Bienes</v>
      </c>
      <c r="I5650" s="39" t="str">
        <f>E5632</f>
        <v>No</v>
      </c>
      <c r="J5650" s="39" t="str">
        <f>D5632</f>
        <v>Compras Menores</v>
      </c>
    </row>
    <row r="5652" spans="1:10" ht="33.950000000000003" customHeight="1" x14ac:dyDescent="0.25">
      <c r="A5652" s="77" t="s">
        <v>17233</v>
      </c>
      <c r="B5652" s="77" t="s">
        <v>4237</v>
      </c>
      <c r="C5652" s="77" t="s">
        <v>4743</v>
      </c>
      <c r="D5652" s="77" t="s">
        <v>9891</v>
      </c>
      <c r="E5652" s="77" t="s">
        <v>3089</v>
      </c>
      <c r="F5652" s="77" t="s">
        <v>18141</v>
      </c>
    </row>
    <row r="5653" spans="1:10" ht="14.1" customHeight="1" x14ac:dyDescent="0.25">
      <c r="A5653" s="79" t="s">
        <v>2713</v>
      </c>
      <c r="B5653" s="79" t="s">
        <v>2182</v>
      </c>
      <c r="C5653" s="79" t="s">
        <v>17215</v>
      </c>
      <c r="D5653" s="79" t="s">
        <v>17798</v>
      </c>
      <c r="E5653" s="79" t="s">
        <v>18247</v>
      </c>
      <c r="F5653" s="79"/>
    </row>
    <row r="5654" spans="1:10" ht="14.1" customHeight="1" x14ac:dyDescent="0.25">
      <c r="A5654" s="2" t="s">
        <v>6643</v>
      </c>
      <c r="B5654" s="80" t="s">
        <v>1046</v>
      </c>
      <c r="C5654" s="90">
        <v>43647</v>
      </c>
      <c r="D5654" s="2" t="s">
        <v>59</v>
      </c>
      <c r="E5654" s="92" t="s">
        <v>20066</v>
      </c>
      <c r="F5654" s="93" t="s">
        <v>5684</v>
      </c>
    </row>
    <row r="5655" spans="1:10" ht="14.1" customHeight="1" x14ac:dyDescent="0.25">
      <c r="A5655" s="1"/>
      <c r="B5655" s="80" t="s">
        <v>10788</v>
      </c>
      <c r="C5655" s="91">
        <f>IF(C5654="","",IF(AND(MONTH(C5654)&gt;=1,MONTH(C5654)&lt;=3),1,IF(AND(MONTH(C5654)&gt;=4,MONTH(C5654)&lt;=6),2,IF(AND(MONTH(C5654)&gt;=7,MONTH(C5654)&lt;=9),3,4))))</f>
        <v>3</v>
      </c>
      <c r="D5655" s="1"/>
      <c r="E5655" s="92" t="s">
        <v>14822</v>
      </c>
      <c r="F5655" s="93"/>
    </row>
    <row r="5656" spans="1:10" ht="14.1" customHeight="1" x14ac:dyDescent="0.25">
      <c r="A5656" s="1"/>
      <c r="B5656" s="80" t="s">
        <v>13758</v>
      </c>
      <c r="C5656" s="90">
        <v>43708</v>
      </c>
      <c r="D5656" s="1"/>
      <c r="E5656" s="92" t="s">
        <v>18636</v>
      </c>
      <c r="F5656" s="93"/>
    </row>
    <row r="5657" spans="1:10" ht="14.1" customHeight="1" x14ac:dyDescent="0.25">
      <c r="A5657" s="1"/>
      <c r="B5657" s="80" t="s">
        <v>10788</v>
      </c>
      <c r="C5657" s="91">
        <f>IF(C5656="","",IF(AND(MONTH(C5656)&gt;=1,MONTH(C5656)&lt;=3),1,IF(AND(MONTH(C5656)&gt;=4,MONTH(C5656)&lt;=6),2,IF(AND(MONTH(C5656)&gt;=7,MONTH(C5656)&lt;=9),3,4))))</f>
        <v>3</v>
      </c>
      <c r="D5657" s="1"/>
      <c r="E5657" s="92" t="s">
        <v>15990</v>
      </c>
      <c r="F5657" s="93"/>
    </row>
    <row r="5659" spans="1:10" ht="14.1" customHeight="1" x14ac:dyDescent="0.25">
      <c r="A5659" s="85" t="s">
        <v>15474</v>
      </c>
      <c r="B5659" s="85" t="s">
        <v>5027</v>
      </c>
      <c r="C5659" s="85" t="s">
        <v>17461</v>
      </c>
      <c r="D5659" s="85" t="s">
        <v>3935</v>
      </c>
      <c r="E5659" s="85" t="s">
        <v>10722</v>
      </c>
      <c r="F5659" s="85" t="s">
        <v>18237</v>
      </c>
    </row>
    <row r="5660" spans="1:10" ht="14.1" customHeight="1" x14ac:dyDescent="0.25">
      <c r="A5660" s="94" t="s">
        <v>16970</v>
      </c>
      <c r="B5660" s="82" t="str">
        <f ca="1">IFERROR(INDEX(UNSPSCDes,MATCH(INDIRECT(ADDRESS(ROW(),COLUMN()-1,4)),UNSPSCCode,0)),IF(INDIRECT(ADDRESS(ROW(),COLUMN()-1,4))="51131603","Heparina sódica",""))</f>
        <v>Heparina sódica</v>
      </c>
      <c r="C5660" s="95" t="str">
        <f>IFERROR(VLOOKUP("UD",'Informacion '!P:Q,2,FALSE),"")</f>
        <v>Unidad</v>
      </c>
      <c r="D5660" s="94">
        <v>18</v>
      </c>
      <c r="E5660" s="84">
        <v>130.68</v>
      </c>
      <c r="F5660" s="83">
        <f t="shared" ref="F5660:F5670" ca="1" si="246">INDIRECT(ADDRESS(ROW(),COLUMN()-2,4))*INDIRECT(ADDRESS(ROW(),COLUMN()-1,4))</f>
        <v>2352.2400000000002</v>
      </c>
    </row>
    <row r="5661" spans="1:10" ht="14.1" customHeight="1" x14ac:dyDescent="0.25">
      <c r="A5661" s="94" t="s">
        <v>16970</v>
      </c>
      <c r="B5661" s="82" t="str">
        <f ca="1">IFERROR(INDEX(UNSPSCDes,MATCH(INDIRECT(ADDRESS(ROW(),COLUMN()-1,4)),UNSPSCCode,0)),IF(INDIRECT(ADDRESS(ROW(),COLUMN()-1,4))="51131603","Heparina sódica",""))</f>
        <v>Heparina sódica</v>
      </c>
      <c r="C5661" s="95" t="str">
        <f>IFERROR(VLOOKUP("UD",'Informacion '!P:Q,2,FALSE),"")</f>
        <v>Unidad</v>
      </c>
      <c r="D5661" s="94">
        <v>6</v>
      </c>
      <c r="E5661" s="84">
        <v>103.79</v>
      </c>
      <c r="F5661" s="83">
        <f t="shared" ca="1" si="246"/>
        <v>622.74</v>
      </c>
    </row>
    <row r="5662" spans="1:10" ht="14.1" customHeight="1" x14ac:dyDescent="0.25">
      <c r="A5662" s="94" t="s">
        <v>5943</v>
      </c>
      <c r="B5662" s="82" t="str">
        <f ca="1">IFERROR(INDEX(UNSPSCDes,MATCH(INDIRECT(ADDRESS(ROW(),COLUMN()-1,4)),UNSPSCCode,0)),IF(INDIRECT(ADDRESS(ROW(),COLUMN()-1,4))="51131607","Enoxaparina sódica",""))</f>
        <v>Enoxaparina sódica</v>
      </c>
      <c r="C5662" s="95" t="str">
        <f>IFERROR(VLOOKUP("UD",'Informacion '!P:Q,2,FALSE),"")</f>
        <v>Unidad</v>
      </c>
      <c r="D5662" s="94">
        <v>7</v>
      </c>
      <c r="E5662" s="84">
        <v>299.14999999999998</v>
      </c>
      <c r="F5662" s="83">
        <f t="shared" ca="1" si="246"/>
        <v>2094.0499999999997</v>
      </c>
    </row>
    <row r="5663" spans="1:10" ht="14.1" customHeight="1" x14ac:dyDescent="0.25">
      <c r="A5663" s="94" t="s">
        <v>16970</v>
      </c>
      <c r="B5663" s="82" t="str">
        <f ca="1">IFERROR(INDEX(UNSPSCDes,MATCH(INDIRECT(ADDRESS(ROW(),COLUMN()-1,4)),UNSPSCCode,0)),IF(INDIRECT(ADDRESS(ROW(),COLUMN()-1,4))="51131603","Heparina sódica",""))</f>
        <v>Heparina sódica</v>
      </c>
      <c r="C5663" s="95" t="str">
        <f>IFERROR(VLOOKUP("UD",'Informacion '!P:Q,2,FALSE),"")</f>
        <v>Unidad</v>
      </c>
      <c r="D5663" s="94">
        <v>29</v>
      </c>
      <c r="E5663" s="84">
        <v>89.08</v>
      </c>
      <c r="F5663" s="83">
        <f t="shared" ca="1" si="246"/>
        <v>2583.3200000000002</v>
      </c>
    </row>
    <row r="5664" spans="1:10" ht="14.1" customHeight="1" x14ac:dyDescent="0.25">
      <c r="A5664" s="94" t="s">
        <v>5943</v>
      </c>
      <c r="B5664" s="82" t="str">
        <f ca="1">IFERROR(INDEX(UNSPSCDes,MATCH(INDIRECT(ADDRESS(ROW(),COLUMN()-1,4)),UNSPSCCode,0)),IF(INDIRECT(ADDRESS(ROW(),COLUMN()-1,4))="51131607","Enoxaparina sódica",""))</f>
        <v>Enoxaparina sódica</v>
      </c>
      <c r="C5664" s="95" t="str">
        <f>IFERROR(VLOOKUP("UD",'Informacion '!P:Q,2,FALSE),"")</f>
        <v>Unidad</v>
      </c>
      <c r="D5664" s="94">
        <v>478</v>
      </c>
      <c r="E5664" s="84">
        <v>140.35</v>
      </c>
      <c r="F5664" s="83">
        <f t="shared" ca="1" si="246"/>
        <v>67087.3</v>
      </c>
    </row>
    <row r="5665" spans="1:10" ht="14.1" customHeight="1" x14ac:dyDescent="0.25">
      <c r="A5665" s="94" t="s">
        <v>12302</v>
      </c>
      <c r="B5665" s="82" t="str">
        <f ca="1">IFERROR(INDEX(UNSPSCDes,MATCH(INDIRECT(ADDRESS(ROW(),COLUMN()-1,4)),UNSPSCCode,0)),IF(INDIRECT(ADDRESS(ROW(),COLUMN()-1,4))="51141507","Fenitoína",""))</f>
        <v>Fenitoína</v>
      </c>
      <c r="C5665" s="95" t="str">
        <f>IFERROR(VLOOKUP("UD",'Informacion '!P:Q,2,FALSE),"")</f>
        <v>Unidad</v>
      </c>
      <c r="D5665" s="94">
        <v>402</v>
      </c>
      <c r="E5665" s="84">
        <v>318.86</v>
      </c>
      <c r="F5665" s="83">
        <f t="shared" ca="1" si="246"/>
        <v>128181.72</v>
      </c>
    </row>
    <row r="5666" spans="1:10" ht="14.1" customHeight="1" x14ac:dyDescent="0.25">
      <c r="A5666" s="94" t="s">
        <v>6327</v>
      </c>
      <c r="B5666" s="82" t="str">
        <f ca="1">IFERROR(INDEX(UNSPSCDes,MATCH(INDIRECT(ADDRESS(ROW(),COLUMN()-1,4)),UNSPSCCode,0)),IF(INDIRECT(ADDRESS(ROW(),COLUMN()-1,4))="51171606","Sulfato de magnesio",""))</f>
        <v>Sulfato de magnesio</v>
      </c>
      <c r="C5666" s="95" t="str">
        <f>IFERROR(VLOOKUP("UD",'Informacion '!P:Q,2,FALSE),"")</f>
        <v>Unidad</v>
      </c>
      <c r="D5666" s="94">
        <v>195</v>
      </c>
      <c r="E5666" s="84">
        <v>14</v>
      </c>
      <c r="F5666" s="83">
        <f t="shared" ca="1" si="246"/>
        <v>2730</v>
      </c>
    </row>
    <row r="5667" spans="1:10" ht="14.1" customHeight="1" x14ac:dyDescent="0.25">
      <c r="A5667" s="94" t="s">
        <v>15432</v>
      </c>
      <c r="B5667" s="82" t="str">
        <f ca="1">IFERROR(INDEX(UNSPSCDes,MATCH(INDIRECT(ADDRESS(ROW(),COLUMN()-1,4)),UNSPSCCode,0)),IF(INDIRECT(ADDRESS(ROW(),COLUMN()-1,4))="51141518","Levetiracetam",""))</f>
        <v>Levetiracetam</v>
      </c>
      <c r="C5667" s="95" t="str">
        <f>IFERROR(VLOOKUP("UD",'Informacion '!P:Q,2,FALSE),"")</f>
        <v>Unidad</v>
      </c>
      <c r="D5667" s="94">
        <v>55</v>
      </c>
      <c r="E5667" s="84">
        <v>566.94000000000005</v>
      </c>
      <c r="F5667" s="83">
        <f t="shared" ca="1" si="246"/>
        <v>31181.700000000004</v>
      </c>
    </row>
    <row r="5668" spans="1:10" ht="14.1" customHeight="1" x14ac:dyDescent="0.25">
      <c r="A5668" s="94" t="s">
        <v>15432</v>
      </c>
      <c r="B5668" s="82" t="str">
        <f ca="1">IFERROR(INDEX(UNSPSCDes,MATCH(INDIRECT(ADDRESS(ROW(),COLUMN()-1,4)),UNSPSCCode,0)),IF(INDIRECT(ADDRESS(ROW(),COLUMN()-1,4))="51141518","Levetiracetam",""))</f>
        <v>Levetiracetam</v>
      </c>
      <c r="C5668" s="95" t="str">
        <f>IFERROR(VLOOKUP("UD",'Informacion '!P:Q,2,FALSE),"")</f>
        <v>Unidad</v>
      </c>
      <c r="D5668" s="94">
        <v>4</v>
      </c>
      <c r="E5668" s="84">
        <v>669</v>
      </c>
      <c r="F5668" s="83">
        <f t="shared" ca="1" si="246"/>
        <v>2676</v>
      </c>
    </row>
    <row r="5669" spans="1:10" ht="14.1" customHeight="1" x14ac:dyDescent="0.25">
      <c r="A5669" s="94" t="s">
        <v>6379</v>
      </c>
      <c r="B5669" s="82" t="str">
        <f ca="1">IFERROR(INDEX(UNSPSCDes,MATCH(INDIRECT(ADDRESS(ROW(),COLUMN()-1,4)),UNSPSCCode,0)),IF(INDIRECT(ADDRESS(ROW(),COLUMN()-1,4))="51141702","Haloperidol",""))</f>
        <v>Haloperidol</v>
      </c>
      <c r="C5669" s="95" t="str">
        <f>IFERROR(VLOOKUP("UD",'Informacion '!P:Q,2,FALSE),"")</f>
        <v>Unidad</v>
      </c>
      <c r="D5669" s="94">
        <v>19</v>
      </c>
      <c r="E5669" s="84">
        <v>32.47</v>
      </c>
      <c r="F5669" s="83">
        <f t="shared" ca="1" si="246"/>
        <v>616.92999999999995</v>
      </c>
    </row>
    <row r="5670" spans="1:10" ht="14.1" customHeight="1" x14ac:dyDescent="0.25">
      <c r="A5670" s="94" t="s">
        <v>11765</v>
      </c>
      <c r="B5670" s="82" t="str">
        <f ca="1">IFERROR(INDEX(UNSPSCDes,MATCH(INDIRECT(ADDRESS(ROW(),COLUMN()-1,4)),UNSPSCCode,0)),IF(INDIRECT(ADDRESS(ROW(),COLUMN()-1,4))="51141513","Carbamazepina",""))</f>
        <v>Carbamazepina</v>
      </c>
      <c r="C5670" s="95" t="str">
        <f>IFERROR(VLOOKUP("UD",'Informacion '!P:Q,2,FALSE),"")</f>
        <v>Unidad</v>
      </c>
      <c r="D5670" s="94">
        <v>6</v>
      </c>
      <c r="E5670" s="84">
        <v>0.77</v>
      </c>
      <c r="F5670" s="83">
        <f t="shared" ca="1" si="246"/>
        <v>4.62</v>
      </c>
    </row>
    <row r="5671" spans="1:10" ht="14.1" customHeight="1" x14ac:dyDescent="0.25">
      <c r="E5671" s="96" t="s">
        <v>7213</v>
      </c>
      <c r="F5671" s="87">
        <f ca="1">SUM(Table149[MONTO TOTAL ESTIMADO])</f>
        <v>240130.62</v>
      </c>
      <c r="H5671" s="39" t="str">
        <f>C5653</f>
        <v>Bienes</v>
      </c>
      <c r="I5671" s="39" t="str">
        <f>E5653</f>
        <v>No</v>
      </c>
      <c r="J5671" s="39" t="str">
        <f>D5653</f>
        <v>Compras Menores</v>
      </c>
    </row>
    <row r="5673" spans="1:10" ht="33.950000000000003" customHeight="1" x14ac:dyDescent="0.25">
      <c r="A5673" s="77" t="s">
        <v>17233</v>
      </c>
      <c r="B5673" s="77" t="s">
        <v>4237</v>
      </c>
      <c r="C5673" s="77" t="s">
        <v>4743</v>
      </c>
      <c r="D5673" s="77" t="s">
        <v>9891</v>
      </c>
      <c r="E5673" s="77" t="s">
        <v>3089</v>
      </c>
      <c r="F5673" s="77" t="s">
        <v>18141</v>
      </c>
    </row>
    <row r="5674" spans="1:10" ht="14.1" customHeight="1" x14ac:dyDescent="0.25">
      <c r="A5674" s="79" t="s">
        <v>6525</v>
      </c>
      <c r="B5674" s="79" t="s">
        <v>2182</v>
      </c>
      <c r="C5674" s="79" t="s">
        <v>17215</v>
      </c>
      <c r="D5674" s="79" t="s">
        <v>17798</v>
      </c>
      <c r="E5674" s="79" t="s">
        <v>18247</v>
      </c>
      <c r="F5674" s="79"/>
    </row>
    <row r="5675" spans="1:10" ht="14.1" customHeight="1" x14ac:dyDescent="0.25">
      <c r="A5675" s="2" t="s">
        <v>6643</v>
      </c>
      <c r="B5675" s="80" t="s">
        <v>1046</v>
      </c>
      <c r="C5675" s="90">
        <v>43739</v>
      </c>
      <c r="D5675" s="2" t="s">
        <v>59</v>
      </c>
      <c r="E5675" s="92" t="s">
        <v>20066</v>
      </c>
      <c r="F5675" s="93" t="s">
        <v>5684</v>
      </c>
    </row>
    <row r="5676" spans="1:10" ht="14.1" customHeight="1" x14ac:dyDescent="0.25">
      <c r="A5676" s="1"/>
      <c r="B5676" s="80" t="s">
        <v>10788</v>
      </c>
      <c r="C5676" s="91">
        <f>IF(C5675="","",IF(AND(MONTH(C5675)&gt;=1,MONTH(C5675)&lt;=3),1,IF(AND(MONTH(C5675)&gt;=4,MONTH(C5675)&lt;=6),2,IF(AND(MONTH(C5675)&gt;=7,MONTH(C5675)&lt;=9),3,4))))</f>
        <v>4</v>
      </c>
      <c r="D5676" s="1"/>
      <c r="E5676" s="92" t="s">
        <v>14822</v>
      </c>
      <c r="F5676" s="93"/>
    </row>
    <row r="5677" spans="1:10" ht="14.1" customHeight="1" x14ac:dyDescent="0.25">
      <c r="A5677" s="1"/>
      <c r="B5677" s="80" t="s">
        <v>13758</v>
      </c>
      <c r="C5677" s="90">
        <v>43830</v>
      </c>
      <c r="D5677" s="1"/>
      <c r="E5677" s="92" t="s">
        <v>18636</v>
      </c>
      <c r="F5677" s="93"/>
    </row>
    <row r="5678" spans="1:10" ht="14.1" customHeight="1" x14ac:dyDescent="0.25">
      <c r="A5678" s="1"/>
      <c r="B5678" s="80" t="s">
        <v>10788</v>
      </c>
      <c r="C5678" s="91">
        <f>IF(C5677="","",IF(AND(MONTH(C5677)&gt;=1,MONTH(C5677)&lt;=3),1,IF(AND(MONTH(C5677)&gt;=4,MONTH(C5677)&lt;=6),2,IF(AND(MONTH(C5677)&gt;=7,MONTH(C5677)&lt;=9),3,4))))</f>
        <v>4</v>
      </c>
      <c r="D5678" s="1"/>
      <c r="E5678" s="92" t="s">
        <v>15990</v>
      </c>
      <c r="F5678" s="93"/>
    </row>
    <row r="5680" spans="1:10" ht="14.1" customHeight="1" x14ac:dyDescent="0.25">
      <c r="A5680" s="85" t="s">
        <v>15474</v>
      </c>
      <c r="B5680" s="85" t="s">
        <v>5027</v>
      </c>
      <c r="C5680" s="85" t="s">
        <v>17461</v>
      </c>
      <c r="D5680" s="85" t="s">
        <v>3935</v>
      </c>
      <c r="E5680" s="85" t="s">
        <v>10722</v>
      </c>
      <c r="F5680" s="85" t="s">
        <v>18237</v>
      </c>
    </row>
    <row r="5681" spans="1:10" ht="14.1" customHeight="1" x14ac:dyDescent="0.25">
      <c r="A5681" s="94" t="s">
        <v>16970</v>
      </c>
      <c r="B5681" s="82" t="str">
        <f ca="1">IFERROR(INDEX(UNSPSCDes,MATCH(INDIRECT(ADDRESS(ROW(),COLUMN()-1,4)),UNSPSCCode,0)),IF(INDIRECT(ADDRESS(ROW(),COLUMN()-1,4))="51131603","Heparina sódica",""))</f>
        <v>Heparina sódica</v>
      </c>
      <c r="C5681" s="95" t="str">
        <f>IFERROR(VLOOKUP("UD",'Informacion '!P:Q,2,FALSE),"")</f>
        <v>Unidad</v>
      </c>
      <c r="D5681" s="94">
        <v>29</v>
      </c>
      <c r="E5681" s="84">
        <v>130.68</v>
      </c>
      <c r="F5681" s="83">
        <f t="shared" ref="F5681:F5691" ca="1" si="247">INDIRECT(ADDRESS(ROW(),COLUMN()-2,4))*INDIRECT(ADDRESS(ROW(),COLUMN()-1,4))</f>
        <v>3789.7200000000003</v>
      </c>
    </row>
    <row r="5682" spans="1:10" ht="14.1" customHeight="1" x14ac:dyDescent="0.25">
      <c r="A5682" s="94" t="s">
        <v>16970</v>
      </c>
      <c r="B5682" s="82" t="str">
        <f ca="1">IFERROR(INDEX(UNSPSCDes,MATCH(INDIRECT(ADDRESS(ROW(),COLUMN()-1,4)),UNSPSCCode,0)),IF(INDIRECT(ADDRESS(ROW(),COLUMN()-1,4))="51131603","Heparina sódica",""))</f>
        <v>Heparina sódica</v>
      </c>
      <c r="C5682" s="95" t="str">
        <f>IFERROR(VLOOKUP("UD",'Informacion '!P:Q,2,FALSE),"")</f>
        <v>Unidad</v>
      </c>
      <c r="D5682" s="94">
        <v>17</v>
      </c>
      <c r="E5682" s="84">
        <v>103.79</v>
      </c>
      <c r="F5682" s="83">
        <f t="shared" ca="1" si="247"/>
        <v>1764.43</v>
      </c>
    </row>
    <row r="5683" spans="1:10" ht="14.1" customHeight="1" x14ac:dyDescent="0.25">
      <c r="A5683" s="94" t="s">
        <v>5943</v>
      </c>
      <c r="B5683" s="82" t="str">
        <f ca="1">IFERROR(INDEX(UNSPSCDes,MATCH(INDIRECT(ADDRESS(ROW(),COLUMN()-1,4)),UNSPSCCode,0)),IF(INDIRECT(ADDRESS(ROW(),COLUMN()-1,4))="51131607","Enoxaparina sódica",""))</f>
        <v>Enoxaparina sódica</v>
      </c>
      <c r="C5683" s="95" t="str">
        <f>IFERROR(VLOOKUP("UD",'Informacion '!P:Q,2,FALSE),"")</f>
        <v>Unidad</v>
      </c>
      <c r="D5683" s="94">
        <v>18</v>
      </c>
      <c r="E5683" s="84">
        <v>299.14999999999998</v>
      </c>
      <c r="F5683" s="83">
        <f t="shared" ca="1" si="247"/>
        <v>5384.7</v>
      </c>
    </row>
    <row r="5684" spans="1:10" ht="14.1" customHeight="1" x14ac:dyDescent="0.25">
      <c r="A5684" s="94" t="s">
        <v>16970</v>
      </c>
      <c r="B5684" s="82" t="str">
        <f ca="1">IFERROR(INDEX(UNSPSCDes,MATCH(INDIRECT(ADDRESS(ROW(),COLUMN()-1,4)),UNSPSCCode,0)),IF(INDIRECT(ADDRESS(ROW(),COLUMN()-1,4))="51131603","Heparina sódica",""))</f>
        <v>Heparina sódica</v>
      </c>
      <c r="C5684" s="95" t="str">
        <f>IFERROR(VLOOKUP("UD",'Informacion '!P:Q,2,FALSE),"")</f>
        <v>Unidad</v>
      </c>
      <c r="D5684" s="94">
        <v>30</v>
      </c>
      <c r="E5684" s="84">
        <v>89.08</v>
      </c>
      <c r="F5684" s="83">
        <f t="shared" ca="1" si="247"/>
        <v>2672.4</v>
      </c>
    </row>
    <row r="5685" spans="1:10" ht="14.1" customHeight="1" x14ac:dyDescent="0.25">
      <c r="A5685" s="94" t="s">
        <v>5943</v>
      </c>
      <c r="B5685" s="82" t="str">
        <f ca="1">IFERROR(INDEX(UNSPSCDes,MATCH(INDIRECT(ADDRESS(ROW(),COLUMN()-1,4)),UNSPSCCode,0)),IF(INDIRECT(ADDRESS(ROW(),COLUMN()-1,4))="51131607","Enoxaparina sódica",""))</f>
        <v>Enoxaparina sódica</v>
      </c>
      <c r="C5685" s="95" t="str">
        <f>IFERROR(VLOOKUP("UD",'Informacion '!P:Q,2,FALSE),"")</f>
        <v>Unidad</v>
      </c>
      <c r="D5685" s="94">
        <v>488</v>
      </c>
      <c r="E5685" s="84">
        <v>140.35</v>
      </c>
      <c r="F5685" s="83">
        <f t="shared" ca="1" si="247"/>
        <v>68490.8</v>
      </c>
    </row>
    <row r="5686" spans="1:10" ht="14.1" customHeight="1" x14ac:dyDescent="0.25">
      <c r="A5686" s="94" t="s">
        <v>12302</v>
      </c>
      <c r="B5686" s="82" t="str">
        <f ca="1">IFERROR(INDEX(UNSPSCDes,MATCH(INDIRECT(ADDRESS(ROW(),COLUMN()-1,4)),UNSPSCCode,0)),IF(INDIRECT(ADDRESS(ROW(),COLUMN()-1,4))="51141507","Fenitoína",""))</f>
        <v>Fenitoína</v>
      </c>
      <c r="C5686" s="95" t="str">
        <f>IFERROR(VLOOKUP("UD",'Informacion '!P:Q,2,FALSE),"")</f>
        <v>Unidad</v>
      </c>
      <c r="D5686" s="94">
        <v>411</v>
      </c>
      <c r="E5686" s="84">
        <v>318.86</v>
      </c>
      <c r="F5686" s="83">
        <f t="shared" ca="1" si="247"/>
        <v>131051.46</v>
      </c>
    </row>
    <row r="5687" spans="1:10" ht="14.1" customHeight="1" x14ac:dyDescent="0.25">
      <c r="A5687" s="94" t="s">
        <v>6327</v>
      </c>
      <c r="B5687" s="82" t="str">
        <f ca="1">IFERROR(INDEX(UNSPSCDes,MATCH(INDIRECT(ADDRESS(ROW(),COLUMN()-1,4)),UNSPSCCode,0)),IF(INDIRECT(ADDRESS(ROW(),COLUMN()-1,4))="51171606","Sulfato de magnesio",""))</f>
        <v>Sulfato de magnesio</v>
      </c>
      <c r="C5687" s="95" t="str">
        <f>IFERROR(VLOOKUP("UD",'Informacion '!P:Q,2,FALSE),"")</f>
        <v>Unidad</v>
      </c>
      <c r="D5687" s="94">
        <v>199</v>
      </c>
      <c r="E5687" s="84">
        <v>14</v>
      </c>
      <c r="F5687" s="83">
        <f t="shared" ca="1" si="247"/>
        <v>2786</v>
      </c>
    </row>
    <row r="5688" spans="1:10" ht="14.1" customHeight="1" x14ac:dyDescent="0.25">
      <c r="A5688" s="94" t="s">
        <v>15432</v>
      </c>
      <c r="B5688" s="82" t="str">
        <f ca="1">IFERROR(INDEX(UNSPSCDes,MATCH(INDIRECT(ADDRESS(ROW(),COLUMN()-1,4)),UNSPSCCode,0)),IF(INDIRECT(ADDRESS(ROW(),COLUMN()-1,4))="51141518","Levetiracetam",""))</f>
        <v>Levetiracetam</v>
      </c>
      <c r="C5688" s="95" t="str">
        <f>IFERROR(VLOOKUP("UD",'Informacion '!P:Q,2,FALSE),"")</f>
        <v>Unidad</v>
      </c>
      <c r="D5688" s="94">
        <v>57</v>
      </c>
      <c r="E5688" s="84">
        <v>566.94000000000005</v>
      </c>
      <c r="F5688" s="83">
        <f t="shared" ca="1" si="247"/>
        <v>32315.58</v>
      </c>
    </row>
    <row r="5689" spans="1:10" ht="14.1" customHeight="1" x14ac:dyDescent="0.25">
      <c r="A5689" s="94" t="s">
        <v>15432</v>
      </c>
      <c r="B5689" s="82" t="str">
        <f ca="1">IFERROR(INDEX(UNSPSCDes,MATCH(INDIRECT(ADDRESS(ROW(),COLUMN()-1,4)),UNSPSCCode,0)),IF(INDIRECT(ADDRESS(ROW(),COLUMN()-1,4))="51141518","Levetiracetam",""))</f>
        <v>Levetiracetam</v>
      </c>
      <c r="C5689" s="95" t="str">
        <f>IFERROR(VLOOKUP("UD",'Informacion '!P:Q,2,FALSE),"")</f>
        <v>Unidad</v>
      </c>
      <c r="D5689" s="94">
        <v>15</v>
      </c>
      <c r="E5689" s="84">
        <v>669</v>
      </c>
      <c r="F5689" s="83">
        <f t="shared" ca="1" si="247"/>
        <v>10035</v>
      </c>
    </row>
    <row r="5690" spans="1:10" ht="14.1" customHeight="1" x14ac:dyDescent="0.25">
      <c r="A5690" s="94" t="s">
        <v>6379</v>
      </c>
      <c r="B5690" s="82" t="str">
        <f ca="1">IFERROR(INDEX(UNSPSCDes,MATCH(INDIRECT(ADDRESS(ROW(),COLUMN()-1,4)),UNSPSCCode,0)),IF(INDIRECT(ADDRESS(ROW(),COLUMN()-1,4))="51141702","Haloperidol",""))</f>
        <v>Haloperidol</v>
      </c>
      <c r="C5690" s="95" t="str">
        <f>IFERROR(VLOOKUP("UD",'Informacion '!P:Q,2,FALSE),"")</f>
        <v>Unidad</v>
      </c>
      <c r="D5690" s="94">
        <v>20</v>
      </c>
      <c r="E5690" s="84">
        <v>32.47</v>
      </c>
      <c r="F5690" s="83">
        <f t="shared" ca="1" si="247"/>
        <v>649.4</v>
      </c>
    </row>
    <row r="5691" spans="1:10" ht="14.1" customHeight="1" x14ac:dyDescent="0.25">
      <c r="A5691" s="94" t="s">
        <v>11765</v>
      </c>
      <c r="B5691" s="82" t="str">
        <f ca="1">IFERROR(INDEX(UNSPSCDes,MATCH(INDIRECT(ADDRESS(ROW(),COLUMN()-1,4)),UNSPSCCode,0)),IF(INDIRECT(ADDRESS(ROW(),COLUMN()-1,4))="51141513","Carbamazepina",""))</f>
        <v>Carbamazepina</v>
      </c>
      <c r="C5691" s="95" t="str">
        <f>IFERROR(VLOOKUP("UD",'Informacion '!P:Q,2,FALSE),"")</f>
        <v>Unidad</v>
      </c>
      <c r="D5691" s="94">
        <v>7</v>
      </c>
      <c r="E5691" s="84">
        <v>0.77</v>
      </c>
      <c r="F5691" s="83">
        <f t="shared" ca="1" si="247"/>
        <v>5.3900000000000006</v>
      </c>
    </row>
    <row r="5692" spans="1:10" ht="14.1" customHeight="1" x14ac:dyDescent="0.25">
      <c r="E5692" s="96" t="s">
        <v>7213</v>
      </c>
      <c r="F5692" s="87">
        <f ca="1">SUM(Table150[MONTO TOTAL ESTIMADO])</f>
        <v>258944.88000000003</v>
      </c>
      <c r="H5692" s="39" t="str">
        <f>C5674</f>
        <v>Bienes</v>
      </c>
      <c r="I5692" s="39" t="str">
        <f>E5674</f>
        <v>No</v>
      </c>
      <c r="J5692" s="39" t="str">
        <f>D5674</f>
        <v>Compras Menores</v>
      </c>
    </row>
    <row r="5694" spans="1:10" ht="33.950000000000003" customHeight="1" x14ac:dyDescent="0.25">
      <c r="A5694" s="77" t="s">
        <v>17233</v>
      </c>
      <c r="B5694" s="77" t="s">
        <v>4237</v>
      </c>
      <c r="C5694" s="77" t="s">
        <v>4743</v>
      </c>
      <c r="D5694" s="77" t="s">
        <v>9891</v>
      </c>
      <c r="E5694" s="77" t="s">
        <v>3089</v>
      </c>
      <c r="F5694" s="77" t="s">
        <v>18141</v>
      </c>
    </row>
    <row r="5695" spans="1:10" ht="14.1" customHeight="1" x14ac:dyDescent="0.25">
      <c r="A5695" s="79" t="s">
        <v>12485</v>
      </c>
      <c r="B5695" s="79" t="s">
        <v>2182</v>
      </c>
      <c r="C5695" s="79" t="s">
        <v>17215</v>
      </c>
      <c r="D5695" s="79" t="s">
        <v>15249</v>
      </c>
      <c r="E5695" s="79" t="s">
        <v>18247</v>
      </c>
      <c r="F5695" s="79"/>
    </row>
    <row r="5696" spans="1:10" ht="14.1" customHeight="1" x14ac:dyDescent="0.25">
      <c r="A5696" s="2" t="s">
        <v>6643</v>
      </c>
      <c r="B5696" s="80" t="s">
        <v>1046</v>
      </c>
      <c r="C5696" s="90">
        <v>43469</v>
      </c>
      <c r="D5696" s="2" t="s">
        <v>59</v>
      </c>
      <c r="E5696" s="92" t="s">
        <v>20066</v>
      </c>
      <c r="F5696" s="93" t="s">
        <v>5684</v>
      </c>
    </row>
    <row r="5697" spans="1:10" ht="14.1" customHeight="1" x14ac:dyDescent="0.25">
      <c r="A5697" s="1"/>
      <c r="B5697" s="80" t="s">
        <v>10788</v>
      </c>
      <c r="C5697" s="91">
        <f>IF(C5696="","",IF(AND(MONTH(C5696)&gt;=1,MONTH(C5696)&lt;=3),1,IF(AND(MONTH(C5696)&gt;=4,MONTH(C5696)&lt;=6),2,IF(AND(MONTH(C5696)&gt;=7,MONTH(C5696)&lt;=9),3,4))))</f>
        <v>1</v>
      </c>
      <c r="D5697" s="1"/>
      <c r="E5697" s="92" t="s">
        <v>14822</v>
      </c>
      <c r="F5697" s="93"/>
    </row>
    <row r="5698" spans="1:10" ht="14.1" customHeight="1" x14ac:dyDescent="0.25">
      <c r="A5698" s="1"/>
      <c r="B5698" s="80" t="s">
        <v>13758</v>
      </c>
      <c r="C5698" s="90">
        <v>43554</v>
      </c>
      <c r="D5698" s="1"/>
      <c r="E5698" s="92" t="s">
        <v>18636</v>
      </c>
      <c r="F5698" s="93"/>
    </row>
    <row r="5699" spans="1:10" ht="14.1" customHeight="1" x14ac:dyDescent="0.25">
      <c r="A5699" s="1"/>
      <c r="B5699" s="80" t="s">
        <v>10788</v>
      </c>
      <c r="C5699" s="91">
        <f>IF(C5698="","",IF(AND(MONTH(C5698)&gt;=1,MONTH(C5698)&lt;=3),1,IF(AND(MONTH(C5698)&gt;=4,MONTH(C5698)&lt;=6),2,IF(AND(MONTH(C5698)&gt;=7,MONTH(C5698)&lt;=9),3,4))))</f>
        <v>1</v>
      </c>
      <c r="D5699" s="1"/>
      <c r="E5699" s="92" t="s">
        <v>15990</v>
      </c>
      <c r="F5699" s="93"/>
    </row>
    <row r="5701" spans="1:10" ht="14.1" customHeight="1" x14ac:dyDescent="0.25">
      <c r="A5701" s="85" t="s">
        <v>15474</v>
      </c>
      <c r="B5701" s="85" t="s">
        <v>5027</v>
      </c>
      <c r="C5701" s="85" t="s">
        <v>17461</v>
      </c>
      <c r="D5701" s="85" t="s">
        <v>3935</v>
      </c>
      <c r="E5701" s="85" t="s">
        <v>10722</v>
      </c>
      <c r="F5701" s="85" t="s">
        <v>18237</v>
      </c>
    </row>
    <row r="5702" spans="1:10" ht="14.1" customHeight="1" x14ac:dyDescent="0.25">
      <c r="A5702" s="94" t="s">
        <v>4252</v>
      </c>
      <c r="B5702" s="82" t="str">
        <f ca="1">IFERROR(INDEX(UNSPSCDes,MATCH(INDIRECT(ADDRESS(ROW(),COLUMN()-1,4)),UNSPSCCode,0)),IF(INDIRECT(ADDRESS(ROW(),COLUMN()-1,4))="51101807","Fluconazol",""))</f>
        <v>Fluconazol</v>
      </c>
      <c r="C5702" s="95" t="str">
        <f>IFERROR(VLOOKUP("UD",'Informacion '!P:Q,2,FALSE),"")</f>
        <v>Unidad</v>
      </c>
      <c r="D5702" s="94">
        <v>33</v>
      </c>
      <c r="E5702" s="84">
        <v>130</v>
      </c>
      <c r="F5702" s="83">
        <f ca="1">INDIRECT(ADDRESS(ROW(),COLUMN()-2,4))*INDIRECT(ADDRESS(ROW(),COLUMN()-1,4))</f>
        <v>4290</v>
      </c>
    </row>
    <row r="5703" spans="1:10" ht="14.1" customHeight="1" x14ac:dyDescent="0.25">
      <c r="A5703" s="94" t="s">
        <v>842</v>
      </c>
      <c r="B5703" s="82" t="str">
        <f ca="1">IFERROR(INDEX(UNSPSCDes,MATCH(INDIRECT(ADDRESS(ROW(),COLUMN()-1,4)),UNSPSCCode,0)),IF(INDIRECT(ADDRESS(ROW(),COLUMN()-1,4))="51101815","Nistatina",""))</f>
        <v>Nistatina</v>
      </c>
      <c r="C5703" s="95" t="str">
        <f>IFERROR(VLOOKUP("UD",'Informacion '!P:Q,2,FALSE),"")</f>
        <v>Unidad</v>
      </c>
      <c r="D5703" s="94">
        <v>2</v>
      </c>
      <c r="E5703" s="84">
        <v>20.93</v>
      </c>
      <c r="F5703" s="83">
        <f ca="1">INDIRECT(ADDRESS(ROW(),COLUMN()-2,4))*INDIRECT(ADDRESS(ROW(),COLUMN()-1,4))</f>
        <v>41.86</v>
      </c>
    </row>
    <row r="5704" spans="1:10" ht="14.1" customHeight="1" x14ac:dyDescent="0.25">
      <c r="A5704" s="94" t="s">
        <v>13947</v>
      </c>
      <c r="B5704" s="82" t="str">
        <f ca="1">IFERROR(INDEX(UNSPSCDes,MATCH(INDIRECT(ADDRESS(ROW(),COLUMN()-1,4)),UNSPSCCode,0)),IF(INDIRECT(ADDRESS(ROW(),COLUMN()-1,4))="51101832","Voriconazol",""))</f>
        <v>Voriconazol</v>
      </c>
      <c r="C5704" s="95" t="str">
        <f>IFERROR(VLOOKUP("UD",'Informacion '!P:Q,2,FALSE),"")</f>
        <v>Unidad</v>
      </c>
      <c r="D5704" s="94">
        <v>61</v>
      </c>
      <c r="E5704" s="84">
        <v>7477.4</v>
      </c>
      <c r="F5704" s="83">
        <f ca="1">INDIRECT(ADDRESS(ROW(),COLUMN()-2,4))*INDIRECT(ADDRESS(ROW(),COLUMN()-1,4))</f>
        <v>456121.39999999997</v>
      </c>
    </row>
    <row r="5705" spans="1:10" ht="14.1" customHeight="1" x14ac:dyDescent="0.25">
      <c r="E5705" s="96" t="s">
        <v>7213</v>
      </c>
      <c r="F5705" s="87">
        <f ca="1">SUM(Table151[MONTO TOTAL ESTIMADO])</f>
        <v>460453.25999999995</v>
      </c>
      <c r="H5705" s="39" t="str">
        <f>C5695</f>
        <v>Bienes</v>
      </c>
      <c r="I5705" s="39" t="str">
        <f>E5695</f>
        <v>No</v>
      </c>
      <c r="J5705" s="39" t="str">
        <f>D5695</f>
        <v>Comparacion de Precios</v>
      </c>
    </row>
    <row r="5707" spans="1:10" ht="33.950000000000003" customHeight="1" x14ac:dyDescent="0.25">
      <c r="A5707" s="77" t="s">
        <v>17233</v>
      </c>
      <c r="B5707" s="77" t="s">
        <v>4237</v>
      </c>
      <c r="C5707" s="77" t="s">
        <v>4743</v>
      </c>
      <c r="D5707" s="77" t="s">
        <v>9891</v>
      </c>
      <c r="E5707" s="77" t="s">
        <v>3089</v>
      </c>
      <c r="F5707" s="77" t="s">
        <v>18141</v>
      </c>
    </row>
    <row r="5708" spans="1:10" ht="14.1" customHeight="1" x14ac:dyDescent="0.25">
      <c r="A5708" s="79" t="s">
        <v>15470</v>
      </c>
      <c r="B5708" s="79" t="s">
        <v>2182</v>
      </c>
      <c r="C5708" s="79" t="s">
        <v>17215</v>
      </c>
      <c r="D5708" s="79" t="s">
        <v>15249</v>
      </c>
      <c r="E5708" s="79" t="s">
        <v>18247</v>
      </c>
      <c r="F5708" s="79"/>
    </row>
    <row r="5709" spans="1:10" ht="14.1" customHeight="1" x14ac:dyDescent="0.25">
      <c r="A5709" s="2" t="s">
        <v>6643</v>
      </c>
      <c r="B5709" s="80" t="s">
        <v>1046</v>
      </c>
      <c r="C5709" s="90">
        <v>43556</v>
      </c>
      <c r="D5709" s="2" t="s">
        <v>59</v>
      </c>
      <c r="E5709" s="92" t="s">
        <v>20066</v>
      </c>
      <c r="F5709" s="93" t="s">
        <v>5684</v>
      </c>
    </row>
    <row r="5710" spans="1:10" ht="14.1" customHeight="1" x14ac:dyDescent="0.25">
      <c r="A5710" s="1"/>
      <c r="B5710" s="80" t="s">
        <v>10788</v>
      </c>
      <c r="C5710" s="91">
        <f>IF(C5709="","",IF(AND(MONTH(C5709)&gt;=1,MONTH(C5709)&lt;=3),1,IF(AND(MONTH(C5709)&gt;=4,MONTH(C5709)&lt;=6),2,IF(AND(MONTH(C5709)&gt;=7,MONTH(C5709)&lt;=9),3,4))))</f>
        <v>2</v>
      </c>
      <c r="D5710" s="1"/>
      <c r="E5710" s="92" t="s">
        <v>14822</v>
      </c>
      <c r="F5710" s="93"/>
    </row>
    <row r="5711" spans="1:10" ht="14.1" customHeight="1" x14ac:dyDescent="0.25">
      <c r="A5711" s="1"/>
      <c r="B5711" s="80" t="s">
        <v>13758</v>
      </c>
      <c r="C5711" s="90">
        <v>43645</v>
      </c>
      <c r="D5711" s="1"/>
      <c r="E5711" s="92" t="s">
        <v>18636</v>
      </c>
      <c r="F5711" s="93"/>
    </row>
    <row r="5712" spans="1:10" ht="14.1" customHeight="1" x14ac:dyDescent="0.25">
      <c r="A5712" s="1"/>
      <c r="B5712" s="80" t="s">
        <v>10788</v>
      </c>
      <c r="C5712" s="91">
        <f>IF(C5711="","",IF(AND(MONTH(C5711)&gt;=1,MONTH(C5711)&lt;=3),1,IF(AND(MONTH(C5711)&gt;=4,MONTH(C5711)&lt;=6),2,IF(AND(MONTH(C5711)&gt;=7,MONTH(C5711)&lt;=9),3,4))))</f>
        <v>2</v>
      </c>
      <c r="D5712" s="1"/>
      <c r="E5712" s="92" t="s">
        <v>15990</v>
      </c>
      <c r="F5712" s="93"/>
    </row>
    <row r="5714" spans="1:10" ht="14.1" customHeight="1" x14ac:dyDescent="0.25">
      <c r="A5714" s="85" t="s">
        <v>15474</v>
      </c>
      <c r="B5714" s="85" t="s">
        <v>5027</v>
      </c>
      <c r="C5714" s="85" t="s">
        <v>17461</v>
      </c>
      <c r="D5714" s="85" t="s">
        <v>3935</v>
      </c>
      <c r="E5714" s="85" t="s">
        <v>10722</v>
      </c>
      <c r="F5714" s="85" t="s">
        <v>18237</v>
      </c>
    </row>
    <row r="5715" spans="1:10" ht="14.1" customHeight="1" x14ac:dyDescent="0.25">
      <c r="A5715" s="94" t="s">
        <v>4252</v>
      </c>
      <c r="B5715" s="82" t="str">
        <f ca="1">IFERROR(INDEX(UNSPSCDes,MATCH(INDIRECT(ADDRESS(ROW(),COLUMN()-1,4)),UNSPSCCode,0)),IF(INDIRECT(ADDRESS(ROW(),COLUMN()-1,4))="51101807","Fluconazol",""))</f>
        <v>Fluconazol</v>
      </c>
      <c r="C5715" s="95" t="str">
        <f>IFERROR(VLOOKUP("UD",'Informacion '!P:Q,2,FALSE),"")</f>
        <v>Unidad</v>
      </c>
      <c r="D5715" s="94">
        <v>34</v>
      </c>
      <c r="E5715" s="84">
        <v>130</v>
      </c>
      <c r="F5715" s="83">
        <f ca="1">INDIRECT(ADDRESS(ROW(),COLUMN()-2,4))*INDIRECT(ADDRESS(ROW(),COLUMN()-1,4))</f>
        <v>4420</v>
      </c>
    </row>
    <row r="5716" spans="1:10" ht="14.1" customHeight="1" x14ac:dyDescent="0.25">
      <c r="A5716" s="94" t="s">
        <v>842</v>
      </c>
      <c r="B5716" s="82" t="str">
        <f ca="1">IFERROR(INDEX(UNSPSCDes,MATCH(INDIRECT(ADDRESS(ROW(),COLUMN()-1,4)),UNSPSCCode,0)),IF(INDIRECT(ADDRESS(ROW(),COLUMN()-1,4))="51101815","Nistatina",""))</f>
        <v>Nistatina</v>
      </c>
      <c r="C5716" s="95" t="str">
        <f>IFERROR(VLOOKUP("UD",'Informacion '!P:Q,2,FALSE),"")</f>
        <v>Unidad</v>
      </c>
      <c r="D5716" s="94">
        <v>3</v>
      </c>
      <c r="E5716" s="84">
        <v>20.93</v>
      </c>
      <c r="F5716" s="83">
        <f ca="1">INDIRECT(ADDRESS(ROW(),COLUMN()-2,4))*INDIRECT(ADDRESS(ROW(),COLUMN()-1,4))</f>
        <v>62.79</v>
      </c>
    </row>
    <row r="5717" spans="1:10" ht="14.1" customHeight="1" x14ac:dyDescent="0.25">
      <c r="A5717" s="94" t="s">
        <v>13947</v>
      </c>
      <c r="B5717" s="82" t="str">
        <f ca="1">IFERROR(INDEX(UNSPSCDes,MATCH(INDIRECT(ADDRESS(ROW(),COLUMN()-1,4)),UNSPSCCode,0)),IF(INDIRECT(ADDRESS(ROW(),COLUMN()-1,4))="51101832","Voriconazol",""))</f>
        <v>Voriconazol</v>
      </c>
      <c r="C5717" s="95" t="str">
        <f>IFERROR(VLOOKUP("UD",'Informacion '!P:Q,2,FALSE),"")</f>
        <v>Unidad</v>
      </c>
      <c r="D5717" s="94">
        <v>63</v>
      </c>
      <c r="E5717" s="84">
        <v>7477.4</v>
      </c>
      <c r="F5717" s="83">
        <f ca="1">INDIRECT(ADDRESS(ROW(),COLUMN()-2,4))*INDIRECT(ADDRESS(ROW(),COLUMN()-1,4))</f>
        <v>471076.19999999995</v>
      </c>
    </row>
    <row r="5718" spans="1:10" ht="14.1" customHeight="1" x14ac:dyDescent="0.25">
      <c r="E5718" s="96" t="s">
        <v>7213</v>
      </c>
      <c r="F5718" s="87">
        <f ca="1">SUM(Table152[MONTO TOTAL ESTIMADO])</f>
        <v>475558.98999999993</v>
      </c>
      <c r="H5718" s="39" t="str">
        <f>C5708</f>
        <v>Bienes</v>
      </c>
      <c r="I5718" s="39" t="str">
        <f>E5708</f>
        <v>No</v>
      </c>
      <c r="J5718" s="39" t="str">
        <f>D5708</f>
        <v>Comparacion de Precios</v>
      </c>
    </row>
    <row r="5720" spans="1:10" ht="33.950000000000003" customHeight="1" x14ac:dyDescent="0.25">
      <c r="A5720" s="77" t="s">
        <v>17233</v>
      </c>
      <c r="B5720" s="77" t="s">
        <v>4237</v>
      </c>
      <c r="C5720" s="77" t="s">
        <v>4743</v>
      </c>
      <c r="D5720" s="77" t="s">
        <v>9891</v>
      </c>
      <c r="E5720" s="77" t="s">
        <v>3089</v>
      </c>
      <c r="F5720" s="77" t="s">
        <v>18141</v>
      </c>
    </row>
    <row r="5721" spans="1:10" ht="14.1" customHeight="1" x14ac:dyDescent="0.25">
      <c r="A5721" s="79" t="s">
        <v>3516</v>
      </c>
      <c r="B5721" s="79" t="s">
        <v>17223</v>
      </c>
      <c r="C5721" s="79" t="s">
        <v>17215</v>
      </c>
      <c r="D5721" s="79" t="s">
        <v>15249</v>
      </c>
      <c r="E5721" s="79" t="s">
        <v>18247</v>
      </c>
      <c r="F5721" s="79"/>
    </row>
    <row r="5722" spans="1:10" ht="14.1" customHeight="1" x14ac:dyDescent="0.25">
      <c r="A5722" s="2" t="s">
        <v>6643</v>
      </c>
      <c r="B5722" s="80" t="s">
        <v>1046</v>
      </c>
      <c r="C5722" s="90">
        <v>43647</v>
      </c>
      <c r="D5722" s="2" t="s">
        <v>59</v>
      </c>
      <c r="E5722" s="92" t="s">
        <v>20066</v>
      </c>
      <c r="F5722" s="93"/>
    </row>
    <row r="5723" spans="1:10" ht="14.1" customHeight="1" x14ac:dyDescent="0.25">
      <c r="A5723" s="1"/>
      <c r="B5723" s="80" t="s">
        <v>10788</v>
      </c>
      <c r="C5723" s="91">
        <f>IF(C5722="","",IF(AND(MONTH(C5722)&gt;=1,MONTH(C5722)&lt;=3),1,IF(AND(MONTH(C5722)&gt;=4,MONTH(C5722)&lt;=6),2,IF(AND(MONTH(C5722)&gt;=7,MONTH(C5722)&lt;=9),3,4))))</f>
        <v>3</v>
      </c>
      <c r="D5723" s="1"/>
      <c r="E5723" s="92" t="s">
        <v>14822</v>
      </c>
      <c r="F5723" s="93"/>
    </row>
    <row r="5724" spans="1:10" ht="14.1" customHeight="1" x14ac:dyDescent="0.25">
      <c r="A5724" s="1"/>
      <c r="B5724" s="80" t="s">
        <v>13758</v>
      </c>
      <c r="C5724" s="90">
        <v>43738</v>
      </c>
      <c r="D5724" s="1"/>
      <c r="E5724" s="92" t="s">
        <v>18636</v>
      </c>
      <c r="F5724" s="93"/>
    </row>
    <row r="5725" spans="1:10" ht="14.1" customHeight="1" x14ac:dyDescent="0.25">
      <c r="A5725" s="1"/>
      <c r="B5725" s="80" t="s">
        <v>10788</v>
      </c>
      <c r="C5725" s="91">
        <f>IF(C5724="","",IF(AND(MONTH(C5724)&gt;=1,MONTH(C5724)&lt;=3),1,IF(AND(MONTH(C5724)&gt;=4,MONTH(C5724)&lt;=6),2,IF(AND(MONTH(C5724)&gt;=7,MONTH(C5724)&lt;=9),3,4))))</f>
        <v>3</v>
      </c>
      <c r="D5725" s="1"/>
      <c r="E5725" s="92" t="s">
        <v>15990</v>
      </c>
      <c r="F5725" s="93"/>
    </row>
    <row r="5727" spans="1:10" ht="14.1" customHeight="1" x14ac:dyDescent="0.25">
      <c r="A5727" s="85" t="s">
        <v>15474</v>
      </c>
      <c r="B5727" s="85" t="s">
        <v>5027</v>
      </c>
      <c r="C5727" s="85" t="s">
        <v>17461</v>
      </c>
      <c r="D5727" s="85" t="s">
        <v>3935</v>
      </c>
      <c r="E5727" s="85" t="s">
        <v>10722</v>
      </c>
      <c r="F5727" s="85" t="s">
        <v>18237</v>
      </c>
    </row>
    <row r="5728" spans="1:10" ht="14.1" customHeight="1" x14ac:dyDescent="0.25">
      <c r="A5728" s="94" t="s">
        <v>17652</v>
      </c>
      <c r="B5728" s="82" t="str">
        <f ca="1">IFERROR(INDEX(UNSPSCDes,MATCH(INDIRECT(ADDRESS(ROW(),COLUMN()-1,4)),UNSPSCCode,0)),IF(INDIRECT(ADDRESS(ROW(),COLUMN()-1,4))="51171513","Dihidroxialuminio-carbonato de sodio",""))</f>
        <v>Dihidroxialuminio-carbonato de sodio</v>
      </c>
      <c r="C5728" s="95" t="str">
        <f>IFERROR(VLOOKUP("UD",'Informacion '!P:Q,2,FALSE),"")</f>
        <v>Unidad</v>
      </c>
      <c r="D5728" s="94">
        <v>29</v>
      </c>
      <c r="E5728" s="84">
        <v>46.15</v>
      </c>
      <c r="F5728" s="83">
        <f t="shared" ref="F5728:F5757" ca="1" si="248">INDIRECT(ADDRESS(ROW(),COLUMN()-2,4))*INDIRECT(ADDRESS(ROW(),COLUMN()-1,4))</f>
        <v>1338.35</v>
      </c>
    </row>
    <row r="5729" spans="1:6" ht="14.1" customHeight="1" x14ac:dyDescent="0.25">
      <c r="A5729" s="94" t="s">
        <v>10723</v>
      </c>
      <c r="B5729" s="82" t="str">
        <f ca="1">IFERROR(INDEX(UNSPSCDes,MATCH(INDIRECT(ADDRESS(ROW(),COLUMN()-1,4)),UNSPSCCode,0)),IF(INDIRECT(ADDRESS(ROW(),COLUMN()-1,4))="51101567","Ampicilina",""))</f>
        <v>Ampicilina</v>
      </c>
      <c r="C5729" s="95" t="str">
        <f>IFERROR(VLOOKUP("UD",'Informacion '!P:Q,2,FALSE),"")</f>
        <v>Unidad</v>
      </c>
      <c r="D5729" s="94">
        <v>3</v>
      </c>
      <c r="E5729" s="84">
        <v>24.9</v>
      </c>
      <c r="F5729" s="83">
        <f t="shared" ca="1" si="248"/>
        <v>74.699999999999989</v>
      </c>
    </row>
    <row r="5730" spans="1:6" ht="14.1" customHeight="1" x14ac:dyDescent="0.25">
      <c r="A5730" s="94" t="s">
        <v>5834</v>
      </c>
      <c r="B5730" s="82" t="str">
        <f ca="1">IFERROR(INDEX(UNSPSCDes,MATCH(INDIRECT(ADDRESS(ROW(),COLUMN()-1,4)),UNSPSCCode,0)),IF(INDIRECT(ADDRESS(ROW(),COLUMN()-1,4))="51101551","Ceftriaxona",""))</f>
        <v>Ceftriaxona</v>
      </c>
      <c r="C5730" s="95" t="str">
        <f>IFERROR(VLOOKUP("UD",'Informacion '!P:Q,2,FALSE),"")</f>
        <v>Unidad</v>
      </c>
      <c r="D5730" s="94">
        <v>4</v>
      </c>
      <c r="E5730" s="84">
        <v>2.34</v>
      </c>
      <c r="F5730" s="83">
        <f t="shared" ca="1" si="248"/>
        <v>9.36</v>
      </c>
    </row>
    <row r="5731" spans="1:6" ht="14.1" customHeight="1" x14ac:dyDescent="0.25">
      <c r="A5731" s="94" t="s">
        <v>1761</v>
      </c>
      <c r="B5731" s="82" t="str">
        <f ca="1">IFERROR(INDEX(UNSPSCDes,MATCH(INDIRECT(ADDRESS(ROW(),COLUMN()-1,4)),UNSPSCCode,0)),IF(INDIRECT(ADDRESS(ROW(),COLUMN()-1,4))="51101593","Cefotaxima",""))</f>
        <v>Cefotaxima</v>
      </c>
      <c r="C5731" s="95" t="str">
        <f>IFERROR(VLOOKUP("UD",'Informacion '!P:Q,2,FALSE),"")</f>
        <v>Unidad</v>
      </c>
      <c r="D5731" s="94">
        <v>31</v>
      </c>
      <c r="E5731" s="84">
        <v>15.95</v>
      </c>
      <c r="F5731" s="83">
        <f t="shared" ca="1" si="248"/>
        <v>494.45</v>
      </c>
    </row>
    <row r="5732" spans="1:6" ht="14.1" customHeight="1" x14ac:dyDescent="0.25">
      <c r="A5732" s="94" t="s">
        <v>12333</v>
      </c>
      <c r="B5732" s="82" t="str">
        <f ca="1">IFERROR(INDEX(UNSPSCDes,MATCH(INDIRECT(ADDRESS(ROW(),COLUMN()-1,4)),UNSPSCCode,0)),IF(INDIRECT(ADDRESS(ROW(),COLUMN()-1,4))="51101542","Ciprofloxacina",""))</f>
        <v>Ciprofloxacina</v>
      </c>
      <c r="C5732" s="95" t="str">
        <f>IFERROR(VLOOKUP("UD",'Informacion '!P:Q,2,FALSE),"")</f>
        <v>Unidad</v>
      </c>
      <c r="D5732" s="94">
        <v>3</v>
      </c>
      <c r="E5732" s="84">
        <v>273.20999999999998</v>
      </c>
      <c r="F5732" s="83">
        <f t="shared" ca="1" si="248"/>
        <v>819.62999999999988</v>
      </c>
    </row>
    <row r="5733" spans="1:6" ht="14.1" customHeight="1" x14ac:dyDescent="0.25">
      <c r="A5733" s="94" t="s">
        <v>12333</v>
      </c>
      <c r="B5733" s="82" t="str">
        <f ca="1">IFERROR(INDEX(UNSPSCDes,MATCH(INDIRECT(ADDRESS(ROW(),COLUMN()-1,4)),UNSPSCCode,0)),IF(INDIRECT(ADDRESS(ROW(),COLUMN()-1,4))="51101542","Ciprofloxacina",""))</f>
        <v>Ciprofloxacina</v>
      </c>
      <c r="C5733" s="95" t="str">
        <f>IFERROR(VLOOKUP("UD",'Informacion '!P:Q,2,FALSE),"")</f>
        <v>Unidad</v>
      </c>
      <c r="D5733" s="94">
        <v>31</v>
      </c>
      <c r="E5733" s="84">
        <v>122.5</v>
      </c>
      <c r="F5733" s="83">
        <f t="shared" ca="1" si="248"/>
        <v>3797.5</v>
      </c>
    </row>
    <row r="5734" spans="1:6" ht="14.1" customHeight="1" x14ac:dyDescent="0.25">
      <c r="A5734" s="94" t="s">
        <v>12333</v>
      </c>
      <c r="B5734" s="82" t="str">
        <f ca="1">IFERROR(INDEX(UNSPSCDes,MATCH(INDIRECT(ADDRESS(ROW(),COLUMN()-1,4)),UNSPSCCode,0)),IF(INDIRECT(ADDRESS(ROW(),COLUMN()-1,4))="51101542","Ciprofloxacina",""))</f>
        <v>Ciprofloxacina</v>
      </c>
      <c r="C5734" s="95" t="str">
        <f>IFERROR(VLOOKUP("UD",'Informacion '!P:Q,2,FALSE),"")</f>
        <v>Unidad</v>
      </c>
      <c r="D5734" s="94">
        <v>4</v>
      </c>
      <c r="E5734" s="84">
        <v>652.08000000000004</v>
      </c>
      <c r="F5734" s="83">
        <f t="shared" ca="1" si="248"/>
        <v>2608.3200000000002</v>
      </c>
    </row>
    <row r="5735" spans="1:6" ht="14.1" customHeight="1" x14ac:dyDescent="0.25">
      <c r="A5735" s="94" t="s">
        <v>12333</v>
      </c>
      <c r="B5735" s="82" t="str">
        <f ca="1">IFERROR(INDEX(UNSPSCDes,MATCH(INDIRECT(ADDRESS(ROW(),COLUMN()-1,4)),UNSPSCCode,0)),IF(INDIRECT(ADDRESS(ROW(),COLUMN()-1,4))="51101542","Ciprofloxacina",""))</f>
        <v>Ciprofloxacina</v>
      </c>
      <c r="C5735" s="95" t="str">
        <f>IFERROR(VLOOKUP("UD",'Informacion '!P:Q,2,FALSE),"")</f>
        <v>Unidad</v>
      </c>
      <c r="D5735" s="94">
        <v>10</v>
      </c>
      <c r="E5735" s="84">
        <v>297.85000000000002</v>
      </c>
      <c r="F5735" s="83">
        <f t="shared" ca="1" si="248"/>
        <v>2978.5</v>
      </c>
    </row>
    <row r="5736" spans="1:6" ht="14.1" customHeight="1" x14ac:dyDescent="0.25">
      <c r="A5736" s="94" t="s">
        <v>10047</v>
      </c>
      <c r="B5736" s="82" t="str">
        <f ca="1">IFERROR(INDEX(UNSPSCDes,MATCH(INDIRECT(ADDRESS(ROW(),COLUMN()-1,4)),UNSPSCCode,0)),IF(INDIRECT(ADDRESS(ROW(),COLUMN()-1,4))="51101561","Piperacilina",""))</f>
        <v>Piperacilina</v>
      </c>
      <c r="C5736" s="95" t="str">
        <f>IFERROR(VLOOKUP("UD",'Informacion '!P:Q,2,FALSE),"")</f>
        <v>Unidad</v>
      </c>
      <c r="D5736" s="94">
        <v>32</v>
      </c>
      <c r="E5736" s="84">
        <v>1255</v>
      </c>
      <c r="F5736" s="83">
        <f t="shared" ca="1" si="248"/>
        <v>40160</v>
      </c>
    </row>
    <row r="5737" spans="1:6" ht="14.1" customHeight="1" x14ac:dyDescent="0.25">
      <c r="A5737" s="94" t="s">
        <v>15617</v>
      </c>
      <c r="B5737" s="82" t="str">
        <f ca="1">IFERROR(INDEX(UNSPSCDes,MATCH(INDIRECT(ADDRESS(ROW(),COLUMN()-1,4)),UNSPSCCode,0)),IF(INDIRECT(ADDRESS(ROW(),COLUMN()-1,4))="51101603","Metronidazol",""))</f>
        <v>Metronidazol</v>
      </c>
      <c r="C5737" s="95" t="str">
        <f>IFERROR(VLOOKUP("UD",'Informacion '!P:Q,2,FALSE),"")</f>
        <v>Unidad</v>
      </c>
      <c r="D5737" s="94">
        <v>145</v>
      </c>
      <c r="E5737" s="84">
        <v>16.989999999999998</v>
      </c>
      <c r="F5737" s="83">
        <f t="shared" ca="1" si="248"/>
        <v>2463.5499999999997</v>
      </c>
    </row>
    <row r="5738" spans="1:6" ht="14.1" customHeight="1" x14ac:dyDescent="0.25">
      <c r="A5738" s="94" t="s">
        <v>12333</v>
      </c>
      <c r="B5738" s="82" t="str">
        <f ca="1">IFERROR(INDEX(UNSPSCDes,MATCH(INDIRECT(ADDRESS(ROW(),COLUMN()-1,4)),UNSPSCCode,0)),IF(INDIRECT(ADDRESS(ROW(),COLUMN()-1,4))="51101542","Ciprofloxacina",""))</f>
        <v>Ciprofloxacina</v>
      </c>
      <c r="C5738" s="95" t="str">
        <f>IFERROR(VLOOKUP("UD",'Informacion '!P:Q,2,FALSE),"")</f>
        <v>Unidad</v>
      </c>
      <c r="D5738" s="94">
        <v>436</v>
      </c>
      <c r="E5738" s="84">
        <v>29.4</v>
      </c>
      <c r="F5738" s="83">
        <f t="shared" ca="1" si="248"/>
        <v>12818.4</v>
      </c>
    </row>
    <row r="5739" spans="1:6" ht="14.1" customHeight="1" x14ac:dyDescent="0.25">
      <c r="A5739" s="94" t="s">
        <v>9006</v>
      </c>
      <c r="B5739" s="82" t="str">
        <f ca="1">IFERROR(INDEX(UNSPSCDes,MATCH(INDIRECT(ADDRESS(ROW(),COLUMN()-1,4)),UNSPSCCode,0)),IF(INDIRECT(ADDRESS(ROW(),COLUMN()-1,4))="51101801","Anfotericina b",""))</f>
        <v>Anfotericina b</v>
      </c>
      <c r="C5739" s="95" t="str">
        <f>IFERROR(VLOOKUP("UD",'Informacion '!P:Q,2,FALSE),"")</f>
        <v>Unidad</v>
      </c>
      <c r="D5739" s="94">
        <v>3</v>
      </c>
      <c r="E5739" s="84">
        <v>6397.71</v>
      </c>
      <c r="F5739" s="83">
        <f t="shared" ca="1" si="248"/>
        <v>19193.13</v>
      </c>
    </row>
    <row r="5740" spans="1:6" ht="14.1" customHeight="1" x14ac:dyDescent="0.25">
      <c r="A5740" s="94" t="s">
        <v>18885</v>
      </c>
      <c r="B5740" s="82" t="str">
        <f ca="1">IFERROR(INDEX(UNSPSCDes,MATCH(INDIRECT(ADDRESS(ROW(),COLUMN()-1,4)),UNSPSCCode,0)),IF(INDIRECT(ADDRESS(ROW(),COLUMN()-1,4))="51101511","Amoxicilina",""))</f>
        <v>Amoxicilina</v>
      </c>
      <c r="C5740" s="95" t="str">
        <f>IFERROR(VLOOKUP("UD",'Informacion '!P:Q,2,FALSE),"")</f>
        <v>Unidad</v>
      </c>
      <c r="D5740" s="94">
        <v>7</v>
      </c>
      <c r="E5740" s="84">
        <v>2.82</v>
      </c>
      <c r="F5740" s="83">
        <f t="shared" ca="1" si="248"/>
        <v>19.739999999999998</v>
      </c>
    </row>
    <row r="5741" spans="1:6" ht="14.1" customHeight="1" x14ac:dyDescent="0.25">
      <c r="A5741" s="94" t="s">
        <v>14780</v>
      </c>
      <c r="B5741" s="82" t="str">
        <f ca="1">IFERROR(INDEX(UNSPSCDes,MATCH(INDIRECT(ADDRESS(ROW(),COLUMN()-1,4)),UNSPSCCode,0)),IF(INDIRECT(ADDRESS(ROW(),COLUMN()-1,4))="51101594","Cefepima",""))</f>
        <v>Cefepima</v>
      </c>
      <c r="C5741" s="95" t="str">
        <f>IFERROR(VLOOKUP("UD",'Informacion '!P:Q,2,FALSE),"")</f>
        <v>Unidad</v>
      </c>
      <c r="D5741" s="94">
        <v>646</v>
      </c>
      <c r="E5741" s="84">
        <v>196</v>
      </c>
      <c r="F5741" s="83">
        <f t="shared" ca="1" si="248"/>
        <v>126616</v>
      </c>
    </row>
    <row r="5742" spans="1:6" ht="14.1" customHeight="1" x14ac:dyDescent="0.25">
      <c r="A5742" s="94" t="s">
        <v>15568</v>
      </c>
      <c r="B5742" s="82" t="str">
        <f ca="1">IFERROR(INDEX(UNSPSCDes,MATCH(INDIRECT(ADDRESS(ROW(),COLUMN()-1,4)),UNSPSCCode,0)),IF(INDIRECT(ADDRESS(ROW(),COLUMN()-1,4))="51101586","Amikacina",""))</f>
        <v>Amikacina</v>
      </c>
      <c r="C5742" s="95" t="str">
        <f>IFERROR(VLOOKUP("UD",'Informacion '!P:Q,2,FALSE),"")</f>
        <v>Unidad</v>
      </c>
      <c r="D5742" s="94">
        <v>5</v>
      </c>
      <c r="E5742" s="84">
        <v>14.18</v>
      </c>
      <c r="F5742" s="83">
        <f t="shared" ca="1" si="248"/>
        <v>70.900000000000006</v>
      </c>
    </row>
    <row r="5743" spans="1:6" ht="14.1" customHeight="1" x14ac:dyDescent="0.25">
      <c r="A5743" s="94" t="s">
        <v>4548</v>
      </c>
      <c r="B5743" s="82" t="str">
        <f ca="1">IFERROR(INDEX(UNSPSCDes,MATCH(INDIRECT(ADDRESS(ROW(),COLUMN()-1,4)),UNSPSCCode,0)),IF(INDIRECT(ADDRESS(ROW(),COLUMN()-1,4))="51101548","Fosfomicina trometamol",""))</f>
        <v>Fosfomicina trometamol</v>
      </c>
      <c r="C5743" s="95" t="str">
        <f>IFERROR(VLOOKUP("UD",'Informacion '!P:Q,2,FALSE),"")</f>
        <v>Unidad</v>
      </c>
      <c r="D5743" s="94">
        <v>9</v>
      </c>
      <c r="E5743" s="84">
        <v>1460.08</v>
      </c>
      <c r="F5743" s="83">
        <f t="shared" ca="1" si="248"/>
        <v>13140.72</v>
      </c>
    </row>
    <row r="5744" spans="1:6" ht="14.1" customHeight="1" x14ac:dyDescent="0.25">
      <c r="A5744" s="94" t="s">
        <v>4420</v>
      </c>
      <c r="B5744" s="82" t="str">
        <f ca="1">IFERROR(INDEX(UNSPSCDes,MATCH(INDIRECT(ADDRESS(ROW(),COLUMN()-1,4)),UNSPSCCode,0)),IF(INDIRECT(ADDRESS(ROW(),COLUMN()-1,4))="51101584","Gentamicina",""))</f>
        <v>Gentamicina</v>
      </c>
      <c r="C5744" s="95" t="str">
        <f>IFERROR(VLOOKUP("UD",'Informacion '!P:Q,2,FALSE),"")</f>
        <v>Unidad</v>
      </c>
      <c r="D5744" s="94">
        <v>11</v>
      </c>
      <c r="E5744" s="84">
        <v>13.33</v>
      </c>
      <c r="F5744" s="83">
        <f t="shared" ca="1" si="248"/>
        <v>146.63</v>
      </c>
    </row>
    <row r="5745" spans="1:10" ht="14.1" customHeight="1" x14ac:dyDescent="0.25">
      <c r="A5745" s="94" t="s">
        <v>4420</v>
      </c>
      <c r="B5745" s="82" t="str">
        <f ca="1">IFERROR(INDEX(UNSPSCDes,MATCH(INDIRECT(ADDRESS(ROW(),COLUMN()-1,4)),UNSPSCCode,0)),IF(INDIRECT(ADDRESS(ROW(),COLUMN()-1,4))="51101584","Gentamicina",""))</f>
        <v>Gentamicina</v>
      </c>
      <c r="C5745" s="95" t="str">
        <f>IFERROR(VLOOKUP("UD",'Informacion '!P:Q,2,FALSE),"")</f>
        <v>Unidad</v>
      </c>
      <c r="D5745" s="94">
        <v>5</v>
      </c>
      <c r="E5745" s="84">
        <v>178.95</v>
      </c>
      <c r="F5745" s="83">
        <f t="shared" ca="1" si="248"/>
        <v>894.75</v>
      </c>
    </row>
    <row r="5746" spans="1:10" ht="14.1" customHeight="1" x14ac:dyDescent="0.25">
      <c r="A5746" s="94" t="s">
        <v>16333</v>
      </c>
      <c r="B5746" s="82" t="str">
        <f ca="1">IFERROR(INDEX(UNSPSCDes,MATCH(INDIRECT(ADDRESS(ROW(),COLUMN()-1,4)),UNSPSCCode,0)),IF(INDIRECT(ADDRESS(ROW(),COLUMN()-1,4))="51101508","Sulfonamidas antibióticas",""))</f>
        <v>Sulfonamidas antibióticas</v>
      </c>
      <c r="C5746" s="95" t="str">
        <f>IFERROR(VLOOKUP("UD",'Informacion '!P:Q,2,FALSE),"")</f>
        <v>Unidad</v>
      </c>
      <c r="D5746" s="94">
        <v>4</v>
      </c>
      <c r="E5746" s="84">
        <v>517.6</v>
      </c>
      <c r="F5746" s="83">
        <f t="shared" ca="1" si="248"/>
        <v>2070.4</v>
      </c>
    </row>
    <row r="5747" spans="1:10" ht="14.1" customHeight="1" x14ac:dyDescent="0.25">
      <c r="A5747" s="94" t="s">
        <v>2660</v>
      </c>
      <c r="B5747" s="82" t="str">
        <f ca="1">IFERROR(INDEX(UNSPSCDes,MATCH(INDIRECT(ADDRESS(ROW(),COLUMN()-1,4)),UNSPSCCode,0)),IF(INDIRECT(ADDRESS(ROW(),COLUMN()-1,4))="51101504","Clindamicina",""))</f>
        <v>Clindamicina</v>
      </c>
      <c r="C5747" s="95" t="str">
        <f>IFERROR(VLOOKUP("UD",'Informacion '!P:Q,2,FALSE),"")</f>
        <v>Unidad</v>
      </c>
      <c r="D5747" s="94">
        <v>1204</v>
      </c>
      <c r="E5747" s="84">
        <v>49.1</v>
      </c>
      <c r="F5747" s="83">
        <f t="shared" ca="1" si="248"/>
        <v>59116.4</v>
      </c>
    </row>
    <row r="5748" spans="1:10" ht="14.1" customHeight="1" x14ac:dyDescent="0.25">
      <c r="A5748" s="94" t="s">
        <v>17776</v>
      </c>
      <c r="B5748" s="82" t="str">
        <f ca="1">IFERROR(INDEX(UNSPSCDes,MATCH(INDIRECT(ADDRESS(ROW(),COLUMN()-1,4)),UNSPSCCode,0)),IF(INDIRECT(ADDRESS(ROW(),COLUMN()-1,4))="51101611","Meropenem",""))</f>
        <v>Meropenem</v>
      </c>
      <c r="C5748" s="95" t="str">
        <f>IFERROR(VLOOKUP("UD",'Informacion '!P:Q,2,FALSE),"")</f>
        <v>Unidad</v>
      </c>
      <c r="D5748" s="94">
        <v>113</v>
      </c>
      <c r="E5748" s="84">
        <v>753.05</v>
      </c>
      <c r="F5748" s="83">
        <f t="shared" ca="1" si="248"/>
        <v>85094.65</v>
      </c>
    </row>
    <row r="5749" spans="1:10" ht="14.1" customHeight="1" x14ac:dyDescent="0.25">
      <c r="A5749" s="94" t="s">
        <v>4998</v>
      </c>
      <c r="B5749" s="82" t="str">
        <f ca="1">IFERROR(INDEX(UNSPSCDes,MATCH(INDIRECT(ADDRESS(ROW(),COLUMN()-1,4)),UNSPSCCode,0)),IF(INDIRECT(ADDRESS(ROW(),COLUMN()-1,4))="51101538","Levofloxacina",""))</f>
        <v>Levofloxacina</v>
      </c>
      <c r="C5749" s="95" t="str">
        <f>IFERROR(VLOOKUP("UD",'Informacion '!P:Q,2,FALSE),"")</f>
        <v>Unidad</v>
      </c>
      <c r="D5749" s="94">
        <v>75</v>
      </c>
      <c r="E5749" s="84">
        <v>121.02</v>
      </c>
      <c r="F5749" s="83">
        <f t="shared" ca="1" si="248"/>
        <v>9076.5</v>
      </c>
    </row>
    <row r="5750" spans="1:10" ht="14.1" customHeight="1" x14ac:dyDescent="0.25">
      <c r="A5750" s="94" t="s">
        <v>7992</v>
      </c>
      <c r="B5750" s="82" t="str">
        <f ca="1">IFERROR(INDEX(UNSPSCDes,MATCH(INDIRECT(ADDRESS(ROW(),COLUMN()-1,4)),UNSPSCCode,0)),IF(INDIRECT(ADDRESS(ROW(),COLUMN()-1,4))="51101572","Azitromicina",""))</f>
        <v>Azitromicina</v>
      </c>
      <c r="C5750" s="95" t="str">
        <f>IFERROR(VLOOKUP("UD",'Informacion '!P:Q,2,FALSE),"")</f>
        <v>Unidad</v>
      </c>
      <c r="D5750" s="94">
        <v>27</v>
      </c>
      <c r="E5750" s="84">
        <v>13.89</v>
      </c>
      <c r="F5750" s="83">
        <f t="shared" ca="1" si="248"/>
        <v>375.03000000000003</v>
      </c>
    </row>
    <row r="5751" spans="1:10" ht="14.1" customHeight="1" x14ac:dyDescent="0.25">
      <c r="A5751" s="94" t="s">
        <v>10047</v>
      </c>
      <c r="B5751" s="82" t="str">
        <f ca="1">IFERROR(INDEX(UNSPSCDes,MATCH(INDIRECT(ADDRESS(ROW(),COLUMN()-1,4)),UNSPSCCode,0)),IF(INDIRECT(ADDRESS(ROW(),COLUMN()-1,4))="51101561","Piperacilina",""))</f>
        <v>Piperacilina</v>
      </c>
      <c r="C5751" s="95" t="str">
        <f>IFERROR(VLOOKUP("UD",'Informacion '!P:Q,2,FALSE),"")</f>
        <v>Unidad</v>
      </c>
      <c r="D5751" s="94">
        <v>239</v>
      </c>
      <c r="E5751" s="84">
        <v>257.37</v>
      </c>
      <c r="F5751" s="83">
        <f t="shared" ca="1" si="248"/>
        <v>61511.43</v>
      </c>
    </row>
    <row r="5752" spans="1:10" ht="14.1" customHeight="1" x14ac:dyDescent="0.25">
      <c r="A5752" s="94" t="s">
        <v>2988</v>
      </c>
      <c r="B5752" s="82" t="str">
        <f ca="1">IFERROR(INDEX(UNSPSCDes,MATCH(INDIRECT(ADDRESS(ROW(),COLUMN()-1,4)),UNSPSCCode,0)),IF(INDIRECT(ADDRESS(ROW(),COLUMN()-1,4))="51101509","Tetraciclina",""))</f>
        <v>Tetraciclina</v>
      </c>
      <c r="C5752" s="95" t="str">
        <f>IFERROR(VLOOKUP("UD",'Informacion '!P:Q,2,FALSE),"")</f>
        <v>Unidad</v>
      </c>
      <c r="D5752" s="94">
        <v>3</v>
      </c>
      <c r="E5752" s="84">
        <v>3524.07</v>
      </c>
      <c r="F5752" s="83">
        <f t="shared" ca="1" si="248"/>
        <v>10572.210000000001</v>
      </c>
    </row>
    <row r="5753" spans="1:10" ht="14.1" customHeight="1" x14ac:dyDescent="0.25">
      <c r="A5753" s="94" t="s">
        <v>11458</v>
      </c>
      <c r="B5753" s="82" t="str">
        <f ca="1">IFERROR(INDEX(UNSPSCDes,MATCH(INDIRECT(ADDRESS(ROW(),COLUMN()-1,4)),UNSPSCCode,0)),IF(INDIRECT(ADDRESS(ROW(),COLUMN()-1,4))="51102717","Nitrofurazona",""))</f>
        <v>Nitrofurazona</v>
      </c>
      <c r="C5753" s="95" t="str">
        <f>IFERROR(VLOOKUP("UD",'Informacion '!P:Q,2,FALSE),"")</f>
        <v>Unidad</v>
      </c>
      <c r="D5753" s="94">
        <v>5</v>
      </c>
      <c r="E5753" s="84">
        <v>199.99</v>
      </c>
      <c r="F5753" s="83">
        <f t="shared" ca="1" si="248"/>
        <v>999.95</v>
      </c>
    </row>
    <row r="5754" spans="1:10" ht="14.1" customHeight="1" x14ac:dyDescent="0.25">
      <c r="A5754" s="94" t="s">
        <v>12823</v>
      </c>
      <c r="B5754" s="82" t="str">
        <f ca="1">IFERROR(INDEX(UNSPSCDes,MATCH(INDIRECT(ADDRESS(ROW(),COLUMN()-1,4)),UNSPSCCode,0)),IF(INDIRECT(ADDRESS(ROW(),COLUMN()-1,4))="51101578","Cefazolina",""))</f>
        <v>Cefazolina</v>
      </c>
      <c r="C5754" s="95" t="str">
        <f>IFERROR(VLOOKUP("UD",'Informacion '!P:Q,2,FALSE),"")</f>
        <v>Unidad</v>
      </c>
      <c r="D5754" s="94">
        <v>496</v>
      </c>
      <c r="E5754" s="84">
        <v>126.51</v>
      </c>
      <c r="F5754" s="83">
        <f t="shared" ca="1" si="248"/>
        <v>62748.959999999999</v>
      </c>
    </row>
    <row r="5755" spans="1:10" ht="14.1" customHeight="1" x14ac:dyDescent="0.25">
      <c r="A5755" s="94" t="s">
        <v>446</v>
      </c>
      <c r="B5755" s="82" t="str">
        <f ca="1">IFERROR(INDEX(UNSPSCDes,MATCH(INDIRECT(ADDRESS(ROW(),COLUMN()-1,4)),UNSPSCCode,0)),IF(INDIRECT(ADDRESS(ROW(),COLUMN()-1,4))="51101591","Vancomicina",""))</f>
        <v>Vancomicina</v>
      </c>
      <c r="C5755" s="95" t="str">
        <f>IFERROR(VLOOKUP("UD",'Informacion '!P:Q,2,FALSE),"")</f>
        <v>Unidad</v>
      </c>
      <c r="D5755" s="94">
        <v>123</v>
      </c>
      <c r="E5755" s="84">
        <v>164.88</v>
      </c>
      <c r="F5755" s="83">
        <f t="shared" ca="1" si="248"/>
        <v>20280.239999999998</v>
      </c>
    </row>
    <row r="5756" spans="1:10" ht="14.1" customHeight="1" x14ac:dyDescent="0.25">
      <c r="A5756" s="94" t="s">
        <v>5834</v>
      </c>
      <c r="B5756" s="82" t="str">
        <f ca="1">IFERROR(INDEX(UNSPSCDes,MATCH(INDIRECT(ADDRESS(ROW(),COLUMN()-1,4)),UNSPSCCode,0)),IF(INDIRECT(ADDRESS(ROW(),COLUMN()-1,4))="51101551","Ceftriaxona",""))</f>
        <v>Ceftriaxona</v>
      </c>
      <c r="C5756" s="95" t="str">
        <f>IFERROR(VLOOKUP("UD",'Informacion '!P:Q,2,FALSE),"")</f>
        <v>Unidad</v>
      </c>
      <c r="D5756" s="94">
        <v>1789</v>
      </c>
      <c r="E5756" s="84">
        <v>37.5</v>
      </c>
      <c r="F5756" s="83">
        <f t="shared" ca="1" si="248"/>
        <v>67087.5</v>
      </c>
    </row>
    <row r="5757" spans="1:10" ht="14.1" customHeight="1" x14ac:dyDescent="0.25">
      <c r="A5757" s="94" t="s">
        <v>5968</v>
      </c>
      <c r="B5757" s="82" t="str">
        <f ca="1">IFERROR(INDEX(UNSPSCDes,MATCH(INDIRECT(ADDRESS(ROW(),COLUMN()-1,4)),UNSPSCCode,0)),IF(INDIRECT(ADDRESS(ROW(),COLUMN()-1,4))="51101552","Ceftazidima",""))</f>
        <v>Ceftazidima</v>
      </c>
      <c r="C5757" s="95" t="str">
        <f>IFERROR(VLOOKUP("UD",'Informacion '!P:Q,2,FALSE),"")</f>
        <v>Unidad</v>
      </c>
      <c r="D5757" s="94">
        <v>16</v>
      </c>
      <c r="E5757" s="84">
        <v>181.5</v>
      </c>
      <c r="F5757" s="83">
        <f t="shared" ca="1" si="248"/>
        <v>2904</v>
      </c>
    </row>
    <row r="5758" spans="1:10" ht="14.1" customHeight="1" x14ac:dyDescent="0.25">
      <c r="E5758" s="96" t="s">
        <v>7213</v>
      </c>
      <c r="F5758" s="87">
        <f ca="1">SUM(Table153[MONTO TOTAL ESTIMADO])</f>
        <v>609481.9</v>
      </c>
      <c r="H5758" s="39" t="str">
        <f>C5721</f>
        <v>Bienes</v>
      </c>
      <c r="I5758" s="39" t="str">
        <f>E5721</f>
        <v>No</v>
      </c>
      <c r="J5758" s="39" t="str">
        <f>D5721</f>
        <v>Comparacion de Precios</v>
      </c>
    </row>
    <row r="5760" spans="1:10" ht="33.950000000000003" customHeight="1" x14ac:dyDescent="0.25">
      <c r="A5760" s="77" t="s">
        <v>17233</v>
      </c>
      <c r="B5760" s="77" t="s">
        <v>4237</v>
      </c>
      <c r="C5760" s="77" t="s">
        <v>4743</v>
      </c>
      <c r="D5760" s="77" t="s">
        <v>9891</v>
      </c>
      <c r="E5760" s="77" t="s">
        <v>3089</v>
      </c>
      <c r="F5760" s="77" t="s">
        <v>18141</v>
      </c>
    </row>
    <row r="5761" spans="1:6" ht="14.1" customHeight="1" x14ac:dyDescent="0.25">
      <c r="A5761" s="79" t="s">
        <v>9839</v>
      </c>
      <c r="B5761" s="79" t="s">
        <v>7535</v>
      </c>
      <c r="C5761" s="79" t="s">
        <v>17215</v>
      </c>
      <c r="D5761" s="79" t="s">
        <v>15249</v>
      </c>
      <c r="E5761" s="79" t="s">
        <v>18247</v>
      </c>
      <c r="F5761" s="79"/>
    </row>
    <row r="5762" spans="1:6" ht="14.1" customHeight="1" x14ac:dyDescent="0.25">
      <c r="A5762" s="2" t="s">
        <v>6643</v>
      </c>
      <c r="B5762" s="80" t="s">
        <v>1046</v>
      </c>
      <c r="C5762" s="90">
        <v>43469</v>
      </c>
      <c r="D5762" s="2" t="s">
        <v>59</v>
      </c>
      <c r="E5762" s="92" t="s">
        <v>20066</v>
      </c>
      <c r="F5762" s="93" t="s">
        <v>5684</v>
      </c>
    </row>
    <row r="5763" spans="1:6" ht="14.1" customHeight="1" x14ac:dyDescent="0.25">
      <c r="A5763" s="1"/>
      <c r="B5763" s="80" t="s">
        <v>10788</v>
      </c>
      <c r="C5763" s="91">
        <f>IF(C5762="","",IF(AND(MONTH(C5762)&gt;=1,MONTH(C5762)&lt;=3),1,IF(AND(MONTH(C5762)&gt;=4,MONTH(C5762)&lt;=6),2,IF(AND(MONTH(C5762)&gt;=7,MONTH(C5762)&lt;=9),3,4))))</f>
        <v>1</v>
      </c>
      <c r="D5763" s="1"/>
      <c r="E5763" s="92" t="s">
        <v>14822</v>
      </c>
      <c r="F5763" s="93"/>
    </row>
    <row r="5764" spans="1:6" ht="14.1" customHeight="1" x14ac:dyDescent="0.25">
      <c r="A5764" s="1"/>
      <c r="B5764" s="80" t="s">
        <v>13758</v>
      </c>
      <c r="C5764" s="90">
        <v>43554</v>
      </c>
      <c r="D5764" s="1"/>
      <c r="E5764" s="92" t="s">
        <v>18636</v>
      </c>
      <c r="F5764" s="93"/>
    </row>
    <row r="5765" spans="1:6" ht="14.1" customHeight="1" x14ac:dyDescent="0.25">
      <c r="A5765" s="1"/>
      <c r="B5765" s="80" t="s">
        <v>10788</v>
      </c>
      <c r="C5765" s="91">
        <f>IF(C5764="","",IF(AND(MONTH(C5764)&gt;=1,MONTH(C5764)&lt;=3),1,IF(AND(MONTH(C5764)&gt;=4,MONTH(C5764)&lt;=6),2,IF(AND(MONTH(C5764)&gt;=7,MONTH(C5764)&lt;=9),3,4))))</f>
        <v>1</v>
      </c>
      <c r="D5765" s="1"/>
      <c r="E5765" s="92" t="s">
        <v>15990</v>
      </c>
      <c r="F5765" s="93"/>
    </row>
    <row r="5767" spans="1:6" ht="14.1" customHeight="1" x14ac:dyDescent="0.25">
      <c r="A5767" s="85" t="s">
        <v>15474</v>
      </c>
      <c r="B5767" s="85" t="s">
        <v>5027</v>
      </c>
      <c r="C5767" s="85" t="s">
        <v>17461</v>
      </c>
      <c r="D5767" s="85" t="s">
        <v>3935</v>
      </c>
      <c r="E5767" s="85" t="s">
        <v>10722</v>
      </c>
      <c r="F5767" s="85" t="s">
        <v>18237</v>
      </c>
    </row>
    <row r="5768" spans="1:6" ht="14.1" customHeight="1" x14ac:dyDescent="0.25">
      <c r="A5768" s="94" t="s">
        <v>12218</v>
      </c>
      <c r="B5768" s="82" t="str">
        <f ca="1">IFERROR(INDEX(UNSPSCDes,MATCH(INDIRECT(ADDRESS(ROW(),COLUMN()-1,4)),UNSPSCCode,0)),IF(INDIRECT(ADDRESS(ROW(),COLUMN()-1,4))="51131805","Etamsilato",""))</f>
        <v>Etamsilato</v>
      </c>
      <c r="C5768" s="95" t="str">
        <f>IFERROR(VLOOKUP("UD",'Informacion '!P:Q,2,FALSE),"")</f>
        <v>Unidad</v>
      </c>
      <c r="D5768" s="94">
        <v>291</v>
      </c>
      <c r="E5768" s="84">
        <v>86.41</v>
      </c>
      <c r="F5768" s="83">
        <f t="shared" ref="F5768:F5794" ca="1" si="249">INDIRECT(ADDRESS(ROW(),COLUMN()-2,4))*INDIRECT(ADDRESS(ROW(),COLUMN()-1,4))</f>
        <v>25145.309999999998</v>
      </c>
    </row>
    <row r="5769" spans="1:6" ht="14.1" customHeight="1" x14ac:dyDescent="0.25">
      <c r="A5769" s="94" t="s">
        <v>1347</v>
      </c>
      <c r="B5769" s="82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5769" s="95" t="str">
        <f>IFERROR(VLOOKUP("UD",'Informacion '!P:Q,2,FALSE),"")</f>
        <v>Unidad</v>
      </c>
      <c r="D5769" s="94">
        <v>674</v>
      </c>
      <c r="E5769" s="84">
        <v>165</v>
      </c>
      <c r="F5769" s="83">
        <f t="shared" ca="1" si="249"/>
        <v>111210</v>
      </c>
    </row>
    <row r="5770" spans="1:6" ht="14.1" customHeight="1" x14ac:dyDescent="0.25">
      <c r="A5770" s="94" t="s">
        <v>9816</v>
      </c>
      <c r="B5770" s="82" t="str">
        <f ca="1">IFERROR(INDEX(UNSPSCDes,MATCH(INDIRECT(ADDRESS(ROW(),COLUMN()-1,4)),UNSPSCCode,0)),IF(INDIRECT(ADDRESS(ROW(),COLUMN()-1,4))="51191905","Suplementos vitamínicos",""))</f>
        <v>Suplementos vitamínicos</v>
      </c>
      <c r="C5770" s="95" t="str">
        <f>IFERROR(VLOOKUP("UD",'Informacion '!P:Q,2,FALSE),"")</f>
        <v>Unidad</v>
      </c>
      <c r="D5770" s="94">
        <v>83</v>
      </c>
      <c r="E5770" s="84">
        <v>7.62</v>
      </c>
      <c r="F5770" s="83">
        <f t="shared" ca="1" si="249"/>
        <v>632.46</v>
      </c>
    </row>
    <row r="5771" spans="1:6" ht="14.1" customHeight="1" x14ac:dyDescent="0.25">
      <c r="A5771" s="94" t="s">
        <v>6250</v>
      </c>
      <c r="B5771" s="82" t="str">
        <f ca="1">IFERROR(INDEX(UNSPSCDes,MATCH(INDIRECT(ADDRESS(ROW(),COLUMN()-1,4)),UNSPSCCode,0)),IF(INDIRECT(ADDRESS(ROW(),COLUMN()-1,4))="51182102","Vasopresina",""))</f>
        <v>Vasopresina</v>
      </c>
      <c r="C5771" s="95" t="str">
        <f>IFERROR(VLOOKUP("UD",'Informacion '!P:Q,2,FALSE),"")</f>
        <v>Unidad</v>
      </c>
      <c r="D5771" s="94">
        <v>12</v>
      </c>
      <c r="E5771" s="84">
        <v>2988.46</v>
      </c>
      <c r="F5771" s="83">
        <f t="shared" ca="1" si="249"/>
        <v>35861.520000000004</v>
      </c>
    </row>
    <row r="5772" spans="1:6" ht="14.1" customHeight="1" x14ac:dyDescent="0.25">
      <c r="A5772" s="94" t="s">
        <v>14411</v>
      </c>
      <c r="B5772" s="82" t="str">
        <f ca="1">IFERROR(INDEX(UNSPSCDes,MATCH(INDIRECT(ADDRESS(ROW(),COLUMN()-1,4)),UNSPSCCode,0)),IF(INDIRECT(ADDRESS(ROW(),COLUMN()-1,4))="51142012","Ácido mefenámico",""))</f>
        <v>Ácido mefenámico</v>
      </c>
      <c r="C5772" s="95" t="str">
        <f>IFERROR(VLOOKUP("UD",'Informacion '!P:Q,2,FALSE),"")</f>
        <v>Unidad</v>
      </c>
      <c r="D5772" s="94">
        <v>32</v>
      </c>
      <c r="E5772" s="84">
        <v>120</v>
      </c>
      <c r="F5772" s="83">
        <f t="shared" ca="1" si="249"/>
        <v>3840</v>
      </c>
    </row>
    <row r="5773" spans="1:6" ht="14.1" customHeight="1" x14ac:dyDescent="0.25">
      <c r="A5773" s="94" t="s">
        <v>17287</v>
      </c>
      <c r="B5773" s="82" t="str">
        <f ca="1">IFERROR(INDEX(UNSPSCDes,MATCH(INDIRECT(ADDRESS(ROW(),COLUMN()-1,4)),UNSPSCCode,0)),IF(INDIRECT(ADDRESS(ROW(),COLUMN()-1,4))="51151802","Hidrocloruro de esmolol",""))</f>
        <v>Hidrocloruro de esmolol</v>
      </c>
      <c r="C5773" s="95" t="str">
        <f>IFERROR(VLOOKUP("UD",'Informacion '!P:Q,2,FALSE),"")</f>
        <v>Unidad</v>
      </c>
      <c r="D5773" s="94">
        <v>16</v>
      </c>
      <c r="E5773" s="84">
        <v>0.18</v>
      </c>
      <c r="F5773" s="83">
        <f t="shared" ca="1" si="249"/>
        <v>2.88</v>
      </c>
    </row>
    <row r="5774" spans="1:6" ht="14.1" customHeight="1" x14ac:dyDescent="0.25">
      <c r="A5774" s="94" t="s">
        <v>8590</v>
      </c>
      <c r="B5774" s="82" t="str">
        <f ca="1">IFERROR(INDEX(UNSPSCDes,MATCH(INDIRECT(ADDRESS(ROW(),COLUMN()-1,4)),UNSPSCCode,0)),IF(INDIRECT(ADDRESS(ROW(),COLUMN()-1,4))="51121709","Carvedilol",""))</f>
        <v>Carvedilol</v>
      </c>
      <c r="C5774" s="95" t="str">
        <f>IFERROR(VLOOKUP("UD",'Informacion '!P:Q,2,FALSE),"")</f>
        <v>Unidad</v>
      </c>
      <c r="D5774" s="94">
        <v>55</v>
      </c>
      <c r="E5774" s="84">
        <v>1.25</v>
      </c>
      <c r="F5774" s="83">
        <f t="shared" ca="1" si="249"/>
        <v>68.75</v>
      </c>
    </row>
    <row r="5775" spans="1:6" ht="14.1" customHeight="1" x14ac:dyDescent="0.25">
      <c r="A5775" s="94" t="s">
        <v>19811</v>
      </c>
      <c r="B5775" s="82" t="str">
        <f ca="1">IFERROR(INDEX(UNSPSCDes,MATCH(INDIRECT(ADDRESS(ROW(),COLUMN()-1,4)),UNSPSCCode,0)),IF(INDIRECT(ADDRESS(ROW(),COLUMN()-1,4))="51121715","Enalapril",""))</f>
        <v>Enalapril</v>
      </c>
      <c r="C5775" s="95" t="str">
        <f>IFERROR(VLOOKUP("UD",'Informacion '!P:Q,2,FALSE),"")</f>
        <v>Unidad</v>
      </c>
      <c r="D5775" s="94">
        <v>5</v>
      </c>
      <c r="E5775" s="84">
        <v>235.9</v>
      </c>
      <c r="F5775" s="83">
        <f t="shared" ca="1" si="249"/>
        <v>1179.5</v>
      </c>
    </row>
    <row r="5776" spans="1:6" ht="14.1" customHeight="1" x14ac:dyDescent="0.25">
      <c r="A5776" s="94" t="s">
        <v>13692</v>
      </c>
      <c r="B5776" s="82" t="str">
        <f ca="1">IFERROR(INDEX(UNSPSCDes,MATCH(INDIRECT(ADDRESS(ROW(),COLUMN()-1,4)),UNSPSCCode,0)),IF(INDIRECT(ADDRESS(ROW(),COLUMN()-1,4))="51121721","Tartrato de metoprolol",""))</f>
        <v>Tartrato de metoprolol</v>
      </c>
      <c r="C5776" s="95" t="str">
        <f>IFERROR(VLOOKUP("UD",'Informacion '!P:Q,2,FALSE),"")</f>
        <v>Unidad</v>
      </c>
      <c r="D5776" s="94">
        <v>18</v>
      </c>
      <c r="E5776" s="84">
        <v>14.24</v>
      </c>
      <c r="F5776" s="83">
        <f t="shared" ca="1" si="249"/>
        <v>256.32</v>
      </c>
    </row>
    <row r="5777" spans="1:6" ht="14.1" customHeight="1" x14ac:dyDescent="0.25">
      <c r="A5777" s="94" t="s">
        <v>4703</v>
      </c>
      <c r="B5777" s="82" t="str">
        <f ca="1">IFERROR(INDEX(UNSPSCDes,MATCH(INDIRECT(ADDRESS(ROW(),COLUMN()-1,4)),UNSPSCCode,0)),IF(INDIRECT(ADDRESS(ROW(),COLUMN()-1,4))="51121904","Nifedipina",""))</f>
        <v>Nifedipina</v>
      </c>
      <c r="C5777" s="95" t="str">
        <f>IFERROR(VLOOKUP("UD",'Informacion '!P:Q,2,FALSE),"")</f>
        <v>Unidad</v>
      </c>
      <c r="D5777" s="94">
        <v>42</v>
      </c>
      <c r="E5777" s="84">
        <v>17.899999999999999</v>
      </c>
      <c r="F5777" s="83">
        <f t="shared" ca="1" si="249"/>
        <v>751.8</v>
      </c>
    </row>
    <row r="5778" spans="1:6" ht="14.1" customHeight="1" x14ac:dyDescent="0.25">
      <c r="A5778" s="94" t="s">
        <v>3476</v>
      </c>
      <c r="B5778" s="82" t="str">
        <f ca="1">IFERROR(INDEX(UNSPSCDes,MATCH(INDIRECT(ADDRESS(ROW(),COLUMN()-1,4)),UNSPSCCode,0)),IF(INDIRECT(ADDRESS(ROW(),COLUMN()-1,4))="51151812","Hidrocloruro de propranolol",""))</f>
        <v>Hidrocloruro de propranolol</v>
      </c>
      <c r="C5778" s="95" t="str">
        <f>IFERROR(VLOOKUP("UD",'Informacion '!P:Q,2,FALSE),"")</f>
        <v>Unidad</v>
      </c>
      <c r="D5778" s="94">
        <v>1</v>
      </c>
      <c r="E5778" s="84">
        <v>8.26</v>
      </c>
      <c r="F5778" s="83">
        <f t="shared" ca="1" si="249"/>
        <v>8.26</v>
      </c>
    </row>
    <row r="5779" spans="1:6" ht="14.1" customHeight="1" x14ac:dyDescent="0.25">
      <c r="A5779" s="94" t="s">
        <v>17516</v>
      </c>
      <c r="B5779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779" s="95" t="str">
        <f>IFERROR(VLOOKUP("UD",'Informacion '!P:Q,2,FALSE),"")</f>
        <v>Unidad</v>
      </c>
      <c r="D5779" s="94">
        <v>8</v>
      </c>
      <c r="E5779" s="84">
        <v>950</v>
      </c>
      <c r="F5779" s="83">
        <f t="shared" ca="1" si="249"/>
        <v>7600</v>
      </c>
    </row>
    <row r="5780" spans="1:6" ht="14.1" customHeight="1" x14ac:dyDescent="0.25">
      <c r="A5780" s="94" t="s">
        <v>14407</v>
      </c>
      <c r="B5780" s="82" t="str">
        <f ca="1">IFERROR(INDEX(UNSPSCDes,MATCH(INDIRECT(ADDRESS(ROW(),COLUMN()-1,4)),UNSPSCCode,0)),IF(INDIRECT(ADDRESS(ROW(),COLUMN()-1,4))="51122110","Nimodipina",""))</f>
        <v>Nimodipina</v>
      </c>
      <c r="C5780" s="95" t="str">
        <f>IFERROR(VLOOKUP("UD",'Informacion '!P:Q,2,FALSE),"")</f>
        <v>Unidad</v>
      </c>
      <c r="D5780" s="94">
        <v>2</v>
      </c>
      <c r="E5780" s="84">
        <v>43</v>
      </c>
      <c r="F5780" s="83">
        <f t="shared" ca="1" si="249"/>
        <v>86</v>
      </c>
    </row>
    <row r="5781" spans="1:6" ht="14.1" customHeight="1" x14ac:dyDescent="0.25">
      <c r="A5781" s="94" t="s">
        <v>3849</v>
      </c>
      <c r="B5781" s="82" t="str">
        <f ca="1">IFERROR(INDEX(UNSPSCDes,MATCH(INDIRECT(ADDRESS(ROW(),COLUMN()-1,4)),UNSPSCCode,0)),IF(INDIRECT(ADDRESS(ROW(),COLUMN()-1,4))="51121743","Besilato de amlodipina",""))</f>
        <v>Besilato de amlodipina</v>
      </c>
      <c r="C5781" s="95" t="str">
        <f>IFERROR(VLOOKUP("UD",'Informacion '!P:Q,2,FALSE),"")</f>
        <v>Unidad</v>
      </c>
      <c r="D5781" s="94">
        <v>65</v>
      </c>
      <c r="E5781" s="84">
        <v>8.82</v>
      </c>
      <c r="F5781" s="83">
        <f t="shared" ca="1" si="249"/>
        <v>573.30000000000007</v>
      </c>
    </row>
    <row r="5782" spans="1:6" ht="14.1" customHeight="1" x14ac:dyDescent="0.25">
      <c r="A5782" s="94" t="s">
        <v>16839</v>
      </c>
      <c r="B5782" s="82" t="str">
        <f ca="1">IFERROR(INDEX(UNSPSCDes,MATCH(INDIRECT(ADDRESS(ROW(),COLUMN()-1,4)),UNSPSCCode,0)),IF(INDIRECT(ADDRESS(ROW(),COLUMN()-1,4))="51151801","Atenolol",""))</f>
        <v>Atenolol</v>
      </c>
      <c r="C5782" s="95" t="str">
        <f>IFERROR(VLOOKUP("UD",'Informacion '!P:Q,2,FALSE),"")</f>
        <v>Unidad</v>
      </c>
      <c r="D5782" s="94">
        <v>1</v>
      </c>
      <c r="E5782" s="84">
        <v>3.6</v>
      </c>
      <c r="F5782" s="83">
        <f t="shared" ca="1" si="249"/>
        <v>3.6</v>
      </c>
    </row>
    <row r="5783" spans="1:6" ht="14.1" customHeight="1" x14ac:dyDescent="0.25">
      <c r="A5783" s="94" t="s">
        <v>5507</v>
      </c>
      <c r="B5783" s="82" t="str">
        <f ca="1">IFERROR(INDEX(UNSPSCDes,MATCH(INDIRECT(ADDRESS(ROW(),COLUMN()-1,4)),UNSPSCCode,0)),IF(INDIRECT(ADDRESS(ROW(),COLUMN()-1,4))="51121718","Clorhidrato de clonidina",""))</f>
        <v>Clorhidrato de clonidina</v>
      </c>
      <c r="C5783" s="95" t="str">
        <f>IFERROR(VLOOKUP("UD",'Informacion '!P:Q,2,FALSE),"")</f>
        <v>Unidad</v>
      </c>
      <c r="D5783" s="94">
        <v>8</v>
      </c>
      <c r="E5783" s="84">
        <v>513.08000000000004</v>
      </c>
      <c r="F5783" s="83">
        <f t="shared" ca="1" si="249"/>
        <v>4104.6400000000003</v>
      </c>
    </row>
    <row r="5784" spans="1:6" ht="14.1" customHeight="1" x14ac:dyDescent="0.25">
      <c r="A5784" s="94" t="s">
        <v>13692</v>
      </c>
      <c r="B5784" s="82" t="str">
        <f ca="1">IFERROR(INDEX(UNSPSCDes,MATCH(INDIRECT(ADDRESS(ROW(),COLUMN()-1,4)),UNSPSCCode,0)),IF(INDIRECT(ADDRESS(ROW(),COLUMN()-1,4))="51121721","Tartrato de metoprolol",""))</f>
        <v>Tartrato de metoprolol</v>
      </c>
      <c r="C5784" s="95" t="str">
        <f>IFERROR(VLOOKUP("UD",'Informacion '!P:Q,2,FALSE),"")</f>
        <v>Unidad</v>
      </c>
      <c r="D5784" s="94">
        <v>38</v>
      </c>
      <c r="E5784" s="84">
        <v>16.649999999999999</v>
      </c>
      <c r="F5784" s="83">
        <f t="shared" ca="1" si="249"/>
        <v>632.69999999999993</v>
      </c>
    </row>
    <row r="5785" spans="1:6" ht="14.1" customHeight="1" x14ac:dyDescent="0.25">
      <c r="A5785" s="94" t="s">
        <v>15752</v>
      </c>
      <c r="B5785" s="82" t="str">
        <f ca="1">IFERROR(INDEX(UNSPSCDes,MATCH(INDIRECT(ADDRESS(ROW(),COLUMN()-1,4)),UNSPSCCode,0)),IF(INDIRECT(ADDRESS(ROW(),COLUMN()-1,4))="51121703","Captopril",""))</f>
        <v>Captopril</v>
      </c>
      <c r="C5785" s="95" t="str">
        <f>IFERROR(VLOOKUP("UD",'Informacion '!P:Q,2,FALSE),"")</f>
        <v>Unidad</v>
      </c>
      <c r="D5785" s="94">
        <v>169</v>
      </c>
      <c r="E5785" s="84">
        <v>9.6300000000000008</v>
      </c>
      <c r="F5785" s="83">
        <f t="shared" ca="1" si="249"/>
        <v>1627.47</v>
      </c>
    </row>
    <row r="5786" spans="1:6" ht="14.1" customHeight="1" x14ac:dyDescent="0.25">
      <c r="A5786" s="94" t="s">
        <v>1808</v>
      </c>
      <c r="B5786" s="82" t="str">
        <f ca="1">IFERROR(INDEX(UNSPSCDes,MATCH(INDIRECT(ADDRESS(ROW(),COLUMN()-1,4)),UNSPSCCode,0)),IF(INDIRECT(ADDRESS(ROW(),COLUMN()-1,4))="51121710","Losartán potásico",""))</f>
        <v>Losartán potásico</v>
      </c>
      <c r="C5786" s="95" t="str">
        <f>IFERROR(VLOOKUP("UD",'Informacion '!P:Q,2,FALSE),"")</f>
        <v>Unidad</v>
      </c>
      <c r="D5786" s="94">
        <v>11</v>
      </c>
      <c r="E5786" s="84">
        <v>2.0299999999999998</v>
      </c>
      <c r="F5786" s="83">
        <f t="shared" ca="1" si="249"/>
        <v>22.33</v>
      </c>
    </row>
    <row r="5787" spans="1:6" ht="14.1" customHeight="1" x14ac:dyDescent="0.25">
      <c r="A5787" s="94" t="s">
        <v>19811</v>
      </c>
      <c r="B5787" s="82" t="str">
        <f ca="1">IFERROR(INDEX(UNSPSCDes,MATCH(INDIRECT(ADDRESS(ROW(),COLUMN()-1,4)),UNSPSCCode,0)),IF(INDIRECT(ADDRESS(ROW(),COLUMN()-1,4))="51121715","Enalapril",""))</f>
        <v>Enalapril</v>
      </c>
      <c r="C5787" s="95" t="str">
        <f>IFERROR(VLOOKUP("UD",'Informacion '!P:Q,2,FALSE),"")</f>
        <v>Unidad</v>
      </c>
      <c r="D5787" s="94">
        <v>63</v>
      </c>
      <c r="E5787" s="84">
        <v>0.2</v>
      </c>
      <c r="F5787" s="83">
        <f t="shared" ca="1" si="249"/>
        <v>12.600000000000001</v>
      </c>
    </row>
    <row r="5788" spans="1:6" ht="14.1" customHeight="1" x14ac:dyDescent="0.25">
      <c r="A5788" s="94" t="s">
        <v>1813</v>
      </c>
      <c r="B5788" s="82" t="str">
        <f ca="1">IFERROR(INDEX(UNSPSCDes,MATCH(INDIRECT(ADDRESS(ROW(),COLUMN()-1,4)),UNSPSCCode,0)),IF(INDIRECT(ADDRESS(ROW(),COLUMN()-1,4))="51121725","Bisoprolol fumarato",""))</f>
        <v>Bisoprolol fumarato</v>
      </c>
      <c r="C5788" s="95" t="str">
        <f>IFERROR(VLOOKUP("UD",'Informacion '!P:Q,2,FALSE),"")</f>
        <v>Unidad</v>
      </c>
      <c r="D5788" s="94">
        <v>4</v>
      </c>
      <c r="E5788" s="84">
        <v>29.04</v>
      </c>
      <c r="F5788" s="83">
        <f t="shared" ca="1" si="249"/>
        <v>116.16</v>
      </c>
    </row>
    <row r="5789" spans="1:6" ht="14.1" customHeight="1" x14ac:dyDescent="0.25">
      <c r="A5789" s="94" t="s">
        <v>15425</v>
      </c>
      <c r="B5789" s="82" t="str">
        <f ca="1">IFERROR(INDEX(UNSPSCDes,MATCH(INDIRECT(ADDRESS(ROW(),COLUMN()-1,4)),UNSPSCCode,0)),IF(INDIRECT(ADDRESS(ROW(),COLUMN()-1,4))="51142103","Diclofenaco potásico",""))</f>
        <v>Diclofenaco potásico</v>
      </c>
      <c r="C5789" s="95" t="str">
        <f>IFERROR(VLOOKUP("UD",'Informacion '!P:Q,2,FALSE),"")</f>
        <v>Unidad</v>
      </c>
      <c r="D5789" s="94">
        <v>57</v>
      </c>
      <c r="E5789" s="84">
        <v>33.6</v>
      </c>
      <c r="F5789" s="83">
        <f t="shared" ca="1" si="249"/>
        <v>1915.2</v>
      </c>
    </row>
    <row r="5790" spans="1:6" ht="14.1" customHeight="1" x14ac:dyDescent="0.25">
      <c r="A5790" s="94" t="s">
        <v>15190</v>
      </c>
      <c r="B5790" s="82" t="str">
        <f ca="1">IFERROR(INDEX(UNSPSCDes,MATCH(INDIRECT(ADDRESS(ROW(),COLUMN()-1,4)),UNSPSCCode,0)),IF(INDIRECT(ADDRESS(ROW(),COLUMN()-1,4))="51142108","Ketoprofeno",""))</f>
        <v>Ketoprofeno</v>
      </c>
      <c r="C5790" s="95" t="str">
        <f>IFERROR(VLOOKUP("UD",'Informacion '!P:Q,2,FALSE),"")</f>
        <v>Unidad</v>
      </c>
      <c r="D5790" s="94">
        <v>29</v>
      </c>
      <c r="E5790" s="84">
        <v>65</v>
      </c>
      <c r="F5790" s="83">
        <f t="shared" ca="1" si="249"/>
        <v>1885</v>
      </c>
    </row>
    <row r="5791" spans="1:6" ht="14.1" customHeight="1" x14ac:dyDescent="0.25">
      <c r="A5791" s="94" t="s">
        <v>36</v>
      </c>
      <c r="B5791" s="82" t="str">
        <f ca="1">IFERROR(INDEX(UNSPSCDes,MATCH(INDIRECT(ADDRESS(ROW(),COLUMN()-1,4)),UNSPSCCode,0)),IF(INDIRECT(ADDRESS(ROW(),COLUMN()-1,4))="51181706","Hidrocortisona",""))</f>
        <v>Hidrocortisona</v>
      </c>
      <c r="C5791" s="95" t="str">
        <f>IFERROR(VLOOKUP("UD",'Informacion '!P:Q,2,FALSE),"")</f>
        <v>Unidad</v>
      </c>
      <c r="D5791" s="94">
        <v>605</v>
      </c>
      <c r="E5791" s="84">
        <v>25.24</v>
      </c>
      <c r="F5791" s="83">
        <f t="shared" ca="1" si="249"/>
        <v>15270.199999999999</v>
      </c>
    </row>
    <row r="5792" spans="1:6" ht="14.1" customHeight="1" x14ac:dyDescent="0.25">
      <c r="A5792" s="94" t="s">
        <v>12474</v>
      </c>
      <c r="B5792" s="82" t="str">
        <f ca="1">IFERROR(INDEX(UNSPSCDes,MATCH(INDIRECT(ADDRESS(ROW(),COLUMN()-1,4)),UNSPSCCode,0)),IF(INDIRECT(ADDRESS(ROW(),COLUMN()-1,4))="51181713","Prednisona",""))</f>
        <v>Prednisona</v>
      </c>
      <c r="C5792" s="95" t="str">
        <f>IFERROR(VLOOKUP("UD",'Informacion '!P:Q,2,FALSE),"")</f>
        <v>Unidad</v>
      </c>
      <c r="D5792" s="94">
        <v>766</v>
      </c>
      <c r="E5792" s="84">
        <v>9.81</v>
      </c>
      <c r="F5792" s="83">
        <f t="shared" ca="1" si="249"/>
        <v>7514.46</v>
      </c>
    </row>
    <row r="5793" spans="1:10" ht="14.1" customHeight="1" x14ac:dyDescent="0.25">
      <c r="A5793" s="94" t="s">
        <v>4572</v>
      </c>
      <c r="B5793" s="82" t="str">
        <f ca="1">IFERROR(INDEX(UNSPSCDes,MATCH(INDIRECT(ADDRESS(ROW(),COLUMN()-1,4)),UNSPSCCode,0)),IF(INDIRECT(ADDRESS(ROW(),COLUMN()-1,4))="51181704","Dexametasona",""))</f>
        <v>Dexametasona</v>
      </c>
      <c r="C5793" s="95" t="str">
        <f>IFERROR(VLOOKUP("UD",'Informacion '!P:Q,2,FALSE),"")</f>
        <v>Unidad</v>
      </c>
      <c r="D5793" s="94">
        <v>5150</v>
      </c>
      <c r="E5793" s="84">
        <v>9.82</v>
      </c>
      <c r="F5793" s="83">
        <f t="shared" ca="1" si="249"/>
        <v>50573</v>
      </c>
    </row>
    <row r="5794" spans="1:10" ht="14.1" customHeight="1" x14ac:dyDescent="0.25">
      <c r="A5794" s="94" t="s">
        <v>15190</v>
      </c>
      <c r="B5794" s="82" t="str">
        <f ca="1">IFERROR(INDEX(UNSPSCDes,MATCH(INDIRECT(ADDRESS(ROW(),COLUMN()-1,4)),UNSPSCCode,0)),IF(INDIRECT(ADDRESS(ROW(),COLUMN()-1,4))="51142108","Ketoprofeno",""))</f>
        <v>Ketoprofeno</v>
      </c>
      <c r="C5794" s="95" t="str">
        <f>IFERROR(VLOOKUP("UD",'Informacion '!P:Q,2,FALSE),"")</f>
        <v>Unidad</v>
      </c>
      <c r="D5794" s="94">
        <v>253</v>
      </c>
      <c r="E5794" s="84">
        <v>57.78</v>
      </c>
      <c r="F5794" s="83">
        <f t="shared" ca="1" si="249"/>
        <v>14618.34</v>
      </c>
    </row>
    <row r="5795" spans="1:10" ht="14.1" customHeight="1" x14ac:dyDescent="0.25">
      <c r="E5795" s="96" t="s">
        <v>7213</v>
      </c>
      <c r="F5795" s="87">
        <f ca="1">SUM(Table154[MONTO TOTAL ESTIMADO])</f>
        <v>285511.80000000005</v>
      </c>
      <c r="H5795" s="39" t="str">
        <f>C5761</f>
        <v>Bienes</v>
      </c>
      <c r="I5795" s="39" t="str">
        <f>E5761</f>
        <v>No</v>
      </c>
      <c r="J5795" s="39" t="str">
        <f>D5761</f>
        <v>Comparacion de Precios</v>
      </c>
    </row>
    <row r="5797" spans="1:10" ht="33.950000000000003" customHeight="1" x14ac:dyDescent="0.25">
      <c r="A5797" s="77" t="s">
        <v>17233</v>
      </c>
      <c r="B5797" s="77" t="s">
        <v>4237</v>
      </c>
      <c r="C5797" s="77" t="s">
        <v>4743</v>
      </c>
      <c r="D5797" s="77" t="s">
        <v>9891</v>
      </c>
      <c r="E5797" s="77" t="s">
        <v>3089</v>
      </c>
      <c r="F5797" s="77" t="s">
        <v>18141</v>
      </c>
    </row>
    <row r="5798" spans="1:10" ht="14.1" customHeight="1" x14ac:dyDescent="0.25">
      <c r="A5798" s="79" t="s">
        <v>15423</v>
      </c>
      <c r="B5798" s="79" t="s">
        <v>11889</v>
      </c>
      <c r="C5798" s="79" t="s">
        <v>17215</v>
      </c>
      <c r="D5798" s="79" t="s">
        <v>15249</v>
      </c>
      <c r="E5798" s="79" t="s">
        <v>18247</v>
      </c>
      <c r="F5798" s="79"/>
    </row>
    <row r="5799" spans="1:10" ht="14.1" customHeight="1" x14ac:dyDescent="0.25">
      <c r="A5799" s="2" t="s">
        <v>6643</v>
      </c>
      <c r="B5799" s="80" t="s">
        <v>1046</v>
      </c>
      <c r="C5799" s="90">
        <v>43739</v>
      </c>
      <c r="D5799" s="2" t="s">
        <v>59</v>
      </c>
      <c r="E5799" s="92" t="s">
        <v>20066</v>
      </c>
      <c r="F5799" s="93" t="s">
        <v>5684</v>
      </c>
    </row>
    <row r="5800" spans="1:10" ht="14.1" customHeight="1" x14ac:dyDescent="0.25">
      <c r="A5800" s="1"/>
      <c r="B5800" s="80" t="s">
        <v>10788</v>
      </c>
      <c r="C5800" s="91">
        <f>IF(C5799="","",IF(AND(MONTH(C5799)&gt;=1,MONTH(C5799)&lt;=3),1,IF(AND(MONTH(C5799)&gt;=4,MONTH(C5799)&lt;=6),2,IF(AND(MONTH(C5799)&gt;=7,MONTH(C5799)&lt;=9),3,4))))</f>
        <v>4</v>
      </c>
      <c r="D5800" s="1"/>
      <c r="E5800" s="92" t="s">
        <v>14822</v>
      </c>
      <c r="F5800" s="93"/>
    </row>
    <row r="5801" spans="1:10" ht="14.1" customHeight="1" x14ac:dyDescent="0.25">
      <c r="A5801" s="1"/>
      <c r="B5801" s="80" t="s">
        <v>13758</v>
      </c>
      <c r="C5801" s="90">
        <v>43830</v>
      </c>
      <c r="D5801" s="1"/>
      <c r="E5801" s="92" t="s">
        <v>18636</v>
      </c>
      <c r="F5801" s="93"/>
    </row>
    <row r="5802" spans="1:10" ht="14.1" customHeight="1" x14ac:dyDescent="0.25">
      <c r="A5802" s="1"/>
      <c r="B5802" s="80" t="s">
        <v>10788</v>
      </c>
      <c r="C5802" s="91">
        <f>IF(C5801="","",IF(AND(MONTH(C5801)&gt;=1,MONTH(C5801)&lt;=3),1,IF(AND(MONTH(C5801)&gt;=4,MONTH(C5801)&lt;=6),2,IF(AND(MONTH(C5801)&gt;=7,MONTH(C5801)&lt;=9),3,4))))</f>
        <v>4</v>
      </c>
      <c r="D5802" s="1"/>
      <c r="E5802" s="92" t="s">
        <v>15990</v>
      </c>
      <c r="F5802" s="93"/>
    </row>
    <row r="5804" spans="1:10" ht="14.1" customHeight="1" x14ac:dyDescent="0.25">
      <c r="A5804" s="85" t="s">
        <v>15474</v>
      </c>
      <c r="B5804" s="85" t="s">
        <v>5027</v>
      </c>
      <c r="C5804" s="85" t="s">
        <v>17461</v>
      </c>
      <c r="D5804" s="85" t="s">
        <v>3935</v>
      </c>
      <c r="E5804" s="85" t="s">
        <v>10722</v>
      </c>
      <c r="F5804" s="85" t="s">
        <v>18237</v>
      </c>
    </row>
    <row r="5805" spans="1:10" ht="14.1" customHeight="1" x14ac:dyDescent="0.25">
      <c r="A5805" s="94" t="s">
        <v>4252</v>
      </c>
      <c r="B5805" s="82" t="str">
        <f ca="1">IFERROR(INDEX(UNSPSCDes,MATCH(INDIRECT(ADDRESS(ROW(),COLUMN()-1,4)),UNSPSCCode,0)),IF(INDIRECT(ADDRESS(ROW(),COLUMN()-1,4))="51101807","Fluconazol",""))</f>
        <v>Fluconazol</v>
      </c>
      <c r="C5805" s="95" t="str">
        <f>IFERROR(VLOOKUP("UD",'Informacion '!P:Q,2,FALSE),"")</f>
        <v>Unidad</v>
      </c>
      <c r="D5805" s="94">
        <v>42</v>
      </c>
      <c r="E5805" s="84">
        <v>130</v>
      </c>
      <c r="F5805" s="83">
        <f ca="1">INDIRECT(ADDRESS(ROW(),COLUMN()-2,4))*INDIRECT(ADDRESS(ROW(),COLUMN()-1,4))</f>
        <v>5460</v>
      </c>
    </row>
    <row r="5806" spans="1:10" ht="14.1" customHeight="1" x14ac:dyDescent="0.25">
      <c r="A5806" s="94" t="s">
        <v>842</v>
      </c>
      <c r="B5806" s="82" t="str">
        <f ca="1">IFERROR(INDEX(UNSPSCDes,MATCH(INDIRECT(ADDRESS(ROW(),COLUMN()-1,4)),UNSPSCCode,0)),IF(INDIRECT(ADDRESS(ROW(),COLUMN()-1,4))="51101815","Nistatina",""))</f>
        <v>Nistatina</v>
      </c>
      <c r="C5806" s="95" t="str">
        <f>IFERROR(VLOOKUP("UD",'Informacion '!P:Q,2,FALSE),"")</f>
        <v>Unidad</v>
      </c>
      <c r="D5806" s="94">
        <v>5</v>
      </c>
      <c r="E5806" s="84">
        <v>20.93</v>
      </c>
      <c r="F5806" s="83">
        <f ca="1">INDIRECT(ADDRESS(ROW(),COLUMN()-2,4))*INDIRECT(ADDRESS(ROW(),COLUMN()-1,4))</f>
        <v>104.65</v>
      </c>
    </row>
    <row r="5807" spans="1:10" ht="14.1" customHeight="1" x14ac:dyDescent="0.25">
      <c r="A5807" s="94" t="s">
        <v>13947</v>
      </c>
      <c r="B5807" s="82" t="str">
        <f ca="1">IFERROR(INDEX(UNSPSCDes,MATCH(INDIRECT(ADDRESS(ROW(),COLUMN()-1,4)),UNSPSCCode,0)),IF(INDIRECT(ADDRESS(ROW(),COLUMN()-1,4))="51101832","Voriconazol",""))</f>
        <v>Voriconazol</v>
      </c>
      <c r="C5807" s="95" t="str">
        <f>IFERROR(VLOOKUP("UD",'Informacion '!P:Q,2,FALSE),"")</f>
        <v>Unidad</v>
      </c>
      <c r="D5807" s="94">
        <v>67</v>
      </c>
      <c r="E5807" s="84">
        <v>7477.4</v>
      </c>
      <c r="F5807" s="83">
        <f ca="1">INDIRECT(ADDRESS(ROW(),COLUMN()-2,4))*INDIRECT(ADDRESS(ROW(),COLUMN()-1,4))</f>
        <v>500985.8</v>
      </c>
    </row>
    <row r="5808" spans="1:10" ht="14.1" customHeight="1" x14ac:dyDescent="0.25">
      <c r="E5808" s="96" t="s">
        <v>7213</v>
      </c>
      <c r="F5808" s="87">
        <f ca="1">SUM(Table155[MONTO TOTAL ESTIMADO])</f>
        <v>506550.45</v>
      </c>
      <c r="H5808" s="39" t="str">
        <f>C5798</f>
        <v>Bienes</v>
      </c>
      <c r="I5808" s="39" t="str">
        <f>E5798</f>
        <v>No</v>
      </c>
      <c r="J5808" s="39" t="str">
        <f>D5798</f>
        <v>Comparacion de Precios</v>
      </c>
    </row>
    <row r="5810" spans="1:10" ht="33.950000000000003" customHeight="1" x14ac:dyDescent="0.25">
      <c r="A5810" s="77" t="s">
        <v>17233</v>
      </c>
      <c r="B5810" s="77" t="s">
        <v>4237</v>
      </c>
      <c r="C5810" s="77" t="s">
        <v>4743</v>
      </c>
      <c r="D5810" s="77" t="s">
        <v>9891</v>
      </c>
      <c r="E5810" s="77" t="s">
        <v>3089</v>
      </c>
      <c r="F5810" s="77" t="s">
        <v>18141</v>
      </c>
    </row>
    <row r="5811" spans="1:10" ht="14.1" customHeight="1" x14ac:dyDescent="0.25">
      <c r="A5811" s="79" t="s">
        <v>17918</v>
      </c>
      <c r="B5811" s="79" t="s">
        <v>2182</v>
      </c>
      <c r="C5811" s="79" t="s">
        <v>17215</v>
      </c>
      <c r="D5811" s="79" t="s">
        <v>15249</v>
      </c>
      <c r="E5811" s="79" t="s">
        <v>18247</v>
      </c>
      <c r="F5811" s="79"/>
    </row>
    <row r="5812" spans="1:10" ht="14.1" customHeight="1" x14ac:dyDescent="0.25">
      <c r="A5812" s="2" t="s">
        <v>6643</v>
      </c>
      <c r="B5812" s="80" t="s">
        <v>1046</v>
      </c>
      <c r="C5812" s="90">
        <v>43647</v>
      </c>
      <c r="D5812" s="2" t="s">
        <v>59</v>
      </c>
      <c r="E5812" s="92" t="s">
        <v>20066</v>
      </c>
      <c r="F5812" s="93" t="s">
        <v>5684</v>
      </c>
    </row>
    <row r="5813" spans="1:10" ht="14.1" customHeight="1" x14ac:dyDescent="0.25">
      <c r="A5813" s="1"/>
      <c r="B5813" s="80" t="s">
        <v>10788</v>
      </c>
      <c r="C5813" s="91">
        <f>IF(C5812="","",IF(AND(MONTH(C5812)&gt;=1,MONTH(C5812)&lt;=3),1,IF(AND(MONTH(C5812)&gt;=4,MONTH(C5812)&lt;=6),2,IF(AND(MONTH(C5812)&gt;=7,MONTH(C5812)&lt;=9),3,4))))</f>
        <v>3</v>
      </c>
      <c r="D5813" s="1"/>
      <c r="E5813" s="92" t="s">
        <v>14822</v>
      </c>
      <c r="F5813" s="93"/>
    </row>
    <row r="5814" spans="1:10" ht="14.1" customHeight="1" x14ac:dyDescent="0.25">
      <c r="A5814" s="1"/>
      <c r="B5814" s="80" t="s">
        <v>13758</v>
      </c>
      <c r="C5814" s="90">
        <v>43738</v>
      </c>
      <c r="D5814" s="1"/>
      <c r="E5814" s="92" t="s">
        <v>18636</v>
      </c>
      <c r="F5814" s="93"/>
    </row>
    <row r="5815" spans="1:10" ht="14.1" customHeight="1" x14ac:dyDescent="0.25">
      <c r="A5815" s="1"/>
      <c r="B5815" s="80" t="s">
        <v>10788</v>
      </c>
      <c r="C5815" s="91">
        <f>IF(C5814="","",IF(AND(MONTH(C5814)&gt;=1,MONTH(C5814)&lt;=3),1,IF(AND(MONTH(C5814)&gt;=4,MONTH(C5814)&lt;=6),2,IF(AND(MONTH(C5814)&gt;=7,MONTH(C5814)&lt;=9),3,4))))</f>
        <v>3</v>
      </c>
      <c r="D5815" s="1"/>
      <c r="E5815" s="92" t="s">
        <v>15990</v>
      </c>
      <c r="F5815" s="93"/>
    </row>
    <row r="5817" spans="1:10" ht="14.1" customHeight="1" x14ac:dyDescent="0.25">
      <c r="A5817" s="85" t="s">
        <v>15474</v>
      </c>
      <c r="B5817" s="85" t="s">
        <v>5027</v>
      </c>
      <c r="C5817" s="85" t="s">
        <v>17461</v>
      </c>
      <c r="D5817" s="85" t="s">
        <v>3935</v>
      </c>
      <c r="E5817" s="85" t="s">
        <v>10722</v>
      </c>
      <c r="F5817" s="85" t="s">
        <v>18237</v>
      </c>
    </row>
    <row r="5818" spans="1:10" ht="14.1" customHeight="1" x14ac:dyDescent="0.25">
      <c r="A5818" s="94" t="s">
        <v>4252</v>
      </c>
      <c r="B5818" s="82" t="str">
        <f ca="1">IFERROR(INDEX(UNSPSCDes,MATCH(INDIRECT(ADDRESS(ROW(),COLUMN()-1,4)),UNSPSCCode,0)),IF(INDIRECT(ADDRESS(ROW(),COLUMN()-1,4))="51101807","Fluconazol",""))</f>
        <v>Fluconazol</v>
      </c>
      <c r="C5818" s="95" t="str">
        <f>IFERROR(VLOOKUP("UD",'Informacion '!P:Q,2,FALSE),"")</f>
        <v>Unidad</v>
      </c>
      <c r="D5818" s="94">
        <v>35</v>
      </c>
      <c r="E5818" s="84">
        <v>130</v>
      </c>
      <c r="F5818" s="83">
        <f ca="1">INDIRECT(ADDRESS(ROW(),COLUMN()-2,4))*INDIRECT(ADDRESS(ROW(),COLUMN()-1,4))</f>
        <v>4550</v>
      </c>
    </row>
    <row r="5819" spans="1:10" ht="14.1" customHeight="1" x14ac:dyDescent="0.25">
      <c r="A5819" s="94" t="s">
        <v>842</v>
      </c>
      <c r="B5819" s="82" t="str">
        <f ca="1">IFERROR(INDEX(UNSPSCDes,MATCH(INDIRECT(ADDRESS(ROW(),COLUMN()-1,4)),UNSPSCCode,0)),IF(INDIRECT(ADDRESS(ROW(),COLUMN()-1,4))="51101815","Nistatina",""))</f>
        <v>Nistatina</v>
      </c>
      <c r="C5819" s="95" t="str">
        <f>IFERROR(VLOOKUP("UD",'Informacion '!P:Q,2,FALSE),"")</f>
        <v>Unidad</v>
      </c>
      <c r="D5819" s="94">
        <v>4</v>
      </c>
      <c r="E5819" s="84">
        <v>20.93</v>
      </c>
      <c r="F5819" s="83">
        <f ca="1">INDIRECT(ADDRESS(ROW(),COLUMN()-2,4))*INDIRECT(ADDRESS(ROW(),COLUMN()-1,4))</f>
        <v>83.72</v>
      </c>
    </row>
    <row r="5820" spans="1:10" ht="14.1" customHeight="1" x14ac:dyDescent="0.25">
      <c r="A5820" s="94" t="s">
        <v>13947</v>
      </c>
      <c r="B5820" s="82" t="str">
        <f ca="1">IFERROR(INDEX(UNSPSCDes,MATCH(INDIRECT(ADDRESS(ROW(),COLUMN()-1,4)),UNSPSCCode,0)),IF(INDIRECT(ADDRESS(ROW(),COLUMN()-1,4))="51101832","Voriconazol",""))</f>
        <v>Voriconazol</v>
      </c>
      <c r="C5820" s="95" t="str">
        <f>IFERROR(VLOOKUP("UD",'Informacion '!P:Q,2,FALSE),"")</f>
        <v>Unidad</v>
      </c>
      <c r="D5820" s="94">
        <v>65</v>
      </c>
      <c r="E5820" s="84">
        <v>7477.4</v>
      </c>
      <c r="F5820" s="83">
        <f ca="1">INDIRECT(ADDRESS(ROW(),COLUMN()-2,4))*INDIRECT(ADDRESS(ROW(),COLUMN()-1,4))</f>
        <v>486031</v>
      </c>
    </row>
    <row r="5821" spans="1:10" ht="14.1" customHeight="1" x14ac:dyDescent="0.25">
      <c r="E5821" s="96" t="s">
        <v>7213</v>
      </c>
      <c r="F5821" s="87">
        <f ca="1">SUM(Table156[MONTO TOTAL ESTIMADO])</f>
        <v>490664.72</v>
      </c>
      <c r="H5821" s="39" t="str">
        <f>C5811</f>
        <v>Bienes</v>
      </c>
      <c r="I5821" s="39" t="str">
        <f>E5811</f>
        <v>No</v>
      </c>
      <c r="J5821" s="39" t="str">
        <f>D5811</f>
        <v>Comparacion de Precios</v>
      </c>
    </row>
    <row r="5823" spans="1:10" ht="33.950000000000003" customHeight="1" x14ac:dyDescent="0.25">
      <c r="A5823" s="77" t="s">
        <v>17233</v>
      </c>
      <c r="B5823" s="77" t="s">
        <v>4237</v>
      </c>
      <c r="C5823" s="77" t="s">
        <v>4743</v>
      </c>
      <c r="D5823" s="77" t="s">
        <v>9891</v>
      </c>
      <c r="E5823" s="77" t="s">
        <v>3089</v>
      </c>
      <c r="F5823" s="77" t="s">
        <v>18141</v>
      </c>
    </row>
    <row r="5824" spans="1:10" ht="14.1" customHeight="1" x14ac:dyDescent="0.25">
      <c r="A5824" s="79" t="s">
        <v>18504</v>
      </c>
      <c r="B5824" s="79" t="s">
        <v>2182</v>
      </c>
      <c r="C5824" s="79" t="s">
        <v>17215</v>
      </c>
      <c r="D5824" s="79" t="s">
        <v>15249</v>
      </c>
      <c r="E5824" s="79" t="s">
        <v>18247</v>
      </c>
      <c r="F5824" s="79"/>
    </row>
    <row r="5825" spans="1:6" ht="14.1" customHeight="1" x14ac:dyDescent="0.25">
      <c r="A5825" s="2" t="s">
        <v>6643</v>
      </c>
      <c r="B5825" s="80" t="s">
        <v>1046</v>
      </c>
      <c r="C5825" s="90">
        <v>43469</v>
      </c>
      <c r="D5825" s="2" t="s">
        <v>59</v>
      </c>
      <c r="E5825" s="92" t="s">
        <v>20066</v>
      </c>
      <c r="F5825" s="93" t="s">
        <v>5684</v>
      </c>
    </row>
    <row r="5826" spans="1:6" ht="14.1" customHeight="1" x14ac:dyDescent="0.25">
      <c r="A5826" s="1"/>
      <c r="B5826" s="80" t="s">
        <v>10788</v>
      </c>
      <c r="C5826" s="91">
        <f>IF(C5825="","",IF(AND(MONTH(C5825)&gt;=1,MONTH(C5825)&lt;=3),1,IF(AND(MONTH(C5825)&gt;=4,MONTH(C5825)&lt;=6),2,IF(AND(MONTH(C5825)&gt;=7,MONTH(C5825)&lt;=9),3,4))))</f>
        <v>1</v>
      </c>
      <c r="D5826" s="1"/>
      <c r="E5826" s="92" t="s">
        <v>14822</v>
      </c>
      <c r="F5826" s="93"/>
    </row>
    <row r="5827" spans="1:6" ht="14.1" customHeight="1" x14ac:dyDescent="0.25">
      <c r="A5827" s="1"/>
      <c r="B5827" s="80" t="s">
        <v>13758</v>
      </c>
      <c r="C5827" s="90">
        <v>43554</v>
      </c>
      <c r="D5827" s="1"/>
      <c r="E5827" s="92" t="s">
        <v>18636</v>
      </c>
      <c r="F5827" s="93"/>
    </row>
    <row r="5828" spans="1:6" ht="14.1" customHeight="1" x14ac:dyDescent="0.25">
      <c r="A5828" s="1"/>
      <c r="B5828" s="80" t="s">
        <v>10788</v>
      </c>
      <c r="C5828" s="91">
        <f>IF(C5827="","",IF(AND(MONTH(C5827)&gt;=1,MONTH(C5827)&lt;=3),1,IF(AND(MONTH(C5827)&gt;=4,MONTH(C5827)&lt;=6),2,IF(AND(MONTH(C5827)&gt;=7,MONTH(C5827)&lt;=9),3,4))))</f>
        <v>1</v>
      </c>
      <c r="D5828" s="1"/>
      <c r="E5828" s="92" t="s">
        <v>15990</v>
      </c>
      <c r="F5828" s="93"/>
    </row>
    <row r="5830" spans="1:6" ht="14.1" customHeight="1" x14ac:dyDescent="0.25">
      <c r="A5830" s="85" t="s">
        <v>15474</v>
      </c>
      <c r="B5830" s="85" t="s">
        <v>5027</v>
      </c>
      <c r="C5830" s="85" t="s">
        <v>17461</v>
      </c>
      <c r="D5830" s="85" t="s">
        <v>3935</v>
      </c>
      <c r="E5830" s="85" t="s">
        <v>10722</v>
      </c>
      <c r="F5830" s="85" t="s">
        <v>18237</v>
      </c>
    </row>
    <row r="5831" spans="1:6" ht="14.1" customHeight="1" x14ac:dyDescent="0.25">
      <c r="A5831" s="94" t="s">
        <v>17357</v>
      </c>
      <c r="B5831" s="82" t="str">
        <f ca="1">IFERROR(INDEX(UNSPSCDes,MATCH(INDIRECT(ADDRESS(ROW(),COLUMN()-1,4)),UNSPSCCode,0)),IF(INDIRECT(ADDRESS(ROW(),COLUMN()-1,4))="51151701","Albuterol",""))</f>
        <v>Albuterol</v>
      </c>
      <c r="C5831" s="95" t="str">
        <f>IFERROR(VLOOKUP("UD",'Informacion '!P:Q,2,FALSE),"")</f>
        <v>Unidad</v>
      </c>
      <c r="D5831" s="94">
        <v>1</v>
      </c>
      <c r="E5831" s="84">
        <v>68.62</v>
      </c>
      <c r="F5831" s="83">
        <f t="shared" ref="F5831:F5849" ca="1" si="250">INDIRECT(ADDRESS(ROW(),COLUMN()-2,4))*INDIRECT(ADDRESS(ROW(),COLUMN()-1,4))</f>
        <v>68.62</v>
      </c>
    </row>
    <row r="5832" spans="1:6" ht="14.1" customHeight="1" x14ac:dyDescent="0.25">
      <c r="A5832" s="94" t="s">
        <v>7272</v>
      </c>
      <c r="B5832" s="82" t="str">
        <f ca="1">IFERROR(INDEX(UNSPSCDes,MATCH(INDIRECT(ADDRESS(ROW(),COLUMN()-1,4)),UNSPSCCode,0)),IF(INDIRECT(ADDRESS(ROW(),COLUMN()-1,4))="51161504","Aminofilina",""))</f>
        <v>Aminofilina</v>
      </c>
      <c r="C5832" s="95" t="str">
        <f>IFERROR(VLOOKUP("UD",'Informacion '!P:Q,2,FALSE),"")</f>
        <v>Unidad</v>
      </c>
      <c r="D5832" s="94">
        <v>7</v>
      </c>
      <c r="E5832" s="84">
        <v>55.89</v>
      </c>
      <c r="F5832" s="83">
        <f t="shared" ca="1" si="250"/>
        <v>391.23</v>
      </c>
    </row>
    <row r="5833" spans="1:6" ht="14.1" customHeight="1" x14ac:dyDescent="0.25">
      <c r="A5833" s="94" t="s">
        <v>3772</v>
      </c>
      <c r="B5833" s="82" t="str">
        <f ca="1">IFERROR(INDEX(UNSPSCDes,MATCH(INDIRECT(ADDRESS(ROW(),COLUMN()-1,4)),UNSPSCCode,0)),IF(INDIRECT(ADDRESS(ROW(),COLUMN()-1,4))="51161703","Budesonida",""))</f>
        <v>Budesonida</v>
      </c>
      <c r="C5833" s="95" t="str">
        <f>IFERROR(VLOOKUP("UD",'Informacion '!P:Q,2,FALSE),"")</f>
        <v>Unidad</v>
      </c>
      <c r="D5833" s="94">
        <v>69</v>
      </c>
      <c r="E5833" s="84">
        <v>70</v>
      </c>
      <c r="F5833" s="83">
        <f t="shared" ca="1" si="250"/>
        <v>4830</v>
      </c>
    </row>
    <row r="5834" spans="1:6" ht="14.1" customHeight="1" x14ac:dyDescent="0.25">
      <c r="A5834" s="94" t="s">
        <v>17203</v>
      </c>
      <c r="B5834" s="82" t="str">
        <f ca="1">IFERROR(INDEX(UNSPSCDes,MATCH(INDIRECT(ADDRESS(ROW(),COLUMN()-1,4)),UNSPSCCode,0)),IF(INDIRECT(ADDRESS(ROW(),COLUMN()-1,4))="51161705","Bromuro de ipratropio",""))</f>
        <v>Bromuro de ipratropio</v>
      </c>
      <c r="C5834" s="95" t="str">
        <f>IFERROR(VLOOKUP("UD",'Informacion '!P:Q,2,FALSE),"")</f>
        <v>Unidad</v>
      </c>
      <c r="D5834" s="94">
        <v>302</v>
      </c>
      <c r="E5834" s="84">
        <v>68.3</v>
      </c>
      <c r="F5834" s="83">
        <f t="shared" ca="1" si="250"/>
        <v>20626.599999999999</v>
      </c>
    </row>
    <row r="5835" spans="1:6" ht="14.1" customHeight="1" x14ac:dyDescent="0.25">
      <c r="A5835" s="94" t="s">
        <v>8167</v>
      </c>
      <c r="B5835" s="82" t="str">
        <f ca="1">IFERROR(INDEX(UNSPSCDes,MATCH(INDIRECT(ADDRESS(ROW(),COLUMN()-1,4)),UNSPSCCode,0)),IF(INDIRECT(ADDRESS(ROW(),COLUMN()-1,4))="51161701","Acetilcisteína",""))</f>
        <v>Acetilcisteína</v>
      </c>
      <c r="C5835" s="95" t="str">
        <f>IFERROR(VLOOKUP("UD",'Informacion '!P:Q,2,FALSE),"")</f>
        <v>Unidad</v>
      </c>
      <c r="D5835" s="94">
        <v>4</v>
      </c>
      <c r="E5835" s="84">
        <v>56.4</v>
      </c>
      <c r="F5835" s="83">
        <f t="shared" ca="1" si="250"/>
        <v>225.6</v>
      </c>
    </row>
    <row r="5836" spans="1:6" ht="14.1" customHeight="1" x14ac:dyDescent="0.25">
      <c r="A5836" s="94" t="s">
        <v>8167</v>
      </c>
      <c r="B5836" s="82" t="str">
        <f ca="1">IFERROR(INDEX(UNSPSCDes,MATCH(INDIRECT(ADDRESS(ROW(),COLUMN()-1,4)),UNSPSCCode,0)),IF(INDIRECT(ADDRESS(ROW(),COLUMN()-1,4))="51161701","Acetilcisteína",""))</f>
        <v>Acetilcisteína</v>
      </c>
      <c r="C5836" s="95" t="str">
        <f>IFERROR(VLOOKUP("UD",'Informacion '!P:Q,2,FALSE),"")</f>
        <v>Unidad</v>
      </c>
      <c r="D5836" s="94">
        <v>1516</v>
      </c>
      <c r="E5836" s="84">
        <v>105.07</v>
      </c>
      <c r="F5836" s="83">
        <f t="shared" ca="1" si="250"/>
        <v>159286.12</v>
      </c>
    </row>
    <row r="5837" spans="1:6" ht="14.1" customHeight="1" x14ac:dyDescent="0.25">
      <c r="A5837" s="94" t="s">
        <v>17357</v>
      </c>
      <c r="B5837" s="82" t="str">
        <f ca="1">IFERROR(INDEX(UNSPSCDes,MATCH(INDIRECT(ADDRESS(ROW(),COLUMN()-1,4)),UNSPSCCode,0)),IF(INDIRECT(ADDRESS(ROW(),COLUMN()-1,4))="51151701","Albuterol",""))</f>
        <v>Albuterol</v>
      </c>
      <c r="C5837" s="95" t="str">
        <f>IFERROR(VLOOKUP("UD",'Informacion '!P:Q,2,FALSE),"")</f>
        <v>Unidad</v>
      </c>
      <c r="D5837" s="94">
        <v>312</v>
      </c>
      <c r="E5837" s="84">
        <v>45.99</v>
      </c>
      <c r="F5837" s="83">
        <f t="shared" ca="1" si="250"/>
        <v>14348.880000000001</v>
      </c>
    </row>
    <row r="5838" spans="1:6" ht="14.1" customHeight="1" x14ac:dyDescent="0.25">
      <c r="A5838" s="94" t="s">
        <v>13391</v>
      </c>
      <c r="B5838" s="82" t="str">
        <f ca="1">IFERROR(INDEX(UNSPSCDes,MATCH(INDIRECT(ADDRESS(ROW(),COLUMN()-1,4)),UNSPSCCode,0)),IF(INDIRECT(ADDRESS(ROW(),COLUMN()-1,4))="51161508","Sulfato de salbutamol",""))</f>
        <v>Sulfato de salbutamol</v>
      </c>
      <c r="C5838" s="95" t="str">
        <f>IFERROR(VLOOKUP("UD",'Informacion '!P:Q,2,FALSE),"")</f>
        <v>Unidad</v>
      </c>
      <c r="D5838" s="94">
        <v>6</v>
      </c>
      <c r="E5838" s="84">
        <v>303.39</v>
      </c>
      <c r="F5838" s="83">
        <f t="shared" ca="1" si="250"/>
        <v>1820.34</v>
      </c>
    </row>
    <row r="5839" spans="1:6" ht="14.1" customHeight="1" x14ac:dyDescent="0.25">
      <c r="A5839" s="94" t="s">
        <v>3772</v>
      </c>
      <c r="B5839" s="82" t="str">
        <f ca="1">IFERROR(INDEX(UNSPSCDes,MATCH(INDIRECT(ADDRESS(ROW(),COLUMN()-1,4)),UNSPSCCode,0)),IF(INDIRECT(ADDRESS(ROW(),COLUMN()-1,4))="51161703","Budesonida",""))</f>
        <v>Budesonida</v>
      </c>
      <c r="C5839" s="95" t="str">
        <f>IFERROR(VLOOKUP("UD",'Informacion '!P:Q,2,FALSE),"")</f>
        <v>Unidad</v>
      </c>
      <c r="D5839" s="94">
        <v>382</v>
      </c>
      <c r="E5839" s="84">
        <v>70</v>
      </c>
      <c r="F5839" s="83">
        <f t="shared" ca="1" si="250"/>
        <v>26740</v>
      </c>
    </row>
    <row r="5840" spans="1:6" ht="14.1" customHeight="1" x14ac:dyDescent="0.25">
      <c r="A5840" s="94" t="s">
        <v>17203</v>
      </c>
      <c r="B5840" s="82" t="str">
        <f ca="1">IFERROR(INDEX(UNSPSCDes,MATCH(INDIRECT(ADDRESS(ROW(),COLUMN()-1,4)),UNSPSCCode,0)),IF(INDIRECT(ADDRESS(ROW(),COLUMN()-1,4))="51161705","Bromuro de ipratropio",""))</f>
        <v>Bromuro de ipratropio</v>
      </c>
      <c r="C5840" s="95" t="str">
        <f>IFERROR(VLOOKUP("UD",'Informacion '!P:Q,2,FALSE),"")</f>
        <v>Unidad</v>
      </c>
      <c r="D5840" s="94">
        <v>635</v>
      </c>
      <c r="E5840" s="84">
        <v>47.85</v>
      </c>
      <c r="F5840" s="83">
        <f t="shared" ca="1" si="250"/>
        <v>30384.75</v>
      </c>
    </row>
    <row r="5841" spans="1:10" ht="14.1" customHeight="1" x14ac:dyDescent="0.25">
      <c r="A5841" s="94" t="s">
        <v>566</v>
      </c>
      <c r="B5841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5841" s="95" t="str">
        <f>IFERROR(VLOOKUP("UD",'Informacion '!P:Q,2,FALSE),"")</f>
        <v>Unidad</v>
      </c>
      <c r="D5841" s="94">
        <v>1</v>
      </c>
      <c r="E5841" s="84">
        <v>46.08</v>
      </c>
      <c r="F5841" s="83">
        <f t="shared" ca="1" si="250"/>
        <v>46.08</v>
      </c>
    </row>
    <row r="5842" spans="1:10" ht="14.1" customHeight="1" x14ac:dyDescent="0.25">
      <c r="A5842" s="94" t="s">
        <v>14011</v>
      </c>
      <c r="B5842" s="82" t="str">
        <f ca="1">IFERROR(INDEX(UNSPSCDes,MATCH(INDIRECT(ADDRESS(ROW(),COLUMN()-1,4)),UNSPSCCode,0)),IF(INDIRECT(ADDRESS(ROW(),COLUMN()-1,4))="11101719","Zinc",""))</f>
        <v>Zinc</v>
      </c>
      <c r="C5842" s="95" t="str">
        <f>IFERROR(VLOOKUP("UD",'Informacion '!P:Q,2,FALSE),"")</f>
        <v>Unidad</v>
      </c>
      <c r="D5842" s="94">
        <v>8</v>
      </c>
      <c r="E5842" s="84">
        <v>629.29999999999995</v>
      </c>
      <c r="F5842" s="83">
        <f t="shared" ca="1" si="250"/>
        <v>5034.3999999999996</v>
      </c>
    </row>
    <row r="5843" spans="1:10" ht="14.1" customHeight="1" x14ac:dyDescent="0.25">
      <c r="A5843" s="94" t="s">
        <v>14606</v>
      </c>
      <c r="B5843" s="82" t="str">
        <f ca="1">IFERROR(INDEX(UNSPSCDes,MATCH(INDIRECT(ADDRESS(ROW(),COLUMN()-1,4)),UNSPSCCode,0)),IF(INDIRECT(ADDRESS(ROW(),COLUMN()-1,4))="51241303","Acetato de zinc",""))</f>
        <v>Acetato de zinc</v>
      </c>
      <c r="C5843" s="95" t="str">
        <f>IFERROR(VLOOKUP("UD",'Informacion '!P:Q,2,FALSE),"")</f>
        <v>Unidad</v>
      </c>
      <c r="D5843" s="94">
        <v>5</v>
      </c>
      <c r="E5843" s="84">
        <v>548.1</v>
      </c>
      <c r="F5843" s="83">
        <f t="shared" ca="1" si="250"/>
        <v>2740.5</v>
      </c>
    </row>
    <row r="5844" spans="1:10" ht="14.1" customHeight="1" x14ac:dyDescent="0.25">
      <c r="A5844" s="94" t="s">
        <v>14011</v>
      </c>
      <c r="B5844" s="82" t="str">
        <f ca="1">IFERROR(INDEX(UNSPSCDes,MATCH(INDIRECT(ADDRESS(ROW(),COLUMN()-1,4)),UNSPSCCode,0)),IF(INDIRECT(ADDRESS(ROW(),COLUMN()-1,4))="11101719","Zinc",""))</f>
        <v>Zinc</v>
      </c>
      <c r="C5844" s="95" t="str">
        <f>IFERROR(VLOOKUP("UD",'Informacion '!P:Q,2,FALSE),"")</f>
        <v>Unidad</v>
      </c>
      <c r="D5844" s="94">
        <v>1</v>
      </c>
      <c r="E5844" s="84">
        <v>18.149999999999999</v>
      </c>
      <c r="F5844" s="83">
        <f t="shared" ca="1" si="250"/>
        <v>18.149999999999999</v>
      </c>
    </row>
    <row r="5845" spans="1:10" ht="14.1" customHeight="1" x14ac:dyDescent="0.25">
      <c r="A5845" s="94" t="s">
        <v>821</v>
      </c>
      <c r="B5845" s="82" t="str">
        <f ca="1">IFERROR(INDEX(UNSPSCDes,MATCH(INDIRECT(ADDRESS(ROW(),COLUMN()-1,4)),UNSPSCCode,0)),IF(INDIRECT(ADDRESS(ROW(),COLUMN()-1,4))="51191515","Hidroclorotiazida",""))</f>
        <v>Hidroclorotiazida</v>
      </c>
      <c r="C5845" s="95" t="str">
        <f>IFERROR(VLOOKUP("UD",'Informacion '!P:Q,2,FALSE),"")</f>
        <v>Unidad</v>
      </c>
      <c r="D5845" s="94">
        <v>4</v>
      </c>
      <c r="E5845" s="84">
        <v>0.4</v>
      </c>
      <c r="F5845" s="83">
        <f t="shared" ca="1" si="250"/>
        <v>1.6</v>
      </c>
    </row>
    <row r="5846" spans="1:10" ht="14.1" customHeight="1" x14ac:dyDescent="0.25">
      <c r="A5846" s="94" t="s">
        <v>363</v>
      </c>
      <c r="B5846" s="82" t="str">
        <f ca="1">IFERROR(INDEX(UNSPSCDes,MATCH(INDIRECT(ADDRESS(ROW(),COLUMN()-1,4)),UNSPSCCode,0)),IF(INDIRECT(ADDRESS(ROW(),COLUMN()-1,4))="51191509","Manitol",""))</f>
        <v>Manitol</v>
      </c>
      <c r="C5846" s="95" t="str">
        <f>IFERROR(VLOOKUP("UD",'Informacion '!P:Q,2,FALSE),"")</f>
        <v>Unidad</v>
      </c>
      <c r="D5846" s="94">
        <v>6</v>
      </c>
      <c r="E5846" s="84">
        <v>63.2</v>
      </c>
      <c r="F5846" s="83">
        <f t="shared" ca="1" si="250"/>
        <v>379.20000000000005</v>
      </c>
    </row>
    <row r="5847" spans="1:10" ht="14.1" customHeight="1" x14ac:dyDescent="0.25">
      <c r="A5847" s="94" t="s">
        <v>12519</v>
      </c>
      <c r="B5847" s="82" t="str">
        <f ca="1">IFERROR(INDEX(UNSPSCDes,MATCH(INDIRECT(ADDRESS(ROW(),COLUMN()-1,4)),UNSPSCCode,0)),IF(INDIRECT(ADDRESS(ROW(),COLUMN()-1,4))="51141501","Acetazolamida",""))</f>
        <v>Acetazolamida</v>
      </c>
      <c r="C5847" s="95" t="str">
        <f>IFERROR(VLOOKUP("UD",'Informacion '!P:Q,2,FALSE),"")</f>
        <v>Unidad</v>
      </c>
      <c r="D5847" s="94">
        <v>2</v>
      </c>
      <c r="E5847" s="84">
        <v>24.64</v>
      </c>
      <c r="F5847" s="83">
        <f t="shared" ca="1" si="250"/>
        <v>49.28</v>
      </c>
    </row>
    <row r="5848" spans="1:10" ht="14.1" customHeight="1" x14ac:dyDescent="0.25">
      <c r="A5848" s="94" t="s">
        <v>5988</v>
      </c>
      <c r="B5848" s="82" t="str">
        <f ca="1">IFERROR(INDEX(UNSPSCDes,MATCH(INDIRECT(ADDRESS(ROW(),COLUMN()-1,4)),UNSPSCCode,0)),IF(INDIRECT(ADDRESS(ROW(),COLUMN()-1,4))="51191507","Espironolactona",""))</f>
        <v>Espironolactona</v>
      </c>
      <c r="C5848" s="95" t="str">
        <f>IFERROR(VLOOKUP("UD",'Informacion '!P:Q,2,FALSE),"")</f>
        <v>Unidad</v>
      </c>
      <c r="D5848" s="94">
        <v>28</v>
      </c>
      <c r="E5848" s="84">
        <v>8.7799999999999994</v>
      </c>
      <c r="F5848" s="83">
        <f t="shared" ca="1" si="250"/>
        <v>245.83999999999997</v>
      </c>
    </row>
    <row r="5849" spans="1:10" ht="14.1" customHeight="1" x14ac:dyDescent="0.25">
      <c r="A5849" s="94" t="s">
        <v>2549</v>
      </c>
      <c r="B5849" s="82" t="str">
        <f ca="1">IFERROR(INDEX(UNSPSCDes,MATCH(INDIRECT(ADDRESS(ROW(),COLUMN()-1,4)),UNSPSCCode,0)),IF(INDIRECT(ADDRESS(ROW(),COLUMN()-1,4))="51191510","Furosemida",""))</f>
        <v>Furosemida</v>
      </c>
      <c r="C5849" s="95" t="str">
        <f>IFERROR(VLOOKUP("UD",'Informacion '!P:Q,2,FALSE),"")</f>
        <v>Unidad</v>
      </c>
      <c r="D5849" s="94">
        <v>1527</v>
      </c>
      <c r="E5849" s="84">
        <v>7.88</v>
      </c>
      <c r="F5849" s="83">
        <f t="shared" ca="1" si="250"/>
        <v>12032.76</v>
      </c>
    </row>
    <row r="5850" spans="1:10" ht="14.1" customHeight="1" x14ac:dyDescent="0.25">
      <c r="E5850" s="96" t="s">
        <v>7213</v>
      </c>
      <c r="F5850" s="87">
        <f ca="1">SUM(Table157[MONTO TOTAL ESTIMADO])</f>
        <v>279269.95000000007</v>
      </c>
      <c r="H5850" s="39" t="str">
        <f>C5824</f>
        <v>Bienes</v>
      </c>
      <c r="I5850" s="39" t="str">
        <f>E5824</f>
        <v>No</v>
      </c>
      <c r="J5850" s="39" t="str">
        <f>D5824</f>
        <v>Comparacion de Precios</v>
      </c>
    </row>
    <row r="5852" spans="1:10" ht="33.950000000000003" customHeight="1" x14ac:dyDescent="0.25">
      <c r="A5852" s="77" t="s">
        <v>17233</v>
      </c>
      <c r="B5852" s="77" t="s">
        <v>4237</v>
      </c>
      <c r="C5852" s="77" t="s">
        <v>4743</v>
      </c>
      <c r="D5852" s="77" t="s">
        <v>9891</v>
      </c>
      <c r="E5852" s="77" t="s">
        <v>3089</v>
      </c>
      <c r="F5852" s="77" t="s">
        <v>18141</v>
      </c>
    </row>
    <row r="5853" spans="1:10" ht="14.1" customHeight="1" x14ac:dyDescent="0.25">
      <c r="A5853" s="79" t="s">
        <v>9954</v>
      </c>
      <c r="B5853" s="79" t="s">
        <v>2182</v>
      </c>
      <c r="C5853" s="79" t="s">
        <v>17215</v>
      </c>
      <c r="D5853" s="79" t="s">
        <v>15249</v>
      </c>
      <c r="E5853" s="79" t="s">
        <v>18247</v>
      </c>
      <c r="F5853" s="79"/>
    </row>
    <row r="5854" spans="1:10" ht="14.1" customHeight="1" x14ac:dyDescent="0.25">
      <c r="A5854" s="2" t="s">
        <v>6643</v>
      </c>
      <c r="B5854" s="80" t="s">
        <v>1046</v>
      </c>
      <c r="C5854" s="90">
        <v>43556</v>
      </c>
      <c r="D5854" s="2" t="s">
        <v>59</v>
      </c>
      <c r="E5854" s="92" t="s">
        <v>20066</v>
      </c>
      <c r="F5854" s="93" t="s">
        <v>5684</v>
      </c>
    </row>
    <row r="5855" spans="1:10" ht="14.1" customHeight="1" x14ac:dyDescent="0.25">
      <c r="A5855" s="1"/>
      <c r="B5855" s="80" t="s">
        <v>10788</v>
      </c>
      <c r="C5855" s="91">
        <f>IF(C5854="","",IF(AND(MONTH(C5854)&gt;=1,MONTH(C5854)&lt;=3),1,IF(AND(MONTH(C5854)&gt;=4,MONTH(C5854)&lt;=6),2,IF(AND(MONTH(C5854)&gt;=7,MONTH(C5854)&lt;=9),3,4))))</f>
        <v>2</v>
      </c>
      <c r="D5855" s="1"/>
      <c r="E5855" s="92" t="s">
        <v>14822</v>
      </c>
      <c r="F5855" s="93"/>
    </row>
    <row r="5856" spans="1:10" ht="14.1" customHeight="1" x14ac:dyDescent="0.25">
      <c r="A5856" s="1"/>
      <c r="B5856" s="80" t="s">
        <v>13758</v>
      </c>
      <c r="C5856" s="90">
        <v>43645</v>
      </c>
      <c r="D5856" s="1"/>
      <c r="E5856" s="92" t="s">
        <v>18636</v>
      </c>
      <c r="F5856" s="93"/>
    </row>
    <row r="5857" spans="1:6" ht="14.1" customHeight="1" x14ac:dyDescent="0.25">
      <c r="A5857" s="1"/>
      <c r="B5857" s="80" t="s">
        <v>10788</v>
      </c>
      <c r="C5857" s="91">
        <f>IF(C5856="","",IF(AND(MONTH(C5856)&gt;=1,MONTH(C5856)&lt;=3),1,IF(AND(MONTH(C5856)&gt;=4,MONTH(C5856)&lt;=6),2,IF(AND(MONTH(C5856)&gt;=7,MONTH(C5856)&lt;=9),3,4))))</f>
        <v>2</v>
      </c>
      <c r="D5857" s="1"/>
      <c r="E5857" s="92" t="s">
        <v>15990</v>
      </c>
      <c r="F5857" s="93"/>
    </row>
    <row r="5859" spans="1:6" ht="14.1" customHeight="1" x14ac:dyDescent="0.25">
      <c r="A5859" s="85" t="s">
        <v>15474</v>
      </c>
      <c r="B5859" s="85" t="s">
        <v>5027</v>
      </c>
      <c r="C5859" s="85" t="s">
        <v>17461</v>
      </c>
      <c r="D5859" s="85" t="s">
        <v>3935</v>
      </c>
      <c r="E5859" s="85" t="s">
        <v>10722</v>
      </c>
      <c r="F5859" s="85" t="s">
        <v>18237</v>
      </c>
    </row>
    <row r="5860" spans="1:6" ht="14.1" customHeight="1" x14ac:dyDescent="0.25">
      <c r="A5860" s="94" t="s">
        <v>17357</v>
      </c>
      <c r="B5860" s="82" t="str">
        <f ca="1">IFERROR(INDEX(UNSPSCDes,MATCH(INDIRECT(ADDRESS(ROW(),COLUMN()-1,4)),UNSPSCCode,0)),IF(INDIRECT(ADDRESS(ROW(),COLUMN()-1,4))="51151701","Albuterol",""))</f>
        <v>Albuterol</v>
      </c>
      <c r="C5860" s="95" t="str">
        <f>IFERROR(VLOOKUP("UD",'Informacion '!P:Q,2,FALSE),"")</f>
        <v>Unidad</v>
      </c>
      <c r="D5860" s="94">
        <v>2</v>
      </c>
      <c r="E5860" s="84">
        <v>68.62</v>
      </c>
      <c r="F5860" s="83">
        <f t="shared" ref="F5860:F5878" ca="1" si="251">INDIRECT(ADDRESS(ROW(),COLUMN()-2,4))*INDIRECT(ADDRESS(ROW(),COLUMN()-1,4))</f>
        <v>137.24</v>
      </c>
    </row>
    <row r="5861" spans="1:6" ht="14.1" customHeight="1" x14ac:dyDescent="0.25">
      <c r="A5861" s="94" t="s">
        <v>7272</v>
      </c>
      <c r="B5861" s="82" t="str">
        <f ca="1">IFERROR(INDEX(UNSPSCDes,MATCH(INDIRECT(ADDRESS(ROW(),COLUMN()-1,4)),UNSPSCCode,0)),IF(INDIRECT(ADDRESS(ROW(),COLUMN()-1,4))="51161504","Aminofilina",""))</f>
        <v>Aminofilina</v>
      </c>
      <c r="C5861" s="95" t="str">
        <f>IFERROR(VLOOKUP("UD",'Informacion '!P:Q,2,FALSE),"")</f>
        <v>Unidad</v>
      </c>
      <c r="D5861" s="94">
        <v>8</v>
      </c>
      <c r="E5861" s="84">
        <v>55.89</v>
      </c>
      <c r="F5861" s="83">
        <f t="shared" ca="1" si="251"/>
        <v>447.12</v>
      </c>
    </row>
    <row r="5862" spans="1:6" ht="14.1" customHeight="1" x14ac:dyDescent="0.25">
      <c r="A5862" s="94" t="s">
        <v>3772</v>
      </c>
      <c r="B5862" s="82" t="str">
        <f ca="1">IFERROR(INDEX(UNSPSCDes,MATCH(INDIRECT(ADDRESS(ROW(),COLUMN()-1,4)),UNSPSCCode,0)),IF(INDIRECT(ADDRESS(ROW(),COLUMN()-1,4))="51161703","Budesonida",""))</f>
        <v>Budesonida</v>
      </c>
      <c r="C5862" s="95" t="str">
        <f>IFERROR(VLOOKUP("UD",'Informacion '!P:Q,2,FALSE),"")</f>
        <v>Unidad</v>
      </c>
      <c r="D5862" s="94">
        <v>71</v>
      </c>
      <c r="E5862" s="84">
        <v>70</v>
      </c>
      <c r="F5862" s="83">
        <f t="shared" ca="1" si="251"/>
        <v>4970</v>
      </c>
    </row>
    <row r="5863" spans="1:6" ht="14.1" customHeight="1" x14ac:dyDescent="0.25">
      <c r="A5863" s="94" t="s">
        <v>17203</v>
      </c>
      <c r="B5863" s="82" t="str">
        <f ca="1">IFERROR(INDEX(UNSPSCDes,MATCH(INDIRECT(ADDRESS(ROW(),COLUMN()-1,4)),UNSPSCCode,0)),IF(INDIRECT(ADDRESS(ROW(),COLUMN()-1,4))="51161705","Bromuro de ipratropio",""))</f>
        <v>Bromuro de ipratropio</v>
      </c>
      <c r="C5863" s="95" t="str">
        <f>IFERROR(VLOOKUP("UD",'Informacion '!P:Q,2,FALSE),"")</f>
        <v>Unidad</v>
      </c>
      <c r="D5863" s="94">
        <v>309</v>
      </c>
      <c r="E5863" s="84">
        <v>68.3</v>
      </c>
      <c r="F5863" s="83">
        <f t="shared" ca="1" si="251"/>
        <v>21104.7</v>
      </c>
    </row>
    <row r="5864" spans="1:6" ht="14.1" customHeight="1" x14ac:dyDescent="0.25">
      <c r="A5864" s="94" t="s">
        <v>8167</v>
      </c>
      <c r="B5864" s="82" t="str">
        <f ca="1">IFERROR(INDEX(UNSPSCDes,MATCH(INDIRECT(ADDRESS(ROW(),COLUMN()-1,4)),UNSPSCCode,0)),IF(INDIRECT(ADDRESS(ROW(),COLUMN()-1,4))="51161701","Acetilcisteína",""))</f>
        <v>Acetilcisteína</v>
      </c>
      <c r="C5864" s="95" t="str">
        <f>IFERROR(VLOOKUP("UD",'Informacion '!P:Q,2,FALSE),"")</f>
        <v>Unidad</v>
      </c>
      <c r="D5864" s="94">
        <v>5</v>
      </c>
      <c r="E5864" s="84">
        <v>56.4</v>
      </c>
      <c r="F5864" s="83">
        <f t="shared" ca="1" si="251"/>
        <v>282</v>
      </c>
    </row>
    <row r="5865" spans="1:6" ht="14.1" customHeight="1" x14ac:dyDescent="0.25">
      <c r="A5865" s="94" t="s">
        <v>8167</v>
      </c>
      <c r="B5865" s="82" t="str">
        <f ca="1">IFERROR(INDEX(UNSPSCDes,MATCH(INDIRECT(ADDRESS(ROW(),COLUMN()-1,4)),UNSPSCCode,0)),IF(INDIRECT(ADDRESS(ROW(),COLUMN()-1,4))="51161701","Acetilcisteína",""))</f>
        <v>Acetilcisteína</v>
      </c>
      <c r="C5865" s="95" t="str">
        <f>IFERROR(VLOOKUP("UD",'Informacion '!P:Q,2,FALSE),"")</f>
        <v>Unidad</v>
      </c>
      <c r="D5865" s="94">
        <v>1547</v>
      </c>
      <c r="E5865" s="84">
        <v>105.07</v>
      </c>
      <c r="F5865" s="83">
        <f t="shared" ca="1" si="251"/>
        <v>162543.28999999998</v>
      </c>
    </row>
    <row r="5866" spans="1:6" ht="14.1" customHeight="1" x14ac:dyDescent="0.25">
      <c r="A5866" s="94" t="s">
        <v>17357</v>
      </c>
      <c r="B5866" s="82" t="str">
        <f ca="1">IFERROR(INDEX(UNSPSCDes,MATCH(INDIRECT(ADDRESS(ROW(),COLUMN()-1,4)),UNSPSCCode,0)),IF(INDIRECT(ADDRESS(ROW(),COLUMN()-1,4))="51151701","Albuterol",""))</f>
        <v>Albuterol</v>
      </c>
      <c r="C5866" s="95" t="str">
        <f>IFERROR(VLOOKUP("UD",'Informacion '!P:Q,2,FALSE),"")</f>
        <v>Unidad</v>
      </c>
      <c r="D5866" s="94">
        <v>319</v>
      </c>
      <c r="E5866" s="84">
        <v>45.99</v>
      </c>
      <c r="F5866" s="83">
        <f t="shared" ca="1" si="251"/>
        <v>14670.810000000001</v>
      </c>
    </row>
    <row r="5867" spans="1:6" ht="14.1" customHeight="1" x14ac:dyDescent="0.25">
      <c r="A5867" s="94" t="s">
        <v>13391</v>
      </c>
      <c r="B5867" s="82" t="str">
        <f ca="1">IFERROR(INDEX(UNSPSCDes,MATCH(INDIRECT(ADDRESS(ROW(),COLUMN()-1,4)),UNSPSCCode,0)),IF(INDIRECT(ADDRESS(ROW(),COLUMN()-1,4))="51161508","Sulfato de salbutamol",""))</f>
        <v>Sulfato de salbutamol</v>
      </c>
      <c r="C5867" s="95" t="str">
        <f>IFERROR(VLOOKUP("UD",'Informacion '!P:Q,2,FALSE),"")</f>
        <v>Unidad</v>
      </c>
      <c r="D5867" s="94">
        <v>7</v>
      </c>
      <c r="E5867" s="84">
        <v>303.39</v>
      </c>
      <c r="F5867" s="83">
        <f t="shared" ca="1" si="251"/>
        <v>2123.73</v>
      </c>
    </row>
    <row r="5868" spans="1:6" ht="14.1" customHeight="1" x14ac:dyDescent="0.25">
      <c r="A5868" s="94" t="s">
        <v>3772</v>
      </c>
      <c r="B5868" s="82" t="str">
        <f ca="1">IFERROR(INDEX(UNSPSCDes,MATCH(INDIRECT(ADDRESS(ROW(),COLUMN()-1,4)),UNSPSCCode,0)),IF(INDIRECT(ADDRESS(ROW(),COLUMN()-1,4))="51161703","Budesonida",""))</f>
        <v>Budesonida</v>
      </c>
      <c r="C5868" s="95" t="str">
        <f>IFERROR(VLOOKUP("UD",'Informacion '!P:Q,2,FALSE),"")</f>
        <v>Unidad</v>
      </c>
      <c r="D5868" s="94">
        <v>390</v>
      </c>
      <c r="E5868" s="84">
        <v>70</v>
      </c>
      <c r="F5868" s="83">
        <f t="shared" ca="1" si="251"/>
        <v>27300</v>
      </c>
    </row>
    <row r="5869" spans="1:6" ht="14.1" customHeight="1" x14ac:dyDescent="0.25">
      <c r="A5869" s="94" t="s">
        <v>17203</v>
      </c>
      <c r="B5869" s="82" t="str">
        <f ca="1">IFERROR(INDEX(UNSPSCDes,MATCH(INDIRECT(ADDRESS(ROW(),COLUMN()-1,4)),UNSPSCCode,0)),IF(INDIRECT(ADDRESS(ROW(),COLUMN()-1,4))="51161705","Bromuro de ipratropio",""))</f>
        <v>Bromuro de ipratropio</v>
      </c>
      <c r="C5869" s="95" t="str">
        <f>IFERROR(VLOOKUP("UD",'Informacion '!P:Q,2,FALSE),"")</f>
        <v>Unidad</v>
      </c>
      <c r="D5869" s="94">
        <v>648</v>
      </c>
      <c r="E5869" s="84">
        <v>47.85</v>
      </c>
      <c r="F5869" s="83">
        <f t="shared" ca="1" si="251"/>
        <v>31006.799999999999</v>
      </c>
    </row>
    <row r="5870" spans="1:6" ht="14.1" customHeight="1" x14ac:dyDescent="0.25">
      <c r="A5870" s="94" t="s">
        <v>566</v>
      </c>
      <c r="B5870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5870" s="95" t="str">
        <f>IFERROR(VLOOKUP("UD",'Informacion '!P:Q,2,FALSE),"")</f>
        <v>Unidad</v>
      </c>
      <c r="D5870" s="94">
        <v>2</v>
      </c>
      <c r="E5870" s="84">
        <v>46.08</v>
      </c>
      <c r="F5870" s="83">
        <f t="shared" ca="1" si="251"/>
        <v>92.16</v>
      </c>
    </row>
    <row r="5871" spans="1:6" ht="14.1" customHeight="1" x14ac:dyDescent="0.25">
      <c r="A5871" s="94" t="s">
        <v>14011</v>
      </c>
      <c r="B5871" s="82" t="str">
        <f ca="1">IFERROR(INDEX(UNSPSCDes,MATCH(INDIRECT(ADDRESS(ROW(),COLUMN()-1,4)),UNSPSCCode,0)),IF(INDIRECT(ADDRESS(ROW(),COLUMN()-1,4))="11101719","Zinc",""))</f>
        <v>Zinc</v>
      </c>
      <c r="C5871" s="95" t="str">
        <f>IFERROR(VLOOKUP("UD",'Informacion '!P:Q,2,FALSE),"")</f>
        <v>Unidad</v>
      </c>
      <c r="D5871" s="94">
        <v>9</v>
      </c>
      <c r="E5871" s="84">
        <v>629.29999999999995</v>
      </c>
      <c r="F5871" s="83">
        <f t="shared" ca="1" si="251"/>
        <v>5663.7</v>
      </c>
    </row>
    <row r="5872" spans="1:6" ht="14.1" customHeight="1" x14ac:dyDescent="0.25">
      <c r="A5872" s="94" t="s">
        <v>14606</v>
      </c>
      <c r="B5872" s="82" t="str">
        <f ca="1">IFERROR(INDEX(UNSPSCDes,MATCH(INDIRECT(ADDRESS(ROW(),COLUMN()-1,4)),UNSPSCCode,0)),IF(INDIRECT(ADDRESS(ROW(),COLUMN()-1,4))="51241303","Acetato de zinc",""))</f>
        <v>Acetato de zinc</v>
      </c>
      <c r="C5872" s="95" t="str">
        <f>IFERROR(VLOOKUP("UD",'Informacion '!P:Q,2,FALSE),"")</f>
        <v>Unidad</v>
      </c>
      <c r="D5872" s="94">
        <v>6</v>
      </c>
      <c r="E5872" s="84">
        <v>548.1</v>
      </c>
      <c r="F5872" s="83">
        <f t="shared" ca="1" si="251"/>
        <v>3288.6000000000004</v>
      </c>
    </row>
    <row r="5873" spans="1:10" ht="14.1" customHeight="1" x14ac:dyDescent="0.25">
      <c r="A5873" s="94" t="s">
        <v>14011</v>
      </c>
      <c r="B5873" s="82" t="str">
        <f ca="1">IFERROR(INDEX(UNSPSCDes,MATCH(INDIRECT(ADDRESS(ROW(),COLUMN()-1,4)),UNSPSCCode,0)),IF(INDIRECT(ADDRESS(ROW(),COLUMN()-1,4))="11101719","Zinc",""))</f>
        <v>Zinc</v>
      </c>
      <c r="C5873" s="95" t="str">
        <f>IFERROR(VLOOKUP("UD",'Informacion '!P:Q,2,FALSE),"")</f>
        <v>Unidad</v>
      </c>
      <c r="D5873" s="94">
        <v>2</v>
      </c>
      <c r="E5873" s="84">
        <v>18.149999999999999</v>
      </c>
      <c r="F5873" s="83">
        <f t="shared" ca="1" si="251"/>
        <v>36.299999999999997</v>
      </c>
    </row>
    <row r="5874" spans="1:10" ht="14.1" customHeight="1" x14ac:dyDescent="0.25">
      <c r="A5874" s="94" t="s">
        <v>821</v>
      </c>
      <c r="B5874" s="82" t="str">
        <f ca="1">IFERROR(INDEX(UNSPSCDes,MATCH(INDIRECT(ADDRESS(ROW(),COLUMN()-1,4)),UNSPSCCode,0)),IF(INDIRECT(ADDRESS(ROW(),COLUMN()-1,4))="51191515","Hidroclorotiazida",""))</f>
        <v>Hidroclorotiazida</v>
      </c>
      <c r="C5874" s="95" t="str">
        <f>IFERROR(VLOOKUP("UD",'Informacion '!P:Q,2,FALSE),"")</f>
        <v>Unidad</v>
      </c>
      <c r="D5874" s="94">
        <v>5</v>
      </c>
      <c r="E5874" s="84">
        <v>0.4</v>
      </c>
      <c r="F5874" s="83">
        <f t="shared" ca="1" si="251"/>
        <v>2</v>
      </c>
    </row>
    <row r="5875" spans="1:10" ht="14.1" customHeight="1" x14ac:dyDescent="0.25">
      <c r="A5875" s="94" t="s">
        <v>363</v>
      </c>
      <c r="B5875" s="82" t="str">
        <f ca="1">IFERROR(INDEX(UNSPSCDes,MATCH(INDIRECT(ADDRESS(ROW(),COLUMN()-1,4)),UNSPSCCode,0)),IF(INDIRECT(ADDRESS(ROW(),COLUMN()-1,4))="51191509","Manitol",""))</f>
        <v>Manitol</v>
      </c>
      <c r="C5875" s="95" t="str">
        <f>IFERROR(VLOOKUP("UD",'Informacion '!P:Q,2,FALSE),"")</f>
        <v>Unidad</v>
      </c>
      <c r="D5875" s="94">
        <v>7</v>
      </c>
      <c r="E5875" s="84">
        <v>63.2</v>
      </c>
      <c r="F5875" s="83">
        <f t="shared" ca="1" si="251"/>
        <v>442.40000000000003</v>
      </c>
    </row>
    <row r="5876" spans="1:10" ht="14.1" customHeight="1" x14ac:dyDescent="0.25">
      <c r="A5876" s="94" t="s">
        <v>12519</v>
      </c>
      <c r="B5876" s="82" t="str">
        <f ca="1">IFERROR(INDEX(UNSPSCDes,MATCH(INDIRECT(ADDRESS(ROW(),COLUMN()-1,4)),UNSPSCCode,0)),IF(INDIRECT(ADDRESS(ROW(),COLUMN()-1,4))="51141501","Acetazolamida",""))</f>
        <v>Acetazolamida</v>
      </c>
      <c r="C5876" s="95" t="str">
        <f>IFERROR(VLOOKUP("UD",'Informacion '!P:Q,2,FALSE),"")</f>
        <v>Unidad</v>
      </c>
      <c r="D5876" s="94">
        <v>3</v>
      </c>
      <c r="E5876" s="84">
        <v>24.64</v>
      </c>
      <c r="F5876" s="83">
        <f t="shared" ca="1" si="251"/>
        <v>73.92</v>
      </c>
    </row>
    <row r="5877" spans="1:10" ht="14.1" customHeight="1" x14ac:dyDescent="0.25">
      <c r="A5877" s="94" t="s">
        <v>5988</v>
      </c>
      <c r="B5877" s="82" t="str">
        <f ca="1">IFERROR(INDEX(UNSPSCDes,MATCH(INDIRECT(ADDRESS(ROW(),COLUMN()-1,4)),UNSPSCCode,0)),IF(INDIRECT(ADDRESS(ROW(),COLUMN()-1,4))="51191507","Espironolactona",""))</f>
        <v>Espironolactona</v>
      </c>
      <c r="C5877" s="95" t="str">
        <f>IFERROR(VLOOKUP("UD",'Informacion '!P:Q,2,FALSE),"")</f>
        <v>Unidad</v>
      </c>
      <c r="D5877" s="94">
        <v>29</v>
      </c>
      <c r="E5877" s="84">
        <v>8.7799999999999994</v>
      </c>
      <c r="F5877" s="83">
        <f t="shared" ca="1" si="251"/>
        <v>254.61999999999998</v>
      </c>
    </row>
    <row r="5878" spans="1:10" ht="14.1" customHeight="1" x14ac:dyDescent="0.25">
      <c r="A5878" s="94" t="s">
        <v>2549</v>
      </c>
      <c r="B5878" s="82" t="str">
        <f ca="1">IFERROR(INDEX(UNSPSCDes,MATCH(INDIRECT(ADDRESS(ROW(),COLUMN()-1,4)),UNSPSCCode,0)),IF(INDIRECT(ADDRESS(ROW(),COLUMN()-1,4))="51191510","Furosemida",""))</f>
        <v>Furosemida</v>
      </c>
      <c r="C5878" s="95" t="str">
        <f>IFERROR(VLOOKUP("UD",'Informacion '!P:Q,2,FALSE),"")</f>
        <v>Unidad</v>
      </c>
      <c r="D5878" s="94">
        <v>1558</v>
      </c>
      <c r="E5878" s="84">
        <v>7.88</v>
      </c>
      <c r="F5878" s="83">
        <f t="shared" ca="1" si="251"/>
        <v>12277.039999999999</v>
      </c>
    </row>
    <row r="5879" spans="1:10" ht="14.1" customHeight="1" x14ac:dyDescent="0.25">
      <c r="E5879" s="96" t="s">
        <v>7213</v>
      </c>
      <c r="F5879" s="87">
        <f ca="1">SUM(Table158[MONTO TOTAL ESTIMADO])</f>
        <v>286716.42999999993</v>
      </c>
      <c r="H5879" s="39" t="str">
        <f>C5853</f>
        <v>Bienes</v>
      </c>
      <c r="I5879" s="39" t="str">
        <f>E5853</f>
        <v>No</v>
      </c>
      <c r="J5879" s="39" t="str">
        <f>D5853</f>
        <v>Comparacion de Precios</v>
      </c>
    </row>
    <row r="5881" spans="1:10" ht="33.950000000000003" customHeight="1" x14ac:dyDescent="0.25">
      <c r="A5881" s="77" t="s">
        <v>17233</v>
      </c>
      <c r="B5881" s="77" t="s">
        <v>4237</v>
      </c>
      <c r="C5881" s="77" t="s">
        <v>4743</v>
      </c>
      <c r="D5881" s="77" t="s">
        <v>9891</v>
      </c>
      <c r="E5881" s="77" t="s">
        <v>3089</v>
      </c>
      <c r="F5881" s="77" t="s">
        <v>18141</v>
      </c>
    </row>
    <row r="5882" spans="1:10" ht="14.1" customHeight="1" x14ac:dyDescent="0.25">
      <c r="A5882" s="79" t="s">
        <v>16937</v>
      </c>
      <c r="B5882" s="79" t="s">
        <v>7535</v>
      </c>
      <c r="C5882" s="79" t="s">
        <v>17215</v>
      </c>
      <c r="D5882" s="79" t="s">
        <v>15249</v>
      </c>
      <c r="E5882" s="79" t="s">
        <v>18247</v>
      </c>
      <c r="F5882" s="79"/>
    </row>
    <row r="5883" spans="1:10" ht="14.1" customHeight="1" x14ac:dyDescent="0.25">
      <c r="A5883" s="2" t="s">
        <v>6643</v>
      </c>
      <c r="B5883" s="80" t="s">
        <v>1046</v>
      </c>
      <c r="C5883" s="90">
        <v>43556</v>
      </c>
      <c r="D5883" s="2" t="s">
        <v>59</v>
      </c>
      <c r="E5883" s="92" t="s">
        <v>20066</v>
      </c>
      <c r="F5883" s="93" t="s">
        <v>5684</v>
      </c>
    </row>
    <row r="5884" spans="1:10" ht="14.1" customHeight="1" x14ac:dyDescent="0.25">
      <c r="A5884" s="1"/>
      <c r="B5884" s="80" t="s">
        <v>10788</v>
      </c>
      <c r="C5884" s="91">
        <f>IF(C5883="","",IF(AND(MONTH(C5883)&gt;=1,MONTH(C5883)&lt;=3),1,IF(AND(MONTH(C5883)&gt;=4,MONTH(C5883)&lt;=6),2,IF(AND(MONTH(C5883)&gt;=7,MONTH(C5883)&lt;=9),3,4))))</f>
        <v>2</v>
      </c>
      <c r="D5884" s="1"/>
      <c r="E5884" s="92" t="s">
        <v>14822</v>
      </c>
      <c r="F5884" s="93"/>
    </row>
    <row r="5885" spans="1:10" ht="14.1" customHeight="1" x14ac:dyDescent="0.25">
      <c r="A5885" s="1"/>
      <c r="B5885" s="80" t="s">
        <v>13758</v>
      </c>
      <c r="C5885" s="90">
        <v>43645</v>
      </c>
      <c r="D5885" s="1"/>
      <c r="E5885" s="92" t="s">
        <v>18636</v>
      </c>
      <c r="F5885" s="93"/>
    </row>
    <row r="5886" spans="1:10" ht="14.1" customHeight="1" x14ac:dyDescent="0.25">
      <c r="A5886" s="1"/>
      <c r="B5886" s="80" t="s">
        <v>10788</v>
      </c>
      <c r="C5886" s="91">
        <f>IF(C5885="","",IF(AND(MONTH(C5885)&gt;=1,MONTH(C5885)&lt;=3),1,IF(AND(MONTH(C5885)&gt;=4,MONTH(C5885)&lt;=6),2,IF(AND(MONTH(C5885)&gt;=7,MONTH(C5885)&lt;=9),3,4))))</f>
        <v>2</v>
      </c>
      <c r="D5886" s="1"/>
      <c r="E5886" s="92" t="s">
        <v>15990</v>
      </c>
      <c r="F5886" s="93"/>
    </row>
    <row r="5888" spans="1:10" ht="14.1" customHeight="1" x14ac:dyDescent="0.25">
      <c r="A5888" s="85" t="s">
        <v>15474</v>
      </c>
      <c r="B5888" s="85" t="s">
        <v>5027</v>
      </c>
      <c r="C5888" s="85" t="s">
        <v>17461</v>
      </c>
      <c r="D5888" s="85" t="s">
        <v>3935</v>
      </c>
      <c r="E5888" s="85" t="s">
        <v>10722</v>
      </c>
      <c r="F5888" s="85" t="s">
        <v>18237</v>
      </c>
    </row>
    <row r="5889" spans="1:6" ht="14.1" customHeight="1" x14ac:dyDescent="0.25">
      <c r="A5889" s="94" t="s">
        <v>12218</v>
      </c>
      <c r="B5889" s="82" t="str">
        <f ca="1">IFERROR(INDEX(UNSPSCDes,MATCH(INDIRECT(ADDRESS(ROW(),COLUMN()-1,4)),UNSPSCCode,0)),IF(INDIRECT(ADDRESS(ROW(),COLUMN()-1,4))="51131805","Etamsilato",""))</f>
        <v>Etamsilato</v>
      </c>
      <c r="C5889" s="95" t="str">
        <f>IFERROR(VLOOKUP("UD",'Informacion '!P:Q,2,FALSE),"")</f>
        <v>Unidad</v>
      </c>
      <c r="D5889" s="94">
        <v>297</v>
      </c>
      <c r="E5889" s="84">
        <v>86.41</v>
      </c>
      <c r="F5889" s="83">
        <f t="shared" ref="F5889:F5915" ca="1" si="252">INDIRECT(ADDRESS(ROW(),COLUMN()-2,4))*INDIRECT(ADDRESS(ROW(),COLUMN()-1,4))</f>
        <v>25663.77</v>
      </c>
    </row>
    <row r="5890" spans="1:6" ht="14.1" customHeight="1" x14ac:dyDescent="0.25">
      <c r="A5890" s="94" t="s">
        <v>1347</v>
      </c>
      <c r="B5890" s="82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5890" s="95" t="str">
        <f>IFERROR(VLOOKUP("UD",'Informacion '!P:Q,2,FALSE),"")</f>
        <v>Unidad</v>
      </c>
      <c r="D5890" s="94">
        <v>688</v>
      </c>
      <c r="E5890" s="84">
        <v>165</v>
      </c>
      <c r="F5890" s="83">
        <f t="shared" ca="1" si="252"/>
        <v>113520</v>
      </c>
    </row>
    <row r="5891" spans="1:6" ht="14.1" customHeight="1" x14ac:dyDescent="0.25">
      <c r="A5891" s="94" t="s">
        <v>9816</v>
      </c>
      <c r="B5891" s="82" t="str">
        <f ca="1">IFERROR(INDEX(UNSPSCDes,MATCH(INDIRECT(ADDRESS(ROW(),COLUMN()-1,4)),UNSPSCCode,0)),IF(INDIRECT(ADDRESS(ROW(),COLUMN()-1,4))="51191905","Suplementos vitamínicos",""))</f>
        <v>Suplementos vitamínicos</v>
      </c>
      <c r="C5891" s="95" t="str">
        <f>IFERROR(VLOOKUP("UD",'Informacion '!P:Q,2,FALSE),"")</f>
        <v>Unidad</v>
      </c>
      <c r="D5891" s="94">
        <v>85</v>
      </c>
      <c r="E5891" s="84">
        <v>7.62</v>
      </c>
      <c r="F5891" s="83">
        <f t="shared" ca="1" si="252"/>
        <v>647.70000000000005</v>
      </c>
    </row>
    <row r="5892" spans="1:6" ht="14.1" customHeight="1" x14ac:dyDescent="0.25">
      <c r="A5892" s="94" t="s">
        <v>6250</v>
      </c>
      <c r="B5892" s="82" t="str">
        <f ca="1">IFERROR(INDEX(UNSPSCDes,MATCH(INDIRECT(ADDRESS(ROW(),COLUMN()-1,4)),UNSPSCCode,0)),IF(INDIRECT(ADDRESS(ROW(),COLUMN()-1,4))="51182102","Vasopresina",""))</f>
        <v>Vasopresina</v>
      </c>
      <c r="C5892" s="95" t="str">
        <f>IFERROR(VLOOKUP("UD",'Informacion '!P:Q,2,FALSE),"")</f>
        <v>Unidad</v>
      </c>
      <c r="D5892" s="94">
        <v>13</v>
      </c>
      <c r="E5892" s="84">
        <v>2988.46</v>
      </c>
      <c r="F5892" s="83">
        <f t="shared" ca="1" si="252"/>
        <v>38849.980000000003</v>
      </c>
    </row>
    <row r="5893" spans="1:6" ht="14.1" customHeight="1" x14ac:dyDescent="0.25">
      <c r="A5893" s="94" t="s">
        <v>14411</v>
      </c>
      <c r="B5893" s="82" t="str">
        <f ca="1">IFERROR(INDEX(UNSPSCDes,MATCH(INDIRECT(ADDRESS(ROW(),COLUMN()-1,4)),UNSPSCCode,0)),IF(INDIRECT(ADDRESS(ROW(),COLUMN()-1,4))="51142012","Ácido mefenámico",""))</f>
        <v>Ácido mefenámico</v>
      </c>
      <c r="C5893" s="95" t="str">
        <f>IFERROR(VLOOKUP("UD",'Informacion '!P:Q,2,FALSE),"")</f>
        <v>Unidad</v>
      </c>
      <c r="D5893" s="94">
        <v>33</v>
      </c>
      <c r="E5893" s="84">
        <v>120</v>
      </c>
      <c r="F5893" s="83">
        <f t="shared" ca="1" si="252"/>
        <v>3960</v>
      </c>
    </row>
    <row r="5894" spans="1:6" ht="14.1" customHeight="1" x14ac:dyDescent="0.25">
      <c r="A5894" s="94" t="s">
        <v>17287</v>
      </c>
      <c r="B5894" s="82" t="str">
        <f ca="1">IFERROR(INDEX(UNSPSCDes,MATCH(INDIRECT(ADDRESS(ROW(),COLUMN()-1,4)),UNSPSCCode,0)),IF(INDIRECT(ADDRESS(ROW(),COLUMN()-1,4))="51151802","Hidrocloruro de esmolol",""))</f>
        <v>Hidrocloruro de esmolol</v>
      </c>
      <c r="C5894" s="95" t="str">
        <f>IFERROR(VLOOKUP("UD",'Informacion '!P:Q,2,FALSE),"")</f>
        <v>Unidad</v>
      </c>
      <c r="D5894" s="94">
        <v>17</v>
      </c>
      <c r="E5894" s="84">
        <v>0.18</v>
      </c>
      <c r="F5894" s="83">
        <f t="shared" ca="1" si="252"/>
        <v>3.06</v>
      </c>
    </row>
    <row r="5895" spans="1:6" ht="14.1" customHeight="1" x14ac:dyDescent="0.25">
      <c r="A5895" s="94" t="s">
        <v>8590</v>
      </c>
      <c r="B5895" s="82" t="str">
        <f ca="1">IFERROR(INDEX(UNSPSCDes,MATCH(INDIRECT(ADDRESS(ROW(),COLUMN()-1,4)),UNSPSCCode,0)),IF(INDIRECT(ADDRESS(ROW(),COLUMN()-1,4))="51121709","Carvedilol",""))</f>
        <v>Carvedilol</v>
      </c>
      <c r="C5895" s="95" t="str">
        <f>IFERROR(VLOOKUP("UD",'Informacion '!P:Q,2,FALSE),"")</f>
        <v>Unidad</v>
      </c>
      <c r="D5895" s="94">
        <v>57</v>
      </c>
      <c r="E5895" s="84">
        <v>1.25</v>
      </c>
      <c r="F5895" s="83">
        <f t="shared" ca="1" si="252"/>
        <v>71.25</v>
      </c>
    </row>
    <row r="5896" spans="1:6" ht="14.1" customHeight="1" x14ac:dyDescent="0.25">
      <c r="A5896" s="94" t="s">
        <v>19811</v>
      </c>
      <c r="B5896" s="82" t="str">
        <f ca="1">IFERROR(INDEX(UNSPSCDes,MATCH(INDIRECT(ADDRESS(ROW(),COLUMN()-1,4)),UNSPSCCode,0)),IF(INDIRECT(ADDRESS(ROW(),COLUMN()-1,4))="51121715","Enalapril",""))</f>
        <v>Enalapril</v>
      </c>
      <c r="C5896" s="95" t="str">
        <f>IFERROR(VLOOKUP("UD",'Informacion '!P:Q,2,FALSE),"")</f>
        <v>Unidad</v>
      </c>
      <c r="D5896" s="94">
        <v>6</v>
      </c>
      <c r="E5896" s="84">
        <v>235.9</v>
      </c>
      <c r="F5896" s="83">
        <f t="shared" ca="1" si="252"/>
        <v>1415.4</v>
      </c>
    </row>
    <row r="5897" spans="1:6" ht="14.1" customHeight="1" x14ac:dyDescent="0.25">
      <c r="A5897" s="94" t="s">
        <v>13692</v>
      </c>
      <c r="B5897" s="82" t="str">
        <f ca="1">IFERROR(INDEX(UNSPSCDes,MATCH(INDIRECT(ADDRESS(ROW(),COLUMN()-1,4)),UNSPSCCode,0)),IF(INDIRECT(ADDRESS(ROW(),COLUMN()-1,4))="51121721","Tartrato de metoprolol",""))</f>
        <v>Tartrato de metoprolol</v>
      </c>
      <c r="C5897" s="95" t="str">
        <f>IFERROR(VLOOKUP("UD",'Informacion '!P:Q,2,FALSE),"")</f>
        <v>Unidad</v>
      </c>
      <c r="D5897" s="94">
        <v>19</v>
      </c>
      <c r="E5897" s="84">
        <v>14.24</v>
      </c>
      <c r="F5897" s="83">
        <f t="shared" ca="1" si="252"/>
        <v>270.56</v>
      </c>
    </row>
    <row r="5898" spans="1:6" ht="14.1" customHeight="1" x14ac:dyDescent="0.25">
      <c r="A5898" s="94" t="s">
        <v>4703</v>
      </c>
      <c r="B5898" s="82" t="str">
        <f ca="1">IFERROR(INDEX(UNSPSCDes,MATCH(INDIRECT(ADDRESS(ROW(),COLUMN()-1,4)),UNSPSCCode,0)),IF(INDIRECT(ADDRESS(ROW(),COLUMN()-1,4))="51121904","Nifedipina",""))</f>
        <v>Nifedipina</v>
      </c>
      <c r="C5898" s="95" t="str">
        <f>IFERROR(VLOOKUP("UD",'Informacion '!P:Q,2,FALSE),"")</f>
        <v>Unidad</v>
      </c>
      <c r="D5898" s="94">
        <v>43</v>
      </c>
      <c r="E5898" s="84">
        <v>17.899999999999999</v>
      </c>
      <c r="F5898" s="83">
        <f t="shared" ca="1" si="252"/>
        <v>769.69999999999993</v>
      </c>
    </row>
    <row r="5899" spans="1:6" ht="14.1" customHeight="1" x14ac:dyDescent="0.25">
      <c r="A5899" s="94" t="s">
        <v>3476</v>
      </c>
      <c r="B5899" s="82" t="str">
        <f ca="1">IFERROR(INDEX(UNSPSCDes,MATCH(INDIRECT(ADDRESS(ROW(),COLUMN()-1,4)),UNSPSCCode,0)),IF(INDIRECT(ADDRESS(ROW(),COLUMN()-1,4))="51151812","Hidrocloruro de propranolol",""))</f>
        <v>Hidrocloruro de propranolol</v>
      </c>
      <c r="C5899" s="95" t="str">
        <f>IFERROR(VLOOKUP("UD",'Informacion '!P:Q,2,FALSE),"")</f>
        <v>Unidad</v>
      </c>
      <c r="D5899" s="94">
        <v>2</v>
      </c>
      <c r="E5899" s="84">
        <v>8.26</v>
      </c>
      <c r="F5899" s="83">
        <f t="shared" ca="1" si="252"/>
        <v>16.52</v>
      </c>
    </row>
    <row r="5900" spans="1:6" ht="14.1" customHeight="1" x14ac:dyDescent="0.25">
      <c r="A5900" s="94" t="s">
        <v>17516</v>
      </c>
      <c r="B590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900" s="95" t="str">
        <f>IFERROR(VLOOKUP("UD",'Informacion '!P:Q,2,FALSE),"")</f>
        <v>Unidad</v>
      </c>
      <c r="D5900" s="94">
        <v>9</v>
      </c>
      <c r="E5900" s="84">
        <v>950</v>
      </c>
      <c r="F5900" s="83">
        <f t="shared" ca="1" si="252"/>
        <v>8550</v>
      </c>
    </row>
    <row r="5901" spans="1:6" ht="14.1" customHeight="1" x14ac:dyDescent="0.25">
      <c r="A5901" s="94" t="s">
        <v>14407</v>
      </c>
      <c r="B5901" s="82" t="str">
        <f ca="1">IFERROR(INDEX(UNSPSCDes,MATCH(INDIRECT(ADDRESS(ROW(),COLUMN()-1,4)),UNSPSCCode,0)),IF(INDIRECT(ADDRESS(ROW(),COLUMN()-1,4))="51122110","Nimodipina",""))</f>
        <v>Nimodipina</v>
      </c>
      <c r="C5901" s="95" t="str">
        <f>IFERROR(VLOOKUP("UD",'Informacion '!P:Q,2,FALSE),"")</f>
        <v>Unidad</v>
      </c>
      <c r="D5901" s="94">
        <v>3</v>
      </c>
      <c r="E5901" s="84">
        <v>43</v>
      </c>
      <c r="F5901" s="83">
        <f t="shared" ca="1" si="252"/>
        <v>129</v>
      </c>
    </row>
    <row r="5902" spans="1:6" ht="14.1" customHeight="1" x14ac:dyDescent="0.25">
      <c r="A5902" s="94" t="s">
        <v>3849</v>
      </c>
      <c r="B5902" s="82" t="str">
        <f ca="1">IFERROR(INDEX(UNSPSCDes,MATCH(INDIRECT(ADDRESS(ROW(),COLUMN()-1,4)),UNSPSCCode,0)),IF(INDIRECT(ADDRESS(ROW(),COLUMN()-1,4))="51121743","Besilato de amlodipina",""))</f>
        <v>Besilato de amlodipina</v>
      </c>
      <c r="C5902" s="95" t="str">
        <f>IFERROR(VLOOKUP("UD",'Informacion '!P:Q,2,FALSE),"")</f>
        <v>Unidad</v>
      </c>
      <c r="D5902" s="94">
        <v>67</v>
      </c>
      <c r="E5902" s="84">
        <v>8.82</v>
      </c>
      <c r="F5902" s="83">
        <f t="shared" ca="1" si="252"/>
        <v>590.94000000000005</v>
      </c>
    </row>
    <row r="5903" spans="1:6" ht="14.1" customHeight="1" x14ac:dyDescent="0.25">
      <c r="A5903" s="94" t="s">
        <v>16839</v>
      </c>
      <c r="B5903" s="82" t="str">
        <f ca="1">IFERROR(INDEX(UNSPSCDes,MATCH(INDIRECT(ADDRESS(ROW(),COLUMN()-1,4)),UNSPSCCode,0)),IF(INDIRECT(ADDRESS(ROW(),COLUMN()-1,4))="51151801","Atenolol",""))</f>
        <v>Atenolol</v>
      </c>
      <c r="C5903" s="95" t="str">
        <f>IFERROR(VLOOKUP("UD",'Informacion '!P:Q,2,FALSE),"")</f>
        <v>Unidad</v>
      </c>
      <c r="D5903" s="94">
        <v>2</v>
      </c>
      <c r="E5903" s="84">
        <v>0.36</v>
      </c>
      <c r="F5903" s="83">
        <f t="shared" ca="1" si="252"/>
        <v>0.72</v>
      </c>
    </row>
    <row r="5904" spans="1:6" ht="14.1" customHeight="1" x14ac:dyDescent="0.25">
      <c r="A5904" s="94" t="s">
        <v>5507</v>
      </c>
      <c r="B5904" s="82" t="str">
        <f ca="1">IFERROR(INDEX(UNSPSCDes,MATCH(INDIRECT(ADDRESS(ROW(),COLUMN()-1,4)),UNSPSCCode,0)),IF(INDIRECT(ADDRESS(ROW(),COLUMN()-1,4))="51121718","Clorhidrato de clonidina",""))</f>
        <v>Clorhidrato de clonidina</v>
      </c>
      <c r="C5904" s="95" t="str">
        <f>IFERROR(VLOOKUP("UD",'Informacion '!P:Q,2,FALSE),"")</f>
        <v>Unidad</v>
      </c>
      <c r="D5904" s="94">
        <v>9</v>
      </c>
      <c r="E5904" s="84">
        <v>13.5</v>
      </c>
      <c r="F5904" s="83">
        <f t="shared" ca="1" si="252"/>
        <v>121.5</v>
      </c>
    </row>
    <row r="5905" spans="1:10" ht="14.1" customHeight="1" x14ac:dyDescent="0.25">
      <c r="A5905" s="94" t="s">
        <v>13692</v>
      </c>
      <c r="B5905" s="82" t="str">
        <f ca="1">IFERROR(INDEX(UNSPSCDes,MATCH(INDIRECT(ADDRESS(ROW(),COLUMN()-1,4)),UNSPSCCode,0)),IF(INDIRECT(ADDRESS(ROW(),COLUMN()-1,4))="51121721","Tartrato de metoprolol",""))</f>
        <v>Tartrato de metoprolol</v>
      </c>
      <c r="C5905" s="95" t="str">
        <f>IFERROR(VLOOKUP("UD",'Informacion '!P:Q,2,FALSE),"")</f>
        <v>Unidad</v>
      </c>
      <c r="D5905" s="94">
        <v>39</v>
      </c>
      <c r="E5905" s="84">
        <v>16.649999999999999</v>
      </c>
      <c r="F5905" s="83">
        <f t="shared" ca="1" si="252"/>
        <v>649.34999999999991</v>
      </c>
    </row>
    <row r="5906" spans="1:10" ht="14.1" customHeight="1" x14ac:dyDescent="0.25">
      <c r="A5906" s="94" t="s">
        <v>15752</v>
      </c>
      <c r="B5906" s="82" t="str">
        <f ca="1">IFERROR(INDEX(UNSPSCDes,MATCH(INDIRECT(ADDRESS(ROW(),COLUMN()-1,4)),UNSPSCCode,0)),IF(INDIRECT(ADDRESS(ROW(),COLUMN()-1,4))="51121703","Captopril",""))</f>
        <v>Captopril</v>
      </c>
      <c r="C5906" s="95" t="str">
        <f>IFERROR(VLOOKUP("UD",'Informacion '!P:Q,2,FALSE),"")</f>
        <v>Unidad</v>
      </c>
      <c r="D5906" s="94">
        <v>173</v>
      </c>
      <c r="E5906" s="84">
        <v>9.6300000000000008</v>
      </c>
      <c r="F5906" s="83">
        <f t="shared" ca="1" si="252"/>
        <v>1665.9900000000002</v>
      </c>
    </row>
    <row r="5907" spans="1:10" ht="14.1" customHeight="1" x14ac:dyDescent="0.25">
      <c r="A5907" s="94" t="s">
        <v>1808</v>
      </c>
      <c r="B5907" s="82" t="str">
        <f ca="1">IFERROR(INDEX(UNSPSCDes,MATCH(INDIRECT(ADDRESS(ROW(),COLUMN()-1,4)),UNSPSCCode,0)),IF(INDIRECT(ADDRESS(ROW(),COLUMN()-1,4))="51121710","Losartán potásico",""))</f>
        <v>Losartán potásico</v>
      </c>
      <c r="C5907" s="95" t="str">
        <f>IFERROR(VLOOKUP("UD",'Informacion '!P:Q,2,FALSE),"")</f>
        <v>Unidad</v>
      </c>
      <c r="D5907" s="94">
        <v>11</v>
      </c>
      <c r="E5907" s="84">
        <v>2.0299999999999998</v>
      </c>
      <c r="F5907" s="83">
        <f t="shared" ca="1" si="252"/>
        <v>22.33</v>
      </c>
    </row>
    <row r="5908" spans="1:10" ht="14.1" customHeight="1" x14ac:dyDescent="0.25">
      <c r="A5908" s="94" t="s">
        <v>19811</v>
      </c>
      <c r="B5908" s="82" t="str">
        <f ca="1">IFERROR(INDEX(UNSPSCDes,MATCH(INDIRECT(ADDRESS(ROW(),COLUMN()-1,4)),UNSPSCCode,0)),IF(INDIRECT(ADDRESS(ROW(),COLUMN()-1,4))="51121715","Enalapril",""))</f>
        <v>Enalapril</v>
      </c>
      <c r="C5908" s="95" t="str">
        <f>IFERROR(VLOOKUP("UD",'Informacion '!P:Q,2,FALSE),"")</f>
        <v>Unidad</v>
      </c>
      <c r="D5908" s="94">
        <v>65</v>
      </c>
      <c r="E5908" s="84">
        <v>0.2</v>
      </c>
      <c r="F5908" s="83">
        <f t="shared" ca="1" si="252"/>
        <v>13</v>
      </c>
    </row>
    <row r="5909" spans="1:10" ht="14.1" customHeight="1" x14ac:dyDescent="0.25">
      <c r="A5909" s="94" t="s">
        <v>1813</v>
      </c>
      <c r="B5909" s="82" t="str">
        <f ca="1">IFERROR(INDEX(UNSPSCDes,MATCH(INDIRECT(ADDRESS(ROW(),COLUMN()-1,4)),UNSPSCCode,0)),IF(INDIRECT(ADDRESS(ROW(),COLUMN()-1,4))="51121725","Bisoprolol fumarato",""))</f>
        <v>Bisoprolol fumarato</v>
      </c>
      <c r="C5909" s="95" t="str">
        <f>IFERROR(VLOOKUP("UD",'Informacion '!P:Q,2,FALSE),"")</f>
        <v>Unidad</v>
      </c>
      <c r="D5909" s="94">
        <v>5</v>
      </c>
      <c r="E5909" s="84">
        <v>1.32</v>
      </c>
      <c r="F5909" s="83">
        <f t="shared" ca="1" si="252"/>
        <v>6.6000000000000005</v>
      </c>
    </row>
    <row r="5910" spans="1:10" ht="14.1" customHeight="1" x14ac:dyDescent="0.25">
      <c r="A5910" s="94" t="s">
        <v>15425</v>
      </c>
      <c r="B5910" s="82" t="str">
        <f ca="1">IFERROR(INDEX(UNSPSCDes,MATCH(INDIRECT(ADDRESS(ROW(),COLUMN()-1,4)),UNSPSCCode,0)),IF(INDIRECT(ADDRESS(ROW(),COLUMN()-1,4))="51142103","Diclofenaco potásico",""))</f>
        <v>Diclofenaco potásico</v>
      </c>
      <c r="C5910" s="95" t="str">
        <f>IFERROR(VLOOKUP("UD",'Informacion '!P:Q,2,FALSE),"")</f>
        <v>Unidad</v>
      </c>
      <c r="D5910" s="94">
        <v>59</v>
      </c>
      <c r="E5910" s="84">
        <v>0.14000000000000001</v>
      </c>
      <c r="F5910" s="83">
        <f t="shared" ca="1" si="252"/>
        <v>8.2600000000000016</v>
      </c>
    </row>
    <row r="5911" spans="1:10" ht="14.1" customHeight="1" x14ac:dyDescent="0.25">
      <c r="A5911" s="94" t="s">
        <v>15190</v>
      </c>
      <c r="B5911" s="82" t="str">
        <f ca="1">IFERROR(INDEX(UNSPSCDes,MATCH(INDIRECT(ADDRESS(ROW(),COLUMN()-1,4)),UNSPSCCode,0)),IF(INDIRECT(ADDRESS(ROW(),COLUMN()-1,4))="51142108","Ketoprofeno",""))</f>
        <v>Ketoprofeno</v>
      </c>
      <c r="C5911" s="95" t="str">
        <f>IFERROR(VLOOKUP("UD",'Informacion '!P:Q,2,FALSE),"")</f>
        <v>Unidad</v>
      </c>
      <c r="D5911" s="94">
        <v>30</v>
      </c>
      <c r="E5911" s="84">
        <v>65</v>
      </c>
      <c r="F5911" s="83">
        <f t="shared" ca="1" si="252"/>
        <v>1950</v>
      </c>
    </row>
    <row r="5912" spans="1:10" ht="14.1" customHeight="1" x14ac:dyDescent="0.25">
      <c r="A5912" s="94" t="s">
        <v>36</v>
      </c>
      <c r="B5912" s="82" t="str">
        <f ca="1">IFERROR(INDEX(UNSPSCDes,MATCH(INDIRECT(ADDRESS(ROW(),COLUMN()-1,4)),UNSPSCCode,0)),IF(INDIRECT(ADDRESS(ROW(),COLUMN()-1,4))="51181706","Hidrocortisona",""))</f>
        <v>Hidrocortisona</v>
      </c>
      <c r="C5912" s="95" t="str">
        <f>IFERROR(VLOOKUP("UD",'Informacion '!P:Q,2,FALSE),"")</f>
        <v>Unidad</v>
      </c>
      <c r="D5912" s="94">
        <v>618</v>
      </c>
      <c r="E5912" s="84">
        <v>25.24</v>
      </c>
      <c r="F5912" s="83">
        <f t="shared" ca="1" si="252"/>
        <v>15598.32</v>
      </c>
    </row>
    <row r="5913" spans="1:10" ht="14.1" customHeight="1" x14ac:dyDescent="0.25">
      <c r="A5913" s="94" t="s">
        <v>12474</v>
      </c>
      <c r="B5913" s="82" t="str">
        <f ca="1">IFERROR(INDEX(UNSPSCDes,MATCH(INDIRECT(ADDRESS(ROW(),COLUMN()-1,4)),UNSPSCCode,0)),IF(INDIRECT(ADDRESS(ROW(),COLUMN()-1,4))="51181713","Prednisona",""))</f>
        <v>Prednisona</v>
      </c>
      <c r="C5913" s="95" t="str">
        <f>IFERROR(VLOOKUP("UD",'Informacion '!P:Q,2,FALSE),"")</f>
        <v>Unidad</v>
      </c>
      <c r="D5913" s="94">
        <v>782</v>
      </c>
      <c r="E5913" s="84">
        <v>9.81</v>
      </c>
      <c r="F5913" s="83">
        <f t="shared" ca="1" si="252"/>
        <v>7671.42</v>
      </c>
    </row>
    <row r="5914" spans="1:10" ht="14.1" customHeight="1" x14ac:dyDescent="0.25">
      <c r="A5914" s="94" t="s">
        <v>4572</v>
      </c>
      <c r="B5914" s="82" t="str">
        <f ca="1">IFERROR(INDEX(UNSPSCDes,MATCH(INDIRECT(ADDRESS(ROW(),COLUMN()-1,4)),UNSPSCCode,0)),IF(INDIRECT(ADDRESS(ROW(),COLUMN()-1,4))="51181704","Dexametasona",""))</f>
        <v>Dexametasona</v>
      </c>
      <c r="C5914" s="95" t="str">
        <f>IFERROR(VLOOKUP("UD",'Informacion '!P:Q,2,FALSE),"")</f>
        <v>Unidad</v>
      </c>
      <c r="D5914" s="94">
        <v>5253</v>
      </c>
      <c r="E5914" s="84">
        <v>9.82</v>
      </c>
      <c r="F5914" s="83">
        <f t="shared" ca="1" si="252"/>
        <v>51584.46</v>
      </c>
    </row>
    <row r="5915" spans="1:10" ht="14.1" customHeight="1" x14ac:dyDescent="0.25">
      <c r="A5915" s="94" t="s">
        <v>15190</v>
      </c>
      <c r="B5915" s="82" t="str">
        <f ca="1">IFERROR(INDEX(UNSPSCDes,MATCH(INDIRECT(ADDRESS(ROW(),COLUMN()-1,4)),UNSPSCCode,0)),IF(INDIRECT(ADDRESS(ROW(),COLUMN()-1,4))="51142108","Ketoprofeno",""))</f>
        <v>Ketoprofeno</v>
      </c>
      <c r="C5915" s="95" t="str">
        <f>IFERROR(VLOOKUP("UD",'Informacion '!P:Q,2,FALSE),"")</f>
        <v>Unidad</v>
      </c>
      <c r="D5915" s="94">
        <v>259</v>
      </c>
      <c r="E5915" s="84">
        <v>57.78</v>
      </c>
      <c r="F5915" s="83">
        <f t="shared" ca="1" si="252"/>
        <v>14965.02</v>
      </c>
    </row>
    <row r="5916" spans="1:10" ht="14.1" customHeight="1" x14ac:dyDescent="0.25">
      <c r="E5916" s="96" t="s">
        <v>7213</v>
      </c>
      <c r="F5916" s="87">
        <f ca="1">SUM(Table159[MONTO TOTAL ESTIMADO])</f>
        <v>288714.85000000003</v>
      </c>
      <c r="H5916" s="39" t="str">
        <f>C5882</f>
        <v>Bienes</v>
      </c>
      <c r="I5916" s="39" t="str">
        <f>E5882</f>
        <v>No</v>
      </c>
      <c r="J5916" s="39" t="str">
        <f>D5882</f>
        <v>Comparacion de Precios</v>
      </c>
    </row>
    <row r="5918" spans="1:10" ht="33.950000000000003" customHeight="1" x14ac:dyDescent="0.25">
      <c r="A5918" s="77" t="s">
        <v>17233</v>
      </c>
      <c r="B5918" s="77" t="s">
        <v>4237</v>
      </c>
      <c r="C5918" s="77" t="s">
        <v>4743</v>
      </c>
      <c r="D5918" s="77" t="s">
        <v>9891</v>
      </c>
      <c r="E5918" s="77" t="s">
        <v>3089</v>
      </c>
      <c r="F5918" s="77" t="s">
        <v>18141</v>
      </c>
    </row>
    <row r="5919" spans="1:10" ht="14.1" customHeight="1" x14ac:dyDescent="0.25">
      <c r="A5919" s="79" t="s">
        <v>2436</v>
      </c>
      <c r="B5919" s="79" t="s">
        <v>2182</v>
      </c>
      <c r="C5919" s="79" t="s">
        <v>17215</v>
      </c>
      <c r="D5919" s="79" t="s">
        <v>15249</v>
      </c>
      <c r="E5919" s="79" t="s">
        <v>18247</v>
      </c>
      <c r="F5919" s="79"/>
    </row>
    <row r="5920" spans="1:10" ht="14.1" customHeight="1" x14ac:dyDescent="0.25">
      <c r="A5920" s="2" t="s">
        <v>6643</v>
      </c>
      <c r="B5920" s="80" t="s">
        <v>1046</v>
      </c>
      <c r="C5920" s="90">
        <v>43647</v>
      </c>
      <c r="D5920" s="2" t="s">
        <v>59</v>
      </c>
      <c r="E5920" s="92" t="s">
        <v>20066</v>
      </c>
      <c r="F5920" s="93" t="s">
        <v>5684</v>
      </c>
    </row>
    <row r="5921" spans="1:6" ht="14.1" customHeight="1" x14ac:dyDescent="0.25">
      <c r="A5921" s="1"/>
      <c r="B5921" s="80" t="s">
        <v>10788</v>
      </c>
      <c r="C5921" s="91">
        <f>IF(C5920="","",IF(AND(MONTH(C5920)&gt;=1,MONTH(C5920)&lt;=3),1,IF(AND(MONTH(C5920)&gt;=4,MONTH(C5920)&lt;=6),2,IF(AND(MONTH(C5920)&gt;=7,MONTH(C5920)&lt;=9),3,4))))</f>
        <v>3</v>
      </c>
      <c r="D5921" s="1"/>
      <c r="E5921" s="92" t="s">
        <v>14822</v>
      </c>
      <c r="F5921" s="93"/>
    </row>
    <row r="5922" spans="1:6" ht="14.1" customHeight="1" x14ac:dyDescent="0.25">
      <c r="A5922" s="1"/>
      <c r="B5922" s="80" t="s">
        <v>13758</v>
      </c>
      <c r="C5922" s="90">
        <v>43738</v>
      </c>
      <c r="D5922" s="1"/>
      <c r="E5922" s="92" t="s">
        <v>18636</v>
      </c>
      <c r="F5922" s="93"/>
    </row>
    <row r="5923" spans="1:6" ht="14.1" customHeight="1" x14ac:dyDescent="0.25">
      <c r="A5923" s="1"/>
      <c r="B5923" s="80" t="s">
        <v>10788</v>
      </c>
      <c r="C5923" s="91">
        <f>IF(C5922="","",IF(AND(MONTH(C5922)&gt;=1,MONTH(C5922)&lt;=3),1,IF(AND(MONTH(C5922)&gt;=4,MONTH(C5922)&lt;=6),2,IF(AND(MONTH(C5922)&gt;=7,MONTH(C5922)&lt;=9),3,4))))</f>
        <v>3</v>
      </c>
      <c r="D5923" s="1"/>
      <c r="E5923" s="92" t="s">
        <v>15990</v>
      </c>
      <c r="F5923" s="93"/>
    </row>
    <row r="5925" spans="1:6" ht="14.1" customHeight="1" x14ac:dyDescent="0.25">
      <c r="A5925" s="85" t="s">
        <v>15474</v>
      </c>
      <c r="B5925" s="85" t="s">
        <v>5027</v>
      </c>
      <c r="C5925" s="85" t="s">
        <v>17461</v>
      </c>
      <c r="D5925" s="85" t="s">
        <v>3935</v>
      </c>
      <c r="E5925" s="85" t="s">
        <v>10722</v>
      </c>
      <c r="F5925" s="85" t="s">
        <v>18237</v>
      </c>
    </row>
    <row r="5926" spans="1:6" ht="14.1" customHeight="1" x14ac:dyDescent="0.25">
      <c r="A5926" s="94" t="s">
        <v>17357</v>
      </c>
      <c r="B5926" s="82" t="str">
        <f ca="1">IFERROR(INDEX(UNSPSCDes,MATCH(INDIRECT(ADDRESS(ROW(),COLUMN()-1,4)),UNSPSCCode,0)),IF(INDIRECT(ADDRESS(ROW(),COLUMN()-1,4))="51151701","Albuterol",""))</f>
        <v>Albuterol</v>
      </c>
      <c r="C5926" s="95" t="str">
        <f>IFERROR(VLOOKUP("UD",'Informacion '!P:Q,2,FALSE),"")</f>
        <v>Unidad</v>
      </c>
      <c r="D5926" s="94">
        <v>3</v>
      </c>
      <c r="E5926" s="84">
        <v>68.62</v>
      </c>
      <c r="F5926" s="83">
        <f t="shared" ref="F5926:F5944" ca="1" si="253">INDIRECT(ADDRESS(ROW(),COLUMN()-2,4))*INDIRECT(ADDRESS(ROW(),COLUMN()-1,4))</f>
        <v>205.86</v>
      </c>
    </row>
    <row r="5927" spans="1:6" ht="14.1" customHeight="1" x14ac:dyDescent="0.25">
      <c r="A5927" s="94" t="s">
        <v>7272</v>
      </c>
      <c r="B5927" s="82" t="str">
        <f ca="1">IFERROR(INDEX(UNSPSCDes,MATCH(INDIRECT(ADDRESS(ROW(),COLUMN()-1,4)),UNSPSCCode,0)),IF(INDIRECT(ADDRESS(ROW(),COLUMN()-1,4))="51161504","Aminofilina",""))</f>
        <v>Aminofilina</v>
      </c>
      <c r="C5927" s="95" t="str">
        <f>IFERROR(VLOOKUP("UD",'Informacion '!P:Q,2,FALSE),"")</f>
        <v>Unidad</v>
      </c>
      <c r="D5927" s="94">
        <v>9</v>
      </c>
      <c r="E5927" s="84">
        <v>55.89</v>
      </c>
      <c r="F5927" s="83">
        <f t="shared" ca="1" si="253"/>
        <v>503.01</v>
      </c>
    </row>
    <row r="5928" spans="1:6" ht="14.1" customHeight="1" x14ac:dyDescent="0.25">
      <c r="A5928" s="94" t="s">
        <v>3772</v>
      </c>
      <c r="B5928" s="82" t="str">
        <f ca="1">IFERROR(INDEX(UNSPSCDes,MATCH(INDIRECT(ADDRESS(ROW(),COLUMN()-1,4)),UNSPSCCode,0)),IF(INDIRECT(ADDRESS(ROW(),COLUMN()-1,4))="51161703","Budesonida",""))</f>
        <v>Budesonida</v>
      </c>
      <c r="C5928" s="95" t="str">
        <f>IFERROR(VLOOKUP("UD",'Informacion '!P:Q,2,FALSE),"")</f>
        <v>Unidad</v>
      </c>
      <c r="D5928" s="94">
        <v>73</v>
      </c>
      <c r="E5928" s="84">
        <v>70</v>
      </c>
      <c r="F5928" s="83">
        <f t="shared" ca="1" si="253"/>
        <v>5110</v>
      </c>
    </row>
    <row r="5929" spans="1:6" ht="14.1" customHeight="1" x14ac:dyDescent="0.25">
      <c r="A5929" s="94" t="s">
        <v>17203</v>
      </c>
      <c r="B5929" s="82" t="str">
        <f ca="1">IFERROR(INDEX(UNSPSCDes,MATCH(INDIRECT(ADDRESS(ROW(),COLUMN()-1,4)),UNSPSCCode,0)),IF(INDIRECT(ADDRESS(ROW(),COLUMN()-1,4))="51161705","Bromuro de ipratropio",""))</f>
        <v>Bromuro de ipratropio</v>
      </c>
      <c r="C5929" s="95" t="str">
        <f>IFERROR(VLOOKUP("UD",'Informacion '!P:Q,2,FALSE),"")</f>
        <v>Unidad</v>
      </c>
      <c r="D5929" s="94">
        <v>316</v>
      </c>
      <c r="E5929" s="84">
        <v>68.3</v>
      </c>
      <c r="F5929" s="83">
        <f t="shared" ca="1" si="253"/>
        <v>21582.799999999999</v>
      </c>
    </row>
    <row r="5930" spans="1:6" ht="14.1" customHeight="1" x14ac:dyDescent="0.25">
      <c r="A5930" s="94" t="s">
        <v>8167</v>
      </c>
      <c r="B5930" s="82" t="str">
        <f ca="1">IFERROR(INDEX(UNSPSCDes,MATCH(INDIRECT(ADDRESS(ROW(),COLUMN()-1,4)),UNSPSCCode,0)),IF(INDIRECT(ADDRESS(ROW(),COLUMN()-1,4))="51161701","Acetilcisteína",""))</f>
        <v>Acetilcisteína</v>
      </c>
      <c r="C5930" s="95" t="str">
        <f>IFERROR(VLOOKUP("UD",'Informacion '!P:Q,2,FALSE),"")</f>
        <v>Unidad</v>
      </c>
      <c r="D5930" s="94">
        <v>6</v>
      </c>
      <c r="E5930" s="84">
        <v>56.4</v>
      </c>
      <c r="F5930" s="83">
        <f t="shared" ca="1" si="253"/>
        <v>338.4</v>
      </c>
    </row>
    <row r="5931" spans="1:6" ht="14.1" customHeight="1" x14ac:dyDescent="0.25">
      <c r="A5931" s="94" t="s">
        <v>8167</v>
      </c>
      <c r="B5931" s="82" t="str">
        <f ca="1">IFERROR(INDEX(UNSPSCDes,MATCH(INDIRECT(ADDRESS(ROW(),COLUMN()-1,4)),UNSPSCCode,0)),IF(INDIRECT(ADDRESS(ROW(),COLUMN()-1,4))="51161701","Acetilcisteína",""))</f>
        <v>Acetilcisteína</v>
      </c>
      <c r="C5931" s="95" t="str">
        <f>IFERROR(VLOOKUP("UD",'Informacion '!P:Q,2,FALSE),"")</f>
        <v>Unidad</v>
      </c>
      <c r="D5931" s="94">
        <v>1578</v>
      </c>
      <c r="E5931" s="84">
        <v>105.07</v>
      </c>
      <c r="F5931" s="83">
        <f t="shared" ca="1" si="253"/>
        <v>165800.46</v>
      </c>
    </row>
    <row r="5932" spans="1:6" ht="14.1" customHeight="1" x14ac:dyDescent="0.25">
      <c r="A5932" s="94" t="s">
        <v>17357</v>
      </c>
      <c r="B5932" s="82" t="str">
        <f ca="1">IFERROR(INDEX(UNSPSCDes,MATCH(INDIRECT(ADDRESS(ROW(),COLUMN()-1,4)),UNSPSCCode,0)),IF(INDIRECT(ADDRESS(ROW(),COLUMN()-1,4))="51151701","Albuterol",""))</f>
        <v>Albuterol</v>
      </c>
      <c r="C5932" s="95" t="str">
        <f>IFERROR(VLOOKUP("UD",'Informacion '!P:Q,2,FALSE),"")</f>
        <v>Unidad</v>
      </c>
      <c r="D5932" s="94">
        <v>326</v>
      </c>
      <c r="E5932" s="84">
        <v>45.99</v>
      </c>
      <c r="F5932" s="83">
        <f t="shared" ca="1" si="253"/>
        <v>14992.74</v>
      </c>
    </row>
    <row r="5933" spans="1:6" ht="14.1" customHeight="1" x14ac:dyDescent="0.25">
      <c r="A5933" s="94" t="s">
        <v>13391</v>
      </c>
      <c r="B5933" s="82" t="str">
        <f ca="1">IFERROR(INDEX(UNSPSCDes,MATCH(INDIRECT(ADDRESS(ROW(),COLUMN()-1,4)),UNSPSCCode,0)),IF(INDIRECT(ADDRESS(ROW(),COLUMN()-1,4))="51161508","Sulfato de salbutamol",""))</f>
        <v>Sulfato de salbutamol</v>
      </c>
      <c r="C5933" s="95" t="str">
        <f>IFERROR(VLOOKUP("UD",'Informacion '!P:Q,2,FALSE),"")</f>
        <v>Unidad</v>
      </c>
      <c r="D5933" s="94">
        <v>8</v>
      </c>
      <c r="E5933" s="84">
        <v>303.39</v>
      </c>
      <c r="F5933" s="83">
        <f t="shared" ca="1" si="253"/>
        <v>2427.12</v>
      </c>
    </row>
    <row r="5934" spans="1:6" ht="14.1" customHeight="1" x14ac:dyDescent="0.25">
      <c r="A5934" s="94" t="s">
        <v>3772</v>
      </c>
      <c r="B5934" s="82" t="str">
        <f ca="1">IFERROR(INDEX(UNSPSCDes,MATCH(INDIRECT(ADDRESS(ROW(),COLUMN()-1,4)),UNSPSCCode,0)),IF(INDIRECT(ADDRESS(ROW(),COLUMN()-1,4))="51161703","Budesonida",""))</f>
        <v>Budesonida</v>
      </c>
      <c r="C5934" s="95" t="str">
        <f>IFERROR(VLOOKUP("UD",'Informacion '!P:Q,2,FALSE),"")</f>
        <v>Unidad</v>
      </c>
      <c r="D5934" s="94">
        <v>398</v>
      </c>
      <c r="E5934" s="84">
        <v>70</v>
      </c>
      <c r="F5934" s="83">
        <f t="shared" ca="1" si="253"/>
        <v>27860</v>
      </c>
    </row>
    <row r="5935" spans="1:6" ht="14.1" customHeight="1" x14ac:dyDescent="0.25">
      <c r="A5935" s="94" t="s">
        <v>17203</v>
      </c>
      <c r="B5935" s="82" t="str">
        <f ca="1">IFERROR(INDEX(UNSPSCDes,MATCH(INDIRECT(ADDRESS(ROW(),COLUMN()-1,4)),UNSPSCCode,0)),IF(INDIRECT(ADDRESS(ROW(),COLUMN()-1,4))="51161705","Bromuro de ipratropio",""))</f>
        <v>Bromuro de ipratropio</v>
      </c>
      <c r="C5935" s="95" t="str">
        <f>IFERROR(VLOOKUP("UD",'Informacion '!P:Q,2,FALSE),"")</f>
        <v>Unidad</v>
      </c>
      <c r="D5935" s="94">
        <v>661</v>
      </c>
      <c r="E5935" s="84">
        <v>47.85</v>
      </c>
      <c r="F5935" s="83">
        <f t="shared" ca="1" si="253"/>
        <v>31628.850000000002</v>
      </c>
    </row>
    <row r="5936" spans="1:6" ht="14.1" customHeight="1" x14ac:dyDescent="0.25">
      <c r="A5936" s="94" t="s">
        <v>566</v>
      </c>
      <c r="B5936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5936" s="95" t="str">
        <f>IFERROR(VLOOKUP("UD",'Informacion '!P:Q,2,FALSE),"")</f>
        <v>Unidad</v>
      </c>
      <c r="D5936" s="94">
        <v>3</v>
      </c>
      <c r="E5936" s="84">
        <v>46.08</v>
      </c>
      <c r="F5936" s="83">
        <f t="shared" ca="1" si="253"/>
        <v>138.24</v>
      </c>
    </row>
    <row r="5937" spans="1:10" ht="14.1" customHeight="1" x14ac:dyDescent="0.25">
      <c r="A5937" s="94" t="s">
        <v>14011</v>
      </c>
      <c r="B5937" s="82" t="str">
        <f ca="1">IFERROR(INDEX(UNSPSCDes,MATCH(INDIRECT(ADDRESS(ROW(),COLUMN()-1,4)),UNSPSCCode,0)),IF(INDIRECT(ADDRESS(ROW(),COLUMN()-1,4))="11101719","Zinc",""))</f>
        <v>Zinc</v>
      </c>
      <c r="C5937" s="95" t="str">
        <f>IFERROR(VLOOKUP("UD",'Informacion '!P:Q,2,FALSE),"")</f>
        <v>Unidad</v>
      </c>
      <c r="D5937" s="94">
        <v>10</v>
      </c>
      <c r="E5937" s="84">
        <v>629.29999999999995</v>
      </c>
      <c r="F5937" s="83">
        <f t="shared" ca="1" si="253"/>
        <v>6293</v>
      </c>
    </row>
    <row r="5938" spans="1:10" ht="14.1" customHeight="1" x14ac:dyDescent="0.25">
      <c r="A5938" s="94" t="s">
        <v>14606</v>
      </c>
      <c r="B5938" s="82" t="str">
        <f ca="1">IFERROR(INDEX(UNSPSCDes,MATCH(INDIRECT(ADDRESS(ROW(),COLUMN()-1,4)),UNSPSCCode,0)),IF(INDIRECT(ADDRESS(ROW(),COLUMN()-1,4))="51241303","Acetato de zinc",""))</f>
        <v>Acetato de zinc</v>
      </c>
      <c r="C5938" s="95" t="str">
        <f>IFERROR(VLOOKUP("UD",'Informacion '!P:Q,2,FALSE),"")</f>
        <v>Unidad</v>
      </c>
      <c r="D5938" s="94">
        <v>7</v>
      </c>
      <c r="E5938" s="84">
        <v>548.1</v>
      </c>
      <c r="F5938" s="83">
        <f t="shared" ca="1" si="253"/>
        <v>3836.7000000000003</v>
      </c>
    </row>
    <row r="5939" spans="1:10" ht="14.1" customHeight="1" x14ac:dyDescent="0.25">
      <c r="A5939" s="94" t="s">
        <v>14011</v>
      </c>
      <c r="B5939" s="82" t="str">
        <f ca="1">IFERROR(INDEX(UNSPSCDes,MATCH(INDIRECT(ADDRESS(ROW(),COLUMN()-1,4)),UNSPSCCode,0)),IF(INDIRECT(ADDRESS(ROW(),COLUMN()-1,4))="11101719","Zinc",""))</f>
        <v>Zinc</v>
      </c>
      <c r="C5939" s="95" t="str">
        <f>IFERROR(VLOOKUP("UD",'Informacion '!P:Q,2,FALSE),"")</f>
        <v>Unidad</v>
      </c>
      <c r="D5939" s="94">
        <v>3</v>
      </c>
      <c r="E5939" s="84">
        <v>18.149999999999999</v>
      </c>
      <c r="F5939" s="83">
        <f t="shared" ca="1" si="253"/>
        <v>54.449999999999996</v>
      </c>
    </row>
    <row r="5940" spans="1:10" ht="14.1" customHeight="1" x14ac:dyDescent="0.25">
      <c r="A5940" s="94" t="s">
        <v>821</v>
      </c>
      <c r="B5940" s="82" t="str">
        <f ca="1">IFERROR(INDEX(UNSPSCDes,MATCH(INDIRECT(ADDRESS(ROW(),COLUMN()-1,4)),UNSPSCCode,0)),IF(INDIRECT(ADDRESS(ROW(),COLUMN()-1,4))="51191515","Hidroclorotiazida",""))</f>
        <v>Hidroclorotiazida</v>
      </c>
      <c r="C5940" s="95" t="str">
        <f>IFERROR(VLOOKUP("UD",'Informacion '!P:Q,2,FALSE),"")</f>
        <v>Unidad</v>
      </c>
      <c r="D5940" s="94">
        <v>6</v>
      </c>
      <c r="E5940" s="84">
        <v>0.4</v>
      </c>
      <c r="F5940" s="83">
        <f t="shared" ca="1" si="253"/>
        <v>2.4000000000000004</v>
      </c>
    </row>
    <row r="5941" spans="1:10" ht="14.1" customHeight="1" x14ac:dyDescent="0.25">
      <c r="A5941" s="94" t="s">
        <v>363</v>
      </c>
      <c r="B5941" s="82" t="str">
        <f ca="1">IFERROR(INDEX(UNSPSCDes,MATCH(INDIRECT(ADDRESS(ROW(),COLUMN()-1,4)),UNSPSCCode,0)),IF(INDIRECT(ADDRESS(ROW(),COLUMN()-1,4))="51191509","Manitol",""))</f>
        <v>Manitol</v>
      </c>
      <c r="C5941" s="95" t="str">
        <f>IFERROR(VLOOKUP("UD",'Informacion '!P:Q,2,FALSE),"")</f>
        <v>Unidad</v>
      </c>
      <c r="D5941" s="94">
        <v>8</v>
      </c>
      <c r="E5941" s="84">
        <v>63.2</v>
      </c>
      <c r="F5941" s="83">
        <f t="shared" ca="1" si="253"/>
        <v>505.6</v>
      </c>
    </row>
    <row r="5942" spans="1:10" ht="14.1" customHeight="1" x14ac:dyDescent="0.25">
      <c r="A5942" s="94" t="s">
        <v>12519</v>
      </c>
      <c r="B5942" s="82" t="str">
        <f ca="1">IFERROR(INDEX(UNSPSCDes,MATCH(INDIRECT(ADDRESS(ROW(),COLUMN()-1,4)),UNSPSCCode,0)),IF(INDIRECT(ADDRESS(ROW(),COLUMN()-1,4))="51141501","Acetazolamida",""))</f>
        <v>Acetazolamida</v>
      </c>
      <c r="C5942" s="95" t="str">
        <f>IFERROR(VLOOKUP("UD",'Informacion '!P:Q,2,FALSE),"")</f>
        <v>Unidad</v>
      </c>
      <c r="D5942" s="94">
        <v>4</v>
      </c>
      <c r="E5942" s="84">
        <v>24.64</v>
      </c>
      <c r="F5942" s="83">
        <f t="shared" ca="1" si="253"/>
        <v>98.56</v>
      </c>
    </row>
    <row r="5943" spans="1:10" ht="14.1" customHeight="1" x14ac:dyDescent="0.25">
      <c r="A5943" s="94" t="s">
        <v>5988</v>
      </c>
      <c r="B5943" s="82" t="str">
        <f ca="1">IFERROR(INDEX(UNSPSCDes,MATCH(INDIRECT(ADDRESS(ROW(),COLUMN()-1,4)),UNSPSCCode,0)),IF(INDIRECT(ADDRESS(ROW(),COLUMN()-1,4))="51191507","Espironolactona",""))</f>
        <v>Espironolactona</v>
      </c>
      <c r="C5943" s="95" t="str">
        <f>IFERROR(VLOOKUP("UD",'Informacion '!P:Q,2,FALSE),"")</f>
        <v>Unidad</v>
      </c>
      <c r="D5943" s="94">
        <v>30</v>
      </c>
      <c r="E5943" s="84">
        <v>8.7799999999999994</v>
      </c>
      <c r="F5943" s="83">
        <f t="shared" ca="1" si="253"/>
        <v>263.39999999999998</v>
      </c>
    </row>
    <row r="5944" spans="1:10" ht="14.1" customHeight="1" x14ac:dyDescent="0.25">
      <c r="A5944" s="94" t="s">
        <v>2549</v>
      </c>
      <c r="B5944" s="82" t="str">
        <f ca="1">IFERROR(INDEX(UNSPSCDes,MATCH(INDIRECT(ADDRESS(ROW(),COLUMN()-1,4)),UNSPSCCode,0)),IF(INDIRECT(ADDRESS(ROW(),COLUMN()-1,4))="51191510","Furosemida",""))</f>
        <v>Furosemida</v>
      </c>
      <c r="C5944" s="95" t="str">
        <f>IFERROR(VLOOKUP("UD",'Informacion '!P:Q,2,FALSE),"")</f>
        <v>Unidad</v>
      </c>
      <c r="D5944" s="94">
        <v>1590</v>
      </c>
      <c r="E5944" s="84">
        <v>7.88</v>
      </c>
      <c r="F5944" s="83">
        <f t="shared" ca="1" si="253"/>
        <v>12529.2</v>
      </c>
    </row>
    <row r="5945" spans="1:10" ht="14.1" customHeight="1" x14ac:dyDescent="0.25">
      <c r="E5945" s="96" t="s">
        <v>7213</v>
      </c>
      <c r="F5945" s="87">
        <f ca="1">SUM(Table160[MONTO TOTAL ESTIMADO])</f>
        <v>294170.79000000004</v>
      </c>
      <c r="H5945" s="39" t="str">
        <f>C5919</f>
        <v>Bienes</v>
      </c>
      <c r="I5945" s="39" t="str">
        <f>E5919</f>
        <v>No</v>
      </c>
      <c r="J5945" s="39" t="str">
        <f>D5919</f>
        <v>Comparacion de Precios</v>
      </c>
    </row>
    <row r="5947" spans="1:10" ht="33.950000000000003" customHeight="1" x14ac:dyDescent="0.25">
      <c r="A5947" s="77" t="s">
        <v>17233</v>
      </c>
      <c r="B5947" s="77" t="s">
        <v>4237</v>
      </c>
      <c r="C5947" s="77" t="s">
        <v>4743</v>
      </c>
      <c r="D5947" s="77" t="s">
        <v>9891</v>
      </c>
      <c r="E5947" s="77" t="s">
        <v>3089</v>
      </c>
      <c r="F5947" s="77" t="s">
        <v>18141</v>
      </c>
    </row>
    <row r="5948" spans="1:10" ht="14.1" customHeight="1" x14ac:dyDescent="0.25">
      <c r="A5948" s="79" t="s">
        <v>13935</v>
      </c>
      <c r="B5948" s="79" t="s">
        <v>2182</v>
      </c>
      <c r="C5948" s="79" t="s">
        <v>17215</v>
      </c>
      <c r="D5948" s="79" t="s">
        <v>15249</v>
      </c>
      <c r="E5948" s="79" t="s">
        <v>18247</v>
      </c>
      <c r="F5948" s="79"/>
    </row>
    <row r="5949" spans="1:10" ht="14.1" customHeight="1" x14ac:dyDescent="0.25">
      <c r="A5949" s="2" t="s">
        <v>6643</v>
      </c>
      <c r="B5949" s="80" t="s">
        <v>1046</v>
      </c>
      <c r="C5949" s="90">
        <v>43739</v>
      </c>
      <c r="D5949" s="2" t="s">
        <v>59</v>
      </c>
      <c r="E5949" s="92" t="s">
        <v>20066</v>
      </c>
      <c r="F5949" s="93" t="s">
        <v>5684</v>
      </c>
    </row>
    <row r="5950" spans="1:10" ht="14.1" customHeight="1" x14ac:dyDescent="0.25">
      <c r="A5950" s="1"/>
      <c r="B5950" s="80" t="s">
        <v>10788</v>
      </c>
      <c r="C5950" s="91">
        <f>IF(C5949="","",IF(AND(MONTH(C5949)&gt;=1,MONTH(C5949)&lt;=3),1,IF(AND(MONTH(C5949)&gt;=4,MONTH(C5949)&lt;=6),2,IF(AND(MONTH(C5949)&gt;=7,MONTH(C5949)&lt;=9),3,4))))</f>
        <v>4</v>
      </c>
      <c r="D5950" s="1"/>
      <c r="E5950" s="92" t="s">
        <v>14822</v>
      </c>
      <c r="F5950" s="93"/>
    </row>
    <row r="5951" spans="1:10" ht="14.1" customHeight="1" x14ac:dyDescent="0.25">
      <c r="A5951" s="1"/>
      <c r="B5951" s="80" t="s">
        <v>13758</v>
      </c>
      <c r="C5951" s="90">
        <v>43830</v>
      </c>
      <c r="D5951" s="1"/>
      <c r="E5951" s="92" t="s">
        <v>18636</v>
      </c>
      <c r="F5951" s="93"/>
    </row>
    <row r="5952" spans="1:10" ht="14.1" customHeight="1" x14ac:dyDescent="0.25">
      <c r="A5952" s="1"/>
      <c r="B5952" s="80" t="s">
        <v>10788</v>
      </c>
      <c r="C5952" s="91">
        <f>IF(C5951="","",IF(AND(MONTH(C5951)&gt;=1,MONTH(C5951)&lt;=3),1,IF(AND(MONTH(C5951)&gt;=4,MONTH(C5951)&lt;=6),2,IF(AND(MONTH(C5951)&gt;=7,MONTH(C5951)&lt;=9),3,4))))</f>
        <v>4</v>
      </c>
      <c r="D5952" s="1"/>
      <c r="E5952" s="92" t="s">
        <v>15990</v>
      </c>
      <c r="F5952" s="93"/>
    </row>
    <row r="5954" spans="1:6" ht="14.1" customHeight="1" x14ac:dyDescent="0.25">
      <c r="A5954" s="85" t="s">
        <v>15474</v>
      </c>
      <c r="B5954" s="85" t="s">
        <v>5027</v>
      </c>
      <c r="C5954" s="85" t="s">
        <v>17461</v>
      </c>
      <c r="D5954" s="85" t="s">
        <v>3935</v>
      </c>
      <c r="E5954" s="85" t="s">
        <v>10722</v>
      </c>
      <c r="F5954" s="85" t="s">
        <v>18237</v>
      </c>
    </row>
    <row r="5955" spans="1:6" ht="14.1" customHeight="1" x14ac:dyDescent="0.25">
      <c r="A5955" s="94" t="s">
        <v>17357</v>
      </c>
      <c r="B5955" s="82" t="str">
        <f ca="1">IFERROR(INDEX(UNSPSCDes,MATCH(INDIRECT(ADDRESS(ROW(),COLUMN()-1,4)),UNSPSCCode,0)),IF(INDIRECT(ADDRESS(ROW(),COLUMN()-1,4))="51151701","Albuterol",""))</f>
        <v>Albuterol</v>
      </c>
      <c r="C5955" s="95" t="str">
        <f>IFERROR(VLOOKUP("UD",'Informacion '!P:Q,2,FALSE),"")</f>
        <v>Unidad</v>
      </c>
      <c r="D5955" s="94">
        <v>4</v>
      </c>
      <c r="E5955" s="84">
        <v>68.62</v>
      </c>
      <c r="F5955" s="83">
        <f t="shared" ref="F5955:F5973" ca="1" si="254">INDIRECT(ADDRESS(ROW(),COLUMN()-2,4))*INDIRECT(ADDRESS(ROW(),COLUMN()-1,4))</f>
        <v>274.48</v>
      </c>
    </row>
    <row r="5956" spans="1:6" ht="14.1" customHeight="1" x14ac:dyDescent="0.25">
      <c r="A5956" s="94" t="s">
        <v>7272</v>
      </c>
      <c r="B5956" s="82" t="str">
        <f ca="1">IFERROR(INDEX(UNSPSCDes,MATCH(INDIRECT(ADDRESS(ROW(),COLUMN()-1,4)),UNSPSCCode,0)),IF(INDIRECT(ADDRESS(ROW(),COLUMN()-1,4))="51161504","Aminofilina",""))</f>
        <v>Aminofilina</v>
      </c>
      <c r="C5956" s="95" t="str">
        <f>IFERROR(VLOOKUP("UD",'Informacion '!P:Q,2,FALSE),"")</f>
        <v>Unidad</v>
      </c>
      <c r="D5956" s="94">
        <v>26</v>
      </c>
      <c r="E5956" s="84">
        <v>55.89</v>
      </c>
      <c r="F5956" s="83">
        <f t="shared" ca="1" si="254"/>
        <v>1453.14</v>
      </c>
    </row>
    <row r="5957" spans="1:6" ht="14.1" customHeight="1" x14ac:dyDescent="0.25">
      <c r="A5957" s="94" t="s">
        <v>3772</v>
      </c>
      <c r="B5957" s="82" t="str">
        <f ca="1">IFERROR(INDEX(UNSPSCDes,MATCH(INDIRECT(ADDRESS(ROW(),COLUMN()-1,4)),UNSPSCCode,0)),IF(INDIRECT(ADDRESS(ROW(),COLUMN()-1,4))="51161703","Budesonida",""))</f>
        <v>Budesonida</v>
      </c>
      <c r="C5957" s="95" t="str">
        <f>IFERROR(VLOOKUP("UD",'Informacion '!P:Q,2,FALSE),"")</f>
        <v>Unidad</v>
      </c>
      <c r="D5957" s="94">
        <v>79</v>
      </c>
      <c r="E5957" s="84">
        <v>70</v>
      </c>
      <c r="F5957" s="83">
        <f t="shared" ca="1" si="254"/>
        <v>5530</v>
      </c>
    </row>
    <row r="5958" spans="1:6" ht="14.1" customHeight="1" x14ac:dyDescent="0.25">
      <c r="A5958" s="94" t="s">
        <v>17203</v>
      </c>
      <c r="B5958" s="82" t="str">
        <f ca="1">IFERROR(INDEX(UNSPSCDes,MATCH(INDIRECT(ADDRESS(ROW(),COLUMN()-1,4)),UNSPSCCode,0)),IF(INDIRECT(ADDRESS(ROW(),COLUMN()-1,4))="51161705","Bromuro de ipratropio",""))</f>
        <v>Bromuro de ipratropio</v>
      </c>
      <c r="C5958" s="95" t="str">
        <f>IFERROR(VLOOKUP("UD",'Informacion '!P:Q,2,FALSE),"")</f>
        <v>Unidad</v>
      </c>
      <c r="D5958" s="94">
        <v>323</v>
      </c>
      <c r="E5958" s="84">
        <v>68.3</v>
      </c>
      <c r="F5958" s="83">
        <f t="shared" ca="1" si="254"/>
        <v>22060.899999999998</v>
      </c>
    </row>
    <row r="5959" spans="1:6" ht="14.1" customHeight="1" x14ac:dyDescent="0.25">
      <c r="A5959" s="94" t="s">
        <v>8167</v>
      </c>
      <c r="B5959" s="82" t="str">
        <f ca="1">IFERROR(INDEX(UNSPSCDes,MATCH(INDIRECT(ADDRESS(ROW(),COLUMN()-1,4)),UNSPSCCode,0)),IF(INDIRECT(ADDRESS(ROW(),COLUMN()-1,4))="51161701","Acetilcisteína",""))</f>
        <v>Acetilcisteína</v>
      </c>
      <c r="C5959" s="95" t="str">
        <f>IFERROR(VLOOKUP("UD",'Informacion '!P:Q,2,FALSE),"")</f>
        <v>Unidad</v>
      </c>
      <c r="D5959" s="94">
        <v>719</v>
      </c>
      <c r="E5959" s="84">
        <v>56.4</v>
      </c>
      <c r="F5959" s="83">
        <f t="shared" ca="1" si="254"/>
        <v>40551.599999999999</v>
      </c>
    </row>
    <row r="5960" spans="1:6" ht="14.1" customHeight="1" x14ac:dyDescent="0.25">
      <c r="A5960" s="94" t="s">
        <v>8167</v>
      </c>
      <c r="B5960" s="82" t="str">
        <f ca="1">IFERROR(INDEX(UNSPSCDes,MATCH(INDIRECT(ADDRESS(ROW(),COLUMN()-1,4)),UNSPSCCode,0)),IF(INDIRECT(ADDRESS(ROW(),COLUMN()-1,4))="51161701","Acetilcisteína",""))</f>
        <v>Acetilcisteína</v>
      </c>
      <c r="C5960" s="95" t="str">
        <f>IFERROR(VLOOKUP("UD",'Informacion '!P:Q,2,FALSE),"")</f>
        <v>Unidad</v>
      </c>
      <c r="D5960" s="94">
        <v>1610</v>
      </c>
      <c r="E5960" s="84">
        <v>105.07</v>
      </c>
      <c r="F5960" s="83">
        <f t="shared" ca="1" si="254"/>
        <v>169162.69999999998</v>
      </c>
    </row>
    <row r="5961" spans="1:6" ht="14.1" customHeight="1" x14ac:dyDescent="0.25">
      <c r="A5961" s="94" t="s">
        <v>17357</v>
      </c>
      <c r="B5961" s="82" t="str">
        <f ca="1">IFERROR(INDEX(UNSPSCDes,MATCH(INDIRECT(ADDRESS(ROW(),COLUMN()-1,4)),UNSPSCCode,0)),IF(INDIRECT(ADDRESS(ROW(),COLUMN()-1,4))="51151701","Albuterol",""))</f>
        <v>Albuterol</v>
      </c>
      <c r="C5961" s="95" t="str">
        <f>IFERROR(VLOOKUP("UD",'Informacion '!P:Q,2,FALSE),"")</f>
        <v>Unidad</v>
      </c>
      <c r="D5961" s="94">
        <v>333</v>
      </c>
      <c r="E5961" s="84">
        <v>45.99</v>
      </c>
      <c r="F5961" s="83">
        <f t="shared" ca="1" si="254"/>
        <v>15314.67</v>
      </c>
    </row>
    <row r="5962" spans="1:6" ht="14.1" customHeight="1" x14ac:dyDescent="0.25">
      <c r="A5962" s="94" t="s">
        <v>13391</v>
      </c>
      <c r="B5962" s="82" t="str">
        <f ca="1">IFERROR(INDEX(UNSPSCDes,MATCH(INDIRECT(ADDRESS(ROW(),COLUMN()-1,4)),UNSPSCCode,0)),IF(INDIRECT(ADDRESS(ROW(),COLUMN()-1,4))="51161508","Sulfato de salbutamol",""))</f>
        <v>Sulfato de salbutamol</v>
      </c>
      <c r="C5962" s="95" t="str">
        <f>IFERROR(VLOOKUP("UD",'Informacion '!P:Q,2,FALSE),"")</f>
        <v>Unidad</v>
      </c>
      <c r="D5962" s="94">
        <v>9</v>
      </c>
      <c r="E5962" s="84">
        <v>303.39</v>
      </c>
      <c r="F5962" s="83">
        <f t="shared" ca="1" si="254"/>
        <v>2730.5099999999998</v>
      </c>
    </row>
    <row r="5963" spans="1:6" ht="14.1" customHeight="1" x14ac:dyDescent="0.25">
      <c r="A5963" s="94" t="s">
        <v>3772</v>
      </c>
      <c r="B5963" s="82" t="str">
        <f ca="1">IFERROR(INDEX(UNSPSCDes,MATCH(INDIRECT(ADDRESS(ROW(),COLUMN()-1,4)),UNSPSCCode,0)),IF(INDIRECT(ADDRESS(ROW(),COLUMN()-1,4))="51161703","Budesonida",""))</f>
        <v>Budesonida</v>
      </c>
      <c r="C5963" s="95" t="str">
        <f>IFERROR(VLOOKUP("UD",'Informacion '!P:Q,2,FALSE),"")</f>
        <v>Unidad</v>
      </c>
      <c r="D5963" s="94">
        <v>406</v>
      </c>
      <c r="E5963" s="84">
        <v>70</v>
      </c>
      <c r="F5963" s="83">
        <f t="shared" ca="1" si="254"/>
        <v>28420</v>
      </c>
    </row>
    <row r="5964" spans="1:6" ht="14.1" customHeight="1" x14ac:dyDescent="0.25">
      <c r="A5964" s="94" t="s">
        <v>17203</v>
      </c>
      <c r="B5964" s="82" t="str">
        <f ca="1">IFERROR(INDEX(UNSPSCDes,MATCH(INDIRECT(ADDRESS(ROW(),COLUMN()-1,4)),UNSPSCCode,0)),IF(INDIRECT(ADDRESS(ROW(),COLUMN()-1,4))="51161705","Bromuro de ipratropio",""))</f>
        <v>Bromuro de ipratropio</v>
      </c>
      <c r="C5964" s="95" t="str">
        <f>IFERROR(VLOOKUP("UD",'Informacion '!P:Q,2,FALSE),"")</f>
        <v>Unidad</v>
      </c>
      <c r="D5964" s="94">
        <v>675</v>
      </c>
      <c r="E5964" s="84">
        <v>47.85</v>
      </c>
      <c r="F5964" s="83">
        <f t="shared" ca="1" si="254"/>
        <v>32298.75</v>
      </c>
    </row>
    <row r="5965" spans="1:6" ht="14.1" customHeight="1" x14ac:dyDescent="0.25">
      <c r="A5965" s="94" t="s">
        <v>566</v>
      </c>
      <c r="B5965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5965" s="95" t="str">
        <f>IFERROR(VLOOKUP("UD",'Informacion '!P:Q,2,FALSE),"")</f>
        <v>Unidad</v>
      </c>
      <c r="D5965" s="94">
        <v>4</v>
      </c>
      <c r="E5965" s="84">
        <v>46.08</v>
      </c>
      <c r="F5965" s="83">
        <f t="shared" ca="1" si="254"/>
        <v>184.32</v>
      </c>
    </row>
    <row r="5966" spans="1:6" ht="14.1" customHeight="1" x14ac:dyDescent="0.25">
      <c r="A5966" s="94" t="s">
        <v>14011</v>
      </c>
      <c r="B5966" s="82" t="str">
        <f ca="1">IFERROR(INDEX(UNSPSCDes,MATCH(INDIRECT(ADDRESS(ROW(),COLUMN()-1,4)),UNSPSCCode,0)),IF(INDIRECT(ADDRESS(ROW(),COLUMN()-1,4))="11101719","Zinc",""))</f>
        <v>Zinc</v>
      </c>
      <c r="C5966" s="95" t="str">
        <f>IFERROR(VLOOKUP("UD",'Informacion '!P:Q,2,FALSE),"")</f>
        <v>Unidad</v>
      </c>
      <c r="D5966" s="94">
        <v>11</v>
      </c>
      <c r="E5966" s="84">
        <v>629.29999999999995</v>
      </c>
      <c r="F5966" s="83">
        <f t="shared" ca="1" si="254"/>
        <v>6922.2999999999993</v>
      </c>
    </row>
    <row r="5967" spans="1:6" ht="14.1" customHeight="1" x14ac:dyDescent="0.25">
      <c r="A5967" s="94" t="s">
        <v>14606</v>
      </c>
      <c r="B5967" s="82" t="str">
        <f ca="1">IFERROR(INDEX(UNSPSCDes,MATCH(INDIRECT(ADDRESS(ROW(),COLUMN()-1,4)),UNSPSCCode,0)),IF(INDIRECT(ADDRESS(ROW(),COLUMN()-1,4))="51241303","Acetato de zinc",""))</f>
        <v>Acetato de zinc</v>
      </c>
      <c r="C5967" s="95" t="str">
        <f>IFERROR(VLOOKUP("UD",'Informacion '!P:Q,2,FALSE),"")</f>
        <v>Unidad</v>
      </c>
      <c r="D5967" s="94">
        <v>8</v>
      </c>
      <c r="E5967" s="84">
        <v>548.1</v>
      </c>
      <c r="F5967" s="83">
        <f t="shared" ca="1" si="254"/>
        <v>4384.8</v>
      </c>
    </row>
    <row r="5968" spans="1:6" ht="14.1" customHeight="1" x14ac:dyDescent="0.25">
      <c r="A5968" s="94" t="s">
        <v>14011</v>
      </c>
      <c r="B5968" s="82" t="str">
        <f ca="1">IFERROR(INDEX(UNSPSCDes,MATCH(INDIRECT(ADDRESS(ROW(),COLUMN()-1,4)),UNSPSCCode,0)),IF(INDIRECT(ADDRESS(ROW(),COLUMN()-1,4))="11101719","Zinc",""))</f>
        <v>Zinc</v>
      </c>
      <c r="C5968" s="95" t="str">
        <f>IFERROR(VLOOKUP("UD",'Informacion '!P:Q,2,FALSE),"")</f>
        <v>Unidad</v>
      </c>
      <c r="D5968" s="94">
        <v>4</v>
      </c>
      <c r="E5968" s="84">
        <v>18.149999999999999</v>
      </c>
      <c r="F5968" s="83">
        <f t="shared" ca="1" si="254"/>
        <v>72.599999999999994</v>
      </c>
    </row>
    <row r="5969" spans="1:10" ht="14.1" customHeight="1" x14ac:dyDescent="0.25">
      <c r="A5969" s="94" t="s">
        <v>821</v>
      </c>
      <c r="B5969" s="82" t="str">
        <f ca="1">IFERROR(INDEX(UNSPSCDes,MATCH(INDIRECT(ADDRESS(ROW(),COLUMN()-1,4)),UNSPSCCode,0)),IF(INDIRECT(ADDRESS(ROW(),COLUMN()-1,4))="51191515","Hidroclorotiazida",""))</f>
        <v>Hidroclorotiazida</v>
      </c>
      <c r="C5969" s="95" t="str">
        <f>IFERROR(VLOOKUP("UD",'Informacion '!P:Q,2,FALSE),"")</f>
        <v>Unidad</v>
      </c>
      <c r="D5969" s="94">
        <v>7</v>
      </c>
      <c r="E5969" s="84">
        <v>0.4</v>
      </c>
      <c r="F5969" s="83">
        <f t="shared" ca="1" si="254"/>
        <v>2.8000000000000003</v>
      </c>
    </row>
    <row r="5970" spans="1:10" ht="14.1" customHeight="1" x14ac:dyDescent="0.25">
      <c r="A5970" s="94" t="s">
        <v>363</v>
      </c>
      <c r="B5970" s="82" t="str">
        <f ca="1">IFERROR(INDEX(UNSPSCDes,MATCH(INDIRECT(ADDRESS(ROW(),COLUMN()-1,4)),UNSPSCCode,0)),IF(INDIRECT(ADDRESS(ROW(),COLUMN()-1,4))="51191509","Manitol",""))</f>
        <v>Manitol</v>
      </c>
      <c r="C5970" s="95" t="str">
        <f>IFERROR(VLOOKUP("UD",'Informacion '!P:Q,2,FALSE),"")</f>
        <v>Unidad</v>
      </c>
      <c r="D5970" s="94">
        <v>9</v>
      </c>
      <c r="E5970" s="84">
        <v>63.2</v>
      </c>
      <c r="F5970" s="83">
        <f t="shared" ca="1" si="254"/>
        <v>568.80000000000007</v>
      </c>
    </row>
    <row r="5971" spans="1:10" ht="14.1" customHeight="1" x14ac:dyDescent="0.25">
      <c r="A5971" s="94" t="s">
        <v>12519</v>
      </c>
      <c r="B5971" s="82" t="str">
        <f ca="1">IFERROR(INDEX(UNSPSCDes,MATCH(INDIRECT(ADDRESS(ROW(),COLUMN()-1,4)),UNSPSCCode,0)),IF(INDIRECT(ADDRESS(ROW(),COLUMN()-1,4))="51141501","Acetazolamida",""))</f>
        <v>Acetazolamida</v>
      </c>
      <c r="C5971" s="95" t="str">
        <f>IFERROR(VLOOKUP("UD",'Informacion '!P:Q,2,FALSE),"")</f>
        <v>Unidad</v>
      </c>
      <c r="D5971" s="94">
        <v>5</v>
      </c>
      <c r="E5971" s="84">
        <v>24.64</v>
      </c>
      <c r="F5971" s="83">
        <f t="shared" ca="1" si="254"/>
        <v>123.2</v>
      </c>
    </row>
    <row r="5972" spans="1:10" ht="14.1" customHeight="1" x14ac:dyDescent="0.25">
      <c r="A5972" s="94" t="s">
        <v>5988</v>
      </c>
      <c r="B5972" s="82" t="str">
        <f ca="1">IFERROR(INDEX(UNSPSCDes,MATCH(INDIRECT(ADDRESS(ROW(),COLUMN()-1,4)),UNSPSCCode,0)),IF(INDIRECT(ADDRESS(ROW(),COLUMN()-1,4))="51191507","Espironolactona",""))</f>
        <v>Espironolactona</v>
      </c>
      <c r="C5972" s="95" t="str">
        <f>IFERROR(VLOOKUP("UD",'Informacion '!P:Q,2,FALSE),"")</f>
        <v>Unidad</v>
      </c>
      <c r="D5972" s="94">
        <v>31</v>
      </c>
      <c r="E5972" s="84">
        <v>8.7799999999999994</v>
      </c>
      <c r="F5972" s="83">
        <f t="shared" ca="1" si="254"/>
        <v>272.18</v>
      </c>
    </row>
    <row r="5973" spans="1:10" ht="14.1" customHeight="1" x14ac:dyDescent="0.25">
      <c r="A5973" s="94" t="s">
        <v>2549</v>
      </c>
      <c r="B5973" s="82" t="str">
        <f ca="1">IFERROR(INDEX(UNSPSCDes,MATCH(INDIRECT(ADDRESS(ROW(),COLUMN()-1,4)),UNSPSCCode,0)),IF(INDIRECT(ADDRESS(ROW(),COLUMN()-1,4))="51191510","Furosemida",""))</f>
        <v>Furosemida</v>
      </c>
      <c r="C5973" s="95" t="str">
        <f>IFERROR(VLOOKUP("UD",'Informacion '!P:Q,2,FALSE),"")</f>
        <v>Unidad</v>
      </c>
      <c r="D5973" s="94">
        <v>1622</v>
      </c>
      <c r="E5973" s="84">
        <v>7.88</v>
      </c>
      <c r="F5973" s="83">
        <f t="shared" ca="1" si="254"/>
        <v>12781.36</v>
      </c>
    </row>
    <row r="5974" spans="1:10" ht="14.1" customHeight="1" x14ac:dyDescent="0.25">
      <c r="E5974" s="96" t="s">
        <v>7213</v>
      </c>
      <c r="F5974" s="87">
        <f ca="1">SUM(Table161[MONTO TOTAL ESTIMADO])</f>
        <v>343109.10999999993</v>
      </c>
      <c r="H5974" s="39" t="str">
        <f>C5948</f>
        <v>Bienes</v>
      </c>
      <c r="I5974" s="39" t="str">
        <f>E5948</f>
        <v>No</v>
      </c>
      <c r="J5974" s="39" t="str">
        <f>D5948</f>
        <v>Comparacion de Precios</v>
      </c>
    </row>
    <row r="5976" spans="1:10" ht="33.950000000000003" customHeight="1" x14ac:dyDescent="0.25">
      <c r="A5976" s="77" t="s">
        <v>17233</v>
      </c>
      <c r="B5976" s="77" t="s">
        <v>4237</v>
      </c>
      <c r="C5976" s="77" t="s">
        <v>4743</v>
      </c>
      <c r="D5976" s="77" t="s">
        <v>9891</v>
      </c>
      <c r="E5976" s="77" t="s">
        <v>3089</v>
      </c>
      <c r="F5976" s="77" t="s">
        <v>18141</v>
      </c>
    </row>
    <row r="5977" spans="1:10" ht="14.1" customHeight="1" x14ac:dyDescent="0.25">
      <c r="A5977" s="79" t="s">
        <v>11826</v>
      </c>
      <c r="B5977" s="79" t="s">
        <v>19403</v>
      </c>
      <c r="C5977" s="79" t="s">
        <v>17215</v>
      </c>
      <c r="D5977" s="79" t="s">
        <v>15249</v>
      </c>
      <c r="E5977" s="79" t="s">
        <v>18247</v>
      </c>
      <c r="F5977" s="79"/>
    </row>
    <row r="5978" spans="1:10" ht="14.1" customHeight="1" x14ac:dyDescent="0.25">
      <c r="A5978" s="2" t="s">
        <v>6643</v>
      </c>
      <c r="B5978" s="80" t="s">
        <v>1046</v>
      </c>
      <c r="C5978" s="90">
        <v>43469</v>
      </c>
      <c r="D5978" s="2" t="s">
        <v>59</v>
      </c>
      <c r="E5978" s="92" t="s">
        <v>20066</v>
      </c>
      <c r="F5978" s="93" t="s">
        <v>5684</v>
      </c>
    </row>
    <row r="5979" spans="1:10" ht="14.1" customHeight="1" x14ac:dyDescent="0.25">
      <c r="A5979" s="1"/>
      <c r="B5979" s="80" t="s">
        <v>10788</v>
      </c>
      <c r="C5979" s="91">
        <f>IF(C5978="","",IF(AND(MONTH(C5978)&gt;=1,MONTH(C5978)&lt;=3),1,IF(AND(MONTH(C5978)&gt;=4,MONTH(C5978)&lt;=6),2,IF(AND(MONTH(C5978)&gt;=7,MONTH(C5978)&lt;=9),3,4))))</f>
        <v>1</v>
      </c>
      <c r="D5979" s="1"/>
      <c r="E5979" s="92" t="s">
        <v>14822</v>
      </c>
      <c r="F5979" s="93"/>
    </row>
    <row r="5980" spans="1:10" ht="14.1" customHeight="1" x14ac:dyDescent="0.25">
      <c r="A5980" s="1"/>
      <c r="B5980" s="80" t="s">
        <v>13758</v>
      </c>
      <c r="C5980" s="90">
        <v>43553</v>
      </c>
      <c r="D5980" s="1"/>
      <c r="E5980" s="92" t="s">
        <v>18636</v>
      </c>
      <c r="F5980" s="93"/>
    </row>
    <row r="5981" spans="1:10" ht="14.1" customHeight="1" x14ac:dyDescent="0.25">
      <c r="A5981" s="1"/>
      <c r="B5981" s="80" t="s">
        <v>10788</v>
      </c>
      <c r="C5981" s="91">
        <f>IF(C5980="","",IF(AND(MONTH(C5980)&gt;=1,MONTH(C5980)&lt;=3),1,IF(AND(MONTH(C5980)&gt;=4,MONTH(C5980)&lt;=6),2,IF(AND(MONTH(C5980)&gt;=7,MONTH(C5980)&lt;=9),3,4))))</f>
        <v>1</v>
      </c>
      <c r="D5981" s="1"/>
      <c r="E5981" s="92" t="s">
        <v>15990</v>
      </c>
      <c r="F5981" s="93"/>
    </row>
    <row r="5983" spans="1:10" ht="14.1" customHeight="1" x14ac:dyDescent="0.25">
      <c r="A5983" s="85" t="s">
        <v>15474</v>
      </c>
      <c r="B5983" s="85" t="s">
        <v>5027</v>
      </c>
      <c r="C5983" s="85" t="s">
        <v>17461</v>
      </c>
      <c r="D5983" s="85" t="s">
        <v>3935</v>
      </c>
      <c r="E5983" s="85" t="s">
        <v>10722</v>
      </c>
      <c r="F5983" s="85" t="s">
        <v>18237</v>
      </c>
    </row>
    <row r="5984" spans="1:10" ht="14.1" customHeight="1" x14ac:dyDescent="0.25">
      <c r="A5984" s="94" t="s">
        <v>14879</v>
      </c>
      <c r="B5984" s="82" t="str">
        <f ca="1">IFERROR(INDEX(UNSPSCDes,MATCH(INDIRECT(ADDRESS(ROW(),COLUMN()-1,4)),UNSPSCCode,0)),IF(INDIRECT(ADDRESS(ROW(),COLUMN()-1,4))="51182401","Cloruro de calcio",""))</f>
        <v>Cloruro de calcio</v>
      </c>
      <c r="C5984" s="95" t="str">
        <f>IFERROR(VLOOKUP("UD",'Informacion '!P:Q,2,FALSE),"")</f>
        <v>Unidad</v>
      </c>
      <c r="D5984" s="94">
        <v>727</v>
      </c>
      <c r="E5984" s="84">
        <v>92.3</v>
      </c>
      <c r="F5984" s="83">
        <f t="shared" ref="F5984:F5993" ca="1" si="255">INDIRECT(ADDRESS(ROW(),COLUMN()-2,4))*INDIRECT(ADDRESS(ROW(),COLUMN()-1,4))</f>
        <v>67102.099999999991</v>
      </c>
    </row>
    <row r="5985" spans="1:10" ht="14.1" customHeight="1" x14ac:dyDescent="0.25">
      <c r="A5985" s="94" t="s">
        <v>391</v>
      </c>
      <c r="B5985" s="82" t="str">
        <f ca="1">IFERROR(INDEX(UNSPSCDes,MATCH(INDIRECT(ADDRESS(ROW(),COLUMN()-1,4)),UNSPSCCode,0)),IF(INDIRECT(ADDRESS(ROW(),COLUMN()-1,4))="51182403","Gluconato de calcio",""))</f>
        <v>Gluconato de calcio</v>
      </c>
      <c r="C5985" s="95" t="str">
        <f>IFERROR(VLOOKUP("UD",'Informacion '!P:Q,2,FALSE),"")</f>
        <v>Unidad</v>
      </c>
      <c r="D5985" s="94">
        <v>552</v>
      </c>
      <c r="E5985" s="84">
        <v>32.58</v>
      </c>
      <c r="F5985" s="83">
        <f t="shared" ca="1" si="255"/>
        <v>17984.16</v>
      </c>
    </row>
    <row r="5986" spans="1:10" ht="14.1" customHeight="1" x14ac:dyDescent="0.25">
      <c r="A5986" s="94" t="s">
        <v>18917</v>
      </c>
      <c r="B5986" s="82" t="str">
        <f ca="1">IFERROR(INDEX(UNSPSCDes,MATCH(INDIRECT(ADDRESS(ROW(),COLUMN()-1,4)),UNSPSCCode,0)),IF(INDIRECT(ADDRESS(ROW(),COLUMN()-1,4))="11101511","Calcio",""))</f>
        <v>Calcio</v>
      </c>
      <c r="C5986" s="95" t="str">
        <f>IFERROR(VLOOKUP("UD",'Informacion '!P:Q,2,FALSE),"")</f>
        <v>Unidad</v>
      </c>
      <c r="D5986" s="94">
        <v>1</v>
      </c>
      <c r="E5986" s="84">
        <v>47.67</v>
      </c>
      <c r="F5986" s="83">
        <f t="shared" ca="1" si="255"/>
        <v>47.67</v>
      </c>
    </row>
    <row r="5987" spans="1:10" ht="14.1" customHeight="1" x14ac:dyDescent="0.25">
      <c r="A5987" s="94" t="s">
        <v>3155</v>
      </c>
      <c r="B5987" s="82" t="str">
        <f ca="1">IFERROR(INDEX(UNSPSCDes,MATCH(INDIRECT(ADDRESS(ROW(),COLUMN()-1,4)),UNSPSCCode,0)),IF(INDIRECT(ADDRESS(ROW(),COLUMN()-1,4))="12352202","Proteínas",""))</f>
        <v>Proteínas</v>
      </c>
      <c r="C5987" s="95" t="str">
        <f>IFERROR(VLOOKUP("UD",'Informacion '!P:Q,2,FALSE),"")</f>
        <v>Unidad</v>
      </c>
      <c r="D5987" s="94">
        <v>16</v>
      </c>
      <c r="E5987" s="84">
        <v>526.07000000000005</v>
      </c>
      <c r="F5987" s="83">
        <f t="shared" ca="1" si="255"/>
        <v>8417.1200000000008</v>
      </c>
    </row>
    <row r="5988" spans="1:10" ht="14.1" customHeight="1" x14ac:dyDescent="0.25">
      <c r="A5988" s="94" t="s">
        <v>3593</v>
      </c>
      <c r="B5988" s="82" t="str">
        <f ca="1">IFERROR(INDEX(UNSPSCDes,MATCH(INDIRECT(ADDRESS(ROW(),COLUMN()-1,4)),UNSPSCCode,0)),IF(INDIRECT(ADDRESS(ROW(),COLUMN()-1,4))="51181506","Insulina",""))</f>
        <v>Insulina</v>
      </c>
      <c r="C5988" s="95" t="str">
        <f>IFERROR(VLOOKUP("UD",'Informacion '!P:Q,2,FALSE),"")</f>
        <v>Unidad</v>
      </c>
      <c r="D5988" s="94">
        <v>955</v>
      </c>
      <c r="E5988" s="84">
        <v>190.81</v>
      </c>
      <c r="F5988" s="83">
        <f t="shared" ca="1" si="255"/>
        <v>182223.55</v>
      </c>
    </row>
    <row r="5989" spans="1:10" ht="14.1" customHeight="1" x14ac:dyDescent="0.25">
      <c r="A5989" s="94" t="s">
        <v>14327</v>
      </c>
      <c r="B5989" s="82" t="str">
        <f ca="1">IFERROR(INDEX(UNSPSCDes,MATCH(INDIRECT(ADDRESS(ROW(),COLUMN()-1,4)),UNSPSCCode,0)),IF(INDIRECT(ADDRESS(ROW(),COLUMN()-1,4))="51191902","Suplementos de amino ácidos",""))</f>
        <v>Suplementos de amino ácidos</v>
      </c>
      <c r="C5989" s="95" t="str">
        <f>IFERROR(VLOOKUP("UD",'Informacion '!P:Q,2,FALSE),"")</f>
        <v>Unidad</v>
      </c>
      <c r="D5989" s="94">
        <v>3</v>
      </c>
      <c r="E5989" s="84">
        <v>3720.23</v>
      </c>
      <c r="F5989" s="83">
        <f t="shared" ca="1" si="255"/>
        <v>11160.69</v>
      </c>
    </row>
    <row r="5990" spans="1:10" ht="14.1" customHeight="1" x14ac:dyDescent="0.25">
      <c r="A5990" s="94" t="s">
        <v>3155</v>
      </c>
      <c r="B5990" s="82" t="str">
        <f ca="1">IFERROR(INDEX(UNSPSCDes,MATCH(INDIRECT(ADDRESS(ROW(),COLUMN()-1,4)),UNSPSCCode,0)),IF(INDIRECT(ADDRESS(ROW(),COLUMN()-1,4))="12352202","Proteínas",""))</f>
        <v>Proteínas</v>
      </c>
      <c r="C5990" s="95" t="str">
        <f>IFERROR(VLOOKUP("UD",'Informacion '!P:Q,2,FALSE),"")</f>
        <v>Unidad</v>
      </c>
      <c r="D5990" s="94">
        <v>11</v>
      </c>
      <c r="E5990" s="84">
        <v>244.87</v>
      </c>
      <c r="F5990" s="83">
        <f t="shared" ca="1" si="255"/>
        <v>2693.57</v>
      </c>
    </row>
    <row r="5991" spans="1:10" ht="14.1" customHeight="1" x14ac:dyDescent="0.25">
      <c r="A5991" s="94" t="s">
        <v>3155</v>
      </c>
      <c r="B5991" s="82" t="str">
        <f ca="1">IFERROR(INDEX(UNSPSCDes,MATCH(INDIRECT(ADDRESS(ROW(),COLUMN()-1,4)),UNSPSCCode,0)),IF(INDIRECT(ADDRESS(ROW(),COLUMN()-1,4))="12352202","Proteínas",""))</f>
        <v>Proteínas</v>
      </c>
      <c r="C5991" s="95" t="str">
        <f>IFERROR(VLOOKUP("UD",'Informacion '!P:Q,2,FALSE),"")</f>
        <v>Unidad</v>
      </c>
      <c r="D5991" s="94">
        <v>76</v>
      </c>
      <c r="E5991" s="84">
        <v>129.72999999999999</v>
      </c>
      <c r="F5991" s="83">
        <f t="shared" ca="1" si="255"/>
        <v>9859.48</v>
      </c>
    </row>
    <row r="5992" spans="1:10" ht="14.1" customHeight="1" x14ac:dyDescent="0.25">
      <c r="A5992" s="94" t="s">
        <v>3155</v>
      </c>
      <c r="B5992" s="82" t="str">
        <f ca="1">IFERROR(INDEX(UNSPSCDes,MATCH(INDIRECT(ADDRESS(ROW(),COLUMN()-1,4)),UNSPSCCode,0)),IF(INDIRECT(ADDRESS(ROW(),COLUMN()-1,4))="12352202","Proteínas",""))</f>
        <v>Proteínas</v>
      </c>
      <c r="C5992" s="95" t="str">
        <f>IFERROR(VLOOKUP("UD",'Informacion '!P:Q,2,FALSE),"")</f>
        <v>Unidad</v>
      </c>
      <c r="D5992" s="94">
        <v>685</v>
      </c>
      <c r="E5992" s="84">
        <v>120.34</v>
      </c>
      <c r="F5992" s="83">
        <f t="shared" ca="1" si="255"/>
        <v>82432.900000000009</v>
      </c>
    </row>
    <row r="5993" spans="1:10" ht="14.1" customHeight="1" x14ac:dyDescent="0.25">
      <c r="A5993" s="94" t="s">
        <v>13280</v>
      </c>
      <c r="B5993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5993" s="95" t="str">
        <f>IFERROR(VLOOKUP("UD",'Informacion '!P:Q,2,FALSE),"")</f>
        <v>Unidad</v>
      </c>
      <c r="D5993" s="94">
        <v>239</v>
      </c>
      <c r="E5993" s="84">
        <v>150.91999999999999</v>
      </c>
      <c r="F5993" s="83">
        <f t="shared" ca="1" si="255"/>
        <v>36069.879999999997</v>
      </c>
    </row>
    <row r="5994" spans="1:10" ht="14.1" customHeight="1" x14ac:dyDescent="0.25">
      <c r="E5994" s="96" t="s">
        <v>7213</v>
      </c>
      <c r="F5994" s="87">
        <f ca="1">SUM(Table162[MONTO TOTAL ESTIMADO])</f>
        <v>417991.12</v>
      </c>
      <c r="H5994" s="39" t="str">
        <f>C5977</f>
        <v>Bienes</v>
      </c>
      <c r="I5994" s="39" t="str">
        <f>E5977</f>
        <v>No</v>
      </c>
      <c r="J5994" s="39" t="str">
        <f>D5977</f>
        <v>Comparacion de Precios</v>
      </c>
    </row>
    <row r="5996" spans="1:10" ht="33.950000000000003" customHeight="1" x14ac:dyDescent="0.25">
      <c r="A5996" s="77" t="s">
        <v>17233</v>
      </c>
      <c r="B5996" s="77" t="s">
        <v>4237</v>
      </c>
      <c r="C5996" s="77" t="s">
        <v>4743</v>
      </c>
      <c r="D5996" s="77" t="s">
        <v>9891</v>
      </c>
      <c r="E5996" s="77" t="s">
        <v>3089</v>
      </c>
      <c r="F5996" s="77" t="s">
        <v>18141</v>
      </c>
    </row>
    <row r="5997" spans="1:10" ht="14.1" customHeight="1" x14ac:dyDescent="0.25">
      <c r="A5997" s="79" t="s">
        <v>3982</v>
      </c>
      <c r="B5997" s="79" t="s">
        <v>2182</v>
      </c>
      <c r="C5997" s="79" t="s">
        <v>17215</v>
      </c>
      <c r="D5997" s="79" t="s">
        <v>15249</v>
      </c>
      <c r="E5997" s="79" t="s">
        <v>18247</v>
      </c>
      <c r="F5997" s="79"/>
    </row>
    <row r="5998" spans="1:10" ht="14.1" customHeight="1" x14ac:dyDescent="0.25">
      <c r="A5998" s="2" t="s">
        <v>6643</v>
      </c>
      <c r="B5998" s="80" t="s">
        <v>1046</v>
      </c>
      <c r="C5998" s="90">
        <v>43556</v>
      </c>
      <c r="D5998" s="2" t="s">
        <v>59</v>
      </c>
      <c r="E5998" s="92" t="s">
        <v>20066</v>
      </c>
      <c r="F5998" s="93" t="s">
        <v>5684</v>
      </c>
    </row>
    <row r="5999" spans="1:10" ht="14.1" customHeight="1" x14ac:dyDescent="0.25">
      <c r="A5999" s="1"/>
      <c r="B5999" s="80" t="s">
        <v>10788</v>
      </c>
      <c r="C5999" s="91">
        <f>IF(C5998="","",IF(AND(MONTH(C5998)&gt;=1,MONTH(C5998)&lt;=3),1,IF(AND(MONTH(C5998)&gt;=4,MONTH(C5998)&lt;=6),2,IF(AND(MONTH(C5998)&gt;=7,MONTH(C5998)&lt;=9),3,4))))</f>
        <v>2</v>
      </c>
      <c r="D5999" s="1"/>
      <c r="E5999" s="92" t="s">
        <v>14822</v>
      </c>
      <c r="F5999" s="93"/>
    </row>
    <row r="6000" spans="1:10" ht="14.1" customHeight="1" x14ac:dyDescent="0.25">
      <c r="A6000" s="1"/>
      <c r="B6000" s="80" t="s">
        <v>13758</v>
      </c>
      <c r="C6000" s="90">
        <v>43645</v>
      </c>
      <c r="D6000" s="1"/>
      <c r="E6000" s="92" t="s">
        <v>18636</v>
      </c>
      <c r="F6000" s="93"/>
    </row>
    <row r="6001" spans="1:10" ht="14.1" customHeight="1" x14ac:dyDescent="0.25">
      <c r="A6001" s="1"/>
      <c r="B6001" s="80" t="s">
        <v>10788</v>
      </c>
      <c r="C6001" s="91">
        <f>IF(C6000="","",IF(AND(MONTH(C6000)&gt;=1,MONTH(C6000)&lt;=3),1,IF(AND(MONTH(C6000)&gt;=4,MONTH(C6000)&lt;=6),2,IF(AND(MONTH(C6000)&gt;=7,MONTH(C6000)&lt;=9),3,4))))</f>
        <v>2</v>
      </c>
      <c r="D6001" s="1"/>
      <c r="E6001" s="92" t="s">
        <v>15990</v>
      </c>
      <c r="F6001" s="93"/>
    </row>
    <row r="6003" spans="1:10" ht="14.1" customHeight="1" x14ac:dyDescent="0.25">
      <c r="A6003" s="85" t="s">
        <v>15474</v>
      </c>
      <c r="B6003" s="85" t="s">
        <v>5027</v>
      </c>
      <c r="C6003" s="85" t="s">
        <v>17461</v>
      </c>
      <c r="D6003" s="85" t="s">
        <v>3935</v>
      </c>
      <c r="E6003" s="85" t="s">
        <v>10722</v>
      </c>
      <c r="F6003" s="85" t="s">
        <v>18237</v>
      </c>
    </row>
    <row r="6004" spans="1:10" ht="14.1" customHeight="1" x14ac:dyDescent="0.25">
      <c r="A6004" s="94" t="s">
        <v>14879</v>
      </c>
      <c r="B6004" s="82" t="str">
        <f ca="1">IFERROR(INDEX(UNSPSCDes,MATCH(INDIRECT(ADDRESS(ROW(),COLUMN()-1,4)),UNSPSCCode,0)),IF(INDIRECT(ADDRESS(ROW(),COLUMN()-1,4))="51182401","Cloruro de calcio",""))</f>
        <v>Cloruro de calcio</v>
      </c>
      <c r="C6004" s="95" t="str">
        <f>IFERROR(VLOOKUP("UD",'Informacion '!P:Q,2,FALSE),"")</f>
        <v>Unidad</v>
      </c>
      <c r="D6004" s="94">
        <v>742</v>
      </c>
      <c r="E6004" s="84">
        <v>92.3</v>
      </c>
      <c r="F6004" s="83">
        <f t="shared" ref="F6004:F6013" ca="1" si="256">INDIRECT(ADDRESS(ROW(),COLUMN()-2,4))*INDIRECT(ADDRESS(ROW(),COLUMN()-1,4))</f>
        <v>68486.599999999991</v>
      </c>
    </row>
    <row r="6005" spans="1:10" ht="14.1" customHeight="1" x14ac:dyDescent="0.25">
      <c r="A6005" s="94" t="s">
        <v>391</v>
      </c>
      <c r="B6005" s="82" t="str">
        <f ca="1">IFERROR(INDEX(UNSPSCDes,MATCH(INDIRECT(ADDRESS(ROW(),COLUMN()-1,4)),UNSPSCCode,0)),IF(INDIRECT(ADDRESS(ROW(),COLUMN()-1,4))="51182403","Gluconato de calcio",""))</f>
        <v>Gluconato de calcio</v>
      </c>
      <c r="C6005" s="95" t="str">
        <f>IFERROR(VLOOKUP("UD",'Informacion '!P:Q,2,FALSE),"")</f>
        <v>Unidad</v>
      </c>
      <c r="D6005" s="94">
        <v>564</v>
      </c>
      <c r="E6005" s="84">
        <v>32.58</v>
      </c>
      <c r="F6005" s="83">
        <f t="shared" ca="1" si="256"/>
        <v>18375.12</v>
      </c>
    </row>
    <row r="6006" spans="1:10" ht="14.1" customHeight="1" x14ac:dyDescent="0.25">
      <c r="A6006" s="94" t="s">
        <v>18917</v>
      </c>
      <c r="B6006" s="82" t="str">
        <f ca="1">IFERROR(INDEX(UNSPSCDes,MATCH(INDIRECT(ADDRESS(ROW(),COLUMN()-1,4)),UNSPSCCode,0)),IF(INDIRECT(ADDRESS(ROW(),COLUMN()-1,4))="11101511","Calcio",""))</f>
        <v>Calcio</v>
      </c>
      <c r="C6006" s="95" t="str">
        <f>IFERROR(VLOOKUP("UD",'Informacion '!P:Q,2,FALSE),"")</f>
        <v>Unidad</v>
      </c>
      <c r="D6006" s="94">
        <v>2</v>
      </c>
      <c r="E6006" s="84">
        <v>47.67</v>
      </c>
      <c r="F6006" s="83">
        <f t="shared" ca="1" si="256"/>
        <v>95.34</v>
      </c>
    </row>
    <row r="6007" spans="1:10" ht="14.1" customHeight="1" x14ac:dyDescent="0.25">
      <c r="A6007" s="94" t="s">
        <v>3155</v>
      </c>
      <c r="B6007" s="82" t="str">
        <f ca="1">IFERROR(INDEX(UNSPSCDes,MATCH(INDIRECT(ADDRESS(ROW(),COLUMN()-1,4)),UNSPSCCode,0)),IF(INDIRECT(ADDRESS(ROW(),COLUMN()-1,4))="12352202","Proteínas",""))</f>
        <v>Proteínas</v>
      </c>
      <c r="C6007" s="95" t="str">
        <f>IFERROR(VLOOKUP("UD",'Informacion '!P:Q,2,FALSE),"")</f>
        <v>Unidad</v>
      </c>
      <c r="D6007" s="94">
        <v>17</v>
      </c>
      <c r="E6007" s="84">
        <v>526.07000000000005</v>
      </c>
      <c r="F6007" s="83">
        <f t="shared" ca="1" si="256"/>
        <v>8943.19</v>
      </c>
    </row>
    <row r="6008" spans="1:10" ht="14.1" customHeight="1" x14ac:dyDescent="0.25">
      <c r="A6008" s="94" t="s">
        <v>3593</v>
      </c>
      <c r="B6008" s="82" t="str">
        <f ca="1">IFERROR(INDEX(UNSPSCDes,MATCH(INDIRECT(ADDRESS(ROW(),COLUMN()-1,4)),UNSPSCCode,0)),IF(INDIRECT(ADDRESS(ROW(),COLUMN()-1,4))="51181506","Insulina",""))</f>
        <v>Insulina</v>
      </c>
      <c r="C6008" s="95" t="str">
        <f>IFERROR(VLOOKUP("UD",'Informacion '!P:Q,2,FALSE),"")</f>
        <v>Unidad</v>
      </c>
      <c r="D6008" s="94">
        <v>975</v>
      </c>
      <c r="E6008" s="84">
        <v>190.81</v>
      </c>
      <c r="F6008" s="83">
        <f t="shared" ca="1" si="256"/>
        <v>186039.75</v>
      </c>
    </row>
    <row r="6009" spans="1:10" ht="14.1" customHeight="1" x14ac:dyDescent="0.25">
      <c r="A6009" s="94" t="s">
        <v>14327</v>
      </c>
      <c r="B6009" s="82" t="str">
        <f ca="1">IFERROR(INDEX(UNSPSCDes,MATCH(INDIRECT(ADDRESS(ROW(),COLUMN()-1,4)),UNSPSCCode,0)),IF(INDIRECT(ADDRESS(ROW(),COLUMN()-1,4))="51191902","Suplementos de amino ácidos",""))</f>
        <v>Suplementos de amino ácidos</v>
      </c>
      <c r="C6009" s="95" t="str">
        <f>IFERROR(VLOOKUP("UD",'Informacion '!P:Q,2,FALSE),"")</f>
        <v>Unidad</v>
      </c>
      <c r="D6009" s="94">
        <v>4</v>
      </c>
      <c r="E6009" s="84">
        <v>3720.23</v>
      </c>
      <c r="F6009" s="83">
        <f t="shared" ca="1" si="256"/>
        <v>14880.92</v>
      </c>
    </row>
    <row r="6010" spans="1:10" ht="14.1" customHeight="1" x14ac:dyDescent="0.25">
      <c r="A6010" s="94" t="s">
        <v>3155</v>
      </c>
      <c r="B6010" s="82" t="str">
        <f ca="1">IFERROR(INDEX(UNSPSCDes,MATCH(INDIRECT(ADDRESS(ROW(),COLUMN()-1,4)),UNSPSCCode,0)),IF(INDIRECT(ADDRESS(ROW(),COLUMN()-1,4))="12352202","Proteínas",""))</f>
        <v>Proteínas</v>
      </c>
      <c r="C6010" s="95" t="str">
        <f>IFERROR(VLOOKUP("UD",'Informacion '!P:Q,2,FALSE),"")</f>
        <v>Unidad</v>
      </c>
      <c r="D6010" s="94">
        <v>12</v>
      </c>
      <c r="E6010" s="84">
        <v>244.87</v>
      </c>
      <c r="F6010" s="83">
        <f t="shared" ca="1" si="256"/>
        <v>2938.44</v>
      </c>
    </row>
    <row r="6011" spans="1:10" ht="14.1" customHeight="1" x14ac:dyDescent="0.25">
      <c r="A6011" s="94" t="s">
        <v>3155</v>
      </c>
      <c r="B6011" s="82" t="str">
        <f ca="1">IFERROR(INDEX(UNSPSCDes,MATCH(INDIRECT(ADDRESS(ROW(),COLUMN()-1,4)),UNSPSCCode,0)),IF(INDIRECT(ADDRESS(ROW(),COLUMN()-1,4))="12352202","Proteínas",""))</f>
        <v>Proteínas</v>
      </c>
      <c r="C6011" s="95" t="str">
        <f>IFERROR(VLOOKUP("UD",'Informacion '!P:Q,2,FALSE),"")</f>
        <v>Unidad</v>
      </c>
      <c r="D6011" s="94">
        <v>78</v>
      </c>
      <c r="E6011" s="84">
        <v>129.72999999999999</v>
      </c>
      <c r="F6011" s="83">
        <f t="shared" ca="1" si="256"/>
        <v>10118.939999999999</v>
      </c>
    </row>
    <row r="6012" spans="1:10" ht="14.1" customHeight="1" x14ac:dyDescent="0.25">
      <c r="A6012" s="94" t="s">
        <v>3155</v>
      </c>
      <c r="B6012" s="82" t="str">
        <f ca="1">IFERROR(INDEX(UNSPSCDes,MATCH(INDIRECT(ADDRESS(ROW(),COLUMN()-1,4)),UNSPSCCode,0)),IF(INDIRECT(ADDRESS(ROW(),COLUMN()-1,4))="12352202","Proteínas",""))</f>
        <v>Proteínas</v>
      </c>
      <c r="C6012" s="95" t="str">
        <f>IFERROR(VLOOKUP("UD",'Informacion '!P:Q,2,FALSE),"")</f>
        <v>Unidad</v>
      </c>
      <c r="D6012" s="94">
        <v>699</v>
      </c>
      <c r="E6012" s="84">
        <v>120.34</v>
      </c>
      <c r="F6012" s="83">
        <f t="shared" ca="1" si="256"/>
        <v>84117.66</v>
      </c>
    </row>
    <row r="6013" spans="1:10" ht="14.1" customHeight="1" x14ac:dyDescent="0.25">
      <c r="A6013" s="94" t="s">
        <v>13280</v>
      </c>
      <c r="B6013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6013" s="95" t="str">
        <f>IFERROR(VLOOKUP("UD",'Informacion '!P:Q,2,FALSE),"")</f>
        <v>Unidad</v>
      </c>
      <c r="D6013" s="94">
        <v>244</v>
      </c>
      <c r="E6013" s="84">
        <v>150.91999999999999</v>
      </c>
      <c r="F6013" s="83">
        <f t="shared" ca="1" si="256"/>
        <v>36824.479999999996</v>
      </c>
    </row>
    <row r="6014" spans="1:10" ht="14.1" customHeight="1" x14ac:dyDescent="0.25">
      <c r="E6014" s="96" t="s">
        <v>7213</v>
      </c>
      <c r="F6014" s="87">
        <f ca="1">SUM(Table163[MONTO TOTAL ESTIMADO])</f>
        <v>430820.43999999994</v>
      </c>
      <c r="H6014" s="39" t="str">
        <f>C5997</f>
        <v>Bienes</v>
      </c>
      <c r="I6014" s="39" t="str">
        <f>E5997</f>
        <v>No</v>
      </c>
      <c r="J6014" s="39" t="str">
        <f>D5997</f>
        <v>Comparacion de Precios</v>
      </c>
    </row>
    <row r="6016" spans="1:10" ht="33.950000000000003" customHeight="1" x14ac:dyDescent="0.25">
      <c r="A6016" s="77" t="s">
        <v>17233</v>
      </c>
      <c r="B6016" s="77" t="s">
        <v>4237</v>
      </c>
      <c r="C6016" s="77" t="s">
        <v>4743</v>
      </c>
      <c r="D6016" s="77" t="s">
        <v>9891</v>
      </c>
      <c r="E6016" s="77" t="s">
        <v>3089</v>
      </c>
      <c r="F6016" s="77" t="s">
        <v>18141</v>
      </c>
    </row>
    <row r="6017" spans="1:6" ht="14.1" customHeight="1" x14ac:dyDescent="0.25">
      <c r="A6017" s="79" t="s">
        <v>1027</v>
      </c>
      <c r="B6017" s="79" t="s">
        <v>2182</v>
      </c>
      <c r="C6017" s="79" t="s">
        <v>17215</v>
      </c>
      <c r="D6017" s="79" t="s">
        <v>15249</v>
      </c>
      <c r="E6017" s="79" t="s">
        <v>18247</v>
      </c>
      <c r="F6017" s="79"/>
    </row>
    <row r="6018" spans="1:6" ht="14.1" customHeight="1" x14ac:dyDescent="0.25">
      <c r="A6018" s="2" t="s">
        <v>6643</v>
      </c>
      <c r="B6018" s="80" t="s">
        <v>1046</v>
      </c>
      <c r="C6018" s="90">
        <v>43647</v>
      </c>
      <c r="D6018" s="2" t="s">
        <v>59</v>
      </c>
      <c r="E6018" s="92" t="s">
        <v>20066</v>
      </c>
      <c r="F6018" s="93" t="s">
        <v>5684</v>
      </c>
    </row>
    <row r="6019" spans="1:6" ht="14.1" customHeight="1" x14ac:dyDescent="0.25">
      <c r="A6019" s="1"/>
      <c r="B6019" s="80" t="s">
        <v>10788</v>
      </c>
      <c r="C6019" s="91">
        <f>IF(C6018="","",IF(AND(MONTH(C6018)&gt;=1,MONTH(C6018)&lt;=3),1,IF(AND(MONTH(C6018)&gt;=4,MONTH(C6018)&lt;=6),2,IF(AND(MONTH(C6018)&gt;=7,MONTH(C6018)&lt;=9),3,4))))</f>
        <v>3</v>
      </c>
      <c r="D6019" s="1"/>
      <c r="E6019" s="92" t="s">
        <v>14822</v>
      </c>
      <c r="F6019" s="93"/>
    </row>
    <row r="6020" spans="1:6" ht="14.1" customHeight="1" x14ac:dyDescent="0.25">
      <c r="A6020" s="1"/>
      <c r="B6020" s="80" t="s">
        <v>13758</v>
      </c>
      <c r="C6020" s="90">
        <v>43738</v>
      </c>
      <c r="D6020" s="1"/>
      <c r="E6020" s="92" t="s">
        <v>18636</v>
      </c>
      <c r="F6020" s="93"/>
    </row>
    <row r="6021" spans="1:6" ht="14.1" customHeight="1" x14ac:dyDescent="0.25">
      <c r="A6021" s="1"/>
      <c r="B6021" s="80" t="s">
        <v>10788</v>
      </c>
      <c r="C6021" s="91">
        <f>IF(C6020="","",IF(AND(MONTH(C6020)&gt;=1,MONTH(C6020)&lt;=3),1,IF(AND(MONTH(C6020)&gt;=4,MONTH(C6020)&lt;=6),2,IF(AND(MONTH(C6020)&gt;=7,MONTH(C6020)&lt;=9),3,4))))</f>
        <v>3</v>
      </c>
      <c r="D6021" s="1"/>
      <c r="E6021" s="92" t="s">
        <v>15990</v>
      </c>
      <c r="F6021" s="93"/>
    </row>
    <row r="6023" spans="1:6" ht="14.1" customHeight="1" x14ac:dyDescent="0.25">
      <c r="A6023" s="85" t="s">
        <v>15474</v>
      </c>
      <c r="B6023" s="85" t="s">
        <v>5027</v>
      </c>
      <c r="C6023" s="85" t="s">
        <v>17461</v>
      </c>
      <c r="D6023" s="85" t="s">
        <v>3935</v>
      </c>
      <c r="E6023" s="85" t="s">
        <v>10722</v>
      </c>
      <c r="F6023" s="85" t="s">
        <v>18237</v>
      </c>
    </row>
    <row r="6024" spans="1:6" ht="14.1" customHeight="1" x14ac:dyDescent="0.25">
      <c r="A6024" s="94" t="s">
        <v>14879</v>
      </c>
      <c r="B6024" s="82" t="str">
        <f ca="1">IFERROR(INDEX(UNSPSCDes,MATCH(INDIRECT(ADDRESS(ROW(),COLUMN()-1,4)),UNSPSCCode,0)),IF(INDIRECT(ADDRESS(ROW(),COLUMN()-1,4))="51182401","Cloruro de calcio",""))</f>
        <v>Cloruro de calcio</v>
      </c>
      <c r="C6024" s="95" t="str">
        <f>IFERROR(VLOOKUP("UD",'Informacion '!P:Q,2,FALSE),"")</f>
        <v>Unidad</v>
      </c>
      <c r="D6024" s="94">
        <v>757</v>
      </c>
      <c r="E6024" s="84">
        <v>92.3</v>
      </c>
      <c r="F6024" s="83">
        <f t="shared" ref="F6024:F6033" ca="1" si="257">INDIRECT(ADDRESS(ROW(),COLUMN()-2,4))*INDIRECT(ADDRESS(ROW(),COLUMN()-1,4))</f>
        <v>69871.099999999991</v>
      </c>
    </row>
    <row r="6025" spans="1:6" ht="14.1" customHeight="1" x14ac:dyDescent="0.25">
      <c r="A6025" s="94" t="s">
        <v>391</v>
      </c>
      <c r="B6025" s="82" t="str">
        <f ca="1">IFERROR(INDEX(UNSPSCDes,MATCH(INDIRECT(ADDRESS(ROW(),COLUMN()-1,4)),UNSPSCCode,0)),IF(INDIRECT(ADDRESS(ROW(),COLUMN()-1,4))="51182403","Gluconato de calcio",""))</f>
        <v>Gluconato de calcio</v>
      </c>
      <c r="C6025" s="95" t="str">
        <f>IFERROR(VLOOKUP("UD",'Informacion '!P:Q,2,FALSE),"")</f>
        <v>Unidad</v>
      </c>
      <c r="D6025" s="94">
        <v>576</v>
      </c>
      <c r="E6025" s="84">
        <v>32.58</v>
      </c>
      <c r="F6025" s="83">
        <f t="shared" ca="1" si="257"/>
        <v>18766.079999999998</v>
      </c>
    </row>
    <row r="6026" spans="1:6" ht="14.1" customHeight="1" x14ac:dyDescent="0.25">
      <c r="A6026" s="94" t="s">
        <v>18917</v>
      </c>
      <c r="B6026" s="82" t="str">
        <f ca="1">IFERROR(INDEX(UNSPSCDes,MATCH(INDIRECT(ADDRESS(ROW(),COLUMN()-1,4)),UNSPSCCode,0)),IF(INDIRECT(ADDRESS(ROW(),COLUMN()-1,4))="11101511","Calcio",""))</f>
        <v>Calcio</v>
      </c>
      <c r="C6026" s="95" t="str">
        <f>IFERROR(VLOOKUP("UD",'Informacion '!P:Q,2,FALSE),"")</f>
        <v>Unidad</v>
      </c>
      <c r="D6026" s="94">
        <v>3</v>
      </c>
      <c r="E6026" s="84">
        <v>47.67</v>
      </c>
      <c r="F6026" s="83">
        <f t="shared" ca="1" si="257"/>
        <v>143.01</v>
      </c>
    </row>
    <row r="6027" spans="1:6" ht="14.1" customHeight="1" x14ac:dyDescent="0.25">
      <c r="A6027" s="94" t="s">
        <v>3155</v>
      </c>
      <c r="B6027" s="82" t="str">
        <f ca="1">IFERROR(INDEX(UNSPSCDes,MATCH(INDIRECT(ADDRESS(ROW(),COLUMN()-1,4)),UNSPSCCode,0)),IF(INDIRECT(ADDRESS(ROW(),COLUMN()-1,4))="12352202","Proteínas",""))</f>
        <v>Proteínas</v>
      </c>
      <c r="C6027" s="95" t="str">
        <f>IFERROR(VLOOKUP("UD",'Informacion '!P:Q,2,FALSE),"")</f>
        <v>Unidad</v>
      </c>
      <c r="D6027" s="94">
        <v>18</v>
      </c>
      <c r="E6027" s="84">
        <v>526.07000000000005</v>
      </c>
      <c r="F6027" s="83">
        <f t="shared" ca="1" si="257"/>
        <v>9469.26</v>
      </c>
    </row>
    <row r="6028" spans="1:6" ht="14.1" customHeight="1" x14ac:dyDescent="0.25">
      <c r="A6028" s="94" t="s">
        <v>3593</v>
      </c>
      <c r="B6028" s="82" t="str">
        <f ca="1">IFERROR(INDEX(UNSPSCDes,MATCH(INDIRECT(ADDRESS(ROW(),COLUMN()-1,4)),UNSPSCCode,0)),IF(INDIRECT(ADDRESS(ROW(),COLUMN()-1,4))="51181506","Insulina",""))</f>
        <v>Insulina</v>
      </c>
      <c r="C6028" s="95" t="str">
        <f>IFERROR(VLOOKUP("UD",'Informacion '!P:Q,2,FALSE),"")</f>
        <v>Unidad</v>
      </c>
      <c r="D6028" s="94">
        <v>995</v>
      </c>
      <c r="E6028" s="84">
        <v>190.81</v>
      </c>
      <c r="F6028" s="83">
        <f t="shared" ca="1" si="257"/>
        <v>189855.95</v>
      </c>
    </row>
    <row r="6029" spans="1:6" ht="14.1" customHeight="1" x14ac:dyDescent="0.25">
      <c r="A6029" s="94" t="s">
        <v>14327</v>
      </c>
      <c r="B6029" s="82" t="str">
        <f ca="1">IFERROR(INDEX(UNSPSCDes,MATCH(INDIRECT(ADDRESS(ROW(),COLUMN()-1,4)),UNSPSCCode,0)),IF(INDIRECT(ADDRESS(ROW(),COLUMN()-1,4))="51191902","Suplementos de amino ácidos",""))</f>
        <v>Suplementos de amino ácidos</v>
      </c>
      <c r="C6029" s="95" t="str">
        <f>IFERROR(VLOOKUP("UD",'Informacion '!P:Q,2,FALSE),"")</f>
        <v>Unidad</v>
      </c>
      <c r="D6029" s="94">
        <v>5</v>
      </c>
      <c r="E6029" s="84">
        <v>3720.23</v>
      </c>
      <c r="F6029" s="83">
        <f t="shared" ca="1" si="257"/>
        <v>18601.150000000001</v>
      </c>
    </row>
    <row r="6030" spans="1:6" ht="14.1" customHeight="1" x14ac:dyDescent="0.25">
      <c r="A6030" s="94" t="s">
        <v>3155</v>
      </c>
      <c r="B6030" s="82" t="str">
        <f ca="1">IFERROR(INDEX(UNSPSCDes,MATCH(INDIRECT(ADDRESS(ROW(),COLUMN()-1,4)),UNSPSCCode,0)),IF(INDIRECT(ADDRESS(ROW(),COLUMN()-1,4))="12352202","Proteínas",""))</f>
        <v>Proteínas</v>
      </c>
      <c r="C6030" s="95" t="str">
        <f>IFERROR(VLOOKUP("UD",'Informacion '!P:Q,2,FALSE),"")</f>
        <v>Unidad</v>
      </c>
      <c r="D6030" s="94">
        <v>13</v>
      </c>
      <c r="E6030" s="84">
        <v>244.87</v>
      </c>
      <c r="F6030" s="83">
        <f t="shared" ca="1" si="257"/>
        <v>3183.31</v>
      </c>
    </row>
    <row r="6031" spans="1:6" ht="14.1" customHeight="1" x14ac:dyDescent="0.25">
      <c r="A6031" s="94" t="s">
        <v>3155</v>
      </c>
      <c r="B6031" s="82" t="str">
        <f ca="1">IFERROR(INDEX(UNSPSCDes,MATCH(INDIRECT(ADDRESS(ROW(),COLUMN()-1,4)),UNSPSCCode,0)),IF(INDIRECT(ADDRESS(ROW(),COLUMN()-1,4))="12352202","Proteínas",""))</f>
        <v>Proteínas</v>
      </c>
      <c r="C6031" s="95" t="str">
        <f>IFERROR(VLOOKUP("UD",'Informacion '!P:Q,2,FALSE),"")</f>
        <v>Unidad</v>
      </c>
      <c r="D6031" s="94">
        <v>80</v>
      </c>
      <c r="E6031" s="84">
        <v>129.72999999999999</v>
      </c>
      <c r="F6031" s="83">
        <f t="shared" ca="1" si="257"/>
        <v>10378.4</v>
      </c>
    </row>
    <row r="6032" spans="1:6" ht="14.1" customHeight="1" x14ac:dyDescent="0.25">
      <c r="A6032" s="94" t="s">
        <v>3155</v>
      </c>
      <c r="B6032" s="82" t="str">
        <f ca="1">IFERROR(INDEX(UNSPSCDes,MATCH(INDIRECT(ADDRESS(ROW(),COLUMN()-1,4)),UNSPSCCode,0)),IF(INDIRECT(ADDRESS(ROW(),COLUMN()-1,4))="12352202","Proteínas",""))</f>
        <v>Proteínas</v>
      </c>
      <c r="C6032" s="95" t="str">
        <f>IFERROR(VLOOKUP("UD",'Informacion '!P:Q,2,FALSE),"")</f>
        <v>Unidad</v>
      </c>
      <c r="D6032" s="94">
        <v>713</v>
      </c>
      <c r="E6032" s="84">
        <v>120.34</v>
      </c>
      <c r="F6032" s="83">
        <f t="shared" ca="1" si="257"/>
        <v>85802.42</v>
      </c>
    </row>
    <row r="6033" spans="1:10" ht="14.1" customHeight="1" x14ac:dyDescent="0.25">
      <c r="A6033" s="94" t="s">
        <v>13280</v>
      </c>
      <c r="B6033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6033" s="95" t="str">
        <f>IFERROR(VLOOKUP("UD",'Informacion '!P:Q,2,FALSE),"")</f>
        <v>Unidad</v>
      </c>
      <c r="D6033" s="94">
        <v>249</v>
      </c>
      <c r="E6033" s="84">
        <v>150.91999999999999</v>
      </c>
      <c r="F6033" s="83">
        <f t="shared" ca="1" si="257"/>
        <v>37579.079999999994</v>
      </c>
    </row>
    <row r="6034" spans="1:10" ht="14.1" customHeight="1" x14ac:dyDescent="0.25">
      <c r="E6034" s="96" t="s">
        <v>7213</v>
      </c>
      <c r="F6034" s="87">
        <f ca="1">SUM(Table164[MONTO TOTAL ESTIMADO])</f>
        <v>443649.76000000007</v>
      </c>
      <c r="H6034" s="39" t="str">
        <f>C6017</f>
        <v>Bienes</v>
      </c>
      <c r="I6034" s="39" t="str">
        <f>E6017</f>
        <v>No</v>
      </c>
      <c r="J6034" s="39" t="str">
        <f>D6017</f>
        <v>Comparacion de Precios</v>
      </c>
    </row>
    <row r="6036" spans="1:10" ht="33.950000000000003" customHeight="1" x14ac:dyDescent="0.25">
      <c r="A6036" s="77" t="s">
        <v>17233</v>
      </c>
      <c r="B6036" s="77" t="s">
        <v>4237</v>
      </c>
      <c r="C6036" s="77" t="s">
        <v>4743</v>
      </c>
      <c r="D6036" s="77" t="s">
        <v>9891</v>
      </c>
      <c r="E6036" s="77" t="s">
        <v>3089</v>
      </c>
      <c r="F6036" s="77" t="s">
        <v>18141</v>
      </c>
    </row>
    <row r="6037" spans="1:10" ht="14.1" customHeight="1" x14ac:dyDescent="0.25">
      <c r="A6037" s="79" t="s">
        <v>19764</v>
      </c>
      <c r="B6037" s="79" t="s">
        <v>2182</v>
      </c>
      <c r="C6037" s="79" t="s">
        <v>17215</v>
      </c>
      <c r="D6037" s="79" t="s">
        <v>15249</v>
      </c>
      <c r="E6037" s="79" t="s">
        <v>18247</v>
      </c>
      <c r="F6037" s="79"/>
    </row>
    <row r="6038" spans="1:10" ht="14.1" customHeight="1" x14ac:dyDescent="0.25">
      <c r="A6038" s="2" t="s">
        <v>6643</v>
      </c>
      <c r="B6038" s="80" t="s">
        <v>1046</v>
      </c>
      <c r="C6038" s="90">
        <v>43739</v>
      </c>
      <c r="D6038" s="2" t="s">
        <v>59</v>
      </c>
      <c r="E6038" s="92" t="s">
        <v>20066</v>
      </c>
      <c r="F6038" s="93" t="s">
        <v>5684</v>
      </c>
    </row>
    <row r="6039" spans="1:10" ht="14.1" customHeight="1" x14ac:dyDescent="0.25">
      <c r="A6039" s="1"/>
      <c r="B6039" s="80" t="s">
        <v>10788</v>
      </c>
      <c r="C6039" s="91">
        <f>IF(C6038="","",IF(AND(MONTH(C6038)&gt;=1,MONTH(C6038)&lt;=3),1,IF(AND(MONTH(C6038)&gt;=4,MONTH(C6038)&lt;=6),2,IF(AND(MONTH(C6038)&gt;=7,MONTH(C6038)&lt;=9),3,4))))</f>
        <v>4</v>
      </c>
      <c r="D6039" s="1"/>
      <c r="E6039" s="92" t="s">
        <v>14822</v>
      </c>
      <c r="F6039" s="93"/>
    </row>
    <row r="6040" spans="1:10" ht="14.1" customHeight="1" x14ac:dyDescent="0.25">
      <c r="A6040" s="1"/>
      <c r="B6040" s="80" t="s">
        <v>13758</v>
      </c>
      <c r="C6040" s="90">
        <v>43830</v>
      </c>
      <c r="D6040" s="1"/>
      <c r="E6040" s="92" t="s">
        <v>18636</v>
      </c>
      <c r="F6040" s="93"/>
    </row>
    <row r="6041" spans="1:10" ht="14.1" customHeight="1" x14ac:dyDescent="0.25">
      <c r="A6041" s="1"/>
      <c r="B6041" s="80" t="s">
        <v>10788</v>
      </c>
      <c r="C6041" s="91">
        <f>IF(C6040="","",IF(AND(MONTH(C6040)&gt;=1,MONTH(C6040)&lt;=3),1,IF(AND(MONTH(C6040)&gt;=4,MONTH(C6040)&lt;=6),2,IF(AND(MONTH(C6040)&gt;=7,MONTH(C6040)&lt;=9),3,4))))</f>
        <v>4</v>
      </c>
      <c r="D6041" s="1"/>
      <c r="E6041" s="92" t="s">
        <v>15990</v>
      </c>
      <c r="F6041" s="93"/>
    </row>
    <row r="6043" spans="1:10" ht="14.1" customHeight="1" x14ac:dyDescent="0.25">
      <c r="A6043" s="85" t="s">
        <v>15474</v>
      </c>
      <c r="B6043" s="85" t="s">
        <v>5027</v>
      </c>
      <c r="C6043" s="85" t="s">
        <v>17461</v>
      </c>
      <c r="D6043" s="85" t="s">
        <v>3935</v>
      </c>
      <c r="E6043" s="85" t="s">
        <v>10722</v>
      </c>
      <c r="F6043" s="85" t="s">
        <v>18237</v>
      </c>
    </row>
    <row r="6044" spans="1:10" ht="14.1" customHeight="1" x14ac:dyDescent="0.25">
      <c r="A6044" s="94" t="s">
        <v>14879</v>
      </c>
      <c r="B6044" s="82" t="str">
        <f ca="1">IFERROR(INDEX(UNSPSCDes,MATCH(INDIRECT(ADDRESS(ROW(),COLUMN()-1,4)),UNSPSCCode,0)),IF(INDIRECT(ADDRESS(ROW(),COLUMN()-1,4))="51182401","Cloruro de calcio",""))</f>
        <v>Cloruro de calcio</v>
      </c>
      <c r="C6044" s="95" t="str">
        <f>IFERROR(VLOOKUP("UD",'Informacion '!P:Q,2,FALSE),"")</f>
        <v>Unidad</v>
      </c>
      <c r="D6044" s="94">
        <v>773</v>
      </c>
      <c r="E6044" s="84">
        <v>92.3</v>
      </c>
      <c r="F6044" s="83">
        <f t="shared" ref="F6044:F6053" ca="1" si="258">INDIRECT(ADDRESS(ROW(),COLUMN()-2,4))*INDIRECT(ADDRESS(ROW(),COLUMN()-1,4))</f>
        <v>71347.899999999994</v>
      </c>
    </row>
    <row r="6045" spans="1:10" ht="14.1" customHeight="1" x14ac:dyDescent="0.25">
      <c r="A6045" s="94" t="s">
        <v>391</v>
      </c>
      <c r="B6045" s="82" t="str">
        <f ca="1">IFERROR(INDEX(UNSPSCDes,MATCH(INDIRECT(ADDRESS(ROW(),COLUMN()-1,4)),UNSPSCCode,0)),IF(INDIRECT(ADDRESS(ROW(),COLUMN()-1,4))="51182403","Gluconato de calcio",""))</f>
        <v>Gluconato de calcio</v>
      </c>
      <c r="C6045" s="95" t="str">
        <f>IFERROR(VLOOKUP("UD",'Informacion '!P:Q,2,FALSE),"")</f>
        <v>Unidad</v>
      </c>
      <c r="D6045" s="94">
        <v>588</v>
      </c>
      <c r="E6045" s="84">
        <v>32.58</v>
      </c>
      <c r="F6045" s="83">
        <f t="shared" ca="1" si="258"/>
        <v>19157.039999999997</v>
      </c>
    </row>
    <row r="6046" spans="1:10" ht="14.1" customHeight="1" x14ac:dyDescent="0.25">
      <c r="A6046" s="94" t="s">
        <v>18917</v>
      </c>
      <c r="B6046" s="82" t="str">
        <f ca="1">IFERROR(INDEX(UNSPSCDes,MATCH(INDIRECT(ADDRESS(ROW(),COLUMN()-1,4)),UNSPSCCode,0)),IF(INDIRECT(ADDRESS(ROW(),COLUMN()-1,4))="11101511","Calcio",""))</f>
        <v>Calcio</v>
      </c>
      <c r="C6046" s="95" t="str">
        <f>IFERROR(VLOOKUP("UD",'Informacion '!P:Q,2,FALSE),"")</f>
        <v>Unidad</v>
      </c>
      <c r="D6046" s="94">
        <v>4</v>
      </c>
      <c r="E6046" s="84">
        <v>47.67</v>
      </c>
      <c r="F6046" s="83">
        <f t="shared" ca="1" si="258"/>
        <v>190.68</v>
      </c>
    </row>
    <row r="6047" spans="1:10" ht="14.1" customHeight="1" x14ac:dyDescent="0.25">
      <c r="A6047" s="94" t="s">
        <v>3155</v>
      </c>
      <c r="B6047" s="82" t="str">
        <f ca="1">IFERROR(INDEX(UNSPSCDes,MATCH(INDIRECT(ADDRESS(ROW(),COLUMN()-1,4)),UNSPSCCode,0)),IF(INDIRECT(ADDRESS(ROW(),COLUMN()-1,4))="12352202","Proteínas",""))</f>
        <v>Proteínas</v>
      </c>
      <c r="C6047" s="95" t="str">
        <f>IFERROR(VLOOKUP("UD",'Informacion '!P:Q,2,FALSE),"")</f>
        <v>Unidad</v>
      </c>
      <c r="D6047" s="94">
        <v>39</v>
      </c>
      <c r="E6047" s="84">
        <v>526.07000000000005</v>
      </c>
      <c r="F6047" s="83">
        <f t="shared" ca="1" si="258"/>
        <v>20516.730000000003</v>
      </c>
    </row>
    <row r="6048" spans="1:10" ht="14.1" customHeight="1" x14ac:dyDescent="0.25">
      <c r="A6048" s="94" t="s">
        <v>3593</v>
      </c>
      <c r="B6048" s="82" t="str">
        <f ca="1">IFERROR(INDEX(UNSPSCDes,MATCH(INDIRECT(ADDRESS(ROW(),COLUMN()-1,4)),UNSPSCCode,0)),IF(INDIRECT(ADDRESS(ROW(),COLUMN()-1,4))="51181506","Insulina",""))</f>
        <v>Insulina</v>
      </c>
      <c r="C6048" s="95" t="str">
        <f>IFERROR(VLOOKUP("UD",'Informacion '!P:Q,2,FALSE),"")</f>
        <v>Unidad</v>
      </c>
      <c r="D6048" s="94">
        <v>1015</v>
      </c>
      <c r="E6048" s="84">
        <v>190.81</v>
      </c>
      <c r="F6048" s="83">
        <f t="shared" ca="1" si="258"/>
        <v>193672.15</v>
      </c>
    </row>
    <row r="6049" spans="1:10" ht="14.1" customHeight="1" x14ac:dyDescent="0.25">
      <c r="A6049" s="94" t="s">
        <v>14327</v>
      </c>
      <c r="B6049" s="82" t="str">
        <f ca="1">IFERROR(INDEX(UNSPSCDes,MATCH(INDIRECT(ADDRESS(ROW(),COLUMN()-1,4)),UNSPSCCode,0)),IF(INDIRECT(ADDRESS(ROW(),COLUMN()-1,4))="51191902","Suplementos de amino ácidos",""))</f>
        <v>Suplementos de amino ácidos</v>
      </c>
      <c r="C6049" s="95" t="str">
        <f>IFERROR(VLOOKUP("UD",'Informacion '!P:Q,2,FALSE),"")</f>
        <v>Unidad</v>
      </c>
      <c r="D6049" s="94">
        <v>6</v>
      </c>
      <c r="E6049" s="84">
        <v>3720.23</v>
      </c>
      <c r="F6049" s="83">
        <f t="shared" ca="1" si="258"/>
        <v>22321.38</v>
      </c>
    </row>
    <row r="6050" spans="1:10" ht="14.1" customHeight="1" x14ac:dyDescent="0.25">
      <c r="A6050" s="94" t="s">
        <v>3155</v>
      </c>
      <c r="B6050" s="82" t="str">
        <f ca="1">IFERROR(INDEX(UNSPSCDes,MATCH(INDIRECT(ADDRESS(ROW(),COLUMN()-1,4)),UNSPSCCode,0)),IF(INDIRECT(ADDRESS(ROW(),COLUMN()-1,4))="12352202","Proteínas",""))</f>
        <v>Proteínas</v>
      </c>
      <c r="C6050" s="95" t="str">
        <f>IFERROR(VLOOKUP("UD",'Informacion '!P:Q,2,FALSE),"")</f>
        <v>Unidad</v>
      </c>
      <c r="D6050" s="94">
        <v>14</v>
      </c>
      <c r="E6050" s="84">
        <v>244.87</v>
      </c>
      <c r="F6050" s="83">
        <f t="shared" ca="1" si="258"/>
        <v>3428.1800000000003</v>
      </c>
    </row>
    <row r="6051" spans="1:10" ht="14.1" customHeight="1" x14ac:dyDescent="0.25">
      <c r="A6051" s="94" t="s">
        <v>3155</v>
      </c>
      <c r="B6051" s="82" t="str">
        <f ca="1">IFERROR(INDEX(UNSPSCDes,MATCH(INDIRECT(ADDRESS(ROW(),COLUMN()-1,4)),UNSPSCCode,0)),IF(INDIRECT(ADDRESS(ROW(),COLUMN()-1,4))="12352202","Proteínas",""))</f>
        <v>Proteínas</v>
      </c>
      <c r="C6051" s="95" t="str">
        <f>IFERROR(VLOOKUP("UD",'Informacion '!P:Q,2,FALSE),"")</f>
        <v>Unidad</v>
      </c>
      <c r="D6051" s="94">
        <v>82</v>
      </c>
      <c r="E6051" s="84">
        <v>129.72999999999999</v>
      </c>
      <c r="F6051" s="83">
        <f t="shared" ca="1" si="258"/>
        <v>10637.859999999999</v>
      </c>
    </row>
    <row r="6052" spans="1:10" ht="14.1" customHeight="1" x14ac:dyDescent="0.25">
      <c r="A6052" s="94" t="s">
        <v>3155</v>
      </c>
      <c r="B6052" s="82" t="str">
        <f ca="1">IFERROR(INDEX(UNSPSCDes,MATCH(INDIRECT(ADDRESS(ROW(),COLUMN()-1,4)),UNSPSCCode,0)),IF(INDIRECT(ADDRESS(ROW(),COLUMN()-1,4))="12352202","Proteínas",""))</f>
        <v>Proteínas</v>
      </c>
      <c r="C6052" s="95" t="str">
        <f>IFERROR(VLOOKUP("UD",'Informacion '!P:Q,2,FALSE),"")</f>
        <v>Unidad</v>
      </c>
      <c r="D6052" s="94">
        <v>728</v>
      </c>
      <c r="E6052" s="84">
        <v>120.34</v>
      </c>
      <c r="F6052" s="83">
        <f t="shared" ca="1" si="258"/>
        <v>87607.52</v>
      </c>
    </row>
    <row r="6053" spans="1:10" ht="14.1" customHeight="1" x14ac:dyDescent="0.25">
      <c r="A6053" s="94" t="s">
        <v>13280</v>
      </c>
      <c r="B6053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6053" s="95" t="str">
        <f>IFERROR(VLOOKUP("UD",'Informacion '!P:Q,2,FALSE),"")</f>
        <v>Unidad</v>
      </c>
      <c r="D6053" s="94">
        <v>254</v>
      </c>
      <c r="E6053" s="84">
        <v>150.91999999999999</v>
      </c>
      <c r="F6053" s="83">
        <f t="shared" ca="1" si="258"/>
        <v>38333.68</v>
      </c>
    </row>
    <row r="6054" spans="1:10" ht="14.1" customHeight="1" x14ac:dyDescent="0.25">
      <c r="E6054" s="96" t="s">
        <v>7213</v>
      </c>
      <c r="F6054" s="87">
        <f ca="1">SUM(Table165[MONTO TOTAL ESTIMADO])</f>
        <v>467213.12</v>
      </c>
      <c r="H6054" s="39" t="str">
        <f>C6037</f>
        <v>Bienes</v>
      </c>
      <c r="I6054" s="39" t="str">
        <f>E6037</f>
        <v>No</v>
      </c>
      <c r="J6054" s="39" t="str">
        <f>D6037</f>
        <v>Comparacion de Precios</v>
      </c>
    </row>
    <row r="6056" spans="1:10" ht="33.950000000000003" customHeight="1" x14ac:dyDescent="0.25">
      <c r="A6056" s="77" t="s">
        <v>17233</v>
      </c>
      <c r="B6056" s="77" t="s">
        <v>4237</v>
      </c>
      <c r="C6056" s="77" t="s">
        <v>4743</v>
      </c>
      <c r="D6056" s="77" t="s">
        <v>9891</v>
      </c>
      <c r="E6056" s="77" t="s">
        <v>3089</v>
      </c>
      <c r="F6056" s="77" t="s">
        <v>18141</v>
      </c>
    </row>
    <row r="6057" spans="1:10" ht="14.1" customHeight="1" x14ac:dyDescent="0.25">
      <c r="A6057" s="79" t="s">
        <v>19988</v>
      </c>
      <c r="B6057" s="79" t="s">
        <v>2182</v>
      </c>
      <c r="C6057" s="79" t="s">
        <v>17215</v>
      </c>
      <c r="D6057" s="79" t="s">
        <v>15249</v>
      </c>
      <c r="E6057" s="79" t="s">
        <v>18247</v>
      </c>
      <c r="F6057" s="79"/>
    </row>
    <row r="6058" spans="1:10" ht="14.1" customHeight="1" x14ac:dyDescent="0.25">
      <c r="A6058" s="2" t="s">
        <v>6643</v>
      </c>
      <c r="B6058" s="80" t="s">
        <v>1046</v>
      </c>
      <c r="C6058" s="90">
        <v>43469</v>
      </c>
      <c r="D6058" s="2" t="s">
        <v>59</v>
      </c>
      <c r="E6058" s="92" t="s">
        <v>20066</v>
      </c>
      <c r="F6058" s="93" t="s">
        <v>5684</v>
      </c>
    </row>
    <row r="6059" spans="1:10" ht="14.1" customHeight="1" x14ac:dyDescent="0.25">
      <c r="A6059" s="1"/>
      <c r="B6059" s="80" t="s">
        <v>10788</v>
      </c>
      <c r="C6059" s="91">
        <f>IF(C6058="","",IF(AND(MONTH(C6058)&gt;=1,MONTH(C6058)&lt;=3),1,IF(AND(MONTH(C6058)&gt;=4,MONTH(C6058)&lt;=6),2,IF(AND(MONTH(C6058)&gt;=7,MONTH(C6058)&lt;=9),3,4))))</f>
        <v>1</v>
      </c>
      <c r="D6059" s="1"/>
      <c r="E6059" s="92" t="s">
        <v>14822</v>
      </c>
      <c r="F6059" s="93"/>
    </row>
    <row r="6060" spans="1:10" ht="14.1" customHeight="1" x14ac:dyDescent="0.25">
      <c r="A6060" s="1"/>
      <c r="B6060" s="80" t="s">
        <v>13758</v>
      </c>
      <c r="C6060" s="90">
        <v>43554</v>
      </c>
      <c r="D6060" s="1"/>
      <c r="E6060" s="92" t="s">
        <v>18636</v>
      </c>
      <c r="F6060" s="93"/>
    </row>
    <row r="6061" spans="1:10" ht="14.1" customHeight="1" x14ac:dyDescent="0.25">
      <c r="A6061" s="1"/>
      <c r="B6061" s="80" t="s">
        <v>10788</v>
      </c>
      <c r="C6061" s="91">
        <f>IF(C6060="","",IF(AND(MONTH(C6060)&gt;=1,MONTH(C6060)&lt;=3),1,IF(AND(MONTH(C6060)&gt;=4,MONTH(C6060)&lt;=6),2,IF(AND(MONTH(C6060)&gt;=7,MONTH(C6060)&lt;=9),3,4))))</f>
        <v>1</v>
      </c>
      <c r="D6061" s="1"/>
      <c r="E6061" s="92" t="s">
        <v>15990</v>
      </c>
      <c r="F6061" s="93"/>
    </row>
    <row r="6063" spans="1:10" ht="14.1" customHeight="1" x14ac:dyDescent="0.25">
      <c r="A6063" s="85" t="s">
        <v>15474</v>
      </c>
      <c r="B6063" s="85" t="s">
        <v>5027</v>
      </c>
      <c r="C6063" s="85" t="s">
        <v>17461</v>
      </c>
      <c r="D6063" s="85" t="s">
        <v>3935</v>
      </c>
      <c r="E6063" s="85" t="s">
        <v>10722</v>
      </c>
      <c r="F6063" s="85" t="s">
        <v>18237</v>
      </c>
    </row>
    <row r="6064" spans="1:10" ht="14.1" customHeight="1" x14ac:dyDescent="0.25">
      <c r="A6064" s="94" t="s">
        <v>7911</v>
      </c>
      <c r="B6064" s="82" t="str">
        <f ca="1">IFERROR(INDEX(UNSPSCDes,MATCH(INDIRECT(ADDRESS(ROW(),COLUMN()-1,4)),UNSPSCCode,0)),IF(INDIRECT(ADDRESS(ROW(),COLUMN()-1,4))="51151727","Norepinefrina bitartrato",""))</f>
        <v>Norepinefrina bitartrato</v>
      </c>
      <c r="C6064" s="95" t="str">
        <f>IFERROR(VLOOKUP("UD",'Informacion '!P:Q,2,FALSE),"")</f>
        <v>Unidad</v>
      </c>
      <c r="D6064" s="94">
        <v>196</v>
      </c>
      <c r="E6064" s="84">
        <v>575.6</v>
      </c>
      <c r="F6064" s="83">
        <f ca="1">INDIRECT(ADDRESS(ROW(),COLUMN()-2,4))*INDIRECT(ADDRESS(ROW(),COLUMN()-1,4))</f>
        <v>112817.60000000001</v>
      </c>
    </row>
    <row r="6065" spans="1:10" ht="14.1" customHeight="1" x14ac:dyDescent="0.25">
      <c r="A6065" s="94" t="s">
        <v>7911</v>
      </c>
      <c r="B6065" s="82" t="str">
        <f ca="1">IFERROR(INDEX(UNSPSCDes,MATCH(INDIRECT(ADDRESS(ROW(),COLUMN()-1,4)),UNSPSCCode,0)),IF(INDIRECT(ADDRESS(ROW(),COLUMN()-1,4))="51151727","Norepinefrina bitartrato",""))</f>
        <v>Norepinefrina bitartrato</v>
      </c>
      <c r="C6065" s="95" t="str">
        <f>IFERROR(VLOOKUP("UD",'Informacion '!P:Q,2,FALSE),"")</f>
        <v>Unidad</v>
      </c>
      <c r="D6065" s="94">
        <v>524</v>
      </c>
      <c r="E6065" s="84">
        <v>439.44</v>
      </c>
      <c r="F6065" s="83">
        <f ca="1">INDIRECT(ADDRESS(ROW(),COLUMN()-2,4))*INDIRECT(ADDRESS(ROW(),COLUMN()-1,4))</f>
        <v>230266.56</v>
      </c>
    </row>
    <row r="6066" spans="1:10" ht="14.1" customHeight="1" x14ac:dyDescent="0.25">
      <c r="A6066" s="94" t="s">
        <v>7911</v>
      </c>
      <c r="B6066" s="82" t="str">
        <f ca="1">IFERROR(INDEX(UNSPSCDes,MATCH(INDIRECT(ADDRESS(ROW(),COLUMN()-1,4)),UNSPSCCode,0)),IF(INDIRECT(ADDRESS(ROW(),COLUMN()-1,4))="51151727","Norepinefrina bitartrato",""))</f>
        <v>Norepinefrina bitartrato</v>
      </c>
      <c r="C6066" s="95" t="str">
        <f>IFERROR(VLOOKUP("UD",'Informacion '!P:Q,2,FALSE),"")</f>
        <v>Unidad</v>
      </c>
      <c r="D6066" s="94">
        <v>717</v>
      </c>
      <c r="E6066" s="84">
        <v>250</v>
      </c>
      <c r="F6066" s="83">
        <f ca="1">INDIRECT(ADDRESS(ROW(),COLUMN()-2,4))*INDIRECT(ADDRESS(ROW(),COLUMN()-1,4))</f>
        <v>179250</v>
      </c>
    </row>
    <row r="6067" spans="1:10" ht="14.1" customHeight="1" x14ac:dyDescent="0.25">
      <c r="E6067" s="96" t="s">
        <v>7213</v>
      </c>
      <c r="F6067" s="87">
        <f ca="1">SUM(Table166[MONTO TOTAL ESTIMADO])</f>
        <v>522334.16000000003</v>
      </c>
      <c r="H6067" s="39" t="str">
        <f>C6057</f>
        <v>Bienes</v>
      </c>
      <c r="I6067" s="39" t="str">
        <f>E6057</f>
        <v>No</v>
      </c>
      <c r="J6067" s="39" t="str">
        <f>D6057</f>
        <v>Comparacion de Precios</v>
      </c>
    </row>
    <row r="6069" spans="1:10" ht="33.950000000000003" customHeight="1" x14ac:dyDescent="0.25">
      <c r="A6069" s="77" t="s">
        <v>17233</v>
      </c>
      <c r="B6069" s="77" t="s">
        <v>4237</v>
      </c>
      <c r="C6069" s="77" t="s">
        <v>4743</v>
      </c>
      <c r="D6069" s="77" t="s">
        <v>9891</v>
      </c>
      <c r="E6069" s="77" t="s">
        <v>3089</v>
      </c>
      <c r="F6069" s="77" t="s">
        <v>18141</v>
      </c>
    </row>
    <row r="6070" spans="1:10" ht="14.1" customHeight="1" x14ac:dyDescent="0.25">
      <c r="A6070" s="79" t="s">
        <v>14748</v>
      </c>
      <c r="B6070" s="79" t="s">
        <v>2182</v>
      </c>
      <c r="C6070" s="79" t="s">
        <v>17215</v>
      </c>
      <c r="D6070" s="79" t="s">
        <v>15249</v>
      </c>
      <c r="E6070" s="79" t="s">
        <v>18247</v>
      </c>
      <c r="F6070" s="79"/>
    </row>
    <row r="6071" spans="1:10" ht="14.1" customHeight="1" x14ac:dyDescent="0.25">
      <c r="A6071" s="2" t="s">
        <v>6643</v>
      </c>
      <c r="B6071" s="80" t="s">
        <v>1046</v>
      </c>
      <c r="C6071" s="90">
        <v>43556</v>
      </c>
      <c r="D6071" s="2" t="s">
        <v>59</v>
      </c>
      <c r="E6071" s="92" t="s">
        <v>20066</v>
      </c>
      <c r="F6071" s="93" t="s">
        <v>5684</v>
      </c>
    </row>
    <row r="6072" spans="1:10" ht="14.1" customHeight="1" x14ac:dyDescent="0.25">
      <c r="A6072" s="1"/>
      <c r="B6072" s="80" t="s">
        <v>10788</v>
      </c>
      <c r="C6072" s="91">
        <f>IF(C6071="","",IF(AND(MONTH(C6071)&gt;=1,MONTH(C6071)&lt;=3),1,IF(AND(MONTH(C6071)&gt;=4,MONTH(C6071)&lt;=6),2,IF(AND(MONTH(C6071)&gt;=7,MONTH(C6071)&lt;=9),3,4))))</f>
        <v>2</v>
      </c>
      <c r="D6072" s="1"/>
      <c r="E6072" s="92" t="s">
        <v>14822</v>
      </c>
      <c r="F6072" s="93"/>
    </row>
    <row r="6073" spans="1:10" ht="14.1" customHeight="1" x14ac:dyDescent="0.25">
      <c r="A6073" s="1"/>
      <c r="B6073" s="80" t="s">
        <v>13758</v>
      </c>
      <c r="C6073" s="90">
        <v>43645</v>
      </c>
      <c r="D6073" s="1"/>
      <c r="E6073" s="92" t="s">
        <v>18636</v>
      </c>
      <c r="F6073" s="93"/>
    </row>
    <row r="6074" spans="1:10" ht="14.1" customHeight="1" x14ac:dyDescent="0.25">
      <c r="A6074" s="1"/>
      <c r="B6074" s="80" t="s">
        <v>10788</v>
      </c>
      <c r="C6074" s="91">
        <f>IF(C6073="","",IF(AND(MONTH(C6073)&gt;=1,MONTH(C6073)&lt;=3),1,IF(AND(MONTH(C6073)&gt;=4,MONTH(C6073)&lt;=6),2,IF(AND(MONTH(C6073)&gt;=7,MONTH(C6073)&lt;=9),3,4))))</f>
        <v>2</v>
      </c>
      <c r="D6074" s="1"/>
      <c r="E6074" s="92" t="s">
        <v>15990</v>
      </c>
      <c r="F6074" s="93"/>
    </row>
    <row r="6076" spans="1:10" ht="14.1" customHeight="1" x14ac:dyDescent="0.25">
      <c r="A6076" s="85" t="s">
        <v>15474</v>
      </c>
      <c r="B6076" s="85" t="s">
        <v>5027</v>
      </c>
      <c r="C6076" s="85" t="s">
        <v>17461</v>
      </c>
      <c r="D6076" s="85" t="s">
        <v>3935</v>
      </c>
      <c r="E6076" s="85" t="s">
        <v>10722</v>
      </c>
      <c r="F6076" s="85" t="s">
        <v>18237</v>
      </c>
    </row>
    <row r="6077" spans="1:10" ht="14.1" customHeight="1" x14ac:dyDescent="0.25">
      <c r="A6077" s="94" t="s">
        <v>7911</v>
      </c>
      <c r="B6077" s="82" t="str">
        <f ca="1">IFERROR(INDEX(UNSPSCDes,MATCH(INDIRECT(ADDRESS(ROW(),COLUMN()-1,4)),UNSPSCCode,0)),IF(INDIRECT(ADDRESS(ROW(),COLUMN()-1,4))="51151727","Norepinefrina bitartrato",""))</f>
        <v>Norepinefrina bitartrato</v>
      </c>
      <c r="C6077" s="95" t="str">
        <f>IFERROR(VLOOKUP("UD",'Informacion '!P:Q,2,FALSE),"")</f>
        <v>Unidad</v>
      </c>
      <c r="D6077" s="94">
        <v>200</v>
      </c>
      <c r="E6077" s="84">
        <v>575.6</v>
      </c>
      <c r="F6077" s="83">
        <f ca="1">INDIRECT(ADDRESS(ROW(),COLUMN()-2,4))*INDIRECT(ADDRESS(ROW(),COLUMN()-1,4))</f>
        <v>115120</v>
      </c>
    </row>
    <row r="6078" spans="1:10" ht="14.1" customHeight="1" x14ac:dyDescent="0.25">
      <c r="A6078" s="94" t="s">
        <v>7911</v>
      </c>
      <c r="B6078" s="82" t="str">
        <f ca="1">IFERROR(INDEX(UNSPSCDes,MATCH(INDIRECT(ADDRESS(ROW(),COLUMN()-1,4)),UNSPSCCode,0)),IF(INDIRECT(ADDRESS(ROW(),COLUMN()-1,4))="51151727","Norepinefrina bitartrato",""))</f>
        <v>Norepinefrina bitartrato</v>
      </c>
      <c r="C6078" s="95" t="str">
        <f>IFERROR(VLOOKUP("UD",'Informacion '!P:Q,2,FALSE),"")</f>
        <v>Unidad</v>
      </c>
      <c r="D6078" s="94">
        <v>535</v>
      </c>
      <c r="E6078" s="84">
        <v>439.44</v>
      </c>
      <c r="F6078" s="83">
        <f ca="1">INDIRECT(ADDRESS(ROW(),COLUMN()-2,4))*INDIRECT(ADDRESS(ROW(),COLUMN()-1,4))</f>
        <v>235100.4</v>
      </c>
    </row>
    <row r="6079" spans="1:10" ht="14.1" customHeight="1" x14ac:dyDescent="0.25">
      <c r="A6079" s="94" t="s">
        <v>7911</v>
      </c>
      <c r="B6079" s="82" t="str">
        <f ca="1">IFERROR(INDEX(UNSPSCDes,MATCH(INDIRECT(ADDRESS(ROW(),COLUMN()-1,4)),UNSPSCCode,0)),IF(INDIRECT(ADDRESS(ROW(),COLUMN()-1,4))="51151727","Norepinefrina bitartrato",""))</f>
        <v>Norepinefrina bitartrato</v>
      </c>
      <c r="C6079" s="95" t="str">
        <f>IFERROR(VLOOKUP("UD",'Informacion '!P:Q,2,FALSE),"")</f>
        <v>Unidad</v>
      </c>
      <c r="D6079" s="94">
        <v>732</v>
      </c>
      <c r="E6079" s="84">
        <v>250</v>
      </c>
      <c r="F6079" s="83">
        <f ca="1">INDIRECT(ADDRESS(ROW(),COLUMN()-2,4))*INDIRECT(ADDRESS(ROW(),COLUMN()-1,4))</f>
        <v>183000</v>
      </c>
    </row>
    <row r="6080" spans="1:10" ht="14.1" customHeight="1" x14ac:dyDescent="0.25">
      <c r="E6080" s="96" t="s">
        <v>7213</v>
      </c>
      <c r="F6080" s="87">
        <f ca="1">SUM(Table167[MONTO TOTAL ESTIMADO])</f>
        <v>533220.4</v>
      </c>
      <c r="H6080" s="39" t="str">
        <f>C6070</f>
        <v>Bienes</v>
      </c>
      <c r="I6080" s="39" t="str">
        <f>E6070</f>
        <v>No</v>
      </c>
      <c r="J6080" s="39" t="str">
        <f>D6070</f>
        <v>Comparacion de Precios</v>
      </c>
    </row>
    <row r="6082" spans="1:10" ht="33.950000000000003" customHeight="1" x14ac:dyDescent="0.25">
      <c r="A6082" s="77" t="s">
        <v>17233</v>
      </c>
      <c r="B6082" s="77" t="s">
        <v>4237</v>
      </c>
      <c r="C6082" s="77" t="s">
        <v>4743</v>
      </c>
      <c r="D6082" s="77" t="s">
        <v>9891</v>
      </c>
      <c r="E6082" s="77" t="s">
        <v>3089</v>
      </c>
      <c r="F6082" s="77" t="s">
        <v>18141</v>
      </c>
    </row>
    <row r="6083" spans="1:10" ht="14.1" customHeight="1" x14ac:dyDescent="0.25">
      <c r="A6083" s="79" t="s">
        <v>15106</v>
      </c>
      <c r="B6083" s="79" t="s">
        <v>2182</v>
      </c>
      <c r="C6083" s="79" t="s">
        <v>17215</v>
      </c>
      <c r="D6083" s="79" t="s">
        <v>15249</v>
      </c>
      <c r="E6083" s="79" t="s">
        <v>18247</v>
      </c>
      <c r="F6083" s="79"/>
    </row>
    <row r="6084" spans="1:10" ht="14.1" customHeight="1" x14ac:dyDescent="0.25">
      <c r="A6084" s="2" t="s">
        <v>6643</v>
      </c>
      <c r="B6084" s="80" t="s">
        <v>1046</v>
      </c>
      <c r="C6084" s="90">
        <v>43647</v>
      </c>
      <c r="D6084" s="2" t="s">
        <v>59</v>
      </c>
      <c r="E6084" s="92" t="s">
        <v>20066</v>
      </c>
      <c r="F6084" s="93" t="s">
        <v>5684</v>
      </c>
    </row>
    <row r="6085" spans="1:10" ht="14.1" customHeight="1" x14ac:dyDescent="0.25">
      <c r="A6085" s="1"/>
      <c r="B6085" s="80" t="s">
        <v>10788</v>
      </c>
      <c r="C6085" s="91">
        <f>IF(C6084="","",IF(AND(MONTH(C6084)&gt;=1,MONTH(C6084)&lt;=3),1,IF(AND(MONTH(C6084)&gt;=4,MONTH(C6084)&lt;=6),2,IF(AND(MONTH(C6084)&gt;=7,MONTH(C6084)&lt;=9),3,4))))</f>
        <v>3</v>
      </c>
      <c r="D6085" s="1"/>
      <c r="E6085" s="92" t="s">
        <v>14822</v>
      </c>
      <c r="F6085" s="93"/>
    </row>
    <row r="6086" spans="1:10" ht="14.1" customHeight="1" x14ac:dyDescent="0.25">
      <c r="A6086" s="1"/>
      <c r="B6086" s="80" t="s">
        <v>13758</v>
      </c>
      <c r="C6086" s="90">
        <v>43738</v>
      </c>
      <c r="D6086" s="1"/>
      <c r="E6086" s="92" t="s">
        <v>18636</v>
      </c>
      <c r="F6086" s="93"/>
    </row>
    <row r="6087" spans="1:10" ht="14.1" customHeight="1" x14ac:dyDescent="0.25">
      <c r="A6087" s="1"/>
      <c r="B6087" s="80" t="s">
        <v>10788</v>
      </c>
      <c r="C6087" s="91">
        <f>IF(C6086="","",IF(AND(MONTH(C6086)&gt;=1,MONTH(C6086)&lt;=3),1,IF(AND(MONTH(C6086)&gt;=4,MONTH(C6086)&lt;=6),2,IF(AND(MONTH(C6086)&gt;=7,MONTH(C6086)&lt;=9),3,4))))</f>
        <v>3</v>
      </c>
      <c r="D6087" s="1"/>
      <c r="E6087" s="92" t="s">
        <v>15990</v>
      </c>
      <c r="F6087" s="93"/>
    </row>
    <row r="6089" spans="1:10" ht="14.1" customHeight="1" x14ac:dyDescent="0.25">
      <c r="A6089" s="85" t="s">
        <v>15474</v>
      </c>
      <c r="B6089" s="85" t="s">
        <v>5027</v>
      </c>
      <c r="C6089" s="85" t="s">
        <v>17461</v>
      </c>
      <c r="D6089" s="85" t="s">
        <v>3935</v>
      </c>
      <c r="E6089" s="85" t="s">
        <v>10722</v>
      </c>
      <c r="F6089" s="85" t="s">
        <v>18237</v>
      </c>
    </row>
    <row r="6090" spans="1:10" ht="14.1" customHeight="1" x14ac:dyDescent="0.25">
      <c r="A6090" s="94" t="s">
        <v>7911</v>
      </c>
      <c r="B6090" s="82" t="str">
        <f ca="1">IFERROR(INDEX(UNSPSCDes,MATCH(INDIRECT(ADDRESS(ROW(),COLUMN()-1,4)),UNSPSCCode,0)),IF(INDIRECT(ADDRESS(ROW(),COLUMN()-1,4))="51151727","Norepinefrina bitartrato",""))</f>
        <v>Norepinefrina bitartrato</v>
      </c>
      <c r="C6090" s="95" t="str">
        <f>IFERROR(VLOOKUP("UD",'Informacion '!P:Q,2,FALSE),"")</f>
        <v>Unidad</v>
      </c>
      <c r="D6090" s="94">
        <v>204</v>
      </c>
      <c r="E6090" s="84">
        <v>575.6</v>
      </c>
      <c r="F6090" s="83">
        <f ca="1">INDIRECT(ADDRESS(ROW(),COLUMN()-2,4))*INDIRECT(ADDRESS(ROW(),COLUMN()-1,4))</f>
        <v>117422.40000000001</v>
      </c>
    </row>
    <row r="6091" spans="1:10" ht="14.1" customHeight="1" x14ac:dyDescent="0.25">
      <c r="A6091" s="94" t="s">
        <v>7911</v>
      </c>
      <c r="B6091" s="82" t="str">
        <f ca="1">IFERROR(INDEX(UNSPSCDes,MATCH(INDIRECT(ADDRESS(ROW(),COLUMN()-1,4)),UNSPSCCode,0)),IF(INDIRECT(ADDRESS(ROW(),COLUMN()-1,4))="51151727","Norepinefrina bitartrato",""))</f>
        <v>Norepinefrina bitartrato</v>
      </c>
      <c r="C6091" s="95" t="str">
        <f>IFERROR(VLOOKUP("UD",'Informacion '!P:Q,2,FALSE),"")</f>
        <v>Unidad</v>
      </c>
      <c r="D6091" s="94">
        <v>546</v>
      </c>
      <c r="E6091" s="84">
        <v>439.44</v>
      </c>
      <c r="F6091" s="83">
        <f ca="1">INDIRECT(ADDRESS(ROW(),COLUMN()-2,4))*INDIRECT(ADDRESS(ROW(),COLUMN()-1,4))</f>
        <v>239934.24</v>
      </c>
    </row>
    <row r="6092" spans="1:10" ht="14.1" customHeight="1" x14ac:dyDescent="0.25">
      <c r="A6092" s="94" t="s">
        <v>7911</v>
      </c>
      <c r="B6092" s="82" t="str">
        <f ca="1">IFERROR(INDEX(UNSPSCDes,MATCH(INDIRECT(ADDRESS(ROW(),COLUMN()-1,4)),UNSPSCCode,0)),IF(INDIRECT(ADDRESS(ROW(),COLUMN()-1,4))="51151727","Norepinefrina bitartrato",""))</f>
        <v>Norepinefrina bitartrato</v>
      </c>
      <c r="C6092" s="95" t="str">
        <f>IFERROR(VLOOKUP("UD",'Informacion '!P:Q,2,FALSE),"")</f>
        <v>Unidad</v>
      </c>
      <c r="D6092" s="94">
        <v>747</v>
      </c>
      <c r="E6092" s="84">
        <v>250</v>
      </c>
      <c r="F6092" s="83">
        <f ca="1">INDIRECT(ADDRESS(ROW(),COLUMN()-2,4))*INDIRECT(ADDRESS(ROW(),COLUMN()-1,4))</f>
        <v>186750</v>
      </c>
    </row>
    <row r="6093" spans="1:10" ht="14.1" customHeight="1" x14ac:dyDescent="0.25">
      <c r="E6093" s="96" t="s">
        <v>7213</v>
      </c>
      <c r="F6093" s="87">
        <f ca="1">SUM(Table168[MONTO TOTAL ESTIMADO])</f>
        <v>544106.64</v>
      </c>
      <c r="H6093" s="39" t="str">
        <f>C6083</f>
        <v>Bienes</v>
      </c>
      <c r="I6093" s="39" t="str">
        <f>E6083</f>
        <v>No</v>
      </c>
      <c r="J6093" s="39" t="str">
        <f>D6083</f>
        <v>Comparacion de Precios</v>
      </c>
    </row>
    <row r="6095" spans="1:10" ht="33.950000000000003" customHeight="1" x14ac:dyDescent="0.25">
      <c r="A6095" s="77" t="s">
        <v>17233</v>
      </c>
      <c r="B6095" s="77" t="s">
        <v>4237</v>
      </c>
      <c r="C6095" s="77" t="s">
        <v>4743</v>
      </c>
      <c r="D6095" s="77" t="s">
        <v>9891</v>
      </c>
      <c r="E6095" s="77" t="s">
        <v>3089</v>
      </c>
      <c r="F6095" s="77" t="s">
        <v>18141</v>
      </c>
    </row>
    <row r="6096" spans="1:10" ht="14.1" customHeight="1" x14ac:dyDescent="0.25">
      <c r="A6096" s="79" t="s">
        <v>1847</v>
      </c>
      <c r="B6096" s="79" t="s">
        <v>2182</v>
      </c>
      <c r="C6096" s="79" t="s">
        <v>17215</v>
      </c>
      <c r="D6096" s="79" t="s">
        <v>15249</v>
      </c>
      <c r="E6096" s="79" t="s">
        <v>18247</v>
      </c>
      <c r="F6096" s="79"/>
    </row>
    <row r="6097" spans="1:10" ht="14.1" customHeight="1" x14ac:dyDescent="0.25">
      <c r="A6097" s="2" t="s">
        <v>6643</v>
      </c>
      <c r="B6097" s="80" t="s">
        <v>1046</v>
      </c>
      <c r="C6097" s="90">
        <v>43739</v>
      </c>
      <c r="D6097" s="2" t="s">
        <v>59</v>
      </c>
      <c r="E6097" s="92" t="s">
        <v>20066</v>
      </c>
      <c r="F6097" s="93" t="s">
        <v>5684</v>
      </c>
    </row>
    <row r="6098" spans="1:10" ht="14.1" customHeight="1" x14ac:dyDescent="0.25">
      <c r="A6098" s="1"/>
      <c r="B6098" s="80" t="s">
        <v>10788</v>
      </c>
      <c r="C6098" s="91">
        <f>IF(C6097="","",IF(AND(MONTH(C6097)&gt;=1,MONTH(C6097)&lt;=3),1,IF(AND(MONTH(C6097)&gt;=4,MONTH(C6097)&lt;=6),2,IF(AND(MONTH(C6097)&gt;=7,MONTH(C6097)&lt;=9),3,4))))</f>
        <v>4</v>
      </c>
      <c r="D6098" s="1"/>
      <c r="E6098" s="92" t="s">
        <v>14822</v>
      </c>
      <c r="F6098" s="93"/>
    </row>
    <row r="6099" spans="1:10" ht="14.1" customHeight="1" x14ac:dyDescent="0.25">
      <c r="A6099" s="1"/>
      <c r="B6099" s="80" t="s">
        <v>13758</v>
      </c>
      <c r="C6099" s="90">
        <v>43830</v>
      </c>
      <c r="D6099" s="1"/>
      <c r="E6099" s="92" t="s">
        <v>18636</v>
      </c>
      <c r="F6099" s="93"/>
    </row>
    <row r="6100" spans="1:10" ht="14.1" customHeight="1" x14ac:dyDescent="0.25">
      <c r="A6100" s="1"/>
      <c r="B6100" s="80" t="s">
        <v>10788</v>
      </c>
      <c r="C6100" s="91">
        <f>IF(C6099="","",IF(AND(MONTH(C6099)&gt;=1,MONTH(C6099)&lt;=3),1,IF(AND(MONTH(C6099)&gt;=4,MONTH(C6099)&lt;=6),2,IF(AND(MONTH(C6099)&gt;=7,MONTH(C6099)&lt;=9),3,4))))</f>
        <v>4</v>
      </c>
      <c r="D6100" s="1"/>
      <c r="E6100" s="92" t="s">
        <v>15990</v>
      </c>
      <c r="F6100" s="93"/>
    </row>
    <row r="6102" spans="1:10" ht="14.1" customHeight="1" x14ac:dyDescent="0.25">
      <c r="A6102" s="85" t="s">
        <v>15474</v>
      </c>
      <c r="B6102" s="85" t="s">
        <v>5027</v>
      </c>
      <c r="C6102" s="85" t="s">
        <v>17461</v>
      </c>
      <c r="D6102" s="85" t="s">
        <v>3935</v>
      </c>
      <c r="E6102" s="85" t="s">
        <v>10722</v>
      </c>
      <c r="F6102" s="85" t="s">
        <v>18237</v>
      </c>
    </row>
    <row r="6103" spans="1:10" ht="14.1" customHeight="1" x14ac:dyDescent="0.25">
      <c r="A6103" s="94" t="s">
        <v>7911</v>
      </c>
      <c r="B6103" s="82" t="str">
        <f ca="1">IFERROR(INDEX(UNSPSCDes,MATCH(INDIRECT(ADDRESS(ROW(),COLUMN()-1,4)),UNSPSCCode,0)),IF(INDIRECT(ADDRESS(ROW(),COLUMN()-1,4))="51151727","Norepinefrina bitartrato",""))</f>
        <v>Norepinefrina bitartrato</v>
      </c>
      <c r="C6103" s="95" t="str">
        <f>IFERROR(VLOOKUP("UD",'Informacion '!P:Q,2,FALSE),"")</f>
        <v>Unidad</v>
      </c>
      <c r="D6103" s="94">
        <v>209</v>
      </c>
      <c r="E6103" s="84">
        <v>575.6</v>
      </c>
      <c r="F6103" s="83">
        <f ca="1">INDIRECT(ADDRESS(ROW(),COLUMN()-2,4))*INDIRECT(ADDRESS(ROW(),COLUMN()-1,4))</f>
        <v>120300.40000000001</v>
      </c>
    </row>
    <row r="6104" spans="1:10" ht="14.1" customHeight="1" x14ac:dyDescent="0.25">
      <c r="A6104" s="94" t="s">
        <v>7911</v>
      </c>
      <c r="B6104" s="82" t="str">
        <f ca="1">IFERROR(INDEX(UNSPSCDes,MATCH(INDIRECT(ADDRESS(ROW(),COLUMN()-1,4)),UNSPSCCode,0)),IF(INDIRECT(ADDRESS(ROW(),COLUMN()-1,4))="51151727","Norepinefrina bitartrato",""))</f>
        <v>Norepinefrina bitartrato</v>
      </c>
      <c r="C6104" s="95" t="str">
        <f>IFERROR(VLOOKUP("UD",'Informacion '!P:Q,2,FALSE),"")</f>
        <v>Unidad</v>
      </c>
      <c r="D6104" s="94">
        <v>557</v>
      </c>
      <c r="E6104" s="84">
        <v>439.44</v>
      </c>
      <c r="F6104" s="83">
        <f ca="1">INDIRECT(ADDRESS(ROW(),COLUMN()-2,4))*INDIRECT(ADDRESS(ROW(),COLUMN()-1,4))</f>
        <v>244768.08</v>
      </c>
    </row>
    <row r="6105" spans="1:10" ht="14.1" customHeight="1" x14ac:dyDescent="0.25">
      <c r="A6105" s="94" t="s">
        <v>7911</v>
      </c>
      <c r="B6105" s="82" t="str">
        <f ca="1">IFERROR(INDEX(UNSPSCDes,MATCH(INDIRECT(ADDRESS(ROW(),COLUMN()-1,4)),UNSPSCCode,0)),IF(INDIRECT(ADDRESS(ROW(),COLUMN()-1,4))="51151727","Norepinefrina bitartrato",""))</f>
        <v>Norepinefrina bitartrato</v>
      </c>
      <c r="C6105" s="95" t="str">
        <f>IFERROR(VLOOKUP("UD",'Informacion '!P:Q,2,FALSE),"")</f>
        <v>Unidad</v>
      </c>
      <c r="D6105" s="94">
        <v>762</v>
      </c>
      <c r="E6105" s="84">
        <v>250</v>
      </c>
      <c r="F6105" s="83">
        <f ca="1">INDIRECT(ADDRESS(ROW(),COLUMN()-2,4))*INDIRECT(ADDRESS(ROW(),COLUMN()-1,4))</f>
        <v>190500</v>
      </c>
    </row>
    <row r="6106" spans="1:10" ht="14.1" customHeight="1" x14ac:dyDescent="0.25">
      <c r="E6106" s="96" t="s">
        <v>7213</v>
      </c>
      <c r="F6106" s="87">
        <f ca="1">SUM(Table169[MONTO TOTAL ESTIMADO])</f>
        <v>555568.48</v>
      </c>
      <c r="H6106" s="39" t="str">
        <f>C6096</f>
        <v>Bienes</v>
      </c>
      <c r="I6106" s="39" t="str">
        <f>E6096</f>
        <v>No</v>
      </c>
      <c r="J6106" s="39" t="str">
        <f>D6096</f>
        <v>Comparacion de Precios</v>
      </c>
    </row>
    <row r="6108" spans="1:10" ht="33.950000000000003" customHeight="1" x14ac:dyDescent="0.25">
      <c r="A6108" s="77" t="s">
        <v>17233</v>
      </c>
      <c r="B6108" s="77" t="s">
        <v>4237</v>
      </c>
      <c r="C6108" s="77" t="s">
        <v>4743</v>
      </c>
      <c r="D6108" s="77" t="s">
        <v>9891</v>
      </c>
      <c r="E6108" s="77" t="s">
        <v>3089</v>
      </c>
      <c r="F6108" s="77" t="s">
        <v>18141</v>
      </c>
    </row>
    <row r="6109" spans="1:10" ht="14.1" customHeight="1" x14ac:dyDescent="0.25">
      <c r="A6109" s="79" t="s">
        <v>7152</v>
      </c>
      <c r="B6109" s="79" t="s">
        <v>2182</v>
      </c>
      <c r="C6109" s="79" t="s">
        <v>17215</v>
      </c>
      <c r="D6109" s="79" t="s">
        <v>15249</v>
      </c>
      <c r="E6109" s="79" t="s">
        <v>18247</v>
      </c>
      <c r="F6109" s="79"/>
    </row>
    <row r="6110" spans="1:10" ht="14.1" customHeight="1" x14ac:dyDescent="0.25">
      <c r="A6110" s="2" t="s">
        <v>6643</v>
      </c>
      <c r="B6110" s="80" t="s">
        <v>1046</v>
      </c>
      <c r="C6110" s="90">
        <v>43469</v>
      </c>
      <c r="D6110" s="2" t="s">
        <v>59</v>
      </c>
      <c r="E6110" s="92" t="s">
        <v>20066</v>
      </c>
      <c r="F6110" s="93" t="s">
        <v>5684</v>
      </c>
    </row>
    <row r="6111" spans="1:10" ht="14.1" customHeight="1" x14ac:dyDescent="0.25">
      <c r="A6111" s="1"/>
      <c r="B6111" s="80" t="s">
        <v>10788</v>
      </c>
      <c r="C6111" s="91">
        <f>IF(C6110="","",IF(AND(MONTH(C6110)&gt;=1,MONTH(C6110)&lt;=3),1,IF(AND(MONTH(C6110)&gt;=4,MONTH(C6110)&lt;=6),2,IF(AND(MONTH(C6110)&gt;=7,MONTH(C6110)&lt;=9),3,4))))</f>
        <v>1</v>
      </c>
      <c r="D6111" s="1"/>
      <c r="E6111" s="92" t="s">
        <v>14822</v>
      </c>
      <c r="F6111" s="93"/>
    </row>
    <row r="6112" spans="1:10" ht="14.1" customHeight="1" x14ac:dyDescent="0.25">
      <c r="A6112" s="1"/>
      <c r="B6112" s="80" t="s">
        <v>13758</v>
      </c>
      <c r="C6112" s="90">
        <v>43554</v>
      </c>
      <c r="D6112" s="1"/>
      <c r="E6112" s="92" t="s">
        <v>18636</v>
      </c>
      <c r="F6112" s="93"/>
    </row>
    <row r="6113" spans="1:10" ht="14.1" customHeight="1" x14ac:dyDescent="0.25">
      <c r="A6113" s="1"/>
      <c r="B6113" s="80" t="s">
        <v>10788</v>
      </c>
      <c r="C6113" s="91">
        <f>IF(C6112="","",IF(AND(MONTH(C6112)&gt;=1,MONTH(C6112)&lt;=3),1,IF(AND(MONTH(C6112)&gt;=4,MONTH(C6112)&lt;=6),2,IF(AND(MONTH(C6112)&gt;=7,MONTH(C6112)&lt;=9),3,4))))</f>
        <v>1</v>
      </c>
      <c r="D6113" s="1"/>
      <c r="E6113" s="92" t="s">
        <v>15990</v>
      </c>
      <c r="F6113" s="93"/>
    </row>
    <row r="6115" spans="1:10" ht="14.1" customHeight="1" x14ac:dyDescent="0.25">
      <c r="A6115" s="85" t="s">
        <v>15474</v>
      </c>
      <c r="B6115" s="85" t="s">
        <v>5027</v>
      </c>
      <c r="C6115" s="85" t="s">
        <v>17461</v>
      </c>
      <c r="D6115" s="85" t="s">
        <v>3935</v>
      </c>
      <c r="E6115" s="85" t="s">
        <v>10722</v>
      </c>
      <c r="F6115" s="85" t="s">
        <v>18237</v>
      </c>
    </row>
    <row r="6116" spans="1:10" ht="14.1" customHeight="1" x14ac:dyDescent="0.25">
      <c r="A6116" s="94" t="s">
        <v>1912</v>
      </c>
      <c r="B6116" s="82" t="str">
        <f ca="1">IFERROR(INDEX(UNSPSCDes,MATCH(INDIRECT(ADDRESS(ROW(),COLUMN()-1,4)),UNSPSCCode,0)),IF(INDIRECT(ADDRESS(ROW(),COLUMN()-1,4))="51131909","Albúmina humana",""))</f>
        <v>Albúmina humana</v>
      </c>
      <c r="C6116" s="95" t="str">
        <f>IFERROR(VLOOKUP("UD",'Informacion '!P:Q,2,FALSE),"")</f>
        <v>Unidad</v>
      </c>
      <c r="D6116" s="94">
        <v>261</v>
      </c>
      <c r="E6116" s="84">
        <v>1745.03</v>
      </c>
      <c r="F6116" s="83">
        <f ca="1">INDIRECT(ADDRESS(ROW(),COLUMN()-2,4))*INDIRECT(ADDRESS(ROW(),COLUMN()-1,4))</f>
        <v>455452.83</v>
      </c>
    </row>
    <row r="6117" spans="1:10" ht="14.1" customHeight="1" x14ac:dyDescent="0.25">
      <c r="E6117" s="96" t="s">
        <v>7213</v>
      </c>
      <c r="F6117" s="87">
        <f ca="1">SUM(Table170[MONTO TOTAL ESTIMADO])</f>
        <v>455452.83</v>
      </c>
      <c r="H6117" s="39" t="str">
        <f>C6109</f>
        <v>Bienes</v>
      </c>
      <c r="I6117" s="39" t="str">
        <f>E6109</f>
        <v>No</v>
      </c>
      <c r="J6117" s="39" t="str">
        <f>D6109</f>
        <v>Comparacion de Precios</v>
      </c>
    </row>
    <row r="6119" spans="1:10" ht="33.950000000000003" customHeight="1" x14ac:dyDescent="0.25">
      <c r="A6119" s="77" t="s">
        <v>17233</v>
      </c>
      <c r="B6119" s="77" t="s">
        <v>4237</v>
      </c>
      <c r="C6119" s="77" t="s">
        <v>4743</v>
      </c>
      <c r="D6119" s="77" t="s">
        <v>9891</v>
      </c>
      <c r="E6119" s="77" t="s">
        <v>3089</v>
      </c>
      <c r="F6119" s="77" t="s">
        <v>18141</v>
      </c>
    </row>
    <row r="6120" spans="1:10" ht="14.1" customHeight="1" x14ac:dyDescent="0.25">
      <c r="A6120" s="79" t="s">
        <v>7827</v>
      </c>
      <c r="B6120" s="79" t="s">
        <v>2182</v>
      </c>
      <c r="C6120" s="79" t="s">
        <v>17215</v>
      </c>
      <c r="D6120" s="79" t="s">
        <v>15249</v>
      </c>
      <c r="E6120" s="79" t="s">
        <v>18247</v>
      </c>
      <c r="F6120" s="79"/>
    </row>
    <row r="6121" spans="1:10" ht="14.1" customHeight="1" x14ac:dyDescent="0.25">
      <c r="A6121" s="2" t="s">
        <v>6643</v>
      </c>
      <c r="B6121" s="80" t="s">
        <v>1046</v>
      </c>
      <c r="C6121" s="90">
        <v>43556</v>
      </c>
      <c r="D6121" s="2" t="s">
        <v>59</v>
      </c>
      <c r="E6121" s="92" t="s">
        <v>20066</v>
      </c>
      <c r="F6121" s="93" t="s">
        <v>5684</v>
      </c>
    </row>
    <row r="6122" spans="1:10" ht="14.1" customHeight="1" x14ac:dyDescent="0.25">
      <c r="A6122" s="1"/>
      <c r="B6122" s="80" t="s">
        <v>10788</v>
      </c>
      <c r="C6122" s="91">
        <f>IF(C6121="","",IF(AND(MONTH(C6121)&gt;=1,MONTH(C6121)&lt;=3),1,IF(AND(MONTH(C6121)&gt;=4,MONTH(C6121)&lt;=6),2,IF(AND(MONTH(C6121)&gt;=7,MONTH(C6121)&lt;=9),3,4))))</f>
        <v>2</v>
      </c>
      <c r="D6122" s="1"/>
      <c r="E6122" s="92" t="s">
        <v>14822</v>
      </c>
      <c r="F6122" s="93"/>
    </row>
    <row r="6123" spans="1:10" ht="14.1" customHeight="1" x14ac:dyDescent="0.25">
      <c r="A6123" s="1"/>
      <c r="B6123" s="80" t="s">
        <v>13758</v>
      </c>
      <c r="C6123" s="90">
        <v>43645</v>
      </c>
      <c r="D6123" s="1"/>
      <c r="E6123" s="92" t="s">
        <v>18636</v>
      </c>
      <c r="F6123" s="93"/>
    </row>
    <row r="6124" spans="1:10" ht="14.1" customHeight="1" x14ac:dyDescent="0.25">
      <c r="A6124" s="1"/>
      <c r="B6124" s="80" t="s">
        <v>10788</v>
      </c>
      <c r="C6124" s="91">
        <f>IF(C6123="","",IF(AND(MONTH(C6123)&gt;=1,MONTH(C6123)&lt;=3),1,IF(AND(MONTH(C6123)&gt;=4,MONTH(C6123)&lt;=6),2,IF(AND(MONTH(C6123)&gt;=7,MONTH(C6123)&lt;=9),3,4))))</f>
        <v>2</v>
      </c>
      <c r="D6124" s="1"/>
      <c r="E6124" s="92" t="s">
        <v>15990</v>
      </c>
      <c r="F6124" s="93"/>
    </row>
    <row r="6126" spans="1:10" ht="14.1" customHeight="1" x14ac:dyDescent="0.25">
      <c r="A6126" s="85" t="s">
        <v>15474</v>
      </c>
      <c r="B6126" s="85" t="s">
        <v>5027</v>
      </c>
      <c r="C6126" s="85" t="s">
        <v>17461</v>
      </c>
      <c r="D6126" s="85" t="s">
        <v>3935</v>
      </c>
      <c r="E6126" s="85" t="s">
        <v>10722</v>
      </c>
      <c r="F6126" s="85" t="s">
        <v>18237</v>
      </c>
    </row>
    <row r="6127" spans="1:10" ht="14.1" customHeight="1" x14ac:dyDescent="0.25">
      <c r="A6127" s="94" t="s">
        <v>1912</v>
      </c>
      <c r="B6127" s="82" t="str">
        <f ca="1">IFERROR(INDEX(UNSPSCDes,MATCH(INDIRECT(ADDRESS(ROW(),COLUMN()-1,4)),UNSPSCCode,0)),IF(INDIRECT(ADDRESS(ROW(),COLUMN()-1,4))="51131909","Albúmina humana",""))</f>
        <v>Albúmina humana</v>
      </c>
      <c r="C6127" s="95" t="str">
        <f>IFERROR(VLOOKUP("UD",'Informacion '!P:Q,2,FALSE),"")</f>
        <v>Unidad</v>
      </c>
      <c r="D6127" s="94">
        <v>267</v>
      </c>
      <c r="E6127" s="84">
        <v>1745.03</v>
      </c>
      <c r="F6127" s="83">
        <f ca="1">INDIRECT(ADDRESS(ROW(),COLUMN()-2,4))*INDIRECT(ADDRESS(ROW(),COLUMN()-1,4))</f>
        <v>465923.01</v>
      </c>
    </row>
    <row r="6128" spans="1:10" ht="14.1" customHeight="1" x14ac:dyDescent="0.25">
      <c r="E6128" s="96" t="s">
        <v>7213</v>
      </c>
      <c r="F6128" s="87">
        <f ca="1">SUM(Table171[MONTO TOTAL ESTIMADO])</f>
        <v>465923.01</v>
      </c>
      <c r="H6128" s="39" t="str">
        <f>C6120</f>
        <v>Bienes</v>
      </c>
      <c r="I6128" s="39" t="str">
        <f>E6120</f>
        <v>No</v>
      </c>
      <c r="J6128" s="39" t="str">
        <f>D6120</f>
        <v>Comparacion de Precios</v>
      </c>
    </row>
    <row r="6130" spans="1:10" ht="33.950000000000003" customHeight="1" x14ac:dyDescent="0.25">
      <c r="A6130" s="77" t="s">
        <v>17233</v>
      </c>
      <c r="B6130" s="77" t="s">
        <v>4237</v>
      </c>
      <c r="C6130" s="77" t="s">
        <v>4743</v>
      </c>
      <c r="D6130" s="77" t="s">
        <v>9891</v>
      </c>
      <c r="E6130" s="77" t="s">
        <v>3089</v>
      </c>
      <c r="F6130" s="77" t="s">
        <v>18141</v>
      </c>
    </row>
    <row r="6131" spans="1:10" ht="14.1" customHeight="1" x14ac:dyDescent="0.25">
      <c r="A6131" s="79" t="s">
        <v>10608</v>
      </c>
      <c r="B6131" s="79" t="s">
        <v>2182</v>
      </c>
      <c r="C6131" s="79" t="s">
        <v>17215</v>
      </c>
      <c r="D6131" s="79" t="s">
        <v>15249</v>
      </c>
      <c r="E6131" s="79" t="s">
        <v>18247</v>
      </c>
      <c r="F6131" s="79"/>
    </row>
    <row r="6132" spans="1:10" ht="14.1" customHeight="1" x14ac:dyDescent="0.25">
      <c r="A6132" s="2" t="s">
        <v>6643</v>
      </c>
      <c r="B6132" s="80" t="s">
        <v>1046</v>
      </c>
      <c r="C6132" s="90">
        <v>43647</v>
      </c>
      <c r="D6132" s="2" t="s">
        <v>59</v>
      </c>
      <c r="E6132" s="92" t="s">
        <v>20066</v>
      </c>
      <c r="F6132" s="93" t="s">
        <v>5684</v>
      </c>
    </row>
    <row r="6133" spans="1:10" ht="14.1" customHeight="1" x14ac:dyDescent="0.25">
      <c r="A6133" s="1"/>
      <c r="B6133" s="80" t="s">
        <v>10788</v>
      </c>
      <c r="C6133" s="91">
        <f>IF(C6132="","",IF(AND(MONTH(C6132)&gt;=1,MONTH(C6132)&lt;=3),1,IF(AND(MONTH(C6132)&gt;=4,MONTH(C6132)&lt;=6),2,IF(AND(MONTH(C6132)&gt;=7,MONTH(C6132)&lt;=9),3,4))))</f>
        <v>3</v>
      </c>
      <c r="D6133" s="1"/>
      <c r="E6133" s="92" t="s">
        <v>14822</v>
      </c>
      <c r="F6133" s="93"/>
    </row>
    <row r="6134" spans="1:10" ht="14.1" customHeight="1" x14ac:dyDescent="0.25">
      <c r="A6134" s="1"/>
      <c r="B6134" s="80" t="s">
        <v>13758</v>
      </c>
      <c r="C6134" s="90">
        <v>43738</v>
      </c>
      <c r="D6134" s="1"/>
      <c r="E6134" s="92" t="s">
        <v>18636</v>
      </c>
      <c r="F6134" s="93"/>
    </row>
    <row r="6135" spans="1:10" ht="14.1" customHeight="1" x14ac:dyDescent="0.25">
      <c r="A6135" s="1"/>
      <c r="B6135" s="80" t="s">
        <v>10788</v>
      </c>
      <c r="C6135" s="91">
        <f>IF(C6134="","",IF(AND(MONTH(C6134)&gt;=1,MONTH(C6134)&lt;=3),1,IF(AND(MONTH(C6134)&gt;=4,MONTH(C6134)&lt;=6),2,IF(AND(MONTH(C6134)&gt;=7,MONTH(C6134)&lt;=9),3,4))))</f>
        <v>3</v>
      </c>
      <c r="D6135" s="1"/>
      <c r="E6135" s="92" t="s">
        <v>15990</v>
      </c>
      <c r="F6135" s="93"/>
    </row>
    <row r="6137" spans="1:10" ht="14.1" customHeight="1" x14ac:dyDescent="0.25">
      <c r="A6137" s="85" t="s">
        <v>15474</v>
      </c>
      <c r="B6137" s="85" t="s">
        <v>5027</v>
      </c>
      <c r="C6137" s="85" t="s">
        <v>17461</v>
      </c>
      <c r="D6137" s="85" t="s">
        <v>3935</v>
      </c>
      <c r="E6137" s="85" t="s">
        <v>10722</v>
      </c>
      <c r="F6137" s="85" t="s">
        <v>18237</v>
      </c>
    </row>
    <row r="6138" spans="1:10" ht="14.1" customHeight="1" x14ac:dyDescent="0.25">
      <c r="A6138" s="94" t="s">
        <v>1912</v>
      </c>
      <c r="B6138" s="82" t="str">
        <f ca="1">IFERROR(INDEX(UNSPSCDes,MATCH(INDIRECT(ADDRESS(ROW(),COLUMN()-1,4)),UNSPSCCode,0)),IF(INDIRECT(ADDRESS(ROW(),COLUMN()-1,4))="51131909","Albúmina humana",""))</f>
        <v>Albúmina humana</v>
      </c>
      <c r="C6138" s="95" t="str">
        <f>IFERROR(VLOOKUP("UD",'Informacion '!P:Q,2,FALSE),"")</f>
        <v>Unidad</v>
      </c>
      <c r="D6138" s="94">
        <v>273</v>
      </c>
      <c r="E6138" s="84">
        <v>1745</v>
      </c>
      <c r="F6138" s="83">
        <f ca="1">INDIRECT(ADDRESS(ROW(),COLUMN()-2,4))*INDIRECT(ADDRESS(ROW(),COLUMN()-1,4))</f>
        <v>476385</v>
      </c>
    </row>
    <row r="6139" spans="1:10" ht="14.1" customHeight="1" x14ac:dyDescent="0.25">
      <c r="E6139" s="96" t="s">
        <v>7213</v>
      </c>
      <c r="F6139" s="87">
        <f ca="1">SUM(Table172[MONTO TOTAL ESTIMADO])</f>
        <v>476385</v>
      </c>
      <c r="H6139" s="39" t="str">
        <f>C6131</f>
        <v>Bienes</v>
      </c>
      <c r="I6139" s="39" t="str">
        <f>E6131</f>
        <v>No</v>
      </c>
      <c r="J6139" s="39" t="str">
        <f>D6131</f>
        <v>Comparacion de Precios</v>
      </c>
    </row>
    <row r="6141" spans="1:10" ht="33.950000000000003" customHeight="1" x14ac:dyDescent="0.25">
      <c r="A6141" s="77" t="s">
        <v>17233</v>
      </c>
      <c r="B6141" s="77" t="s">
        <v>4237</v>
      </c>
      <c r="C6141" s="77" t="s">
        <v>4743</v>
      </c>
      <c r="D6141" s="77" t="s">
        <v>9891</v>
      </c>
      <c r="E6141" s="77" t="s">
        <v>3089</v>
      </c>
      <c r="F6141" s="77" t="s">
        <v>18141</v>
      </c>
    </row>
    <row r="6142" spans="1:10" ht="14.1" customHeight="1" x14ac:dyDescent="0.25">
      <c r="A6142" s="79" t="s">
        <v>10609</v>
      </c>
      <c r="B6142" s="79" t="s">
        <v>2182</v>
      </c>
      <c r="C6142" s="79" t="s">
        <v>17215</v>
      </c>
      <c r="D6142" s="79" t="s">
        <v>15249</v>
      </c>
      <c r="E6142" s="79" t="s">
        <v>18247</v>
      </c>
      <c r="F6142" s="79"/>
    </row>
    <row r="6143" spans="1:10" ht="14.1" customHeight="1" x14ac:dyDescent="0.25">
      <c r="A6143" s="2" t="s">
        <v>6643</v>
      </c>
      <c r="B6143" s="80" t="s">
        <v>1046</v>
      </c>
      <c r="C6143" s="90">
        <v>43739</v>
      </c>
      <c r="D6143" s="2" t="s">
        <v>59</v>
      </c>
      <c r="E6143" s="92" t="s">
        <v>20066</v>
      </c>
      <c r="F6143" s="93" t="s">
        <v>5684</v>
      </c>
    </row>
    <row r="6144" spans="1:10" ht="14.1" customHeight="1" x14ac:dyDescent="0.25">
      <c r="A6144" s="1"/>
      <c r="B6144" s="80" t="s">
        <v>10788</v>
      </c>
      <c r="C6144" s="91">
        <f>IF(C6143="","",IF(AND(MONTH(C6143)&gt;=1,MONTH(C6143)&lt;=3),1,IF(AND(MONTH(C6143)&gt;=4,MONTH(C6143)&lt;=6),2,IF(AND(MONTH(C6143)&gt;=7,MONTH(C6143)&lt;=9),3,4))))</f>
        <v>4</v>
      </c>
      <c r="D6144" s="1"/>
      <c r="E6144" s="92" t="s">
        <v>14822</v>
      </c>
      <c r="F6144" s="93"/>
    </row>
    <row r="6145" spans="1:10" ht="14.1" customHeight="1" x14ac:dyDescent="0.25">
      <c r="A6145" s="1"/>
      <c r="B6145" s="80" t="s">
        <v>13758</v>
      </c>
      <c r="C6145" s="90">
        <v>43830</v>
      </c>
      <c r="D6145" s="1"/>
      <c r="E6145" s="92" t="s">
        <v>18636</v>
      </c>
      <c r="F6145" s="93"/>
    </row>
    <row r="6146" spans="1:10" ht="14.1" customHeight="1" x14ac:dyDescent="0.25">
      <c r="A6146" s="1"/>
      <c r="B6146" s="80" t="s">
        <v>10788</v>
      </c>
      <c r="C6146" s="91">
        <f>IF(C6145="","",IF(AND(MONTH(C6145)&gt;=1,MONTH(C6145)&lt;=3),1,IF(AND(MONTH(C6145)&gt;=4,MONTH(C6145)&lt;=6),2,IF(AND(MONTH(C6145)&gt;=7,MONTH(C6145)&lt;=9),3,4))))</f>
        <v>4</v>
      </c>
      <c r="D6146" s="1"/>
      <c r="E6146" s="92" t="s">
        <v>15990</v>
      </c>
      <c r="F6146" s="93"/>
    </row>
    <row r="6148" spans="1:10" ht="14.1" customHeight="1" x14ac:dyDescent="0.25">
      <c r="A6148" s="85" t="s">
        <v>15474</v>
      </c>
      <c r="B6148" s="85" t="s">
        <v>5027</v>
      </c>
      <c r="C6148" s="85" t="s">
        <v>17461</v>
      </c>
      <c r="D6148" s="85" t="s">
        <v>3935</v>
      </c>
      <c r="E6148" s="85" t="s">
        <v>10722</v>
      </c>
      <c r="F6148" s="85" t="s">
        <v>18237</v>
      </c>
    </row>
    <row r="6149" spans="1:10" ht="14.1" customHeight="1" x14ac:dyDescent="0.25">
      <c r="A6149" s="94" t="s">
        <v>1912</v>
      </c>
      <c r="B6149" s="82" t="str">
        <f ca="1">IFERROR(INDEX(UNSPSCDes,MATCH(INDIRECT(ADDRESS(ROW(),COLUMN()-1,4)),UNSPSCCode,0)),IF(INDIRECT(ADDRESS(ROW(),COLUMN()-1,4))="51131909","Albúmina humana",""))</f>
        <v>Albúmina humana</v>
      </c>
      <c r="C6149" s="95" t="str">
        <f>IFERROR(VLOOKUP("UD",'Informacion '!P:Q,2,FALSE),"")</f>
        <v>Unidad</v>
      </c>
      <c r="D6149" s="94">
        <v>279</v>
      </c>
      <c r="E6149" s="84">
        <v>1745.03</v>
      </c>
      <c r="F6149" s="83">
        <f ca="1">INDIRECT(ADDRESS(ROW(),COLUMN()-2,4))*INDIRECT(ADDRESS(ROW(),COLUMN()-1,4))</f>
        <v>486863.37</v>
      </c>
    </row>
    <row r="6150" spans="1:10" ht="14.1" customHeight="1" x14ac:dyDescent="0.25">
      <c r="E6150" s="96" t="s">
        <v>7213</v>
      </c>
      <c r="F6150" s="87">
        <f ca="1">SUM(Table173[MONTO TOTAL ESTIMADO])</f>
        <v>486863.37</v>
      </c>
      <c r="H6150" s="39" t="str">
        <f>C6142</f>
        <v>Bienes</v>
      </c>
      <c r="I6150" s="39" t="str">
        <f>E6142</f>
        <v>No</v>
      </c>
      <c r="J6150" s="39" t="str">
        <f>D6142</f>
        <v>Comparacion de Precios</v>
      </c>
    </row>
    <row r="6152" spans="1:10" ht="33.950000000000003" customHeight="1" x14ac:dyDescent="0.25">
      <c r="A6152" s="77" t="s">
        <v>17233</v>
      </c>
      <c r="B6152" s="77" t="s">
        <v>4237</v>
      </c>
      <c r="C6152" s="77" t="s">
        <v>4743</v>
      </c>
      <c r="D6152" s="77" t="s">
        <v>9891</v>
      </c>
      <c r="E6152" s="77" t="s">
        <v>3089</v>
      </c>
      <c r="F6152" s="77" t="s">
        <v>18141</v>
      </c>
    </row>
    <row r="6153" spans="1:10" ht="14.1" customHeight="1" x14ac:dyDescent="0.25">
      <c r="A6153" s="79" t="s">
        <v>15303</v>
      </c>
      <c r="B6153" s="79" t="s">
        <v>2182</v>
      </c>
      <c r="C6153" s="79" t="s">
        <v>17215</v>
      </c>
      <c r="D6153" s="79" t="s">
        <v>15249</v>
      </c>
      <c r="E6153" s="79" t="s">
        <v>18247</v>
      </c>
      <c r="F6153" s="79"/>
    </row>
    <row r="6154" spans="1:10" ht="14.1" customHeight="1" x14ac:dyDescent="0.25">
      <c r="A6154" s="2" t="s">
        <v>6643</v>
      </c>
      <c r="B6154" s="80" t="s">
        <v>1046</v>
      </c>
      <c r="C6154" s="90">
        <v>43470</v>
      </c>
      <c r="D6154" s="2" t="s">
        <v>59</v>
      </c>
      <c r="E6154" s="92" t="s">
        <v>20066</v>
      </c>
      <c r="F6154" s="93" t="s">
        <v>5684</v>
      </c>
    </row>
    <row r="6155" spans="1:10" ht="14.1" customHeight="1" x14ac:dyDescent="0.25">
      <c r="A6155" s="1"/>
      <c r="B6155" s="80" t="s">
        <v>10788</v>
      </c>
      <c r="C6155" s="91">
        <f>IF(C6154="","",IF(AND(MONTH(C6154)&gt;=1,MONTH(C6154)&lt;=3),1,IF(AND(MONTH(C6154)&gt;=4,MONTH(C6154)&lt;=6),2,IF(AND(MONTH(C6154)&gt;=7,MONTH(C6154)&lt;=9),3,4))))</f>
        <v>1</v>
      </c>
      <c r="D6155" s="1"/>
      <c r="E6155" s="92" t="s">
        <v>14822</v>
      </c>
      <c r="F6155" s="93"/>
    </row>
    <row r="6156" spans="1:10" ht="14.1" customHeight="1" x14ac:dyDescent="0.25">
      <c r="A6156" s="1"/>
      <c r="B6156" s="80" t="s">
        <v>13758</v>
      </c>
      <c r="C6156" s="90">
        <v>43554</v>
      </c>
      <c r="D6156" s="1"/>
      <c r="E6156" s="92" t="s">
        <v>18636</v>
      </c>
      <c r="F6156" s="93"/>
    </row>
    <row r="6157" spans="1:10" ht="14.1" customHeight="1" x14ac:dyDescent="0.25">
      <c r="A6157" s="1"/>
      <c r="B6157" s="80" t="s">
        <v>10788</v>
      </c>
      <c r="C6157" s="91">
        <f>IF(C6156="","",IF(AND(MONTH(C6156)&gt;=1,MONTH(C6156)&lt;=3),1,IF(AND(MONTH(C6156)&gt;=4,MONTH(C6156)&lt;=6),2,IF(AND(MONTH(C6156)&gt;=7,MONTH(C6156)&lt;=9),3,4))))</f>
        <v>1</v>
      </c>
      <c r="D6157" s="1"/>
      <c r="E6157" s="92" t="s">
        <v>15990</v>
      </c>
      <c r="F6157" s="93"/>
    </row>
    <row r="6159" spans="1:10" ht="14.1" customHeight="1" x14ac:dyDescent="0.25">
      <c r="A6159" s="85" t="s">
        <v>15474</v>
      </c>
      <c r="B6159" s="85" t="s">
        <v>5027</v>
      </c>
      <c r="C6159" s="85" t="s">
        <v>17461</v>
      </c>
      <c r="D6159" s="85" t="s">
        <v>3935</v>
      </c>
      <c r="E6159" s="85" t="s">
        <v>10722</v>
      </c>
      <c r="F6159" s="85" t="s">
        <v>18237</v>
      </c>
    </row>
    <row r="6160" spans="1:10" ht="14.1" customHeight="1" x14ac:dyDescent="0.25">
      <c r="A6160" s="94" t="s">
        <v>8167</v>
      </c>
      <c r="B6160" s="82" t="str">
        <f ca="1">IFERROR(INDEX(UNSPSCDes,MATCH(INDIRECT(ADDRESS(ROW(),COLUMN()-1,4)),UNSPSCCode,0)),IF(INDIRECT(ADDRESS(ROW(),COLUMN()-1,4))="51161701","Acetilcisteína",""))</f>
        <v>Acetilcisteína</v>
      </c>
      <c r="C6160" s="95" t="str">
        <f>IFERROR(VLOOKUP("UD",'Informacion '!P:Q,2,FALSE),"")</f>
        <v>Unidad</v>
      </c>
      <c r="D6160" s="94">
        <v>28</v>
      </c>
      <c r="E6160" s="84">
        <v>12.59</v>
      </c>
      <c r="F6160" s="83">
        <f t="shared" ref="F6160:F6191" ca="1" si="259">INDIRECT(ADDRESS(ROW(),COLUMN()-2,4))*INDIRECT(ADDRESS(ROW(),COLUMN()-1,4))</f>
        <v>352.52</v>
      </c>
    </row>
    <row r="6161" spans="1:6" ht="14.1" customHeight="1" x14ac:dyDescent="0.25">
      <c r="A6161" s="94" t="s">
        <v>19241</v>
      </c>
      <c r="B6161" s="82" t="str">
        <f ca="1">IFERROR(INDEX(UNSPSCDes,MATCH(INDIRECT(ADDRESS(ROW(),COLUMN()-1,4)),UNSPSCCode,0)),IF(INDIRECT(ADDRESS(ROW(),COLUMN()-1,4))="51131709","Bisulfato de clopidogrel",""))</f>
        <v>Bisulfato de clopidogrel</v>
      </c>
      <c r="C6161" s="95" t="str">
        <f>IFERROR(VLOOKUP("UD",'Informacion '!P:Q,2,FALSE),"")</f>
        <v>Unidad</v>
      </c>
      <c r="D6161" s="94">
        <v>60</v>
      </c>
      <c r="E6161" s="84">
        <v>14.93</v>
      </c>
      <c r="F6161" s="83">
        <f t="shared" ca="1" si="259"/>
        <v>895.8</v>
      </c>
    </row>
    <row r="6162" spans="1:6" ht="14.1" customHeight="1" x14ac:dyDescent="0.25">
      <c r="A6162" s="94" t="s">
        <v>7594</v>
      </c>
      <c r="B6162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6162" s="95" t="str">
        <f>IFERROR(VLOOKUP("UD",'Informacion '!P:Q,2,FALSE),"")</f>
        <v>Unidad</v>
      </c>
      <c r="D6162" s="94">
        <v>1184</v>
      </c>
      <c r="E6162" s="84">
        <v>16.88</v>
      </c>
      <c r="F6162" s="83">
        <f t="shared" ca="1" si="259"/>
        <v>19985.919999999998</v>
      </c>
    </row>
    <row r="6163" spans="1:6" ht="14.1" customHeight="1" x14ac:dyDescent="0.25">
      <c r="A6163" s="94" t="s">
        <v>1138</v>
      </c>
      <c r="B6163" s="82" t="str">
        <f ca="1">IFERROR(INDEX(UNSPSCDes,MATCH(INDIRECT(ADDRESS(ROW(),COLUMN()-1,4)),UNSPSCCode,0)),IF(INDIRECT(ADDRESS(ROW(),COLUMN()-1,4))="51161620","Difenhidramina",""))</f>
        <v>Difenhidramina</v>
      </c>
      <c r="C6163" s="95" t="str">
        <f>IFERROR(VLOOKUP("UD",'Informacion '!P:Q,2,FALSE),"")</f>
        <v>Unidad</v>
      </c>
      <c r="D6163" s="94">
        <v>3542</v>
      </c>
      <c r="E6163" s="84">
        <v>3613</v>
      </c>
      <c r="F6163" s="83">
        <f t="shared" ca="1" si="259"/>
        <v>12797246</v>
      </c>
    </row>
    <row r="6164" spans="1:6" ht="14.1" customHeight="1" x14ac:dyDescent="0.25">
      <c r="A6164" s="94" t="s">
        <v>1138</v>
      </c>
      <c r="B6164" s="82" t="str">
        <f ca="1">IFERROR(INDEX(UNSPSCDes,MATCH(INDIRECT(ADDRESS(ROW(),COLUMN()-1,4)),UNSPSCCode,0)),IF(INDIRECT(ADDRESS(ROW(),COLUMN()-1,4))="51161620","Difenhidramina",""))</f>
        <v>Difenhidramina</v>
      </c>
      <c r="C6164" s="95" t="str">
        <f>IFERROR(VLOOKUP("UD",'Informacion '!P:Q,2,FALSE),"")</f>
        <v>Unidad</v>
      </c>
      <c r="D6164" s="94">
        <v>31</v>
      </c>
      <c r="E6164" s="84">
        <v>30.89</v>
      </c>
      <c r="F6164" s="83">
        <f t="shared" ca="1" si="259"/>
        <v>957.59</v>
      </c>
    </row>
    <row r="6165" spans="1:6" ht="14.1" customHeight="1" x14ac:dyDescent="0.25">
      <c r="A6165" s="94" t="s">
        <v>17940</v>
      </c>
      <c r="B6165" s="82" t="str">
        <f ca="1">IFERROR(INDEX(UNSPSCDes,MATCH(INDIRECT(ADDRESS(ROW(),COLUMN()-1,4)),UNSPSCCode,0)),IF(INDIRECT(ADDRESS(ROW(),COLUMN()-1,4))="51131516","Hierro sacarosa",""))</f>
        <v>Hierro sacarosa</v>
      </c>
      <c r="C6165" s="95" t="str">
        <f>IFERROR(VLOOKUP("UD",'Informacion '!P:Q,2,FALSE),"")</f>
        <v>Unidad</v>
      </c>
      <c r="D6165" s="94">
        <v>1</v>
      </c>
      <c r="E6165" s="84">
        <v>70.8</v>
      </c>
      <c r="F6165" s="83">
        <f t="shared" ca="1" si="259"/>
        <v>70.8</v>
      </c>
    </row>
    <row r="6166" spans="1:6" ht="14.1" customHeight="1" x14ac:dyDescent="0.25">
      <c r="A6166" s="94" t="s">
        <v>18291</v>
      </c>
      <c r="B6166" s="82" t="str">
        <f ca="1">IFERROR(INDEX(UNSPSCDes,MATCH(INDIRECT(ADDRESS(ROW(),COLUMN()-1,4)),UNSPSCCode,0)),IF(INDIRECT(ADDRESS(ROW(),COLUMN()-1,4))="51121511","Clorhidrato de amiodarona",""))</f>
        <v>Clorhidrato de amiodarona</v>
      </c>
      <c r="C6166" s="95" t="str">
        <f>IFERROR(VLOOKUP("UD",'Informacion '!P:Q,2,FALSE),"")</f>
        <v>Unidad</v>
      </c>
      <c r="D6166" s="94">
        <v>44</v>
      </c>
      <c r="E6166" s="84">
        <v>43.94</v>
      </c>
      <c r="F6166" s="83">
        <f t="shared" ca="1" si="259"/>
        <v>1933.36</v>
      </c>
    </row>
    <row r="6167" spans="1:6" ht="14.1" customHeight="1" x14ac:dyDescent="0.25">
      <c r="A6167" s="94" t="s">
        <v>16036</v>
      </c>
      <c r="B6167" s="82" t="str">
        <f ca="1">IFERROR(INDEX(UNSPSCDes,MATCH(INDIRECT(ADDRESS(ROW(),COLUMN()-1,4)),UNSPSCCode,0)),IF(INDIRECT(ADDRESS(ROW(),COLUMN()-1,4))="51121803","Simvastatina",""))</f>
        <v>Simvastatina</v>
      </c>
      <c r="C6167" s="95" t="str">
        <f>IFERROR(VLOOKUP("UD",'Informacion '!P:Q,2,FALSE),"")</f>
        <v>Unidad</v>
      </c>
      <c r="D6167" s="94">
        <v>5</v>
      </c>
      <c r="E6167" s="84">
        <v>8.67</v>
      </c>
      <c r="F6167" s="83">
        <f t="shared" ca="1" si="259"/>
        <v>43.35</v>
      </c>
    </row>
    <row r="6168" spans="1:6" ht="14.1" customHeight="1" x14ac:dyDescent="0.25">
      <c r="A6168" s="94" t="s">
        <v>15700</v>
      </c>
      <c r="B6168" s="82" t="str">
        <f ca="1">IFERROR(INDEX(UNSPSCDes,MATCH(INDIRECT(ADDRESS(ROW(),COLUMN()-1,4)),UNSPSCCode,0)),IF(INDIRECT(ADDRESS(ROW(),COLUMN()-1,4))="51151616","Atropina",""))</f>
        <v>Atropina</v>
      </c>
      <c r="C6168" s="95" t="str">
        <f>IFERROR(VLOOKUP("UD",'Informacion '!P:Q,2,FALSE),"")</f>
        <v>Unidad</v>
      </c>
      <c r="D6168" s="94">
        <v>161</v>
      </c>
      <c r="E6168" s="84">
        <v>10.15</v>
      </c>
      <c r="F6168" s="83">
        <f t="shared" ca="1" si="259"/>
        <v>1634.15</v>
      </c>
    </row>
    <row r="6169" spans="1:6" ht="14.1" customHeight="1" x14ac:dyDescent="0.25">
      <c r="A6169" s="94" t="s">
        <v>9479</v>
      </c>
      <c r="B6169" s="82" t="str">
        <f ca="1">IFERROR(INDEX(UNSPSCDes,MATCH(INDIRECT(ADDRESS(ROW(),COLUMN()-1,4)),UNSPSCCode,0)),IF(INDIRECT(ADDRESS(ROW(),COLUMN()-1,4))="51141601","Amitriptilina",""))</f>
        <v>Amitriptilina</v>
      </c>
      <c r="C6169" s="95" t="str">
        <f>IFERROR(VLOOKUP("UD",'Informacion '!P:Q,2,FALSE),"")</f>
        <v>Unidad</v>
      </c>
      <c r="D6169" s="94">
        <v>32</v>
      </c>
      <c r="E6169" s="84">
        <v>2.08</v>
      </c>
      <c r="F6169" s="83">
        <f t="shared" ca="1" si="259"/>
        <v>66.56</v>
      </c>
    </row>
    <row r="6170" spans="1:6" ht="14.1" customHeight="1" x14ac:dyDescent="0.25">
      <c r="A6170" s="94" t="s">
        <v>4216</v>
      </c>
      <c r="B6170" s="82" t="str">
        <f ca="1">IFERROR(INDEX(UNSPSCDes,MATCH(INDIRECT(ADDRESS(ROW(),COLUMN()-1,4)),UNSPSCCode,0)),IF(INDIRECT(ADDRESS(ROW(),COLUMN()-1,4))="51141604","Mirtazapina",""))</f>
        <v>Mirtazapina</v>
      </c>
      <c r="C6170" s="95" t="str">
        <f>IFERROR(VLOOKUP("UD",'Informacion '!P:Q,2,FALSE),"")</f>
        <v>Unidad</v>
      </c>
      <c r="D6170" s="94">
        <v>1</v>
      </c>
      <c r="E6170" s="84">
        <v>25.31</v>
      </c>
      <c r="F6170" s="83">
        <f t="shared" ca="1" si="259"/>
        <v>25.31</v>
      </c>
    </row>
    <row r="6171" spans="1:6" ht="14.1" customHeight="1" x14ac:dyDescent="0.25">
      <c r="A6171" s="94" t="s">
        <v>6476</v>
      </c>
      <c r="B6171" s="82" t="str">
        <f ca="1">IFERROR(INDEX(UNSPSCDes,MATCH(INDIRECT(ADDRESS(ROW(),COLUMN()-1,4)),UNSPSCCode,0)),IF(INDIRECT(ADDRESS(ROW(),COLUMN()-1,4))="51141618","Clorhidrato de fluoxetina",""))</f>
        <v>Clorhidrato de fluoxetina</v>
      </c>
      <c r="C6171" s="95" t="str">
        <f>IFERROR(VLOOKUP("UD",'Informacion '!P:Q,2,FALSE),"")</f>
        <v>Unidad</v>
      </c>
      <c r="D6171" s="94">
        <v>7</v>
      </c>
      <c r="E6171" s="84">
        <v>15.81</v>
      </c>
      <c r="F6171" s="83">
        <f t="shared" ca="1" si="259"/>
        <v>110.67</v>
      </c>
    </row>
    <row r="6172" spans="1:6" ht="14.1" customHeight="1" x14ac:dyDescent="0.25">
      <c r="A6172" s="94" t="s">
        <v>8733</v>
      </c>
      <c r="B6172" s="82" t="str">
        <f ca="1">IFERROR(INDEX(UNSPSCDes,MATCH(INDIRECT(ADDRESS(ROW(),COLUMN()-1,4)),UNSPSCCode,0)),IF(INDIRECT(ADDRESS(ROW(),COLUMN()-1,4))="51171820","Dimenhidrinato",""))</f>
        <v>Dimenhidrinato</v>
      </c>
      <c r="C6172" s="95" t="str">
        <f>IFERROR(VLOOKUP("UD",'Informacion '!P:Q,2,FALSE),"")</f>
        <v>Unidad</v>
      </c>
      <c r="D6172" s="94">
        <v>250</v>
      </c>
      <c r="E6172" s="84">
        <v>250</v>
      </c>
      <c r="F6172" s="83">
        <f t="shared" ca="1" si="259"/>
        <v>62500</v>
      </c>
    </row>
    <row r="6173" spans="1:6" ht="14.1" customHeight="1" x14ac:dyDescent="0.25">
      <c r="A6173" s="94" t="s">
        <v>10350</v>
      </c>
      <c r="B6173" s="82" t="str">
        <f ca="1">IFERROR(INDEX(UNSPSCDes,MATCH(INDIRECT(ADDRESS(ROW(),COLUMN()-1,4)),UNSPSCCode,0)),IF(INDIRECT(ADDRESS(ROW(),COLUMN()-1,4))="51171806","Metoclopramida",""))</f>
        <v>Metoclopramida</v>
      </c>
      <c r="C6173" s="95" t="str">
        <f>IFERROR(VLOOKUP("UD",'Informacion '!P:Q,2,FALSE),"")</f>
        <v>Unidad</v>
      </c>
      <c r="D6173" s="94">
        <v>131</v>
      </c>
      <c r="E6173" s="84">
        <v>3.07</v>
      </c>
      <c r="F6173" s="83">
        <f t="shared" ca="1" si="259"/>
        <v>402.16999999999996</v>
      </c>
    </row>
    <row r="6174" spans="1:6" ht="14.1" customHeight="1" x14ac:dyDescent="0.25">
      <c r="A6174" s="94" t="s">
        <v>7570</v>
      </c>
      <c r="B6174" s="82" t="str">
        <f ca="1">IFERROR(INDEX(UNSPSCDes,MATCH(INDIRECT(ADDRESS(ROW(),COLUMN()-1,4)),UNSPSCCode,0)),IF(INDIRECT(ADDRESS(ROW(),COLUMN()-1,4))="51171816","Ondansetrón",""))</f>
        <v>Ondansetrón</v>
      </c>
      <c r="C6174" s="95" t="str">
        <f>IFERROR(VLOOKUP("UD",'Informacion '!P:Q,2,FALSE),"")</f>
        <v>Unidad</v>
      </c>
      <c r="D6174" s="94">
        <v>153</v>
      </c>
      <c r="E6174" s="84">
        <v>33</v>
      </c>
      <c r="F6174" s="83">
        <f t="shared" ca="1" si="259"/>
        <v>5049</v>
      </c>
    </row>
    <row r="6175" spans="1:6" ht="14.1" customHeight="1" x14ac:dyDescent="0.25">
      <c r="A6175" s="94" t="s">
        <v>10956</v>
      </c>
      <c r="B6175" s="82" t="str">
        <f ca="1">IFERROR(INDEX(UNSPSCDes,MATCH(INDIRECT(ADDRESS(ROW(),COLUMN()-1,4)),UNSPSCCode,0)),IF(INDIRECT(ADDRESS(ROW(),COLUMN()-1,4))="51141517","Gabapentina",""))</f>
        <v>Gabapentina</v>
      </c>
      <c r="C6175" s="95" t="str">
        <f>IFERROR(VLOOKUP("UD",'Informacion '!P:Q,2,FALSE),"")</f>
        <v>Unidad</v>
      </c>
      <c r="D6175" s="94">
        <v>2</v>
      </c>
      <c r="E6175" s="84">
        <v>32.35</v>
      </c>
      <c r="F6175" s="83">
        <f t="shared" ca="1" si="259"/>
        <v>64.7</v>
      </c>
    </row>
    <row r="6176" spans="1:6" ht="14.1" customHeight="1" x14ac:dyDescent="0.25">
      <c r="A6176" s="94" t="s">
        <v>10956</v>
      </c>
      <c r="B6176" s="82" t="str">
        <f ca="1">IFERROR(INDEX(UNSPSCDes,MATCH(INDIRECT(ADDRESS(ROW(),COLUMN()-1,4)),UNSPSCCode,0)),IF(INDIRECT(ADDRESS(ROW(),COLUMN()-1,4))="51141517","Gabapentina",""))</f>
        <v>Gabapentina</v>
      </c>
      <c r="C6176" s="95" t="str">
        <f>IFERROR(VLOOKUP("UD",'Informacion '!P:Q,2,FALSE),"")</f>
        <v>Unidad</v>
      </c>
      <c r="D6176" s="94">
        <v>68</v>
      </c>
      <c r="E6176" s="84">
        <v>82.42</v>
      </c>
      <c r="F6176" s="83">
        <f t="shared" ca="1" si="259"/>
        <v>5604.56</v>
      </c>
    </row>
    <row r="6177" spans="1:6" ht="14.1" customHeight="1" x14ac:dyDescent="0.25">
      <c r="A6177" s="94" t="s">
        <v>13060</v>
      </c>
      <c r="B6177" s="82" t="str">
        <f ca="1">IFERROR(INDEX(UNSPSCDes,MATCH(INDIRECT(ADDRESS(ROW(),COLUMN()-1,4)),UNSPSCCode,0)),IF(INDIRECT(ADDRESS(ROW(),COLUMN()-1,4))="51172107","Butilbromuro de hioscina",""))</f>
        <v>Butilbromuro de hioscina</v>
      </c>
      <c r="C6177" s="95" t="str">
        <f>IFERROR(VLOOKUP("UD",'Informacion '!P:Q,2,FALSE),"")</f>
        <v>Unidad</v>
      </c>
      <c r="D6177" s="94">
        <v>18</v>
      </c>
      <c r="E6177" s="84">
        <v>9.61</v>
      </c>
      <c r="F6177" s="83">
        <f t="shared" ca="1" si="259"/>
        <v>172.98</v>
      </c>
    </row>
    <row r="6178" spans="1:6" ht="14.1" customHeight="1" x14ac:dyDescent="0.25">
      <c r="A6178" s="94" t="s">
        <v>12395</v>
      </c>
      <c r="B6178" s="82" t="str">
        <f ca="1">IFERROR(INDEX(UNSPSCDes,MATCH(INDIRECT(ADDRESS(ROW(),COLUMN()-1,4)),UNSPSCCode,0)),IF(INDIRECT(ADDRESS(ROW(),COLUMN()-1,4))="51211501","Alopurinol",""))</f>
        <v>Alopurinol</v>
      </c>
      <c r="C6178" s="95" t="str">
        <f>IFERROR(VLOOKUP("UD",'Informacion '!P:Q,2,FALSE),"")</f>
        <v>Unidad</v>
      </c>
      <c r="D6178" s="94">
        <v>278</v>
      </c>
      <c r="E6178" s="84">
        <v>5.65</v>
      </c>
      <c r="F6178" s="83">
        <f t="shared" ca="1" si="259"/>
        <v>1570.7</v>
      </c>
    </row>
    <row r="6179" spans="1:6" ht="14.1" customHeight="1" x14ac:dyDescent="0.25">
      <c r="A6179" s="94" t="s">
        <v>1085</v>
      </c>
      <c r="B6179" s="82" t="str">
        <f ca="1">IFERROR(INDEX(UNSPSCDes,MATCH(INDIRECT(ADDRESS(ROW(),COLUMN()-1,4)),UNSPSCCode,0)),IF(INDIRECT(ADDRESS(ROW(),COLUMN()-1,4))="51111802","Bicalutamida",""))</f>
        <v>Bicalutamida</v>
      </c>
      <c r="C6179" s="95" t="str">
        <f>IFERROR(VLOOKUP("UD",'Informacion '!P:Q,2,FALSE),"")</f>
        <v>Unidad</v>
      </c>
      <c r="D6179" s="94">
        <v>55</v>
      </c>
      <c r="E6179" s="84">
        <v>72.069999999999993</v>
      </c>
      <c r="F6179" s="83">
        <f t="shared" ca="1" si="259"/>
        <v>3963.8499999999995</v>
      </c>
    </row>
    <row r="6180" spans="1:6" ht="14.1" customHeight="1" x14ac:dyDescent="0.25">
      <c r="A6180" s="94" t="s">
        <v>5338</v>
      </c>
      <c r="B6180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6180" s="95" t="str">
        <f>IFERROR(VLOOKUP("UD",'Informacion '!P:Q,2,FALSE),"")</f>
        <v>Unidad</v>
      </c>
      <c r="D6180" s="94">
        <v>8</v>
      </c>
      <c r="E6180" s="84">
        <v>303.38</v>
      </c>
      <c r="F6180" s="83">
        <f t="shared" ca="1" si="259"/>
        <v>2427.04</v>
      </c>
    </row>
    <row r="6181" spans="1:6" ht="14.1" customHeight="1" x14ac:dyDescent="0.25">
      <c r="A6181" s="94" t="s">
        <v>2805</v>
      </c>
      <c r="B6181" s="82" t="str">
        <f ca="1">IFERROR(INDEX(UNSPSCDes,MATCH(INDIRECT(ADDRESS(ROW(),COLUMN()-1,4)),UNSPSCCode,0)),IF(INDIRECT(ADDRESS(ROW(),COLUMN()-1,4))="51102301","Aciclovir",""))</f>
        <v>Aciclovir</v>
      </c>
      <c r="C6181" s="95" t="str">
        <f>IFERROR(VLOOKUP("UD",'Informacion '!P:Q,2,FALSE),"")</f>
        <v>Unidad</v>
      </c>
      <c r="D6181" s="94">
        <v>46</v>
      </c>
      <c r="E6181" s="84">
        <v>768</v>
      </c>
      <c r="F6181" s="83">
        <f t="shared" ca="1" si="259"/>
        <v>35328</v>
      </c>
    </row>
    <row r="6182" spans="1:6" ht="14.1" customHeight="1" x14ac:dyDescent="0.25">
      <c r="A6182" s="94" t="s">
        <v>16940</v>
      </c>
      <c r="B6182" s="82" t="str">
        <f ca="1">IFERROR(INDEX(UNSPSCDes,MATCH(INDIRECT(ADDRESS(ROW(),COLUMN()-1,4)),UNSPSCCode,0)),IF(INDIRECT(ADDRESS(ROW(),COLUMN()-1,4))="85111508","Servicios de prevención o control de enfermedades virales",""))</f>
        <v>Servicios de prevención o control de enfermedades virales</v>
      </c>
      <c r="C6182" s="95" t="str">
        <f>IFERROR(VLOOKUP("UD",'Informacion '!P:Q,2,FALSE),"")</f>
        <v>Unidad</v>
      </c>
      <c r="D6182" s="94">
        <v>1</v>
      </c>
      <c r="E6182" s="84">
        <v>361.54</v>
      </c>
      <c r="F6182" s="83">
        <f t="shared" ca="1" si="259"/>
        <v>361.54</v>
      </c>
    </row>
    <row r="6183" spans="1:6" ht="14.1" customHeight="1" x14ac:dyDescent="0.25">
      <c r="A6183" s="94" t="s">
        <v>6719</v>
      </c>
      <c r="B6183" s="82" t="str">
        <f ca="1">IFERROR(INDEX(UNSPSCDes,MATCH(INDIRECT(ADDRESS(ROW(),COLUMN()-1,4)),UNSPSCCode,0)),IF(INDIRECT(ADDRESS(ROW(),COLUMN()-1,4))="51161808","Dextrometorfano",""))</f>
        <v>Dextrometorfano</v>
      </c>
      <c r="C6183" s="95" t="str">
        <f>IFERROR(VLOOKUP("UD",'Informacion '!P:Q,2,FALSE),"")</f>
        <v>Unidad</v>
      </c>
      <c r="D6183" s="94">
        <v>9</v>
      </c>
      <c r="E6183" s="84">
        <v>16.34</v>
      </c>
      <c r="F6183" s="83">
        <f t="shared" ca="1" si="259"/>
        <v>147.06</v>
      </c>
    </row>
    <row r="6184" spans="1:6" ht="14.1" customHeight="1" x14ac:dyDescent="0.25">
      <c r="A6184" s="94" t="s">
        <v>3671</v>
      </c>
      <c r="B6184" s="82" t="str">
        <f ca="1">IFERROR(INDEX(UNSPSCDes,MATCH(INDIRECT(ADDRESS(ROW(),COLUMN()-1,4)),UNSPSCCode,0)),IF(INDIRECT(ADDRESS(ROW(),COLUMN()-1,4))="51141531","Ácido valproico",""))</f>
        <v>Ácido valproico</v>
      </c>
      <c r="C6184" s="95" t="str">
        <f>IFERROR(VLOOKUP("UD",'Informacion '!P:Q,2,FALSE),"")</f>
        <v>Unidad</v>
      </c>
      <c r="D6184" s="94">
        <v>4</v>
      </c>
      <c r="E6184" s="84">
        <v>14.85</v>
      </c>
      <c r="F6184" s="83">
        <f t="shared" ca="1" si="259"/>
        <v>59.4</v>
      </c>
    </row>
    <row r="6185" spans="1:6" ht="14.1" customHeight="1" x14ac:dyDescent="0.25">
      <c r="A6185" s="94" t="s">
        <v>13626</v>
      </c>
      <c r="B6185" s="82" t="str">
        <f ca="1">IFERROR(INDEX(UNSPSCDes,MATCH(INDIRECT(ADDRESS(ROW(),COLUMN()-1,4)),UNSPSCCode,0)),IF(INDIRECT(ADDRESS(ROW(),COLUMN()-1,4))="51151735","Aspartato de anfetamina",""))</f>
        <v>Aspartato de anfetamina</v>
      </c>
      <c r="C6185" s="95" t="str">
        <f>IFERROR(VLOOKUP("UD",'Informacion '!P:Q,2,FALSE),"")</f>
        <v>Unidad</v>
      </c>
      <c r="D6185" s="94">
        <v>21</v>
      </c>
      <c r="E6185" s="84">
        <v>63.19</v>
      </c>
      <c r="F6185" s="83">
        <f t="shared" ca="1" si="259"/>
        <v>1326.99</v>
      </c>
    </row>
    <row r="6186" spans="1:6" ht="14.1" customHeight="1" x14ac:dyDescent="0.25">
      <c r="A6186" s="94" t="s">
        <v>13626</v>
      </c>
      <c r="B6186" s="82" t="str">
        <f ca="1">IFERROR(INDEX(UNSPSCDes,MATCH(INDIRECT(ADDRESS(ROW(),COLUMN()-1,4)),UNSPSCCode,0)),IF(INDIRECT(ADDRESS(ROW(),COLUMN()-1,4))="51151735","Aspartato de anfetamina",""))</f>
        <v>Aspartato de anfetamina</v>
      </c>
      <c r="C6186" s="95" t="str">
        <f>IFERROR(VLOOKUP("UD",'Informacion '!P:Q,2,FALSE),"")</f>
        <v>Unidad</v>
      </c>
      <c r="D6186" s="94">
        <v>38</v>
      </c>
      <c r="E6186" s="84">
        <v>1008.27</v>
      </c>
      <c r="F6186" s="83">
        <f t="shared" ca="1" si="259"/>
        <v>38314.26</v>
      </c>
    </row>
    <row r="6187" spans="1:6" ht="14.1" customHeight="1" x14ac:dyDescent="0.25">
      <c r="A6187" s="94" t="s">
        <v>14629</v>
      </c>
      <c r="B6187" s="82" t="str">
        <f ca="1">IFERROR(INDEX(UNSPSCDes,MATCH(INDIRECT(ADDRESS(ROW(),COLUMN()-1,4)),UNSPSCCode,0)),IF(INDIRECT(ADDRESS(ROW(),COLUMN()-1,4))="51212401","Sildenafil citrato",""))</f>
        <v>Sildenafil citrato</v>
      </c>
      <c r="C6187" s="95" t="str">
        <f>IFERROR(VLOOKUP("UD",'Informacion '!P:Q,2,FALSE),"")</f>
        <v>Unidad</v>
      </c>
      <c r="D6187" s="94">
        <v>2</v>
      </c>
      <c r="E6187" s="84">
        <v>60</v>
      </c>
      <c r="F6187" s="83">
        <f t="shared" ca="1" si="259"/>
        <v>120</v>
      </c>
    </row>
    <row r="6188" spans="1:6" ht="14.1" customHeight="1" x14ac:dyDescent="0.25">
      <c r="A6188" s="94" t="s">
        <v>10495</v>
      </c>
      <c r="B6188" s="82" t="str">
        <f ca="1">IFERROR(INDEX(UNSPSCDes,MATCH(INDIRECT(ADDRESS(ROW(),COLUMN()-1,4)),UNSPSCCode,0)),IF(INDIRECT(ADDRESS(ROW(),COLUMN()-1,4))="51171505","Simeticona",""))</f>
        <v>Simeticona</v>
      </c>
      <c r="C6188" s="95" t="str">
        <f>IFERROR(VLOOKUP("UD",'Informacion '!P:Q,2,FALSE),"")</f>
        <v>Unidad</v>
      </c>
      <c r="D6188" s="94">
        <v>3</v>
      </c>
      <c r="E6188" s="84">
        <v>363.46</v>
      </c>
      <c r="F6188" s="83">
        <f t="shared" ca="1" si="259"/>
        <v>1090.3799999999999</v>
      </c>
    </row>
    <row r="6189" spans="1:6" ht="14.1" customHeight="1" x14ac:dyDescent="0.25">
      <c r="A6189" s="94" t="s">
        <v>10495</v>
      </c>
      <c r="B6189" s="82" t="str">
        <f ca="1">IFERROR(INDEX(UNSPSCDes,MATCH(INDIRECT(ADDRESS(ROW(),COLUMN()-1,4)),UNSPSCCode,0)),IF(INDIRECT(ADDRESS(ROW(),COLUMN()-1,4))="51171505","Simeticona",""))</f>
        <v>Simeticona</v>
      </c>
      <c r="C6189" s="95" t="str">
        <f>IFERROR(VLOOKUP("UD",'Informacion '!P:Q,2,FALSE),"")</f>
        <v>Unidad</v>
      </c>
      <c r="D6189" s="94">
        <v>1</v>
      </c>
      <c r="E6189" s="84">
        <v>84</v>
      </c>
      <c r="F6189" s="83">
        <f t="shared" ca="1" si="259"/>
        <v>84</v>
      </c>
    </row>
    <row r="6190" spans="1:6" ht="14.1" customHeight="1" x14ac:dyDescent="0.25">
      <c r="A6190" s="94" t="s">
        <v>20027</v>
      </c>
      <c r="B6190" s="82" t="str">
        <f ca="1">IFERROR(INDEX(UNSPSCDes,MATCH(INDIRECT(ADDRESS(ROW(),COLUMN()-1,4)),UNSPSCCode,0)),IF(INDIRECT(ADDRESS(ROW(),COLUMN()-1,4))="41104210","Disolventes",""))</f>
        <v>Disolventes</v>
      </c>
      <c r="C6190" s="95" t="str">
        <f>IFERROR(VLOOKUP("UD",'Informacion '!P:Q,2,FALSE),"")</f>
        <v>Unidad</v>
      </c>
      <c r="D6190" s="94">
        <v>823</v>
      </c>
      <c r="E6190" s="84">
        <v>3.1</v>
      </c>
      <c r="F6190" s="83">
        <f t="shared" ca="1" si="259"/>
        <v>2551.3000000000002</v>
      </c>
    </row>
    <row r="6191" spans="1:6" ht="14.1" customHeight="1" x14ac:dyDescent="0.25">
      <c r="A6191" s="94" t="s">
        <v>20027</v>
      </c>
      <c r="B6191" s="82" t="str">
        <f ca="1">IFERROR(INDEX(UNSPSCDes,MATCH(INDIRECT(ADDRESS(ROW(),COLUMN()-1,4)),UNSPSCCode,0)),IF(INDIRECT(ADDRESS(ROW(),COLUMN()-1,4))="41104210","Disolventes",""))</f>
        <v>Disolventes</v>
      </c>
      <c r="C6191" s="95" t="str">
        <f>IFERROR(VLOOKUP("UD",'Informacion '!P:Q,2,FALSE),"")</f>
        <v>Unidad</v>
      </c>
      <c r="D6191" s="94">
        <v>4</v>
      </c>
      <c r="E6191" s="84">
        <v>166.92</v>
      </c>
      <c r="F6191" s="83">
        <f t="shared" ca="1" si="259"/>
        <v>667.68</v>
      </c>
    </row>
    <row r="6192" spans="1:6" ht="14.1" customHeight="1" x14ac:dyDescent="0.25">
      <c r="A6192" s="94" t="s">
        <v>20027</v>
      </c>
      <c r="B6192" s="82" t="str">
        <f ca="1">IFERROR(INDEX(UNSPSCDes,MATCH(INDIRECT(ADDRESS(ROW(),COLUMN()-1,4)),UNSPSCCode,0)),IF(INDIRECT(ADDRESS(ROW(),COLUMN()-1,4))="41104210","Disolventes",""))</f>
        <v>Disolventes</v>
      </c>
      <c r="C6192" s="95" t="str">
        <f>IFERROR(VLOOKUP("UD",'Informacion '!P:Q,2,FALSE),"")</f>
        <v>Unidad</v>
      </c>
      <c r="D6192" s="94">
        <v>2</v>
      </c>
      <c r="E6192" s="84">
        <v>872.11</v>
      </c>
      <c r="F6192" s="83">
        <f t="shared" ref="F6192:F6221" ca="1" si="260">INDIRECT(ADDRESS(ROW(),COLUMN()-2,4))*INDIRECT(ADDRESS(ROW(),COLUMN()-1,4))</f>
        <v>1744.22</v>
      </c>
    </row>
    <row r="6193" spans="1:6" ht="14.1" customHeight="1" x14ac:dyDescent="0.25">
      <c r="A6193" s="94" t="s">
        <v>1744</v>
      </c>
      <c r="B6193" s="82" t="str">
        <f ca="1">IFERROR(INDEX(UNSPSCDes,MATCH(INDIRECT(ADDRESS(ROW(),COLUMN()-1,4)),UNSPSCCode,0)),IF(INDIRECT(ADDRESS(ROW(),COLUMN()-1,4))="51172109","Trimebutina",""))</f>
        <v>Trimebutina</v>
      </c>
      <c r="C6193" s="95" t="str">
        <f>IFERROR(VLOOKUP("UD",'Informacion '!P:Q,2,FALSE),"")</f>
        <v>Unidad</v>
      </c>
      <c r="D6193" s="94">
        <v>84</v>
      </c>
      <c r="E6193" s="84">
        <v>347.9</v>
      </c>
      <c r="F6193" s="83">
        <f t="shared" ca="1" si="260"/>
        <v>29223.599999999999</v>
      </c>
    </row>
    <row r="6194" spans="1:6" ht="14.1" customHeight="1" x14ac:dyDescent="0.25">
      <c r="A6194" s="94" t="s">
        <v>9828</v>
      </c>
      <c r="B6194" s="82" t="str">
        <f ca="1">IFERROR(INDEX(UNSPSCDes,MATCH(INDIRECT(ADDRESS(ROW(),COLUMN()-1,4)),UNSPSCCode,0)),IF(INDIRECT(ADDRESS(ROW(),COLUMN()-1,4))="51121502","Digoxina",""))</f>
        <v>Digoxina</v>
      </c>
      <c r="C6194" s="95" t="str">
        <f>IFERROR(VLOOKUP("UD",'Informacion '!P:Q,2,FALSE),"")</f>
        <v>Unidad</v>
      </c>
      <c r="D6194" s="94">
        <v>44</v>
      </c>
      <c r="E6194" s="84">
        <v>0.48</v>
      </c>
      <c r="F6194" s="83">
        <f t="shared" ca="1" si="260"/>
        <v>21.119999999999997</v>
      </c>
    </row>
    <row r="6195" spans="1:6" ht="14.1" customHeight="1" x14ac:dyDescent="0.25">
      <c r="A6195" s="94" t="s">
        <v>16970</v>
      </c>
      <c r="B6195" s="82" t="str">
        <f ca="1">IFERROR(INDEX(UNSPSCDes,MATCH(INDIRECT(ADDRESS(ROW(),COLUMN()-1,4)),UNSPSCCode,0)),IF(INDIRECT(ADDRESS(ROW(),COLUMN()-1,4))="51131603","Heparina sódica",""))</f>
        <v>Heparina sódica</v>
      </c>
      <c r="C6195" s="95" t="str">
        <f>IFERROR(VLOOKUP("UD",'Informacion '!P:Q,2,FALSE),"")</f>
        <v>Unidad</v>
      </c>
      <c r="D6195" s="94">
        <v>23</v>
      </c>
      <c r="E6195" s="84">
        <v>138.18</v>
      </c>
      <c r="F6195" s="83">
        <f t="shared" ca="1" si="260"/>
        <v>3178.1400000000003</v>
      </c>
    </row>
    <row r="6196" spans="1:6" ht="14.1" customHeight="1" x14ac:dyDescent="0.25">
      <c r="A6196" s="94" t="s">
        <v>1644</v>
      </c>
      <c r="B6196" s="82" t="str">
        <f ca="1">IFERROR(INDEX(UNSPSCDes,MATCH(INDIRECT(ADDRESS(ROW(),COLUMN()-1,4)),UNSPSCCode,0)),IF(INDIRECT(ADDRESS(ROW(),COLUMN()-1,4))="51161811","Bromhexina",""))</f>
        <v>Bromhexina</v>
      </c>
      <c r="C6196" s="95" t="str">
        <f>IFERROR(VLOOKUP("UD",'Informacion '!P:Q,2,FALSE),"")</f>
        <v>Unidad</v>
      </c>
      <c r="D6196" s="94">
        <v>55</v>
      </c>
      <c r="E6196" s="84">
        <v>18.79</v>
      </c>
      <c r="F6196" s="83">
        <f t="shared" ca="1" si="260"/>
        <v>1033.45</v>
      </c>
    </row>
    <row r="6197" spans="1:6" ht="14.1" customHeight="1" x14ac:dyDescent="0.25">
      <c r="A6197" s="94" t="s">
        <v>1644</v>
      </c>
      <c r="B6197" s="82" t="str">
        <f ca="1">IFERROR(INDEX(UNSPSCDes,MATCH(INDIRECT(ADDRESS(ROW(),COLUMN()-1,4)),UNSPSCCode,0)),IF(INDIRECT(ADDRESS(ROW(),COLUMN()-1,4))="51161811","Bromhexina",""))</f>
        <v>Bromhexina</v>
      </c>
      <c r="C6197" s="95" t="str">
        <f>IFERROR(VLOOKUP("UD",'Informacion '!P:Q,2,FALSE),"")</f>
        <v>Unidad</v>
      </c>
      <c r="D6197" s="94">
        <v>18</v>
      </c>
      <c r="E6197" s="84">
        <v>115.54</v>
      </c>
      <c r="F6197" s="83">
        <f t="shared" ca="1" si="260"/>
        <v>2079.7200000000003</v>
      </c>
    </row>
    <row r="6198" spans="1:6" ht="14.1" customHeight="1" x14ac:dyDescent="0.25">
      <c r="A6198" s="94" t="s">
        <v>1644</v>
      </c>
      <c r="B6198" s="82" t="str">
        <f ca="1">IFERROR(INDEX(UNSPSCDes,MATCH(INDIRECT(ADDRESS(ROW(),COLUMN()-1,4)),UNSPSCCode,0)),IF(INDIRECT(ADDRESS(ROW(),COLUMN()-1,4))="51161811","Bromhexina",""))</f>
        <v>Bromhexina</v>
      </c>
      <c r="C6198" s="95" t="str">
        <f>IFERROR(VLOOKUP("UD",'Informacion '!P:Q,2,FALSE),"")</f>
        <v>Unidad</v>
      </c>
      <c r="D6198" s="94">
        <v>200</v>
      </c>
      <c r="E6198" s="84">
        <v>178.57</v>
      </c>
      <c r="F6198" s="83">
        <f t="shared" ca="1" si="260"/>
        <v>35714</v>
      </c>
    </row>
    <row r="6199" spans="1:6" ht="14.1" customHeight="1" x14ac:dyDescent="0.25">
      <c r="A6199" s="94" t="s">
        <v>6794</v>
      </c>
      <c r="B6199" s="82" t="str">
        <f ca="1">IFERROR(INDEX(UNSPSCDes,MATCH(INDIRECT(ADDRESS(ROW(),COLUMN()-1,4)),UNSPSCCode,0)),IF(INDIRECT(ADDRESS(ROW(),COLUMN()-1,4))="51151737","Clorhidrato de dopamina",""))</f>
        <v>Clorhidrato de dopamina</v>
      </c>
      <c r="C6199" s="95" t="str">
        <f>IFERROR(VLOOKUP("UD",'Informacion '!P:Q,2,FALSE),"")</f>
        <v>Unidad</v>
      </c>
      <c r="D6199" s="94">
        <v>19</v>
      </c>
      <c r="E6199" s="84">
        <v>75</v>
      </c>
      <c r="F6199" s="83">
        <f t="shared" ca="1" si="260"/>
        <v>1425</v>
      </c>
    </row>
    <row r="6200" spans="1:6" ht="14.1" customHeight="1" x14ac:dyDescent="0.25">
      <c r="A6200" s="94" t="s">
        <v>6794</v>
      </c>
      <c r="B6200" s="82" t="str">
        <f ca="1">IFERROR(INDEX(UNSPSCDes,MATCH(INDIRECT(ADDRESS(ROW(),COLUMN()-1,4)),UNSPSCCode,0)),IF(INDIRECT(ADDRESS(ROW(),COLUMN()-1,4))="51151737","Clorhidrato de dopamina",""))</f>
        <v>Clorhidrato de dopamina</v>
      </c>
      <c r="C6200" s="95" t="str">
        <f>IFERROR(VLOOKUP("UD",'Informacion '!P:Q,2,FALSE),"")</f>
        <v>Unidad</v>
      </c>
      <c r="D6200" s="94">
        <v>251</v>
      </c>
      <c r="E6200" s="84">
        <v>9.4700000000000006</v>
      </c>
      <c r="F6200" s="83">
        <f t="shared" ca="1" si="260"/>
        <v>2376.9700000000003</v>
      </c>
    </row>
    <row r="6201" spans="1:6" ht="14.1" customHeight="1" x14ac:dyDescent="0.25">
      <c r="A6201" s="94" t="s">
        <v>9816</v>
      </c>
      <c r="B6201" s="82" t="str">
        <f ca="1">IFERROR(INDEX(UNSPSCDes,MATCH(INDIRECT(ADDRESS(ROW(),COLUMN()-1,4)),UNSPSCCode,0)),IF(INDIRECT(ADDRESS(ROW(),COLUMN()-1,4))="51191905","Suplementos vitamínicos",""))</f>
        <v>Suplementos vitamínicos</v>
      </c>
      <c r="C6201" s="95" t="str">
        <f>IFERROR(VLOOKUP("UD",'Informacion '!P:Q,2,FALSE),"")</f>
        <v>Unidad</v>
      </c>
      <c r="D6201" s="94">
        <v>4</v>
      </c>
      <c r="E6201" s="84">
        <v>20</v>
      </c>
      <c r="F6201" s="83">
        <f t="shared" ca="1" si="260"/>
        <v>80</v>
      </c>
    </row>
    <row r="6202" spans="1:6" ht="14.1" customHeight="1" x14ac:dyDescent="0.25">
      <c r="A6202" s="94" t="s">
        <v>9816</v>
      </c>
      <c r="B6202" s="82" t="str">
        <f ca="1">IFERROR(INDEX(UNSPSCDes,MATCH(INDIRECT(ADDRESS(ROW(),COLUMN()-1,4)),UNSPSCCode,0)),IF(INDIRECT(ADDRESS(ROW(),COLUMN()-1,4))="51191905","Suplementos vitamínicos",""))</f>
        <v>Suplementos vitamínicos</v>
      </c>
      <c r="C6202" s="95" t="str">
        <f>IFERROR(VLOOKUP("UD",'Informacion '!P:Q,2,FALSE),"")</f>
        <v>Unidad</v>
      </c>
      <c r="D6202" s="94">
        <v>26</v>
      </c>
      <c r="E6202" s="84">
        <v>250</v>
      </c>
      <c r="F6202" s="83">
        <f t="shared" ca="1" si="260"/>
        <v>6500</v>
      </c>
    </row>
    <row r="6203" spans="1:6" ht="14.1" customHeight="1" x14ac:dyDescent="0.25">
      <c r="A6203" s="94" t="s">
        <v>4565</v>
      </c>
      <c r="B6203" s="82" t="str">
        <f ca="1">IFERROR(INDEX(UNSPSCDes,MATCH(INDIRECT(ADDRESS(ROW(),COLUMN()-1,4)),UNSPSCCode,0)),IF(INDIRECT(ADDRESS(ROW(),COLUMN()-1,4))="51151916","Cloruro de succinilcolina",""))</f>
        <v>Cloruro de succinilcolina</v>
      </c>
      <c r="C6203" s="95" t="str">
        <f>IFERROR(VLOOKUP("UD",'Informacion '!P:Q,2,FALSE),"")</f>
        <v>Unidad</v>
      </c>
      <c r="D6203" s="94">
        <v>1</v>
      </c>
      <c r="E6203" s="84">
        <v>250</v>
      </c>
      <c r="F6203" s="83">
        <f t="shared" ca="1" si="260"/>
        <v>250</v>
      </c>
    </row>
    <row r="6204" spans="1:6" ht="14.1" customHeight="1" x14ac:dyDescent="0.25">
      <c r="A6204" s="94" t="s">
        <v>8501</v>
      </c>
      <c r="B6204" s="82" t="str">
        <f ca="1">IFERROR(INDEX(UNSPSCDes,MATCH(INDIRECT(ADDRESS(ROW(),COLUMN()-1,4)),UNSPSCCode,0)),IF(INDIRECT(ADDRESS(ROW(),COLUMN()-1,4))="51142302","Hidrocloruro de naloxona",""))</f>
        <v>Hidrocloruro de naloxona</v>
      </c>
      <c r="C6204" s="95" t="str">
        <f>IFERROR(VLOOKUP("UD",'Informacion '!P:Q,2,FALSE),"")</f>
        <v>Unidad</v>
      </c>
      <c r="D6204" s="94">
        <v>1</v>
      </c>
      <c r="E6204" s="84">
        <v>495</v>
      </c>
      <c r="F6204" s="83">
        <f t="shared" ca="1" si="260"/>
        <v>495</v>
      </c>
    </row>
    <row r="6205" spans="1:6" ht="14.1" customHeight="1" x14ac:dyDescent="0.25">
      <c r="A6205" s="94" t="s">
        <v>18</v>
      </c>
      <c r="B6205" s="82" t="str">
        <f ca="1">IFERROR(INDEX(UNSPSCDes,MATCH(INDIRECT(ADDRESS(ROW(),COLUMN()-1,4)),UNSPSCCode,0)),IF(INDIRECT(ADDRESS(ROW(),COLUMN()-1,4))="51151732","Clorhidrato de dobutamina",""))</f>
        <v>Clorhidrato de dobutamina</v>
      </c>
      <c r="C6205" s="95" t="str">
        <f>IFERROR(VLOOKUP("UD",'Informacion '!P:Q,2,FALSE),"")</f>
        <v>Unidad</v>
      </c>
      <c r="D6205" s="94">
        <v>6</v>
      </c>
      <c r="E6205" s="84">
        <v>220.82</v>
      </c>
      <c r="F6205" s="83">
        <f t="shared" ca="1" si="260"/>
        <v>1324.92</v>
      </c>
    </row>
    <row r="6206" spans="1:6" ht="14.1" customHeight="1" x14ac:dyDescent="0.25">
      <c r="A6206" s="94" t="s">
        <v>11172</v>
      </c>
      <c r="B6206" s="82" t="str">
        <f ca="1">IFERROR(INDEX(UNSPSCDes,MATCH(INDIRECT(ADDRESS(ROW(),COLUMN()-1,4)),UNSPSCCode,0)),IF(INDIRECT(ADDRESS(ROW(),COLUMN()-1,4))="51151723","Clorhidrato de tetrahidrozolina",""))</f>
        <v>Clorhidrato de tetrahidrozolina</v>
      </c>
      <c r="C6206" s="95" t="str">
        <f>IFERROR(VLOOKUP("UD",'Informacion '!P:Q,2,FALSE),"")</f>
        <v>Unidad</v>
      </c>
      <c r="D6206" s="94">
        <v>2</v>
      </c>
      <c r="E6206" s="84">
        <v>143.97</v>
      </c>
      <c r="F6206" s="83">
        <f t="shared" ca="1" si="260"/>
        <v>287.94</v>
      </c>
    </row>
    <row r="6207" spans="1:6" ht="14.1" customHeight="1" x14ac:dyDescent="0.25">
      <c r="A6207" s="94" t="s">
        <v>9816</v>
      </c>
      <c r="B6207" s="82" t="str">
        <f ca="1">IFERROR(INDEX(UNSPSCDes,MATCH(INDIRECT(ADDRESS(ROW(),COLUMN()-1,4)),UNSPSCCode,0)),IF(INDIRECT(ADDRESS(ROW(),COLUMN()-1,4))="51191905","Suplementos vitamínicos",""))</f>
        <v>Suplementos vitamínicos</v>
      </c>
      <c r="C6207" s="95" t="str">
        <f>IFERROR(VLOOKUP("UD",'Informacion '!P:Q,2,FALSE),"")</f>
        <v>Unidad</v>
      </c>
      <c r="D6207" s="94">
        <v>1136</v>
      </c>
      <c r="E6207" s="84">
        <v>6.04</v>
      </c>
      <c r="F6207" s="83">
        <f t="shared" ca="1" si="260"/>
        <v>6861.44</v>
      </c>
    </row>
    <row r="6208" spans="1:6" ht="14.1" customHeight="1" x14ac:dyDescent="0.25">
      <c r="A6208" s="94" t="s">
        <v>14835</v>
      </c>
      <c r="B6208" s="82" t="str">
        <f ca="1">IFERROR(INDEX(UNSPSCDes,MATCH(INDIRECT(ADDRESS(ROW(),COLUMN()-1,4)),UNSPSCCode,0)),IF(INDIRECT(ADDRESS(ROW(),COLUMN()-1,4))="51121603","Nitroglicerina",""))</f>
        <v>Nitroglicerina</v>
      </c>
      <c r="C6208" s="95" t="str">
        <f>IFERROR(VLOOKUP("UD",'Informacion '!P:Q,2,FALSE),"")</f>
        <v>Unidad</v>
      </c>
      <c r="D6208" s="94">
        <v>6</v>
      </c>
      <c r="E6208" s="84">
        <v>250</v>
      </c>
      <c r="F6208" s="83">
        <f t="shared" ca="1" si="260"/>
        <v>1500</v>
      </c>
    </row>
    <row r="6209" spans="1:10" ht="14.1" customHeight="1" x14ac:dyDescent="0.25">
      <c r="A6209" s="94" t="s">
        <v>11445</v>
      </c>
      <c r="B6209" s="82" t="str">
        <f ca="1">IFERROR(INDEX(UNSPSCDes,MATCH(INDIRECT(ADDRESS(ROW(),COLUMN()-1,4)),UNSPSCCode,0)),IF(INDIRECT(ADDRESS(ROW(),COLUMN()-1,4))="51131501","Fumarato ferroso",""))</f>
        <v>Fumarato ferroso</v>
      </c>
      <c r="C6209" s="95" t="str">
        <f>IFERROR(VLOOKUP("UD",'Informacion '!P:Q,2,FALSE),"")</f>
        <v>Unidad</v>
      </c>
      <c r="D6209" s="94">
        <v>8</v>
      </c>
      <c r="E6209" s="84">
        <v>1.1000000000000001</v>
      </c>
      <c r="F6209" s="83">
        <f t="shared" ca="1" si="260"/>
        <v>8.8000000000000007</v>
      </c>
    </row>
    <row r="6210" spans="1:10" ht="14.1" customHeight="1" x14ac:dyDescent="0.25">
      <c r="A6210" s="94" t="s">
        <v>11445</v>
      </c>
      <c r="B6210" s="82" t="str">
        <f ca="1">IFERROR(INDEX(UNSPSCDes,MATCH(INDIRECT(ADDRESS(ROW(),COLUMN()-1,4)),UNSPSCCode,0)),IF(INDIRECT(ADDRESS(ROW(),COLUMN()-1,4))="51131501","Fumarato ferroso",""))</f>
        <v>Fumarato ferroso</v>
      </c>
      <c r="C6210" s="95" t="str">
        <f>IFERROR(VLOOKUP("UD",'Informacion '!P:Q,2,FALSE),"")</f>
        <v>Unidad</v>
      </c>
      <c r="D6210" s="94">
        <v>24</v>
      </c>
      <c r="E6210" s="84">
        <v>96.43</v>
      </c>
      <c r="F6210" s="83">
        <f t="shared" ca="1" si="260"/>
        <v>2314.3200000000002</v>
      </c>
    </row>
    <row r="6211" spans="1:10" ht="14.1" customHeight="1" x14ac:dyDescent="0.25">
      <c r="A6211" s="94" t="s">
        <v>10568</v>
      </c>
      <c r="B6211" s="82" t="str">
        <f ca="1">IFERROR(INDEX(UNSPSCDes,MATCH(INDIRECT(ADDRESS(ROW(),COLUMN()-1,4)),UNSPSCCode,0)),IF(INDIRECT(ADDRESS(ROW(),COLUMN()-1,4))="51171904","Clorhidrato de ranitidina",""))</f>
        <v>Clorhidrato de ranitidina</v>
      </c>
      <c r="C6211" s="95" t="str">
        <f>IFERROR(VLOOKUP("UD",'Informacion '!P:Q,2,FALSE),"")</f>
        <v>Unidad</v>
      </c>
      <c r="D6211" s="94">
        <v>1341</v>
      </c>
      <c r="E6211" s="84">
        <v>4.87</v>
      </c>
      <c r="F6211" s="83">
        <f t="shared" ca="1" si="260"/>
        <v>6530.67</v>
      </c>
    </row>
    <row r="6212" spans="1:10" ht="14.1" customHeight="1" x14ac:dyDescent="0.25">
      <c r="A6212" s="94" t="s">
        <v>14841</v>
      </c>
      <c r="B6212" s="82" t="str">
        <f ca="1">IFERROR(INDEX(UNSPSCDes,MATCH(INDIRECT(ADDRESS(ROW(),COLUMN()-1,4)),UNSPSCCode,0)),IF(INDIRECT(ADDRESS(ROW(),COLUMN()-1,4))="51171911","Sucralfato",""))</f>
        <v>Sucralfato</v>
      </c>
      <c r="C6212" s="95" t="str">
        <f>IFERROR(VLOOKUP("UD",'Informacion '!P:Q,2,FALSE),"")</f>
        <v>Unidad</v>
      </c>
      <c r="D6212" s="94">
        <v>54</v>
      </c>
      <c r="E6212" s="84">
        <v>11.62</v>
      </c>
      <c r="F6212" s="83">
        <f t="shared" ca="1" si="260"/>
        <v>627.4799999999999</v>
      </c>
    </row>
    <row r="6213" spans="1:10" ht="14.1" customHeight="1" x14ac:dyDescent="0.25">
      <c r="A6213" s="94" t="s">
        <v>5537</v>
      </c>
      <c r="B6213" s="82" t="str">
        <f ca="1">IFERROR(INDEX(UNSPSCDes,MATCH(INDIRECT(ADDRESS(ROW(),COLUMN()-1,4)),UNSPSCCode,0)),IF(INDIRECT(ADDRESS(ROW(),COLUMN()-1,4))="51171909","Omeprazol",""))</f>
        <v>Omeprazol</v>
      </c>
      <c r="C6213" s="95" t="str">
        <f>IFERROR(VLOOKUP("UD",'Informacion '!P:Q,2,FALSE),"")</f>
        <v>Unidad</v>
      </c>
      <c r="D6213" s="94">
        <v>656</v>
      </c>
      <c r="E6213" s="84">
        <v>11.62</v>
      </c>
      <c r="F6213" s="83">
        <f t="shared" ca="1" si="260"/>
        <v>7622.7199999999993</v>
      </c>
    </row>
    <row r="6214" spans="1:10" ht="14.1" customHeight="1" x14ac:dyDescent="0.25">
      <c r="A6214" s="94" t="s">
        <v>5537</v>
      </c>
      <c r="B6214" s="82" t="str">
        <f ca="1">IFERROR(INDEX(UNSPSCDes,MATCH(INDIRECT(ADDRESS(ROW(),COLUMN()-1,4)),UNSPSCCode,0)),IF(INDIRECT(ADDRESS(ROW(),COLUMN()-1,4))="51171909","Omeprazol",""))</f>
        <v>Omeprazol</v>
      </c>
      <c r="C6214" s="95" t="str">
        <f>IFERROR(VLOOKUP("UD",'Informacion '!P:Q,2,FALSE),"")</f>
        <v>Unidad</v>
      </c>
      <c r="D6214" s="94">
        <v>179</v>
      </c>
      <c r="E6214" s="84">
        <v>332.66</v>
      </c>
      <c r="F6214" s="83">
        <f t="shared" ca="1" si="260"/>
        <v>59546.140000000007</v>
      </c>
    </row>
    <row r="6215" spans="1:10" ht="14.1" customHeight="1" x14ac:dyDescent="0.25">
      <c r="A6215" s="94" t="s">
        <v>10319</v>
      </c>
      <c r="B6215" s="82" t="str">
        <f ca="1">IFERROR(INDEX(UNSPSCDes,MATCH(INDIRECT(ADDRESS(ROW(),COLUMN()-1,4)),UNSPSCCode,0)),IF(INDIRECT(ADDRESS(ROW(),COLUMN()-1,4))="51171915","Pantoprazol sódico",""))</f>
        <v>Pantoprazol sódico</v>
      </c>
      <c r="C6215" s="95" t="str">
        <f>IFERROR(VLOOKUP("UD",'Informacion '!P:Q,2,FALSE),"")</f>
        <v>Unidad</v>
      </c>
      <c r="D6215" s="94">
        <v>7</v>
      </c>
      <c r="E6215" s="84">
        <v>664.45</v>
      </c>
      <c r="F6215" s="83">
        <f t="shared" ca="1" si="260"/>
        <v>4651.1500000000005</v>
      </c>
    </row>
    <row r="6216" spans="1:10" ht="14.1" customHeight="1" x14ac:dyDescent="0.25">
      <c r="A6216" s="94" t="s">
        <v>10319</v>
      </c>
      <c r="B6216" s="82" t="str">
        <f ca="1">IFERROR(INDEX(UNSPSCDes,MATCH(INDIRECT(ADDRESS(ROW(),COLUMN()-1,4)),UNSPSCCode,0)),IF(INDIRECT(ADDRESS(ROW(),COLUMN()-1,4))="51171915","Pantoprazol sódico",""))</f>
        <v>Pantoprazol sódico</v>
      </c>
      <c r="C6216" s="95" t="str">
        <f>IFERROR(VLOOKUP("UD",'Informacion '!P:Q,2,FALSE),"")</f>
        <v>Unidad</v>
      </c>
      <c r="D6216" s="94">
        <v>2</v>
      </c>
      <c r="E6216" s="84">
        <v>34.33</v>
      </c>
      <c r="F6216" s="83">
        <f t="shared" ca="1" si="260"/>
        <v>68.66</v>
      </c>
    </row>
    <row r="6217" spans="1:10" ht="14.1" customHeight="1" x14ac:dyDescent="0.25">
      <c r="A6217" s="94" t="s">
        <v>13844</v>
      </c>
      <c r="B6217" s="82" t="str">
        <f ca="1">IFERROR(INDEX(UNSPSCDes,MATCH(INDIRECT(ADDRESS(ROW(),COLUMN()-1,4)),UNSPSCCode,0)),IF(INDIRECT(ADDRESS(ROW(),COLUMN()-1,4))="42141903","Kits o accesorios para enema",""))</f>
        <v>Kits o accesorios para enema</v>
      </c>
      <c r="C6217" s="95" t="str">
        <f>IFERROR(VLOOKUP("UD",'Informacion '!P:Q,2,FALSE),"")</f>
        <v>Unidad</v>
      </c>
      <c r="D6217" s="94">
        <v>162</v>
      </c>
      <c r="E6217" s="84">
        <v>75.41</v>
      </c>
      <c r="F6217" s="83">
        <f t="shared" ca="1" si="260"/>
        <v>12216.42</v>
      </c>
    </row>
    <row r="6218" spans="1:10" ht="14.1" customHeight="1" x14ac:dyDescent="0.25">
      <c r="A6218" s="94" t="s">
        <v>12769</v>
      </c>
      <c r="B6218" s="82" t="str">
        <f ca="1">IFERROR(INDEX(UNSPSCDes,MATCH(INDIRECT(ADDRESS(ROW(),COLUMN()-1,4)),UNSPSCCode,0)),IF(INDIRECT(ADDRESS(ROW(),COLUMN()-1,4))="51171605","Lactulosa",""))</f>
        <v>Lactulosa</v>
      </c>
      <c r="C6218" s="95" t="str">
        <f>IFERROR(VLOOKUP("UD",'Informacion '!P:Q,2,FALSE),"")</f>
        <v>Unidad</v>
      </c>
      <c r="D6218" s="94">
        <v>49</v>
      </c>
      <c r="E6218" s="84">
        <v>426.33</v>
      </c>
      <c r="F6218" s="83">
        <f t="shared" ca="1" si="260"/>
        <v>20890.169999999998</v>
      </c>
    </row>
    <row r="6219" spans="1:10" ht="14.1" customHeight="1" x14ac:dyDescent="0.25">
      <c r="A6219" s="94" t="s">
        <v>12769</v>
      </c>
      <c r="B6219" s="82" t="str">
        <f ca="1">IFERROR(INDEX(UNSPSCDes,MATCH(INDIRECT(ADDRESS(ROW(),COLUMN()-1,4)),UNSPSCCode,0)),IF(INDIRECT(ADDRESS(ROW(),COLUMN()-1,4))="51171605","Lactulosa",""))</f>
        <v>Lactulosa</v>
      </c>
      <c r="C6219" s="95" t="str">
        <f>IFERROR(VLOOKUP("UD",'Informacion '!P:Q,2,FALSE),"")</f>
        <v>Unidad</v>
      </c>
      <c r="D6219" s="94">
        <v>1</v>
      </c>
      <c r="E6219" s="84">
        <v>70.8</v>
      </c>
      <c r="F6219" s="83">
        <f t="shared" ca="1" si="260"/>
        <v>70.8</v>
      </c>
    </row>
    <row r="6220" spans="1:10" ht="14.1" customHeight="1" x14ac:dyDescent="0.25">
      <c r="A6220" s="94" t="s">
        <v>9816</v>
      </c>
      <c r="B6220" s="82" t="str">
        <f ca="1">IFERROR(INDEX(UNSPSCDes,MATCH(INDIRECT(ADDRESS(ROW(),COLUMN()-1,4)),UNSPSCCode,0)),IF(INDIRECT(ADDRESS(ROW(),COLUMN()-1,4))="51191905","Suplementos vitamínicos",""))</f>
        <v>Suplementos vitamínicos</v>
      </c>
      <c r="C6220" s="95" t="str">
        <f>IFERROR(VLOOKUP("UD",'Informacion '!P:Q,2,FALSE),"")</f>
        <v>Unidad</v>
      </c>
      <c r="D6220" s="94">
        <v>64</v>
      </c>
      <c r="E6220" s="84">
        <v>420.49</v>
      </c>
      <c r="F6220" s="83">
        <f t="shared" ca="1" si="260"/>
        <v>26911.360000000001</v>
      </c>
    </row>
    <row r="6221" spans="1:10" ht="14.1" customHeight="1" x14ac:dyDescent="0.25">
      <c r="A6221" s="94" t="s">
        <v>16527</v>
      </c>
      <c r="B6221" s="82" t="str">
        <f ca="1">IFERROR(INDEX(UNSPSCDes,MATCH(INDIRECT(ADDRESS(ROW(),COLUMN()-1,4)),UNSPSCCode,0)),IF(INDIRECT(ADDRESS(ROW(),COLUMN()-1,4))="51171619","Supositorios de glicerina",""))</f>
        <v>Supositorios de glicerina</v>
      </c>
      <c r="C6221" s="95" t="str">
        <f>IFERROR(VLOOKUP("UD",'Informacion '!P:Q,2,FALSE),"")</f>
        <v>Unidad</v>
      </c>
      <c r="D6221" s="94">
        <v>1</v>
      </c>
      <c r="E6221" s="84">
        <v>11.54</v>
      </c>
      <c r="F6221" s="83">
        <f t="shared" ca="1" si="260"/>
        <v>11.54</v>
      </c>
    </row>
    <row r="6222" spans="1:10" ht="14.1" customHeight="1" x14ac:dyDescent="0.25">
      <c r="E6222" s="96" t="s">
        <v>7213</v>
      </c>
      <c r="F6222" s="87">
        <f ca="1">SUM(Table174[MONTO TOTAL ESTIMADO])</f>
        <v>13220693.390000002</v>
      </c>
      <c r="H6222" s="39" t="str">
        <f>C6153</f>
        <v>Bienes</v>
      </c>
      <c r="I6222" s="39" t="str">
        <f>E6153</f>
        <v>No</v>
      </c>
      <c r="J6222" s="39" t="str">
        <f>D6153</f>
        <v>Comparacion de Precios</v>
      </c>
    </row>
    <row r="6224" spans="1:10" ht="33.950000000000003" customHeight="1" x14ac:dyDescent="0.25">
      <c r="A6224" s="77" t="s">
        <v>17233</v>
      </c>
      <c r="B6224" s="77" t="s">
        <v>4237</v>
      </c>
      <c r="C6224" s="77" t="s">
        <v>4743</v>
      </c>
      <c r="D6224" s="77" t="s">
        <v>9891</v>
      </c>
      <c r="E6224" s="77" t="s">
        <v>3089</v>
      </c>
      <c r="F6224" s="77" t="s">
        <v>18141</v>
      </c>
    </row>
    <row r="6225" spans="1:6" ht="14.1" customHeight="1" x14ac:dyDescent="0.25">
      <c r="A6225" s="79" t="s">
        <v>688</v>
      </c>
      <c r="B6225" s="79" t="s">
        <v>2182</v>
      </c>
      <c r="C6225" s="79" t="s">
        <v>17215</v>
      </c>
      <c r="D6225" s="79" t="s">
        <v>15249</v>
      </c>
      <c r="E6225" s="79" t="s">
        <v>18247</v>
      </c>
      <c r="F6225" s="79"/>
    </row>
    <row r="6226" spans="1:6" ht="14.1" customHeight="1" x14ac:dyDescent="0.25">
      <c r="A6226" s="2" t="s">
        <v>6643</v>
      </c>
      <c r="B6226" s="80" t="s">
        <v>1046</v>
      </c>
      <c r="C6226" s="90">
        <v>43556</v>
      </c>
      <c r="D6226" s="2" t="s">
        <v>59</v>
      </c>
      <c r="E6226" s="92" t="s">
        <v>20066</v>
      </c>
      <c r="F6226" s="93"/>
    </row>
    <row r="6227" spans="1:6" ht="14.1" customHeight="1" x14ac:dyDescent="0.25">
      <c r="A6227" s="1"/>
      <c r="B6227" s="80" t="s">
        <v>10788</v>
      </c>
      <c r="C6227" s="91">
        <f>IF(C6226="","",IF(AND(MONTH(C6226)&gt;=1,MONTH(C6226)&lt;=3),1,IF(AND(MONTH(C6226)&gt;=4,MONTH(C6226)&lt;=6),2,IF(AND(MONTH(C6226)&gt;=7,MONTH(C6226)&lt;=9),3,4))))</f>
        <v>2</v>
      </c>
      <c r="D6227" s="1"/>
      <c r="E6227" s="92" t="s">
        <v>14822</v>
      </c>
      <c r="F6227" s="93"/>
    </row>
    <row r="6228" spans="1:6" ht="14.1" customHeight="1" x14ac:dyDescent="0.25">
      <c r="A6228" s="1"/>
      <c r="B6228" s="80" t="s">
        <v>13758</v>
      </c>
      <c r="C6228" s="90">
        <v>43645</v>
      </c>
      <c r="D6228" s="1"/>
      <c r="E6228" s="92" t="s">
        <v>18636</v>
      </c>
      <c r="F6228" s="93"/>
    </row>
    <row r="6229" spans="1:6" ht="14.1" customHeight="1" x14ac:dyDescent="0.25">
      <c r="A6229" s="1"/>
      <c r="B6229" s="80" t="s">
        <v>10788</v>
      </c>
      <c r="C6229" s="91">
        <f>IF(C6228="","",IF(AND(MONTH(C6228)&gt;=1,MONTH(C6228)&lt;=3),1,IF(AND(MONTH(C6228)&gt;=4,MONTH(C6228)&lt;=6),2,IF(AND(MONTH(C6228)&gt;=7,MONTH(C6228)&lt;=9),3,4))))</f>
        <v>2</v>
      </c>
      <c r="D6229" s="1"/>
      <c r="E6229" s="92" t="s">
        <v>15990</v>
      </c>
      <c r="F6229" s="93"/>
    </row>
    <row r="6231" spans="1:6" ht="14.1" customHeight="1" x14ac:dyDescent="0.25">
      <c r="A6231" s="85" t="s">
        <v>15474</v>
      </c>
      <c r="B6231" s="85" t="s">
        <v>5027</v>
      </c>
      <c r="C6231" s="85" t="s">
        <v>17461</v>
      </c>
      <c r="D6231" s="85" t="s">
        <v>3935</v>
      </c>
      <c r="E6231" s="85" t="s">
        <v>10722</v>
      </c>
      <c r="F6231" s="85" t="s">
        <v>18237</v>
      </c>
    </row>
    <row r="6232" spans="1:6" ht="14.1" customHeight="1" x14ac:dyDescent="0.25">
      <c r="A6232" s="94" t="s">
        <v>8167</v>
      </c>
      <c r="B6232" s="82" t="str">
        <f ca="1">IFERROR(INDEX(UNSPSCDes,MATCH(INDIRECT(ADDRESS(ROW(),COLUMN()-1,4)),UNSPSCCode,0)),IF(INDIRECT(ADDRESS(ROW(),COLUMN()-1,4))="51161701","Acetilcisteína",""))</f>
        <v>Acetilcisteína</v>
      </c>
      <c r="C6232" s="95" t="str">
        <f>IFERROR(VLOOKUP("UD",'Informacion '!P:Q,2,FALSE),"")</f>
        <v>Unidad</v>
      </c>
      <c r="D6232" s="94">
        <v>29</v>
      </c>
      <c r="E6232" s="84">
        <v>12.59</v>
      </c>
      <c r="F6232" s="83">
        <f t="shared" ref="F6232:F6263" ca="1" si="261">INDIRECT(ADDRESS(ROW(),COLUMN()-2,4))*INDIRECT(ADDRESS(ROW(),COLUMN()-1,4))</f>
        <v>365.11</v>
      </c>
    </row>
    <row r="6233" spans="1:6" ht="14.1" customHeight="1" x14ac:dyDescent="0.25">
      <c r="A6233" s="94" t="s">
        <v>19241</v>
      </c>
      <c r="B6233" s="82" t="str">
        <f ca="1">IFERROR(INDEX(UNSPSCDes,MATCH(INDIRECT(ADDRESS(ROW(),COLUMN()-1,4)),UNSPSCCode,0)),IF(INDIRECT(ADDRESS(ROW(),COLUMN()-1,4))="51131709","Bisulfato de clopidogrel",""))</f>
        <v>Bisulfato de clopidogrel</v>
      </c>
      <c r="C6233" s="95" t="str">
        <f>IFERROR(VLOOKUP("UD",'Informacion '!P:Q,2,FALSE),"")</f>
        <v>Unidad</v>
      </c>
      <c r="D6233" s="94">
        <v>62</v>
      </c>
      <c r="E6233" s="84">
        <v>14.93</v>
      </c>
      <c r="F6233" s="83">
        <f t="shared" ca="1" si="261"/>
        <v>925.66</v>
      </c>
    </row>
    <row r="6234" spans="1:6" ht="14.1" customHeight="1" x14ac:dyDescent="0.25">
      <c r="A6234" s="94" t="s">
        <v>7594</v>
      </c>
      <c r="B6234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6234" s="95" t="str">
        <f>IFERROR(VLOOKUP("UD",'Informacion '!P:Q,2,FALSE),"")</f>
        <v>Unidad</v>
      </c>
      <c r="D6234" s="94">
        <v>1208</v>
      </c>
      <c r="E6234" s="84">
        <v>16.88</v>
      </c>
      <c r="F6234" s="83">
        <f t="shared" ca="1" si="261"/>
        <v>20391.039999999997</v>
      </c>
    </row>
    <row r="6235" spans="1:6" ht="14.1" customHeight="1" x14ac:dyDescent="0.25">
      <c r="A6235" s="94" t="s">
        <v>12397</v>
      </c>
      <c r="B6235" s="82" t="str">
        <f ca="1">IFERROR(INDEX(UNSPSCDes,MATCH(INDIRECT(ADDRESS(ROW(),COLUMN()-1,4)),UNSPSCCode,0)),IF(INDIRECT(ADDRESS(ROW(),COLUMN()-1,4))="51161820","Aceite de eucalipto o eucaliptol",""))</f>
        <v>Aceite de eucalipto o eucaliptol</v>
      </c>
      <c r="C6235" s="95" t="str">
        <f>IFERROR(VLOOKUP("UD",'Informacion '!P:Q,2,FALSE),"")</f>
        <v>Unidad</v>
      </c>
      <c r="D6235" s="94">
        <v>3613</v>
      </c>
      <c r="E6235" s="84">
        <v>6.8</v>
      </c>
      <c r="F6235" s="83">
        <f t="shared" ca="1" si="261"/>
        <v>24568.399999999998</v>
      </c>
    </row>
    <row r="6236" spans="1:6" ht="14.1" customHeight="1" x14ac:dyDescent="0.25">
      <c r="A6236" s="94" t="s">
        <v>1138</v>
      </c>
      <c r="B6236" s="82" t="str">
        <f ca="1">IFERROR(INDEX(UNSPSCDes,MATCH(INDIRECT(ADDRESS(ROW(),COLUMN()-1,4)),UNSPSCCode,0)),IF(INDIRECT(ADDRESS(ROW(),COLUMN()-1,4))="51161620","Difenhidramina",""))</f>
        <v>Difenhidramina</v>
      </c>
      <c r="C6236" s="95" t="str">
        <f>IFERROR(VLOOKUP("UD",'Informacion '!P:Q,2,FALSE),"")</f>
        <v>Unidad</v>
      </c>
      <c r="D6236" s="94">
        <v>32</v>
      </c>
      <c r="E6236" s="84">
        <v>30.89</v>
      </c>
      <c r="F6236" s="83">
        <f t="shared" ca="1" si="261"/>
        <v>988.48</v>
      </c>
    </row>
    <row r="6237" spans="1:6" ht="14.1" customHeight="1" x14ac:dyDescent="0.25">
      <c r="A6237" s="94" t="s">
        <v>17940</v>
      </c>
      <c r="B6237" s="82" t="str">
        <f ca="1">IFERROR(INDEX(UNSPSCDes,MATCH(INDIRECT(ADDRESS(ROW(),COLUMN()-1,4)),UNSPSCCode,0)),IF(INDIRECT(ADDRESS(ROW(),COLUMN()-1,4))="51131516","Hierro sacarosa",""))</f>
        <v>Hierro sacarosa</v>
      </c>
      <c r="C6237" s="95" t="str">
        <f>IFERROR(VLOOKUP("UD",'Informacion '!P:Q,2,FALSE),"")</f>
        <v>Unidad</v>
      </c>
      <c r="D6237" s="94">
        <v>2</v>
      </c>
      <c r="E6237" s="84">
        <v>70.8</v>
      </c>
      <c r="F6237" s="83">
        <f t="shared" ca="1" si="261"/>
        <v>141.6</v>
      </c>
    </row>
    <row r="6238" spans="1:6" ht="14.1" customHeight="1" x14ac:dyDescent="0.25">
      <c r="A6238" s="94" t="s">
        <v>18291</v>
      </c>
      <c r="B6238" s="82" t="str">
        <f ca="1">IFERROR(INDEX(UNSPSCDes,MATCH(INDIRECT(ADDRESS(ROW(),COLUMN()-1,4)),UNSPSCCode,0)),IF(INDIRECT(ADDRESS(ROW(),COLUMN()-1,4))="51121511","Clorhidrato de amiodarona",""))</f>
        <v>Clorhidrato de amiodarona</v>
      </c>
      <c r="C6238" s="95" t="str">
        <f>IFERROR(VLOOKUP("UD",'Informacion '!P:Q,2,FALSE),"")</f>
        <v>Unidad</v>
      </c>
      <c r="D6238" s="94">
        <v>45</v>
      </c>
      <c r="E6238" s="84">
        <v>43.94</v>
      </c>
      <c r="F6238" s="83">
        <f t="shared" ca="1" si="261"/>
        <v>1977.3</v>
      </c>
    </row>
    <row r="6239" spans="1:6" ht="14.1" customHeight="1" x14ac:dyDescent="0.25">
      <c r="A6239" s="94" t="s">
        <v>16036</v>
      </c>
      <c r="B6239" s="82" t="str">
        <f ca="1">IFERROR(INDEX(UNSPSCDes,MATCH(INDIRECT(ADDRESS(ROW(),COLUMN()-1,4)),UNSPSCCode,0)),IF(INDIRECT(ADDRESS(ROW(),COLUMN()-1,4))="51121803","Simvastatina",""))</f>
        <v>Simvastatina</v>
      </c>
      <c r="C6239" s="95" t="str">
        <f>IFERROR(VLOOKUP("UD",'Informacion '!P:Q,2,FALSE),"")</f>
        <v>Unidad</v>
      </c>
      <c r="D6239" s="94">
        <v>6</v>
      </c>
      <c r="E6239" s="84">
        <v>8.67</v>
      </c>
      <c r="F6239" s="83">
        <f t="shared" ca="1" si="261"/>
        <v>52.019999999999996</v>
      </c>
    </row>
    <row r="6240" spans="1:6" ht="14.1" customHeight="1" x14ac:dyDescent="0.25">
      <c r="A6240" s="94" t="s">
        <v>15700</v>
      </c>
      <c r="B6240" s="82" t="str">
        <f ca="1">IFERROR(INDEX(UNSPSCDes,MATCH(INDIRECT(ADDRESS(ROW(),COLUMN()-1,4)),UNSPSCCode,0)),IF(INDIRECT(ADDRESS(ROW(),COLUMN()-1,4))="51151616","Atropina",""))</f>
        <v>Atropina</v>
      </c>
      <c r="C6240" s="95" t="str">
        <f>IFERROR(VLOOKUP("UD",'Informacion '!P:Q,2,FALSE),"")</f>
        <v>Unidad</v>
      </c>
      <c r="D6240" s="94">
        <v>165</v>
      </c>
      <c r="E6240" s="84">
        <v>10.15</v>
      </c>
      <c r="F6240" s="83">
        <f t="shared" ca="1" si="261"/>
        <v>1674.75</v>
      </c>
    </row>
    <row r="6241" spans="1:6" ht="14.1" customHeight="1" x14ac:dyDescent="0.25">
      <c r="A6241" s="94" t="s">
        <v>9479</v>
      </c>
      <c r="B6241" s="82" t="str">
        <f ca="1">IFERROR(INDEX(UNSPSCDes,MATCH(INDIRECT(ADDRESS(ROW(),COLUMN()-1,4)),UNSPSCCode,0)),IF(INDIRECT(ADDRESS(ROW(),COLUMN()-1,4))="51141601","Amitriptilina",""))</f>
        <v>Amitriptilina</v>
      </c>
      <c r="C6241" s="95" t="str">
        <f>IFERROR(VLOOKUP("UD",'Informacion '!P:Q,2,FALSE),"")</f>
        <v>Unidad</v>
      </c>
      <c r="D6241" s="94">
        <v>33</v>
      </c>
      <c r="E6241" s="84">
        <v>2.08</v>
      </c>
      <c r="F6241" s="83">
        <f t="shared" ca="1" si="261"/>
        <v>68.64</v>
      </c>
    </row>
    <row r="6242" spans="1:6" ht="14.1" customHeight="1" x14ac:dyDescent="0.25">
      <c r="A6242" s="94" t="s">
        <v>4216</v>
      </c>
      <c r="B6242" s="82" t="str">
        <f ca="1">IFERROR(INDEX(UNSPSCDes,MATCH(INDIRECT(ADDRESS(ROW(),COLUMN()-1,4)),UNSPSCCode,0)),IF(INDIRECT(ADDRESS(ROW(),COLUMN()-1,4))="51141604","Mirtazapina",""))</f>
        <v>Mirtazapina</v>
      </c>
      <c r="C6242" s="95" t="str">
        <f>IFERROR(VLOOKUP("UD",'Informacion '!P:Q,2,FALSE),"")</f>
        <v>Unidad</v>
      </c>
      <c r="D6242" s="94">
        <v>2</v>
      </c>
      <c r="E6242" s="84">
        <v>25.31</v>
      </c>
      <c r="F6242" s="83">
        <f t="shared" ca="1" si="261"/>
        <v>50.62</v>
      </c>
    </row>
    <row r="6243" spans="1:6" ht="14.1" customHeight="1" x14ac:dyDescent="0.25">
      <c r="A6243" s="94" t="s">
        <v>6476</v>
      </c>
      <c r="B6243" s="82" t="str">
        <f ca="1">IFERROR(INDEX(UNSPSCDes,MATCH(INDIRECT(ADDRESS(ROW(),COLUMN()-1,4)),UNSPSCCode,0)),IF(INDIRECT(ADDRESS(ROW(),COLUMN()-1,4))="51141618","Clorhidrato de fluoxetina",""))</f>
        <v>Clorhidrato de fluoxetina</v>
      </c>
      <c r="C6243" s="95" t="str">
        <f>IFERROR(VLOOKUP("UD",'Informacion '!P:Q,2,FALSE),"")</f>
        <v>Unidad</v>
      </c>
      <c r="D6243" s="94">
        <v>8</v>
      </c>
      <c r="E6243" s="84">
        <v>15.81</v>
      </c>
      <c r="F6243" s="83">
        <f t="shared" ca="1" si="261"/>
        <v>126.48</v>
      </c>
    </row>
    <row r="6244" spans="1:6" ht="14.1" customHeight="1" x14ac:dyDescent="0.25">
      <c r="A6244" s="94" t="s">
        <v>8733</v>
      </c>
      <c r="B6244" s="82" t="str">
        <f ca="1">IFERROR(INDEX(UNSPSCDes,MATCH(INDIRECT(ADDRESS(ROW(),COLUMN()-1,4)),UNSPSCCode,0)),IF(INDIRECT(ADDRESS(ROW(),COLUMN()-1,4))="51171820","Dimenhidrinato",""))</f>
        <v>Dimenhidrinato</v>
      </c>
      <c r="C6244" s="95" t="str">
        <f>IFERROR(VLOOKUP("UD",'Informacion '!P:Q,2,FALSE),"")</f>
        <v>Unidad</v>
      </c>
      <c r="D6244" s="94">
        <v>255</v>
      </c>
      <c r="E6244" s="84">
        <v>36.07</v>
      </c>
      <c r="F6244" s="83">
        <f t="shared" ca="1" si="261"/>
        <v>9197.85</v>
      </c>
    </row>
    <row r="6245" spans="1:6" ht="14.1" customHeight="1" x14ac:dyDescent="0.25">
      <c r="A6245" s="94" t="s">
        <v>10350</v>
      </c>
      <c r="B6245" s="82" t="str">
        <f ca="1">IFERROR(INDEX(UNSPSCDes,MATCH(INDIRECT(ADDRESS(ROW(),COLUMN()-1,4)),UNSPSCCode,0)),IF(INDIRECT(ADDRESS(ROW(),COLUMN()-1,4))="51171806","Metoclopramida",""))</f>
        <v>Metoclopramida</v>
      </c>
      <c r="C6245" s="95" t="str">
        <f>IFERROR(VLOOKUP("UD",'Informacion '!P:Q,2,FALSE),"")</f>
        <v>Unidad</v>
      </c>
      <c r="D6245" s="94">
        <v>134</v>
      </c>
      <c r="E6245" s="84">
        <v>3.07</v>
      </c>
      <c r="F6245" s="83">
        <f t="shared" ca="1" si="261"/>
        <v>411.38</v>
      </c>
    </row>
    <row r="6246" spans="1:6" ht="14.1" customHeight="1" x14ac:dyDescent="0.25">
      <c r="A6246" s="94" t="s">
        <v>7570</v>
      </c>
      <c r="B6246" s="82" t="str">
        <f ca="1">IFERROR(INDEX(UNSPSCDes,MATCH(INDIRECT(ADDRESS(ROW(),COLUMN()-1,4)),UNSPSCCode,0)),IF(INDIRECT(ADDRESS(ROW(),COLUMN()-1,4))="51171816","Ondansetrón",""))</f>
        <v>Ondansetrón</v>
      </c>
      <c r="C6246" s="95" t="str">
        <f>IFERROR(VLOOKUP("UD",'Informacion '!P:Q,2,FALSE),"")</f>
        <v>Unidad</v>
      </c>
      <c r="D6246" s="94">
        <v>157</v>
      </c>
      <c r="E6246" s="84">
        <v>33</v>
      </c>
      <c r="F6246" s="83">
        <f t="shared" ca="1" si="261"/>
        <v>5181</v>
      </c>
    </row>
    <row r="6247" spans="1:6" ht="14.1" customHeight="1" x14ac:dyDescent="0.25">
      <c r="A6247" s="94" t="s">
        <v>10956</v>
      </c>
      <c r="B6247" s="82" t="str">
        <f ca="1">IFERROR(INDEX(UNSPSCDes,MATCH(INDIRECT(ADDRESS(ROW(),COLUMN()-1,4)),UNSPSCCode,0)),IF(INDIRECT(ADDRESS(ROW(),COLUMN()-1,4))="51141517","Gabapentina",""))</f>
        <v>Gabapentina</v>
      </c>
      <c r="C6247" s="95" t="str">
        <f>IFERROR(VLOOKUP("UD",'Informacion '!P:Q,2,FALSE),"")</f>
        <v>Unidad</v>
      </c>
      <c r="D6247" s="94">
        <v>3</v>
      </c>
      <c r="E6247" s="84">
        <v>32.35</v>
      </c>
      <c r="F6247" s="83">
        <f t="shared" ca="1" si="261"/>
        <v>97.050000000000011</v>
      </c>
    </row>
    <row r="6248" spans="1:6" ht="14.1" customHeight="1" x14ac:dyDescent="0.25">
      <c r="A6248" s="94" t="s">
        <v>10956</v>
      </c>
      <c r="B6248" s="82" t="str">
        <f ca="1">IFERROR(INDEX(UNSPSCDes,MATCH(INDIRECT(ADDRESS(ROW(),COLUMN()-1,4)),UNSPSCCode,0)),IF(INDIRECT(ADDRESS(ROW(),COLUMN()-1,4))="51141517","Gabapentina",""))</f>
        <v>Gabapentina</v>
      </c>
      <c r="C6248" s="95" t="str">
        <f>IFERROR(VLOOKUP("UD",'Informacion '!P:Q,2,FALSE),"")</f>
        <v>Unidad</v>
      </c>
      <c r="D6248" s="94">
        <v>70</v>
      </c>
      <c r="E6248" s="84">
        <v>82.42</v>
      </c>
      <c r="F6248" s="83">
        <f t="shared" ca="1" si="261"/>
        <v>5769.4000000000005</v>
      </c>
    </row>
    <row r="6249" spans="1:6" ht="14.1" customHeight="1" x14ac:dyDescent="0.25">
      <c r="A6249" s="94" t="s">
        <v>13060</v>
      </c>
      <c r="B6249" s="82" t="str">
        <f ca="1">IFERROR(INDEX(UNSPSCDes,MATCH(INDIRECT(ADDRESS(ROW(),COLUMN()-1,4)),UNSPSCCode,0)),IF(INDIRECT(ADDRESS(ROW(),COLUMN()-1,4))="51172107","Butilbromuro de hioscina",""))</f>
        <v>Butilbromuro de hioscina</v>
      </c>
      <c r="C6249" s="95" t="str">
        <f>IFERROR(VLOOKUP("UD",'Informacion '!P:Q,2,FALSE),"")</f>
        <v>Unidad</v>
      </c>
      <c r="D6249" s="94">
        <v>19</v>
      </c>
      <c r="E6249" s="84">
        <v>9.61</v>
      </c>
      <c r="F6249" s="83">
        <f t="shared" ca="1" si="261"/>
        <v>182.58999999999997</v>
      </c>
    </row>
    <row r="6250" spans="1:6" ht="14.1" customHeight="1" x14ac:dyDescent="0.25">
      <c r="A6250" s="94" t="s">
        <v>12395</v>
      </c>
      <c r="B6250" s="82" t="str">
        <f ca="1">IFERROR(INDEX(UNSPSCDes,MATCH(INDIRECT(ADDRESS(ROW(),COLUMN()-1,4)),UNSPSCCode,0)),IF(INDIRECT(ADDRESS(ROW(),COLUMN()-1,4))="51211501","Alopurinol",""))</f>
        <v>Alopurinol</v>
      </c>
      <c r="C6250" s="95" t="str">
        <f>IFERROR(VLOOKUP("UD",'Informacion '!P:Q,2,FALSE),"")</f>
        <v>Unidad</v>
      </c>
      <c r="D6250" s="94">
        <v>284</v>
      </c>
      <c r="E6250" s="84">
        <v>5.65</v>
      </c>
      <c r="F6250" s="83">
        <f t="shared" ca="1" si="261"/>
        <v>1604.6000000000001</v>
      </c>
    </row>
    <row r="6251" spans="1:6" ht="14.1" customHeight="1" x14ac:dyDescent="0.25">
      <c r="A6251" s="94" t="s">
        <v>1085</v>
      </c>
      <c r="B6251" s="82" t="str">
        <f ca="1">IFERROR(INDEX(UNSPSCDes,MATCH(INDIRECT(ADDRESS(ROW(),COLUMN()-1,4)),UNSPSCCode,0)),IF(INDIRECT(ADDRESS(ROW(),COLUMN()-1,4))="51111802","Bicalutamida",""))</f>
        <v>Bicalutamida</v>
      </c>
      <c r="C6251" s="95" t="str">
        <f>IFERROR(VLOOKUP("UD",'Informacion '!P:Q,2,FALSE),"")</f>
        <v>Unidad</v>
      </c>
      <c r="D6251" s="94">
        <v>57</v>
      </c>
      <c r="E6251" s="84">
        <v>72.069999999999993</v>
      </c>
      <c r="F6251" s="83">
        <f t="shared" ca="1" si="261"/>
        <v>4107.99</v>
      </c>
    </row>
    <row r="6252" spans="1:6" ht="14.1" customHeight="1" x14ac:dyDescent="0.25">
      <c r="A6252" s="94" t="s">
        <v>5338</v>
      </c>
      <c r="B6252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6252" s="95" t="str">
        <f>IFERROR(VLOOKUP("UD",'Informacion '!P:Q,2,FALSE),"")</f>
        <v>Unidad</v>
      </c>
      <c r="D6252" s="94">
        <v>9</v>
      </c>
      <c r="E6252" s="84">
        <v>303.38</v>
      </c>
      <c r="F6252" s="83">
        <f t="shared" ca="1" si="261"/>
        <v>2730.42</v>
      </c>
    </row>
    <row r="6253" spans="1:6" ht="14.1" customHeight="1" x14ac:dyDescent="0.25">
      <c r="A6253" s="94" t="s">
        <v>2805</v>
      </c>
      <c r="B6253" s="82" t="str">
        <f ca="1">IFERROR(INDEX(UNSPSCDes,MATCH(INDIRECT(ADDRESS(ROW(),COLUMN()-1,4)),UNSPSCCode,0)),IF(INDIRECT(ADDRESS(ROW(),COLUMN()-1,4))="51102301","Aciclovir",""))</f>
        <v>Aciclovir</v>
      </c>
      <c r="C6253" s="95" t="str">
        <f>IFERROR(VLOOKUP("UD",'Informacion '!P:Q,2,FALSE),"")</f>
        <v>Unidad</v>
      </c>
      <c r="D6253" s="94">
        <v>47</v>
      </c>
      <c r="E6253" s="84">
        <v>768</v>
      </c>
      <c r="F6253" s="83">
        <f t="shared" ca="1" si="261"/>
        <v>36096</v>
      </c>
    </row>
    <row r="6254" spans="1:6" ht="14.1" customHeight="1" x14ac:dyDescent="0.25">
      <c r="A6254" s="94" t="s">
        <v>16940</v>
      </c>
      <c r="B6254" s="82" t="str">
        <f ca="1">IFERROR(INDEX(UNSPSCDes,MATCH(INDIRECT(ADDRESS(ROW(),COLUMN()-1,4)),UNSPSCCode,0)),IF(INDIRECT(ADDRESS(ROW(),COLUMN()-1,4))="85111508","Servicios de prevención o control de enfermedades virales",""))</f>
        <v>Servicios de prevención o control de enfermedades virales</v>
      </c>
      <c r="C6254" s="95" t="str">
        <f>IFERROR(VLOOKUP("UD",'Informacion '!P:Q,2,FALSE),"")</f>
        <v>Unidad</v>
      </c>
      <c r="D6254" s="94">
        <v>2</v>
      </c>
      <c r="E6254" s="84">
        <v>361.54</v>
      </c>
      <c r="F6254" s="83">
        <f t="shared" ca="1" si="261"/>
        <v>723.08</v>
      </c>
    </row>
    <row r="6255" spans="1:6" ht="14.1" customHeight="1" x14ac:dyDescent="0.25">
      <c r="A6255" s="94" t="s">
        <v>6719</v>
      </c>
      <c r="B6255" s="82" t="str">
        <f ca="1">IFERROR(INDEX(UNSPSCDes,MATCH(INDIRECT(ADDRESS(ROW(),COLUMN()-1,4)),UNSPSCCode,0)),IF(INDIRECT(ADDRESS(ROW(),COLUMN()-1,4))="51161808","Dextrometorfano",""))</f>
        <v>Dextrometorfano</v>
      </c>
      <c r="C6255" s="95" t="str">
        <f>IFERROR(VLOOKUP("UD",'Informacion '!P:Q,2,FALSE),"")</f>
        <v>Unidad</v>
      </c>
      <c r="D6255" s="94">
        <v>10</v>
      </c>
      <c r="E6255" s="84">
        <v>16.34</v>
      </c>
      <c r="F6255" s="83">
        <f t="shared" ca="1" si="261"/>
        <v>163.4</v>
      </c>
    </row>
    <row r="6256" spans="1:6" ht="14.1" customHeight="1" x14ac:dyDescent="0.25">
      <c r="A6256" s="94" t="s">
        <v>3671</v>
      </c>
      <c r="B6256" s="82" t="str">
        <f ca="1">IFERROR(INDEX(UNSPSCDes,MATCH(INDIRECT(ADDRESS(ROW(),COLUMN()-1,4)),UNSPSCCode,0)),IF(INDIRECT(ADDRESS(ROW(),COLUMN()-1,4))="51141531","Ácido valproico",""))</f>
        <v>Ácido valproico</v>
      </c>
      <c r="C6256" s="95" t="str">
        <f>IFERROR(VLOOKUP("UD",'Informacion '!P:Q,2,FALSE),"")</f>
        <v>Unidad</v>
      </c>
      <c r="D6256" s="94">
        <v>5</v>
      </c>
      <c r="E6256" s="84">
        <v>14.85</v>
      </c>
      <c r="F6256" s="83">
        <f t="shared" ca="1" si="261"/>
        <v>74.25</v>
      </c>
    </row>
    <row r="6257" spans="1:6" ht="14.1" customHeight="1" x14ac:dyDescent="0.25">
      <c r="A6257" s="94" t="s">
        <v>13626</v>
      </c>
      <c r="B6257" s="82" t="str">
        <f ca="1">IFERROR(INDEX(UNSPSCDes,MATCH(INDIRECT(ADDRESS(ROW(),COLUMN()-1,4)),UNSPSCCode,0)),IF(INDIRECT(ADDRESS(ROW(),COLUMN()-1,4))="51151735","Aspartato de anfetamina",""))</f>
        <v>Aspartato de anfetamina</v>
      </c>
      <c r="C6257" s="95" t="str">
        <f>IFERROR(VLOOKUP("UD",'Informacion '!P:Q,2,FALSE),"")</f>
        <v>Unidad</v>
      </c>
      <c r="D6257" s="94">
        <v>22</v>
      </c>
      <c r="E6257" s="84">
        <v>63.19</v>
      </c>
      <c r="F6257" s="83">
        <f t="shared" ca="1" si="261"/>
        <v>1390.1799999999998</v>
      </c>
    </row>
    <row r="6258" spans="1:6" ht="14.1" customHeight="1" x14ac:dyDescent="0.25">
      <c r="A6258" s="94" t="s">
        <v>7541</v>
      </c>
      <c r="B6258" s="82" t="str">
        <f ca="1">IFERROR(INDEX(UNSPSCDes,MATCH(INDIRECT(ADDRESS(ROW(),COLUMN()-1,4)),UNSPSCCode,0)),IF(INDIRECT(ADDRESS(ROW(),COLUMN()-1,4))="51182002","Testosterona",""))</f>
        <v>Testosterona</v>
      </c>
      <c r="C6258" s="95" t="str">
        <f>IFERROR(VLOOKUP("UD",'Informacion '!P:Q,2,FALSE),"")</f>
        <v>Unidad</v>
      </c>
      <c r="D6258" s="94">
        <v>39</v>
      </c>
      <c r="E6258" s="84">
        <v>1008.27</v>
      </c>
      <c r="F6258" s="83">
        <f t="shared" ca="1" si="261"/>
        <v>39322.53</v>
      </c>
    </row>
    <row r="6259" spans="1:6" ht="14.1" customHeight="1" x14ac:dyDescent="0.25">
      <c r="A6259" s="94" t="s">
        <v>14629</v>
      </c>
      <c r="B6259" s="82" t="str">
        <f ca="1">IFERROR(INDEX(UNSPSCDes,MATCH(INDIRECT(ADDRESS(ROW(),COLUMN()-1,4)),UNSPSCCode,0)),IF(INDIRECT(ADDRESS(ROW(),COLUMN()-1,4))="51212401","Sildenafil citrato",""))</f>
        <v>Sildenafil citrato</v>
      </c>
      <c r="C6259" s="95" t="str">
        <f>IFERROR(VLOOKUP("UD",'Informacion '!P:Q,2,FALSE),"")</f>
        <v>Unidad</v>
      </c>
      <c r="D6259" s="94">
        <v>3</v>
      </c>
      <c r="E6259" s="84">
        <v>60</v>
      </c>
      <c r="F6259" s="83">
        <f t="shared" ca="1" si="261"/>
        <v>180</v>
      </c>
    </row>
    <row r="6260" spans="1:6" ht="14.1" customHeight="1" x14ac:dyDescent="0.25">
      <c r="A6260" s="94" t="s">
        <v>10495</v>
      </c>
      <c r="B6260" s="82" t="str">
        <f ca="1">IFERROR(INDEX(UNSPSCDes,MATCH(INDIRECT(ADDRESS(ROW(),COLUMN()-1,4)),UNSPSCCode,0)),IF(INDIRECT(ADDRESS(ROW(),COLUMN()-1,4))="51171505","Simeticona",""))</f>
        <v>Simeticona</v>
      </c>
      <c r="C6260" s="95" t="str">
        <f>IFERROR(VLOOKUP("UD",'Informacion '!P:Q,2,FALSE),"")</f>
        <v>Unidad</v>
      </c>
      <c r="D6260" s="94">
        <v>4</v>
      </c>
      <c r="E6260" s="84">
        <v>363.46</v>
      </c>
      <c r="F6260" s="83">
        <f t="shared" ca="1" si="261"/>
        <v>1453.84</v>
      </c>
    </row>
    <row r="6261" spans="1:6" ht="14.1" customHeight="1" x14ac:dyDescent="0.25">
      <c r="A6261" s="94" t="s">
        <v>10495</v>
      </c>
      <c r="B6261" s="82" t="str">
        <f ca="1">IFERROR(INDEX(UNSPSCDes,MATCH(INDIRECT(ADDRESS(ROW(),COLUMN()-1,4)),UNSPSCCode,0)),IF(INDIRECT(ADDRESS(ROW(),COLUMN()-1,4))="51171505","Simeticona",""))</f>
        <v>Simeticona</v>
      </c>
      <c r="C6261" s="95" t="str">
        <f>IFERROR(VLOOKUP("UD",'Informacion '!P:Q,2,FALSE),"")</f>
        <v>Unidad</v>
      </c>
      <c r="D6261" s="94">
        <v>2</v>
      </c>
      <c r="E6261" s="84">
        <v>84</v>
      </c>
      <c r="F6261" s="83">
        <f t="shared" ca="1" si="261"/>
        <v>168</v>
      </c>
    </row>
    <row r="6262" spans="1:6" ht="14.1" customHeight="1" x14ac:dyDescent="0.25">
      <c r="A6262" s="94" t="s">
        <v>20027</v>
      </c>
      <c r="B6262" s="82" t="str">
        <f ca="1">IFERROR(INDEX(UNSPSCDes,MATCH(INDIRECT(ADDRESS(ROW(),COLUMN()-1,4)),UNSPSCCode,0)),IF(INDIRECT(ADDRESS(ROW(),COLUMN()-1,4))="41104210","Disolventes",""))</f>
        <v>Disolventes</v>
      </c>
      <c r="C6262" s="95" t="str">
        <f>IFERROR(VLOOKUP("UD",'Informacion '!P:Q,2,FALSE),"")</f>
        <v>Unidad</v>
      </c>
      <c r="D6262" s="94">
        <v>840</v>
      </c>
      <c r="E6262" s="84">
        <v>3.1</v>
      </c>
      <c r="F6262" s="83">
        <f t="shared" ca="1" si="261"/>
        <v>2604</v>
      </c>
    </row>
    <row r="6263" spans="1:6" ht="14.1" customHeight="1" x14ac:dyDescent="0.25">
      <c r="A6263" s="94" t="s">
        <v>19241</v>
      </c>
      <c r="B6263" s="82" t="str">
        <f ca="1">IFERROR(INDEX(UNSPSCDes,MATCH(INDIRECT(ADDRESS(ROW(),COLUMN()-1,4)),UNSPSCCode,0)),IF(INDIRECT(ADDRESS(ROW(),COLUMN()-1,4))="51131709","Bisulfato de clopidogrel",""))</f>
        <v>Bisulfato de clopidogrel</v>
      </c>
      <c r="C6263" s="95" t="str">
        <f>IFERROR(VLOOKUP("UD",'Informacion '!P:Q,2,FALSE),"")</f>
        <v>Unidad</v>
      </c>
      <c r="D6263" s="94">
        <v>4</v>
      </c>
      <c r="E6263" s="84">
        <v>3004.61</v>
      </c>
      <c r="F6263" s="83">
        <f t="shared" ca="1" si="261"/>
        <v>12018.44</v>
      </c>
    </row>
    <row r="6264" spans="1:6" ht="14.1" customHeight="1" x14ac:dyDescent="0.25">
      <c r="A6264" s="94" t="s">
        <v>3078</v>
      </c>
      <c r="B6264" s="82" t="str">
        <f ca="1">IFERROR(INDEX(UNSPSCDes,MATCH(INDIRECT(ADDRESS(ROW(),COLUMN()-1,4)),UNSPSCCode,0)),IF(INDIRECT(ADDRESS(ROW(),COLUMN()-1,4))="12161804","Emulsiones",""))</f>
        <v>Emulsiones</v>
      </c>
      <c r="C6264" s="95" t="str">
        <f>IFERROR(VLOOKUP("UD",'Informacion '!P:Q,2,FALSE),"")</f>
        <v>Unidad</v>
      </c>
      <c r="D6264" s="94">
        <v>3</v>
      </c>
      <c r="E6264" s="84">
        <v>872.11</v>
      </c>
      <c r="F6264" s="83">
        <f t="shared" ref="F6264:F6293" ca="1" si="262">INDIRECT(ADDRESS(ROW(),COLUMN()-2,4))*INDIRECT(ADDRESS(ROW(),COLUMN()-1,4))</f>
        <v>2616.33</v>
      </c>
    </row>
    <row r="6265" spans="1:6" ht="14.1" customHeight="1" x14ac:dyDescent="0.25">
      <c r="A6265" s="94" t="s">
        <v>1744</v>
      </c>
      <c r="B6265" s="82" t="str">
        <f ca="1">IFERROR(INDEX(UNSPSCDes,MATCH(INDIRECT(ADDRESS(ROW(),COLUMN()-1,4)),UNSPSCCode,0)),IF(INDIRECT(ADDRESS(ROW(),COLUMN()-1,4))="51172109","Trimebutina",""))</f>
        <v>Trimebutina</v>
      </c>
      <c r="C6265" s="95" t="str">
        <f>IFERROR(VLOOKUP("UD",'Informacion '!P:Q,2,FALSE),"")</f>
        <v>Unidad</v>
      </c>
      <c r="D6265" s="94">
        <v>86</v>
      </c>
      <c r="E6265" s="84">
        <v>347.9</v>
      </c>
      <c r="F6265" s="83">
        <f t="shared" ca="1" si="262"/>
        <v>29919.399999999998</v>
      </c>
    </row>
    <row r="6266" spans="1:6" ht="14.1" customHeight="1" x14ac:dyDescent="0.25">
      <c r="A6266" s="94" t="s">
        <v>9828</v>
      </c>
      <c r="B6266" s="82" t="str">
        <f ca="1">IFERROR(INDEX(UNSPSCDes,MATCH(INDIRECT(ADDRESS(ROW(),COLUMN()-1,4)),UNSPSCCode,0)),IF(INDIRECT(ADDRESS(ROW(),COLUMN()-1,4))="51121502","Digoxina",""))</f>
        <v>Digoxina</v>
      </c>
      <c r="C6266" s="95" t="str">
        <f>IFERROR(VLOOKUP("UD",'Informacion '!P:Q,2,FALSE),"")</f>
        <v>Unidad</v>
      </c>
      <c r="D6266" s="94">
        <v>45</v>
      </c>
      <c r="E6266" s="84">
        <v>0.48</v>
      </c>
      <c r="F6266" s="83">
        <f t="shared" ca="1" si="262"/>
        <v>21.599999999999998</v>
      </c>
    </row>
    <row r="6267" spans="1:6" ht="14.1" customHeight="1" x14ac:dyDescent="0.25">
      <c r="A6267" s="94" t="s">
        <v>16970</v>
      </c>
      <c r="B6267" s="82" t="str">
        <f ca="1">IFERROR(INDEX(UNSPSCDes,MATCH(INDIRECT(ADDRESS(ROW(),COLUMN()-1,4)),UNSPSCCode,0)),IF(INDIRECT(ADDRESS(ROW(),COLUMN()-1,4))="51131603","Heparina sódica",""))</f>
        <v>Heparina sódica</v>
      </c>
      <c r="C6267" s="95" t="str">
        <f>IFERROR(VLOOKUP("UD",'Informacion '!P:Q,2,FALSE),"")</f>
        <v>Unidad</v>
      </c>
      <c r="D6267" s="94">
        <v>24</v>
      </c>
      <c r="E6267" s="84">
        <v>138.18</v>
      </c>
      <c r="F6267" s="83">
        <f t="shared" ca="1" si="262"/>
        <v>3316.32</v>
      </c>
    </row>
    <row r="6268" spans="1:6" ht="14.1" customHeight="1" x14ac:dyDescent="0.25">
      <c r="A6268" s="94" t="s">
        <v>1644</v>
      </c>
      <c r="B6268" s="82" t="str">
        <f ca="1">IFERROR(INDEX(UNSPSCDes,MATCH(INDIRECT(ADDRESS(ROW(),COLUMN()-1,4)),UNSPSCCode,0)),IF(INDIRECT(ADDRESS(ROW(),COLUMN()-1,4))="51161811","Bromhexina",""))</f>
        <v>Bromhexina</v>
      </c>
      <c r="C6268" s="95" t="str">
        <f>IFERROR(VLOOKUP("UD",'Informacion '!P:Q,2,FALSE),"")</f>
        <v>Unidad</v>
      </c>
      <c r="D6268" s="94">
        <v>57</v>
      </c>
      <c r="E6268" s="84">
        <v>18.79</v>
      </c>
      <c r="F6268" s="83">
        <f t="shared" ca="1" si="262"/>
        <v>1071.03</v>
      </c>
    </row>
    <row r="6269" spans="1:6" ht="14.1" customHeight="1" x14ac:dyDescent="0.25">
      <c r="A6269" s="94" t="s">
        <v>9816</v>
      </c>
      <c r="B6269" s="82" t="str">
        <f ca="1">IFERROR(INDEX(UNSPSCDes,MATCH(INDIRECT(ADDRESS(ROW(),COLUMN()-1,4)),UNSPSCCode,0)),IF(INDIRECT(ADDRESS(ROW(),COLUMN()-1,4))="51191905","Suplementos vitamínicos",""))</f>
        <v>Suplementos vitamínicos</v>
      </c>
      <c r="C6269" s="95" t="str">
        <f>IFERROR(VLOOKUP("UD",'Informacion '!P:Q,2,FALSE),"")</f>
        <v>Unidad</v>
      </c>
      <c r="D6269" s="94">
        <v>19</v>
      </c>
      <c r="E6269" s="84">
        <v>115.54</v>
      </c>
      <c r="F6269" s="83">
        <f t="shared" ca="1" si="262"/>
        <v>2195.2600000000002</v>
      </c>
    </row>
    <row r="6270" spans="1:6" ht="14.1" customHeight="1" x14ac:dyDescent="0.25">
      <c r="A6270" s="94" t="s">
        <v>15432</v>
      </c>
      <c r="B6270" s="82" t="str">
        <f ca="1">IFERROR(INDEX(UNSPSCDes,MATCH(INDIRECT(ADDRESS(ROW(),COLUMN()-1,4)),UNSPSCCode,0)),IF(INDIRECT(ADDRESS(ROW(),COLUMN()-1,4))="51141518","Levetiracetam",""))</f>
        <v>Levetiracetam</v>
      </c>
      <c r="C6270" s="95" t="str">
        <f>IFERROR(VLOOKUP("UD",'Informacion '!P:Q,2,FALSE),"")</f>
        <v>Unidad</v>
      </c>
      <c r="D6270" s="94">
        <v>204</v>
      </c>
      <c r="E6270" s="84">
        <v>178.05</v>
      </c>
      <c r="F6270" s="83">
        <f t="shared" ca="1" si="262"/>
        <v>36322.200000000004</v>
      </c>
    </row>
    <row r="6271" spans="1:6" ht="14.1" customHeight="1" x14ac:dyDescent="0.25">
      <c r="A6271" s="94" t="s">
        <v>6794</v>
      </c>
      <c r="B6271" s="82" t="str">
        <f ca="1">IFERROR(INDEX(UNSPSCDes,MATCH(INDIRECT(ADDRESS(ROW(),COLUMN()-1,4)),UNSPSCCode,0)),IF(INDIRECT(ADDRESS(ROW(),COLUMN()-1,4))="51151737","Clorhidrato de dopamina",""))</f>
        <v>Clorhidrato de dopamina</v>
      </c>
      <c r="C6271" s="95" t="str">
        <f>IFERROR(VLOOKUP("UD",'Informacion '!P:Q,2,FALSE),"")</f>
        <v>Unidad</v>
      </c>
      <c r="D6271" s="94">
        <v>21</v>
      </c>
      <c r="E6271" s="84">
        <v>75</v>
      </c>
      <c r="F6271" s="83">
        <f t="shared" ca="1" si="262"/>
        <v>1575</v>
      </c>
    </row>
    <row r="6272" spans="1:6" ht="14.1" customHeight="1" x14ac:dyDescent="0.25">
      <c r="A6272" s="94" t="s">
        <v>10315</v>
      </c>
      <c r="B6272" s="82" t="str">
        <f ca="1">IFERROR(INDEX(UNSPSCDes,MATCH(INDIRECT(ADDRESS(ROW(),COLUMN()-1,4)),UNSPSCCode,0)),IF(INDIRECT(ADDRESS(ROW(),COLUMN()-1,4))="51151703","Epinefrina",""))</f>
        <v>Epinefrina</v>
      </c>
      <c r="C6272" s="95" t="str">
        <f>IFERROR(VLOOKUP("UD",'Informacion '!P:Q,2,FALSE),"")</f>
        <v>Unidad</v>
      </c>
      <c r="D6272" s="94">
        <v>257</v>
      </c>
      <c r="E6272" s="84">
        <v>9.4700000000000006</v>
      </c>
      <c r="F6272" s="83">
        <f t="shared" ca="1" si="262"/>
        <v>2433.79</v>
      </c>
    </row>
    <row r="6273" spans="1:6" ht="14.1" customHeight="1" x14ac:dyDescent="0.25">
      <c r="A6273" s="94" t="s">
        <v>9816</v>
      </c>
      <c r="B6273" s="82" t="str">
        <f ca="1">IFERROR(INDEX(UNSPSCDes,MATCH(INDIRECT(ADDRESS(ROW(),COLUMN()-1,4)),UNSPSCCode,0)),IF(INDIRECT(ADDRESS(ROW(),COLUMN()-1,4))="51191905","Suplementos vitamínicos",""))</f>
        <v>Suplementos vitamínicos</v>
      </c>
      <c r="C6273" s="95" t="str">
        <f>IFERROR(VLOOKUP("UD",'Informacion '!P:Q,2,FALSE),"")</f>
        <v>Unidad</v>
      </c>
      <c r="D6273" s="94">
        <v>5</v>
      </c>
      <c r="E6273" s="84">
        <v>20009.47</v>
      </c>
      <c r="F6273" s="83">
        <f t="shared" ca="1" si="262"/>
        <v>100047.35</v>
      </c>
    </row>
    <row r="6274" spans="1:6" ht="14.1" customHeight="1" x14ac:dyDescent="0.25">
      <c r="A6274" s="94" t="s">
        <v>13280</v>
      </c>
      <c r="B6274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6274" s="95" t="str">
        <f>IFERROR(VLOOKUP("UD",'Informacion '!P:Q,2,FALSE),"")</f>
        <v>Unidad</v>
      </c>
      <c r="D6274" s="94">
        <v>27</v>
      </c>
      <c r="E6274" s="84">
        <v>250</v>
      </c>
      <c r="F6274" s="83">
        <f t="shared" ca="1" si="262"/>
        <v>6750</v>
      </c>
    </row>
    <row r="6275" spans="1:6" ht="14.1" customHeight="1" x14ac:dyDescent="0.25">
      <c r="A6275" s="94" t="s">
        <v>4565</v>
      </c>
      <c r="B6275" s="82" t="str">
        <f ca="1">IFERROR(INDEX(UNSPSCDes,MATCH(INDIRECT(ADDRESS(ROW(),COLUMN()-1,4)),UNSPSCCode,0)),IF(INDIRECT(ADDRESS(ROW(),COLUMN()-1,4))="51151916","Cloruro de succinilcolina",""))</f>
        <v>Cloruro de succinilcolina</v>
      </c>
      <c r="C6275" s="95" t="str">
        <f>IFERROR(VLOOKUP("UD",'Informacion '!P:Q,2,FALSE),"")</f>
        <v>Unidad</v>
      </c>
      <c r="D6275" s="94">
        <v>2</v>
      </c>
      <c r="E6275" s="84">
        <v>50.93</v>
      </c>
      <c r="F6275" s="83">
        <f t="shared" ca="1" si="262"/>
        <v>101.86</v>
      </c>
    </row>
    <row r="6276" spans="1:6" ht="14.1" customHeight="1" x14ac:dyDescent="0.25">
      <c r="A6276" s="94" t="s">
        <v>8501</v>
      </c>
      <c r="B6276" s="82" t="str">
        <f ca="1">IFERROR(INDEX(UNSPSCDes,MATCH(INDIRECT(ADDRESS(ROW(),COLUMN()-1,4)),UNSPSCCode,0)),IF(INDIRECT(ADDRESS(ROW(),COLUMN()-1,4))="51142302","Hidrocloruro de naloxona",""))</f>
        <v>Hidrocloruro de naloxona</v>
      </c>
      <c r="C6276" s="95" t="str">
        <f>IFERROR(VLOOKUP("UD",'Informacion '!P:Q,2,FALSE),"")</f>
        <v>Unidad</v>
      </c>
      <c r="D6276" s="94">
        <v>2</v>
      </c>
      <c r="E6276" s="84">
        <v>495</v>
      </c>
      <c r="F6276" s="83">
        <f t="shared" ca="1" si="262"/>
        <v>990</v>
      </c>
    </row>
    <row r="6277" spans="1:6" ht="14.1" customHeight="1" x14ac:dyDescent="0.25">
      <c r="A6277" s="94" t="s">
        <v>18</v>
      </c>
      <c r="B6277" s="82" t="str">
        <f ca="1">IFERROR(INDEX(UNSPSCDes,MATCH(INDIRECT(ADDRESS(ROW(),COLUMN()-1,4)),UNSPSCCode,0)),IF(INDIRECT(ADDRESS(ROW(),COLUMN()-1,4))="51151732","Clorhidrato de dobutamina",""))</f>
        <v>Clorhidrato de dobutamina</v>
      </c>
      <c r="C6277" s="95" t="str">
        <f>IFERROR(VLOOKUP("UD",'Informacion '!P:Q,2,FALSE),"")</f>
        <v>Unidad</v>
      </c>
      <c r="D6277" s="94">
        <v>7</v>
      </c>
      <c r="E6277" s="84">
        <v>220.82</v>
      </c>
      <c r="F6277" s="83">
        <f t="shared" ca="1" si="262"/>
        <v>1545.74</v>
      </c>
    </row>
    <row r="6278" spans="1:6" ht="14.1" customHeight="1" x14ac:dyDescent="0.25">
      <c r="A6278" s="94" t="s">
        <v>11172</v>
      </c>
      <c r="B6278" s="82" t="str">
        <f ca="1">IFERROR(INDEX(UNSPSCDes,MATCH(INDIRECT(ADDRESS(ROW(),COLUMN()-1,4)),UNSPSCCode,0)),IF(INDIRECT(ADDRESS(ROW(),COLUMN()-1,4))="51151723","Clorhidrato de tetrahidrozolina",""))</f>
        <v>Clorhidrato de tetrahidrozolina</v>
      </c>
      <c r="C6278" s="95" t="str">
        <f>IFERROR(VLOOKUP("UD",'Informacion '!P:Q,2,FALSE),"")</f>
        <v>Unidad</v>
      </c>
      <c r="D6278" s="94">
        <v>3</v>
      </c>
      <c r="E6278" s="84">
        <v>143.97</v>
      </c>
      <c r="F6278" s="83">
        <f t="shared" ca="1" si="262"/>
        <v>431.90999999999997</v>
      </c>
    </row>
    <row r="6279" spans="1:6" ht="14.1" customHeight="1" x14ac:dyDescent="0.25">
      <c r="A6279" s="94" t="s">
        <v>9816</v>
      </c>
      <c r="B6279" s="82" t="str">
        <f ca="1">IFERROR(INDEX(UNSPSCDes,MATCH(INDIRECT(ADDRESS(ROW(),COLUMN()-1,4)),UNSPSCCode,0)),IF(INDIRECT(ADDRESS(ROW(),COLUMN()-1,4))="51191905","Suplementos vitamínicos",""))</f>
        <v>Suplementos vitamínicos</v>
      </c>
      <c r="C6279" s="95" t="str">
        <f>IFERROR(VLOOKUP("UD",'Informacion '!P:Q,2,FALSE),"")</f>
        <v>Unidad</v>
      </c>
      <c r="D6279" s="94">
        <v>7</v>
      </c>
      <c r="E6279" s="84">
        <v>250</v>
      </c>
      <c r="F6279" s="83">
        <f t="shared" ca="1" si="262"/>
        <v>1750</v>
      </c>
    </row>
    <row r="6280" spans="1:6" ht="14.1" customHeight="1" x14ac:dyDescent="0.25">
      <c r="A6280" s="94" t="s">
        <v>14835</v>
      </c>
      <c r="B6280" s="82" t="str">
        <f ca="1">IFERROR(INDEX(UNSPSCDes,MATCH(INDIRECT(ADDRESS(ROW(),COLUMN()-1,4)),UNSPSCCode,0)),IF(INDIRECT(ADDRESS(ROW(),COLUMN()-1,4))="51121603","Nitroglicerina",""))</f>
        <v>Nitroglicerina</v>
      </c>
      <c r="C6280" s="95" t="str">
        <f>IFERROR(VLOOKUP("UD",'Informacion '!P:Q,2,FALSE),"")</f>
        <v>Unidad</v>
      </c>
      <c r="D6280" s="94">
        <v>1159</v>
      </c>
      <c r="E6280" s="84">
        <v>6.04</v>
      </c>
      <c r="F6280" s="83">
        <f t="shared" ca="1" si="262"/>
        <v>7000.36</v>
      </c>
    </row>
    <row r="6281" spans="1:6" ht="14.1" customHeight="1" x14ac:dyDescent="0.25">
      <c r="A6281" s="94" t="s">
        <v>11445</v>
      </c>
      <c r="B6281" s="82" t="str">
        <f ca="1">IFERROR(INDEX(UNSPSCDes,MATCH(INDIRECT(ADDRESS(ROW(),COLUMN()-1,4)),UNSPSCCode,0)),IF(INDIRECT(ADDRESS(ROW(),COLUMN()-1,4))="51131501","Fumarato ferroso",""))</f>
        <v>Fumarato ferroso</v>
      </c>
      <c r="C6281" s="95" t="str">
        <f>IFERROR(VLOOKUP("UD",'Informacion '!P:Q,2,FALSE),"")</f>
        <v>Unidad</v>
      </c>
      <c r="D6281" s="94">
        <v>9</v>
      </c>
      <c r="E6281" s="84">
        <v>1.1000000000000001</v>
      </c>
      <c r="F6281" s="83">
        <f t="shared" ca="1" si="262"/>
        <v>9.9</v>
      </c>
    </row>
    <row r="6282" spans="1:6" ht="14.1" customHeight="1" x14ac:dyDescent="0.25">
      <c r="A6282" s="94" t="s">
        <v>11445</v>
      </c>
      <c r="B6282" s="82" t="str">
        <f ca="1">IFERROR(INDEX(UNSPSCDes,MATCH(INDIRECT(ADDRESS(ROW(),COLUMN()-1,4)),UNSPSCCode,0)),IF(INDIRECT(ADDRESS(ROW(),COLUMN()-1,4))="51131501","Fumarato ferroso",""))</f>
        <v>Fumarato ferroso</v>
      </c>
      <c r="C6282" s="95" t="str">
        <f>IFERROR(VLOOKUP("UD",'Informacion '!P:Q,2,FALSE),"")</f>
        <v>Unidad</v>
      </c>
      <c r="D6282" s="94">
        <v>25</v>
      </c>
      <c r="E6282" s="84">
        <v>96.43</v>
      </c>
      <c r="F6282" s="83">
        <f t="shared" ca="1" si="262"/>
        <v>2410.75</v>
      </c>
    </row>
    <row r="6283" spans="1:6" ht="14.1" customHeight="1" x14ac:dyDescent="0.25">
      <c r="A6283" s="94" t="s">
        <v>10568</v>
      </c>
      <c r="B6283" s="82" t="str">
        <f ca="1">IFERROR(INDEX(UNSPSCDes,MATCH(INDIRECT(ADDRESS(ROW(),COLUMN()-1,4)),UNSPSCCode,0)),IF(INDIRECT(ADDRESS(ROW(),COLUMN()-1,4))="51171904","Clorhidrato de ranitidina",""))</f>
        <v>Clorhidrato de ranitidina</v>
      </c>
      <c r="C6283" s="95" t="str">
        <f>IFERROR(VLOOKUP("UD",'Informacion '!P:Q,2,FALSE),"")</f>
        <v>Unidad</v>
      </c>
      <c r="D6283" s="94">
        <v>1368</v>
      </c>
      <c r="E6283" s="84">
        <v>4.87</v>
      </c>
      <c r="F6283" s="83">
        <f t="shared" ca="1" si="262"/>
        <v>6662.16</v>
      </c>
    </row>
    <row r="6284" spans="1:6" ht="14.1" customHeight="1" x14ac:dyDescent="0.25">
      <c r="A6284" s="94" t="s">
        <v>14841</v>
      </c>
      <c r="B6284" s="82" t="str">
        <f ca="1">IFERROR(INDEX(UNSPSCDes,MATCH(INDIRECT(ADDRESS(ROW(),COLUMN()-1,4)),UNSPSCCode,0)),IF(INDIRECT(ADDRESS(ROW(),COLUMN()-1,4))="51171911","Sucralfato",""))</f>
        <v>Sucralfato</v>
      </c>
      <c r="C6284" s="95" t="str">
        <f>IFERROR(VLOOKUP("UD",'Informacion '!P:Q,2,FALSE),"")</f>
        <v>Unidad</v>
      </c>
      <c r="D6284" s="94">
        <v>56</v>
      </c>
      <c r="E6284" s="84">
        <v>11.62</v>
      </c>
      <c r="F6284" s="83">
        <f t="shared" ca="1" si="262"/>
        <v>650.71999999999991</v>
      </c>
    </row>
    <row r="6285" spans="1:6" ht="14.1" customHeight="1" x14ac:dyDescent="0.25">
      <c r="A6285" s="94" t="s">
        <v>5537</v>
      </c>
      <c r="B6285" s="82" t="str">
        <f ca="1">IFERROR(INDEX(UNSPSCDes,MATCH(INDIRECT(ADDRESS(ROW(),COLUMN()-1,4)),UNSPSCCode,0)),IF(INDIRECT(ADDRESS(ROW(),COLUMN()-1,4))="51171909","Omeprazol",""))</f>
        <v>Omeprazol</v>
      </c>
      <c r="C6285" s="95" t="str">
        <f>IFERROR(VLOOKUP("UD",'Informacion '!P:Q,2,FALSE),"")</f>
        <v>Unidad</v>
      </c>
      <c r="D6285" s="94">
        <v>670</v>
      </c>
      <c r="E6285" s="84">
        <v>60.27</v>
      </c>
      <c r="F6285" s="83">
        <f t="shared" ca="1" si="262"/>
        <v>40380.9</v>
      </c>
    </row>
    <row r="6286" spans="1:6" ht="14.1" customHeight="1" x14ac:dyDescent="0.25">
      <c r="A6286" s="94" t="s">
        <v>5537</v>
      </c>
      <c r="B6286" s="82" t="str">
        <f ca="1">IFERROR(INDEX(UNSPSCDes,MATCH(INDIRECT(ADDRESS(ROW(),COLUMN()-1,4)),UNSPSCCode,0)),IF(INDIRECT(ADDRESS(ROW(),COLUMN()-1,4))="51171909","Omeprazol",""))</f>
        <v>Omeprazol</v>
      </c>
      <c r="C6286" s="95" t="str">
        <f>IFERROR(VLOOKUP("UD",'Informacion '!P:Q,2,FALSE),"")</f>
        <v>Unidad</v>
      </c>
      <c r="D6286" s="94">
        <v>183</v>
      </c>
      <c r="E6286" s="84">
        <v>332.66</v>
      </c>
      <c r="F6286" s="83">
        <f t="shared" ca="1" si="262"/>
        <v>60876.780000000006</v>
      </c>
    </row>
    <row r="6287" spans="1:6" ht="14.1" customHeight="1" x14ac:dyDescent="0.25">
      <c r="A6287" s="94" t="s">
        <v>10319</v>
      </c>
      <c r="B6287" s="82" t="str">
        <f ca="1">IFERROR(INDEX(UNSPSCDes,MATCH(INDIRECT(ADDRESS(ROW(),COLUMN()-1,4)),UNSPSCCode,0)),IF(INDIRECT(ADDRESS(ROW(),COLUMN()-1,4))="51171915","Pantoprazol sódico",""))</f>
        <v>Pantoprazol sódico</v>
      </c>
      <c r="C6287" s="95" t="str">
        <f>IFERROR(VLOOKUP("UD",'Informacion '!P:Q,2,FALSE),"")</f>
        <v>Unidad</v>
      </c>
      <c r="D6287" s="94">
        <v>8</v>
      </c>
      <c r="E6287" s="84">
        <v>664.45</v>
      </c>
      <c r="F6287" s="83">
        <f t="shared" ca="1" si="262"/>
        <v>5315.6</v>
      </c>
    </row>
    <row r="6288" spans="1:6" ht="14.1" customHeight="1" x14ac:dyDescent="0.25">
      <c r="A6288" s="94" t="s">
        <v>5182</v>
      </c>
      <c r="B6288" s="82" t="str">
        <f ca="1">IFERROR(INDEX(UNSPSCDes,MATCH(INDIRECT(ADDRESS(ROW(),COLUMN()-1,4)),UNSPSCCode,0)),IF(INDIRECT(ADDRESS(ROW(),COLUMN()-1,4))="51141704","Risperidona",""))</f>
        <v>Risperidona</v>
      </c>
      <c r="C6288" s="95" t="str">
        <f>IFERROR(VLOOKUP("UD",'Informacion '!P:Q,2,FALSE),"")</f>
        <v>Unidad</v>
      </c>
      <c r="D6288" s="94">
        <v>3</v>
      </c>
      <c r="E6288" s="84">
        <v>480.67</v>
      </c>
      <c r="F6288" s="83">
        <f t="shared" ca="1" si="262"/>
        <v>1442.01</v>
      </c>
    </row>
    <row r="6289" spans="1:10" ht="14.1" customHeight="1" x14ac:dyDescent="0.25">
      <c r="A6289" s="94" t="s">
        <v>13844</v>
      </c>
      <c r="B6289" s="82" t="str">
        <f ca="1">IFERROR(INDEX(UNSPSCDes,MATCH(INDIRECT(ADDRESS(ROW(),COLUMN()-1,4)),UNSPSCCode,0)),IF(INDIRECT(ADDRESS(ROW(),COLUMN()-1,4))="42141903","Kits o accesorios para enema",""))</f>
        <v>Kits o accesorios para enema</v>
      </c>
      <c r="C6289" s="95" t="str">
        <f>IFERROR(VLOOKUP("UD",'Informacion '!P:Q,2,FALSE),"")</f>
        <v>Unidad</v>
      </c>
      <c r="D6289" s="94">
        <v>166</v>
      </c>
      <c r="E6289" s="84">
        <v>75.41</v>
      </c>
      <c r="F6289" s="83">
        <f t="shared" ca="1" si="262"/>
        <v>12518.06</v>
      </c>
    </row>
    <row r="6290" spans="1:10" ht="14.1" customHeight="1" x14ac:dyDescent="0.25">
      <c r="A6290" s="94" t="s">
        <v>12769</v>
      </c>
      <c r="B6290" s="82" t="str">
        <f ca="1">IFERROR(INDEX(UNSPSCDes,MATCH(INDIRECT(ADDRESS(ROW(),COLUMN()-1,4)),UNSPSCCode,0)),IF(INDIRECT(ADDRESS(ROW(),COLUMN()-1,4))="51171605","Lactulosa",""))</f>
        <v>Lactulosa</v>
      </c>
      <c r="C6290" s="95" t="str">
        <f>IFERROR(VLOOKUP("UD",'Informacion '!P:Q,2,FALSE),"")</f>
        <v>Unidad</v>
      </c>
      <c r="D6290" s="94">
        <v>50</v>
      </c>
      <c r="E6290" s="84">
        <v>426.33</v>
      </c>
      <c r="F6290" s="83">
        <f t="shared" ca="1" si="262"/>
        <v>21316.5</v>
      </c>
    </row>
    <row r="6291" spans="1:10" ht="14.1" customHeight="1" x14ac:dyDescent="0.25">
      <c r="A6291" s="94" t="s">
        <v>3076</v>
      </c>
      <c r="B6291" s="82" t="str">
        <f ca="1">IFERROR(INDEX(UNSPSCDes,MATCH(INDIRECT(ADDRESS(ROW(),COLUMN()-1,4)),UNSPSCCode,0)),IF(INDIRECT(ADDRESS(ROW(),COLUMN()-1,4))="51171622","Fosfato de sodio",""))</f>
        <v>Fosfato de sodio</v>
      </c>
      <c r="C6291" s="95" t="str">
        <f>IFERROR(VLOOKUP("UD",'Informacion '!P:Q,2,FALSE),"")</f>
        <v>Unidad</v>
      </c>
      <c r="D6291" s="94">
        <v>2</v>
      </c>
      <c r="E6291" s="84">
        <v>70.8</v>
      </c>
      <c r="F6291" s="83">
        <f t="shared" ca="1" si="262"/>
        <v>141.6</v>
      </c>
    </row>
    <row r="6292" spans="1:10" ht="14.1" customHeight="1" x14ac:dyDescent="0.25">
      <c r="A6292" s="94" t="s">
        <v>9816</v>
      </c>
      <c r="B6292" s="82" t="str">
        <f ca="1">IFERROR(INDEX(UNSPSCDes,MATCH(INDIRECT(ADDRESS(ROW(),COLUMN()-1,4)),UNSPSCCode,0)),IF(INDIRECT(ADDRESS(ROW(),COLUMN()-1,4))="51191905","Suplementos vitamínicos",""))</f>
        <v>Suplementos vitamínicos</v>
      </c>
      <c r="C6292" s="95" t="str">
        <f>IFERROR(VLOOKUP("UD",'Informacion '!P:Q,2,FALSE),"")</f>
        <v>Unidad</v>
      </c>
      <c r="D6292" s="94">
        <v>66</v>
      </c>
      <c r="E6292" s="84">
        <v>420.49</v>
      </c>
      <c r="F6292" s="83">
        <f t="shared" ca="1" si="262"/>
        <v>27752.34</v>
      </c>
    </row>
    <row r="6293" spans="1:10" ht="14.1" customHeight="1" x14ac:dyDescent="0.25">
      <c r="A6293" s="94" t="s">
        <v>16527</v>
      </c>
      <c r="B6293" s="82" t="str">
        <f ca="1">IFERROR(INDEX(UNSPSCDes,MATCH(INDIRECT(ADDRESS(ROW(),COLUMN()-1,4)),UNSPSCCode,0)),IF(INDIRECT(ADDRESS(ROW(),COLUMN()-1,4))="51171619","Supositorios de glicerina",""))</f>
        <v>Supositorios de glicerina</v>
      </c>
      <c r="C6293" s="95" t="str">
        <f>IFERROR(VLOOKUP("UD",'Informacion '!P:Q,2,FALSE),"")</f>
        <v>Unidad</v>
      </c>
      <c r="D6293" s="94">
        <v>2</v>
      </c>
      <c r="E6293" s="84">
        <v>11.54</v>
      </c>
      <c r="F6293" s="83">
        <f t="shared" ca="1" si="262"/>
        <v>23.08</v>
      </c>
    </row>
    <row r="6294" spans="1:10" ht="14.1" customHeight="1" x14ac:dyDescent="0.25">
      <c r="E6294" s="96" t="s">
        <v>7213</v>
      </c>
      <c r="F6294" s="87">
        <f ca="1">SUM(Table175[MONTO TOTAL ESTIMADO])</f>
        <v>552394.64999999979</v>
      </c>
      <c r="H6294" s="39" t="str">
        <f>C6225</f>
        <v>Bienes</v>
      </c>
      <c r="I6294" s="39" t="str">
        <f>E6225</f>
        <v>No</v>
      </c>
      <c r="J6294" s="39" t="str">
        <f>D6225</f>
        <v>Comparacion de Precios</v>
      </c>
    </row>
    <row r="6296" spans="1:10" ht="33.950000000000003" customHeight="1" x14ac:dyDescent="0.25">
      <c r="A6296" s="77" t="s">
        <v>17233</v>
      </c>
      <c r="B6296" s="77" t="s">
        <v>4237</v>
      </c>
      <c r="C6296" s="77" t="s">
        <v>4743</v>
      </c>
      <c r="D6296" s="77" t="s">
        <v>9891</v>
      </c>
      <c r="E6296" s="77" t="s">
        <v>3089</v>
      </c>
      <c r="F6296" s="77" t="s">
        <v>18141</v>
      </c>
    </row>
    <row r="6297" spans="1:10" ht="14.1" customHeight="1" x14ac:dyDescent="0.25">
      <c r="A6297" s="79" t="s">
        <v>342</v>
      </c>
      <c r="B6297" s="79" t="s">
        <v>2182</v>
      </c>
      <c r="C6297" s="79" t="s">
        <v>17215</v>
      </c>
      <c r="D6297" s="79" t="s">
        <v>15249</v>
      </c>
      <c r="E6297" s="79" t="s">
        <v>18247</v>
      </c>
      <c r="F6297" s="79"/>
    </row>
    <row r="6298" spans="1:10" ht="14.1" customHeight="1" x14ac:dyDescent="0.25">
      <c r="A6298" s="2" t="s">
        <v>6643</v>
      </c>
      <c r="B6298" s="80" t="s">
        <v>1046</v>
      </c>
      <c r="C6298" s="90">
        <v>43647</v>
      </c>
      <c r="D6298" s="2" t="s">
        <v>59</v>
      </c>
      <c r="E6298" s="92" t="s">
        <v>20066</v>
      </c>
      <c r="F6298" s="93"/>
    </row>
    <row r="6299" spans="1:10" ht="14.1" customHeight="1" x14ac:dyDescent="0.25">
      <c r="A6299" s="1"/>
      <c r="B6299" s="80" t="s">
        <v>10788</v>
      </c>
      <c r="C6299" s="91">
        <f>IF(C6298="","",IF(AND(MONTH(C6298)&gt;=1,MONTH(C6298)&lt;=3),1,IF(AND(MONTH(C6298)&gt;=4,MONTH(C6298)&lt;=6),2,IF(AND(MONTH(C6298)&gt;=7,MONTH(C6298)&lt;=9),3,4))))</f>
        <v>3</v>
      </c>
      <c r="D6299" s="1"/>
      <c r="E6299" s="92" t="s">
        <v>14822</v>
      </c>
      <c r="F6299" s="93"/>
    </row>
    <row r="6300" spans="1:10" ht="14.1" customHeight="1" x14ac:dyDescent="0.25">
      <c r="A6300" s="1"/>
      <c r="B6300" s="80" t="s">
        <v>13758</v>
      </c>
      <c r="C6300" s="90">
        <v>43738</v>
      </c>
      <c r="D6300" s="1"/>
      <c r="E6300" s="92" t="s">
        <v>18636</v>
      </c>
      <c r="F6300" s="93"/>
    </row>
    <row r="6301" spans="1:10" ht="14.1" customHeight="1" x14ac:dyDescent="0.25">
      <c r="A6301" s="1"/>
      <c r="B6301" s="80" t="s">
        <v>10788</v>
      </c>
      <c r="C6301" s="91">
        <f>IF(C6300="","",IF(AND(MONTH(C6300)&gt;=1,MONTH(C6300)&lt;=3),1,IF(AND(MONTH(C6300)&gt;=4,MONTH(C6300)&lt;=6),2,IF(AND(MONTH(C6300)&gt;=7,MONTH(C6300)&lt;=9),3,4))))</f>
        <v>3</v>
      </c>
      <c r="D6301" s="1"/>
      <c r="E6301" s="92" t="s">
        <v>15990</v>
      </c>
      <c r="F6301" s="93"/>
    </row>
    <row r="6303" spans="1:10" ht="14.1" customHeight="1" x14ac:dyDescent="0.25">
      <c r="A6303" s="85" t="s">
        <v>15474</v>
      </c>
      <c r="B6303" s="85" t="s">
        <v>5027</v>
      </c>
      <c r="C6303" s="85" t="s">
        <v>17461</v>
      </c>
      <c r="D6303" s="85" t="s">
        <v>3935</v>
      </c>
      <c r="E6303" s="85" t="s">
        <v>10722</v>
      </c>
      <c r="F6303" s="85" t="s">
        <v>18237</v>
      </c>
    </row>
    <row r="6304" spans="1:10" ht="14.1" customHeight="1" x14ac:dyDescent="0.25">
      <c r="A6304" s="94" t="s">
        <v>8167</v>
      </c>
      <c r="B6304" s="82" t="str">
        <f ca="1">IFERROR(INDEX(UNSPSCDes,MATCH(INDIRECT(ADDRESS(ROW(),COLUMN()-1,4)),UNSPSCCode,0)),IF(INDIRECT(ADDRESS(ROW(),COLUMN()-1,4))="51161701","Acetilcisteína",""))</f>
        <v>Acetilcisteína</v>
      </c>
      <c r="C6304" s="95" t="str">
        <f>IFERROR(VLOOKUP("UD",'Informacion '!P:Q,2,FALSE),"")</f>
        <v>Unidad</v>
      </c>
      <c r="D6304" s="94">
        <v>30</v>
      </c>
      <c r="E6304" s="84">
        <v>12.59</v>
      </c>
      <c r="F6304" s="83">
        <f t="shared" ref="F6304:F6335" ca="1" si="263">INDIRECT(ADDRESS(ROW(),COLUMN()-2,4))*INDIRECT(ADDRESS(ROW(),COLUMN()-1,4))</f>
        <v>377.7</v>
      </c>
    </row>
    <row r="6305" spans="1:6" ht="14.1" customHeight="1" x14ac:dyDescent="0.25">
      <c r="A6305" s="94" t="s">
        <v>19241</v>
      </c>
      <c r="B6305" s="82" t="str">
        <f ca="1">IFERROR(INDEX(UNSPSCDes,MATCH(INDIRECT(ADDRESS(ROW(),COLUMN()-1,4)),UNSPSCCode,0)),IF(INDIRECT(ADDRESS(ROW(),COLUMN()-1,4))="51131709","Bisulfato de clopidogrel",""))</f>
        <v>Bisulfato de clopidogrel</v>
      </c>
      <c r="C6305" s="95" t="str">
        <f>IFERROR(VLOOKUP("UD",'Informacion '!P:Q,2,FALSE),"")</f>
        <v>Unidad</v>
      </c>
      <c r="D6305" s="94">
        <v>64</v>
      </c>
      <c r="E6305" s="84">
        <v>14.93</v>
      </c>
      <c r="F6305" s="83">
        <f t="shared" ca="1" si="263"/>
        <v>955.52</v>
      </c>
    </row>
    <row r="6306" spans="1:6" ht="14.1" customHeight="1" x14ac:dyDescent="0.25">
      <c r="A6306" s="94" t="s">
        <v>7594</v>
      </c>
      <c r="B6306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6306" s="95" t="str">
        <f>IFERROR(VLOOKUP("UD",'Informacion '!P:Q,2,FALSE),"")</f>
        <v>Unidad</v>
      </c>
      <c r="D6306" s="94">
        <v>1233</v>
      </c>
      <c r="E6306" s="84">
        <v>16.88</v>
      </c>
      <c r="F6306" s="83">
        <f t="shared" ca="1" si="263"/>
        <v>20813.039999999997</v>
      </c>
    </row>
    <row r="6307" spans="1:6" ht="14.1" customHeight="1" x14ac:dyDescent="0.25">
      <c r="A6307" s="94" t="s">
        <v>1138</v>
      </c>
      <c r="B6307" s="82" t="str">
        <f ca="1">IFERROR(INDEX(UNSPSCDes,MATCH(INDIRECT(ADDRESS(ROW(),COLUMN()-1,4)),UNSPSCCode,0)),IF(INDIRECT(ADDRESS(ROW(),COLUMN()-1,4))="51161620","Difenhidramina",""))</f>
        <v>Difenhidramina</v>
      </c>
      <c r="C6307" s="95" t="str">
        <f>IFERROR(VLOOKUP("UD",'Informacion '!P:Q,2,FALSE),"")</f>
        <v>Unidad</v>
      </c>
      <c r="D6307" s="94">
        <v>3686</v>
      </c>
      <c r="E6307" s="84">
        <v>6.8</v>
      </c>
      <c r="F6307" s="83">
        <f t="shared" ca="1" si="263"/>
        <v>25064.799999999999</v>
      </c>
    </row>
    <row r="6308" spans="1:6" ht="14.1" customHeight="1" x14ac:dyDescent="0.25">
      <c r="A6308" s="94" t="s">
        <v>1138</v>
      </c>
      <c r="B6308" s="82" t="str">
        <f ca="1">IFERROR(INDEX(UNSPSCDes,MATCH(INDIRECT(ADDRESS(ROW(),COLUMN()-1,4)),UNSPSCCode,0)),IF(INDIRECT(ADDRESS(ROW(),COLUMN()-1,4))="51161620","Difenhidramina",""))</f>
        <v>Difenhidramina</v>
      </c>
      <c r="C6308" s="95" t="str">
        <f>IFERROR(VLOOKUP("UD",'Informacion '!P:Q,2,FALSE),"")</f>
        <v>Unidad</v>
      </c>
      <c r="D6308" s="94">
        <v>33</v>
      </c>
      <c r="E6308" s="84">
        <v>30.89</v>
      </c>
      <c r="F6308" s="83">
        <f t="shared" ca="1" si="263"/>
        <v>1019.37</v>
      </c>
    </row>
    <row r="6309" spans="1:6" ht="14.1" customHeight="1" x14ac:dyDescent="0.25">
      <c r="A6309" s="94" t="s">
        <v>17940</v>
      </c>
      <c r="B6309" s="82" t="str">
        <f ca="1">IFERROR(INDEX(UNSPSCDes,MATCH(INDIRECT(ADDRESS(ROW(),COLUMN()-1,4)),UNSPSCCode,0)),IF(INDIRECT(ADDRESS(ROW(),COLUMN()-1,4))="51131516","Hierro sacarosa",""))</f>
        <v>Hierro sacarosa</v>
      </c>
      <c r="C6309" s="95" t="str">
        <f>IFERROR(VLOOKUP("UD",'Informacion '!P:Q,2,FALSE),"")</f>
        <v>Unidad</v>
      </c>
      <c r="D6309" s="94">
        <v>3</v>
      </c>
      <c r="E6309" s="84">
        <v>70.08</v>
      </c>
      <c r="F6309" s="83">
        <f t="shared" ca="1" si="263"/>
        <v>210.24</v>
      </c>
    </row>
    <row r="6310" spans="1:6" ht="14.1" customHeight="1" x14ac:dyDescent="0.25">
      <c r="A6310" s="94" t="s">
        <v>18291</v>
      </c>
      <c r="B6310" s="82" t="str">
        <f ca="1">IFERROR(INDEX(UNSPSCDes,MATCH(INDIRECT(ADDRESS(ROW(),COLUMN()-1,4)),UNSPSCCode,0)),IF(INDIRECT(ADDRESS(ROW(),COLUMN()-1,4))="51121511","Clorhidrato de amiodarona",""))</f>
        <v>Clorhidrato de amiodarona</v>
      </c>
      <c r="C6310" s="95" t="str">
        <f>IFERROR(VLOOKUP("UD",'Informacion '!P:Q,2,FALSE),"")</f>
        <v>Unidad</v>
      </c>
      <c r="D6310" s="94">
        <v>46</v>
      </c>
      <c r="E6310" s="84">
        <v>43.94</v>
      </c>
      <c r="F6310" s="83">
        <f t="shared" ca="1" si="263"/>
        <v>2021.2399999999998</v>
      </c>
    </row>
    <row r="6311" spans="1:6" ht="14.1" customHeight="1" x14ac:dyDescent="0.25">
      <c r="A6311" s="94" t="s">
        <v>16036</v>
      </c>
      <c r="B6311" s="82" t="str">
        <f ca="1">IFERROR(INDEX(UNSPSCDes,MATCH(INDIRECT(ADDRESS(ROW(),COLUMN()-1,4)),UNSPSCCode,0)),IF(INDIRECT(ADDRESS(ROW(),COLUMN()-1,4))="51121803","Simvastatina",""))</f>
        <v>Simvastatina</v>
      </c>
      <c r="C6311" s="95" t="str">
        <f>IFERROR(VLOOKUP("UD",'Informacion '!P:Q,2,FALSE),"")</f>
        <v>Unidad</v>
      </c>
      <c r="D6311" s="94">
        <v>7</v>
      </c>
      <c r="E6311" s="84">
        <v>8.67</v>
      </c>
      <c r="F6311" s="83">
        <f t="shared" ca="1" si="263"/>
        <v>60.69</v>
      </c>
    </row>
    <row r="6312" spans="1:6" ht="14.1" customHeight="1" x14ac:dyDescent="0.25">
      <c r="A6312" s="94" t="s">
        <v>15700</v>
      </c>
      <c r="B6312" s="82" t="str">
        <f ca="1">IFERROR(INDEX(UNSPSCDes,MATCH(INDIRECT(ADDRESS(ROW(),COLUMN()-1,4)),UNSPSCCode,0)),IF(INDIRECT(ADDRESS(ROW(),COLUMN()-1,4))="51151616","Atropina",""))</f>
        <v>Atropina</v>
      </c>
      <c r="C6312" s="95" t="str">
        <f>IFERROR(VLOOKUP("UD",'Informacion '!P:Q,2,FALSE),"")</f>
        <v>Unidad</v>
      </c>
      <c r="D6312" s="94">
        <v>169</v>
      </c>
      <c r="E6312" s="84">
        <v>10.15</v>
      </c>
      <c r="F6312" s="83">
        <f t="shared" ca="1" si="263"/>
        <v>1715.3500000000001</v>
      </c>
    </row>
    <row r="6313" spans="1:6" ht="14.1" customHeight="1" x14ac:dyDescent="0.25">
      <c r="A6313" s="94" t="s">
        <v>9479</v>
      </c>
      <c r="B6313" s="82" t="str">
        <f ca="1">IFERROR(INDEX(UNSPSCDes,MATCH(INDIRECT(ADDRESS(ROW(),COLUMN()-1,4)),UNSPSCCode,0)),IF(INDIRECT(ADDRESS(ROW(),COLUMN()-1,4))="51141601","Amitriptilina",""))</f>
        <v>Amitriptilina</v>
      </c>
      <c r="C6313" s="95" t="str">
        <f>IFERROR(VLOOKUP("UD",'Informacion '!P:Q,2,FALSE),"")</f>
        <v>Unidad</v>
      </c>
      <c r="D6313" s="94">
        <v>34</v>
      </c>
      <c r="E6313" s="84">
        <v>2.08</v>
      </c>
      <c r="F6313" s="83">
        <f t="shared" ca="1" si="263"/>
        <v>70.72</v>
      </c>
    </row>
    <row r="6314" spans="1:6" ht="14.1" customHeight="1" x14ac:dyDescent="0.25">
      <c r="A6314" s="94" t="s">
        <v>4216</v>
      </c>
      <c r="B6314" s="82" t="str">
        <f ca="1">IFERROR(INDEX(UNSPSCDes,MATCH(INDIRECT(ADDRESS(ROW(),COLUMN()-1,4)),UNSPSCCode,0)),IF(INDIRECT(ADDRESS(ROW(),COLUMN()-1,4))="51141604","Mirtazapina",""))</f>
        <v>Mirtazapina</v>
      </c>
      <c r="C6314" s="95" t="str">
        <f>IFERROR(VLOOKUP("UD",'Informacion '!P:Q,2,FALSE),"")</f>
        <v>Unidad</v>
      </c>
      <c r="D6314" s="94">
        <v>3</v>
      </c>
      <c r="E6314" s="84">
        <v>25.31</v>
      </c>
      <c r="F6314" s="83">
        <f t="shared" ca="1" si="263"/>
        <v>75.929999999999993</v>
      </c>
    </row>
    <row r="6315" spans="1:6" ht="14.1" customHeight="1" x14ac:dyDescent="0.25">
      <c r="A6315" s="94" t="s">
        <v>6476</v>
      </c>
      <c r="B6315" s="82" t="str">
        <f ca="1">IFERROR(INDEX(UNSPSCDes,MATCH(INDIRECT(ADDRESS(ROW(),COLUMN()-1,4)),UNSPSCCode,0)),IF(INDIRECT(ADDRESS(ROW(),COLUMN()-1,4))="51141618","Clorhidrato de fluoxetina",""))</f>
        <v>Clorhidrato de fluoxetina</v>
      </c>
      <c r="C6315" s="95" t="str">
        <f>IFERROR(VLOOKUP("UD",'Informacion '!P:Q,2,FALSE),"")</f>
        <v>Unidad</v>
      </c>
      <c r="D6315" s="94">
        <v>9</v>
      </c>
      <c r="E6315" s="84">
        <v>15.81</v>
      </c>
      <c r="F6315" s="83">
        <f t="shared" ca="1" si="263"/>
        <v>142.29</v>
      </c>
    </row>
    <row r="6316" spans="1:6" ht="14.1" customHeight="1" x14ac:dyDescent="0.25">
      <c r="A6316" s="94" t="s">
        <v>8733</v>
      </c>
      <c r="B6316" s="82" t="str">
        <f ca="1">IFERROR(INDEX(UNSPSCDes,MATCH(INDIRECT(ADDRESS(ROW(),COLUMN()-1,4)),UNSPSCCode,0)),IF(INDIRECT(ADDRESS(ROW(),COLUMN()-1,4))="51171820","Dimenhidrinato",""))</f>
        <v>Dimenhidrinato</v>
      </c>
      <c r="C6316" s="95" t="str">
        <f>IFERROR(VLOOKUP("UD",'Informacion '!P:Q,2,FALSE),"")</f>
        <v>Unidad</v>
      </c>
      <c r="D6316" s="94">
        <v>261</v>
      </c>
      <c r="E6316" s="84">
        <v>36.07</v>
      </c>
      <c r="F6316" s="83">
        <f t="shared" ca="1" si="263"/>
        <v>9414.27</v>
      </c>
    </row>
    <row r="6317" spans="1:6" ht="14.1" customHeight="1" x14ac:dyDescent="0.25">
      <c r="A6317" s="94" t="s">
        <v>10350</v>
      </c>
      <c r="B6317" s="82" t="str">
        <f ca="1">IFERROR(INDEX(UNSPSCDes,MATCH(INDIRECT(ADDRESS(ROW(),COLUMN()-1,4)),UNSPSCCode,0)),IF(INDIRECT(ADDRESS(ROW(),COLUMN()-1,4))="51171806","Metoclopramida",""))</f>
        <v>Metoclopramida</v>
      </c>
      <c r="C6317" s="95" t="str">
        <f>IFERROR(VLOOKUP("UD",'Informacion '!P:Q,2,FALSE),"")</f>
        <v>Unidad</v>
      </c>
      <c r="D6317" s="94">
        <v>137</v>
      </c>
      <c r="E6317" s="84">
        <v>3.07</v>
      </c>
      <c r="F6317" s="83">
        <f t="shared" ca="1" si="263"/>
        <v>420.59</v>
      </c>
    </row>
    <row r="6318" spans="1:6" ht="14.1" customHeight="1" x14ac:dyDescent="0.25">
      <c r="A6318" s="94" t="s">
        <v>7570</v>
      </c>
      <c r="B6318" s="82" t="str">
        <f ca="1">IFERROR(INDEX(UNSPSCDes,MATCH(INDIRECT(ADDRESS(ROW(),COLUMN()-1,4)),UNSPSCCode,0)),IF(INDIRECT(ADDRESS(ROW(),COLUMN()-1,4))="51171816","Ondansetrón",""))</f>
        <v>Ondansetrón</v>
      </c>
      <c r="C6318" s="95" t="str">
        <f>IFERROR(VLOOKUP("UD",'Informacion '!P:Q,2,FALSE),"")</f>
        <v>Unidad</v>
      </c>
      <c r="D6318" s="94">
        <v>161</v>
      </c>
      <c r="E6318" s="84">
        <v>33</v>
      </c>
      <c r="F6318" s="83">
        <f t="shared" ca="1" si="263"/>
        <v>5313</v>
      </c>
    </row>
    <row r="6319" spans="1:6" ht="14.1" customHeight="1" x14ac:dyDescent="0.25">
      <c r="A6319" s="94" t="s">
        <v>10956</v>
      </c>
      <c r="B6319" s="82" t="str">
        <f ca="1">IFERROR(INDEX(UNSPSCDes,MATCH(INDIRECT(ADDRESS(ROW(),COLUMN()-1,4)),UNSPSCCode,0)),IF(INDIRECT(ADDRESS(ROW(),COLUMN()-1,4))="51141517","Gabapentina",""))</f>
        <v>Gabapentina</v>
      </c>
      <c r="C6319" s="95" t="str">
        <f>IFERROR(VLOOKUP("UD",'Informacion '!P:Q,2,FALSE),"")</f>
        <v>Unidad</v>
      </c>
      <c r="D6319" s="94">
        <v>4</v>
      </c>
      <c r="E6319" s="84">
        <v>32.35</v>
      </c>
      <c r="F6319" s="83">
        <f t="shared" ca="1" si="263"/>
        <v>129.4</v>
      </c>
    </row>
    <row r="6320" spans="1:6" ht="14.1" customHeight="1" x14ac:dyDescent="0.25">
      <c r="A6320" s="94" t="s">
        <v>10956</v>
      </c>
      <c r="B6320" s="82" t="str">
        <f ca="1">IFERROR(INDEX(UNSPSCDes,MATCH(INDIRECT(ADDRESS(ROW(),COLUMN()-1,4)),UNSPSCCode,0)),IF(INDIRECT(ADDRESS(ROW(),COLUMN()-1,4))="51141517","Gabapentina",""))</f>
        <v>Gabapentina</v>
      </c>
      <c r="C6320" s="95" t="str">
        <f>IFERROR(VLOOKUP("UD",'Informacion '!P:Q,2,FALSE),"")</f>
        <v>Unidad</v>
      </c>
      <c r="D6320" s="94">
        <v>72</v>
      </c>
      <c r="E6320" s="84">
        <v>82.42</v>
      </c>
      <c r="F6320" s="83">
        <f t="shared" ca="1" si="263"/>
        <v>5934.24</v>
      </c>
    </row>
    <row r="6321" spans="1:6" ht="14.1" customHeight="1" x14ac:dyDescent="0.25">
      <c r="A6321" s="94" t="s">
        <v>13060</v>
      </c>
      <c r="B6321" s="82" t="str">
        <f ca="1">IFERROR(INDEX(UNSPSCDes,MATCH(INDIRECT(ADDRESS(ROW(),COLUMN()-1,4)),UNSPSCCode,0)),IF(INDIRECT(ADDRESS(ROW(),COLUMN()-1,4))="51172107","Butilbromuro de hioscina",""))</f>
        <v>Butilbromuro de hioscina</v>
      </c>
      <c r="C6321" s="95" t="str">
        <f>IFERROR(VLOOKUP("UD",'Informacion '!P:Q,2,FALSE),"")</f>
        <v>Unidad</v>
      </c>
      <c r="D6321" s="94">
        <v>21</v>
      </c>
      <c r="E6321" s="84">
        <v>9.61</v>
      </c>
      <c r="F6321" s="83">
        <f t="shared" ca="1" si="263"/>
        <v>201.81</v>
      </c>
    </row>
    <row r="6322" spans="1:6" ht="14.1" customHeight="1" x14ac:dyDescent="0.25">
      <c r="A6322" s="94" t="s">
        <v>12395</v>
      </c>
      <c r="B6322" s="82" t="str">
        <f ca="1">IFERROR(INDEX(UNSPSCDes,MATCH(INDIRECT(ADDRESS(ROW(),COLUMN()-1,4)),UNSPSCCode,0)),IF(INDIRECT(ADDRESS(ROW(),COLUMN()-1,4))="51211501","Alopurinol",""))</f>
        <v>Alopurinol</v>
      </c>
      <c r="C6322" s="95" t="str">
        <f>IFERROR(VLOOKUP("UD",'Informacion '!P:Q,2,FALSE),"")</f>
        <v>Unidad</v>
      </c>
      <c r="D6322" s="94">
        <v>290</v>
      </c>
      <c r="E6322" s="84">
        <v>5.65</v>
      </c>
      <c r="F6322" s="83">
        <f t="shared" ca="1" si="263"/>
        <v>1638.5</v>
      </c>
    </row>
    <row r="6323" spans="1:6" ht="14.1" customHeight="1" x14ac:dyDescent="0.25">
      <c r="A6323" s="94" t="s">
        <v>1085</v>
      </c>
      <c r="B6323" s="82" t="str">
        <f ca="1">IFERROR(INDEX(UNSPSCDes,MATCH(INDIRECT(ADDRESS(ROW(),COLUMN()-1,4)),UNSPSCCode,0)),IF(INDIRECT(ADDRESS(ROW(),COLUMN()-1,4))="51111802","Bicalutamida",""))</f>
        <v>Bicalutamida</v>
      </c>
      <c r="C6323" s="95" t="str">
        <f>IFERROR(VLOOKUP("UD",'Informacion '!P:Q,2,FALSE),"")</f>
        <v>Unidad</v>
      </c>
      <c r="D6323" s="94">
        <v>59</v>
      </c>
      <c r="E6323" s="84">
        <v>72.069999999999993</v>
      </c>
      <c r="F6323" s="83">
        <f t="shared" ca="1" si="263"/>
        <v>4252.1299999999992</v>
      </c>
    </row>
    <row r="6324" spans="1:6" ht="14.1" customHeight="1" x14ac:dyDescent="0.25">
      <c r="A6324" s="94" t="s">
        <v>5338</v>
      </c>
      <c r="B6324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6324" s="95" t="str">
        <f>IFERROR(VLOOKUP("UD",'Informacion '!P:Q,2,FALSE),"")</f>
        <v>Unidad</v>
      </c>
      <c r="D6324" s="94">
        <v>10</v>
      </c>
      <c r="E6324" s="84">
        <v>303.38</v>
      </c>
      <c r="F6324" s="83">
        <f t="shared" ca="1" si="263"/>
        <v>3033.8</v>
      </c>
    </row>
    <row r="6325" spans="1:6" ht="14.1" customHeight="1" x14ac:dyDescent="0.25">
      <c r="A6325" s="94" t="s">
        <v>2805</v>
      </c>
      <c r="B6325" s="82" t="str">
        <f ca="1">IFERROR(INDEX(UNSPSCDes,MATCH(INDIRECT(ADDRESS(ROW(),COLUMN()-1,4)),UNSPSCCode,0)),IF(INDIRECT(ADDRESS(ROW(),COLUMN()-1,4))="51102301","Aciclovir",""))</f>
        <v>Aciclovir</v>
      </c>
      <c r="C6325" s="95" t="str">
        <f>IFERROR(VLOOKUP("UD",'Informacion '!P:Q,2,FALSE),"")</f>
        <v>Unidad</v>
      </c>
      <c r="D6325" s="94">
        <v>48</v>
      </c>
      <c r="E6325" s="84">
        <v>768</v>
      </c>
      <c r="F6325" s="83">
        <f t="shared" ca="1" si="263"/>
        <v>36864</v>
      </c>
    </row>
    <row r="6326" spans="1:6" ht="14.1" customHeight="1" x14ac:dyDescent="0.25">
      <c r="A6326" s="94" t="s">
        <v>16940</v>
      </c>
      <c r="B6326" s="82" t="str">
        <f ca="1">IFERROR(INDEX(UNSPSCDes,MATCH(INDIRECT(ADDRESS(ROW(),COLUMN()-1,4)),UNSPSCCode,0)),IF(INDIRECT(ADDRESS(ROW(),COLUMN()-1,4))="85111508","Servicios de prevención o control de enfermedades virales",""))</f>
        <v>Servicios de prevención o control de enfermedades virales</v>
      </c>
      <c r="C6326" s="95" t="str">
        <f>IFERROR(VLOOKUP("UD",'Informacion '!P:Q,2,FALSE),"")</f>
        <v>Unidad</v>
      </c>
      <c r="D6326" s="94">
        <v>3</v>
      </c>
      <c r="E6326" s="84">
        <v>361.54</v>
      </c>
      <c r="F6326" s="83">
        <f t="shared" ca="1" si="263"/>
        <v>1084.6200000000001</v>
      </c>
    </row>
    <row r="6327" spans="1:6" ht="14.1" customHeight="1" x14ac:dyDescent="0.25">
      <c r="A6327" s="94" t="s">
        <v>6719</v>
      </c>
      <c r="B6327" s="82" t="str">
        <f ca="1">IFERROR(INDEX(UNSPSCDes,MATCH(INDIRECT(ADDRESS(ROW(),COLUMN()-1,4)),UNSPSCCode,0)),IF(INDIRECT(ADDRESS(ROW(),COLUMN()-1,4))="51161808","Dextrometorfano",""))</f>
        <v>Dextrometorfano</v>
      </c>
      <c r="C6327" s="95" t="str">
        <f>IFERROR(VLOOKUP("UD",'Informacion '!P:Q,2,FALSE),"")</f>
        <v>Unidad</v>
      </c>
      <c r="D6327" s="94">
        <v>11</v>
      </c>
      <c r="E6327" s="84">
        <v>16.34</v>
      </c>
      <c r="F6327" s="83">
        <f t="shared" ca="1" si="263"/>
        <v>179.74</v>
      </c>
    </row>
    <row r="6328" spans="1:6" ht="14.1" customHeight="1" x14ac:dyDescent="0.25">
      <c r="A6328" s="94" t="s">
        <v>3671</v>
      </c>
      <c r="B6328" s="82" t="str">
        <f ca="1">IFERROR(INDEX(UNSPSCDes,MATCH(INDIRECT(ADDRESS(ROW(),COLUMN()-1,4)),UNSPSCCode,0)),IF(INDIRECT(ADDRESS(ROW(),COLUMN()-1,4))="51141531","Ácido valproico",""))</f>
        <v>Ácido valproico</v>
      </c>
      <c r="C6328" s="95" t="str">
        <f>IFERROR(VLOOKUP("UD",'Informacion '!P:Q,2,FALSE),"")</f>
        <v>Unidad</v>
      </c>
      <c r="D6328" s="94">
        <v>6</v>
      </c>
      <c r="E6328" s="84">
        <v>14.85</v>
      </c>
      <c r="F6328" s="83">
        <f t="shared" ca="1" si="263"/>
        <v>89.1</v>
      </c>
    </row>
    <row r="6329" spans="1:6" ht="14.1" customHeight="1" x14ac:dyDescent="0.25">
      <c r="A6329" s="94" t="s">
        <v>13626</v>
      </c>
      <c r="B6329" s="82" t="str">
        <f ca="1">IFERROR(INDEX(UNSPSCDes,MATCH(INDIRECT(ADDRESS(ROW(),COLUMN()-1,4)),UNSPSCCode,0)),IF(INDIRECT(ADDRESS(ROW(),COLUMN()-1,4))="51151735","Aspartato de anfetamina",""))</f>
        <v>Aspartato de anfetamina</v>
      </c>
      <c r="C6329" s="95" t="str">
        <f>IFERROR(VLOOKUP("UD",'Informacion '!P:Q,2,FALSE),"")</f>
        <v>Unidad</v>
      </c>
      <c r="D6329" s="94">
        <v>23</v>
      </c>
      <c r="E6329" s="84">
        <v>63.19</v>
      </c>
      <c r="F6329" s="83">
        <f t="shared" ca="1" si="263"/>
        <v>1453.37</v>
      </c>
    </row>
    <row r="6330" spans="1:6" ht="14.1" customHeight="1" x14ac:dyDescent="0.25">
      <c r="A6330" s="94" t="s">
        <v>7541</v>
      </c>
      <c r="B6330" s="82" t="str">
        <f ca="1">IFERROR(INDEX(UNSPSCDes,MATCH(INDIRECT(ADDRESS(ROW(),COLUMN()-1,4)),UNSPSCCode,0)),IF(INDIRECT(ADDRESS(ROW(),COLUMN()-1,4))="51182002","Testosterona",""))</f>
        <v>Testosterona</v>
      </c>
      <c r="C6330" s="95" t="str">
        <f>IFERROR(VLOOKUP("UD",'Informacion '!P:Q,2,FALSE),"")</f>
        <v>Unidad</v>
      </c>
      <c r="D6330" s="94">
        <v>40</v>
      </c>
      <c r="E6330" s="84">
        <v>1008.27</v>
      </c>
      <c r="F6330" s="83">
        <f t="shared" ca="1" si="263"/>
        <v>40330.800000000003</v>
      </c>
    </row>
    <row r="6331" spans="1:6" ht="14.1" customHeight="1" x14ac:dyDescent="0.25">
      <c r="A6331" s="94" t="s">
        <v>14629</v>
      </c>
      <c r="B6331" s="82" t="str">
        <f ca="1">IFERROR(INDEX(UNSPSCDes,MATCH(INDIRECT(ADDRESS(ROW(),COLUMN()-1,4)),UNSPSCCode,0)),IF(INDIRECT(ADDRESS(ROW(),COLUMN()-1,4))="51212401","Sildenafil citrato",""))</f>
        <v>Sildenafil citrato</v>
      </c>
      <c r="C6331" s="95" t="str">
        <f>IFERROR(VLOOKUP("UD",'Informacion '!P:Q,2,FALSE),"")</f>
        <v>Unidad</v>
      </c>
      <c r="D6331" s="94">
        <v>4</v>
      </c>
      <c r="E6331" s="84">
        <v>60</v>
      </c>
      <c r="F6331" s="83">
        <f t="shared" ca="1" si="263"/>
        <v>240</v>
      </c>
    </row>
    <row r="6332" spans="1:6" ht="14.1" customHeight="1" x14ac:dyDescent="0.25">
      <c r="A6332" s="94" t="s">
        <v>10495</v>
      </c>
      <c r="B6332" s="82" t="str">
        <f ca="1">IFERROR(INDEX(UNSPSCDes,MATCH(INDIRECT(ADDRESS(ROW(),COLUMN()-1,4)),UNSPSCCode,0)),IF(INDIRECT(ADDRESS(ROW(),COLUMN()-1,4))="51171505","Simeticona",""))</f>
        <v>Simeticona</v>
      </c>
      <c r="C6332" s="95" t="str">
        <f>IFERROR(VLOOKUP("UD",'Informacion '!P:Q,2,FALSE),"")</f>
        <v>Unidad</v>
      </c>
      <c r="D6332" s="94">
        <v>5</v>
      </c>
      <c r="E6332" s="84">
        <v>363.46</v>
      </c>
      <c r="F6332" s="83">
        <f t="shared" ca="1" si="263"/>
        <v>1817.3</v>
      </c>
    </row>
    <row r="6333" spans="1:6" ht="14.1" customHeight="1" x14ac:dyDescent="0.25">
      <c r="A6333" s="94" t="s">
        <v>10495</v>
      </c>
      <c r="B6333" s="82" t="str">
        <f ca="1">IFERROR(INDEX(UNSPSCDes,MATCH(INDIRECT(ADDRESS(ROW(),COLUMN()-1,4)),UNSPSCCode,0)),IF(INDIRECT(ADDRESS(ROW(),COLUMN()-1,4))="51171505","Simeticona",""))</f>
        <v>Simeticona</v>
      </c>
      <c r="C6333" s="95" t="str">
        <f>IFERROR(VLOOKUP("UD",'Informacion '!P:Q,2,FALSE),"")</f>
        <v>Unidad</v>
      </c>
      <c r="D6333" s="94">
        <v>3</v>
      </c>
      <c r="E6333" s="84">
        <v>84</v>
      </c>
      <c r="F6333" s="83">
        <f t="shared" ca="1" si="263"/>
        <v>252</v>
      </c>
    </row>
    <row r="6334" spans="1:6" ht="14.1" customHeight="1" x14ac:dyDescent="0.25">
      <c r="A6334" s="94" t="s">
        <v>20027</v>
      </c>
      <c r="B6334" s="82" t="str">
        <f ca="1">IFERROR(INDEX(UNSPSCDes,MATCH(INDIRECT(ADDRESS(ROW(),COLUMN()-1,4)),UNSPSCCode,0)),IF(INDIRECT(ADDRESS(ROW(),COLUMN()-1,4))="41104210","Disolventes",""))</f>
        <v>Disolventes</v>
      </c>
      <c r="C6334" s="95" t="str">
        <f>IFERROR(VLOOKUP("UD",'Informacion '!P:Q,2,FALSE),"")</f>
        <v>Unidad</v>
      </c>
      <c r="D6334" s="94">
        <v>857</v>
      </c>
      <c r="E6334" s="84">
        <v>3.1</v>
      </c>
      <c r="F6334" s="83">
        <f t="shared" ca="1" si="263"/>
        <v>2656.7000000000003</v>
      </c>
    </row>
    <row r="6335" spans="1:6" ht="14.1" customHeight="1" x14ac:dyDescent="0.25">
      <c r="A6335" s="94" t="s">
        <v>19241</v>
      </c>
      <c r="B6335" s="82" t="str">
        <f ca="1">IFERROR(INDEX(UNSPSCDes,MATCH(INDIRECT(ADDRESS(ROW(),COLUMN()-1,4)),UNSPSCCode,0)),IF(INDIRECT(ADDRESS(ROW(),COLUMN()-1,4))="51131709","Bisulfato de clopidogrel",""))</f>
        <v>Bisulfato de clopidogrel</v>
      </c>
      <c r="C6335" s="95" t="str">
        <f>IFERROR(VLOOKUP("UD",'Informacion '!P:Q,2,FALSE),"")</f>
        <v>Unidad</v>
      </c>
      <c r="D6335" s="94">
        <v>5</v>
      </c>
      <c r="E6335" s="84">
        <v>166.92</v>
      </c>
      <c r="F6335" s="83">
        <f t="shared" ca="1" si="263"/>
        <v>834.59999999999991</v>
      </c>
    </row>
    <row r="6336" spans="1:6" ht="14.1" customHeight="1" x14ac:dyDescent="0.25">
      <c r="A6336" s="94" t="s">
        <v>3078</v>
      </c>
      <c r="B6336" s="82" t="str">
        <f ca="1">IFERROR(INDEX(UNSPSCDes,MATCH(INDIRECT(ADDRESS(ROW(),COLUMN()-1,4)),UNSPSCCode,0)),IF(INDIRECT(ADDRESS(ROW(),COLUMN()-1,4))="12161804","Emulsiones",""))</f>
        <v>Emulsiones</v>
      </c>
      <c r="C6336" s="95" t="str">
        <f>IFERROR(VLOOKUP("UD",'Informacion '!P:Q,2,FALSE),"")</f>
        <v>Unidad</v>
      </c>
      <c r="D6336" s="94">
        <v>4</v>
      </c>
      <c r="E6336" s="84">
        <v>872.11</v>
      </c>
      <c r="F6336" s="83">
        <f t="shared" ref="F6336:F6365" ca="1" si="264">INDIRECT(ADDRESS(ROW(),COLUMN()-2,4))*INDIRECT(ADDRESS(ROW(),COLUMN()-1,4))</f>
        <v>3488.44</v>
      </c>
    </row>
    <row r="6337" spans="1:6" ht="14.1" customHeight="1" x14ac:dyDescent="0.25">
      <c r="A6337" s="94" t="s">
        <v>1744</v>
      </c>
      <c r="B6337" s="82" t="str">
        <f ca="1">IFERROR(INDEX(UNSPSCDes,MATCH(INDIRECT(ADDRESS(ROW(),COLUMN()-1,4)),UNSPSCCode,0)),IF(INDIRECT(ADDRESS(ROW(),COLUMN()-1,4))="51172109","Trimebutina",""))</f>
        <v>Trimebutina</v>
      </c>
      <c r="C6337" s="95" t="str">
        <f>IFERROR(VLOOKUP("UD",'Informacion '!P:Q,2,FALSE),"")</f>
        <v>Unidad</v>
      </c>
      <c r="D6337" s="94">
        <v>88</v>
      </c>
      <c r="E6337" s="84">
        <v>347.9</v>
      </c>
      <c r="F6337" s="83">
        <f t="shared" ca="1" si="264"/>
        <v>30615.199999999997</v>
      </c>
    </row>
    <row r="6338" spans="1:6" ht="14.1" customHeight="1" x14ac:dyDescent="0.25">
      <c r="A6338" s="94" t="s">
        <v>12017</v>
      </c>
      <c r="B6338" s="82" t="str">
        <f ca="1">IFERROR(INDEX(UNSPSCDes,MATCH(INDIRECT(ADDRESS(ROW(),COLUMN()-1,4)),UNSPSCCode,0)),IF(INDIRECT(ADDRESS(ROW(),COLUMN()-1,4))="15121502","Aceite de corte",""))</f>
        <v>Aceite de corte</v>
      </c>
      <c r="C6338" s="95" t="str">
        <f>IFERROR(VLOOKUP("UD",'Informacion '!P:Q,2,FALSE),"")</f>
        <v>Unidad</v>
      </c>
      <c r="D6338" s="94">
        <v>46</v>
      </c>
      <c r="E6338" s="84">
        <v>0.48</v>
      </c>
      <c r="F6338" s="83">
        <f t="shared" ca="1" si="264"/>
        <v>22.08</v>
      </c>
    </row>
    <row r="6339" spans="1:6" ht="14.1" customHeight="1" x14ac:dyDescent="0.25">
      <c r="A6339" s="94" t="s">
        <v>16970</v>
      </c>
      <c r="B6339" s="82" t="str">
        <f ca="1">IFERROR(INDEX(UNSPSCDes,MATCH(INDIRECT(ADDRESS(ROW(),COLUMN()-1,4)),UNSPSCCode,0)),IF(INDIRECT(ADDRESS(ROW(),COLUMN()-1,4))="51131603","Heparina sódica",""))</f>
        <v>Heparina sódica</v>
      </c>
      <c r="C6339" s="95" t="str">
        <f>IFERROR(VLOOKUP("UD",'Informacion '!P:Q,2,FALSE),"")</f>
        <v>Unidad</v>
      </c>
      <c r="D6339" s="94">
        <v>25</v>
      </c>
      <c r="E6339" s="84">
        <v>138.18</v>
      </c>
      <c r="F6339" s="83">
        <f t="shared" ca="1" si="264"/>
        <v>3454.5</v>
      </c>
    </row>
    <row r="6340" spans="1:6" ht="14.1" customHeight="1" x14ac:dyDescent="0.25">
      <c r="A6340" s="94" t="s">
        <v>1644</v>
      </c>
      <c r="B6340" s="82" t="str">
        <f ca="1">IFERROR(INDEX(UNSPSCDes,MATCH(INDIRECT(ADDRESS(ROW(),COLUMN()-1,4)),UNSPSCCode,0)),IF(INDIRECT(ADDRESS(ROW(),COLUMN()-1,4))="51161811","Bromhexina",""))</f>
        <v>Bromhexina</v>
      </c>
      <c r="C6340" s="95" t="str">
        <f>IFERROR(VLOOKUP("UD",'Informacion '!P:Q,2,FALSE),"")</f>
        <v>Unidad</v>
      </c>
      <c r="D6340" s="94">
        <v>59</v>
      </c>
      <c r="E6340" s="84">
        <v>18.79</v>
      </c>
      <c r="F6340" s="83">
        <f t="shared" ca="1" si="264"/>
        <v>1108.6099999999999</v>
      </c>
    </row>
    <row r="6341" spans="1:6" ht="14.1" customHeight="1" x14ac:dyDescent="0.25">
      <c r="A6341" s="94" t="s">
        <v>9816</v>
      </c>
      <c r="B6341" s="82" t="str">
        <f ca="1">IFERROR(INDEX(UNSPSCDes,MATCH(INDIRECT(ADDRESS(ROW(),COLUMN()-1,4)),UNSPSCCode,0)),IF(INDIRECT(ADDRESS(ROW(),COLUMN()-1,4))="51191905","Suplementos vitamínicos",""))</f>
        <v>Suplementos vitamínicos</v>
      </c>
      <c r="C6341" s="95" t="str">
        <f>IFERROR(VLOOKUP("UD",'Informacion '!P:Q,2,FALSE),"")</f>
        <v>Unidad</v>
      </c>
      <c r="D6341" s="94">
        <v>20</v>
      </c>
      <c r="E6341" s="84">
        <v>115.54</v>
      </c>
      <c r="F6341" s="83">
        <f t="shared" ca="1" si="264"/>
        <v>2310.8000000000002</v>
      </c>
    </row>
    <row r="6342" spans="1:6" ht="14.1" customHeight="1" x14ac:dyDescent="0.25">
      <c r="A6342" s="94" t="s">
        <v>15432</v>
      </c>
      <c r="B6342" s="82" t="str">
        <f ca="1">IFERROR(INDEX(UNSPSCDes,MATCH(INDIRECT(ADDRESS(ROW(),COLUMN()-1,4)),UNSPSCCode,0)),IF(INDIRECT(ADDRESS(ROW(),COLUMN()-1,4))="51141518","Levetiracetam",""))</f>
        <v>Levetiracetam</v>
      </c>
      <c r="C6342" s="95" t="str">
        <f>IFERROR(VLOOKUP("UD",'Informacion '!P:Q,2,FALSE),"")</f>
        <v>Unidad</v>
      </c>
      <c r="D6342" s="94">
        <v>209</v>
      </c>
      <c r="E6342" s="84">
        <v>178.57</v>
      </c>
      <c r="F6342" s="83">
        <f t="shared" ca="1" si="264"/>
        <v>37321.129999999997</v>
      </c>
    </row>
    <row r="6343" spans="1:6" ht="14.1" customHeight="1" x14ac:dyDescent="0.25">
      <c r="A6343" s="94" t="s">
        <v>6794</v>
      </c>
      <c r="B6343" s="82" t="str">
        <f ca="1">IFERROR(INDEX(UNSPSCDes,MATCH(INDIRECT(ADDRESS(ROW(),COLUMN()-1,4)),UNSPSCCode,0)),IF(INDIRECT(ADDRESS(ROW(),COLUMN()-1,4))="51151737","Clorhidrato de dopamina",""))</f>
        <v>Clorhidrato de dopamina</v>
      </c>
      <c r="C6343" s="95" t="str">
        <f>IFERROR(VLOOKUP("UD",'Informacion '!P:Q,2,FALSE),"")</f>
        <v>Unidad</v>
      </c>
      <c r="D6343" s="94">
        <v>23</v>
      </c>
      <c r="E6343" s="84">
        <v>75</v>
      </c>
      <c r="F6343" s="83">
        <f t="shared" ca="1" si="264"/>
        <v>1725</v>
      </c>
    </row>
    <row r="6344" spans="1:6" ht="14.1" customHeight="1" x14ac:dyDescent="0.25">
      <c r="A6344" s="94" t="s">
        <v>10315</v>
      </c>
      <c r="B6344" s="82" t="str">
        <f ca="1">IFERROR(INDEX(UNSPSCDes,MATCH(INDIRECT(ADDRESS(ROW(),COLUMN()-1,4)),UNSPSCCode,0)),IF(INDIRECT(ADDRESS(ROW(),COLUMN()-1,4))="51151703","Epinefrina",""))</f>
        <v>Epinefrina</v>
      </c>
      <c r="C6344" s="95" t="str">
        <f>IFERROR(VLOOKUP("UD",'Informacion '!P:Q,2,FALSE),"")</f>
        <v>Unidad</v>
      </c>
      <c r="D6344" s="94">
        <v>263</v>
      </c>
      <c r="E6344" s="84">
        <v>9.4700000000000006</v>
      </c>
      <c r="F6344" s="83">
        <f t="shared" ca="1" si="264"/>
        <v>2490.61</v>
      </c>
    </row>
    <row r="6345" spans="1:6" ht="14.1" customHeight="1" x14ac:dyDescent="0.25">
      <c r="A6345" s="94" t="s">
        <v>9816</v>
      </c>
      <c r="B6345" s="82" t="str">
        <f ca="1">IFERROR(INDEX(UNSPSCDes,MATCH(INDIRECT(ADDRESS(ROW(),COLUMN()-1,4)),UNSPSCCode,0)),IF(INDIRECT(ADDRESS(ROW(),COLUMN()-1,4))="51191905","Suplementos vitamínicos",""))</f>
        <v>Suplementos vitamínicos</v>
      </c>
      <c r="C6345" s="95" t="str">
        <f>IFERROR(VLOOKUP("UD",'Informacion '!P:Q,2,FALSE),"")</f>
        <v>Unidad</v>
      </c>
      <c r="D6345" s="94">
        <v>6</v>
      </c>
      <c r="E6345" s="84">
        <v>80</v>
      </c>
      <c r="F6345" s="83">
        <f t="shared" ca="1" si="264"/>
        <v>480</v>
      </c>
    </row>
    <row r="6346" spans="1:6" ht="14.1" customHeight="1" x14ac:dyDescent="0.25">
      <c r="A6346" s="94" t="s">
        <v>13280</v>
      </c>
      <c r="B6346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6346" s="95" t="str">
        <f>IFERROR(VLOOKUP("UD",'Informacion '!P:Q,2,FALSE),"")</f>
        <v>Unidad</v>
      </c>
      <c r="D6346" s="94">
        <v>26</v>
      </c>
      <c r="E6346" s="84">
        <v>250</v>
      </c>
      <c r="F6346" s="83">
        <f t="shared" ca="1" si="264"/>
        <v>6500</v>
      </c>
    </row>
    <row r="6347" spans="1:6" ht="14.1" customHeight="1" x14ac:dyDescent="0.25">
      <c r="A6347" s="94" t="s">
        <v>4565</v>
      </c>
      <c r="B6347" s="82" t="str">
        <f ca="1">IFERROR(INDEX(UNSPSCDes,MATCH(INDIRECT(ADDRESS(ROW(),COLUMN()-1,4)),UNSPSCCode,0)),IF(INDIRECT(ADDRESS(ROW(),COLUMN()-1,4))="51151916","Cloruro de succinilcolina",""))</f>
        <v>Cloruro de succinilcolina</v>
      </c>
      <c r="C6347" s="95" t="str">
        <f>IFERROR(VLOOKUP("UD",'Informacion '!P:Q,2,FALSE),"")</f>
        <v>Unidad</v>
      </c>
      <c r="D6347" s="94">
        <v>3</v>
      </c>
      <c r="E6347" s="84">
        <v>250</v>
      </c>
      <c r="F6347" s="83">
        <f t="shared" ca="1" si="264"/>
        <v>750</v>
      </c>
    </row>
    <row r="6348" spans="1:6" ht="14.1" customHeight="1" x14ac:dyDescent="0.25">
      <c r="A6348" s="94" t="s">
        <v>8501</v>
      </c>
      <c r="B6348" s="82" t="str">
        <f ca="1">IFERROR(INDEX(UNSPSCDes,MATCH(INDIRECT(ADDRESS(ROW(),COLUMN()-1,4)),UNSPSCCode,0)),IF(INDIRECT(ADDRESS(ROW(),COLUMN()-1,4))="51142302","Hidrocloruro de naloxona",""))</f>
        <v>Hidrocloruro de naloxona</v>
      </c>
      <c r="C6348" s="95" t="str">
        <f>IFERROR(VLOOKUP("UD",'Informacion '!P:Q,2,FALSE),"")</f>
        <v>Unidad</v>
      </c>
      <c r="D6348" s="94">
        <v>3</v>
      </c>
      <c r="E6348" s="84">
        <v>495</v>
      </c>
      <c r="F6348" s="83">
        <f t="shared" ca="1" si="264"/>
        <v>1485</v>
      </c>
    </row>
    <row r="6349" spans="1:6" ht="14.1" customHeight="1" x14ac:dyDescent="0.25">
      <c r="A6349" s="94" t="s">
        <v>18</v>
      </c>
      <c r="B6349" s="82" t="str">
        <f ca="1">IFERROR(INDEX(UNSPSCDes,MATCH(INDIRECT(ADDRESS(ROW(),COLUMN()-1,4)),UNSPSCCode,0)),IF(INDIRECT(ADDRESS(ROW(),COLUMN()-1,4))="51151732","Clorhidrato de dobutamina",""))</f>
        <v>Clorhidrato de dobutamina</v>
      </c>
      <c r="C6349" s="95" t="str">
        <f>IFERROR(VLOOKUP("UD",'Informacion '!P:Q,2,FALSE),"")</f>
        <v>Unidad</v>
      </c>
      <c r="D6349" s="94">
        <v>8</v>
      </c>
      <c r="E6349" s="84">
        <v>220.82</v>
      </c>
      <c r="F6349" s="83">
        <f t="shared" ca="1" si="264"/>
        <v>1766.56</v>
      </c>
    </row>
    <row r="6350" spans="1:6" ht="14.1" customHeight="1" x14ac:dyDescent="0.25">
      <c r="A6350" s="94" t="s">
        <v>11172</v>
      </c>
      <c r="B6350" s="82" t="str">
        <f ca="1">IFERROR(INDEX(UNSPSCDes,MATCH(INDIRECT(ADDRESS(ROW(),COLUMN()-1,4)),UNSPSCCode,0)),IF(INDIRECT(ADDRESS(ROW(),COLUMN()-1,4))="51151723","Clorhidrato de tetrahidrozolina",""))</f>
        <v>Clorhidrato de tetrahidrozolina</v>
      </c>
      <c r="C6350" s="95" t="str">
        <f>IFERROR(VLOOKUP("UD",'Informacion '!P:Q,2,FALSE),"")</f>
        <v>Unidad</v>
      </c>
      <c r="D6350" s="94">
        <v>4</v>
      </c>
      <c r="E6350" s="84">
        <v>287.94</v>
      </c>
      <c r="F6350" s="83">
        <f t="shared" ca="1" si="264"/>
        <v>1151.76</v>
      </c>
    </row>
    <row r="6351" spans="1:6" ht="14.1" customHeight="1" x14ac:dyDescent="0.25">
      <c r="A6351" s="94" t="s">
        <v>9816</v>
      </c>
      <c r="B6351" s="82" t="str">
        <f ca="1">IFERROR(INDEX(UNSPSCDes,MATCH(INDIRECT(ADDRESS(ROW(),COLUMN()-1,4)),UNSPSCCode,0)),IF(INDIRECT(ADDRESS(ROW(),COLUMN()-1,4))="51191905","Suplementos vitamínicos",""))</f>
        <v>Suplementos vitamínicos</v>
      </c>
      <c r="C6351" s="95" t="str">
        <f>IFERROR(VLOOKUP("UD",'Informacion '!P:Q,2,FALSE),"")</f>
        <v>Unidad</v>
      </c>
      <c r="D6351" s="94">
        <v>1183</v>
      </c>
      <c r="E6351" s="84">
        <v>6.04</v>
      </c>
      <c r="F6351" s="83">
        <f t="shared" ca="1" si="264"/>
        <v>7145.32</v>
      </c>
    </row>
    <row r="6352" spans="1:6" ht="14.1" customHeight="1" x14ac:dyDescent="0.25">
      <c r="A6352" s="94" t="s">
        <v>14835</v>
      </c>
      <c r="B6352" s="82" t="str">
        <f ca="1">IFERROR(INDEX(UNSPSCDes,MATCH(INDIRECT(ADDRESS(ROW(),COLUMN()-1,4)),UNSPSCCode,0)),IF(INDIRECT(ADDRESS(ROW(),COLUMN()-1,4))="51121603","Nitroglicerina",""))</f>
        <v>Nitroglicerina</v>
      </c>
      <c r="C6352" s="95" t="str">
        <f>IFERROR(VLOOKUP("UD",'Informacion '!P:Q,2,FALSE),"")</f>
        <v>Unidad</v>
      </c>
      <c r="D6352" s="94">
        <v>8</v>
      </c>
      <c r="E6352" s="84">
        <v>250</v>
      </c>
      <c r="F6352" s="83">
        <f t="shared" ca="1" si="264"/>
        <v>2000</v>
      </c>
    </row>
    <row r="6353" spans="1:10" ht="14.1" customHeight="1" x14ac:dyDescent="0.25">
      <c r="A6353" s="94" t="s">
        <v>11445</v>
      </c>
      <c r="B6353" s="82" t="str">
        <f ca="1">IFERROR(INDEX(UNSPSCDes,MATCH(INDIRECT(ADDRESS(ROW(),COLUMN()-1,4)),UNSPSCCode,0)),IF(INDIRECT(ADDRESS(ROW(),COLUMN()-1,4))="51131501","Fumarato ferroso",""))</f>
        <v>Fumarato ferroso</v>
      </c>
      <c r="C6353" s="95" t="str">
        <f>IFERROR(VLOOKUP("UD",'Informacion '!P:Q,2,FALSE),"")</f>
        <v>Unidad</v>
      </c>
      <c r="D6353" s="94">
        <v>10</v>
      </c>
      <c r="E6353" s="84">
        <v>1.1000000000000001</v>
      </c>
      <c r="F6353" s="83">
        <f t="shared" ca="1" si="264"/>
        <v>11</v>
      </c>
    </row>
    <row r="6354" spans="1:10" ht="14.1" customHeight="1" x14ac:dyDescent="0.25">
      <c r="A6354" s="94" t="s">
        <v>11445</v>
      </c>
      <c r="B6354" s="82" t="str">
        <f ca="1">IFERROR(INDEX(UNSPSCDes,MATCH(INDIRECT(ADDRESS(ROW(),COLUMN()-1,4)),UNSPSCCode,0)),IF(INDIRECT(ADDRESS(ROW(),COLUMN()-1,4))="51131501","Fumarato ferroso",""))</f>
        <v>Fumarato ferroso</v>
      </c>
      <c r="C6354" s="95" t="str">
        <f>IFERROR(VLOOKUP("UD",'Informacion '!P:Q,2,FALSE),"")</f>
        <v>Unidad</v>
      </c>
      <c r="D6354" s="94">
        <v>26</v>
      </c>
      <c r="E6354" s="84">
        <v>96.43</v>
      </c>
      <c r="F6354" s="83">
        <f t="shared" ca="1" si="264"/>
        <v>2507.1800000000003</v>
      </c>
    </row>
    <row r="6355" spans="1:10" ht="14.1" customHeight="1" x14ac:dyDescent="0.25">
      <c r="A6355" s="94" t="s">
        <v>10568</v>
      </c>
      <c r="B6355" s="82" t="str">
        <f ca="1">IFERROR(INDEX(UNSPSCDes,MATCH(INDIRECT(ADDRESS(ROW(),COLUMN()-1,4)),UNSPSCCode,0)),IF(INDIRECT(ADDRESS(ROW(),COLUMN()-1,4))="51171904","Clorhidrato de ranitidina",""))</f>
        <v>Clorhidrato de ranitidina</v>
      </c>
      <c r="C6355" s="95" t="str">
        <f>IFERROR(VLOOKUP("UD",'Informacion '!P:Q,2,FALSE),"")</f>
        <v>Unidad</v>
      </c>
      <c r="D6355" s="94">
        <v>1396</v>
      </c>
      <c r="E6355" s="84">
        <v>4.87</v>
      </c>
      <c r="F6355" s="83">
        <f t="shared" ca="1" si="264"/>
        <v>6798.52</v>
      </c>
    </row>
    <row r="6356" spans="1:10" ht="14.1" customHeight="1" x14ac:dyDescent="0.25">
      <c r="A6356" s="94" t="s">
        <v>14841</v>
      </c>
      <c r="B6356" s="82" t="str">
        <f ca="1">IFERROR(INDEX(UNSPSCDes,MATCH(INDIRECT(ADDRESS(ROW(),COLUMN()-1,4)),UNSPSCCode,0)),IF(INDIRECT(ADDRESS(ROW(),COLUMN()-1,4))="51171911","Sucralfato",""))</f>
        <v>Sucralfato</v>
      </c>
      <c r="C6356" s="95" t="str">
        <f>IFERROR(VLOOKUP("UD",'Informacion '!P:Q,2,FALSE),"")</f>
        <v>Unidad</v>
      </c>
      <c r="D6356" s="94">
        <v>58</v>
      </c>
      <c r="E6356" s="84">
        <v>11.62</v>
      </c>
      <c r="F6356" s="83">
        <f t="shared" ca="1" si="264"/>
        <v>673.95999999999992</v>
      </c>
    </row>
    <row r="6357" spans="1:10" ht="14.1" customHeight="1" x14ac:dyDescent="0.25">
      <c r="A6357" s="94" t="s">
        <v>5537</v>
      </c>
      <c r="B6357" s="82" t="str">
        <f ca="1">IFERROR(INDEX(UNSPSCDes,MATCH(INDIRECT(ADDRESS(ROW(),COLUMN()-1,4)),UNSPSCCode,0)),IF(INDIRECT(ADDRESS(ROW(),COLUMN()-1,4))="51171909","Omeprazol",""))</f>
        <v>Omeprazol</v>
      </c>
      <c r="C6357" s="95" t="str">
        <f>IFERROR(VLOOKUP("UD",'Informacion '!P:Q,2,FALSE),"")</f>
        <v>Unidad</v>
      </c>
      <c r="D6357" s="94">
        <v>684</v>
      </c>
      <c r="E6357" s="84">
        <v>60.27</v>
      </c>
      <c r="F6357" s="83">
        <f t="shared" ca="1" si="264"/>
        <v>41224.68</v>
      </c>
    </row>
    <row r="6358" spans="1:10" ht="14.1" customHeight="1" x14ac:dyDescent="0.25">
      <c r="A6358" s="94" t="s">
        <v>5537</v>
      </c>
      <c r="B6358" s="82" t="str">
        <f ca="1">IFERROR(INDEX(UNSPSCDes,MATCH(INDIRECT(ADDRESS(ROW(),COLUMN()-1,4)),UNSPSCCode,0)),IF(INDIRECT(ADDRESS(ROW(),COLUMN()-1,4))="51171909","Omeprazol",""))</f>
        <v>Omeprazol</v>
      </c>
      <c r="C6358" s="95" t="str">
        <f>IFERROR(VLOOKUP("UD",'Informacion '!P:Q,2,FALSE),"")</f>
        <v>Unidad</v>
      </c>
      <c r="D6358" s="94">
        <v>187</v>
      </c>
      <c r="E6358" s="84">
        <v>332.66</v>
      </c>
      <c r="F6358" s="83">
        <f t="shared" ca="1" si="264"/>
        <v>62207.420000000006</v>
      </c>
    </row>
    <row r="6359" spans="1:10" ht="14.1" customHeight="1" x14ac:dyDescent="0.25">
      <c r="A6359" s="94" t="s">
        <v>10319</v>
      </c>
      <c r="B6359" s="82" t="str">
        <f ca="1">IFERROR(INDEX(UNSPSCDes,MATCH(INDIRECT(ADDRESS(ROW(),COLUMN()-1,4)),UNSPSCCode,0)),IF(INDIRECT(ADDRESS(ROW(),COLUMN()-1,4))="51171915","Pantoprazol sódico",""))</f>
        <v>Pantoprazol sódico</v>
      </c>
      <c r="C6359" s="95" t="str">
        <f>IFERROR(VLOOKUP("UD",'Informacion '!P:Q,2,FALSE),"")</f>
        <v>Unidad</v>
      </c>
      <c r="D6359" s="94">
        <v>9</v>
      </c>
      <c r="E6359" s="84">
        <v>664.45</v>
      </c>
      <c r="F6359" s="83">
        <f t="shared" ca="1" si="264"/>
        <v>5980.05</v>
      </c>
    </row>
    <row r="6360" spans="1:10" ht="14.1" customHeight="1" x14ac:dyDescent="0.25">
      <c r="A6360" s="94" t="s">
        <v>5182</v>
      </c>
      <c r="B6360" s="82" t="str">
        <f ca="1">IFERROR(INDEX(UNSPSCDes,MATCH(INDIRECT(ADDRESS(ROW(),COLUMN()-1,4)),UNSPSCCode,0)),IF(INDIRECT(ADDRESS(ROW(),COLUMN()-1,4))="51141704","Risperidona",""))</f>
        <v>Risperidona</v>
      </c>
      <c r="C6360" s="95" t="str">
        <f>IFERROR(VLOOKUP("UD",'Informacion '!P:Q,2,FALSE),"")</f>
        <v>Unidad</v>
      </c>
      <c r="D6360" s="94">
        <v>4</v>
      </c>
      <c r="E6360" s="84">
        <v>34.33</v>
      </c>
      <c r="F6360" s="83">
        <f t="shared" ca="1" si="264"/>
        <v>137.32</v>
      </c>
    </row>
    <row r="6361" spans="1:10" ht="14.1" customHeight="1" x14ac:dyDescent="0.25">
      <c r="A6361" s="94" t="s">
        <v>13844</v>
      </c>
      <c r="B6361" s="82" t="str">
        <f ca="1">IFERROR(INDEX(UNSPSCDes,MATCH(INDIRECT(ADDRESS(ROW(),COLUMN()-1,4)),UNSPSCCode,0)),IF(INDIRECT(ADDRESS(ROW(),COLUMN()-1,4))="42141903","Kits o accesorios para enema",""))</f>
        <v>Kits o accesorios para enema</v>
      </c>
      <c r="C6361" s="95" t="str">
        <f>IFERROR(VLOOKUP("UD",'Informacion '!P:Q,2,FALSE),"")</f>
        <v>Unidad</v>
      </c>
      <c r="D6361" s="94">
        <v>170</v>
      </c>
      <c r="E6361" s="84">
        <v>75.41</v>
      </c>
      <c r="F6361" s="83">
        <f t="shared" ca="1" si="264"/>
        <v>12819.699999999999</v>
      </c>
    </row>
    <row r="6362" spans="1:10" ht="14.1" customHeight="1" x14ac:dyDescent="0.25">
      <c r="A6362" s="94" t="s">
        <v>12769</v>
      </c>
      <c r="B6362" s="82" t="str">
        <f ca="1">IFERROR(INDEX(UNSPSCDes,MATCH(INDIRECT(ADDRESS(ROW(),COLUMN()-1,4)),UNSPSCCode,0)),IF(INDIRECT(ADDRESS(ROW(),COLUMN()-1,4))="51171605","Lactulosa",""))</f>
        <v>Lactulosa</v>
      </c>
      <c r="C6362" s="95" t="str">
        <f>IFERROR(VLOOKUP("UD",'Informacion '!P:Q,2,FALSE),"")</f>
        <v>Unidad</v>
      </c>
      <c r="D6362" s="94">
        <v>51</v>
      </c>
      <c r="E6362" s="84">
        <v>426.33</v>
      </c>
      <c r="F6362" s="83">
        <f t="shared" ca="1" si="264"/>
        <v>21742.829999999998</v>
      </c>
    </row>
    <row r="6363" spans="1:10" ht="14.1" customHeight="1" x14ac:dyDescent="0.25">
      <c r="A6363" s="94" t="s">
        <v>3076</v>
      </c>
      <c r="B6363" s="82" t="str">
        <f ca="1">IFERROR(INDEX(UNSPSCDes,MATCH(INDIRECT(ADDRESS(ROW(),COLUMN()-1,4)),UNSPSCCode,0)),IF(INDIRECT(ADDRESS(ROW(),COLUMN()-1,4))="51171622","Fosfato de sodio",""))</f>
        <v>Fosfato de sodio</v>
      </c>
      <c r="C6363" s="95" t="str">
        <f>IFERROR(VLOOKUP("UD",'Informacion '!P:Q,2,FALSE),"")</f>
        <v>Unidad</v>
      </c>
      <c r="D6363" s="94">
        <v>3</v>
      </c>
      <c r="E6363" s="84">
        <v>70.8</v>
      </c>
      <c r="F6363" s="83">
        <f t="shared" ca="1" si="264"/>
        <v>212.39999999999998</v>
      </c>
    </row>
    <row r="6364" spans="1:10" ht="14.1" customHeight="1" x14ac:dyDescent="0.25">
      <c r="A6364" s="94" t="s">
        <v>9816</v>
      </c>
      <c r="B6364" s="82" t="str">
        <f ca="1">IFERROR(INDEX(UNSPSCDes,MATCH(INDIRECT(ADDRESS(ROW(),COLUMN()-1,4)),UNSPSCCode,0)),IF(INDIRECT(ADDRESS(ROW(),COLUMN()-1,4))="51191905","Suplementos vitamínicos",""))</f>
        <v>Suplementos vitamínicos</v>
      </c>
      <c r="C6364" s="95" t="str">
        <f>IFERROR(VLOOKUP("UD",'Informacion '!P:Q,2,FALSE),"")</f>
        <v>Unidad</v>
      </c>
      <c r="D6364" s="94">
        <v>68</v>
      </c>
      <c r="E6364" s="84">
        <v>420.49</v>
      </c>
      <c r="F6364" s="83">
        <f t="shared" ca="1" si="264"/>
        <v>28593.32</v>
      </c>
    </row>
    <row r="6365" spans="1:10" ht="14.1" customHeight="1" x14ac:dyDescent="0.25">
      <c r="A6365" s="94" t="s">
        <v>16527</v>
      </c>
      <c r="B6365" s="82" t="str">
        <f ca="1">IFERROR(INDEX(UNSPSCDes,MATCH(INDIRECT(ADDRESS(ROW(),COLUMN()-1,4)),UNSPSCCode,0)),IF(INDIRECT(ADDRESS(ROW(),COLUMN()-1,4))="51171619","Supositorios de glicerina",""))</f>
        <v>Supositorios de glicerina</v>
      </c>
      <c r="C6365" s="95" t="str">
        <f>IFERROR(VLOOKUP("UD",'Informacion '!P:Q,2,FALSE),"")</f>
        <v>Unidad</v>
      </c>
      <c r="D6365" s="94">
        <v>3</v>
      </c>
      <c r="E6365" s="84">
        <v>11.54</v>
      </c>
      <c r="F6365" s="83">
        <f t="shared" ca="1" si="264"/>
        <v>34.619999999999997</v>
      </c>
    </row>
    <row r="6366" spans="1:10" ht="14.1" customHeight="1" x14ac:dyDescent="0.25">
      <c r="E6366" s="96" t="s">
        <v>7213</v>
      </c>
      <c r="F6366" s="87">
        <f ca="1">SUM(Table176[MONTO TOTAL ESTIMADO])</f>
        <v>455424.87000000005</v>
      </c>
      <c r="H6366" s="39" t="str">
        <f>C6297</f>
        <v>Bienes</v>
      </c>
      <c r="I6366" s="39" t="str">
        <f>E6297</f>
        <v>No</v>
      </c>
      <c r="J6366" s="39" t="str">
        <f>D6297</f>
        <v>Comparacion de Precios</v>
      </c>
    </row>
    <row r="6368" spans="1:10" ht="33.950000000000003" customHeight="1" x14ac:dyDescent="0.25">
      <c r="A6368" s="77" t="s">
        <v>17233</v>
      </c>
      <c r="B6368" s="77" t="s">
        <v>4237</v>
      </c>
      <c r="C6368" s="77" t="s">
        <v>4743</v>
      </c>
      <c r="D6368" s="77" t="s">
        <v>9891</v>
      </c>
      <c r="E6368" s="77" t="s">
        <v>3089</v>
      </c>
      <c r="F6368" s="77" t="s">
        <v>18141</v>
      </c>
    </row>
    <row r="6369" spans="1:6" ht="14.1" customHeight="1" x14ac:dyDescent="0.25">
      <c r="A6369" s="79" t="s">
        <v>1098</v>
      </c>
      <c r="B6369" s="79" t="s">
        <v>2182</v>
      </c>
      <c r="C6369" s="79" t="s">
        <v>17215</v>
      </c>
      <c r="D6369" s="79" t="s">
        <v>15249</v>
      </c>
      <c r="E6369" s="79" t="s">
        <v>18247</v>
      </c>
      <c r="F6369" s="79"/>
    </row>
    <row r="6370" spans="1:6" ht="14.1" customHeight="1" x14ac:dyDescent="0.25">
      <c r="A6370" s="2" t="s">
        <v>6643</v>
      </c>
      <c r="B6370" s="80" t="s">
        <v>1046</v>
      </c>
      <c r="C6370" s="90">
        <v>43739</v>
      </c>
      <c r="D6370" s="2" t="s">
        <v>59</v>
      </c>
      <c r="E6370" s="92" t="s">
        <v>20066</v>
      </c>
      <c r="F6370" s="93"/>
    </row>
    <row r="6371" spans="1:6" ht="14.1" customHeight="1" x14ac:dyDescent="0.25">
      <c r="A6371" s="1"/>
      <c r="B6371" s="80" t="s">
        <v>10788</v>
      </c>
      <c r="C6371" s="91">
        <f>IF(C6370="","",IF(AND(MONTH(C6370)&gt;=1,MONTH(C6370)&lt;=3),1,IF(AND(MONTH(C6370)&gt;=4,MONTH(C6370)&lt;=6),2,IF(AND(MONTH(C6370)&gt;=7,MONTH(C6370)&lt;=9),3,4))))</f>
        <v>4</v>
      </c>
      <c r="D6371" s="1"/>
      <c r="E6371" s="92" t="s">
        <v>14822</v>
      </c>
      <c r="F6371" s="93"/>
    </row>
    <row r="6372" spans="1:6" ht="14.1" customHeight="1" x14ac:dyDescent="0.25">
      <c r="A6372" s="1"/>
      <c r="B6372" s="80" t="s">
        <v>13758</v>
      </c>
      <c r="C6372" s="90">
        <v>43830</v>
      </c>
      <c r="D6372" s="1"/>
      <c r="E6372" s="92" t="s">
        <v>18636</v>
      </c>
      <c r="F6372" s="93"/>
    </row>
    <row r="6373" spans="1:6" ht="14.1" customHeight="1" x14ac:dyDescent="0.25">
      <c r="A6373" s="1"/>
      <c r="B6373" s="80" t="s">
        <v>10788</v>
      </c>
      <c r="C6373" s="91">
        <f>IF(C6372="","",IF(AND(MONTH(C6372)&gt;=1,MONTH(C6372)&lt;=3),1,IF(AND(MONTH(C6372)&gt;=4,MONTH(C6372)&lt;=6),2,IF(AND(MONTH(C6372)&gt;=7,MONTH(C6372)&lt;=9),3,4))))</f>
        <v>4</v>
      </c>
      <c r="D6373" s="1"/>
      <c r="E6373" s="92" t="s">
        <v>15990</v>
      </c>
      <c r="F6373" s="93"/>
    </row>
    <row r="6375" spans="1:6" ht="14.1" customHeight="1" x14ac:dyDescent="0.25">
      <c r="A6375" s="85" t="s">
        <v>15474</v>
      </c>
      <c r="B6375" s="85" t="s">
        <v>5027</v>
      </c>
      <c r="C6375" s="85" t="s">
        <v>17461</v>
      </c>
      <c r="D6375" s="85" t="s">
        <v>3935</v>
      </c>
      <c r="E6375" s="85" t="s">
        <v>10722</v>
      </c>
      <c r="F6375" s="85" t="s">
        <v>18237</v>
      </c>
    </row>
    <row r="6376" spans="1:6" ht="14.1" customHeight="1" x14ac:dyDescent="0.25">
      <c r="A6376" s="94" t="s">
        <v>8167</v>
      </c>
      <c r="B6376" s="82" t="str">
        <f ca="1">IFERROR(INDEX(UNSPSCDes,MATCH(INDIRECT(ADDRESS(ROW(),COLUMN()-1,4)),UNSPSCCode,0)),IF(INDIRECT(ADDRESS(ROW(),COLUMN()-1,4))="51161701","Acetilcisteína",""))</f>
        <v>Acetilcisteína</v>
      </c>
      <c r="C6376" s="95" t="str">
        <f>IFERROR(VLOOKUP("UD",'Informacion '!P:Q,2,FALSE),"")</f>
        <v>Unidad</v>
      </c>
      <c r="D6376" s="94">
        <v>31</v>
      </c>
      <c r="E6376" s="84">
        <v>12.59</v>
      </c>
      <c r="F6376" s="83">
        <f t="shared" ref="F6376:F6407" ca="1" si="265">INDIRECT(ADDRESS(ROW(),COLUMN()-2,4))*INDIRECT(ADDRESS(ROW(),COLUMN()-1,4))</f>
        <v>390.29</v>
      </c>
    </row>
    <row r="6377" spans="1:6" ht="14.1" customHeight="1" x14ac:dyDescent="0.25">
      <c r="A6377" s="94" t="s">
        <v>19241</v>
      </c>
      <c r="B6377" s="82" t="str">
        <f ca="1">IFERROR(INDEX(UNSPSCDes,MATCH(INDIRECT(ADDRESS(ROW(),COLUMN()-1,4)),UNSPSCCode,0)),IF(INDIRECT(ADDRESS(ROW(),COLUMN()-1,4))="51131709","Bisulfato de clopidogrel",""))</f>
        <v>Bisulfato de clopidogrel</v>
      </c>
      <c r="C6377" s="95" t="str">
        <f>IFERROR(VLOOKUP("UD",'Informacion '!P:Q,2,FALSE),"")</f>
        <v>Unidad</v>
      </c>
      <c r="D6377" s="94">
        <v>66</v>
      </c>
      <c r="E6377" s="84">
        <v>14.93</v>
      </c>
      <c r="F6377" s="83">
        <f t="shared" ca="1" si="265"/>
        <v>985.38</v>
      </c>
    </row>
    <row r="6378" spans="1:6" ht="14.1" customHeight="1" x14ac:dyDescent="0.25">
      <c r="A6378" s="94" t="s">
        <v>7594</v>
      </c>
      <c r="B6378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6378" s="95" t="str">
        <f>IFERROR(VLOOKUP("UD",'Informacion '!P:Q,2,FALSE),"")</f>
        <v>Unidad</v>
      </c>
      <c r="D6378" s="94">
        <v>1258</v>
      </c>
      <c r="E6378" s="84">
        <v>16.88</v>
      </c>
      <c r="F6378" s="83">
        <f t="shared" ca="1" si="265"/>
        <v>21235.039999999997</v>
      </c>
    </row>
    <row r="6379" spans="1:6" ht="14.1" customHeight="1" x14ac:dyDescent="0.25">
      <c r="A6379" s="94" t="s">
        <v>1138</v>
      </c>
      <c r="B6379" s="82" t="str">
        <f ca="1">IFERROR(INDEX(UNSPSCDes,MATCH(INDIRECT(ADDRESS(ROW(),COLUMN()-1,4)),UNSPSCCode,0)),IF(INDIRECT(ADDRESS(ROW(),COLUMN()-1,4))="51161620","Difenhidramina",""))</f>
        <v>Difenhidramina</v>
      </c>
      <c r="C6379" s="95" t="str">
        <f>IFERROR(VLOOKUP("UD",'Informacion '!P:Q,2,FALSE),"")</f>
        <v>Unidad</v>
      </c>
      <c r="D6379" s="94">
        <v>3760</v>
      </c>
      <c r="E6379" s="84">
        <v>6.8</v>
      </c>
      <c r="F6379" s="83">
        <f t="shared" ca="1" si="265"/>
        <v>25568</v>
      </c>
    </row>
    <row r="6380" spans="1:6" ht="14.1" customHeight="1" x14ac:dyDescent="0.25">
      <c r="A6380" s="94" t="s">
        <v>1138</v>
      </c>
      <c r="B6380" s="82" t="str">
        <f ca="1">IFERROR(INDEX(UNSPSCDes,MATCH(INDIRECT(ADDRESS(ROW(),COLUMN()-1,4)),UNSPSCCode,0)),IF(INDIRECT(ADDRESS(ROW(),COLUMN()-1,4))="51161620","Difenhidramina",""))</f>
        <v>Difenhidramina</v>
      </c>
      <c r="C6380" s="95" t="str">
        <f>IFERROR(VLOOKUP("UD",'Informacion '!P:Q,2,FALSE),"")</f>
        <v>Unidad</v>
      </c>
      <c r="D6380" s="94">
        <v>34</v>
      </c>
      <c r="E6380" s="84">
        <v>30.89</v>
      </c>
      <c r="F6380" s="83">
        <f t="shared" ca="1" si="265"/>
        <v>1050.26</v>
      </c>
    </row>
    <row r="6381" spans="1:6" ht="14.1" customHeight="1" x14ac:dyDescent="0.25">
      <c r="A6381" s="94" t="s">
        <v>17940</v>
      </c>
      <c r="B6381" s="82" t="str">
        <f ca="1">IFERROR(INDEX(UNSPSCDes,MATCH(INDIRECT(ADDRESS(ROW(),COLUMN()-1,4)),UNSPSCCode,0)),IF(INDIRECT(ADDRESS(ROW(),COLUMN()-1,4))="51131516","Hierro sacarosa",""))</f>
        <v>Hierro sacarosa</v>
      </c>
      <c r="C6381" s="95" t="str">
        <f>IFERROR(VLOOKUP("UD",'Informacion '!P:Q,2,FALSE),"")</f>
        <v>Unidad</v>
      </c>
      <c r="D6381" s="94">
        <v>4</v>
      </c>
      <c r="E6381" s="84">
        <v>70.8</v>
      </c>
      <c r="F6381" s="83">
        <f t="shared" ca="1" si="265"/>
        <v>283.2</v>
      </c>
    </row>
    <row r="6382" spans="1:6" ht="14.1" customHeight="1" x14ac:dyDescent="0.25">
      <c r="A6382" s="94" t="s">
        <v>18291</v>
      </c>
      <c r="B6382" s="82" t="str">
        <f ca="1">IFERROR(INDEX(UNSPSCDes,MATCH(INDIRECT(ADDRESS(ROW(),COLUMN()-1,4)),UNSPSCCode,0)),IF(INDIRECT(ADDRESS(ROW(),COLUMN()-1,4))="51121511","Clorhidrato de amiodarona",""))</f>
        <v>Clorhidrato de amiodarona</v>
      </c>
      <c r="C6382" s="95" t="str">
        <f>IFERROR(VLOOKUP("UD",'Informacion '!P:Q,2,FALSE),"")</f>
        <v>Unidad</v>
      </c>
      <c r="D6382" s="94">
        <v>47</v>
      </c>
      <c r="E6382" s="84">
        <v>43.94</v>
      </c>
      <c r="F6382" s="83">
        <f t="shared" ca="1" si="265"/>
        <v>2065.1799999999998</v>
      </c>
    </row>
    <row r="6383" spans="1:6" ht="14.1" customHeight="1" x14ac:dyDescent="0.25">
      <c r="A6383" s="94" t="s">
        <v>16036</v>
      </c>
      <c r="B6383" s="82" t="str">
        <f ca="1">IFERROR(INDEX(UNSPSCDes,MATCH(INDIRECT(ADDRESS(ROW(),COLUMN()-1,4)),UNSPSCCode,0)),IF(INDIRECT(ADDRESS(ROW(),COLUMN()-1,4))="51121803","Simvastatina",""))</f>
        <v>Simvastatina</v>
      </c>
      <c r="C6383" s="95" t="str">
        <f>IFERROR(VLOOKUP("UD",'Informacion '!P:Q,2,FALSE),"")</f>
        <v>Unidad</v>
      </c>
      <c r="D6383" s="94">
        <v>8</v>
      </c>
      <c r="E6383" s="84">
        <v>8.67</v>
      </c>
      <c r="F6383" s="83">
        <f t="shared" ca="1" si="265"/>
        <v>69.36</v>
      </c>
    </row>
    <row r="6384" spans="1:6" ht="14.1" customHeight="1" x14ac:dyDescent="0.25">
      <c r="A6384" s="94" t="s">
        <v>15700</v>
      </c>
      <c r="B6384" s="82" t="str">
        <f ca="1">IFERROR(INDEX(UNSPSCDes,MATCH(INDIRECT(ADDRESS(ROW(),COLUMN()-1,4)),UNSPSCCode,0)),IF(INDIRECT(ADDRESS(ROW(),COLUMN()-1,4))="51151616","Atropina",""))</f>
        <v>Atropina</v>
      </c>
      <c r="C6384" s="95" t="str">
        <f>IFERROR(VLOOKUP("UD",'Informacion '!P:Q,2,FALSE),"")</f>
        <v>Unidad</v>
      </c>
      <c r="D6384" s="94">
        <v>173</v>
      </c>
      <c r="E6384" s="84">
        <v>10.15</v>
      </c>
      <c r="F6384" s="83">
        <f t="shared" ca="1" si="265"/>
        <v>1755.95</v>
      </c>
    </row>
    <row r="6385" spans="1:6" ht="14.1" customHeight="1" x14ac:dyDescent="0.25">
      <c r="A6385" s="94" t="s">
        <v>9479</v>
      </c>
      <c r="B6385" s="82" t="str">
        <f ca="1">IFERROR(INDEX(UNSPSCDes,MATCH(INDIRECT(ADDRESS(ROW(),COLUMN()-1,4)),UNSPSCCode,0)),IF(INDIRECT(ADDRESS(ROW(),COLUMN()-1,4))="51141601","Amitriptilina",""))</f>
        <v>Amitriptilina</v>
      </c>
      <c r="C6385" s="95" t="str">
        <f>IFERROR(VLOOKUP("UD",'Informacion '!P:Q,2,FALSE),"")</f>
        <v>Unidad</v>
      </c>
      <c r="D6385" s="94">
        <v>35</v>
      </c>
      <c r="E6385" s="84">
        <v>2.08</v>
      </c>
      <c r="F6385" s="83">
        <f t="shared" ca="1" si="265"/>
        <v>72.8</v>
      </c>
    </row>
    <row r="6386" spans="1:6" ht="14.1" customHeight="1" x14ac:dyDescent="0.25">
      <c r="A6386" s="94" t="s">
        <v>4216</v>
      </c>
      <c r="B6386" s="82" t="str">
        <f ca="1">IFERROR(INDEX(UNSPSCDes,MATCH(INDIRECT(ADDRESS(ROW(),COLUMN()-1,4)),UNSPSCCode,0)),IF(INDIRECT(ADDRESS(ROW(),COLUMN()-1,4))="51141604","Mirtazapina",""))</f>
        <v>Mirtazapina</v>
      </c>
      <c r="C6386" s="95" t="str">
        <f>IFERROR(VLOOKUP("UD",'Informacion '!P:Q,2,FALSE),"")</f>
        <v>Unidad</v>
      </c>
      <c r="D6386" s="94">
        <v>4</v>
      </c>
      <c r="E6386" s="84">
        <v>25.31</v>
      </c>
      <c r="F6386" s="83">
        <f t="shared" ca="1" si="265"/>
        <v>101.24</v>
      </c>
    </row>
    <row r="6387" spans="1:6" ht="14.1" customHeight="1" x14ac:dyDescent="0.25">
      <c r="A6387" s="94" t="s">
        <v>6476</v>
      </c>
      <c r="B6387" s="82" t="str">
        <f ca="1">IFERROR(INDEX(UNSPSCDes,MATCH(INDIRECT(ADDRESS(ROW(),COLUMN()-1,4)),UNSPSCCode,0)),IF(INDIRECT(ADDRESS(ROW(),COLUMN()-1,4))="51141618","Clorhidrato de fluoxetina",""))</f>
        <v>Clorhidrato de fluoxetina</v>
      </c>
      <c r="C6387" s="95" t="str">
        <f>IFERROR(VLOOKUP("UD",'Informacion '!P:Q,2,FALSE),"")</f>
        <v>Unidad</v>
      </c>
      <c r="D6387" s="94">
        <v>10</v>
      </c>
      <c r="E6387" s="84">
        <v>15.81</v>
      </c>
      <c r="F6387" s="83">
        <f t="shared" ca="1" si="265"/>
        <v>158.1</v>
      </c>
    </row>
    <row r="6388" spans="1:6" ht="14.1" customHeight="1" x14ac:dyDescent="0.25">
      <c r="A6388" s="94" t="s">
        <v>8733</v>
      </c>
      <c r="B6388" s="82" t="str">
        <f ca="1">IFERROR(INDEX(UNSPSCDes,MATCH(INDIRECT(ADDRESS(ROW(),COLUMN()-1,4)),UNSPSCCode,0)),IF(INDIRECT(ADDRESS(ROW(),COLUMN()-1,4))="51171820","Dimenhidrinato",""))</f>
        <v>Dimenhidrinato</v>
      </c>
      <c r="C6388" s="95" t="str">
        <f>IFERROR(VLOOKUP("UD",'Informacion '!P:Q,2,FALSE),"")</f>
        <v>Unidad</v>
      </c>
      <c r="D6388" s="94">
        <v>267</v>
      </c>
      <c r="E6388" s="84">
        <v>36.07</v>
      </c>
      <c r="F6388" s="83">
        <f t="shared" ca="1" si="265"/>
        <v>9630.69</v>
      </c>
    </row>
    <row r="6389" spans="1:6" ht="14.1" customHeight="1" x14ac:dyDescent="0.25">
      <c r="A6389" s="94" t="s">
        <v>16003</v>
      </c>
      <c r="B6389" s="82" t="str">
        <f ca="1">IFERROR(INDEX(UNSPSCDes,MATCH(INDIRECT(ADDRESS(ROW(),COLUMN()-1,4)),UNSPSCCode,0)),IF(INDIRECT(ADDRESS(ROW(),COLUMN()-1,4))="51171808","Clorhidrato de difenidol",""))</f>
        <v>Clorhidrato de difenidol</v>
      </c>
      <c r="C6389" s="95" t="str">
        <f>IFERROR(VLOOKUP("UD",'Informacion '!P:Q,2,FALSE),"")</f>
        <v>Unidad</v>
      </c>
      <c r="D6389" s="94">
        <v>140</v>
      </c>
      <c r="E6389" s="84">
        <v>3.07</v>
      </c>
      <c r="F6389" s="83">
        <f t="shared" ca="1" si="265"/>
        <v>429.79999999999995</v>
      </c>
    </row>
    <row r="6390" spans="1:6" ht="14.1" customHeight="1" x14ac:dyDescent="0.25">
      <c r="A6390" s="94" t="s">
        <v>7570</v>
      </c>
      <c r="B6390" s="82" t="str">
        <f ca="1">IFERROR(INDEX(UNSPSCDes,MATCH(INDIRECT(ADDRESS(ROW(),COLUMN()-1,4)),UNSPSCCode,0)),IF(INDIRECT(ADDRESS(ROW(),COLUMN()-1,4))="51171816","Ondansetrón",""))</f>
        <v>Ondansetrón</v>
      </c>
      <c r="C6390" s="95" t="str">
        <f>IFERROR(VLOOKUP("UD",'Informacion '!P:Q,2,FALSE),"")</f>
        <v>Unidad</v>
      </c>
      <c r="D6390" s="94">
        <v>165</v>
      </c>
      <c r="E6390" s="84">
        <v>33</v>
      </c>
      <c r="F6390" s="83">
        <f t="shared" ca="1" si="265"/>
        <v>5445</v>
      </c>
    </row>
    <row r="6391" spans="1:6" ht="14.1" customHeight="1" x14ac:dyDescent="0.25">
      <c r="A6391" s="94" t="s">
        <v>10956</v>
      </c>
      <c r="B6391" s="82" t="str">
        <f ca="1">IFERROR(INDEX(UNSPSCDes,MATCH(INDIRECT(ADDRESS(ROW(),COLUMN()-1,4)),UNSPSCCode,0)),IF(INDIRECT(ADDRESS(ROW(),COLUMN()-1,4))="51141517","Gabapentina",""))</f>
        <v>Gabapentina</v>
      </c>
      <c r="C6391" s="95" t="str">
        <f>IFERROR(VLOOKUP("UD",'Informacion '!P:Q,2,FALSE),"")</f>
        <v>Unidad</v>
      </c>
      <c r="D6391" s="94">
        <v>5</v>
      </c>
      <c r="E6391" s="84">
        <v>32.35</v>
      </c>
      <c r="F6391" s="83">
        <f t="shared" ca="1" si="265"/>
        <v>161.75</v>
      </c>
    </row>
    <row r="6392" spans="1:6" ht="14.1" customHeight="1" x14ac:dyDescent="0.25">
      <c r="A6392" s="94" t="s">
        <v>10956</v>
      </c>
      <c r="B6392" s="82" t="str">
        <f ca="1">IFERROR(INDEX(UNSPSCDes,MATCH(INDIRECT(ADDRESS(ROW(),COLUMN()-1,4)),UNSPSCCode,0)),IF(INDIRECT(ADDRESS(ROW(),COLUMN()-1,4))="51141517","Gabapentina",""))</f>
        <v>Gabapentina</v>
      </c>
      <c r="C6392" s="95" t="str">
        <f>IFERROR(VLOOKUP("UD",'Informacion '!P:Q,2,FALSE),"")</f>
        <v>Unidad</v>
      </c>
      <c r="D6392" s="94">
        <v>74</v>
      </c>
      <c r="E6392" s="84">
        <v>82.42</v>
      </c>
      <c r="F6392" s="83">
        <f t="shared" ca="1" si="265"/>
        <v>6099.08</v>
      </c>
    </row>
    <row r="6393" spans="1:6" ht="14.1" customHeight="1" x14ac:dyDescent="0.25">
      <c r="A6393" s="94" t="s">
        <v>13060</v>
      </c>
      <c r="B6393" s="82" t="str">
        <f ca="1">IFERROR(INDEX(UNSPSCDes,MATCH(INDIRECT(ADDRESS(ROW(),COLUMN()-1,4)),UNSPSCCode,0)),IF(INDIRECT(ADDRESS(ROW(),COLUMN()-1,4))="51172107","Butilbromuro de hioscina",""))</f>
        <v>Butilbromuro de hioscina</v>
      </c>
      <c r="C6393" s="95" t="str">
        <f>IFERROR(VLOOKUP("UD",'Informacion '!P:Q,2,FALSE),"")</f>
        <v>Unidad</v>
      </c>
      <c r="D6393" s="94">
        <v>78</v>
      </c>
      <c r="E6393" s="84">
        <v>9.61</v>
      </c>
      <c r="F6393" s="83">
        <f t="shared" ca="1" si="265"/>
        <v>749.57999999999993</v>
      </c>
    </row>
    <row r="6394" spans="1:6" ht="14.1" customHeight="1" x14ac:dyDescent="0.25">
      <c r="A6394" s="94" t="s">
        <v>12395</v>
      </c>
      <c r="B6394" s="82" t="str">
        <f ca="1">IFERROR(INDEX(UNSPSCDes,MATCH(INDIRECT(ADDRESS(ROW(),COLUMN()-1,4)),UNSPSCCode,0)),IF(INDIRECT(ADDRESS(ROW(),COLUMN()-1,4))="51211501","Alopurinol",""))</f>
        <v>Alopurinol</v>
      </c>
      <c r="C6394" s="95" t="str">
        <f>IFERROR(VLOOKUP("UD",'Informacion '!P:Q,2,FALSE),"")</f>
        <v>Unidad</v>
      </c>
      <c r="D6394" s="94">
        <v>296</v>
      </c>
      <c r="E6394" s="84">
        <v>5.65</v>
      </c>
      <c r="F6394" s="83">
        <f t="shared" ca="1" si="265"/>
        <v>1672.4</v>
      </c>
    </row>
    <row r="6395" spans="1:6" ht="14.1" customHeight="1" x14ac:dyDescent="0.25">
      <c r="A6395" s="94" t="s">
        <v>1085</v>
      </c>
      <c r="B6395" s="82" t="str">
        <f ca="1">IFERROR(INDEX(UNSPSCDes,MATCH(INDIRECT(ADDRESS(ROW(),COLUMN()-1,4)),UNSPSCCode,0)),IF(INDIRECT(ADDRESS(ROW(),COLUMN()-1,4))="51111802","Bicalutamida",""))</f>
        <v>Bicalutamida</v>
      </c>
      <c r="C6395" s="95" t="str">
        <f>IFERROR(VLOOKUP("UD",'Informacion '!P:Q,2,FALSE),"")</f>
        <v>Unidad</v>
      </c>
      <c r="D6395" s="94">
        <v>61</v>
      </c>
      <c r="E6395" s="84">
        <v>72.069999999999993</v>
      </c>
      <c r="F6395" s="83">
        <f t="shared" ca="1" si="265"/>
        <v>4396.2699999999995</v>
      </c>
    </row>
    <row r="6396" spans="1:6" ht="14.1" customHeight="1" x14ac:dyDescent="0.25">
      <c r="A6396" s="94" t="s">
        <v>5338</v>
      </c>
      <c r="B6396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6396" s="95" t="str">
        <f>IFERROR(VLOOKUP("UD",'Informacion '!P:Q,2,FALSE),"")</f>
        <v>Unidad</v>
      </c>
      <c r="D6396" s="94">
        <v>11</v>
      </c>
      <c r="E6396" s="84">
        <v>303.38</v>
      </c>
      <c r="F6396" s="83">
        <f t="shared" ca="1" si="265"/>
        <v>3337.18</v>
      </c>
    </row>
    <row r="6397" spans="1:6" ht="14.1" customHeight="1" x14ac:dyDescent="0.25">
      <c r="A6397" s="94" t="s">
        <v>2805</v>
      </c>
      <c r="B6397" s="82" t="str">
        <f ca="1">IFERROR(INDEX(UNSPSCDes,MATCH(INDIRECT(ADDRESS(ROW(),COLUMN()-1,4)),UNSPSCCode,0)),IF(INDIRECT(ADDRESS(ROW(),COLUMN()-1,4))="51102301","Aciclovir",""))</f>
        <v>Aciclovir</v>
      </c>
      <c r="C6397" s="95" t="str">
        <f>IFERROR(VLOOKUP("UD",'Informacion '!P:Q,2,FALSE),"")</f>
        <v>Unidad</v>
      </c>
      <c r="D6397" s="94">
        <v>49</v>
      </c>
      <c r="E6397" s="84">
        <v>768</v>
      </c>
      <c r="F6397" s="83">
        <f t="shared" ca="1" si="265"/>
        <v>37632</v>
      </c>
    </row>
    <row r="6398" spans="1:6" ht="14.1" customHeight="1" x14ac:dyDescent="0.25">
      <c r="A6398" s="94" t="s">
        <v>16940</v>
      </c>
      <c r="B6398" s="82" t="str">
        <f ca="1">IFERROR(INDEX(UNSPSCDes,MATCH(INDIRECT(ADDRESS(ROW(),COLUMN()-1,4)),UNSPSCCode,0)),IF(INDIRECT(ADDRESS(ROW(),COLUMN()-1,4))="85111508","Servicios de prevención o control de enfermedades virales",""))</f>
        <v>Servicios de prevención o control de enfermedades virales</v>
      </c>
      <c r="C6398" s="95" t="str">
        <f>IFERROR(VLOOKUP("UD",'Informacion '!P:Q,2,FALSE),"")</f>
        <v>Unidad</v>
      </c>
      <c r="D6398" s="94">
        <v>4</v>
      </c>
      <c r="E6398" s="84">
        <v>361.54</v>
      </c>
      <c r="F6398" s="83">
        <f t="shared" ca="1" si="265"/>
        <v>1446.16</v>
      </c>
    </row>
    <row r="6399" spans="1:6" ht="14.1" customHeight="1" x14ac:dyDescent="0.25">
      <c r="A6399" s="94" t="s">
        <v>6719</v>
      </c>
      <c r="B6399" s="82" t="str">
        <f ca="1">IFERROR(INDEX(UNSPSCDes,MATCH(INDIRECT(ADDRESS(ROW(),COLUMN()-1,4)),UNSPSCCode,0)),IF(INDIRECT(ADDRESS(ROW(),COLUMN()-1,4))="51161808","Dextrometorfano",""))</f>
        <v>Dextrometorfano</v>
      </c>
      <c r="C6399" s="95" t="str">
        <f>IFERROR(VLOOKUP("UD",'Informacion '!P:Q,2,FALSE),"")</f>
        <v>Unidad</v>
      </c>
      <c r="D6399" s="94">
        <v>12</v>
      </c>
      <c r="E6399" s="84">
        <v>16.34</v>
      </c>
      <c r="F6399" s="83">
        <f t="shared" ca="1" si="265"/>
        <v>196.07999999999998</v>
      </c>
    </row>
    <row r="6400" spans="1:6" ht="14.1" customHeight="1" x14ac:dyDescent="0.25">
      <c r="A6400" s="94" t="s">
        <v>3671</v>
      </c>
      <c r="B6400" s="82" t="str">
        <f ca="1">IFERROR(INDEX(UNSPSCDes,MATCH(INDIRECT(ADDRESS(ROW(),COLUMN()-1,4)),UNSPSCCode,0)),IF(INDIRECT(ADDRESS(ROW(),COLUMN()-1,4))="51141531","Ácido valproico",""))</f>
        <v>Ácido valproico</v>
      </c>
      <c r="C6400" s="95" t="str">
        <f>IFERROR(VLOOKUP("UD",'Informacion '!P:Q,2,FALSE),"")</f>
        <v>Unidad</v>
      </c>
      <c r="D6400" s="94">
        <v>7</v>
      </c>
      <c r="E6400" s="84">
        <v>14.85</v>
      </c>
      <c r="F6400" s="83">
        <f t="shared" ca="1" si="265"/>
        <v>103.95</v>
      </c>
    </row>
    <row r="6401" spans="1:6" ht="14.1" customHeight="1" x14ac:dyDescent="0.25">
      <c r="A6401" s="94" t="s">
        <v>13626</v>
      </c>
      <c r="B6401" s="82" t="str">
        <f ca="1">IFERROR(INDEX(UNSPSCDes,MATCH(INDIRECT(ADDRESS(ROW(),COLUMN()-1,4)),UNSPSCCode,0)),IF(INDIRECT(ADDRESS(ROW(),COLUMN()-1,4))="51151735","Aspartato de anfetamina",""))</f>
        <v>Aspartato de anfetamina</v>
      </c>
      <c r="C6401" s="95" t="str">
        <f>IFERROR(VLOOKUP("UD",'Informacion '!P:Q,2,FALSE),"")</f>
        <v>Unidad</v>
      </c>
      <c r="D6401" s="94">
        <v>24</v>
      </c>
      <c r="E6401" s="84">
        <v>63.19</v>
      </c>
      <c r="F6401" s="83">
        <f t="shared" ca="1" si="265"/>
        <v>1516.56</v>
      </c>
    </row>
    <row r="6402" spans="1:6" ht="14.1" customHeight="1" x14ac:dyDescent="0.25">
      <c r="A6402" s="94" t="s">
        <v>7541</v>
      </c>
      <c r="B6402" s="82" t="str">
        <f ca="1">IFERROR(INDEX(UNSPSCDes,MATCH(INDIRECT(ADDRESS(ROW(),COLUMN()-1,4)),UNSPSCCode,0)),IF(INDIRECT(ADDRESS(ROW(),COLUMN()-1,4))="51182002","Testosterona",""))</f>
        <v>Testosterona</v>
      </c>
      <c r="C6402" s="95" t="str">
        <f>IFERROR(VLOOKUP("UD",'Informacion '!P:Q,2,FALSE),"")</f>
        <v>Unidad</v>
      </c>
      <c r="D6402" s="94">
        <v>41</v>
      </c>
      <c r="E6402" s="84">
        <v>1008.27</v>
      </c>
      <c r="F6402" s="83">
        <f t="shared" ca="1" si="265"/>
        <v>41339.07</v>
      </c>
    </row>
    <row r="6403" spans="1:6" ht="14.1" customHeight="1" x14ac:dyDescent="0.25">
      <c r="A6403" s="94" t="s">
        <v>14629</v>
      </c>
      <c r="B6403" s="82" t="str">
        <f ca="1">IFERROR(INDEX(UNSPSCDes,MATCH(INDIRECT(ADDRESS(ROW(),COLUMN()-1,4)),UNSPSCCode,0)),IF(INDIRECT(ADDRESS(ROW(),COLUMN()-1,4))="51212401","Sildenafil citrato",""))</f>
        <v>Sildenafil citrato</v>
      </c>
      <c r="C6403" s="95" t="str">
        <f>IFERROR(VLOOKUP("UD",'Informacion '!P:Q,2,FALSE),"")</f>
        <v>Unidad</v>
      </c>
      <c r="D6403" s="94">
        <v>5</v>
      </c>
      <c r="E6403" s="84">
        <v>60</v>
      </c>
      <c r="F6403" s="83">
        <f t="shared" ca="1" si="265"/>
        <v>300</v>
      </c>
    </row>
    <row r="6404" spans="1:6" ht="14.1" customHeight="1" x14ac:dyDescent="0.25">
      <c r="A6404" s="94" t="s">
        <v>10495</v>
      </c>
      <c r="B6404" s="82" t="str">
        <f ca="1">IFERROR(INDEX(UNSPSCDes,MATCH(INDIRECT(ADDRESS(ROW(),COLUMN()-1,4)),UNSPSCCode,0)),IF(INDIRECT(ADDRESS(ROW(),COLUMN()-1,4))="51171505","Simeticona",""))</f>
        <v>Simeticona</v>
      </c>
      <c r="C6404" s="95" t="str">
        <f>IFERROR(VLOOKUP("UD",'Informacion '!P:Q,2,FALSE),"")</f>
        <v>Unidad</v>
      </c>
      <c r="D6404" s="94">
        <v>6</v>
      </c>
      <c r="E6404" s="84">
        <v>363.46</v>
      </c>
      <c r="F6404" s="83">
        <f t="shared" ca="1" si="265"/>
        <v>2180.7599999999998</v>
      </c>
    </row>
    <row r="6405" spans="1:6" ht="14.1" customHeight="1" x14ac:dyDescent="0.25">
      <c r="A6405" s="94" t="s">
        <v>10495</v>
      </c>
      <c r="B6405" s="82" t="str">
        <f ca="1">IFERROR(INDEX(UNSPSCDes,MATCH(INDIRECT(ADDRESS(ROW(),COLUMN()-1,4)),UNSPSCCode,0)),IF(INDIRECT(ADDRESS(ROW(),COLUMN()-1,4))="51171505","Simeticona",""))</f>
        <v>Simeticona</v>
      </c>
      <c r="C6405" s="95" t="str">
        <f>IFERROR(VLOOKUP("UD",'Informacion '!P:Q,2,FALSE),"")</f>
        <v>Unidad</v>
      </c>
      <c r="D6405" s="94">
        <v>4</v>
      </c>
      <c r="E6405" s="84">
        <v>84</v>
      </c>
      <c r="F6405" s="83">
        <f t="shared" ca="1" si="265"/>
        <v>336</v>
      </c>
    </row>
    <row r="6406" spans="1:6" ht="14.1" customHeight="1" x14ac:dyDescent="0.25">
      <c r="A6406" s="94" t="s">
        <v>20027</v>
      </c>
      <c r="B6406" s="82" t="str">
        <f ca="1">IFERROR(INDEX(UNSPSCDes,MATCH(INDIRECT(ADDRESS(ROW(),COLUMN()-1,4)),UNSPSCCode,0)),IF(INDIRECT(ADDRESS(ROW(),COLUMN()-1,4))="41104210","Disolventes",""))</f>
        <v>Disolventes</v>
      </c>
      <c r="C6406" s="95" t="str">
        <f>IFERROR(VLOOKUP("UD",'Informacion '!P:Q,2,FALSE),"")</f>
        <v>Unidad</v>
      </c>
      <c r="D6406" s="94">
        <v>875</v>
      </c>
      <c r="E6406" s="84">
        <v>3.1</v>
      </c>
      <c r="F6406" s="83">
        <f t="shared" ca="1" si="265"/>
        <v>2712.5</v>
      </c>
    </row>
    <row r="6407" spans="1:6" ht="14.1" customHeight="1" x14ac:dyDescent="0.25">
      <c r="A6407" s="94" t="s">
        <v>19241</v>
      </c>
      <c r="B6407" s="82" t="str">
        <f ca="1">IFERROR(INDEX(UNSPSCDes,MATCH(INDIRECT(ADDRESS(ROW(),COLUMN()-1,4)),UNSPSCCode,0)),IF(INDIRECT(ADDRESS(ROW(),COLUMN()-1,4))="51131709","Bisulfato de clopidogrel",""))</f>
        <v>Bisulfato de clopidogrel</v>
      </c>
      <c r="C6407" s="95" t="str">
        <f>IFERROR(VLOOKUP("UD",'Informacion '!P:Q,2,FALSE),"")</f>
        <v>Unidad</v>
      </c>
      <c r="D6407" s="94">
        <v>6</v>
      </c>
      <c r="E6407" s="84">
        <v>166.92</v>
      </c>
      <c r="F6407" s="83">
        <f t="shared" ca="1" si="265"/>
        <v>1001.52</v>
      </c>
    </row>
    <row r="6408" spans="1:6" ht="14.1" customHeight="1" x14ac:dyDescent="0.25">
      <c r="A6408" s="94" t="s">
        <v>3078</v>
      </c>
      <c r="B6408" s="82" t="str">
        <f ca="1">IFERROR(INDEX(UNSPSCDes,MATCH(INDIRECT(ADDRESS(ROW(),COLUMN()-1,4)),UNSPSCCode,0)),IF(INDIRECT(ADDRESS(ROW(),COLUMN()-1,4))="12161804","Emulsiones",""))</f>
        <v>Emulsiones</v>
      </c>
      <c r="C6408" s="95" t="str">
        <f>IFERROR(VLOOKUP("UD",'Informacion '!P:Q,2,FALSE),"")</f>
        <v>Unidad</v>
      </c>
      <c r="D6408" s="94">
        <v>5</v>
      </c>
      <c r="E6408" s="84">
        <v>872.11</v>
      </c>
      <c r="F6408" s="83">
        <f t="shared" ref="F6408:F6437" ca="1" si="266">INDIRECT(ADDRESS(ROW(),COLUMN()-2,4))*INDIRECT(ADDRESS(ROW(),COLUMN()-1,4))</f>
        <v>4360.55</v>
      </c>
    </row>
    <row r="6409" spans="1:6" ht="14.1" customHeight="1" x14ac:dyDescent="0.25">
      <c r="A6409" s="94" t="s">
        <v>1744</v>
      </c>
      <c r="B6409" s="82" t="str">
        <f ca="1">IFERROR(INDEX(UNSPSCDes,MATCH(INDIRECT(ADDRESS(ROW(),COLUMN()-1,4)),UNSPSCCode,0)),IF(INDIRECT(ADDRESS(ROW(),COLUMN()-1,4))="51172109","Trimebutina",""))</f>
        <v>Trimebutina</v>
      </c>
      <c r="C6409" s="95" t="str">
        <f>IFERROR(VLOOKUP("UD",'Informacion '!P:Q,2,FALSE),"")</f>
        <v>Unidad</v>
      </c>
      <c r="D6409" s="94">
        <v>90</v>
      </c>
      <c r="E6409" s="84">
        <v>347.9</v>
      </c>
      <c r="F6409" s="83">
        <f t="shared" ca="1" si="266"/>
        <v>31310.999999999996</v>
      </c>
    </row>
    <row r="6410" spans="1:6" ht="14.1" customHeight="1" x14ac:dyDescent="0.25">
      <c r="A6410" s="94" t="s">
        <v>9828</v>
      </c>
      <c r="B6410" s="82" t="str">
        <f ca="1">IFERROR(INDEX(UNSPSCDes,MATCH(INDIRECT(ADDRESS(ROW(),COLUMN()-1,4)),UNSPSCCode,0)),IF(INDIRECT(ADDRESS(ROW(),COLUMN()-1,4))="51121502","Digoxina",""))</f>
        <v>Digoxina</v>
      </c>
      <c r="C6410" s="95" t="str">
        <f>IFERROR(VLOOKUP("UD",'Informacion '!P:Q,2,FALSE),"")</f>
        <v>Unidad</v>
      </c>
      <c r="D6410" s="94">
        <v>47</v>
      </c>
      <c r="E6410" s="84">
        <v>48</v>
      </c>
      <c r="F6410" s="83">
        <f t="shared" ca="1" si="266"/>
        <v>2256</v>
      </c>
    </row>
    <row r="6411" spans="1:6" ht="14.1" customHeight="1" x14ac:dyDescent="0.25">
      <c r="A6411" s="94" t="s">
        <v>16970</v>
      </c>
      <c r="B6411" s="82" t="str">
        <f ca="1">IFERROR(INDEX(UNSPSCDes,MATCH(INDIRECT(ADDRESS(ROW(),COLUMN()-1,4)),UNSPSCCode,0)),IF(INDIRECT(ADDRESS(ROW(),COLUMN()-1,4))="51131603","Heparina sódica",""))</f>
        <v>Heparina sódica</v>
      </c>
      <c r="C6411" s="95" t="str">
        <f>IFERROR(VLOOKUP("UD",'Informacion '!P:Q,2,FALSE),"")</f>
        <v>Unidad</v>
      </c>
      <c r="D6411" s="94">
        <v>26</v>
      </c>
      <c r="E6411" s="84">
        <v>138.18</v>
      </c>
      <c r="F6411" s="83">
        <f t="shared" ca="1" si="266"/>
        <v>3592.6800000000003</v>
      </c>
    </row>
    <row r="6412" spans="1:6" ht="14.1" customHeight="1" x14ac:dyDescent="0.25">
      <c r="A6412" s="94" t="s">
        <v>1644</v>
      </c>
      <c r="B6412" s="82" t="str">
        <f ca="1">IFERROR(INDEX(UNSPSCDes,MATCH(INDIRECT(ADDRESS(ROW(),COLUMN()-1,4)),UNSPSCCode,0)),IF(INDIRECT(ADDRESS(ROW(),COLUMN()-1,4))="51161811","Bromhexina",""))</f>
        <v>Bromhexina</v>
      </c>
      <c r="C6412" s="95" t="str">
        <f>IFERROR(VLOOKUP("UD",'Informacion '!P:Q,2,FALSE),"")</f>
        <v>Unidad</v>
      </c>
      <c r="D6412" s="94">
        <v>61</v>
      </c>
      <c r="E6412" s="84">
        <v>18.79</v>
      </c>
      <c r="F6412" s="83">
        <f t="shared" ca="1" si="266"/>
        <v>1146.19</v>
      </c>
    </row>
    <row r="6413" spans="1:6" ht="14.1" customHeight="1" x14ac:dyDescent="0.25">
      <c r="A6413" s="94" t="s">
        <v>9816</v>
      </c>
      <c r="B6413" s="82" t="str">
        <f ca="1">IFERROR(INDEX(UNSPSCDes,MATCH(INDIRECT(ADDRESS(ROW(),COLUMN()-1,4)),UNSPSCCode,0)),IF(INDIRECT(ADDRESS(ROW(),COLUMN()-1,4))="51191905","Suplementos vitamínicos",""))</f>
        <v>Suplementos vitamínicos</v>
      </c>
      <c r="C6413" s="95" t="str">
        <f>IFERROR(VLOOKUP("UD",'Informacion '!P:Q,2,FALSE),"")</f>
        <v>Unidad</v>
      </c>
      <c r="D6413" s="94">
        <v>21</v>
      </c>
      <c r="E6413" s="84">
        <v>115.54</v>
      </c>
      <c r="F6413" s="83">
        <f t="shared" ca="1" si="266"/>
        <v>2426.34</v>
      </c>
    </row>
    <row r="6414" spans="1:6" ht="14.1" customHeight="1" x14ac:dyDescent="0.25">
      <c r="A6414" s="94" t="s">
        <v>15432</v>
      </c>
      <c r="B6414" s="82" t="str">
        <f ca="1">IFERROR(INDEX(UNSPSCDes,MATCH(INDIRECT(ADDRESS(ROW(),COLUMN()-1,4)),UNSPSCCode,0)),IF(INDIRECT(ADDRESS(ROW(),COLUMN()-1,4))="51141518","Levetiracetam",""))</f>
        <v>Levetiracetam</v>
      </c>
      <c r="C6414" s="95" t="str">
        <f>IFERROR(VLOOKUP("UD",'Informacion '!P:Q,2,FALSE),"")</f>
        <v>Unidad</v>
      </c>
      <c r="D6414" s="94">
        <v>214</v>
      </c>
      <c r="E6414" s="84">
        <v>178.57</v>
      </c>
      <c r="F6414" s="83">
        <f t="shared" ca="1" si="266"/>
        <v>38213.979999999996</v>
      </c>
    </row>
    <row r="6415" spans="1:6" ht="14.1" customHeight="1" x14ac:dyDescent="0.25">
      <c r="A6415" s="94" t="s">
        <v>6794</v>
      </c>
      <c r="B6415" s="82" t="str">
        <f ca="1">IFERROR(INDEX(UNSPSCDes,MATCH(INDIRECT(ADDRESS(ROW(),COLUMN()-1,4)),UNSPSCCode,0)),IF(INDIRECT(ADDRESS(ROW(),COLUMN()-1,4))="51151737","Clorhidrato de dopamina",""))</f>
        <v>Clorhidrato de dopamina</v>
      </c>
      <c r="C6415" s="95" t="str">
        <f>IFERROR(VLOOKUP("UD",'Informacion '!P:Q,2,FALSE),"")</f>
        <v>Unidad</v>
      </c>
      <c r="D6415" s="94">
        <v>25</v>
      </c>
      <c r="E6415" s="84">
        <v>75</v>
      </c>
      <c r="F6415" s="83">
        <f t="shared" ca="1" si="266"/>
        <v>1875</v>
      </c>
    </row>
    <row r="6416" spans="1:6" ht="14.1" customHeight="1" x14ac:dyDescent="0.25">
      <c r="A6416" s="94" t="s">
        <v>10315</v>
      </c>
      <c r="B6416" s="82" t="str">
        <f ca="1">IFERROR(INDEX(UNSPSCDes,MATCH(INDIRECT(ADDRESS(ROW(),COLUMN()-1,4)),UNSPSCCode,0)),IF(INDIRECT(ADDRESS(ROW(),COLUMN()-1,4))="51151703","Epinefrina",""))</f>
        <v>Epinefrina</v>
      </c>
      <c r="C6416" s="95" t="str">
        <f>IFERROR(VLOOKUP("UD",'Informacion '!P:Q,2,FALSE),"")</f>
        <v>Unidad</v>
      </c>
      <c r="D6416" s="94">
        <v>269</v>
      </c>
      <c r="E6416" s="84">
        <v>9.4700000000000006</v>
      </c>
      <c r="F6416" s="83">
        <f t="shared" ca="1" si="266"/>
        <v>2547.4300000000003</v>
      </c>
    </row>
    <row r="6417" spans="1:6" ht="14.1" customHeight="1" x14ac:dyDescent="0.25">
      <c r="A6417" s="94" t="s">
        <v>9816</v>
      </c>
      <c r="B6417" s="82" t="str">
        <f ca="1">IFERROR(INDEX(UNSPSCDes,MATCH(INDIRECT(ADDRESS(ROW(),COLUMN()-1,4)),UNSPSCCode,0)),IF(INDIRECT(ADDRESS(ROW(),COLUMN()-1,4))="51191905","Suplementos vitamínicos",""))</f>
        <v>Suplementos vitamínicos</v>
      </c>
      <c r="C6417" s="95" t="str">
        <f>IFERROR(VLOOKUP("UD",'Informacion '!P:Q,2,FALSE),"")</f>
        <v>Unidad</v>
      </c>
      <c r="D6417" s="94">
        <v>7</v>
      </c>
      <c r="E6417" s="84">
        <v>20</v>
      </c>
      <c r="F6417" s="83">
        <f t="shared" ca="1" si="266"/>
        <v>140</v>
      </c>
    </row>
    <row r="6418" spans="1:6" ht="14.1" customHeight="1" x14ac:dyDescent="0.25">
      <c r="A6418" s="94" t="s">
        <v>13280</v>
      </c>
      <c r="B6418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6418" s="95" t="str">
        <f>IFERROR(VLOOKUP("UD",'Informacion '!P:Q,2,FALSE),"")</f>
        <v>Unidad</v>
      </c>
      <c r="D6418" s="94">
        <v>29</v>
      </c>
      <c r="E6418" s="84">
        <v>250</v>
      </c>
      <c r="F6418" s="83">
        <f t="shared" ca="1" si="266"/>
        <v>7250</v>
      </c>
    </row>
    <row r="6419" spans="1:6" ht="14.1" customHeight="1" x14ac:dyDescent="0.25">
      <c r="A6419" s="94" t="s">
        <v>4565</v>
      </c>
      <c r="B6419" s="82" t="str">
        <f ca="1">IFERROR(INDEX(UNSPSCDes,MATCH(INDIRECT(ADDRESS(ROW(),COLUMN()-1,4)),UNSPSCCode,0)),IF(INDIRECT(ADDRESS(ROW(),COLUMN()-1,4))="51151916","Cloruro de succinilcolina",""))</f>
        <v>Cloruro de succinilcolina</v>
      </c>
      <c r="C6419" s="95" t="str">
        <f>IFERROR(VLOOKUP("UD",'Informacion '!P:Q,2,FALSE),"")</f>
        <v>Unidad</v>
      </c>
      <c r="D6419" s="94">
        <v>4</v>
      </c>
      <c r="E6419" s="84">
        <v>50.93</v>
      </c>
      <c r="F6419" s="83">
        <f t="shared" ca="1" si="266"/>
        <v>203.72</v>
      </c>
    </row>
    <row r="6420" spans="1:6" ht="14.1" customHeight="1" x14ac:dyDescent="0.25">
      <c r="A6420" s="94" t="s">
        <v>8501</v>
      </c>
      <c r="B6420" s="82" t="str">
        <f ca="1">IFERROR(INDEX(UNSPSCDes,MATCH(INDIRECT(ADDRESS(ROW(),COLUMN()-1,4)),UNSPSCCode,0)),IF(INDIRECT(ADDRESS(ROW(),COLUMN()-1,4))="51142302","Hidrocloruro de naloxona",""))</f>
        <v>Hidrocloruro de naloxona</v>
      </c>
      <c r="C6420" s="95" t="str">
        <f>IFERROR(VLOOKUP("UD",'Informacion '!P:Q,2,FALSE),"")</f>
        <v>Unidad</v>
      </c>
      <c r="D6420" s="94">
        <v>4</v>
      </c>
      <c r="E6420" s="84">
        <v>495</v>
      </c>
      <c r="F6420" s="83">
        <f t="shared" ca="1" si="266"/>
        <v>1980</v>
      </c>
    </row>
    <row r="6421" spans="1:6" ht="14.1" customHeight="1" x14ac:dyDescent="0.25">
      <c r="A6421" s="94" t="s">
        <v>18</v>
      </c>
      <c r="B6421" s="82" t="str">
        <f ca="1">IFERROR(INDEX(UNSPSCDes,MATCH(INDIRECT(ADDRESS(ROW(),COLUMN()-1,4)),UNSPSCCode,0)),IF(INDIRECT(ADDRESS(ROW(),COLUMN()-1,4))="51151732","Clorhidrato de dobutamina",""))</f>
        <v>Clorhidrato de dobutamina</v>
      </c>
      <c r="C6421" s="95" t="str">
        <f>IFERROR(VLOOKUP("UD",'Informacion '!P:Q,2,FALSE),"")</f>
        <v>Unidad</v>
      </c>
      <c r="D6421" s="94">
        <v>9</v>
      </c>
      <c r="E6421" s="84">
        <v>220.82</v>
      </c>
      <c r="F6421" s="83">
        <f t="shared" ca="1" si="266"/>
        <v>1987.3799999999999</v>
      </c>
    </row>
    <row r="6422" spans="1:6" ht="14.1" customHeight="1" x14ac:dyDescent="0.25">
      <c r="A6422" s="94" t="s">
        <v>11172</v>
      </c>
      <c r="B6422" s="82" t="str">
        <f ca="1">IFERROR(INDEX(UNSPSCDes,MATCH(INDIRECT(ADDRESS(ROW(),COLUMN()-1,4)),UNSPSCCode,0)),IF(INDIRECT(ADDRESS(ROW(),COLUMN()-1,4))="51151723","Clorhidrato de tetrahidrozolina",""))</f>
        <v>Clorhidrato de tetrahidrozolina</v>
      </c>
      <c r="C6422" s="95" t="str">
        <f>IFERROR(VLOOKUP("UD",'Informacion '!P:Q,2,FALSE),"")</f>
        <v>Unidad</v>
      </c>
      <c r="D6422" s="94">
        <v>5</v>
      </c>
      <c r="E6422" s="84">
        <v>143.97</v>
      </c>
      <c r="F6422" s="83">
        <f t="shared" ca="1" si="266"/>
        <v>719.85</v>
      </c>
    </row>
    <row r="6423" spans="1:6" ht="14.1" customHeight="1" x14ac:dyDescent="0.25">
      <c r="A6423" s="94" t="s">
        <v>9816</v>
      </c>
      <c r="B6423" s="82" t="str">
        <f ca="1">IFERROR(INDEX(UNSPSCDes,MATCH(INDIRECT(ADDRESS(ROW(),COLUMN()-1,4)),UNSPSCCode,0)),IF(INDIRECT(ADDRESS(ROW(),COLUMN()-1,4))="51191905","Suplementos vitamínicos",""))</f>
        <v>Suplementos vitamínicos</v>
      </c>
      <c r="C6423" s="95" t="str">
        <f>IFERROR(VLOOKUP("UD",'Informacion '!P:Q,2,FALSE),"")</f>
        <v>Unidad</v>
      </c>
      <c r="D6423" s="94">
        <v>1207</v>
      </c>
      <c r="E6423" s="84">
        <v>6.04</v>
      </c>
      <c r="F6423" s="83">
        <f t="shared" ca="1" si="266"/>
        <v>7290.28</v>
      </c>
    </row>
    <row r="6424" spans="1:6" ht="14.1" customHeight="1" x14ac:dyDescent="0.25">
      <c r="A6424" s="94" t="s">
        <v>14835</v>
      </c>
      <c r="B6424" s="82" t="str">
        <f ca="1">IFERROR(INDEX(UNSPSCDes,MATCH(INDIRECT(ADDRESS(ROW(),COLUMN()-1,4)),UNSPSCCode,0)),IF(INDIRECT(ADDRESS(ROW(),COLUMN()-1,4))="51121603","Nitroglicerina",""))</f>
        <v>Nitroglicerina</v>
      </c>
      <c r="C6424" s="95" t="str">
        <f>IFERROR(VLOOKUP("UD",'Informacion '!P:Q,2,FALSE),"")</f>
        <v>Unidad</v>
      </c>
      <c r="D6424" s="94">
        <v>9</v>
      </c>
      <c r="E6424" s="84">
        <v>250</v>
      </c>
      <c r="F6424" s="83">
        <f t="shared" ca="1" si="266"/>
        <v>2250</v>
      </c>
    </row>
    <row r="6425" spans="1:6" ht="14.1" customHeight="1" x14ac:dyDescent="0.25">
      <c r="A6425" s="94" t="s">
        <v>11445</v>
      </c>
      <c r="B6425" s="82" t="str">
        <f ca="1">IFERROR(INDEX(UNSPSCDes,MATCH(INDIRECT(ADDRESS(ROW(),COLUMN()-1,4)),UNSPSCCode,0)),IF(INDIRECT(ADDRESS(ROW(),COLUMN()-1,4))="51131501","Fumarato ferroso",""))</f>
        <v>Fumarato ferroso</v>
      </c>
      <c r="C6425" s="95" t="str">
        <f>IFERROR(VLOOKUP("UD",'Informacion '!P:Q,2,FALSE),"")</f>
        <v>Unidad</v>
      </c>
      <c r="D6425" s="94">
        <v>11</v>
      </c>
      <c r="E6425" s="84">
        <v>1.1000000000000001</v>
      </c>
      <c r="F6425" s="83">
        <f t="shared" ca="1" si="266"/>
        <v>12.100000000000001</v>
      </c>
    </row>
    <row r="6426" spans="1:6" ht="14.1" customHeight="1" x14ac:dyDescent="0.25">
      <c r="A6426" s="94" t="s">
        <v>11445</v>
      </c>
      <c r="B6426" s="82" t="str">
        <f ca="1">IFERROR(INDEX(UNSPSCDes,MATCH(INDIRECT(ADDRESS(ROW(),COLUMN()-1,4)),UNSPSCCode,0)),IF(INDIRECT(ADDRESS(ROW(),COLUMN()-1,4))="51131501","Fumarato ferroso",""))</f>
        <v>Fumarato ferroso</v>
      </c>
      <c r="C6426" s="95" t="str">
        <f>IFERROR(VLOOKUP("UD",'Informacion '!P:Q,2,FALSE),"")</f>
        <v>Unidad</v>
      </c>
      <c r="D6426" s="94">
        <v>27</v>
      </c>
      <c r="E6426" s="84">
        <v>96.43</v>
      </c>
      <c r="F6426" s="83">
        <f t="shared" ca="1" si="266"/>
        <v>2603.61</v>
      </c>
    </row>
    <row r="6427" spans="1:6" ht="14.1" customHeight="1" x14ac:dyDescent="0.25">
      <c r="A6427" s="94" t="s">
        <v>10568</v>
      </c>
      <c r="B6427" s="82" t="str">
        <f ca="1">IFERROR(INDEX(UNSPSCDes,MATCH(INDIRECT(ADDRESS(ROW(),COLUMN()-1,4)),UNSPSCCode,0)),IF(INDIRECT(ADDRESS(ROW(),COLUMN()-1,4))="51171904","Clorhidrato de ranitidina",""))</f>
        <v>Clorhidrato de ranitidina</v>
      </c>
      <c r="C6427" s="95" t="str">
        <f>IFERROR(VLOOKUP("UD",'Informacion '!P:Q,2,FALSE),"")</f>
        <v>Unidad</v>
      </c>
      <c r="D6427" s="94">
        <v>1424</v>
      </c>
      <c r="E6427" s="84">
        <v>4.87</v>
      </c>
      <c r="F6427" s="83">
        <f t="shared" ca="1" si="266"/>
        <v>6934.88</v>
      </c>
    </row>
    <row r="6428" spans="1:6" ht="14.1" customHeight="1" x14ac:dyDescent="0.25">
      <c r="A6428" s="94" t="s">
        <v>14841</v>
      </c>
      <c r="B6428" s="82" t="str">
        <f ca="1">IFERROR(INDEX(UNSPSCDes,MATCH(INDIRECT(ADDRESS(ROW(),COLUMN()-1,4)),UNSPSCCode,0)),IF(INDIRECT(ADDRESS(ROW(),COLUMN()-1,4))="51171911","Sucralfato",""))</f>
        <v>Sucralfato</v>
      </c>
      <c r="C6428" s="95" t="str">
        <f>IFERROR(VLOOKUP("UD",'Informacion '!P:Q,2,FALSE),"")</f>
        <v>Unidad</v>
      </c>
      <c r="D6428" s="94">
        <v>60</v>
      </c>
      <c r="E6428" s="84">
        <v>11.62</v>
      </c>
      <c r="F6428" s="83">
        <f t="shared" ca="1" si="266"/>
        <v>697.19999999999993</v>
      </c>
    </row>
    <row r="6429" spans="1:6" ht="14.1" customHeight="1" x14ac:dyDescent="0.25">
      <c r="A6429" s="94" t="s">
        <v>5537</v>
      </c>
      <c r="B6429" s="82" t="str">
        <f ca="1">IFERROR(INDEX(UNSPSCDes,MATCH(INDIRECT(ADDRESS(ROW(),COLUMN()-1,4)),UNSPSCCode,0)),IF(INDIRECT(ADDRESS(ROW(),COLUMN()-1,4))="51171909","Omeprazol",""))</f>
        <v>Omeprazol</v>
      </c>
      <c r="C6429" s="95" t="str">
        <f>IFERROR(VLOOKUP("UD",'Informacion '!P:Q,2,FALSE),"")</f>
        <v>Unidad</v>
      </c>
      <c r="D6429" s="94">
        <v>698</v>
      </c>
      <c r="E6429" s="84">
        <v>60.27</v>
      </c>
      <c r="F6429" s="83">
        <f t="shared" ca="1" si="266"/>
        <v>42068.46</v>
      </c>
    </row>
    <row r="6430" spans="1:6" ht="14.1" customHeight="1" x14ac:dyDescent="0.25">
      <c r="A6430" s="94" t="s">
        <v>5537</v>
      </c>
      <c r="B6430" s="82" t="str">
        <f ca="1">IFERROR(INDEX(UNSPSCDes,MATCH(INDIRECT(ADDRESS(ROW(),COLUMN()-1,4)),UNSPSCCode,0)),IF(INDIRECT(ADDRESS(ROW(),COLUMN()-1,4))="51171909","Omeprazol",""))</f>
        <v>Omeprazol</v>
      </c>
      <c r="C6430" s="95" t="str">
        <f>IFERROR(VLOOKUP("UD",'Informacion '!P:Q,2,FALSE),"")</f>
        <v>Unidad</v>
      </c>
      <c r="D6430" s="94">
        <v>191</v>
      </c>
      <c r="E6430" s="84">
        <v>332.66</v>
      </c>
      <c r="F6430" s="83">
        <f t="shared" ca="1" si="266"/>
        <v>63538.060000000005</v>
      </c>
    </row>
    <row r="6431" spans="1:6" ht="14.1" customHeight="1" x14ac:dyDescent="0.25">
      <c r="A6431" s="94" t="s">
        <v>10319</v>
      </c>
      <c r="B6431" s="82" t="str">
        <f ca="1">IFERROR(INDEX(UNSPSCDes,MATCH(INDIRECT(ADDRESS(ROW(),COLUMN()-1,4)),UNSPSCCode,0)),IF(INDIRECT(ADDRESS(ROW(),COLUMN()-1,4))="51171915","Pantoprazol sódico",""))</f>
        <v>Pantoprazol sódico</v>
      </c>
      <c r="C6431" s="95" t="str">
        <f>IFERROR(VLOOKUP("UD",'Informacion '!P:Q,2,FALSE),"")</f>
        <v>Unidad</v>
      </c>
      <c r="D6431" s="94">
        <v>10</v>
      </c>
      <c r="E6431" s="84">
        <v>660.45</v>
      </c>
      <c r="F6431" s="83">
        <f t="shared" ca="1" si="266"/>
        <v>6604.5</v>
      </c>
    </row>
    <row r="6432" spans="1:6" ht="14.1" customHeight="1" x14ac:dyDescent="0.25">
      <c r="A6432" s="94" t="s">
        <v>5182</v>
      </c>
      <c r="B6432" s="82" t="str">
        <f ca="1">IFERROR(INDEX(UNSPSCDes,MATCH(INDIRECT(ADDRESS(ROW(),COLUMN()-1,4)),UNSPSCCode,0)),IF(INDIRECT(ADDRESS(ROW(),COLUMN()-1,4))="51141704","Risperidona",""))</f>
        <v>Risperidona</v>
      </c>
      <c r="C6432" s="95" t="str">
        <f>IFERROR(VLOOKUP("UD",'Informacion '!P:Q,2,FALSE),"")</f>
        <v>Unidad</v>
      </c>
      <c r="D6432" s="94">
        <v>5</v>
      </c>
      <c r="E6432" s="84">
        <v>34.33</v>
      </c>
      <c r="F6432" s="83">
        <f t="shared" ca="1" si="266"/>
        <v>171.64999999999998</v>
      </c>
    </row>
    <row r="6433" spans="1:10" ht="14.1" customHeight="1" x14ac:dyDescent="0.25">
      <c r="A6433" s="94" t="s">
        <v>13844</v>
      </c>
      <c r="B6433" s="82" t="str">
        <f ca="1">IFERROR(INDEX(UNSPSCDes,MATCH(INDIRECT(ADDRESS(ROW(),COLUMN()-1,4)),UNSPSCCode,0)),IF(INDIRECT(ADDRESS(ROW(),COLUMN()-1,4))="42141903","Kits o accesorios para enema",""))</f>
        <v>Kits o accesorios para enema</v>
      </c>
      <c r="C6433" s="95" t="str">
        <f>IFERROR(VLOOKUP("UD",'Informacion '!P:Q,2,FALSE),"")</f>
        <v>Unidad</v>
      </c>
      <c r="D6433" s="94">
        <v>174</v>
      </c>
      <c r="E6433" s="84">
        <v>75.41</v>
      </c>
      <c r="F6433" s="83">
        <f t="shared" ca="1" si="266"/>
        <v>13121.34</v>
      </c>
    </row>
    <row r="6434" spans="1:10" ht="14.1" customHeight="1" x14ac:dyDescent="0.25">
      <c r="A6434" s="94" t="s">
        <v>12769</v>
      </c>
      <c r="B6434" s="82" t="str">
        <f ca="1">IFERROR(INDEX(UNSPSCDes,MATCH(INDIRECT(ADDRESS(ROW(),COLUMN()-1,4)),UNSPSCCode,0)),IF(INDIRECT(ADDRESS(ROW(),COLUMN()-1,4))="51171605","Lactulosa",""))</f>
        <v>Lactulosa</v>
      </c>
      <c r="C6434" s="95" t="str">
        <f>IFERROR(VLOOKUP("UD",'Informacion '!P:Q,2,FALSE),"")</f>
        <v>Unidad</v>
      </c>
      <c r="D6434" s="94">
        <v>53</v>
      </c>
      <c r="E6434" s="84">
        <v>426.33</v>
      </c>
      <c r="F6434" s="83">
        <f t="shared" ca="1" si="266"/>
        <v>22595.489999999998</v>
      </c>
    </row>
    <row r="6435" spans="1:10" ht="14.1" customHeight="1" x14ac:dyDescent="0.25">
      <c r="A6435" s="94" t="s">
        <v>3076</v>
      </c>
      <c r="B6435" s="82" t="str">
        <f ca="1">IFERROR(INDEX(UNSPSCDes,MATCH(INDIRECT(ADDRESS(ROW(),COLUMN()-1,4)),UNSPSCCode,0)),IF(INDIRECT(ADDRESS(ROW(),COLUMN()-1,4))="51171622","Fosfato de sodio",""))</f>
        <v>Fosfato de sodio</v>
      </c>
      <c r="C6435" s="95" t="str">
        <f>IFERROR(VLOOKUP("UD",'Informacion '!P:Q,2,FALSE),"")</f>
        <v>Unidad</v>
      </c>
      <c r="D6435" s="94">
        <v>4</v>
      </c>
      <c r="E6435" s="84">
        <v>70.8</v>
      </c>
      <c r="F6435" s="83">
        <f t="shared" ca="1" si="266"/>
        <v>283.2</v>
      </c>
    </row>
    <row r="6436" spans="1:10" ht="14.1" customHeight="1" x14ac:dyDescent="0.25">
      <c r="A6436" s="94" t="s">
        <v>9816</v>
      </c>
      <c r="B6436" s="82" t="str">
        <f ca="1">IFERROR(INDEX(UNSPSCDes,MATCH(INDIRECT(ADDRESS(ROW(),COLUMN()-1,4)),UNSPSCCode,0)),IF(INDIRECT(ADDRESS(ROW(),COLUMN()-1,4))="51191905","Suplementos vitamínicos",""))</f>
        <v>Suplementos vitamínicos</v>
      </c>
      <c r="C6436" s="95" t="str">
        <f>IFERROR(VLOOKUP("UD",'Informacion '!P:Q,2,FALSE),"")</f>
        <v>Unidad</v>
      </c>
      <c r="D6436" s="94">
        <v>70</v>
      </c>
      <c r="E6436" s="84">
        <v>420.49</v>
      </c>
      <c r="F6436" s="83">
        <f t="shared" ca="1" si="266"/>
        <v>29434.3</v>
      </c>
    </row>
    <row r="6437" spans="1:10" ht="14.1" customHeight="1" x14ac:dyDescent="0.25">
      <c r="A6437" s="94" t="s">
        <v>16527</v>
      </c>
      <c r="B6437" s="82" t="str">
        <f ca="1">IFERROR(INDEX(UNSPSCDes,MATCH(INDIRECT(ADDRESS(ROW(),COLUMN()-1,4)),UNSPSCCode,0)),IF(INDIRECT(ADDRESS(ROW(),COLUMN()-1,4))="51171619","Supositorios de glicerina",""))</f>
        <v>Supositorios de glicerina</v>
      </c>
      <c r="C6437" s="95" t="str">
        <f>IFERROR(VLOOKUP("UD",'Informacion '!P:Q,2,FALSE),"")</f>
        <v>Unidad</v>
      </c>
      <c r="D6437" s="94">
        <v>4</v>
      </c>
      <c r="E6437" s="84">
        <v>11.54</v>
      </c>
      <c r="F6437" s="83">
        <f t="shared" ca="1" si="266"/>
        <v>46.16</v>
      </c>
    </row>
    <row r="6438" spans="1:10" ht="14.1" customHeight="1" x14ac:dyDescent="0.25">
      <c r="E6438" s="96" t="s">
        <v>7213</v>
      </c>
      <c r="F6438" s="87">
        <f ca="1">SUM(Table177[MONTO TOTAL ESTIMADO])</f>
        <v>472082.49999999994</v>
      </c>
      <c r="H6438" s="39" t="str">
        <f>C6369</f>
        <v>Bienes</v>
      </c>
      <c r="I6438" s="39" t="str">
        <f>E6369</f>
        <v>No</v>
      </c>
      <c r="J6438" s="39" t="str">
        <f>D6369</f>
        <v>Comparacion de Precios</v>
      </c>
    </row>
    <row r="6440" spans="1:10" ht="33.950000000000003" customHeight="1" x14ac:dyDescent="0.25">
      <c r="A6440" s="77" t="s">
        <v>17233</v>
      </c>
      <c r="B6440" s="77" t="s">
        <v>4237</v>
      </c>
      <c r="C6440" s="77" t="s">
        <v>4743</v>
      </c>
      <c r="D6440" s="77" t="s">
        <v>9891</v>
      </c>
      <c r="E6440" s="77" t="s">
        <v>3089</v>
      </c>
      <c r="F6440" s="77" t="s">
        <v>18141</v>
      </c>
    </row>
    <row r="6441" spans="1:10" ht="14.1" customHeight="1" x14ac:dyDescent="0.25">
      <c r="A6441" s="79" t="s">
        <v>14225</v>
      </c>
      <c r="B6441" s="79" t="s">
        <v>2182</v>
      </c>
      <c r="C6441" s="79" t="s">
        <v>17215</v>
      </c>
      <c r="D6441" s="79" t="s">
        <v>15249</v>
      </c>
      <c r="E6441" s="79" t="s">
        <v>18247</v>
      </c>
      <c r="F6441" s="79"/>
    </row>
    <row r="6442" spans="1:10" ht="14.1" customHeight="1" x14ac:dyDescent="0.25">
      <c r="A6442" s="2" t="s">
        <v>6643</v>
      </c>
      <c r="B6442" s="80" t="s">
        <v>1046</v>
      </c>
      <c r="C6442" s="90">
        <v>43647</v>
      </c>
      <c r="D6442" s="2" t="s">
        <v>59</v>
      </c>
      <c r="E6442" s="92" t="s">
        <v>20066</v>
      </c>
      <c r="F6442" s="93" t="s">
        <v>5684</v>
      </c>
    </row>
    <row r="6443" spans="1:10" ht="14.1" customHeight="1" x14ac:dyDescent="0.25">
      <c r="A6443" s="1"/>
      <c r="B6443" s="80" t="s">
        <v>10788</v>
      </c>
      <c r="C6443" s="91">
        <f>IF(C6442="","",IF(AND(MONTH(C6442)&gt;=1,MONTH(C6442)&lt;=3),1,IF(AND(MONTH(C6442)&gt;=4,MONTH(C6442)&lt;=6),2,IF(AND(MONTH(C6442)&gt;=7,MONTH(C6442)&lt;=9),3,4))))</f>
        <v>3</v>
      </c>
      <c r="D6443" s="1"/>
      <c r="E6443" s="92" t="s">
        <v>14822</v>
      </c>
      <c r="F6443" s="93"/>
    </row>
    <row r="6444" spans="1:10" ht="14.1" customHeight="1" x14ac:dyDescent="0.25">
      <c r="A6444" s="1"/>
      <c r="B6444" s="80" t="s">
        <v>13758</v>
      </c>
      <c r="C6444" s="90">
        <v>43738</v>
      </c>
      <c r="D6444" s="1"/>
      <c r="E6444" s="92" t="s">
        <v>18636</v>
      </c>
      <c r="F6444" s="93"/>
    </row>
    <row r="6445" spans="1:10" ht="14.1" customHeight="1" x14ac:dyDescent="0.25">
      <c r="A6445" s="1"/>
      <c r="B6445" s="80" t="s">
        <v>10788</v>
      </c>
      <c r="C6445" s="91">
        <f>IF(C6444="","",IF(AND(MONTH(C6444)&gt;=1,MONTH(C6444)&lt;=3),1,IF(AND(MONTH(C6444)&gt;=4,MONTH(C6444)&lt;=6),2,IF(AND(MONTH(C6444)&gt;=7,MONTH(C6444)&lt;=9),3,4))))</f>
        <v>3</v>
      </c>
      <c r="D6445" s="1"/>
      <c r="E6445" s="92" t="s">
        <v>15990</v>
      </c>
      <c r="F6445" s="93"/>
    </row>
    <row r="6447" spans="1:10" ht="14.1" customHeight="1" x14ac:dyDescent="0.25">
      <c r="A6447" s="85" t="s">
        <v>15474</v>
      </c>
      <c r="B6447" s="85" t="s">
        <v>5027</v>
      </c>
      <c r="C6447" s="85" t="s">
        <v>17461</v>
      </c>
      <c r="D6447" s="85" t="s">
        <v>3935</v>
      </c>
      <c r="E6447" s="85" t="s">
        <v>10722</v>
      </c>
      <c r="F6447" s="85" t="s">
        <v>18237</v>
      </c>
    </row>
    <row r="6448" spans="1:10" ht="14.1" customHeight="1" x14ac:dyDescent="0.25">
      <c r="A6448" s="94" t="s">
        <v>12218</v>
      </c>
      <c r="B6448" s="82" t="str">
        <f ca="1">IFERROR(INDEX(UNSPSCDes,MATCH(INDIRECT(ADDRESS(ROW(),COLUMN()-1,4)),UNSPSCCode,0)),IF(INDIRECT(ADDRESS(ROW(),COLUMN()-1,4))="51131805","Etamsilato",""))</f>
        <v>Etamsilato</v>
      </c>
      <c r="C6448" s="95" t="str">
        <f>IFERROR(VLOOKUP("UD",'Informacion '!P:Q,2,FALSE),"")</f>
        <v>Unidad</v>
      </c>
      <c r="D6448" s="94">
        <v>303</v>
      </c>
      <c r="E6448" s="84">
        <v>86.41</v>
      </c>
      <c r="F6448" s="83">
        <f t="shared" ref="F6448:F6474" ca="1" si="267">INDIRECT(ADDRESS(ROW(),COLUMN()-2,4))*INDIRECT(ADDRESS(ROW(),COLUMN()-1,4))</f>
        <v>26182.23</v>
      </c>
    </row>
    <row r="6449" spans="1:6" ht="14.1" customHeight="1" x14ac:dyDescent="0.25">
      <c r="A6449" s="94" t="s">
        <v>1347</v>
      </c>
      <c r="B6449" s="82" t="str">
        <f ca="1">IFERROR(INDEX(UNSPSCDes,MATCH(INDIRECT(ADDRESS(ROW(),COLUMN()-1,4)),UNSPSCCode,0)),IF(INDIRECT(ADDRESS(ROW(),COLUMN()-1,4))="51131802","Factores antihemofílicos o globulinas",""))</f>
        <v>Factores antihemofílicos o globulinas</v>
      </c>
      <c r="C6449" s="95" t="str">
        <f>IFERROR(VLOOKUP("UD",'Informacion '!P:Q,2,FALSE),"")</f>
        <v>Unidad</v>
      </c>
      <c r="D6449" s="94">
        <v>702</v>
      </c>
      <c r="E6449" s="84">
        <v>165</v>
      </c>
      <c r="F6449" s="83">
        <f t="shared" ca="1" si="267"/>
        <v>115830</v>
      </c>
    </row>
    <row r="6450" spans="1:6" ht="14.1" customHeight="1" x14ac:dyDescent="0.25">
      <c r="A6450" s="94" t="s">
        <v>9816</v>
      </c>
      <c r="B6450" s="82" t="str">
        <f ca="1">IFERROR(INDEX(UNSPSCDes,MATCH(INDIRECT(ADDRESS(ROW(),COLUMN()-1,4)),UNSPSCCode,0)),IF(INDIRECT(ADDRESS(ROW(),COLUMN()-1,4))="51191905","Suplementos vitamínicos",""))</f>
        <v>Suplementos vitamínicos</v>
      </c>
      <c r="C6450" s="95" t="str">
        <f>IFERROR(VLOOKUP("UD",'Informacion '!P:Q,2,FALSE),"")</f>
        <v>Unidad</v>
      </c>
      <c r="D6450" s="94">
        <v>87</v>
      </c>
      <c r="E6450" s="84">
        <v>7.62</v>
      </c>
      <c r="F6450" s="83">
        <f t="shared" ca="1" si="267"/>
        <v>662.94</v>
      </c>
    </row>
    <row r="6451" spans="1:6" ht="14.1" customHeight="1" x14ac:dyDescent="0.25">
      <c r="A6451" s="94" t="s">
        <v>6250</v>
      </c>
      <c r="B6451" s="82" t="str">
        <f ca="1">IFERROR(INDEX(UNSPSCDes,MATCH(INDIRECT(ADDRESS(ROW(),COLUMN()-1,4)),UNSPSCCode,0)),IF(INDIRECT(ADDRESS(ROW(),COLUMN()-1,4))="51182102","Vasopresina",""))</f>
        <v>Vasopresina</v>
      </c>
      <c r="C6451" s="95" t="str">
        <f>IFERROR(VLOOKUP("UD",'Informacion '!P:Q,2,FALSE),"")</f>
        <v>Unidad</v>
      </c>
      <c r="D6451" s="94">
        <v>14</v>
      </c>
      <c r="E6451" s="84">
        <v>2988.46</v>
      </c>
      <c r="F6451" s="83">
        <f t="shared" ca="1" si="267"/>
        <v>41838.44</v>
      </c>
    </row>
    <row r="6452" spans="1:6" ht="14.1" customHeight="1" x14ac:dyDescent="0.25">
      <c r="A6452" s="94" t="s">
        <v>14411</v>
      </c>
      <c r="B6452" s="82" t="str">
        <f ca="1">IFERROR(INDEX(UNSPSCDes,MATCH(INDIRECT(ADDRESS(ROW(),COLUMN()-1,4)),UNSPSCCode,0)),IF(INDIRECT(ADDRESS(ROW(),COLUMN()-1,4))="51142012","Ácido mefenámico",""))</f>
        <v>Ácido mefenámico</v>
      </c>
      <c r="C6452" s="95" t="str">
        <f>IFERROR(VLOOKUP("UD",'Informacion '!P:Q,2,FALSE),"")</f>
        <v>Unidad</v>
      </c>
      <c r="D6452" s="94">
        <v>34</v>
      </c>
      <c r="E6452" s="84">
        <v>120</v>
      </c>
      <c r="F6452" s="83">
        <f t="shared" ca="1" si="267"/>
        <v>4080</v>
      </c>
    </row>
    <row r="6453" spans="1:6" ht="14.1" customHeight="1" x14ac:dyDescent="0.25">
      <c r="A6453" s="94" t="s">
        <v>17287</v>
      </c>
      <c r="B6453" s="82" t="str">
        <f ca="1">IFERROR(INDEX(UNSPSCDes,MATCH(INDIRECT(ADDRESS(ROW(),COLUMN()-1,4)),UNSPSCCode,0)),IF(INDIRECT(ADDRESS(ROW(),COLUMN()-1,4))="51151802","Hidrocloruro de esmolol",""))</f>
        <v>Hidrocloruro de esmolol</v>
      </c>
      <c r="C6453" s="95" t="str">
        <f>IFERROR(VLOOKUP("UD",'Informacion '!P:Q,2,FALSE),"")</f>
        <v>Unidad</v>
      </c>
      <c r="D6453" s="94">
        <v>24</v>
      </c>
      <c r="E6453" s="84">
        <v>0.18</v>
      </c>
      <c r="F6453" s="83">
        <f t="shared" ca="1" si="267"/>
        <v>4.32</v>
      </c>
    </row>
    <row r="6454" spans="1:6" ht="14.1" customHeight="1" x14ac:dyDescent="0.25">
      <c r="A6454" s="94" t="s">
        <v>8590</v>
      </c>
      <c r="B6454" s="82" t="str">
        <f ca="1">IFERROR(INDEX(UNSPSCDes,MATCH(INDIRECT(ADDRESS(ROW(),COLUMN()-1,4)),UNSPSCCode,0)),IF(INDIRECT(ADDRESS(ROW(),COLUMN()-1,4))="51121709","Carvedilol",""))</f>
        <v>Carvedilol</v>
      </c>
      <c r="C6454" s="95" t="str">
        <f>IFERROR(VLOOKUP("UD",'Informacion '!P:Q,2,FALSE),"")</f>
        <v>Unidad</v>
      </c>
      <c r="D6454" s="94">
        <v>59</v>
      </c>
      <c r="E6454" s="84">
        <v>1.25</v>
      </c>
      <c r="F6454" s="83">
        <f t="shared" ca="1" si="267"/>
        <v>73.75</v>
      </c>
    </row>
    <row r="6455" spans="1:6" ht="14.1" customHeight="1" x14ac:dyDescent="0.25">
      <c r="A6455" s="94" t="s">
        <v>19811</v>
      </c>
      <c r="B6455" s="82" t="str">
        <f ca="1">IFERROR(INDEX(UNSPSCDes,MATCH(INDIRECT(ADDRESS(ROW(),COLUMN()-1,4)),UNSPSCCode,0)),IF(INDIRECT(ADDRESS(ROW(),COLUMN()-1,4))="51121715","Enalapril",""))</f>
        <v>Enalapril</v>
      </c>
      <c r="C6455" s="95" t="str">
        <f>IFERROR(VLOOKUP("UD",'Informacion '!P:Q,2,FALSE),"")</f>
        <v>Unidad</v>
      </c>
      <c r="D6455" s="94">
        <v>8</v>
      </c>
      <c r="E6455" s="84">
        <v>235.9</v>
      </c>
      <c r="F6455" s="83">
        <f t="shared" ca="1" si="267"/>
        <v>1887.2</v>
      </c>
    </row>
    <row r="6456" spans="1:6" ht="14.1" customHeight="1" x14ac:dyDescent="0.25">
      <c r="A6456" s="94" t="s">
        <v>13692</v>
      </c>
      <c r="B6456" s="82" t="str">
        <f ca="1">IFERROR(INDEX(UNSPSCDes,MATCH(INDIRECT(ADDRESS(ROW(),COLUMN()-1,4)),UNSPSCCode,0)),IF(INDIRECT(ADDRESS(ROW(),COLUMN()-1,4))="51121721","Tartrato de metoprolol",""))</f>
        <v>Tartrato de metoprolol</v>
      </c>
      <c r="C6456" s="95" t="str">
        <f>IFERROR(VLOOKUP("UD",'Informacion '!P:Q,2,FALSE),"")</f>
        <v>Unidad</v>
      </c>
      <c r="D6456" s="94">
        <v>21</v>
      </c>
      <c r="E6456" s="84">
        <v>14.24</v>
      </c>
      <c r="F6456" s="83">
        <f t="shared" ca="1" si="267"/>
        <v>299.04000000000002</v>
      </c>
    </row>
    <row r="6457" spans="1:6" ht="14.1" customHeight="1" x14ac:dyDescent="0.25">
      <c r="A6457" s="94" t="s">
        <v>4703</v>
      </c>
      <c r="B6457" s="82" t="str">
        <f ca="1">IFERROR(INDEX(UNSPSCDes,MATCH(INDIRECT(ADDRESS(ROW(),COLUMN()-1,4)),UNSPSCCode,0)),IF(INDIRECT(ADDRESS(ROW(),COLUMN()-1,4))="51121904","Nifedipina",""))</f>
        <v>Nifedipina</v>
      </c>
      <c r="C6457" s="95" t="str">
        <f>IFERROR(VLOOKUP("UD",'Informacion '!P:Q,2,FALSE),"")</f>
        <v>Unidad</v>
      </c>
      <c r="D6457" s="94">
        <v>45</v>
      </c>
      <c r="E6457" s="84">
        <v>17.899999999999999</v>
      </c>
      <c r="F6457" s="83">
        <f t="shared" ca="1" si="267"/>
        <v>805.49999999999989</v>
      </c>
    </row>
    <row r="6458" spans="1:6" ht="14.1" customHeight="1" x14ac:dyDescent="0.25">
      <c r="A6458" s="94" t="s">
        <v>3476</v>
      </c>
      <c r="B6458" s="82" t="str">
        <f ca="1">IFERROR(INDEX(UNSPSCDes,MATCH(INDIRECT(ADDRESS(ROW(),COLUMN()-1,4)),UNSPSCCode,0)),IF(INDIRECT(ADDRESS(ROW(),COLUMN()-1,4))="51151812","Hidrocloruro de propranolol",""))</f>
        <v>Hidrocloruro de propranolol</v>
      </c>
      <c r="C6458" s="95" t="str">
        <f>IFERROR(VLOOKUP("UD",'Informacion '!P:Q,2,FALSE),"")</f>
        <v>Unidad</v>
      </c>
      <c r="D6458" s="94">
        <v>4</v>
      </c>
      <c r="E6458" s="84">
        <v>8.26</v>
      </c>
      <c r="F6458" s="83">
        <f t="shared" ca="1" si="267"/>
        <v>33.04</v>
      </c>
    </row>
    <row r="6459" spans="1:6" ht="14.1" customHeight="1" x14ac:dyDescent="0.25">
      <c r="A6459" s="94" t="s">
        <v>17516</v>
      </c>
      <c r="B6459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6459" s="95" t="str">
        <f>IFERROR(VLOOKUP("UD",'Informacion '!P:Q,2,FALSE),"")</f>
        <v>Unidad</v>
      </c>
      <c r="D6459" s="94">
        <v>29</v>
      </c>
      <c r="E6459" s="84">
        <v>950</v>
      </c>
      <c r="F6459" s="83">
        <f t="shared" ca="1" si="267"/>
        <v>27550</v>
      </c>
    </row>
    <row r="6460" spans="1:6" ht="14.1" customHeight="1" x14ac:dyDescent="0.25">
      <c r="A6460" s="94" t="s">
        <v>14407</v>
      </c>
      <c r="B6460" s="82" t="str">
        <f ca="1">IFERROR(INDEX(UNSPSCDes,MATCH(INDIRECT(ADDRESS(ROW(),COLUMN()-1,4)),UNSPSCCode,0)),IF(INDIRECT(ADDRESS(ROW(),COLUMN()-1,4))="51122110","Nimodipina",""))</f>
        <v>Nimodipina</v>
      </c>
      <c r="C6460" s="95" t="str">
        <f>IFERROR(VLOOKUP("UD",'Informacion '!P:Q,2,FALSE),"")</f>
        <v>Unidad</v>
      </c>
      <c r="D6460" s="94">
        <v>4</v>
      </c>
      <c r="E6460" s="84">
        <v>43</v>
      </c>
      <c r="F6460" s="83">
        <f t="shared" ca="1" si="267"/>
        <v>172</v>
      </c>
    </row>
    <row r="6461" spans="1:6" ht="14.1" customHeight="1" x14ac:dyDescent="0.25">
      <c r="A6461" s="94" t="s">
        <v>3849</v>
      </c>
      <c r="B6461" s="82" t="str">
        <f ca="1">IFERROR(INDEX(UNSPSCDes,MATCH(INDIRECT(ADDRESS(ROW(),COLUMN()-1,4)),UNSPSCCode,0)),IF(INDIRECT(ADDRESS(ROW(),COLUMN()-1,4))="51121743","Besilato de amlodipina",""))</f>
        <v>Besilato de amlodipina</v>
      </c>
      <c r="C6461" s="95" t="str">
        <f>IFERROR(VLOOKUP("UD",'Informacion '!P:Q,2,FALSE),"")</f>
        <v>Unidad</v>
      </c>
      <c r="D6461" s="94">
        <v>69</v>
      </c>
      <c r="E6461" s="84">
        <v>8.82</v>
      </c>
      <c r="F6461" s="83">
        <f t="shared" ca="1" si="267"/>
        <v>608.58000000000004</v>
      </c>
    </row>
    <row r="6462" spans="1:6" ht="14.1" customHeight="1" x14ac:dyDescent="0.25">
      <c r="A6462" s="94" t="s">
        <v>16839</v>
      </c>
      <c r="B6462" s="82" t="str">
        <f ca="1">IFERROR(INDEX(UNSPSCDes,MATCH(INDIRECT(ADDRESS(ROW(),COLUMN()-1,4)),UNSPSCCode,0)),IF(INDIRECT(ADDRESS(ROW(),COLUMN()-1,4))="51151801","Atenolol",""))</f>
        <v>Atenolol</v>
      </c>
      <c r="C6462" s="95" t="str">
        <f>IFERROR(VLOOKUP("UD",'Informacion '!P:Q,2,FALSE),"")</f>
        <v>Unidad</v>
      </c>
      <c r="D6462" s="94">
        <v>3</v>
      </c>
      <c r="E6462" s="84">
        <v>0.36</v>
      </c>
      <c r="F6462" s="83">
        <f t="shared" ca="1" si="267"/>
        <v>1.08</v>
      </c>
    </row>
    <row r="6463" spans="1:6" ht="14.1" customHeight="1" x14ac:dyDescent="0.25">
      <c r="A6463" s="94" t="s">
        <v>5507</v>
      </c>
      <c r="B6463" s="82" t="str">
        <f ca="1">IFERROR(INDEX(UNSPSCDes,MATCH(INDIRECT(ADDRESS(ROW(),COLUMN()-1,4)),UNSPSCCode,0)),IF(INDIRECT(ADDRESS(ROW(),COLUMN()-1,4))="51121718","Clorhidrato de clonidina",""))</f>
        <v>Clorhidrato de clonidina</v>
      </c>
      <c r="C6463" s="95" t="str">
        <f>IFERROR(VLOOKUP("UD",'Informacion '!P:Q,2,FALSE),"")</f>
        <v>Unidad</v>
      </c>
      <c r="D6463" s="94">
        <v>16</v>
      </c>
      <c r="E6463" s="84">
        <v>13.5</v>
      </c>
      <c r="F6463" s="83">
        <f t="shared" ca="1" si="267"/>
        <v>216</v>
      </c>
    </row>
    <row r="6464" spans="1:6" ht="14.1" customHeight="1" x14ac:dyDescent="0.25">
      <c r="A6464" s="94" t="s">
        <v>13692</v>
      </c>
      <c r="B6464" s="82" t="str">
        <f ca="1">IFERROR(INDEX(UNSPSCDes,MATCH(INDIRECT(ADDRESS(ROW(),COLUMN()-1,4)),UNSPSCCode,0)),IF(INDIRECT(ADDRESS(ROW(),COLUMN()-1,4))="51121721","Tartrato de metoprolol",""))</f>
        <v>Tartrato de metoprolol</v>
      </c>
      <c r="C6464" s="95" t="str">
        <f>IFERROR(VLOOKUP("UD",'Informacion '!P:Q,2,FALSE),"")</f>
        <v>Unidad</v>
      </c>
      <c r="D6464" s="94">
        <v>40</v>
      </c>
      <c r="E6464" s="84">
        <v>16.649999999999999</v>
      </c>
      <c r="F6464" s="83">
        <f t="shared" ca="1" si="267"/>
        <v>666</v>
      </c>
    </row>
    <row r="6465" spans="1:10" ht="14.1" customHeight="1" x14ac:dyDescent="0.25">
      <c r="A6465" s="94" t="s">
        <v>15752</v>
      </c>
      <c r="B6465" s="82" t="str">
        <f ca="1">IFERROR(INDEX(UNSPSCDes,MATCH(INDIRECT(ADDRESS(ROW(),COLUMN()-1,4)),UNSPSCCode,0)),IF(INDIRECT(ADDRESS(ROW(),COLUMN()-1,4))="51121703","Captopril",""))</f>
        <v>Captopril</v>
      </c>
      <c r="C6465" s="95" t="str">
        <f>IFERROR(VLOOKUP("UD",'Informacion '!P:Q,2,FALSE),"")</f>
        <v>Unidad</v>
      </c>
      <c r="D6465" s="94">
        <v>177</v>
      </c>
      <c r="E6465" s="84">
        <v>9.6300000000000008</v>
      </c>
      <c r="F6465" s="83">
        <f t="shared" ca="1" si="267"/>
        <v>1704.5100000000002</v>
      </c>
    </row>
    <row r="6466" spans="1:10" ht="14.1" customHeight="1" x14ac:dyDescent="0.25">
      <c r="A6466" s="94" t="s">
        <v>1808</v>
      </c>
      <c r="B6466" s="82" t="str">
        <f ca="1">IFERROR(INDEX(UNSPSCDes,MATCH(INDIRECT(ADDRESS(ROW(),COLUMN()-1,4)),UNSPSCCode,0)),IF(INDIRECT(ADDRESS(ROW(),COLUMN()-1,4))="51121710","Losartán potásico",""))</f>
        <v>Losartán potásico</v>
      </c>
      <c r="C6466" s="95" t="str">
        <f>IFERROR(VLOOKUP("UD",'Informacion '!P:Q,2,FALSE),"")</f>
        <v>Unidad</v>
      </c>
      <c r="D6466" s="94">
        <v>13</v>
      </c>
      <c r="E6466" s="84">
        <v>2.0299999999999998</v>
      </c>
      <c r="F6466" s="83">
        <f t="shared" ca="1" si="267"/>
        <v>26.389999999999997</v>
      </c>
    </row>
    <row r="6467" spans="1:10" ht="14.1" customHeight="1" x14ac:dyDescent="0.25">
      <c r="A6467" s="94" t="s">
        <v>19811</v>
      </c>
      <c r="B6467" s="82" t="str">
        <f ca="1">IFERROR(INDEX(UNSPSCDes,MATCH(INDIRECT(ADDRESS(ROW(),COLUMN()-1,4)),UNSPSCCode,0)),IF(INDIRECT(ADDRESS(ROW(),COLUMN()-1,4))="51121715","Enalapril",""))</f>
        <v>Enalapril</v>
      </c>
      <c r="C6467" s="95" t="str">
        <f>IFERROR(VLOOKUP("UD",'Informacion '!P:Q,2,FALSE),"")</f>
        <v>Unidad</v>
      </c>
      <c r="D6467" s="94">
        <v>67</v>
      </c>
      <c r="E6467" s="84">
        <v>0.2</v>
      </c>
      <c r="F6467" s="83">
        <f t="shared" ca="1" si="267"/>
        <v>13.4</v>
      </c>
    </row>
    <row r="6468" spans="1:10" ht="14.1" customHeight="1" x14ac:dyDescent="0.25">
      <c r="A6468" s="94" t="s">
        <v>1813</v>
      </c>
      <c r="B6468" s="82" t="str">
        <f ca="1">IFERROR(INDEX(UNSPSCDes,MATCH(INDIRECT(ADDRESS(ROW(),COLUMN()-1,4)),UNSPSCCode,0)),IF(INDIRECT(ADDRESS(ROW(),COLUMN()-1,4))="51121725","Bisoprolol fumarato",""))</f>
        <v>Bisoprolol fumarato</v>
      </c>
      <c r="C6468" s="95" t="str">
        <f>IFERROR(VLOOKUP("UD",'Informacion '!P:Q,2,FALSE),"")</f>
        <v>Unidad</v>
      </c>
      <c r="D6468" s="94">
        <v>12</v>
      </c>
      <c r="E6468" s="84">
        <v>1.32</v>
      </c>
      <c r="F6468" s="83">
        <f t="shared" ca="1" si="267"/>
        <v>15.84</v>
      </c>
    </row>
    <row r="6469" spans="1:10" ht="14.1" customHeight="1" x14ac:dyDescent="0.25">
      <c r="A6469" s="94" t="s">
        <v>15425</v>
      </c>
      <c r="B6469" s="82" t="str">
        <f ca="1">IFERROR(INDEX(UNSPSCDes,MATCH(INDIRECT(ADDRESS(ROW(),COLUMN()-1,4)),UNSPSCCode,0)),IF(INDIRECT(ADDRESS(ROW(),COLUMN()-1,4))="51142103","Diclofenaco potásico",""))</f>
        <v>Diclofenaco potásico</v>
      </c>
      <c r="C6469" s="95" t="str">
        <f>IFERROR(VLOOKUP("UD",'Informacion '!P:Q,2,FALSE),"")</f>
        <v>Unidad</v>
      </c>
      <c r="D6469" s="94">
        <v>61</v>
      </c>
      <c r="E6469" s="84">
        <v>0.14000000000000001</v>
      </c>
      <c r="F6469" s="83">
        <f t="shared" ca="1" si="267"/>
        <v>8.5400000000000009</v>
      </c>
    </row>
    <row r="6470" spans="1:10" ht="14.1" customHeight="1" x14ac:dyDescent="0.25">
      <c r="A6470" s="94" t="s">
        <v>15190</v>
      </c>
      <c r="B6470" s="82" t="str">
        <f ca="1">IFERROR(INDEX(UNSPSCDes,MATCH(INDIRECT(ADDRESS(ROW(),COLUMN()-1,4)),UNSPSCCode,0)),IF(INDIRECT(ADDRESS(ROW(),COLUMN()-1,4))="51142108","Ketoprofeno",""))</f>
        <v>Ketoprofeno</v>
      </c>
      <c r="C6470" s="95" t="str">
        <f>IFERROR(VLOOKUP("UD",'Informacion '!P:Q,2,FALSE),"")</f>
        <v>Unidad</v>
      </c>
      <c r="D6470" s="94">
        <v>31</v>
      </c>
      <c r="E6470" s="84">
        <v>65</v>
      </c>
      <c r="F6470" s="83">
        <f t="shared" ca="1" si="267"/>
        <v>2015</v>
      </c>
    </row>
    <row r="6471" spans="1:10" ht="14.1" customHeight="1" x14ac:dyDescent="0.25">
      <c r="A6471" s="94" t="s">
        <v>36</v>
      </c>
      <c r="B6471" s="82" t="str">
        <f ca="1">IFERROR(INDEX(UNSPSCDes,MATCH(INDIRECT(ADDRESS(ROW(),COLUMN()-1,4)),UNSPSCCode,0)),IF(INDIRECT(ADDRESS(ROW(),COLUMN()-1,4))="51181706","Hidrocortisona",""))</f>
        <v>Hidrocortisona</v>
      </c>
      <c r="C6471" s="95" t="str">
        <f>IFERROR(VLOOKUP("UD",'Informacion '!P:Q,2,FALSE),"")</f>
        <v>Unidad</v>
      </c>
      <c r="D6471" s="94">
        <v>631</v>
      </c>
      <c r="E6471" s="84">
        <v>25.24</v>
      </c>
      <c r="F6471" s="83">
        <f t="shared" ca="1" si="267"/>
        <v>15926.439999999999</v>
      </c>
    </row>
    <row r="6472" spans="1:10" ht="14.1" customHeight="1" x14ac:dyDescent="0.25">
      <c r="A6472" s="94" t="s">
        <v>12474</v>
      </c>
      <c r="B6472" s="82" t="str">
        <f ca="1">IFERROR(INDEX(UNSPSCDes,MATCH(INDIRECT(ADDRESS(ROW(),COLUMN()-1,4)),UNSPSCCode,0)),IF(INDIRECT(ADDRESS(ROW(),COLUMN()-1,4))="51181713","Prednisona",""))</f>
        <v>Prednisona</v>
      </c>
      <c r="C6472" s="95" t="str">
        <f>IFERROR(VLOOKUP("UD",'Informacion '!P:Q,2,FALSE),"")</f>
        <v>Unidad</v>
      </c>
      <c r="D6472" s="94">
        <v>798</v>
      </c>
      <c r="E6472" s="84">
        <v>9.81</v>
      </c>
      <c r="F6472" s="83">
        <f t="shared" ca="1" si="267"/>
        <v>7828.38</v>
      </c>
    </row>
    <row r="6473" spans="1:10" ht="14.1" customHeight="1" x14ac:dyDescent="0.25">
      <c r="A6473" s="94" t="s">
        <v>4572</v>
      </c>
      <c r="B6473" s="82" t="str">
        <f ca="1">IFERROR(INDEX(UNSPSCDes,MATCH(INDIRECT(ADDRESS(ROW(),COLUMN()-1,4)),UNSPSCCode,0)),IF(INDIRECT(ADDRESS(ROW(),COLUMN()-1,4))="51181704","Dexametasona",""))</f>
        <v>Dexametasona</v>
      </c>
      <c r="C6473" s="95" t="str">
        <f>IFERROR(VLOOKUP("UD",'Informacion '!P:Q,2,FALSE),"")</f>
        <v>Unidad</v>
      </c>
      <c r="D6473" s="94">
        <v>5359</v>
      </c>
      <c r="E6473" s="84">
        <v>9.82</v>
      </c>
      <c r="F6473" s="83">
        <f t="shared" ca="1" si="267"/>
        <v>52625.380000000005</v>
      </c>
    </row>
    <row r="6474" spans="1:10" ht="14.1" customHeight="1" x14ac:dyDescent="0.25">
      <c r="A6474" s="94" t="s">
        <v>15190</v>
      </c>
      <c r="B6474" s="82" t="str">
        <f ca="1">IFERROR(INDEX(UNSPSCDes,MATCH(INDIRECT(ADDRESS(ROW(),COLUMN()-1,4)),UNSPSCCode,0)),IF(INDIRECT(ADDRESS(ROW(),COLUMN()-1,4))="51142108","Ketoprofeno",""))</f>
        <v>Ketoprofeno</v>
      </c>
      <c r="C6474" s="95" t="str">
        <f>IFERROR(VLOOKUP("UD",'Informacion '!P:Q,2,FALSE),"")</f>
        <v>Unidad</v>
      </c>
      <c r="D6474" s="94">
        <v>265</v>
      </c>
      <c r="E6474" s="84">
        <v>57.78</v>
      </c>
      <c r="F6474" s="83">
        <f t="shared" ca="1" si="267"/>
        <v>15311.7</v>
      </c>
    </row>
    <row r="6475" spans="1:10" ht="14.1" customHeight="1" x14ac:dyDescent="0.25">
      <c r="E6475" s="96" t="s">
        <v>7213</v>
      </c>
      <c r="F6475" s="87">
        <f ca="1">SUM(Table178[MONTO TOTAL ESTIMADO])</f>
        <v>316385.70000000007</v>
      </c>
      <c r="H6475" s="39" t="str">
        <f>C6441</f>
        <v>Bienes</v>
      </c>
      <c r="I6475" s="39" t="str">
        <f>E6441</f>
        <v>No</v>
      </c>
      <c r="J6475" s="39" t="str">
        <f>D6441</f>
        <v>Comparacion de Precios</v>
      </c>
    </row>
    <row r="6477" spans="1:10" ht="33.950000000000003" customHeight="1" x14ac:dyDescent="0.25">
      <c r="A6477" s="77" t="s">
        <v>17233</v>
      </c>
      <c r="B6477" s="77" t="s">
        <v>4237</v>
      </c>
      <c r="C6477" s="77" t="s">
        <v>4743</v>
      </c>
      <c r="D6477" s="77" t="s">
        <v>9891</v>
      </c>
      <c r="E6477" s="77" t="s">
        <v>3089</v>
      </c>
      <c r="F6477" s="77" t="s">
        <v>18141</v>
      </c>
    </row>
    <row r="6478" spans="1:10" ht="14.1" customHeight="1" x14ac:dyDescent="0.25">
      <c r="A6478" s="79" t="s">
        <v>10985</v>
      </c>
      <c r="B6478" s="79" t="s">
        <v>7535</v>
      </c>
      <c r="C6478" s="79" t="s">
        <v>17215</v>
      </c>
      <c r="D6478" s="79" t="s">
        <v>15249</v>
      </c>
      <c r="E6478" s="79" t="s">
        <v>18247</v>
      </c>
      <c r="F6478" s="79"/>
    </row>
    <row r="6479" spans="1:10" ht="14.1" customHeight="1" x14ac:dyDescent="0.25">
      <c r="A6479" s="2" t="s">
        <v>6643</v>
      </c>
      <c r="B6479" s="80" t="s">
        <v>1046</v>
      </c>
      <c r="C6479" s="90">
        <v>43739</v>
      </c>
      <c r="D6479" s="2" t="s">
        <v>59</v>
      </c>
      <c r="E6479" s="92" t="s">
        <v>20066</v>
      </c>
      <c r="F6479" s="93" t="s">
        <v>5684</v>
      </c>
    </row>
    <row r="6480" spans="1:10" ht="14.1" customHeight="1" x14ac:dyDescent="0.25">
      <c r="A6480" s="1"/>
      <c r="B6480" s="80" t="s">
        <v>10788</v>
      </c>
      <c r="C6480" s="91">
        <f>IF(C6479="","",IF(AND(MONTH(C6479)&gt;=1,MONTH(C6479)&lt;=3),1,IF(AND(MONTH(C6479)&gt;=4,MONTH(C6479)&lt;=6),2,IF(AND(MONTH(C6479)&gt;=7,MONTH(C6479)&lt;=9),3,4))))</f>
        <v>4</v>
      </c>
      <c r="D6480" s="1"/>
      <c r="E6480" s="92" t="s">
        <v>14822</v>
      </c>
      <c r="F6480" s="93"/>
    </row>
    <row r="6481" spans="1:6" ht="14.1" customHeight="1" x14ac:dyDescent="0.25">
      <c r="A6481" s="1"/>
      <c r="B6481" s="80" t="s">
        <v>13758</v>
      </c>
      <c r="C6481" s="90">
        <v>43830</v>
      </c>
      <c r="D6481" s="1"/>
      <c r="E6481" s="92" t="s">
        <v>18636</v>
      </c>
      <c r="F6481" s="93"/>
    </row>
    <row r="6482" spans="1:6" ht="14.1" customHeight="1" x14ac:dyDescent="0.25">
      <c r="A6482" s="1"/>
      <c r="B6482" s="80" t="s">
        <v>10788</v>
      </c>
      <c r="C6482" s="91">
        <f>IF(C6481="","",IF(AND(MONTH(C6481)&gt;=1,MONTH(C6481)&lt;=3),1,IF(AND(MONTH(C6481)&gt;=4,MONTH(C6481)&lt;=6),2,IF(AND(MONTH(C6481)&gt;=7,MONTH(C6481)&lt;=9),3,4))))</f>
        <v>4</v>
      </c>
      <c r="D6482" s="1"/>
      <c r="E6482" s="92" t="s">
        <v>15990</v>
      </c>
      <c r="F6482" s="93"/>
    </row>
    <row r="6484" spans="1:6" ht="14.1" customHeight="1" x14ac:dyDescent="0.25">
      <c r="A6484" s="85" t="s">
        <v>15474</v>
      </c>
      <c r="B6484" s="85" t="s">
        <v>5027</v>
      </c>
      <c r="C6484" s="85" t="s">
        <v>17461</v>
      </c>
      <c r="D6484" s="85" t="s">
        <v>3935</v>
      </c>
      <c r="E6484" s="85" t="s">
        <v>10722</v>
      </c>
      <c r="F6484" s="85" t="s">
        <v>18237</v>
      </c>
    </row>
    <row r="6485" spans="1:6" ht="14.1" customHeight="1" x14ac:dyDescent="0.25">
      <c r="A6485" s="94" t="s">
        <v>12218</v>
      </c>
      <c r="B6485" s="82" t="str">
        <f ca="1">IFERROR(INDEX(UNSPSCDes,MATCH(INDIRECT(ADDRESS(ROW(),COLUMN()-1,4)),UNSPSCCode,0)),IF(INDIRECT(ADDRESS(ROW(),COLUMN()-1,4))="51131805","Etamsilato",""))</f>
        <v>Etamsilato</v>
      </c>
      <c r="C6485" s="95" t="str">
        <f>IFERROR(VLOOKUP("UD",'Informacion '!P:Q,2,FALSE),"")</f>
        <v>Unidad</v>
      </c>
      <c r="D6485" s="94">
        <v>310</v>
      </c>
      <c r="E6485" s="84">
        <v>86.41</v>
      </c>
      <c r="F6485" s="83">
        <f t="shared" ref="F6485:F6512" ca="1" si="268">INDIRECT(ADDRESS(ROW(),COLUMN()-2,4))*INDIRECT(ADDRESS(ROW(),COLUMN()-1,4))</f>
        <v>26787.1</v>
      </c>
    </row>
    <row r="6486" spans="1:6" ht="14.1" customHeight="1" x14ac:dyDescent="0.25">
      <c r="A6486" s="94" t="s">
        <v>12218</v>
      </c>
      <c r="B6486" s="82" t="str">
        <f ca="1">IFERROR(INDEX(UNSPSCDes,MATCH(INDIRECT(ADDRESS(ROW(),COLUMN()-1,4)),UNSPSCCode,0)),IF(INDIRECT(ADDRESS(ROW(),COLUMN()-1,4))="51131805","Etamsilato",""))</f>
        <v>Etamsilato</v>
      </c>
      <c r="C6486" s="95" t="str">
        <f>IFERROR(VLOOKUP("UD",'Informacion '!P:Q,2,FALSE),"")</f>
        <v>Unidad</v>
      </c>
      <c r="D6486" s="94">
        <v>717</v>
      </c>
      <c r="E6486" s="84">
        <v>165</v>
      </c>
      <c r="F6486" s="83">
        <f t="shared" ca="1" si="268"/>
        <v>118305</v>
      </c>
    </row>
    <row r="6487" spans="1:6" ht="14.1" customHeight="1" x14ac:dyDescent="0.25">
      <c r="A6487" s="94" t="s">
        <v>9816</v>
      </c>
      <c r="B6487" s="82" t="str">
        <f ca="1">IFERROR(INDEX(UNSPSCDes,MATCH(INDIRECT(ADDRESS(ROW(),COLUMN()-1,4)),UNSPSCCode,0)),IF(INDIRECT(ADDRESS(ROW(),COLUMN()-1,4))="51191905","Suplementos vitamínicos",""))</f>
        <v>Suplementos vitamínicos</v>
      </c>
      <c r="C6487" s="95" t="str">
        <f>IFERROR(VLOOKUP("UD",'Informacion '!P:Q,2,FALSE),"")</f>
        <v>Unidad</v>
      </c>
      <c r="D6487" s="94">
        <v>89</v>
      </c>
      <c r="E6487" s="84">
        <v>7.62</v>
      </c>
      <c r="F6487" s="83">
        <f t="shared" ca="1" si="268"/>
        <v>678.18000000000006</v>
      </c>
    </row>
    <row r="6488" spans="1:6" ht="14.1" customHeight="1" x14ac:dyDescent="0.25">
      <c r="A6488" s="94" t="s">
        <v>6250</v>
      </c>
      <c r="B6488" s="82" t="str">
        <f ca="1">IFERROR(INDEX(UNSPSCDes,MATCH(INDIRECT(ADDRESS(ROW(),COLUMN()-1,4)),UNSPSCCode,0)),IF(INDIRECT(ADDRESS(ROW(),COLUMN()-1,4))="51182102","Vasopresina",""))</f>
        <v>Vasopresina</v>
      </c>
      <c r="C6488" s="95" t="str">
        <f>IFERROR(VLOOKUP("UD",'Informacion '!P:Q,2,FALSE),"")</f>
        <v>Unidad</v>
      </c>
      <c r="D6488" s="94">
        <v>15</v>
      </c>
      <c r="E6488" s="84">
        <v>2988.46</v>
      </c>
      <c r="F6488" s="83">
        <f t="shared" ca="1" si="268"/>
        <v>44826.9</v>
      </c>
    </row>
    <row r="6489" spans="1:6" ht="14.1" customHeight="1" x14ac:dyDescent="0.25">
      <c r="A6489" s="94" t="s">
        <v>14411</v>
      </c>
      <c r="B6489" s="82" t="str">
        <f ca="1">IFERROR(INDEX(UNSPSCDes,MATCH(INDIRECT(ADDRESS(ROW(),COLUMN()-1,4)),UNSPSCCode,0)),IF(INDIRECT(ADDRESS(ROW(),COLUMN()-1,4))="51142012","Ácido mefenámico",""))</f>
        <v>Ácido mefenámico</v>
      </c>
      <c r="C6489" s="95" t="str">
        <f>IFERROR(VLOOKUP("UD",'Informacion '!P:Q,2,FALSE),"")</f>
        <v>Unidad</v>
      </c>
      <c r="D6489" s="94">
        <v>35</v>
      </c>
      <c r="E6489" s="84">
        <v>120</v>
      </c>
      <c r="F6489" s="83">
        <f t="shared" ca="1" si="268"/>
        <v>4200</v>
      </c>
    </row>
    <row r="6490" spans="1:6" ht="14.1" customHeight="1" x14ac:dyDescent="0.25">
      <c r="A6490" s="94" t="s">
        <v>17287</v>
      </c>
      <c r="B6490" s="82" t="str">
        <f ca="1">IFERROR(INDEX(UNSPSCDes,MATCH(INDIRECT(ADDRESS(ROW(),COLUMN()-1,4)),UNSPSCCode,0)),IF(INDIRECT(ADDRESS(ROW(),COLUMN()-1,4))="51151802","Hidrocloruro de esmolol",""))</f>
        <v>Hidrocloruro de esmolol</v>
      </c>
      <c r="C6490" s="95" t="str">
        <f>IFERROR(VLOOKUP("UD",'Informacion '!P:Q,2,FALSE),"")</f>
        <v>Unidad</v>
      </c>
      <c r="D6490" s="94">
        <v>19</v>
      </c>
      <c r="E6490" s="84">
        <v>0.18</v>
      </c>
      <c r="F6490" s="83">
        <f t="shared" ca="1" si="268"/>
        <v>3.42</v>
      </c>
    </row>
    <row r="6491" spans="1:6" ht="14.1" customHeight="1" x14ac:dyDescent="0.25">
      <c r="A6491" s="94" t="s">
        <v>8590</v>
      </c>
      <c r="B6491" s="82" t="str">
        <f ca="1">IFERROR(INDEX(UNSPSCDes,MATCH(INDIRECT(ADDRESS(ROW(),COLUMN()-1,4)),UNSPSCCode,0)),IF(INDIRECT(ADDRESS(ROW(),COLUMN()-1,4))="51121709","Carvedilol",""))</f>
        <v>Carvedilol</v>
      </c>
      <c r="C6491" s="95" t="str">
        <f>IFERROR(VLOOKUP("UD",'Informacion '!P:Q,2,FALSE),"")</f>
        <v>Unidad</v>
      </c>
      <c r="D6491" s="94">
        <v>22</v>
      </c>
      <c r="E6491" s="84">
        <v>1.25</v>
      </c>
      <c r="F6491" s="83">
        <f t="shared" ca="1" si="268"/>
        <v>27.5</v>
      </c>
    </row>
    <row r="6492" spans="1:6" ht="14.1" customHeight="1" x14ac:dyDescent="0.25">
      <c r="A6492" s="94" t="s">
        <v>19811</v>
      </c>
      <c r="B6492" s="82" t="str">
        <f ca="1">IFERROR(INDEX(UNSPSCDes,MATCH(INDIRECT(ADDRESS(ROW(),COLUMN()-1,4)),UNSPSCCode,0)),IF(INDIRECT(ADDRESS(ROW(),COLUMN()-1,4))="51121715","Enalapril",""))</f>
        <v>Enalapril</v>
      </c>
      <c r="C6492" s="95" t="str">
        <f>IFERROR(VLOOKUP("UD",'Informacion '!P:Q,2,FALSE),"")</f>
        <v>Unidad</v>
      </c>
      <c r="D6492" s="94">
        <v>8</v>
      </c>
      <c r="E6492" s="84">
        <v>235.9</v>
      </c>
      <c r="F6492" s="83">
        <f t="shared" ca="1" si="268"/>
        <v>1887.2</v>
      </c>
    </row>
    <row r="6493" spans="1:6" ht="14.1" customHeight="1" x14ac:dyDescent="0.25">
      <c r="A6493" s="94" t="s">
        <v>13692</v>
      </c>
      <c r="B6493" s="82" t="str">
        <f ca="1">IFERROR(INDEX(UNSPSCDes,MATCH(INDIRECT(ADDRESS(ROW(),COLUMN()-1,4)),UNSPSCCode,0)),IF(INDIRECT(ADDRESS(ROW(),COLUMN()-1,4))="51121721","Tartrato de metoprolol",""))</f>
        <v>Tartrato de metoprolol</v>
      </c>
      <c r="C6493" s="95" t="str">
        <f>IFERROR(VLOOKUP("UD",'Informacion '!P:Q,2,FALSE),"")</f>
        <v>Unidad</v>
      </c>
      <c r="D6493" s="94">
        <v>21</v>
      </c>
      <c r="E6493" s="84">
        <v>14.24</v>
      </c>
      <c r="F6493" s="83">
        <f t="shared" ca="1" si="268"/>
        <v>299.04000000000002</v>
      </c>
    </row>
    <row r="6494" spans="1:6" ht="14.1" customHeight="1" x14ac:dyDescent="0.25">
      <c r="A6494" s="94" t="s">
        <v>4703</v>
      </c>
      <c r="B6494" s="82" t="str">
        <f ca="1">IFERROR(INDEX(UNSPSCDes,MATCH(INDIRECT(ADDRESS(ROW(),COLUMN()-1,4)),UNSPSCCode,0)),IF(INDIRECT(ADDRESS(ROW(),COLUMN()-1,4))="51121904","Nifedipina",""))</f>
        <v>Nifedipina</v>
      </c>
      <c r="C6494" s="95" t="str">
        <f>IFERROR(VLOOKUP("UD",'Informacion '!P:Q,2,FALSE),"")</f>
        <v>Unidad</v>
      </c>
      <c r="D6494" s="94">
        <v>45</v>
      </c>
      <c r="E6494" s="84">
        <v>17.899999999999999</v>
      </c>
      <c r="F6494" s="83">
        <f t="shared" ca="1" si="268"/>
        <v>805.49999999999989</v>
      </c>
    </row>
    <row r="6495" spans="1:6" ht="14.1" customHeight="1" x14ac:dyDescent="0.25">
      <c r="A6495" s="94" t="s">
        <v>3476</v>
      </c>
      <c r="B6495" s="82" t="str">
        <f ca="1">IFERROR(INDEX(UNSPSCDes,MATCH(INDIRECT(ADDRESS(ROW(),COLUMN()-1,4)),UNSPSCCode,0)),IF(INDIRECT(ADDRESS(ROW(),COLUMN()-1,4))="51151812","Hidrocloruro de propranolol",""))</f>
        <v>Hidrocloruro de propranolol</v>
      </c>
      <c r="C6495" s="95" t="str">
        <f>IFERROR(VLOOKUP("UD",'Informacion '!P:Q,2,FALSE),"")</f>
        <v>Unidad</v>
      </c>
      <c r="D6495" s="94">
        <v>4</v>
      </c>
      <c r="E6495" s="84">
        <v>8.26</v>
      </c>
      <c r="F6495" s="83">
        <f t="shared" ca="1" si="268"/>
        <v>33.04</v>
      </c>
    </row>
    <row r="6496" spans="1:6" ht="14.1" customHeight="1" x14ac:dyDescent="0.25">
      <c r="A6496" s="94" t="s">
        <v>17516</v>
      </c>
      <c r="B6496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6496" s="95" t="str">
        <f>IFERROR(VLOOKUP("UD",'Informacion '!P:Q,2,FALSE),"")</f>
        <v>Unidad</v>
      </c>
      <c r="D6496" s="94">
        <v>11</v>
      </c>
      <c r="E6496" s="84">
        <v>950</v>
      </c>
      <c r="F6496" s="83">
        <f t="shared" ca="1" si="268"/>
        <v>10450</v>
      </c>
    </row>
    <row r="6497" spans="1:6" ht="14.1" customHeight="1" x14ac:dyDescent="0.25">
      <c r="A6497" s="94" t="s">
        <v>14407</v>
      </c>
      <c r="B6497" s="82" t="str">
        <f ca="1">IFERROR(INDEX(UNSPSCDes,MATCH(INDIRECT(ADDRESS(ROW(),COLUMN()-1,4)),UNSPSCCode,0)),IF(INDIRECT(ADDRESS(ROW(),COLUMN()-1,4))="51122110","Nimodipina",""))</f>
        <v>Nimodipina</v>
      </c>
      <c r="C6497" s="95" t="str">
        <f>IFERROR(VLOOKUP("UD",'Informacion '!P:Q,2,FALSE),"")</f>
        <v>Unidad</v>
      </c>
      <c r="D6497" s="94">
        <v>5</v>
      </c>
      <c r="E6497" s="84">
        <v>43</v>
      </c>
      <c r="F6497" s="83">
        <f t="shared" ca="1" si="268"/>
        <v>215</v>
      </c>
    </row>
    <row r="6498" spans="1:6" ht="14.1" customHeight="1" x14ac:dyDescent="0.25">
      <c r="A6498" s="94" t="s">
        <v>3849</v>
      </c>
      <c r="B6498" s="82" t="str">
        <f ca="1">IFERROR(INDEX(UNSPSCDes,MATCH(INDIRECT(ADDRESS(ROW(),COLUMN()-1,4)),UNSPSCCode,0)),IF(INDIRECT(ADDRESS(ROW(),COLUMN()-1,4))="51121743","Besilato de amlodipina",""))</f>
        <v>Besilato de amlodipina</v>
      </c>
      <c r="C6498" s="95" t="str">
        <f>IFERROR(VLOOKUP("UD",'Informacion '!P:Q,2,FALSE),"")</f>
        <v>Unidad</v>
      </c>
      <c r="D6498" s="94">
        <v>71</v>
      </c>
      <c r="E6498" s="84">
        <v>8.82</v>
      </c>
      <c r="F6498" s="83">
        <f t="shared" ca="1" si="268"/>
        <v>626.22</v>
      </c>
    </row>
    <row r="6499" spans="1:6" ht="14.1" customHeight="1" x14ac:dyDescent="0.25">
      <c r="A6499" s="94" t="s">
        <v>16839</v>
      </c>
      <c r="B6499" s="82" t="str">
        <f ca="1">IFERROR(INDEX(UNSPSCDes,MATCH(INDIRECT(ADDRESS(ROW(),COLUMN()-1,4)),UNSPSCCode,0)),IF(INDIRECT(ADDRESS(ROW(),COLUMN()-1,4))="51151801","Atenolol",""))</f>
        <v>Atenolol</v>
      </c>
      <c r="C6499" s="95" t="str">
        <f>IFERROR(VLOOKUP("UD",'Informacion '!P:Q,2,FALSE),"")</f>
        <v>Unidad</v>
      </c>
      <c r="D6499" s="94">
        <v>4</v>
      </c>
      <c r="E6499" s="84">
        <v>0.36</v>
      </c>
      <c r="F6499" s="83">
        <f t="shared" ca="1" si="268"/>
        <v>1.44</v>
      </c>
    </row>
    <row r="6500" spans="1:6" ht="14.1" customHeight="1" x14ac:dyDescent="0.25">
      <c r="A6500" s="94" t="s">
        <v>8590</v>
      </c>
      <c r="B6500" s="82" t="str">
        <f ca="1">IFERROR(INDEX(UNSPSCDes,MATCH(INDIRECT(ADDRESS(ROW(),COLUMN()-1,4)),UNSPSCCode,0)),IF(INDIRECT(ADDRESS(ROW(),COLUMN()-1,4))="51121709","Carvedilol",""))</f>
        <v>Carvedilol</v>
      </c>
      <c r="C6500" s="95" t="str">
        <f>IFERROR(VLOOKUP("UD",'Informacion '!P:Q,2,FALSE),"")</f>
        <v>Unidad</v>
      </c>
      <c r="D6500" s="94">
        <v>39</v>
      </c>
      <c r="E6500" s="84">
        <v>1.0900000000000001</v>
      </c>
      <c r="F6500" s="83">
        <f t="shared" ca="1" si="268"/>
        <v>42.510000000000005</v>
      </c>
    </row>
    <row r="6501" spans="1:6" ht="14.1" customHeight="1" x14ac:dyDescent="0.25">
      <c r="A6501" s="94" t="s">
        <v>5507</v>
      </c>
      <c r="B6501" s="82" t="str">
        <f ca="1">IFERROR(INDEX(UNSPSCDes,MATCH(INDIRECT(ADDRESS(ROW(),COLUMN()-1,4)),UNSPSCCode,0)),IF(INDIRECT(ADDRESS(ROW(),COLUMN()-1,4))="51121718","Clorhidrato de clonidina",""))</f>
        <v>Clorhidrato de clonidina</v>
      </c>
      <c r="C6501" s="95" t="str">
        <f>IFERROR(VLOOKUP("UD",'Informacion '!P:Q,2,FALSE),"")</f>
        <v>Unidad</v>
      </c>
      <c r="D6501" s="94">
        <v>11</v>
      </c>
      <c r="E6501" s="84">
        <v>13.5</v>
      </c>
      <c r="F6501" s="83">
        <f t="shared" ca="1" si="268"/>
        <v>148.5</v>
      </c>
    </row>
    <row r="6502" spans="1:6" ht="14.1" customHeight="1" x14ac:dyDescent="0.25">
      <c r="A6502" s="94" t="s">
        <v>13692</v>
      </c>
      <c r="B6502" s="82" t="str">
        <f ca="1">IFERROR(INDEX(UNSPSCDes,MATCH(INDIRECT(ADDRESS(ROW(),COLUMN()-1,4)),UNSPSCCode,0)),IF(INDIRECT(ADDRESS(ROW(),COLUMN()-1,4))="51121721","Tartrato de metoprolol",""))</f>
        <v>Tartrato de metoprolol</v>
      </c>
      <c r="C6502" s="95" t="str">
        <f>IFERROR(VLOOKUP("UD",'Informacion '!P:Q,2,FALSE),"")</f>
        <v>Unidad</v>
      </c>
      <c r="D6502" s="94">
        <v>41</v>
      </c>
      <c r="E6502" s="84">
        <v>16.649999999999999</v>
      </c>
      <c r="F6502" s="83">
        <f t="shared" ca="1" si="268"/>
        <v>682.65</v>
      </c>
    </row>
    <row r="6503" spans="1:6" ht="14.1" customHeight="1" x14ac:dyDescent="0.25">
      <c r="A6503" s="94" t="s">
        <v>15752</v>
      </c>
      <c r="B6503" s="82" t="str">
        <f ca="1">IFERROR(INDEX(UNSPSCDes,MATCH(INDIRECT(ADDRESS(ROW(),COLUMN()-1,4)),UNSPSCCode,0)),IF(INDIRECT(ADDRESS(ROW(),COLUMN()-1,4))="51121703","Captopril",""))</f>
        <v>Captopril</v>
      </c>
      <c r="C6503" s="95" t="str">
        <f>IFERROR(VLOOKUP("UD",'Informacion '!P:Q,2,FALSE),"")</f>
        <v>Unidad</v>
      </c>
      <c r="D6503" s="94">
        <v>181</v>
      </c>
      <c r="E6503" s="84">
        <v>9.6300000000000008</v>
      </c>
      <c r="F6503" s="83">
        <f t="shared" ca="1" si="268"/>
        <v>1743.0300000000002</v>
      </c>
    </row>
    <row r="6504" spans="1:6" ht="14.1" customHeight="1" x14ac:dyDescent="0.25">
      <c r="A6504" s="94" t="s">
        <v>1808</v>
      </c>
      <c r="B6504" s="82" t="str">
        <f ca="1">IFERROR(INDEX(UNSPSCDes,MATCH(INDIRECT(ADDRESS(ROW(),COLUMN()-1,4)),UNSPSCCode,0)),IF(INDIRECT(ADDRESS(ROW(),COLUMN()-1,4))="51121710","Losartán potásico",""))</f>
        <v>Losartán potásico</v>
      </c>
      <c r="C6504" s="95" t="str">
        <f>IFERROR(VLOOKUP("UD",'Informacion '!P:Q,2,FALSE),"")</f>
        <v>Unidad</v>
      </c>
      <c r="D6504" s="94">
        <v>14</v>
      </c>
      <c r="E6504" s="84">
        <v>2.0299999999999998</v>
      </c>
      <c r="F6504" s="83">
        <f t="shared" ca="1" si="268"/>
        <v>28.419999999999998</v>
      </c>
    </row>
    <row r="6505" spans="1:6" ht="14.1" customHeight="1" x14ac:dyDescent="0.25">
      <c r="A6505" s="94" t="s">
        <v>19811</v>
      </c>
      <c r="B6505" s="82" t="str">
        <f ca="1">IFERROR(INDEX(UNSPSCDes,MATCH(INDIRECT(ADDRESS(ROW(),COLUMN()-1,4)),UNSPSCCode,0)),IF(INDIRECT(ADDRESS(ROW(),COLUMN()-1,4))="51121715","Enalapril",""))</f>
        <v>Enalapril</v>
      </c>
      <c r="C6505" s="95" t="str">
        <f>IFERROR(VLOOKUP("UD",'Informacion '!P:Q,2,FALSE),"")</f>
        <v>Unidad</v>
      </c>
      <c r="D6505" s="94">
        <v>69</v>
      </c>
      <c r="E6505" s="84">
        <v>0.2</v>
      </c>
      <c r="F6505" s="83">
        <f t="shared" ca="1" si="268"/>
        <v>13.8</v>
      </c>
    </row>
    <row r="6506" spans="1:6" ht="14.1" customHeight="1" x14ac:dyDescent="0.25">
      <c r="A6506" s="94" t="s">
        <v>1813</v>
      </c>
      <c r="B6506" s="82" t="str">
        <f ca="1">IFERROR(INDEX(UNSPSCDes,MATCH(INDIRECT(ADDRESS(ROW(),COLUMN()-1,4)),UNSPSCCode,0)),IF(INDIRECT(ADDRESS(ROW(),COLUMN()-1,4))="51121725","Bisoprolol fumarato",""))</f>
        <v>Bisoprolol fumarato</v>
      </c>
      <c r="C6506" s="95" t="str">
        <f>IFERROR(VLOOKUP("UD",'Informacion '!P:Q,2,FALSE),"")</f>
        <v>Unidad</v>
      </c>
      <c r="D6506" s="94">
        <v>7</v>
      </c>
      <c r="E6506" s="84">
        <v>1.32</v>
      </c>
      <c r="F6506" s="83">
        <f t="shared" ca="1" si="268"/>
        <v>9.24</v>
      </c>
    </row>
    <row r="6507" spans="1:6" ht="14.1" customHeight="1" x14ac:dyDescent="0.25">
      <c r="A6507" s="94" t="s">
        <v>15425</v>
      </c>
      <c r="B6507" s="82" t="str">
        <f ca="1">IFERROR(INDEX(UNSPSCDes,MATCH(INDIRECT(ADDRESS(ROW(),COLUMN()-1,4)),UNSPSCCode,0)),IF(INDIRECT(ADDRESS(ROW(),COLUMN()-1,4))="51142103","Diclofenaco potásico",""))</f>
        <v>Diclofenaco potásico</v>
      </c>
      <c r="C6507" s="95" t="str">
        <f>IFERROR(VLOOKUP("UD",'Informacion '!P:Q,2,FALSE),"")</f>
        <v>Unidad</v>
      </c>
      <c r="D6507" s="94">
        <v>63</v>
      </c>
      <c r="E6507" s="84">
        <v>0.14000000000000001</v>
      </c>
      <c r="F6507" s="83">
        <f t="shared" ca="1" si="268"/>
        <v>8.82</v>
      </c>
    </row>
    <row r="6508" spans="1:6" ht="14.1" customHeight="1" x14ac:dyDescent="0.25">
      <c r="A6508" s="94" t="s">
        <v>15425</v>
      </c>
      <c r="B6508" s="82" t="str">
        <f ca="1">IFERROR(INDEX(UNSPSCDes,MATCH(INDIRECT(ADDRESS(ROW(),COLUMN()-1,4)),UNSPSCCode,0)),IF(INDIRECT(ADDRESS(ROW(),COLUMN()-1,4))="51142103","Diclofenaco potásico",""))</f>
        <v>Diclofenaco potásico</v>
      </c>
      <c r="C6508" s="95" t="str">
        <f>IFERROR(VLOOKUP("UD",'Informacion '!P:Q,2,FALSE),"")</f>
        <v>Unidad</v>
      </c>
      <c r="D6508" s="94">
        <v>32</v>
      </c>
      <c r="E6508" s="84">
        <v>65</v>
      </c>
      <c r="F6508" s="83">
        <f t="shared" ca="1" si="268"/>
        <v>2080</v>
      </c>
    </row>
    <row r="6509" spans="1:6" ht="14.1" customHeight="1" x14ac:dyDescent="0.25">
      <c r="A6509" s="94" t="s">
        <v>36</v>
      </c>
      <c r="B6509" s="82" t="str">
        <f ca="1">IFERROR(INDEX(UNSPSCDes,MATCH(INDIRECT(ADDRESS(ROW(),COLUMN()-1,4)),UNSPSCCode,0)),IF(INDIRECT(ADDRESS(ROW(),COLUMN()-1,4))="51181706","Hidrocortisona",""))</f>
        <v>Hidrocortisona</v>
      </c>
      <c r="C6509" s="95" t="str">
        <f>IFERROR(VLOOKUP("UD",'Informacion '!P:Q,2,FALSE),"")</f>
        <v>Unidad</v>
      </c>
      <c r="D6509" s="94">
        <v>644</v>
      </c>
      <c r="E6509" s="84">
        <v>25.24</v>
      </c>
      <c r="F6509" s="83">
        <f t="shared" ca="1" si="268"/>
        <v>16254.56</v>
      </c>
    </row>
    <row r="6510" spans="1:6" ht="14.1" customHeight="1" x14ac:dyDescent="0.25">
      <c r="A6510" s="94" t="s">
        <v>12474</v>
      </c>
      <c r="B6510" s="82" t="str">
        <f ca="1">IFERROR(INDEX(UNSPSCDes,MATCH(INDIRECT(ADDRESS(ROW(),COLUMN()-1,4)),UNSPSCCode,0)),IF(INDIRECT(ADDRESS(ROW(),COLUMN()-1,4))="51181713","Prednisona",""))</f>
        <v>Prednisona</v>
      </c>
      <c r="C6510" s="95" t="str">
        <f>IFERROR(VLOOKUP("UD",'Informacion '!P:Q,2,FALSE),"")</f>
        <v>Unidad</v>
      </c>
      <c r="D6510" s="94">
        <v>814</v>
      </c>
      <c r="E6510" s="84">
        <v>9.81</v>
      </c>
      <c r="F6510" s="83">
        <f t="shared" ca="1" si="268"/>
        <v>7985.34</v>
      </c>
    </row>
    <row r="6511" spans="1:6" ht="14.1" customHeight="1" x14ac:dyDescent="0.25">
      <c r="A6511" s="94" t="s">
        <v>4572</v>
      </c>
      <c r="B6511" s="82" t="str">
        <f ca="1">IFERROR(INDEX(UNSPSCDes,MATCH(INDIRECT(ADDRESS(ROW(),COLUMN()-1,4)),UNSPSCCode,0)),IF(INDIRECT(ADDRESS(ROW(),COLUMN()-1,4))="51181704","Dexametasona",""))</f>
        <v>Dexametasona</v>
      </c>
      <c r="C6511" s="95" t="str">
        <f>IFERROR(VLOOKUP("UD",'Informacion '!P:Q,2,FALSE),"")</f>
        <v>Unidad</v>
      </c>
      <c r="D6511" s="94">
        <v>5467</v>
      </c>
      <c r="E6511" s="84">
        <v>9.82</v>
      </c>
      <c r="F6511" s="83">
        <f t="shared" ca="1" si="268"/>
        <v>53685.94</v>
      </c>
    </row>
    <row r="6512" spans="1:6" ht="14.1" customHeight="1" x14ac:dyDescent="0.25">
      <c r="A6512" s="94" t="s">
        <v>4572</v>
      </c>
      <c r="B6512" s="82" t="str">
        <f ca="1">IFERROR(INDEX(UNSPSCDes,MATCH(INDIRECT(ADDRESS(ROW(),COLUMN()-1,4)),UNSPSCCode,0)),IF(INDIRECT(ADDRESS(ROW(),COLUMN()-1,4))="51181704","Dexametasona",""))</f>
        <v>Dexametasona</v>
      </c>
      <c r="C6512" s="95" t="str">
        <f>IFERROR(VLOOKUP("UD",'Informacion '!P:Q,2,FALSE),"")</f>
        <v>Unidad</v>
      </c>
      <c r="D6512" s="94">
        <v>271</v>
      </c>
      <c r="E6512" s="84">
        <v>57.78</v>
      </c>
      <c r="F6512" s="83">
        <f t="shared" ca="1" si="268"/>
        <v>15658.380000000001</v>
      </c>
    </row>
    <row r="6513" spans="1:10" ht="14.1" customHeight="1" x14ac:dyDescent="0.25">
      <c r="E6513" s="96" t="s">
        <v>7213</v>
      </c>
      <c r="F6513" s="87">
        <f ca="1">SUM(Table179[MONTO TOTAL ESTIMADO])</f>
        <v>307486.73000000004</v>
      </c>
      <c r="H6513" s="39" t="str">
        <f>C6478</f>
        <v>Bienes</v>
      </c>
      <c r="I6513" s="39" t="str">
        <f>E6478</f>
        <v>No</v>
      </c>
      <c r="J6513" s="39" t="str">
        <f>D6478</f>
        <v>Comparacion de Precios</v>
      </c>
    </row>
    <row r="6515" spans="1:10" ht="33.950000000000003" customHeight="1" x14ac:dyDescent="0.25">
      <c r="A6515" s="77" t="s">
        <v>17233</v>
      </c>
      <c r="B6515" s="77" t="s">
        <v>4237</v>
      </c>
      <c r="C6515" s="77" t="s">
        <v>4743</v>
      </c>
      <c r="D6515" s="77" t="s">
        <v>9891</v>
      </c>
      <c r="E6515" s="77" t="s">
        <v>3089</v>
      </c>
      <c r="F6515" s="77" t="s">
        <v>18141</v>
      </c>
    </row>
    <row r="6516" spans="1:10" ht="14.1" customHeight="1" x14ac:dyDescent="0.25">
      <c r="A6516" s="79" t="s">
        <v>7844</v>
      </c>
      <c r="B6516" s="79" t="s">
        <v>11854</v>
      </c>
      <c r="C6516" s="79" t="s">
        <v>17215</v>
      </c>
      <c r="D6516" s="79" t="s">
        <v>17798</v>
      </c>
      <c r="E6516" s="79" t="s">
        <v>18247</v>
      </c>
      <c r="F6516" s="79"/>
    </row>
    <row r="6517" spans="1:10" ht="14.1" customHeight="1" x14ac:dyDescent="0.25">
      <c r="A6517" s="2" t="s">
        <v>6643</v>
      </c>
      <c r="B6517" s="80" t="s">
        <v>1046</v>
      </c>
      <c r="C6517" s="90">
        <v>43473</v>
      </c>
      <c r="D6517" s="2" t="s">
        <v>59</v>
      </c>
      <c r="E6517" s="92" t="s">
        <v>20066</v>
      </c>
      <c r="F6517" s="93" t="s">
        <v>5684</v>
      </c>
    </row>
    <row r="6518" spans="1:10" ht="14.1" customHeight="1" x14ac:dyDescent="0.25">
      <c r="A6518" s="1"/>
      <c r="B6518" s="80" t="s">
        <v>10788</v>
      </c>
      <c r="C6518" s="91">
        <f>IF(C6517="","",IF(AND(MONTH(C6517)&gt;=1,MONTH(C6517)&lt;=3),1,IF(AND(MONTH(C6517)&gt;=4,MONTH(C6517)&lt;=6),2,IF(AND(MONTH(C6517)&gt;=7,MONTH(C6517)&lt;=9),3,4))))</f>
        <v>1</v>
      </c>
      <c r="D6518" s="1"/>
      <c r="E6518" s="92" t="s">
        <v>14822</v>
      </c>
      <c r="F6518" s="93" t="s">
        <v>17690</v>
      </c>
    </row>
    <row r="6519" spans="1:10" ht="14.1" customHeight="1" x14ac:dyDescent="0.25">
      <c r="A6519" s="1"/>
      <c r="B6519" s="80" t="s">
        <v>13758</v>
      </c>
      <c r="C6519" s="90">
        <v>43553</v>
      </c>
      <c r="D6519" s="1"/>
      <c r="E6519" s="92" t="s">
        <v>18636</v>
      </c>
      <c r="F6519" s="93"/>
    </row>
    <row r="6520" spans="1:10" ht="14.1" customHeight="1" x14ac:dyDescent="0.25">
      <c r="A6520" s="1"/>
      <c r="B6520" s="80" t="s">
        <v>10788</v>
      </c>
      <c r="C6520" s="91">
        <f>IF(C6519="","",IF(AND(MONTH(C6519)&gt;=1,MONTH(C6519)&lt;=3),1,IF(AND(MONTH(C6519)&gt;=4,MONTH(C6519)&lt;=6),2,IF(AND(MONTH(C6519)&gt;=7,MONTH(C6519)&lt;=9),3,4))))</f>
        <v>1</v>
      </c>
      <c r="D6520" s="1"/>
      <c r="E6520" s="92" t="s">
        <v>15990</v>
      </c>
      <c r="F6520" s="93"/>
    </row>
    <row r="6522" spans="1:10" ht="14.1" customHeight="1" x14ac:dyDescent="0.25">
      <c r="A6522" s="85" t="s">
        <v>15474</v>
      </c>
      <c r="B6522" s="85" t="s">
        <v>5027</v>
      </c>
      <c r="C6522" s="85" t="s">
        <v>17461</v>
      </c>
      <c r="D6522" s="85" t="s">
        <v>3935</v>
      </c>
      <c r="E6522" s="85" t="s">
        <v>10722</v>
      </c>
      <c r="F6522" s="85" t="s">
        <v>18237</v>
      </c>
    </row>
    <row r="6523" spans="1:10" ht="14.1" customHeight="1" x14ac:dyDescent="0.25">
      <c r="A6523" s="94" t="s">
        <v>13331</v>
      </c>
      <c r="B6523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6523" s="95" t="str">
        <f>IFERROR(VLOOKUP("M2",'Informacion '!P:Q,2,FALSE),"")</f>
        <v>Metro cuadrado</v>
      </c>
      <c r="D6523" s="94">
        <v>89.34</v>
      </c>
      <c r="E6523" s="84">
        <v>900</v>
      </c>
      <c r="F6523" s="83">
        <f t="shared" ref="F6523:F6554" ca="1" si="269">INDIRECT(ADDRESS(ROW(),COLUMN()-2,4))*INDIRECT(ADDRESS(ROW(),COLUMN()-1,4))</f>
        <v>80406</v>
      </c>
    </row>
    <row r="6524" spans="1:10" ht="14.1" customHeight="1" x14ac:dyDescent="0.25">
      <c r="A6524" s="94" t="s">
        <v>18368</v>
      </c>
      <c r="B6524" s="82" t="str">
        <f ca="1">IFERROR(INDEX(UNSPSCDes,MATCH(INDIRECT(ADDRESS(ROW(),COLUMN()-1,4)),UNSPSCCode,0)),IF(INDIRECT(ADDRESS(ROW(),COLUMN()-1,4))="31242206","Vidrios ópticamente planos",""))</f>
        <v>Vidrios ópticamente planos</v>
      </c>
      <c r="C6524" s="95" t="str">
        <f>IFERROR(VLOOKUP("UD",'Informacion '!P:Q,2,FALSE),"")</f>
        <v>Unidad</v>
      </c>
      <c r="D6524" s="94">
        <v>1</v>
      </c>
      <c r="E6524" s="84">
        <v>34000</v>
      </c>
      <c r="F6524" s="83">
        <f t="shared" ca="1" si="269"/>
        <v>34000</v>
      </c>
    </row>
    <row r="6525" spans="1:10" ht="14.1" customHeight="1" x14ac:dyDescent="0.25">
      <c r="A6525" s="94" t="s">
        <v>18368</v>
      </c>
      <c r="B6525" s="82" t="str">
        <f ca="1">IFERROR(INDEX(UNSPSCDes,MATCH(INDIRECT(ADDRESS(ROW(),COLUMN()-1,4)),UNSPSCCode,0)),IF(INDIRECT(ADDRESS(ROW(),COLUMN()-1,4))="31242206","Vidrios ópticamente planos",""))</f>
        <v>Vidrios ópticamente planos</v>
      </c>
      <c r="C6525" s="95" t="str">
        <f>IFERROR(VLOOKUP("FT2",'Informacion '!P:Q,2,FALSE),"")</f>
        <v>Pie cuadrado</v>
      </c>
      <c r="D6525" s="94">
        <v>23026</v>
      </c>
      <c r="E6525" s="84">
        <v>1755</v>
      </c>
      <c r="F6525" s="83">
        <f t="shared" ca="1" si="269"/>
        <v>40410630</v>
      </c>
    </row>
    <row r="6526" spans="1:10" ht="14.1" customHeight="1" x14ac:dyDescent="0.25">
      <c r="A6526" s="94" t="s">
        <v>13951</v>
      </c>
      <c r="B6526" s="82" t="str">
        <f ca="1">IFERROR(INDEX(UNSPSCDes,MATCH(INDIRECT(ADDRESS(ROW(),COLUMN()-1,4)),UNSPSCCode,0)),IF(INDIRECT(ADDRESS(ROW(),COLUMN()-1,4))="39111521","Plafones",""))</f>
        <v>Plafones</v>
      </c>
      <c r="C6526" s="95" t="str">
        <f>IFERROR(VLOOKUP("UD",'Informacion '!P:Q,2,FALSE),"")</f>
        <v>Unidad</v>
      </c>
      <c r="D6526" s="94">
        <v>1</v>
      </c>
      <c r="E6526" s="84">
        <v>11440</v>
      </c>
      <c r="F6526" s="83">
        <f t="shared" ca="1" si="269"/>
        <v>11440</v>
      </c>
    </row>
    <row r="6527" spans="1:10" ht="14.1" customHeight="1" x14ac:dyDescent="0.25">
      <c r="A6527" s="94" t="s">
        <v>4141</v>
      </c>
      <c r="B6527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6527" s="95" t="str">
        <f>IFERROR(VLOOKUP("UD",'Informacion '!P:Q,2,FALSE),"")</f>
        <v>Unidad</v>
      </c>
      <c r="D6527" s="94">
        <v>1</v>
      </c>
      <c r="E6527" s="84">
        <v>60000</v>
      </c>
      <c r="F6527" s="83">
        <f t="shared" ca="1" si="269"/>
        <v>60000</v>
      </c>
    </row>
    <row r="6528" spans="1:10" ht="14.1" customHeight="1" x14ac:dyDescent="0.25">
      <c r="A6528" s="94" t="s">
        <v>4141</v>
      </c>
      <c r="B6528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6528" s="95" t="str">
        <f>IFERROR(VLOOKUP("UD",'Informacion '!P:Q,2,FALSE),"")</f>
        <v>Unidad</v>
      </c>
      <c r="D6528" s="94">
        <v>1</v>
      </c>
      <c r="E6528" s="84">
        <v>80000</v>
      </c>
      <c r="F6528" s="83">
        <f t="shared" ca="1" si="269"/>
        <v>80000</v>
      </c>
    </row>
    <row r="6529" spans="1:6" ht="14.1" customHeight="1" x14ac:dyDescent="0.25">
      <c r="A6529" s="94" t="s">
        <v>4141</v>
      </c>
      <c r="B6529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6529" s="95" t="str">
        <f>IFERROR(VLOOKUP("UD",'Informacion '!P:Q,2,FALSE),"")</f>
        <v>Unidad</v>
      </c>
      <c r="D6529" s="94">
        <v>1</v>
      </c>
      <c r="E6529" s="84">
        <v>10000</v>
      </c>
      <c r="F6529" s="83">
        <f t="shared" ca="1" si="269"/>
        <v>10000</v>
      </c>
    </row>
    <row r="6530" spans="1:6" ht="14.1" customHeight="1" x14ac:dyDescent="0.25">
      <c r="A6530" s="94" t="s">
        <v>5642</v>
      </c>
      <c r="B6530" s="82" t="str">
        <f ca="1">IFERROR(INDEX(UNSPSCDes,MATCH(INDIRECT(ADDRESS(ROW(),COLUMN()-1,4)),UNSPSCCode,0)),IF(INDIRECT(ADDRESS(ROW(),COLUMN()-1,4))="55121727","Letreros",""))</f>
        <v>Letreros</v>
      </c>
      <c r="C6530" s="95" t="str">
        <f>IFERROR(VLOOKUP("UD",'Informacion '!P:Q,2,FALSE),"")</f>
        <v>Unidad</v>
      </c>
      <c r="D6530" s="94">
        <v>1</v>
      </c>
      <c r="E6530" s="84">
        <v>100000</v>
      </c>
      <c r="F6530" s="83">
        <f t="shared" ca="1" si="269"/>
        <v>100000</v>
      </c>
    </row>
    <row r="6531" spans="1:6" ht="14.1" customHeight="1" x14ac:dyDescent="0.25">
      <c r="A6531" s="94" t="s">
        <v>9738</v>
      </c>
      <c r="B6531" s="82" t="str">
        <f t="shared" ref="B6531:B6537" ca="1" si="270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6531" s="95" t="str">
        <f>IFERROR(VLOOKUP("UD",'Informacion '!P:Q,2,FALSE),"")</f>
        <v>Unidad</v>
      </c>
      <c r="D6531" s="94">
        <v>2</v>
      </c>
      <c r="E6531" s="84">
        <v>8000</v>
      </c>
      <c r="F6531" s="83">
        <f t="shared" ca="1" si="269"/>
        <v>16000</v>
      </c>
    </row>
    <row r="6532" spans="1:6" ht="14.1" customHeight="1" x14ac:dyDescent="0.25">
      <c r="A6532" s="94" t="s">
        <v>9738</v>
      </c>
      <c r="B6532" s="82" t="str">
        <f t="shared" ca="1" si="270"/>
        <v>Instalación de ventanas, puertas o dispositivos</v>
      </c>
      <c r="C6532" s="95" t="str">
        <f>IFERROR(VLOOKUP("UD",'Informacion '!P:Q,2,FALSE),"")</f>
        <v>Unidad</v>
      </c>
      <c r="D6532" s="94">
        <v>1</v>
      </c>
      <c r="E6532" s="84">
        <v>1500</v>
      </c>
      <c r="F6532" s="83">
        <f t="shared" ca="1" si="269"/>
        <v>1500</v>
      </c>
    </row>
    <row r="6533" spans="1:6" ht="14.1" customHeight="1" x14ac:dyDescent="0.25">
      <c r="A6533" s="94" t="s">
        <v>9738</v>
      </c>
      <c r="B6533" s="82" t="str">
        <f t="shared" ca="1" si="270"/>
        <v>Instalación de ventanas, puertas o dispositivos</v>
      </c>
      <c r="C6533" s="95" t="str">
        <f>IFERROR(VLOOKUP("UD",'Informacion '!P:Q,2,FALSE),"")</f>
        <v>Unidad</v>
      </c>
      <c r="D6533" s="94">
        <v>1</v>
      </c>
      <c r="E6533" s="84">
        <v>45000</v>
      </c>
      <c r="F6533" s="83">
        <f t="shared" ca="1" si="269"/>
        <v>45000</v>
      </c>
    </row>
    <row r="6534" spans="1:6" ht="14.1" customHeight="1" x14ac:dyDescent="0.25">
      <c r="A6534" s="94" t="s">
        <v>9738</v>
      </c>
      <c r="B6534" s="82" t="str">
        <f t="shared" ca="1" si="270"/>
        <v>Instalación de ventanas, puertas o dispositivos</v>
      </c>
      <c r="C6534" s="95" t="str">
        <f>IFERROR(VLOOKUP("UD",'Informacion '!P:Q,2,FALSE),"")</f>
        <v>Unidad</v>
      </c>
      <c r="D6534" s="94">
        <v>1</v>
      </c>
      <c r="E6534" s="84">
        <v>24000</v>
      </c>
      <c r="F6534" s="83">
        <f t="shared" ca="1" si="269"/>
        <v>24000</v>
      </c>
    </row>
    <row r="6535" spans="1:6" ht="14.1" customHeight="1" x14ac:dyDescent="0.25">
      <c r="A6535" s="94" t="s">
        <v>9738</v>
      </c>
      <c r="B6535" s="82" t="str">
        <f t="shared" ca="1" si="270"/>
        <v>Instalación de ventanas, puertas o dispositivos</v>
      </c>
      <c r="C6535" s="95" t="str">
        <f>IFERROR(VLOOKUP("UD",'Informacion '!P:Q,2,FALSE),"")</f>
        <v>Unidad</v>
      </c>
      <c r="D6535" s="94">
        <v>1</v>
      </c>
      <c r="E6535" s="84">
        <v>50000</v>
      </c>
      <c r="F6535" s="83">
        <f t="shared" ca="1" si="269"/>
        <v>50000</v>
      </c>
    </row>
    <row r="6536" spans="1:6" ht="14.1" customHeight="1" x14ac:dyDescent="0.25">
      <c r="A6536" s="94" t="s">
        <v>9738</v>
      </c>
      <c r="B6536" s="82" t="str">
        <f t="shared" ca="1" si="270"/>
        <v>Instalación de ventanas, puertas o dispositivos</v>
      </c>
      <c r="C6536" s="95" t="str">
        <f>IFERROR(VLOOKUP("UD",'Informacion '!P:Q,2,FALSE),"")</f>
        <v>Unidad</v>
      </c>
      <c r="D6536" s="94">
        <v>1</v>
      </c>
      <c r="E6536" s="84">
        <v>30000</v>
      </c>
      <c r="F6536" s="83">
        <f t="shared" ca="1" si="269"/>
        <v>30000</v>
      </c>
    </row>
    <row r="6537" spans="1:6" ht="14.1" customHeight="1" x14ac:dyDescent="0.25">
      <c r="A6537" s="94" t="s">
        <v>9738</v>
      </c>
      <c r="B6537" s="82" t="str">
        <f t="shared" ca="1" si="270"/>
        <v>Instalación de ventanas, puertas o dispositivos</v>
      </c>
      <c r="C6537" s="95" t="str">
        <f>IFERROR(VLOOKUP("UD",'Informacion '!P:Q,2,FALSE),"")</f>
        <v>Unidad</v>
      </c>
      <c r="D6537" s="94">
        <v>1</v>
      </c>
      <c r="E6537" s="84">
        <v>10000</v>
      </c>
      <c r="F6537" s="83">
        <f t="shared" ca="1" si="269"/>
        <v>10000</v>
      </c>
    </row>
    <row r="6538" spans="1:6" ht="14.1" customHeight="1" x14ac:dyDescent="0.25">
      <c r="A6538" s="94" t="s">
        <v>5267</v>
      </c>
      <c r="B6538" s="82" t="str">
        <f ca="1">IFERROR(INDEX(UNSPSCDes,MATCH(INDIRECT(ADDRESS(ROW(),COLUMN()-1,4)),UNSPSCCode,0)),IF(INDIRECT(ADDRESS(ROW(),COLUMN()-1,4))="43202204","Timbres externos o sus partes",""))</f>
        <v>Timbres externos o sus partes</v>
      </c>
      <c r="C6538" s="95" t="str">
        <f>IFERROR(VLOOKUP("UD",'Informacion '!P:Q,2,FALSE),"")</f>
        <v>Unidad</v>
      </c>
      <c r="D6538" s="94">
        <v>1</v>
      </c>
      <c r="E6538" s="84">
        <v>800</v>
      </c>
      <c r="F6538" s="83">
        <f t="shared" ca="1" si="269"/>
        <v>800</v>
      </c>
    </row>
    <row r="6539" spans="1:6" ht="14.1" customHeight="1" x14ac:dyDescent="0.25">
      <c r="A6539" s="94" t="s">
        <v>13732</v>
      </c>
      <c r="B6539" s="82" t="str">
        <f ca="1">IFERROR(INDEX(UNSPSCDes,MATCH(INDIRECT(ADDRESS(ROW(),COLUMN()-1,4)),UNSPSCCode,0)),IF(INDIRECT(ADDRESS(ROW(),COLUMN()-1,4))="32101618","Circuitos integrados ordenados hacia arriba",""))</f>
        <v>Circuitos integrados ordenados hacia arriba</v>
      </c>
      <c r="C6539" s="95" t="str">
        <f>IFERROR(VLOOKUP("UD",'Informacion '!P:Q,2,FALSE),"")</f>
        <v>Unidad</v>
      </c>
      <c r="D6539" s="94">
        <v>1</v>
      </c>
      <c r="E6539" s="84">
        <v>600</v>
      </c>
      <c r="F6539" s="83">
        <f t="shared" ca="1" si="269"/>
        <v>600</v>
      </c>
    </row>
    <row r="6540" spans="1:6" ht="14.1" customHeight="1" x14ac:dyDescent="0.25">
      <c r="A6540" s="94" t="s">
        <v>5552</v>
      </c>
      <c r="B6540" s="82" t="str">
        <f ca="1">IFERROR(INDEX(UNSPSCDes,MATCH(INDIRECT(ADDRESS(ROW(),COLUMN()-1,4)),UNSPSCCode,0)),IF(INDIRECT(ADDRESS(ROW(),COLUMN()-1,4))="41112509","Monitores de temperatura y velocidad del aire",""))</f>
        <v>Monitores de temperatura y velocidad del aire</v>
      </c>
      <c r="C6540" s="95" t="str">
        <f>IFERROR(VLOOKUP("UD",'Informacion '!P:Q,2,FALSE),"")</f>
        <v>Unidad</v>
      </c>
      <c r="D6540" s="94">
        <v>2</v>
      </c>
      <c r="E6540" s="84">
        <v>3400</v>
      </c>
      <c r="F6540" s="83">
        <f t="shared" ca="1" si="269"/>
        <v>6800</v>
      </c>
    </row>
    <row r="6541" spans="1:6" ht="14.1" customHeight="1" x14ac:dyDescent="0.25">
      <c r="A6541" s="94" t="s">
        <v>12887</v>
      </c>
      <c r="B6541" s="82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6541" s="95" t="str">
        <f>IFERROR(VLOOKUP("UD",'Informacion '!P:Q,2,FALSE),"")</f>
        <v>Unidad</v>
      </c>
      <c r="D6541" s="94">
        <v>1</v>
      </c>
      <c r="E6541" s="84">
        <v>125000</v>
      </c>
      <c r="F6541" s="83">
        <f t="shared" ca="1" si="269"/>
        <v>125000</v>
      </c>
    </row>
    <row r="6542" spans="1:6" ht="14.1" customHeight="1" x14ac:dyDescent="0.25">
      <c r="A6542" s="94" t="s">
        <v>8503</v>
      </c>
      <c r="B6542" s="82" t="str">
        <f ca="1">IFERROR(INDEX(UNSPSCDes,MATCH(INDIRECT(ADDRESS(ROW(),COLUMN()-1,4)),UNSPSCCode,0)),IF(INDIRECT(ADDRESS(ROW(),COLUMN()-1,4))="21101512","Gastos generales de riego",""))</f>
        <v>Gastos generales de riego</v>
      </c>
      <c r="C6542" s="95" t="str">
        <f>IFERROR(VLOOKUP("UD",'Informacion '!P:Q,2,FALSE),"")</f>
        <v>Unidad</v>
      </c>
      <c r="D6542" s="94">
        <v>1</v>
      </c>
      <c r="E6542" s="84">
        <v>181591</v>
      </c>
      <c r="F6542" s="83">
        <f t="shared" ca="1" si="269"/>
        <v>181591</v>
      </c>
    </row>
    <row r="6543" spans="1:6" ht="14.1" customHeight="1" x14ac:dyDescent="0.25">
      <c r="A6543" s="94" t="s">
        <v>16020</v>
      </c>
      <c r="B6543" s="82" t="str">
        <f ca="1">IFERROR(INDEX(UNSPSCDes,MATCH(INDIRECT(ADDRESS(ROW(),COLUMN()-1,4)),UNSPSCCode,0)),IF(INDIRECT(ADDRESS(ROW(),COLUMN()-1,4))="30181508","Divisiones de baños",""))</f>
        <v>Divisiones de baños</v>
      </c>
      <c r="C6543" s="95" t="str">
        <f>IFERROR(VLOOKUP("UD",'Informacion '!P:Q,2,FALSE),"")</f>
        <v>Unidad</v>
      </c>
      <c r="D6543" s="94">
        <v>6</v>
      </c>
      <c r="E6543" s="84">
        <v>200000</v>
      </c>
      <c r="F6543" s="83">
        <f t="shared" ca="1" si="269"/>
        <v>1200000</v>
      </c>
    </row>
    <row r="6544" spans="1:6" ht="14.1" customHeight="1" x14ac:dyDescent="0.25">
      <c r="A6544" s="94" t="s">
        <v>12246</v>
      </c>
      <c r="B6544" s="82" t="str">
        <f ca="1">IFERROR(INDEX(UNSPSCDes,MATCH(INDIRECT(ADDRESS(ROW(),COLUMN()-1,4)),UNSPSCCode,0)),IF(INDIRECT(ADDRESS(ROW(),COLUMN()-1,4))="30111601","Cemento",""))</f>
        <v>Cemento</v>
      </c>
      <c r="C6544" s="95" t="str">
        <f>IFERROR(VLOOKUP("UD",'Informacion '!P:Q,2,FALSE),"")</f>
        <v>Unidad</v>
      </c>
      <c r="D6544" s="94">
        <v>50</v>
      </c>
      <c r="E6544" s="84">
        <v>300</v>
      </c>
      <c r="F6544" s="83">
        <f t="shared" ca="1" si="269"/>
        <v>15000</v>
      </c>
    </row>
    <row r="6545" spans="1:6" ht="14.1" customHeight="1" x14ac:dyDescent="0.25">
      <c r="A6545" s="94" t="s">
        <v>14661</v>
      </c>
      <c r="B6545" s="82" t="str">
        <f ca="1">IFERROR(INDEX(UNSPSCDes,MATCH(INDIRECT(ADDRESS(ROW(),COLUMN()-1,4)),UNSPSCCode,0)),IF(INDIRECT(ADDRESS(ROW(),COLUMN()-1,4))="27112202","Palustres o llanas de madera",""))</f>
        <v>Palustres o llanas de madera</v>
      </c>
      <c r="C6545" s="95" t="str">
        <f>IFERROR(VLOOKUP("UD",'Informacion '!P:Q,2,FALSE),"")</f>
        <v>Unidad</v>
      </c>
      <c r="D6545" s="94">
        <v>2</v>
      </c>
      <c r="E6545" s="84">
        <v>400</v>
      </c>
      <c r="F6545" s="83">
        <f t="shared" ca="1" si="269"/>
        <v>800</v>
      </c>
    </row>
    <row r="6546" spans="1:6" ht="14.1" customHeight="1" x14ac:dyDescent="0.25">
      <c r="A6546" s="94" t="s">
        <v>1426</v>
      </c>
      <c r="B6546" s="82" t="str">
        <f ca="1">IFERROR(INDEX(UNSPSCDes,MATCH(INDIRECT(ADDRESS(ROW(),COLUMN()-1,4)),UNSPSCCode,0)),IF(INDIRECT(ADDRESS(ROW(),COLUMN()-1,4))="41115702","Escáneres cromatográficos",""))</f>
        <v>Escáneres cromatográficos</v>
      </c>
      <c r="C6546" s="95" t="str">
        <f>IFERROR(VLOOKUP("UD",'Informacion '!P:Q,2,FALSE),"")</f>
        <v>Unidad</v>
      </c>
      <c r="D6546" s="94">
        <v>5</v>
      </c>
      <c r="E6546" s="84">
        <v>900</v>
      </c>
      <c r="F6546" s="83">
        <f t="shared" ca="1" si="269"/>
        <v>4500</v>
      </c>
    </row>
    <row r="6547" spans="1:6" ht="14.1" customHeight="1" x14ac:dyDescent="0.25">
      <c r="A6547" s="94" t="s">
        <v>10162</v>
      </c>
      <c r="B6547" s="82" t="str">
        <f ca="1">IFERROR(INDEX(UNSPSCDes,MATCH(INDIRECT(ADDRESS(ROW(),COLUMN()-1,4)),UNSPSCCode,0)),IF(INDIRECT(ADDRESS(ROW(),COLUMN()-1,4))="31201610","Pegamentos",""))</f>
        <v>Pegamentos</v>
      </c>
      <c r="C6547" s="95" t="str">
        <f>IFERROR(VLOOKUP("UD",'Informacion '!P:Q,2,FALSE),"")</f>
        <v>Unidad</v>
      </c>
      <c r="D6547" s="94">
        <v>10</v>
      </c>
      <c r="E6547" s="84">
        <v>500</v>
      </c>
      <c r="F6547" s="83">
        <f t="shared" ca="1" si="269"/>
        <v>5000</v>
      </c>
    </row>
    <row r="6548" spans="1:6" ht="14.1" customHeight="1" x14ac:dyDescent="0.25">
      <c r="A6548" s="94" t="s">
        <v>10162</v>
      </c>
      <c r="B6548" s="82" t="str">
        <f ca="1">IFERROR(INDEX(UNSPSCDes,MATCH(INDIRECT(ADDRESS(ROW(),COLUMN()-1,4)),UNSPSCCode,0)),IF(INDIRECT(ADDRESS(ROW(),COLUMN()-1,4))="31201610","Pegamentos",""))</f>
        <v>Pegamentos</v>
      </c>
      <c r="C6548" s="95" t="str">
        <f>IFERROR(VLOOKUP("UD",'Informacion '!P:Q,2,FALSE),"")</f>
        <v>Unidad</v>
      </c>
      <c r="D6548" s="94">
        <v>10</v>
      </c>
      <c r="E6548" s="84">
        <v>230</v>
      </c>
      <c r="F6548" s="83">
        <f t="shared" ca="1" si="269"/>
        <v>2300</v>
      </c>
    </row>
    <row r="6549" spans="1:6" ht="14.1" customHeight="1" x14ac:dyDescent="0.25">
      <c r="A6549" s="94" t="s">
        <v>1899</v>
      </c>
      <c r="B6549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6549" s="95" t="str">
        <f>IFERROR(VLOOKUP("M2",'Informacion '!P:Q,2,FALSE),"")</f>
        <v>Metro cuadrado</v>
      </c>
      <c r="D6549" s="94">
        <v>10</v>
      </c>
      <c r="E6549" s="84">
        <v>1400</v>
      </c>
      <c r="F6549" s="83">
        <f t="shared" ca="1" si="269"/>
        <v>14000</v>
      </c>
    </row>
    <row r="6550" spans="1:6" ht="14.1" customHeight="1" x14ac:dyDescent="0.25">
      <c r="A6550" s="94" t="s">
        <v>1899</v>
      </c>
      <c r="B6550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6550" s="95" t="str">
        <f>IFERROR(VLOOKUP("M2",'Informacion '!P:Q,2,FALSE),"")</f>
        <v>Metro cuadrado</v>
      </c>
      <c r="D6550" s="94">
        <v>150</v>
      </c>
      <c r="E6550" s="84">
        <v>800</v>
      </c>
      <c r="F6550" s="83">
        <f t="shared" ca="1" si="269"/>
        <v>120000</v>
      </c>
    </row>
    <row r="6551" spans="1:6" ht="14.1" customHeight="1" x14ac:dyDescent="0.25">
      <c r="A6551" s="94" t="s">
        <v>18547</v>
      </c>
      <c r="B6551" s="82" t="str">
        <f ca="1">IFERROR(INDEX(UNSPSCDes,MATCH(INDIRECT(ADDRESS(ROW(),COLUMN()-1,4)),UNSPSCCode,0)),IF(INDIRECT(ADDRESS(ROW(),COLUMN()-1,4))="60102007","Murales de palabras",""))</f>
        <v>Murales de palabras</v>
      </c>
      <c r="C6551" s="95" t="str">
        <f>IFERROR(VLOOKUP("UD",'Informacion '!P:Q,2,FALSE),"")</f>
        <v>Unidad</v>
      </c>
      <c r="D6551" s="94">
        <v>1</v>
      </c>
      <c r="E6551" s="84">
        <v>400000</v>
      </c>
      <c r="F6551" s="83">
        <f t="shared" ca="1" si="269"/>
        <v>400000</v>
      </c>
    </row>
    <row r="6552" spans="1:6" ht="14.1" customHeight="1" x14ac:dyDescent="0.25">
      <c r="A6552" s="94" t="s">
        <v>13517</v>
      </c>
      <c r="B6552" s="82" t="str">
        <f ca="1">IFERROR(INDEX(UNSPSCDes,MATCH(INDIRECT(ADDRESS(ROW(),COLUMN()-1,4)),UNSPSCCode,0)),IF(INDIRECT(ADDRESS(ROW(),COLUMN()-1,4))="11111501","Tierra",""))</f>
        <v>Tierra</v>
      </c>
      <c r="C6552" s="95" t="str">
        <f>IFERROR(VLOOKUP("M3",'Informacion '!P:Q,2,FALSE),"")</f>
        <v>Metro cúbico</v>
      </c>
      <c r="D6552" s="94">
        <v>13.82</v>
      </c>
      <c r="E6552" s="84">
        <v>400</v>
      </c>
      <c r="F6552" s="83">
        <f t="shared" ca="1" si="269"/>
        <v>5528</v>
      </c>
    </row>
    <row r="6553" spans="1:6" ht="14.1" customHeight="1" x14ac:dyDescent="0.25">
      <c r="A6553" s="94" t="s">
        <v>7524</v>
      </c>
      <c r="B6553" s="82" t="str">
        <f ca="1">IFERROR(INDEX(UNSPSCDes,MATCH(INDIRECT(ADDRESS(ROW(),COLUMN()-1,4)),UNSPSCCode,0)),IF(INDIRECT(ADDRESS(ROW(),COLUMN()-1,4))="72103003","Servicios de demolición",""))</f>
        <v>Servicios de demolición</v>
      </c>
      <c r="C6553" s="95" t="str">
        <f>IFERROR(VLOOKUP("UD",'Informacion '!P:Q,2,FALSE),"")</f>
        <v>Unidad</v>
      </c>
      <c r="D6553" s="94">
        <v>4</v>
      </c>
      <c r="E6553" s="84">
        <v>6000</v>
      </c>
      <c r="F6553" s="83">
        <f t="shared" ca="1" si="269"/>
        <v>24000</v>
      </c>
    </row>
    <row r="6554" spans="1:6" ht="14.1" customHeight="1" x14ac:dyDescent="0.25">
      <c r="A6554" s="94" t="s">
        <v>13331</v>
      </c>
      <c r="B6554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6554" s="95" t="str">
        <f>IFERROR(VLOOKUP("M2",'Informacion '!P:Q,2,FALSE),"")</f>
        <v>Metro cuadrado</v>
      </c>
      <c r="D6554" s="94">
        <v>25.16</v>
      </c>
      <c r="E6554" s="84">
        <v>1015.01</v>
      </c>
      <c r="F6554" s="83">
        <f t="shared" ca="1" si="269"/>
        <v>25537.651600000001</v>
      </c>
    </row>
    <row r="6555" spans="1:6" ht="14.1" customHeight="1" x14ac:dyDescent="0.25">
      <c r="A6555" s="94" t="s">
        <v>5110</v>
      </c>
      <c r="B6555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6555" s="95" t="str">
        <f>IFERROR(VLOOKUP("M2",'Informacion '!P:Q,2,FALSE),"")</f>
        <v>Metro cuadrado</v>
      </c>
      <c r="D6555" s="94">
        <v>97.32</v>
      </c>
      <c r="E6555" s="84">
        <v>240</v>
      </c>
      <c r="F6555" s="83">
        <f t="shared" ref="F6555:F6586" ca="1" si="271">INDIRECT(ADDRESS(ROW(),COLUMN()-2,4))*INDIRECT(ADDRESS(ROW(),COLUMN()-1,4))</f>
        <v>23356.799999999999</v>
      </c>
    </row>
    <row r="6556" spans="1:6" ht="14.1" customHeight="1" x14ac:dyDescent="0.25">
      <c r="A6556" s="94" t="s">
        <v>5110</v>
      </c>
      <c r="B6556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6556" s="95" t="str">
        <f>IFERROR(VLOOKUP("M2",'Informacion '!P:Q,2,FALSE),"")</f>
        <v>Metro cuadrado</v>
      </c>
      <c r="D6556" s="94">
        <v>21.62</v>
      </c>
      <c r="E6556" s="84">
        <v>250</v>
      </c>
      <c r="F6556" s="83">
        <f t="shared" ca="1" si="271"/>
        <v>5405</v>
      </c>
    </row>
    <row r="6557" spans="1:6" ht="14.1" customHeight="1" x14ac:dyDescent="0.25">
      <c r="A6557" s="94" t="s">
        <v>1899</v>
      </c>
      <c r="B6557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6557" s="95" t="str">
        <f>IFERROR(VLOOKUP("M2",'Informacion '!P:Q,2,FALSE),"")</f>
        <v>Metro cuadrado</v>
      </c>
      <c r="D6557" s="94">
        <v>21.62</v>
      </c>
      <c r="E6557" s="84">
        <v>1184.83</v>
      </c>
      <c r="F6557" s="83">
        <f t="shared" ca="1" si="271"/>
        <v>25616.024600000001</v>
      </c>
    </row>
    <row r="6558" spans="1:6" ht="14.1" customHeight="1" x14ac:dyDescent="0.25">
      <c r="A6558" s="94" t="s">
        <v>12467</v>
      </c>
      <c r="B6558" s="82" t="str">
        <f ca="1">IFERROR(INDEX(UNSPSCDes,MATCH(INDIRECT(ADDRESS(ROW(),COLUMN()-1,4)),UNSPSCCode,0)),IF(INDIRECT(ADDRESS(ROW(),COLUMN()-1,4))="42192209","Rampas para sillas de ruedas",""))</f>
        <v>Rampas para sillas de ruedas</v>
      </c>
      <c r="C6558" s="95" t="str">
        <f>IFERROR(VLOOKUP("M2",'Informacion '!P:Q,2,FALSE),"")</f>
        <v>Metro cuadrado</v>
      </c>
      <c r="D6558" s="94">
        <v>4.33</v>
      </c>
      <c r="E6558" s="84">
        <v>950</v>
      </c>
      <c r="F6558" s="83">
        <f t="shared" ca="1" si="271"/>
        <v>4113.5</v>
      </c>
    </row>
    <row r="6559" spans="1:6" ht="14.1" customHeight="1" x14ac:dyDescent="0.25">
      <c r="A6559" s="94" t="s">
        <v>1899</v>
      </c>
      <c r="B6559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6559" s="95" t="str">
        <f>IFERROR(VLOOKUP("M2",'Informacion '!P:Q,2,FALSE),"")</f>
        <v>Metro cuadrado</v>
      </c>
      <c r="D6559" s="94">
        <v>62.4</v>
      </c>
      <c r="E6559" s="84">
        <v>1184.83</v>
      </c>
      <c r="F6559" s="83">
        <f t="shared" ca="1" si="271"/>
        <v>73933.391999999993</v>
      </c>
    </row>
    <row r="6560" spans="1:6" ht="14.1" customHeight="1" x14ac:dyDescent="0.25">
      <c r="A6560" s="94" t="s">
        <v>2584</v>
      </c>
      <c r="B6560" s="82" t="str">
        <f ca="1">IFERROR(INDEX(UNSPSCDes,MATCH(INDIRECT(ADDRESS(ROW(),COLUMN()-1,4)),UNSPSCCode,0)),IF(INDIRECT(ADDRESS(ROW(),COLUMN()-1,4))="20131308","Pozo petrolero cemento estándar fino tipo iii",""))</f>
        <v>Pozo petrolero cemento estándar fino tipo iii</v>
      </c>
      <c r="C6560" s="95" t="str">
        <f>IFERROR(VLOOKUP("M2",'Informacion '!P:Q,2,FALSE),"")</f>
        <v>Metro cuadrado</v>
      </c>
      <c r="D6560" s="94">
        <v>21.62</v>
      </c>
      <c r="E6560" s="84">
        <v>650.41</v>
      </c>
      <c r="F6560" s="83">
        <f t="shared" ca="1" si="271"/>
        <v>14061.8642</v>
      </c>
    </row>
    <row r="6561" spans="1:6" ht="14.1" customHeight="1" x14ac:dyDescent="0.25">
      <c r="A6561" s="94" t="s">
        <v>8027</v>
      </c>
      <c r="B6561" s="82" t="str">
        <f ca="1">IFERROR(INDEX(UNSPSCDes,MATCH(INDIRECT(ADDRESS(ROW(),COLUMN()-1,4)),UNSPSCCode,0)),IF(INDIRECT(ADDRESS(ROW(),COLUMN()-1,4))="30171513","Rodapiés",""))</f>
        <v>Rodapiés</v>
      </c>
      <c r="C6561" s="95" t="str">
        <f>IFERROR(VLOOKUP("M",'Informacion '!P:Q,2,FALSE),"")</f>
        <v>Metro</v>
      </c>
      <c r="D6561" s="94">
        <v>18.649999999999999</v>
      </c>
      <c r="E6561" s="84">
        <v>100</v>
      </c>
      <c r="F6561" s="83">
        <f t="shared" ca="1" si="271"/>
        <v>1864.9999999999998</v>
      </c>
    </row>
    <row r="6562" spans="1:6" ht="14.1" customHeight="1" x14ac:dyDescent="0.25">
      <c r="A6562" s="94" t="s">
        <v>454</v>
      </c>
      <c r="B6562" s="82" t="str">
        <f ca="1">IFERROR(INDEX(UNSPSCDes,MATCH(INDIRECT(ADDRESS(ROW(),COLUMN()-1,4)),UNSPSCCode,0)),IF(INDIRECT(ADDRESS(ROW(),COLUMN()-1,4))="44102304","Máquinas selladoras",""))</f>
        <v>Máquinas selladoras</v>
      </c>
      <c r="C6562" s="95" t="str">
        <f>IFERROR(VLOOKUP("UD",'Informacion '!P:Q,2,FALSE),"")</f>
        <v>Unidad</v>
      </c>
      <c r="D6562" s="94">
        <v>1</v>
      </c>
      <c r="E6562" s="84">
        <v>6000</v>
      </c>
      <c r="F6562" s="83">
        <f t="shared" ca="1" si="271"/>
        <v>6000</v>
      </c>
    </row>
    <row r="6563" spans="1:6" ht="14.1" customHeight="1" x14ac:dyDescent="0.25">
      <c r="A6563" s="94" t="s">
        <v>2688</v>
      </c>
      <c r="B6563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6563" s="95" t="str">
        <f>IFERROR(VLOOKUP("M2",'Informacion '!P:Q,2,FALSE),"")</f>
        <v>Metro cuadrado</v>
      </c>
      <c r="D6563" s="94">
        <v>21.65</v>
      </c>
      <c r="E6563" s="84">
        <v>350</v>
      </c>
      <c r="F6563" s="83">
        <f t="shared" ca="1" si="271"/>
        <v>7577.4999999999991</v>
      </c>
    </row>
    <row r="6564" spans="1:6" ht="14.1" customHeight="1" x14ac:dyDescent="0.25">
      <c r="A6564" s="94" t="s">
        <v>18068</v>
      </c>
      <c r="B6564" s="82" t="str">
        <f ca="1">IFERROR(INDEX(UNSPSCDes,MATCH(INDIRECT(ADDRESS(ROW(),COLUMN()-1,4)),UNSPSCCode,0)),IF(INDIRECT(ADDRESS(ROW(),COLUMN()-1,4))="72103004","Servicios de excavación",""))</f>
        <v>Servicios de excavación</v>
      </c>
      <c r="C6564" s="95" t="str">
        <f>IFERROR(VLOOKUP("M3",'Informacion '!P:Q,2,FALSE),"")</f>
        <v>Metro cúbico</v>
      </c>
      <c r="D6564" s="94">
        <v>1.1499999999999999</v>
      </c>
      <c r="E6564" s="84">
        <v>10496.95</v>
      </c>
      <c r="F6564" s="83">
        <f t="shared" ca="1" si="271"/>
        <v>12071.4925</v>
      </c>
    </row>
    <row r="6565" spans="1:6" ht="14.1" customHeight="1" x14ac:dyDescent="0.25">
      <c r="A6565" s="94" t="s">
        <v>18068</v>
      </c>
      <c r="B6565" s="82" t="str">
        <f ca="1">IFERROR(INDEX(UNSPSCDes,MATCH(INDIRECT(ADDRESS(ROW(),COLUMN()-1,4)),UNSPSCCode,0)),IF(INDIRECT(ADDRESS(ROW(),COLUMN()-1,4))="72103004","Servicios de excavación",""))</f>
        <v>Servicios de excavación</v>
      </c>
      <c r="C6565" s="95" t="str">
        <f>IFERROR(VLOOKUP("M3",'Informacion '!P:Q,2,FALSE),"")</f>
        <v>Metro cúbico</v>
      </c>
      <c r="D6565" s="94">
        <v>4.0999999999999996</v>
      </c>
      <c r="E6565" s="84">
        <v>15308.21</v>
      </c>
      <c r="F6565" s="83">
        <f t="shared" ca="1" si="271"/>
        <v>62763.660999999993</v>
      </c>
    </row>
    <row r="6566" spans="1:6" ht="14.1" customHeight="1" x14ac:dyDescent="0.25">
      <c r="A6566" s="94" t="s">
        <v>10971</v>
      </c>
      <c r="B6566" s="82" t="str">
        <f ca="1">IFERROR(INDEX(UNSPSCDes,MATCH(INDIRECT(ADDRESS(ROW(),COLUMN()-1,4)),UNSPSCCode,0)),IF(INDIRECT(ADDRESS(ROW(),COLUMN()-1,4))="30161902","Columnas",""))</f>
        <v>Columnas</v>
      </c>
      <c r="C6566" s="95" t="str">
        <f>IFERROR(VLOOKUP("M3",'Informacion '!P:Q,2,FALSE),"")</f>
        <v>Metro cúbico</v>
      </c>
      <c r="D6566" s="94">
        <v>2.56</v>
      </c>
      <c r="E6566" s="84">
        <v>35255.360000000001</v>
      </c>
      <c r="F6566" s="83">
        <f t="shared" ca="1" si="271"/>
        <v>90253.721600000004</v>
      </c>
    </row>
    <row r="6567" spans="1:6" ht="14.1" customHeight="1" x14ac:dyDescent="0.25">
      <c r="A6567" s="94" t="s">
        <v>2243</v>
      </c>
      <c r="B6567" s="82" t="str">
        <f ca="1">IFERROR(INDEX(UNSPSCDes,MATCH(INDIRECT(ADDRESS(ROW(),COLUMN()-1,4)),UNSPSCCode,0)),IF(INDIRECT(ADDRESS(ROW(),COLUMN()-1,4))="30101717","Vigas de concreto",""))</f>
        <v>Vigas de concreto</v>
      </c>
      <c r="C6567" s="95" t="str">
        <f>IFERROR(VLOOKUP("M3",'Informacion '!P:Q,2,FALSE),"")</f>
        <v>Metro cúbico</v>
      </c>
      <c r="D6567" s="94">
        <v>3.91</v>
      </c>
      <c r="E6567" s="84">
        <v>32593.5</v>
      </c>
      <c r="F6567" s="83">
        <f t="shared" ca="1" si="271"/>
        <v>127440.58500000001</v>
      </c>
    </row>
    <row r="6568" spans="1:6" ht="14.1" customHeight="1" x14ac:dyDescent="0.25">
      <c r="A6568" s="94" t="s">
        <v>8482</v>
      </c>
      <c r="B6568" s="82" t="str">
        <f ca="1">IFERROR(INDEX(UNSPSCDes,MATCH(INDIRECT(ADDRESS(ROW(),COLUMN()-1,4)),UNSPSCCode,0)),IF(INDIRECT(ADDRESS(ROW(),COLUMN()-1,4))="30131704","Losas o baldosas de cerámica",""))</f>
        <v>Losas o baldosas de cerámica</v>
      </c>
      <c r="C6568" s="95" t="str">
        <f>IFERROR(VLOOKUP("M3",'Informacion '!P:Q,2,FALSE),"")</f>
        <v>Metro cúbico</v>
      </c>
      <c r="D6568" s="94">
        <v>3.24</v>
      </c>
      <c r="E6568" s="84">
        <v>17285.11</v>
      </c>
      <c r="F6568" s="83">
        <f t="shared" ca="1" si="271"/>
        <v>56003.756400000006</v>
      </c>
    </row>
    <row r="6569" spans="1:6" ht="14.1" customHeight="1" x14ac:dyDescent="0.25">
      <c r="A6569" s="94" t="s">
        <v>12382</v>
      </c>
      <c r="B6569" s="82" t="str">
        <f ca="1">IFERROR(INDEX(UNSPSCDes,MATCH(INDIRECT(ADDRESS(ROW(),COLUMN()-1,4)),UNSPSCCode,0)),IF(INDIRECT(ADDRESS(ROW(),COLUMN()-1,4))="31211508","Pinturas acrílicas",""))</f>
        <v>Pinturas acrílicas</v>
      </c>
      <c r="C6569" s="95" t="str">
        <f>IFERROR(VLOOKUP("M2",'Informacion '!P:Q,2,FALSE),"")</f>
        <v>Metro cuadrado</v>
      </c>
      <c r="D6569" s="94">
        <v>35</v>
      </c>
      <c r="E6569" s="84">
        <v>101.03</v>
      </c>
      <c r="F6569" s="83">
        <f t="shared" ca="1" si="271"/>
        <v>3536.05</v>
      </c>
    </row>
    <row r="6570" spans="1:6" ht="14.1" customHeight="1" x14ac:dyDescent="0.25">
      <c r="A6570" s="94" t="s">
        <v>11424</v>
      </c>
      <c r="B6570" s="82" t="str">
        <f ca="1">IFERROR(INDEX(UNSPSCDes,MATCH(INDIRECT(ADDRESS(ROW(),COLUMN()-1,4)),UNSPSCCode,0)),IF(INDIRECT(ADDRESS(ROW(),COLUMN()-1,4))="30171505","Puertas de metal",""))</f>
        <v>Puertas de metal</v>
      </c>
      <c r="C6570" s="95" t="str">
        <f>IFERROR(VLOOKUP("UD",'Informacion '!P:Q,2,FALSE),"")</f>
        <v>Unidad</v>
      </c>
      <c r="D6570" s="94">
        <v>1</v>
      </c>
      <c r="E6570" s="84">
        <v>26000</v>
      </c>
      <c r="F6570" s="83">
        <f t="shared" ca="1" si="271"/>
        <v>26000</v>
      </c>
    </row>
    <row r="6571" spans="1:6" ht="14.1" customHeight="1" x14ac:dyDescent="0.25">
      <c r="A6571" s="94" t="s">
        <v>12705</v>
      </c>
      <c r="B6571" s="82" t="str">
        <f ca="1">IFERROR(INDEX(UNSPSCDes,MATCH(INDIRECT(ADDRESS(ROW(),COLUMN()-1,4)),UNSPSCCode,0)),IF(INDIRECT(ADDRESS(ROW(),COLUMN()-1,4))="60104904","Kits de electricidad",""))</f>
        <v>Kits de electricidad</v>
      </c>
      <c r="C6571" s="95" t="str">
        <f>IFERROR(VLOOKUP("UD",'Informacion '!P:Q,2,FALSE),"")</f>
        <v>Unidad</v>
      </c>
      <c r="D6571" s="94">
        <v>1</v>
      </c>
      <c r="E6571" s="84">
        <v>15000</v>
      </c>
      <c r="F6571" s="83">
        <f t="shared" ca="1" si="271"/>
        <v>15000</v>
      </c>
    </row>
    <row r="6572" spans="1:6" ht="14.1" customHeight="1" x14ac:dyDescent="0.25">
      <c r="A6572" s="94" t="s">
        <v>10393</v>
      </c>
      <c r="B6572" s="82" t="str">
        <f ca="1">IFERROR(INDEX(UNSPSCDes,MATCH(INDIRECT(ADDRESS(ROW(),COLUMN()-1,4)),UNSPSCCode,0)),IF(INDIRECT(ADDRESS(ROW(),COLUMN()-1,4))="42281914","Contenedores desechables de esterilización",""))</f>
        <v>Contenedores desechables de esterilización</v>
      </c>
      <c r="C6572" s="95" t="str">
        <f>IFERROR(VLOOKUP("UD",'Informacion '!P:Q,2,FALSE),"")</f>
        <v>Unidad</v>
      </c>
      <c r="D6572" s="94">
        <v>2</v>
      </c>
      <c r="E6572" s="84">
        <v>200000</v>
      </c>
      <c r="F6572" s="83">
        <f t="shared" ca="1" si="271"/>
        <v>400000</v>
      </c>
    </row>
    <row r="6573" spans="1:6" ht="14.1" customHeight="1" x14ac:dyDescent="0.25">
      <c r="A6573" s="94" t="s">
        <v>8503</v>
      </c>
      <c r="B6573" s="82" t="str">
        <f ca="1">IFERROR(INDEX(UNSPSCDes,MATCH(INDIRECT(ADDRESS(ROW(),COLUMN()-1,4)),UNSPSCCode,0)),IF(INDIRECT(ADDRESS(ROW(),COLUMN()-1,4))="21101512","Gastos generales de riego",""))</f>
        <v>Gastos generales de riego</v>
      </c>
      <c r="C6573" s="95" t="str">
        <f>IFERROR(VLOOKUP("UD",'Informacion '!P:Q,2,FALSE),"")</f>
        <v>Unidad</v>
      </c>
      <c r="D6573" s="94">
        <v>1</v>
      </c>
      <c r="E6573" s="84">
        <v>250000</v>
      </c>
      <c r="F6573" s="83">
        <f t="shared" ca="1" si="271"/>
        <v>250000</v>
      </c>
    </row>
    <row r="6574" spans="1:6" ht="14.1" customHeight="1" x14ac:dyDescent="0.25">
      <c r="A6574" s="94" t="s">
        <v>4141</v>
      </c>
      <c r="B6574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6574" s="95" t="str">
        <f>IFERROR(VLOOKUP("UD",'Informacion '!P:Q,2,FALSE),"")</f>
        <v>Unidad</v>
      </c>
      <c r="D6574" s="94">
        <v>1</v>
      </c>
      <c r="E6574" s="84">
        <v>2500000</v>
      </c>
      <c r="F6574" s="83">
        <f t="shared" ca="1" si="271"/>
        <v>2500000</v>
      </c>
    </row>
    <row r="6575" spans="1:6" ht="14.1" customHeight="1" x14ac:dyDescent="0.25">
      <c r="A6575" s="94" t="s">
        <v>9464</v>
      </c>
      <c r="B6575" s="82" t="str">
        <f ca="1">IFERROR(INDEX(UNSPSCDes,MATCH(INDIRECT(ADDRESS(ROW(),COLUMN()-1,4)),UNSPSCCode,0)),IF(INDIRECT(ADDRESS(ROW(),COLUMN()-1,4))="31241904","Bóvedas de vidrio moldeado",""))</f>
        <v>Bóvedas de vidrio moldeado</v>
      </c>
      <c r="C6575" s="95" t="str">
        <f>IFERROR(VLOOKUP("UD",'Informacion '!P:Q,2,FALSE),"")</f>
        <v>Unidad</v>
      </c>
      <c r="D6575" s="94">
        <v>1</v>
      </c>
      <c r="E6575" s="84">
        <v>100000</v>
      </c>
      <c r="F6575" s="83">
        <f t="shared" ca="1" si="271"/>
        <v>100000</v>
      </c>
    </row>
    <row r="6576" spans="1:6" ht="14.1" customHeight="1" x14ac:dyDescent="0.25">
      <c r="A6576" s="94" t="s">
        <v>11208</v>
      </c>
      <c r="B6576" s="82" t="str">
        <f ca="1">IFERROR(INDEX(UNSPSCDes,MATCH(INDIRECT(ADDRESS(ROW(),COLUMN()-1,4)),UNSPSCCode,0)),IF(INDIRECT(ADDRESS(ROW(),COLUMN()-1,4))="30171705","Vidrio laminado",""))</f>
        <v>Vidrio laminado</v>
      </c>
      <c r="C6576" s="95" t="str">
        <f>IFERROR(VLOOKUP("UD",'Informacion '!P:Q,2,FALSE),"")</f>
        <v>Unidad</v>
      </c>
      <c r="D6576" s="94">
        <v>1</v>
      </c>
      <c r="E6576" s="84">
        <v>7000</v>
      </c>
      <c r="F6576" s="83">
        <f t="shared" ca="1" si="271"/>
        <v>7000</v>
      </c>
    </row>
    <row r="6577" spans="1:6" ht="14.1" customHeight="1" x14ac:dyDescent="0.25">
      <c r="A6577" s="94" t="s">
        <v>4435</v>
      </c>
      <c r="B6577" s="82" t="str">
        <f ca="1">IFERROR(INDEX(UNSPSCDes,MATCH(INDIRECT(ADDRESS(ROW(),COLUMN()-1,4)),UNSPSCCode,0)),IF(INDIRECT(ADDRESS(ROW(),COLUMN()-1,4))="56101703","Escritorios",""))</f>
        <v>Escritorios</v>
      </c>
      <c r="C6577" s="95" t="str">
        <f>IFERROR(VLOOKUP("UD",'Informacion '!P:Q,2,FALSE),"")</f>
        <v>Unidad</v>
      </c>
      <c r="D6577" s="94">
        <v>1</v>
      </c>
      <c r="E6577" s="84">
        <v>15000</v>
      </c>
      <c r="F6577" s="83">
        <f t="shared" ca="1" si="271"/>
        <v>15000</v>
      </c>
    </row>
    <row r="6578" spans="1:6" ht="14.1" customHeight="1" x14ac:dyDescent="0.25">
      <c r="A6578" s="94" t="s">
        <v>19478</v>
      </c>
      <c r="B6578" s="82" t="str">
        <f ca="1">IFERROR(INDEX(UNSPSCDes,MATCH(INDIRECT(ADDRESS(ROW(),COLUMN()-1,4)),UNSPSCCode,0)),IF(INDIRECT(ADDRESS(ROW(),COLUMN()-1,4))="56112104","Sillas para ejecutivos",""))</f>
        <v>Sillas para ejecutivos</v>
      </c>
      <c r="C6578" s="95" t="str">
        <f>IFERROR(VLOOKUP("UD",'Informacion '!P:Q,2,FALSE),"")</f>
        <v>Unidad</v>
      </c>
      <c r="D6578" s="94">
        <v>1</v>
      </c>
      <c r="E6578" s="84">
        <v>12000</v>
      </c>
      <c r="F6578" s="83">
        <f t="shared" ca="1" si="271"/>
        <v>12000</v>
      </c>
    </row>
    <row r="6579" spans="1:6" ht="14.1" customHeight="1" x14ac:dyDescent="0.25">
      <c r="A6579" s="94" t="s">
        <v>4426</v>
      </c>
      <c r="B6579" s="82" t="str">
        <f ca="1">IFERROR(INDEX(UNSPSCDes,MATCH(INDIRECT(ADDRESS(ROW(),COLUMN()-1,4)),UNSPSCCode,0)),IF(INDIRECT(ADDRESS(ROW(),COLUMN()-1,4))="56112103","Sillas para visitantes",""))</f>
        <v>Sillas para visitantes</v>
      </c>
      <c r="C6579" s="95" t="str">
        <f>IFERROR(VLOOKUP("UD",'Informacion '!P:Q,2,FALSE),"")</f>
        <v>Unidad</v>
      </c>
      <c r="D6579" s="94">
        <v>2</v>
      </c>
      <c r="E6579" s="84">
        <v>6000</v>
      </c>
      <c r="F6579" s="83">
        <f t="shared" ca="1" si="271"/>
        <v>12000</v>
      </c>
    </row>
    <row r="6580" spans="1:6" ht="14.1" customHeight="1" x14ac:dyDescent="0.25">
      <c r="A6580" s="94" t="s">
        <v>4141</v>
      </c>
      <c r="B6580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6580" s="95" t="str">
        <f>IFERROR(VLOOKUP("UD",'Informacion '!P:Q,2,FALSE),"")</f>
        <v>Unidad</v>
      </c>
      <c r="D6580" s="94">
        <v>1</v>
      </c>
      <c r="E6580" s="84">
        <v>300000</v>
      </c>
      <c r="F6580" s="83">
        <f t="shared" ca="1" si="271"/>
        <v>300000</v>
      </c>
    </row>
    <row r="6581" spans="1:6" ht="14.1" customHeight="1" x14ac:dyDescent="0.25">
      <c r="A6581" s="94" t="s">
        <v>16344</v>
      </c>
      <c r="B6581" s="82" t="str">
        <f ca="1">IFERROR(INDEX(UNSPSCDes,MATCH(INDIRECT(ADDRESS(ROW(),COLUMN()-1,4)),UNSPSCCode,0)),IF(INDIRECT(ADDRESS(ROW(),COLUMN()-1,4))="30222052","Paso de peatones",""))</f>
        <v>Paso de peatones</v>
      </c>
      <c r="C6581" s="95" t="str">
        <f>IFERROR(VLOOKUP("UD",'Informacion '!P:Q,2,FALSE),"")</f>
        <v>Unidad</v>
      </c>
      <c r="D6581" s="94">
        <v>1</v>
      </c>
      <c r="E6581" s="84">
        <v>600000</v>
      </c>
      <c r="F6581" s="83">
        <f t="shared" ca="1" si="271"/>
        <v>600000</v>
      </c>
    </row>
    <row r="6582" spans="1:6" ht="14.1" customHeight="1" x14ac:dyDescent="0.25">
      <c r="A6582" s="94" t="s">
        <v>16128</v>
      </c>
      <c r="B6582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6582" s="95" t="str">
        <f>IFERROR(VLOOKUP("UD",'Informacion '!P:Q,2,FALSE),"")</f>
        <v>Unidad</v>
      </c>
      <c r="D6582" s="94">
        <v>1</v>
      </c>
      <c r="E6582" s="84">
        <v>100000</v>
      </c>
      <c r="F6582" s="83">
        <f t="shared" ca="1" si="271"/>
        <v>100000</v>
      </c>
    </row>
    <row r="6583" spans="1:6" ht="14.1" customHeight="1" x14ac:dyDescent="0.25">
      <c r="A6583" s="94" t="s">
        <v>2342</v>
      </c>
      <c r="B6583" s="82" t="str">
        <f ca="1">IFERROR(INDEX(UNSPSCDes,MATCH(INDIRECT(ADDRESS(ROW(),COLUMN()-1,4)),UNSPSCCode,0)),IF(INDIRECT(ADDRESS(ROW(),COLUMN()-1,4))="46171610","Cámaras de seguridad",""))</f>
        <v>Cámaras de seguridad</v>
      </c>
      <c r="C6583" s="95" t="str">
        <f>IFERROR(VLOOKUP("UD",'Informacion '!P:Q,2,FALSE),"")</f>
        <v>Unidad</v>
      </c>
      <c r="D6583" s="94">
        <v>1</v>
      </c>
      <c r="E6583" s="84">
        <v>70000</v>
      </c>
      <c r="F6583" s="83">
        <f t="shared" ca="1" si="271"/>
        <v>70000</v>
      </c>
    </row>
    <row r="6584" spans="1:6" ht="14.1" customHeight="1" x14ac:dyDescent="0.25">
      <c r="A6584" s="94" t="s">
        <v>16344</v>
      </c>
      <c r="B6584" s="82" t="str">
        <f ca="1">IFERROR(INDEX(UNSPSCDes,MATCH(INDIRECT(ADDRESS(ROW(),COLUMN()-1,4)),UNSPSCCode,0)),IF(INDIRECT(ADDRESS(ROW(),COLUMN()-1,4))="30222052","Paso de peatones",""))</f>
        <v>Paso de peatones</v>
      </c>
      <c r="C6584" s="95" t="str">
        <f>IFERROR(VLOOKUP("UD",'Informacion '!P:Q,2,FALSE),"")</f>
        <v>Unidad</v>
      </c>
      <c r="D6584" s="94">
        <v>1</v>
      </c>
      <c r="E6584" s="84">
        <v>170000</v>
      </c>
      <c r="F6584" s="83">
        <f t="shared" ca="1" si="271"/>
        <v>170000</v>
      </c>
    </row>
    <row r="6585" spans="1:6" ht="14.1" customHeight="1" x14ac:dyDescent="0.25">
      <c r="A6585" s="94" t="s">
        <v>9883</v>
      </c>
      <c r="B6585" s="82" t="str">
        <f ca="1">IFERROR(INDEX(UNSPSCDes,MATCH(INDIRECT(ADDRESS(ROW(),COLUMN()-1,4)),UNSPSCCode,0)),IF(INDIRECT(ADDRESS(ROW(),COLUMN()-1,4))="39101601","Lámparas halógenas",""))</f>
        <v>Lámparas halógenas</v>
      </c>
      <c r="C6585" s="95" t="str">
        <f>IFERROR(VLOOKUP("UD",'Informacion '!P:Q,2,FALSE),"")</f>
        <v>Unidad</v>
      </c>
      <c r="D6585" s="94">
        <v>1</v>
      </c>
      <c r="E6585" s="84">
        <v>21000</v>
      </c>
      <c r="F6585" s="83">
        <f t="shared" ca="1" si="271"/>
        <v>21000</v>
      </c>
    </row>
    <row r="6586" spans="1:6" ht="14.1" customHeight="1" x14ac:dyDescent="0.25">
      <c r="A6586" s="94" t="s">
        <v>4141</v>
      </c>
      <c r="B6586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6586" s="95" t="str">
        <f>IFERROR(VLOOKUP("UD",'Informacion '!P:Q,2,FALSE),"")</f>
        <v>Unidad</v>
      </c>
      <c r="D6586" s="94">
        <v>1</v>
      </c>
      <c r="E6586" s="84">
        <v>350000</v>
      </c>
      <c r="F6586" s="83">
        <f t="shared" ca="1" si="271"/>
        <v>350000</v>
      </c>
    </row>
    <row r="6587" spans="1:6" ht="14.1" customHeight="1" x14ac:dyDescent="0.25">
      <c r="A6587" s="94" t="s">
        <v>4141</v>
      </c>
      <c r="B6587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6587" s="95" t="str">
        <f>IFERROR(VLOOKUP("UD",'Informacion '!P:Q,2,FALSE),"")</f>
        <v>Unidad</v>
      </c>
      <c r="D6587" s="94">
        <v>1</v>
      </c>
      <c r="E6587" s="84">
        <v>650000</v>
      </c>
      <c r="F6587" s="83">
        <f t="shared" ref="F6587:F6615" ca="1" si="272">INDIRECT(ADDRESS(ROW(),COLUMN()-2,4))*INDIRECT(ADDRESS(ROW(),COLUMN()-1,4))</f>
        <v>650000</v>
      </c>
    </row>
    <row r="6588" spans="1:6" ht="14.1" customHeight="1" x14ac:dyDescent="0.25">
      <c r="A6588" s="94" t="s">
        <v>10461</v>
      </c>
      <c r="B6588" s="82" t="str">
        <f ca="1">IFERROR(INDEX(UNSPSCDes,MATCH(INDIRECT(ADDRESS(ROW(),COLUMN()-1,4)),UNSPSCCode,0)),IF(INDIRECT(ADDRESS(ROW(),COLUMN()-1,4))="41103803","Mesas para revolver",""))</f>
        <v>Mesas para revolver</v>
      </c>
      <c r="C6588" s="95" t="str">
        <f>IFERROR(VLOOKUP("UD",'Informacion '!P:Q,2,FALSE),"")</f>
        <v>Unidad</v>
      </c>
      <c r="D6588" s="94">
        <v>2</v>
      </c>
      <c r="E6588" s="84">
        <v>40000</v>
      </c>
      <c r="F6588" s="83">
        <f t="shared" ca="1" si="272"/>
        <v>80000</v>
      </c>
    </row>
    <row r="6589" spans="1:6" ht="14.1" customHeight="1" x14ac:dyDescent="0.25">
      <c r="A6589" s="94" t="s">
        <v>7471</v>
      </c>
      <c r="B6589" s="82" t="str">
        <f ca="1">IFERROR(INDEX(UNSPSCDes,MATCH(INDIRECT(ADDRESS(ROW(),COLUMN()-1,4)),UNSPSCCode,0)),IF(INDIRECT(ADDRESS(ROW(),COLUMN()-1,4))="42191907","Gabinetes o muebles de almacenamiento de instrumentos para uso médico",""))</f>
        <v>Gabinetes o muebles de almacenamiento de instrumentos para uso médico</v>
      </c>
      <c r="C6589" s="95" t="str">
        <f>IFERROR(VLOOKUP("UD",'Informacion '!P:Q,2,FALSE),"")</f>
        <v>Unidad</v>
      </c>
      <c r="D6589" s="94">
        <v>1</v>
      </c>
      <c r="E6589" s="84">
        <v>90000</v>
      </c>
      <c r="F6589" s="83">
        <f t="shared" ca="1" si="272"/>
        <v>90000</v>
      </c>
    </row>
    <row r="6590" spans="1:6" ht="14.1" customHeight="1" x14ac:dyDescent="0.25">
      <c r="A6590" s="94" t="s">
        <v>7471</v>
      </c>
      <c r="B6590" s="82" t="str">
        <f ca="1">IFERROR(INDEX(UNSPSCDes,MATCH(INDIRECT(ADDRESS(ROW(),COLUMN()-1,4)),UNSPSCCode,0)),IF(INDIRECT(ADDRESS(ROW(),COLUMN()-1,4))="42191907","Gabinetes o muebles de almacenamiento de instrumentos para uso médico",""))</f>
        <v>Gabinetes o muebles de almacenamiento de instrumentos para uso médico</v>
      </c>
      <c r="C6590" s="95" t="str">
        <f>IFERROR(VLOOKUP("UD",'Informacion '!P:Q,2,FALSE),"")</f>
        <v>Unidad</v>
      </c>
      <c r="D6590" s="94">
        <v>1</v>
      </c>
      <c r="E6590" s="84">
        <v>20000</v>
      </c>
      <c r="F6590" s="83">
        <f t="shared" ca="1" si="272"/>
        <v>20000</v>
      </c>
    </row>
    <row r="6591" spans="1:6" ht="14.1" customHeight="1" x14ac:dyDescent="0.25">
      <c r="A6591" s="94" t="s">
        <v>7471</v>
      </c>
      <c r="B6591" s="82" t="str">
        <f ca="1">IFERROR(INDEX(UNSPSCDes,MATCH(INDIRECT(ADDRESS(ROW(),COLUMN()-1,4)),UNSPSCCode,0)),IF(INDIRECT(ADDRESS(ROW(),COLUMN()-1,4))="42191907","Gabinetes o muebles de almacenamiento de instrumentos para uso médico",""))</f>
        <v>Gabinetes o muebles de almacenamiento de instrumentos para uso médico</v>
      </c>
      <c r="C6591" s="95" t="str">
        <f>IFERROR(VLOOKUP("UD",'Informacion '!P:Q,2,FALSE),"")</f>
        <v>Unidad</v>
      </c>
      <c r="D6591" s="94">
        <v>1</v>
      </c>
      <c r="E6591" s="84">
        <v>25000</v>
      </c>
      <c r="F6591" s="83">
        <f t="shared" ca="1" si="272"/>
        <v>25000</v>
      </c>
    </row>
    <row r="6592" spans="1:6" ht="14.1" customHeight="1" x14ac:dyDescent="0.25">
      <c r="A6592" s="94" t="s">
        <v>7973</v>
      </c>
      <c r="B6592" s="82" t="str">
        <f ca="1">IFERROR(INDEX(UNSPSCDes,MATCH(INDIRECT(ADDRESS(ROW(),COLUMN()-1,4)),UNSPSCCode,0)),IF(INDIRECT(ADDRESS(ROW(),COLUMN()-1,4))="11111604","Granito",""))</f>
        <v>Granito</v>
      </c>
      <c r="C6592" s="95" t="str">
        <f>IFERROR(VLOOKUP("UD",'Informacion '!P:Q,2,FALSE),"")</f>
        <v>Unidad</v>
      </c>
      <c r="D6592" s="94">
        <v>1</v>
      </c>
      <c r="E6592" s="84">
        <v>140000</v>
      </c>
      <c r="F6592" s="83">
        <f t="shared" ca="1" si="272"/>
        <v>140000</v>
      </c>
    </row>
    <row r="6593" spans="1:6" ht="14.1" customHeight="1" x14ac:dyDescent="0.25">
      <c r="A6593" s="94" t="s">
        <v>5010</v>
      </c>
      <c r="B6593" s="82" t="str">
        <f ca="1">IFERROR(INDEX(UNSPSCDes,MATCH(INDIRECT(ADDRESS(ROW(),COLUMN()-1,4)),UNSPSCCode,0)),IF(INDIRECT(ADDRESS(ROW(),COLUMN()-1,4))="42191612","Sistemas de intercomunicación hospitalaria",""))</f>
        <v>Sistemas de intercomunicación hospitalaria</v>
      </c>
      <c r="C6593" s="95" t="str">
        <f>IFERROR(VLOOKUP("UD",'Informacion '!P:Q,2,FALSE),"")</f>
        <v>Unidad</v>
      </c>
      <c r="D6593" s="94">
        <v>1</v>
      </c>
      <c r="E6593" s="84">
        <v>35000</v>
      </c>
      <c r="F6593" s="83">
        <f t="shared" ca="1" si="272"/>
        <v>35000</v>
      </c>
    </row>
    <row r="6594" spans="1:6" ht="14.1" customHeight="1" x14ac:dyDescent="0.25">
      <c r="A6594" s="94" t="s">
        <v>11208</v>
      </c>
      <c r="B6594" s="82" t="str">
        <f ca="1">IFERROR(INDEX(UNSPSCDes,MATCH(INDIRECT(ADDRESS(ROW(),COLUMN()-1,4)),UNSPSCCode,0)),IF(INDIRECT(ADDRESS(ROW(),COLUMN()-1,4))="30171705","Vidrio laminado",""))</f>
        <v>Vidrio laminado</v>
      </c>
      <c r="C6594" s="95" t="str">
        <f>IFERROR(VLOOKUP("UD",'Informacion '!P:Q,2,FALSE),"")</f>
        <v>Unidad</v>
      </c>
      <c r="D6594" s="94">
        <v>1</v>
      </c>
      <c r="E6594" s="84">
        <v>3000</v>
      </c>
      <c r="F6594" s="83">
        <f t="shared" ca="1" si="272"/>
        <v>3000</v>
      </c>
    </row>
    <row r="6595" spans="1:6" ht="14.1" customHeight="1" x14ac:dyDescent="0.25">
      <c r="A6595" s="94" t="s">
        <v>11656</v>
      </c>
      <c r="B6595" s="82" t="str">
        <f ca="1">IFERROR(INDEX(UNSPSCDes,MATCH(INDIRECT(ADDRESS(ROW(),COLUMN()-1,4)),UNSPSCCode,0)),IF(INDIRECT(ADDRESS(ROW(),COLUMN()-1,4))="40141702","Grifos",""))</f>
        <v>Grifos</v>
      </c>
      <c r="C6595" s="95" t="str">
        <f>IFERROR(VLOOKUP("UD",'Informacion '!P:Q,2,FALSE),"")</f>
        <v>Unidad</v>
      </c>
      <c r="D6595" s="94">
        <v>8</v>
      </c>
      <c r="E6595" s="84">
        <v>12000</v>
      </c>
      <c r="F6595" s="83">
        <f t="shared" ca="1" si="272"/>
        <v>96000</v>
      </c>
    </row>
    <row r="6596" spans="1:6" ht="14.1" customHeight="1" x14ac:dyDescent="0.25">
      <c r="A6596" s="94" t="s">
        <v>7788</v>
      </c>
      <c r="B6596" s="82" t="str">
        <f ca="1">IFERROR(INDEX(UNSPSCDes,MATCH(INDIRECT(ADDRESS(ROW(),COLUMN()-1,4)),UNSPSCCode,0)),IF(INDIRECT(ADDRESS(ROW(),COLUMN()-1,4))="30191505","Taburete escalonado",""))</f>
        <v>Taburete escalonado</v>
      </c>
      <c r="C6596" s="95" t="str">
        <f>IFERROR(VLOOKUP("UD",'Informacion '!P:Q,2,FALSE),"")</f>
        <v>Unidad</v>
      </c>
      <c r="D6596" s="94">
        <v>1</v>
      </c>
      <c r="E6596" s="84">
        <v>10000</v>
      </c>
      <c r="F6596" s="83">
        <f t="shared" ca="1" si="272"/>
        <v>10000</v>
      </c>
    </row>
    <row r="6597" spans="1:6" ht="14.1" customHeight="1" x14ac:dyDescent="0.25">
      <c r="A6597" s="94" t="s">
        <v>6018</v>
      </c>
      <c r="B6597" s="82" t="str">
        <f ca="1">IFERROR(INDEX(UNSPSCDes,MATCH(INDIRECT(ADDRESS(ROW(),COLUMN()-1,4)),UNSPSCCode,0)),IF(INDIRECT(ADDRESS(ROW(),COLUMN()-1,4))="39121106","Sistemas de control o vigilancia de potencia",""))</f>
        <v>Sistemas de control o vigilancia de potencia</v>
      </c>
      <c r="C6597" s="95" t="str">
        <f>IFERROR(VLOOKUP("UD",'Informacion '!P:Q,2,FALSE),"")</f>
        <v>Unidad</v>
      </c>
      <c r="D6597" s="94">
        <v>2</v>
      </c>
      <c r="E6597" s="84">
        <v>42000</v>
      </c>
      <c r="F6597" s="83">
        <f t="shared" ca="1" si="272"/>
        <v>84000</v>
      </c>
    </row>
    <row r="6598" spans="1:6" ht="14.1" customHeight="1" x14ac:dyDescent="0.25">
      <c r="A6598" s="94" t="s">
        <v>7471</v>
      </c>
      <c r="B6598" s="82" t="str">
        <f ca="1">IFERROR(INDEX(UNSPSCDes,MATCH(INDIRECT(ADDRESS(ROW(),COLUMN()-1,4)),UNSPSCCode,0)),IF(INDIRECT(ADDRESS(ROW(),COLUMN()-1,4))="42191907","Gabinetes o muebles de almacenamiento de instrumentos para uso médico",""))</f>
        <v>Gabinetes o muebles de almacenamiento de instrumentos para uso médico</v>
      </c>
      <c r="C6598" s="95" t="str">
        <f>IFERROR(VLOOKUP("UD",'Informacion '!P:Q,2,FALSE),"")</f>
        <v>Unidad</v>
      </c>
      <c r="D6598" s="94">
        <v>2</v>
      </c>
      <c r="E6598" s="84">
        <v>50000</v>
      </c>
      <c r="F6598" s="83">
        <f t="shared" ca="1" si="272"/>
        <v>100000</v>
      </c>
    </row>
    <row r="6599" spans="1:6" ht="14.1" customHeight="1" x14ac:dyDescent="0.25">
      <c r="A6599" s="94" t="s">
        <v>7973</v>
      </c>
      <c r="B6599" s="82" t="str">
        <f ca="1">IFERROR(INDEX(UNSPSCDes,MATCH(INDIRECT(ADDRESS(ROW(),COLUMN()-1,4)),UNSPSCCode,0)),IF(INDIRECT(ADDRESS(ROW(),COLUMN()-1,4))="11111604","Granito",""))</f>
        <v>Granito</v>
      </c>
      <c r="C6599" s="95" t="str">
        <f>IFERROR(VLOOKUP("UD",'Informacion '!P:Q,2,FALSE),"")</f>
        <v>Unidad</v>
      </c>
      <c r="D6599" s="94">
        <v>2</v>
      </c>
      <c r="E6599" s="84">
        <v>70000</v>
      </c>
      <c r="F6599" s="83">
        <f t="shared" ca="1" si="272"/>
        <v>140000</v>
      </c>
    </row>
    <row r="6600" spans="1:6" ht="14.1" customHeight="1" x14ac:dyDescent="0.25">
      <c r="A6600" s="94" t="s">
        <v>7471</v>
      </c>
      <c r="B6600" s="82" t="str">
        <f ca="1">IFERROR(INDEX(UNSPSCDes,MATCH(INDIRECT(ADDRESS(ROW(),COLUMN()-1,4)),UNSPSCCode,0)),IF(INDIRECT(ADDRESS(ROW(),COLUMN()-1,4))="42191907","Gabinetes o muebles de almacenamiento de instrumentos para uso médico",""))</f>
        <v>Gabinetes o muebles de almacenamiento de instrumentos para uso médico</v>
      </c>
      <c r="C6600" s="95" t="str">
        <f>IFERROR(VLOOKUP("UD",'Informacion '!P:Q,2,FALSE),"")</f>
        <v>Unidad</v>
      </c>
      <c r="D6600" s="94">
        <v>1</v>
      </c>
      <c r="E6600" s="84">
        <v>75000</v>
      </c>
      <c r="F6600" s="83">
        <f t="shared" ca="1" si="272"/>
        <v>75000</v>
      </c>
    </row>
    <row r="6601" spans="1:6" ht="14.1" customHeight="1" x14ac:dyDescent="0.25">
      <c r="A6601" s="94" t="s">
        <v>7788</v>
      </c>
      <c r="B6601" s="82" t="str">
        <f ca="1">IFERROR(INDEX(UNSPSCDes,MATCH(INDIRECT(ADDRESS(ROW(),COLUMN()-1,4)),UNSPSCCode,0)),IF(INDIRECT(ADDRESS(ROW(),COLUMN()-1,4))="30191505","Taburete escalonado",""))</f>
        <v>Taburete escalonado</v>
      </c>
      <c r="C6601" s="95" t="str">
        <f>IFERROR(VLOOKUP("UD",'Informacion '!P:Q,2,FALSE),"")</f>
        <v>Unidad</v>
      </c>
      <c r="D6601" s="94">
        <v>1</v>
      </c>
      <c r="E6601" s="84">
        <v>10000</v>
      </c>
      <c r="F6601" s="83">
        <f t="shared" ca="1" si="272"/>
        <v>10000</v>
      </c>
    </row>
    <row r="6602" spans="1:6" ht="14.1" customHeight="1" x14ac:dyDescent="0.25">
      <c r="A6602" s="94" t="s">
        <v>11424</v>
      </c>
      <c r="B6602" s="82" t="str">
        <f ca="1">IFERROR(INDEX(UNSPSCDes,MATCH(INDIRECT(ADDRESS(ROW(),COLUMN()-1,4)),UNSPSCCode,0)),IF(INDIRECT(ADDRESS(ROW(),COLUMN()-1,4))="30171505","Puertas de metal",""))</f>
        <v>Puertas de metal</v>
      </c>
      <c r="C6602" s="95" t="str">
        <f>IFERROR(VLOOKUP("UD",'Informacion '!P:Q,2,FALSE),"")</f>
        <v>Unidad</v>
      </c>
      <c r="D6602" s="94">
        <v>1</v>
      </c>
      <c r="E6602" s="84">
        <v>40000</v>
      </c>
      <c r="F6602" s="83">
        <f t="shared" ca="1" si="272"/>
        <v>40000</v>
      </c>
    </row>
    <row r="6603" spans="1:6" ht="14.1" customHeight="1" x14ac:dyDescent="0.25">
      <c r="A6603" s="94" t="s">
        <v>16128</v>
      </c>
      <c r="B6603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6603" s="95" t="str">
        <f>IFERROR(VLOOKUP("UD",'Informacion '!P:Q,2,FALSE),"")</f>
        <v>Unidad</v>
      </c>
      <c r="D6603" s="94">
        <v>1</v>
      </c>
      <c r="E6603" s="84">
        <v>80000</v>
      </c>
      <c r="F6603" s="83">
        <f t="shared" ca="1" si="272"/>
        <v>80000</v>
      </c>
    </row>
    <row r="6604" spans="1:6" ht="14.1" customHeight="1" x14ac:dyDescent="0.25">
      <c r="A6604" s="94" t="s">
        <v>13331</v>
      </c>
      <c r="B6604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6604" s="95" t="str">
        <f>IFERROR(VLOOKUP("UD",'Informacion '!P:Q,2,FALSE),"")</f>
        <v>Unidad</v>
      </c>
      <c r="D6604" s="94">
        <v>1</v>
      </c>
      <c r="E6604" s="84">
        <v>50000</v>
      </c>
      <c r="F6604" s="83">
        <f t="shared" ca="1" si="272"/>
        <v>50000</v>
      </c>
    </row>
    <row r="6605" spans="1:6" ht="14.1" customHeight="1" x14ac:dyDescent="0.25">
      <c r="A6605" s="94" t="s">
        <v>11424</v>
      </c>
      <c r="B6605" s="82" t="str">
        <f ca="1">IFERROR(INDEX(UNSPSCDes,MATCH(INDIRECT(ADDRESS(ROW(),COLUMN()-1,4)),UNSPSCCode,0)),IF(INDIRECT(ADDRESS(ROW(),COLUMN()-1,4))="30171505","Puertas de metal",""))</f>
        <v>Puertas de metal</v>
      </c>
      <c r="C6605" s="95" t="str">
        <f>IFERROR(VLOOKUP("UD",'Informacion '!P:Q,2,FALSE),"")</f>
        <v>Unidad</v>
      </c>
      <c r="D6605" s="94">
        <v>1</v>
      </c>
      <c r="E6605" s="84">
        <v>13000</v>
      </c>
      <c r="F6605" s="83">
        <f t="shared" ca="1" si="272"/>
        <v>13000</v>
      </c>
    </row>
    <row r="6606" spans="1:6" ht="14.1" customHeight="1" x14ac:dyDescent="0.25">
      <c r="A6606" s="94" t="s">
        <v>17151</v>
      </c>
      <c r="B6606" s="82" t="str">
        <f ca="1">IFERROR(INDEX(UNSPSCDes,MATCH(INDIRECT(ADDRESS(ROW(),COLUMN()-1,4)),UNSPSCCode,0)),IF(INDIRECT(ADDRESS(ROW(),COLUMN()-1,4))="56111514","Paquetes de muebles de mostrador modulares",""))</f>
        <v>Paquetes de muebles de mostrador modulares</v>
      </c>
      <c r="C6606" s="95" t="str">
        <f>IFERROR(VLOOKUP("UD",'Informacion '!P:Q,2,FALSE),"")</f>
        <v>Unidad</v>
      </c>
      <c r="D6606" s="94">
        <v>1</v>
      </c>
      <c r="E6606" s="84">
        <v>50000</v>
      </c>
      <c r="F6606" s="83">
        <f t="shared" ca="1" si="272"/>
        <v>50000</v>
      </c>
    </row>
    <row r="6607" spans="1:6" ht="14.1" customHeight="1" x14ac:dyDescent="0.25">
      <c r="A6607" s="94" t="s">
        <v>2861</v>
      </c>
      <c r="B6607" s="82" t="str">
        <f ca="1">IFERROR(INDEX(UNSPSCDes,MATCH(INDIRECT(ADDRESS(ROW(),COLUMN()-1,4)),UNSPSCCode,0)),IF(INDIRECT(ADDRESS(ROW(),COLUMN()-1,4))="30171501","Puertas de cristal",""))</f>
        <v>Puertas de cristal</v>
      </c>
      <c r="C6607" s="95" t="str">
        <f>IFERROR(VLOOKUP("UD",'Informacion '!P:Q,2,FALSE),"")</f>
        <v>Unidad</v>
      </c>
      <c r="D6607" s="94">
        <v>1</v>
      </c>
      <c r="E6607" s="84">
        <v>8000</v>
      </c>
      <c r="F6607" s="83">
        <f t="shared" ca="1" si="272"/>
        <v>8000</v>
      </c>
    </row>
    <row r="6608" spans="1:6" ht="14.1" customHeight="1" x14ac:dyDescent="0.25">
      <c r="A6608" s="94" t="s">
        <v>1643</v>
      </c>
      <c r="B6608" s="82" t="str">
        <f ca="1">IFERROR(INDEX(UNSPSCDes,MATCH(INDIRECT(ADDRESS(ROW(),COLUMN()-1,4)),UNSPSCCode,0)),IF(INDIRECT(ADDRESS(ROW(),COLUMN()-1,4))="30171514","Cerradores de puertas",""))</f>
        <v>Cerradores de puertas</v>
      </c>
      <c r="C6608" s="95" t="str">
        <f>IFERROR(VLOOKUP("UD",'Informacion '!P:Q,2,FALSE),"")</f>
        <v>Unidad</v>
      </c>
      <c r="D6608" s="94">
        <v>1</v>
      </c>
      <c r="E6608" s="84">
        <v>4000</v>
      </c>
      <c r="F6608" s="83">
        <f t="shared" ca="1" si="272"/>
        <v>4000</v>
      </c>
    </row>
    <row r="6609" spans="1:10" ht="14.1" customHeight="1" x14ac:dyDescent="0.25">
      <c r="A6609" s="94" t="s">
        <v>19478</v>
      </c>
      <c r="B6609" s="82" t="str">
        <f ca="1">IFERROR(INDEX(UNSPSCDes,MATCH(INDIRECT(ADDRESS(ROW(),COLUMN()-1,4)),UNSPSCCode,0)),IF(INDIRECT(ADDRESS(ROW(),COLUMN()-1,4))="56112104","Sillas para ejecutivos",""))</f>
        <v>Sillas para ejecutivos</v>
      </c>
      <c r="C6609" s="95" t="str">
        <f>IFERROR(VLOOKUP("UD",'Informacion '!P:Q,2,FALSE),"")</f>
        <v>Unidad</v>
      </c>
      <c r="D6609" s="94">
        <v>3</v>
      </c>
      <c r="E6609" s="84">
        <v>7000</v>
      </c>
      <c r="F6609" s="83">
        <f t="shared" ca="1" si="272"/>
        <v>21000</v>
      </c>
    </row>
    <row r="6610" spans="1:10" ht="14.1" customHeight="1" x14ac:dyDescent="0.25">
      <c r="A6610" s="94" t="s">
        <v>19478</v>
      </c>
      <c r="B6610" s="82" t="str">
        <f ca="1">IFERROR(INDEX(UNSPSCDes,MATCH(INDIRECT(ADDRESS(ROW(),COLUMN()-1,4)),UNSPSCCode,0)),IF(INDIRECT(ADDRESS(ROW(),COLUMN()-1,4))="56112104","Sillas para ejecutivos",""))</f>
        <v>Sillas para ejecutivos</v>
      </c>
      <c r="C6610" s="95" t="str">
        <f>IFERROR(VLOOKUP("UD",'Informacion '!P:Q,2,FALSE),"")</f>
        <v>Unidad</v>
      </c>
      <c r="D6610" s="94">
        <v>1</v>
      </c>
      <c r="E6610" s="84">
        <v>8000</v>
      </c>
      <c r="F6610" s="83">
        <f t="shared" ca="1" si="272"/>
        <v>8000</v>
      </c>
    </row>
    <row r="6611" spans="1:10" ht="14.1" customHeight="1" x14ac:dyDescent="0.25">
      <c r="A6611" s="94" t="s">
        <v>14102</v>
      </c>
      <c r="B6611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6611" s="95" t="str">
        <f>IFERROR(VLOOKUP("UD",'Informacion '!P:Q,2,FALSE),"")</f>
        <v>Unidad</v>
      </c>
      <c r="D6611" s="94">
        <v>4</v>
      </c>
      <c r="E6611" s="84">
        <v>24000</v>
      </c>
      <c r="F6611" s="83">
        <f t="shared" ca="1" si="272"/>
        <v>96000</v>
      </c>
    </row>
    <row r="6612" spans="1:10" ht="14.1" customHeight="1" x14ac:dyDescent="0.25">
      <c r="A6612" s="94" t="s">
        <v>12077</v>
      </c>
      <c r="B6612" s="82" t="str">
        <f ca="1">IFERROR(INDEX(UNSPSCDes,MATCH(INDIRECT(ADDRESS(ROW(),COLUMN()-1,4)),UNSPSCCode,0)),IF(INDIRECT(ADDRESS(ROW(),COLUMN()-1,4))="56101519","Mesas",""))</f>
        <v>Mesas</v>
      </c>
      <c r="C6612" s="95" t="str">
        <f>IFERROR(VLOOKUP("UD",'Informacion '!P:Q,2,FALSE),"")</f>
        <v>Unidad</v>
      </c>
      <c r="D6612" s="94">
        <v>1</v>
      </c>
      <c r="E6612" s="84">
        <v>10000</v>
      </c>
      <c r="F6612" s="83">
        <f t="shared" ca="1" si="272"/>
        <v>10000</v>
      </c>
    </row>
    <row r="6613" spans="1:10" ht="14.1" customHeight="1" x14ac:dyDescent="0.25">
      <c r="A6613" s="94" t="s">
        <v>19478</v>
      </c>
      <c r="B6613" s="82" t="str">
        <f ca="1">IFERROR(INDEX(UNSPSCDes,MATCH(INDIRECT(ADDRESS(ROW(),COLUMN()-1,4)),UNSPSCCode,0)),IF(INDIRECT(ADDRESS(ROW(),COLUMN()-1,4))="56112104","Sillas para ejecutivos",""))</f>
        <v>Sillas para ejecutivos</v>
      </c>
      <c r="C6613" s="95" t="str">
        <f>IFERROR(VLOOKUP("UD",'Informacion '!P:Q,2,FALSE),"")</f>
        <v>Unidad</v>
      </c>
      <c r="D6613" s="94">
        <v>4</v>
      </c>
      <c r="E6613" s="84">
        <v>7000</v>
      </c>
      <c r="F6613" s="83">
        <f t="shared" ca="1" si="272"/>
        <v>28000</v>
      </c>
    </row>
    <row r="6614" spans="1:10" ht="14.1" customHeight="1" x14ac:dyDescent="0.25">
      <c r="A6614" s="94" t="s">
        <v>11208</v>
      </c>
      <c r="B6614" s="82" t="str">
        <f ca="1">IFERROR(INDEX(UNSPSCDes,MATCH(INDIRECT(ADDRESS(ROW(),COLUMN()-1,4)),UNSPSCCode,0)),IF(INDIRECT(ADDRESS(ROW(),COLUMN()-1,4))="30171705","Vidrio laminado",""))</f>
        <v>Vidrio laminado</v>
      </c>
      <c r="C6614" s="95" t="str">
        <f>IFERROR(VLOOKUP("UD",'Informacion '!P:Q,2,FALSE),"")</f>
        <v>Unidad</v>
      </c>
      <c r="D6614" s="94">
        <v>1</v>
      </c>
      <c r="E6614" s="84">
        <v>7000</v>
      </c>
      <c r="F6614" s="83">
        <f t="shared" ca="1" si="272"/>
        <v>7000</v>
      </c>
    </row>
    <row r="6615" spans="1:10" ht="14.1" customHeight="1" x14ac:dyDescent="0.25">
      <c r="A6615" s="94" t="s">
        <v>12705</v>
      </c>
      <c r="B6615" s="82" t="str">
        <f ca="1">IFERROR(INDEX(UNSPSCDes,MATCH(INDIRECT(ADDRESS(ROW(),COLUMN()-1,4)),UNSPSCCode,0)),IF(INDIRECT(ADDRESS(ROW(),COLUMN()-1,4))="60104904","Kits de electricidad",""))</f>
        <v>Kits de electricidad</v>
      </c>
      <c r="C6615" s="95" t="str">
        <f>IFERROR(VLOOKUP("UD",'Informacion '!P:Q,2,FALSE),"")</f>
        <v>Unidad</v>
      </c>
      <c r="D6615" s="94">
        <v>1</v>
      </c>
      <c r="E6615" s="84">
        <v>5000</v>
      </c>
      <c r="F6615" s="83">
        <f t="shared" ca="1" si="272"/>
        <v>5000</v>
      </c>
    </row>
    <row r="6616" spans="1:10" ht="14.1" customHeight="1" x14ac:dyDescent="0.25">
      <c r="E6616" s="96" t="s">
        <v>7213</v>
      </c>
      <c r="F6616" s="87">
        <f ca="1">SUM(Table180[MONTO TOTAL ESTIMADO])</f>
        <v>50534430.998899996</v>
      </c>
      <c r="H6616" s="39" t="str">
        <f>C6516</f>
        <v>Bienes</v>
      </c>
      <c r="I6616" s="39" t="str">
        <f>E6516</f>
        <v>No</v>
      </c>
      <c r="J6616" s="39" t="str">
        <f>D6516</f>
        <v>Compras Menores</v>
      </c>
    </row>
    <row r="6618" spans="1:10" ht="33.950000000000003" customHeight="1" x14ac:dyDescent="0.25">
      <c r="A6618" s="77" t="s">
        <v>17233</v>
      </c>
      <c r="B6618" s="77" t="s">
        <v>4237</v>
      </c>
      <c r="C6618" s="77" t="s">
        <v>4743</v>
      </c>
      <c r="D6618" s="77" t="s">
        <v>9891</v>
      </c>
      <c r="E6618" s="77" t="s">
        <v>3089</v>
      </c>
      <c r="F6618" s="77" t="s">
        <v>18141</v>
      </c>
    </row>
    <row r="6619" spans="1:10" ht="14.1" customHeight="1" x14ac:dyDescent="0.25">
      <c r="A6619" s="79" t="s">
        <v>540</v>
      </c>
      <c r="B6619" s="79" t="s">
        <v>11854</v>
      </c>
      <c r="C6619" s="79" t="s">
        <v>17215</v>
      </c>
      <c r="D6619" s="79" t="s">
        <v>17798</v>
      </c>
      <c r="E6619" s="79" t="s">
        <v>18247</v>
      </c>
      <c r="F6619" s="79"/>
    </row>
    <row r="6620" spans="1:10" ht="14.1" customHeight="1" x14ac:dyDescent="0.25">
      <c r="A6620" s="2" t="s">
        <v>6643</v>
      </c>
      <c r="B6620" s="80" t="s">
        <v>1046</v>
      </c>
      <c r="C6620" s="90">
        <v>43647</v>
      </c>
      <c r="D6620" s="2" t="s">
        <v>59</v>
      </c>
      <c r="E6620" s="92" t="s">
        <v>20066</v>
      </c>
      <c r="F6620" s="93"/>
    </row>
    <row r="6621" spans="1:10" ht="14.1" customHeight="1" x14ac:dyDescent="0.25">
      <c r="A6621" s="1"/>
      <c r="B6621" s="80" t="s">
        <v>10788</v>
      </c>
      <c r="C6621" s="91">
        <f>IF(C6620="","",IF(AND(MONTH(C6620)&gt;=1,MONTH(C6620)&lt;=3),1,IF(AND(MONTH(C6620)&gt;=4,MONTH(C6620)&lt;=6),2,IF(AND(MONTH(C6620)&gt;=7,MONTH(C6620)&lt;=9),3,4))))</f>
        <v>3</v>
      </c>
      <c r="D6621" s="1"/>
      <c r="E6621" s="92" t="s">
        <v>14822</v>
      </c>
      <c r="F6621" s="93"/>
    </row>
    <row r="6622" spans="1:10" ht="14.1" customHeight="1" x14ac:dyDescent="0.25">
      <c r="A6622" s="1"/>
      <c r="B6622" s="80" t="s">
        <v>13758</v>
      </c>
      <c r="C6622" s="90">
        <v>43738</v>
      </c>
      <c r="D6622" s="1"/>
      <c r="E6622" s="92" t="s">
        <v>18636</v>
      </c>
      <c r="F6622" s="93"/>
    </row>
    <row r="6623" spans="1:10" ht="14.1" customHeight="1" x14ac:dyDescent="0.25">
      <c r="A6623" s="1"/>
      <c r="B6623" s="80" t="s">
        <v>10788</v>
      </c>
      <c r="C6623" s="91">
        <f>IF(C6622="","",IF(AND(MONTH(C6622)&gt;=1,MONTH(C6622)&lt;=3),1,IF(AND(MONTH(C6622)&gt;=4,MONTH(C6622)&lt;=6),2,IF(AND(MONTH(C6622)&gt;=7,MONTH(C6622)&lt;=9),3,4))))</f>
        <v>3</v>
      </c>
      <c r="D6623" s="1"/>
      <c r="E6623" s="92" t="s">
        <v>15990</v>
      </c>
      <c r="F6623" s="93"/>
    </row>
    <row r="6625" spans="1:6" ht="14.1" customHeight="1" x14ac:dyDescent="0.25">
      <c r="A6625" s="85" t="s">
        <v>15474</v>
      </c>
      <c r="B6625" s="85" t="s">
        <v>5027</v>
      </c>
      <c r="C6625" s="85" t="s">
        <v>17461</v>
      </c>
      <c r="D6625" s="85" t="s">
        <v>3935</v>
      </c>
      <c r="E6625" s="85" t="s">
        <v>10722</v>
      </c>
      <c r="F6625" s="85" t="s">
        <v>18237</v>
      </c>
    </row>
    <row r="6626" spans="1:6" ht="14.1" customHeight="1" x14ac:dyDescent="0.25">
      <c r="A6626" s="94" t="s">
        <v>16020</v>
      </c>
      <c r="B6626" s="82" t="str">
        <f ca="1">IFERROR(INDEX(UNSPSCDes,MATCH(INDIRECT(ADDRESS(ROW(),COLUMN()-1,4)),UNSPSCCode,0)),IF(INDIRECT(ADDRESS(ROW(),COLUMN()-1,4))="30181508","Divisiones de baños",""))</f>
        <v>Divisiones de baños</v>
      </c>
      <c r="C6626" s="95" t="str">
        <f>IFERROR(VLOOKUP("UD",'Informacion '!P:Q,2,FALSE),"")</f>
        <v>Unidad</v>
      </c>
      <c r="D6626" s="94">
        <v>6</v>
      </c>
      <c r="E6626" s="84">
        <v>200000</v>
      </c>
      <c r="F6626" s="83">
        <f t="shared" ref="F6626:F6670" ca="1" si="273">INDIRECT(ADDRESS(ROW(),COLUMN()-2,4))*INDIRECT(ADDRESS(ROW(),COLUMN()-1,4))</f>
        <v>1200000</v>
      </c>
    </row>
    <row r="6627" spans="1:6" ht="14.1" customHeight="1" x14ac:dyDescent="0.25">
      <c r="A6627" s="94" t="s">
        <v>7524</v>
      </c>
      <c r="B6627" s="82" t="str">
        <f ca="1">IFERROR(INDEX(UNSPSCDes,MATCH(INDIRECT(ADDRESS(ROW(),COLUMN()-1,4)),UNSPSCCode,0)),IF(INDIRECT(ADDRESS(ROW(),COLUMN()-1,4))="72103003","Servicios de demolición",""))</f>
        <v>Servicios de demolición</v>
      </c>
      <c r="C6627" s="95" t="str">
        <f>IFERROR(VLOOKUP("UD",'Informacion '!P:Q,2,FALSE),"")</f>
        <v>Unidad</v>
      </c>
      <c r="D6627" s="94">
        <v>2</v>
      </c>
      <c r="E6627" s="84">
        <v>6000</v>
      </c>
      <c r="F6627" s="83">
        <f t="shared" ca="1" si="273"/>
        <v>12000</v>
      </c>
    </row>
    <row r="6628" spans="1:6" ht="14.1" customHeight="1" x14ac:dyDescent="0.25">
      <c r="A6628" s="94" t="s">
        <v>13331</v>
      </c>
      <c r="B6628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6628" s="95" t="str">
        <f>IFERROR(VLOOKUP("M2",'Informacion '!P:Q,2,FALSE),"")</f>
        <v>Metro cuadrado</v>
      </c>
      <c r="D6628" s="94">
        <v>25.75</v>
      </c>
      <c r="E6628" s="84">
        <v>1087</v>
      </c>
      <c r="F6628" s="83">
        <f t="shared" ca="1" si="273"/>
        <v>27990.25</v>
      </c>
    </row>
    <row r="6629" spans="1:6" ht="14.1" customHeight="1" x14ac:dyDescent="0.25">
      <c r="A6629" s="94" t="s">
        <v>5110</v>
      </c>
      <c r="B6629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6629" s="95" t="str">
        <f>IFERROR(VLOOKUP("M2",'Informacion '!P:Q,2,FALSE),"")</f>
        <v>Metro cuadrado</v>
      </c>
      <c r="D6629" s="94">
        <v>79.31</v>
      </c>
      <c r="E6629" s="84">
        <v>397</v>
      </c>
      <c r="F6629" s="83">
        <f t="shared" ca="1" si="273"/>
        <v>31486.07</v>
      </c>
    </row>
    <row r="6630" spans="1:6" ht="14.1" customHeight="1" x14ac:dyDescent="0.25">
      <c r="A6630" s="94" t="s">
        <v>10743</v>
      </c>
      <c r="B6630" s="82" t="str">
        <f ca="1">IFERROR(INDEX(UNSPSCDes,MATCH(INDIRECT(ADDRESS(ROW(),COLUMN()-1,4)),UNSPSCCode,0)),IF(INDIRECT(ADDRESS(ROW(),COLUMN()-1,4))="27111807","Bordes rectos",""))</f>
        <v>Bordes rectos</v>
      </c>
      <c r="C6630" s="95" t="str">
        <f>IFERROR(VLOOKUP("M",'Informacion '!P:Q,2,FALSE),"")</f>
        <v>Metro</v>
      </c>
      <c r="D6630" s="94">
        <v>32.6</v>
      </c>
      <c r="E6630" s="84">
        <v>83.3</v>
      </c>
      <c r="F6630" s="83">
        <f t="shared" ca="1" si="273"/>
        <v>2715.58</v>
      </c>
    </row>
    <row r="6631" spans="1:6" ht="14.1" customHeight="1" x14ac:dyDescent="0.25">
      <c r="A6631" s="94" t="s">
        <v>10743</v>
      </c>
      <c r="B6631" s="82" t="str">
        <f ca="1">IFERROR(INDEX(UNSPSCDes,MATCH(INDIRECT(ADDRESS(ROW(),COLUMN()-1,4)),UNSPSCCode,0)),IF(INDIRECT(ADDRESS(ROW(),COLUMN()-1,4))="27111807","Bordes rectos",""))</f>
        <v>Bordes rectos</v>
      </c>
      <c r="C6631" s="95" t="str">
        <f>IFERROR(VLOOKUP("M",'Informacion '!P:Q,2,FALSE),"")</f>
        <v>Metro</v>
      </c>
      <c r="D6631" s="94">
        <v>16.3</v>
      </c>
      <c r="E6631" s="84">
        <v>83.3</v>
      </c>
      <c r="F6631" s="83">
        <f t="shared" ca="1" si="273"/>
        <v>1357.79</v>
      </c>
    </row>
    <row r="6632" spans="1:6" ht="14.1" customHeight="1" x14ac:dyDescent="0.25">
      <c r="A6632" s="94" t="s">
        <v>19089</v>
      </c>
      <c r="B6632" s="82" t="str">
        <f ca="1">IFERROR(INDEX(UNSPSCDes,MATCH(INDIRECT(ADDRESS(ROW(),COLUMN()-1,4)),UNSPSCCode,0)),IF(INDIRECT(ADDRESS(ROW(),COLUMN()-1,4))="31211505","Pinturas de aceite",""))</f>
        <v>Pinturas de aceite</v>
      </c>
      <c r="C6632" s="95" t="str">
        <f>IFERROR(VLOOKUP("M2",'Informacion '!P:Q,2,FALSE),"")</f>
        <v>Metro cuadrado</v>
      </c>
      <c r="D6632" s="94">
        <v>72</v>
      </c>
      <c r="E6632" s="84">
        <v>180</v>
      </c>
      <c r="F6632" s="83">
        <f t="shared" ca="1" si="273"/>
        <v>12960</v>
      </c>
    </row>
    <row r="6633" spans="1:6" ht="14.1" customHeight="1" x14ac:dyDescent="0.25">
      <c r="A6633" s="94" t="s">
        <v>12382</v>
      </c>
      <c r="B6633" s="82" t="str">
        <f ca="1">IFERROR(INDEX(UNSPSCDes,MATCH(INDIRECT(ADDRESS(ROW(),COLUMN()-1,4)),UNSPSCCode,0)),IF(INDIRECT(ADDRESS(ROW(),COLUMN()-1,4))="31211508","Pinturas acrílicas",""))</f>
        <v>Pinturas acrílicas</v>
      </c>
      <c r="C6633" s="95" t="str">
        <f>IFERROR(VLOOKUP("M2",'Informacion '!P:Q,2,FALSE),"")</f>
        <v>Metro cuadrado</v>
      </c>
      <c r="D6633" s="94">
        <v>27.58</v>
      </c>
      <c r="E6633" s="84">
        <v>180</v>
      </c>
      <c r="F6633" s="83">
        <f t="shared" ca="1" si="273"/>
        <v>4964.3999999999996</v>
      </c>
    </row>
    <row r="6634" spans="1:6" ht="14.1" customHeight="1" x14ac:dyDescent="0.25">
      <c r="A6634" s="94" t="s">
        <v>1899</v>
      </c>
      <c r="B6634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6634" s="95" t="str">
        <f>IFERROR(VLOOKUP("M2",'Informacion '!P:Q,2,FALSE),"")</f>
        <v>Metro cuadrado</v>
      </c>
      <c r="D6634" s="94">
        <v>25.12</v>
      </c>
      <c r="E6634" s="84">
        <v>1100</v>
      </c>
      <c r="F6634" s="83">
        <f t="shared" ca="1" si="273"/>
        <v>27632</v>
      </c>
    </row>
    <row r="6635" spans="1:6" ht="14.1" customHeight="1" x14ac:dyDescent="0.25">
      <c r="A6635" s="94" t="s">
        <v>2861</v>
      </c>
      <c r="B6635" s="82" t="str">
        <f ca="1">IFERROR(INDEX(UNSPSCDes,MATCH(INDIRECT(ADDRESS(ROW(),COLUMN()-1,4)),UNSPSCCode,0)),IF(INDIRECT(ADDRESS(ROW(),COLUMN()-1,4))="30171501","Puertas de cristal",""))</f>
        <v>Puertas de cristal</v>
      </c>
      <c r="C6635" s="95" t="str">
        <f>IFERROR(VLOOKUP("UD",'Informacion '!P:Q,2,FALSE),"")</f>
        <v>Unidad</v>
      </c>
      <c r="D6635" s="94">
        <v>3</v>
      </c>
      <c r="E6635" s="84">
        <v>27650</v>
      </c>
      <c r="F6635" s="83">
        <f t="shared" ca="1" si="273"/>
        <v>82950</v>
      </c>
    </row>
    <row r="6636" spans="1:6" ht="14.1" customHeight="1" x14ac:dyDescent="0.25">
      <c r="A6636" s="94" t="s">
        <v>9738</v>
      </c>
      <c r="B6636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6636" s="95" t="str">
        <f>IFERROR(VLOOKUP("UD",'Informacion '!P:Q,2,FALSE),"")</f>
        <v>Unidad</v>
      </c>
      <c r="D6636" s="94">
        <v>1</v>
      </c>
      <c r="E6636" s="84">
        <v>1500</v>
      </c>
      <c r="F6636" s="83">
        <f t="shared" ca="1" si="273"/>
        <v>1500</v>
      </c>
    </row>
    <row r="6637" spans="1:6" ht="14.1" customHeight="1" x14ac:dyDescent="0.25">
      <c r="A6637" s="94" t="s">
        <v>12887</v>
      </c>
      <c r="B6637" s="82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6637" s="95" t="str">
        <f>IFERROR(VLOOKUP("UD",'Informacion '!P:Q,2,FALSE),"")</f>
        <v>Unidad</v>
      </c>
      <c r="D6637" s="94">
        <v>1</v>
      </c>
      <c r="E6637" s="84">
        <v>20000</v>
      </c>
      <c r="F6637" s="83">
        <f t="shared" ca="1" si="273"/>
        <v>20000</v>
      </c>
    </row>
    <row r="6638" spans="1:6" ht="14.1" customHeight="1" x14ac:dyDescent="0.25">
      <c r="A6638" s="94" t="s">
        <v>17157</v>
      </c>
      <c r="B6638" s="82" t="str">
        <f ca="1">IFERROR(INDEX(UNSPSCDes,MATCH(INDIRECT(ADDRESS(ROW(),COLUMN()-1,4)),UNSPSCCode,0)),IF(INDIRECT(ADDRESS(ROW(),COLUMN()-1,4))="48102101","Mostradores",""))</f>
        <v>Mostradores</v>
      </c>
      <c r="C6638" s="95" t="str">
        <f>IFERROR(VLOOKUP("UD",'Informacion '!P:Q,2,FALSE),"")</f>
        <v>Unidad</v>
      </c>
      <c r="D6638" s="94">
        <v>1</v>
      </c>
      <c r="E6638" s="84">
        <v>35000</v>
      </c>
      <c r="F6638" s="83">
        <f t="shared" ca="1" si="273"/>
        <v>35000</v>
      </c>
    </row>
    <row r="6639" spans="1:6" ht="14.1" customHeight="1" x14ac:dyDescent="0.25">
      <c r="A6639" s="94" t="s">
        <v>8503</v>
      </c>
      <c r="B6639" s="82" t="str">
        <f ca="1">IFERROR(INDEX(UNSPSCDes,MATCH(INDIRECT(ADDRESS(ROW(),COLUMN()-1,4)),UNSPSCCode,0)),IF(INDIRECT(ADDRESS(ROW(),COLUMN()-1,4))="21101512","Gastos generales de riego",""))</f>
        <v>Gastos generales de riego</v>
      </c>
      <c r="C6639" s="95" t="str">
        <f>IFERROR(VLOOKUP("UD",'Informacion '!P:Q,2,FALSE),"")</f>
        <v>Unidad</v>
      </c>
      <c r="D6639" s="94">
        <v>1</v>
      </c>
      <c r="E6639" s="84">
        <v>60000</v>
      </c>
      <c r="F6639" s="83">
        <f t="shared" ca="1" si="273"/>
        <v>60000</v>
      </c>
    </row>
    <row r="6640" spans="1:6" ht="14.1" customHeight="1" x14ac:dyDescent="0.25">
      <c r="A6640" s="94" t="s">
        <v>15033</v>
      </c>
      <c r="B6640" s="82" t="str">
        <f ca="1">IFERROR(INDEX(UNSPSCDes,MATCH(INDIRECT(ADDRESS(ROW(),COLUMN()-1,4)),UNSPSCCode,0)),IF(INDIRECT(ADDRESS(ROW(),COLUMN()-1,4))="30102004","Lámina de acero",""))</f>
        <v>Lámina de acero</v>
      </c>
      <c r="C6640" s="95" t="str">
        <f>IFERROR(VLOOKUP("M2",'Informacion '!P:Q,2,FALSE),"")</f>
        <v>Metro cuadrado</v>
      </c>
      <c r="D6640" s="94">
        <v>11</v>
      </c>
      <c r="E6640" s="84">
        <v>6038</v>
      </c>
      <c r="F6640" s="83">
        <f t="shared" ca="1" si="273"/>
        <v>66418</v>
      </c>
    </row>
    <row r="6641" spans="1:6" ht="14.1" customHeight="1" x14ac:dyDescent="0.25">
      <c r="A6641" s="94" t="s">
        <v>10743</v>
      </c>
      <c r="B6641" s="82" t="str">
        <f ca="1">IFERROR(INDEX(UNSPSCDes,MATCH(INDIRECT(ADDRESS(ROW(),COLUMN()-1,4)),UNSPSCCode,0)),IF(INDIRECT(ADDRESS(ROW(),COLUMN()-1,4))="27111807","Bordes rectos",""))</f>
        <v>Bordes rectos</v>
      </c>
      <c r="C6641" s="95" t="str">
        <f>IFERROR(VLOOKUP("M",'Informacion '!P:Q,2,FALSE),"")</f>
        <v>Metro</v>
      </c>
      <c r="D6641" s="94">
        <v>15.6</v>
      </c>
      <c r="E6641" s="84">
        <v>83.3</v>
      </c>
      <c r="F6641" s="83">
        <f t="shared" ca="1" si="273"/>
        <v>1299.48</v>
      </c>
    </row>
    <row r="6642" spans="1:6" ht="14.1" customHeight="1" x14ac:dyDescent="0.25">
      <c r="A6642" s="94" t="s">
        <v>6403</v>
      </c>
      <c r="B6642" s="82" t="str">
        <f ca="1">IFERROR(INDEX(UNSPSCDes,MATCH(INDIRECT(ADDRESS(ROW(),COLUMN()-1,4)),UNSPSCCode,0)),IF(INDIRECT(ADDRESS(ROW(),COLUMN()-1,4))="30191601","Barandas",""))</f>
        <v>Barandas</v>
      </c>
      <c r="C6642" s="95" t="str">
        <f>IFERROR(VLOOKUP("FT2",'Informacion '!P:Q,2,FALSE),"")</f>
        <v>Pie cuadrado</v>
      </c>
      <c r="D6642" s="94">
        <v>118</v>
      </c>
      <c r="E6642" s="84">
        <v>395</v>
      </c>
      <c r="F6642" s="83">
        <f t="shared" ca="1" si="273"/>
        <v>46610</v>
      </c>
    </row>
    <row r="6643" spans="1:6" ht="14.1" customHeight="1" x14ac:dyDescent="0.25">
      <c r="A6643" s="94" t="s">
        <v>12887</v>
      </c>
      <c r="B6643" s="82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6643" s="95" t="str">
        <f>IFERROR(VLOOKUP("M2",'Informacion '!P:Q,2,FALSE),"")</f>
        <v>Metro cuadrado</v>
      </c>
      <c r="D6643" s="94">
        <v>15</v>
      </c>
      <c r="E6643" s="84">
        <v>4750</v>
      </c>
      <c r="F6643" s="83">
        <f t="shared" ca="1" si="273"/>
        <v>71250</v>
      </c>
    </row>
    <row r="6644" spans="1:6" ht="14.1" customHeight="1" x14ac:dyDescent="0.25">
      <c r="A6644" s="94" t="s">
        <v>13331</v>
      </c>
      <c r="B6644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6644" s="95" t="str">
        <f>IFERROR(VLOOKUP("M2",'Informacion '!P:Q,2,FALSE),"")</f>
        <v>Metro cuadrado</v>
      </c>
      <c r="D6644" s="94">
        <v>5.0599999999999996</v>
      </c>
      <c r="E6644" s="84">
        <v>914</v>
      </c>
      <c r="F6644" s="83">
        <f t="shared" ca="1" si="273"/>
        <v>4624.8399999999992</v>
      </c>
    </row>
    <row r="6645" spans="1:6" ht="14.1" customHeight="1" x14ac:dyDescent="0.25">
      <c r="A6645" s="94" t="s">
        <v>18068</v>
      </c>
      <c r="B6645" s="82" t="str">
        <f ca="1">IFERROR(INDEX(UNSPSCDes,MATCH(INDIRECT(ADDRESS(ROW(),COLUMN()-1,4)),UNSPSCCode,0)),IF(INDIRECT(ADDRESS(ROW(),COLUMN()-1,4))="72103004","Servicios de excavación",""))</f>
        <v>Servicios de excavación</v>
      </c>
      <c r="C6645" s="95" t="str">
        <f>IFERROR(VLOOKUP("M3",'Informacion '!P:Q,2,FALSE),"")</f>
        <v>Metro cúbico</v>
      </c>
      <c r="D6645" s="94">
        <v>1.4</v>
      </c>
      <c r="E6645" s="84">
        <v>12230.96</v>
      </c>
      <c r="F6645" s="83">
        <f t="shared" ca="1" si="273"/>
        <v>17123.343999999997</v>
      </c>
    </row>
    <row r="6646" spans="1:6" ht="14.1" customHeight="1" x14ac:dyDescent="0.25">
      <c r="A6646" s="94" t="s">
        <v>7976</v>
      </c>
      <c r="B6646" s="82" t="str">
        <f ca="1">IFERROR(INDEX(UNSPSCDes,MATCH(INDIRECT(ADDRESS(ROW(),COLUMN()-1,4)),UNSPSCCode,0)),IF(INDIRECT(ADDRESS(ROW(),COLUMN()-1,4))="56101712","Pedestales",""))</f>
        <v>Pedestales</v>
      </c>
      <c r="C6646" s="95" t="str">
        <f>IFERROR(VLOOKUP("M3",'Informacion '!P:Q,2,FALSE),"")</f>
        <v>Metro cúbico</v>
      </c>
      <c r="D6646" s="94">
        <v>0.64</v>
      </c>
      <c r="E6646" s="84">
        <v>38700.21</v>
      </c>
      <c r="F6646" s="83">
        <f t="shared" ca="1" si="273"/>
        <v>24768.134399999999</v>
      </c>
    </row>
    <row r="6647" spans="1:6" ht="14.1" customHeight="1" x14ac:dyDescent="0.25">
      <c r="A6647" s="94" t="s">
        <v>5110</v>
      </c>
      <c r="B6647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6647" s="95" t="str">
        <f>IFERROR(VLOOKUP("M2",'Informacion '!P:Q,2,FALSE),"")</f>
        <v>Metro cuadrado</v>
      </c>
      <c r="D6647" s="94">
        <v>10.119999999999999</v>
      </c>
      <c r="E6647" s="84">
        <v>300</v>
      </c>
      <c r="F6647" s="83">
        <f t="shared" ca="1" si="273"/>
        <v>3035.9999999999995</v>
      </c>
    </row>
    <row r="6648" spans="1:6" ht="14.1" customHeight="1" x14ac:dyDescent="0.25">
      <c r="A6648" s="94" t="s">
        <v>13331</v>
      </c>
      <c r="B6648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6648" s="95" t="str">
        <f>IFERROR(VLOOKUP("M2",'Informacion '!P:Q,2,FALSE),"")</f>
        <v>Metro cuadrado</v>
      </c>
      <c r="D6648" s="94">
        <v>16</v>
      </c>
      <c r="E6648" s="84">
        <v>950</v>
      </c>
      <c r="F6648" s="83">
        <f t="shared" ca="1" si="273"/>
        <v>15200</v>
      </c>
    </row>
    <row r="6649" spans="1:6" ht="14.1" customHeight="1" x14ac:dyDescent="0.25">
      <c r="A6649" s="94" t="s">
        <v>13951</v>
      </c>
      <c r="B6649" s="82" t="str">
        <f ca="1">IFERROR(INDEX(UNSPSCDes,MATCH(INDIRECT(ADDRESS(ROW(),COLUMN()-1,4)),UNSPSCCode,0)),IF(INDIRECT(ADDRESS(ROW(),COLUMN()-1,4))="39111521","Plafones",""))</f>
        <v>Plafones</v>
      </c>
      <c r="C6649" s="95" t="str">
        <f>IFERROR(VLOOKUP("M2",'Informacion '!P:Q,2,FALSE),"")</f>
        <v>Metro cuadrado</v>
      </c>
      <c r="D6649" s="94">
        <v>10</v>
      </c>
      <c r="E6649" s="84">
        <v>1100</v>
      </c>
      <c r="F6649" s="83">
        <f t="shared" ca="1" si="273"/>
        <v>11000</v>
      </c>
    </row>
    <row r="6650" spans="1:6" ht="14.1" customHeight="1" x14ac:dyDescent="0.25">
      <c r="A6650" s="94" t="s">
        <v>12382</v>
      </c>
      <c r="B6650" s="82" t="str">
        <f ca="1">IFERROR(INDEX(UNSPSCDes,MATCH(INDIRECT(ADDRESS(ROW(),COLUMN()-1,4)),UNSPSCCode,0)),IF(INDIRECT(ADDRESS(ROW(),COLUMN()-1,4))="31211508","Pinturas acrílicas",""))</f>
        <v>Pinturas acrílicas</v>
      </c>
      <c r="C6650" s="95" t="str">
        <f>IFERROR(VLOOKUP("M2",'Informacion '!P:Q,2,FALSE),"")</f>
        <v>Metro cuadrado</v>
      </c>
      <c r="D6650" s="94">
        <v>32</v>
      </c>
      <c r="E6650" s="84">
        <v>101.03</v>
      </c>
      <c r="F6650" s="83">
        <f t="shared" ca="1" si="273"/>
        <v>3232.96</v>
      </c>
    </row>
    <row r="6651" spans="1:6" ht="14.1" customHeight="1" x14ac:dyDescent="0.25">
      <c r="A6651" s="94" t="s">
        <v>4875</v>
      </c>
      <c r="B6651" s="82" t="str">
        <f ca="1">IFERROR(INDEX(UNSPSCDes,MATCH(INDIRECT(ADDRESS(ROW(),COLUMN()-1,4)),UNSPSCCode,0)),IF(INDIRECT(ADDRESS(ROW(),COLUMN()-1,4))="31211502","Pinturas de agua",""))</f>
        <v>Pinturas de agua</v>
      </c>
      <c r="C6651" s="95" t="str">
        <f>IFERROR(VLOOKUP("M2",'Informacion '!P:Q,2,FALSE),"")</f>
        <v>Metro cuadrado</v>
      </c>
      <c r="D6651" s="94">
        <v>40</v>
      </c>
      <c r="E6651" s="84">
        <v>160</v>
      </c>
      <c r="F6651" s="83">
        <f t="shared" ca="1" si="273"/>
        <v>6400</v>
      </c>
    </row>
    <row r="6652" spans="1:6" ht="14.1" customHeight="1" x14ac:dyDescent="0.25">
      <c r="A6652" s="94" t="s">
        <v>2861</v>
      </c>
      <c r="B6652" s="82" t="str">
        <f ca="1">IFERROR(INDEX(UNSPSCDes,MATCH(INDIRECT(ADDRESS(ROW(),COLUMN()-1,4)),UNSPSCCode,0)),IF(INDIRECT(ADDRESS(ROW(),COLUMN()-1,4))="30171501","Puertas de cristal",""))</f>
        <v>Puertas de cristal</v>
      </c>
      <c r="C6652" s="95" t="str">
        <f>IFERROR(VLOOKUP("UD",'Informacion '!P:Q,2,FALSE),"")</f>
        <v>Unidad</v>
      </c>
      <c r="D6652" s="94">
        <v>1</v>
      </c>
      <c r="E6652" s="84">
        <v>18000</v>
      </c>
      <c r="F6652" s="83">
        <f t="shared" ca="1" si="273"/>
        <v>18000</v>
      </c>
    </row>
    <row r="6653" spans="1:6" ht="14.1" customHeight="1" x14ac:dyDescent="0.25">
      <c r="A6653" s="94" t="s">
        <v>8752</v>
      </c>
      <c r="B6653" s="82" t="str">
        <f ca="1">IFERROR(INDEX(UNSPSCDes,MATCH(INDIRECT(ADDRESS(ROW(),COLUMN()-1,4)),UNSPSCCode,0)),IF(INDIRECT(ADDRESS(ROW(),COLUMN()-1,4))="73121802","Servicios de fabricación vidrio o productos de vidrio",""))</f>
        <v>Servicios de fabricación vidrio o productos de vidrio</v>
      </c>
      <c r="C6653" s="95" t="str">
        <f>IFERROR(VLOOKUP("FT2",'Informacion '!P:Q,2,FALSE),"")</f>
        <v>Pie cuadrado</v>
      </c>
      <c r="D6653" s="94">
        <v>68.25</v>
      </c>
      <c r="E6653" s="84">
        <v>350</v>
      </c>
      <c r="F6653" s="83">
        <f t="shared" ca="1" si="273"/>
        <v>23887.5</v>
      </c>
    </row>
    <row r="6654" spans="1:6" ht="14.1" customHeight="1" x14ac:dyDescent="0.25">
      <c r="A6654" s="94" t="s">
        <v>1899</v>
      </c>
      <c r="B6654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6654" s="95" t="str">
        <f>IFERROR(VLOOKUP("M2",'Informacion '!P:Q,2,FALSE),"")</f>
        <v>Metro cuadrado</v>
      </c>
      <c r="D6654" s="94">
        <v>11</v>
      </c>
      <c r="E6654" s="84">
        <v>1200</v>
      </c>
      <c r="F6654" s="83">
        <f t="shared" ca="1" si="273"/>
        <v>13200</v>
      </c>
    </row>
    <row r="6655" spans="1:6" ht="14.1" customHeight="1" x14ac:dyDescent="0.25">
      <c r="A6655" s="94" t="s">
        <v>5924</v>
      </c>
      <c r="B6655" s="82" t="str">
        <f ca="1">IFERROR(INDEX(UNSPSCDes,MATCH(INDIRECT(ADDRESS(ROW(),COLUMN()-1,4)),UNSPSCCode,0)),IF(INDIRECT(ADDRESS(ROW(),COLUMN()-1,4))="32141107","Zócalos de tubo",""))</f>
        <v>Zócalos de tubo</v>
      </c>
      <c r="C6655" s="95" t="str">
        <f>IFERROR(VLOOKUP("M2",'Informacion '!P:Q,2,FALSE),"")</f>
        <v>Metro cuadrado</v>
      </c>
      <c r="D6655" s="94">
        <v>18.260000000000002</v>
      </c>
      <c r="E6655" s="84">
        <v>206</v>
      </c>
      <c r="F6655" s="83">
        <f t="shared" ca="1" si="273"/>
        <v>3761.5600000000004</v>
      </c>
    </row>
    <row r="6656" spans="1:6" ht="14.1" customHeight="1" x14ac:dyDescent="0.25">
      <c r="A6656" s="94" t="s">
        <v>12657</v>
      </c>
      <c r="B6656" s="82" t="str">
        <f ca="1">IFERROR(INDEX(UNSPSCDes,MATCH(INDIRECT(ADDRESS(ROW(),COLUMN()-1,4)),UNSPSCCode,0)),IF(INDIRECT(ADDRESS(ROW(),COLUMN()-1,4))="27131605","Cortina de aire",""))</f>
        <v>Cortina de aire</v>
      </c>
      <c r="C6656" s="95" t="str">
        <f>IFERROR(VLOOKUP("UD",'Informacion '!P:Q,2,FALSE),"")</f>
        <v>Unidad</v>
      </c>
      <c r="D6656" s="94">
        <v>1</v>
      </c>
      <c r="E6656" s="84">
        <v>10000</v>
      </c>
      <c r="F6656" s="83">
        <f t="shared" ca="1" si="273"/>
        <v>10000</v>
      </c>
    </row>
    <row r="6657" spans="1:10" ht="14.1" customHeight="1" x14ac:dyDescent="0.25">
      <c r="A6657" s="94" t="s">
        <v>1803</v>
      </c>
      <c r="B6657" s="82" t="str">
        <f ca="1">IFERROR(INDEX(UNSPSCDes,MATCH(INDIRECT(ADDRESS(ROW(),COLUMN()-1,4)),UNSPSCCode,0)),IF(INDIRECT(ADDRESS(ROW(),COLUMN()-1,4))="70171802","Drenaje de agua pluviales",""))</f>
        <v>Drenaje de agua pluviales</v>
      </c>
      <c r="C6657" s="95" t="str">
        <f>IFERROR(VLOOKUP("UD",'Informacion '!P:Q,2,FALSE),"")</f>
        <v>Unidad</v>
      </c>
      <c r="D6657" s="94">
        <v>1</v>
      </c>
      <c r="E6657" s="84">
        <v>10000</v>
      </c>
      <c r="F6657" s="83">
        <f t="shared" ca="1" si="273"/>
        <v>10000</v>
      </c>
    </row>
    <row r="6658" spans="1:10" ht="14.1" customHeight="1" x14ac:dyDescent="0.25">
      <c r="A6658" s="94" t="s">
        <v>17157</v>
      </c>
      <c r="B6658" s="82" t="str">
        <f ca="1">IFERROR(INDEX(UNSPSCDes,MATCH(INDIRECT(ADDRESS(ROW(),COLUMN()-1,4)),UNSPSCCode,0)),IF(INDIRECT(ADDRESS(ROW(),COLUMN()-1,4))="48102101","Mostradores",""))</f>
        <v>Mostradores</v>
      </c>
      <c r="C6658" s="95" t="str">
        <f>IFERROR(VLOOKUP("UD",'Informacion '!P:Q,2,FALSE),"")</f>
        <v>Unidad</v>
      </c>
      <c r="D6658" s="94">
        <v>1</v>
      </c>
      <c r="E6658" s="84">
        <v>30000</v>
      </c>
      <c r="F6658" s="83">
        <f t="shared" ca="1" si="273"/>
        <v>30000</v>
      </c>
    </row>
    <row r="6659" spans="1:10" ht="14.1" customHeight="1" x14ac:dyDescent="0.25">
      <c r="A6659" s="94" t="s">
        <v>12629</v>
      </c>
      <c r="B6659" s="82" t="str">
        <f ca="1">IFERROR(INDEX(UNSPSCDes,MATCH(INDIRECT(ADDRESS(ROW(),COLUMN()-1,4)),UNSPSCCode,0)),IF(INDIRECT(ADDRESS(ROW(),COLUMN()-1,4))="56112105","Sillas para descansar",""))</f>
        <v>Sillas para descansar</v>
      </c>
      <c r="C6659" s="95" t="str">
        <f>IFERROR(VLOOKUP("UD",'Informacion '!P:Q,2,FALSE),"")</f>
        <v>Unidad</v>
      </c>
      <c r="D6659" s="94">
        <v>1</v>
      </c>
      <c r="E6659" s="84">
        <v>7000</v>
      </c>
      <c r="F6659" s="83">
        <f t="shared" ca="1" si="273"/>
        <v>7000</v>
      </c>
    </row>
    <row r="6660" spans="1:10" ht="14.1" customHeight="1" x14ac:dyDescent="0.25">
      <c r="A6660" s="94" t="s">
        <v>12705</v>
      </c>
      <c r="B6660" s="82" t="str">
        <f ca="1">IFERROR(INDEX(UNSPSCDes,MATCH(INDIRECT(ADDRESS(ROW(),COLUMN()-1,4)),UNSPSCCode,0)),IF(INDIRECT(ADDRESS(ROW(),COLUMN()-1,4))="60104904","Kits de electricidad",""))</f>
        <v>Kits de electricidad</v>
      </c>
      <c r="C6660" s="95" t="str">
        <f>IFERROR(VLOOKUP("UD",'Informacion '!P:Q,2,FALSE),"")</f>
        <v>Unidad</v>
      </c>
      <c r="D6660" s="94">
        <v>1</v>
      </c>
      <c r="E6660" s="84">
        <v>40000</v>
      </c>
      <c r="F6660" s="83">
        <f t="shared" ca="1" si="273"/>
        <v>40000</v>
      </c>
    </row>
    <row r="6661" spans="1:10" ht="14.1" customHeight="1" x14ac:dyDescent="0.25">
      <c r="A6661" s="94" t="s">
        <v>19337</v>
      </c>
      <c r="B6661" s="82" t="str">
        <f ca="1">IFERROR(INDEX(UNSPSCDes,MATCH(INDIRECT(ADDRESS(ROW(),COLUMN()-1,4)),UNSPSCCode,0)),IF(INDIRECT(ADDRESS(ROW(),COLUMN()-1,4))="30171504","Puertas de madera",""))</f>
        <v>Puertas de madera</v>
      </c>
      <c r="C6661" s="95" t="str">
        <f>IFERROR(VLOOKUP("UD",'Informacion '!P:Q,2,FALSE),"")</f>
        <v>Unidad</v>
      </c>
      <c r="D6661" s="94">
        <v>1</v>
      </c>
      <c r="E6661" s="84">
        <v>29500</v>
      </c>
      <c r="F6661" s="83">
        <f t="shared" ca="1" si="273"/>
        <v>29500</v>
      </c>
    </row>
    <row r="6662" spans="1:10" ht="14.1" customHeight="1" x14ac:dyDescent="0.25">
      <c r="A6662" s="94" t="s">
        <v>8503</v>
      </c>
      <c r="B6662" s="82" t="str">
        <f ca="1">IFERROR(INDEX(UNSPSCDes,MATCH(INDIRECT(ADDRESS(ROW(),COLUMN()-1,4)),UNSPSCCode,0)),IF(INDIRECT(ADDRESS(ROW(),COLUMN()-1,4))="21101512","Gastos generales de riego",""))</f>
        <v>Gastos generales de riego</v>
      </c>
      <c r="C6662" s="95" t="str">
        <f>IFERROR(VLOOKUP("UD",'Informacion '!P:Q,2,FALSE),"")</f>
        <v>Unidad</v>
      </c>
      <c r="D6662" s="94">
        <v>1</v>
      </c>
      <c r="E6662" s="84">
        <v>100000</v>
      </c>
      <c r="F6662" s="83">
        <f t="shared" ca="1" si="273"/>
        <v>100000</v>
      </c>
    </row>
    <row r="6663" spans="1:10" ht="14.1" customHeight="1" x14ac:dyDescent="0.25">
      <c r="A6663" s="94" t="s">
        <v>2688</v>
      </c>
      <c r="B6663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6663" s="95" t="str">
        <f>IFERROR(VLOOKUP("UD",'Informacion '!P:Q,2,FALSE),"")</f>
        <v>Unidad</v>
      </c>
      <c r="D6663" s="94">
        <v>1</v>
      </c>
      <c r="E6663" s="84">
        <v>100000</v>
      </c>
      <c r="F6663" s="83">
        <f t="shared" ca="1" si="273"/>
        <v>100000</v>
      </c>
    </row>
    <row r="6664" spans="1:10" ht="14.1" customHeight="1" x14ac:dyDescent="0.25">
      <c r="A6664" s="94" t="s">
        <v>12708</v>
      </c>
      <c r="B6664" s="82" t="str">
        <f ca="1">IFERROR(INDEX(UNSPSCDes,MATCH(INDIRECT(ADDRESS(ROW(),COLUMN()-1,4)),UNSPSCCode,0)),IF(INDIRECT(ADDRESS(ROW(),COLUMN()-1,4))="81141804","Servicio de inspección de equipos",""))</f>
        <v>Servicio de inspección de equipos</v>
      </c>
      <c r="C6664" s="95" t="str">
        <f>IFERROR(VLOOKUP("UD",'Informacion '!P:Q,2,FALSE),"")</f>
        <v>Unidad</v>
      </c>
      <c r="D6664" s="94">
        <v>1</v>
      </c>
      <c r="E6664" s="84">
        <v>110000</v>
      </c>
      <c r="F6664" s="83">
        <f t="shared" ca="1" si="273"/>
        <v>110000</v>
      </c>
    </row>
    <row r="6665" spans="1:10" ht="14.1" customHeight="1" x14ac:dyDescent="0.25">
      <c r="A6665" s="94" t="s">
        <v>7009</v>
      </c>
      <c r="B6665" s="82" t="str">
        <f ca="1">IFERROR(INDEX(UNSPSCDes,MATCH(INDIRECT(ADDRESS(ROW(),COLUMN()-1,4)),UNSPSCCode,0)),IF(INDIRECT(ADDRESS(ROW(),COLUMN()-1,4))="44102801","Laminadoras",""))</f>
        <v>Laminadoras</v>
      </c>
      <c r="C6665" s="95" t="str">
        <f>IFERROR(VLOOKUP("UD",'Informacion '!P:Q,2,FALSE),"")</f>
        <v>Unidad</v>
      </c>
      <c r="D6665" s="94">
        <v>1</v>
      </c>
      <c r="E6665" s="84">
        <v>85000</v>
      </c>
      <c r="F6665" s="83">
        <f t="shared" ca="1" si="273"/>
        <v>85000</v>
      </c>
    </row>
    <row r="6666" spans="1:10" ht="14.1" customHeight="1" x14ac:dyDescent="0.25">
      <c r="A6666" s="94" t="s">
        <v>14971</v>
      </c>
      <c r="B6666" s="82" t="str">
        <f ca="1">IFERROR(INDEX(UNSPSCDes,MATCH(INDIRECT(ADDRESS(ROW(),COLUMN()-1,4)),UNSPSCCode,0)),IF(INDIRECT(ADDRESS(ROW(),COLUMN()-1,4))="72102701","Entarimado, instalación o acabado de suelos",""))</f>
        <v>Entarimado, instalación o acabado de suelos</v>
      </c>
      <c r="C6666" s="95" t="str">
        <f>IFERROR(VLOOKUP("UD",'Informacion '!P:Q,2,FALSE),"")</f>
        <v>Unidad</v>
      </c>
      <c r="D6666" s="94">
        <v>1</v>
      </c>
      <c r="E6666" s="84">
        <v>40000</v>
      </c>
      <c r="F6666" s="83">
        <f t="shared" ca="1" si="273"/>
        <v>40000</v>
      </c>
    </row>
    <row r="6667" spans="1:10" ht="14.1" customHeight="1" x14ac:dyDescent="0.25">
      <c r="A6667" s="94" t="s">
        <v>12382</v>
      </c>
      <c r="B6667" s="82" t="str">
        <f ca="1">IFERROR(INDEX(UNSPSCDes,MATCH(INDIRECT(ADDRESS(ROW(),COLUMN()-1,4)),UNSPSCCode,0)),IF(INDIRECT(ADDRESS(ROW(),COLUMN()-1,4))="31211508","Pinturas acrílicas",""))</f>
        <v>Pinturas acrílicas</v>
      </c>
      <c r="C6667" s="95" t="str">
        <f>IFERROR(VLOOKUP("UD",'Informacion '!P:Q,2,FALSE),"")</f>
        <v>Unidad</v>
      </c>
      <c r="D6667" s="94">
        <v>3</v>
      </c>
      <c r="E6667" s="84">
        <v>6500</v>
      </c>
      <c r="F6667" s="83">
        <f t="shared" ca="1" si="273"/>
        <v>19500</v>
      </c>
    </row>
    <row r="6668" spans="1:10" ht="14.1" customHeight="1" x14ac:dyDescent="0.25">
      <c r="A6668" s="94" t="s">
        <v>13951</v>
      </c>
      <c r="B6668" s="82" t="str">
        <f ca="1">IFERROR(INDEX(UNSPSCDes,MATCH(INDIRECT(ADDRESS(ROW(),COLUMN()-1,4)),UNSPSCCode,0)),IF(INDIRECT(ADDRESS(ROW(),COLUMN()-1,4))="39111521","Plafones",""))</f>
        <v>Plafones</v>
      </c>
      <c r="C6668" s="95" t="str">
        <f>IFERROR(VLOOKUP("UD",'Informacion '!P:Q,2,FALSE),"")</f>
        <v>Unidad</v>
      </c>
      <c r="D6668" s="94">
        <v>1</v>
      </c>
      <c r="E6668" s="84">
        <v>110500</v>
      </c>
      <c r="F6668" s="83">
        <f t="shared" ca="1" si="273"/>
        <v>110500</v>
      </c>
    </row>
    <row r="6669" spans="1:10" ht="14.1" customHeight="1" x14ac:dyDescent="0.25">
      <c r="A6669" s="94" t="s">
        <v>1284</v>
      </c>
      <c r="B6669" s="82" t="str">
        <f ca="1">IFERROR(INDEX(UNSPSCDes,MATCH(INDIRECT(ADDRESS(ROW(),COLUMN()-1,4)),UNSPSCCode,0)),IF(INDIRECT(ADDRESS(ROW(),COLUMN()-1,4))="81112201","Tarifas de soporte o mantenimiento",""))</f>
        <v>Tarifas de soporte o mantenimiento</v>
      </c>
      <c r="C6669" s="95" t="str">
        <f>IFERROR(VLOOKUP("UD",'Informacion '!P:Q,2,FALSE),"")</f>
        <v>Unidad</v>
      </c>
      <c r="D6669" s="94">
        <v>1</v>
      </c>
      <c r="E6669" s="84">
        <v>50000</v>
      </c>
      <c r="F6669" s="83">
        <f t="shared" ca="1" si="273"/>
        <v>50000</v>
      </c>
    </row>
    <row r="6670" spans="1:10" ht="14.1" customHeight="1" x14ac:dyDescent="0.25">
      <c r="A6670" s="94" t="s">
        <v>15916</v>
      </c>
      <c r="B6670" s="82" t="str">
        <f ca="1">IFERROR(INDEX(UNSPSCDes,MATCH(INDIRECT(ADDRESS(ROW(),COLUMN()-1,4)),UNSPSCCode,0)),IF(INDIRECT(ADDRESS(ROW(),COLUMN()-1,4))="52101502","Alfombras",""))</f>
        <v>Alfombras</v>
      </c>
      <c r="C6670" s="95" t="str">
        <f>IFERROR(VLOOKUP("UD",'Informacion '!P:Q,2,FALSE),"")</f>
        <v>Unidad</v>
      </c>
      <c r="D6670" s="94">
        <v>1</v>
      </c>
      <c r="E6670" s="84">
        <v>45000</v>
      </c>
      <c r="F6670" s="83">
        <f t="shared" ca="1" si="273"/>
        <v>45000</v>
      </c>
    </row>
    <row r="6671" spans="1:10" ht="14.1" customHeight="1" x14ac:dyDescent="0.25">
      <c r="E6671" s="96" t="s">
        <v>7213</v>
      </c>
      <c r="F6671" s="87">
        <f ca="1">SUM(Table181[MONTO TOTAL ESTIMADO])</f>
        <v>2636867.9084000001</v>
      </c>
      <c r="H6671" s="39" t="str">
        <f>C6619</f>
        <v>Bienes</v>
      </c>
      <c r="I6671" s="39" t="str">
        <f>E6619</f>
        <v>No</v>
      </c>
      <c r="J6671" s="39" t="str">
        <f>D6619</f>
        <v>Compras Menores</v>
      </c>
    </row>
    <row r="6673" spans="1:10" ht="33.950000000000003" customHeight="1" x14ac:dyDescent="0.25">
      <c r="A6673" s="77" t="s">
        <v>17233</v>
      </c>
      <c r="B6673" s="77" t="s">
        <v>4237</v>
      </c>
      <c r="C6673" s="77" t="s">
        <v>4743</v>
      </c>
      <c r="D6673" s="77" t="s">
        <v>9891</v>
      </c>
      <c r="E6673" s="77" t="s">
        <v>3089</v>
      </c>
      <c r="F6673" s="77" t="s">
        <v>18141</v>
      </c>
    </row>
    <row r="6674" spans="1:10" ht="14.1" customHeight="1" x14ac:dyDescent="0.25">
      <c r="A6674" s="79" t="s">
        <v>7839</v>
      </c>
      <c r="B6674" s="79" t="s">
        <v>11854</v>
      </c>
      <c r="C6674" s="79" t="s">
        <v>17215</v>
      </c>
      <c r="D6674" s="79" t="s">
        <v>17798</v>
      </c>
      <c r="E6674" s="79" t="s">
        <v>18247</v>
      </c>
      <c r="F6674" s="79"/>
    </row>
    <row r="6675" spans="1:10" ht="14.1" customHeight="1" x14ac:dyDescent="0.25">
      <c r="A6675" s="2" t="s">
        <v>6643</v>
      </c>
      <c r="B6675" s="80" t="s">
        <v>1046</v>
      </c>
      <c r="C6675" s="90">
        <v>43739</v>
      </c>
      <c r="D6675" s="2" t="s">
        <v>59</v>
      </c>
      <c r="E6675" s="92" t="s">
        <v>20066</v>
      </c>
      <c r="F6675" s="93"/>
    </row>
    <row r="6676" spans="1:10" ht="14.1" customHeight="1" x14ac:dyDescent="0.25">
      <c r="A6676" s="1"/>
      <c r="B6676" s="80" t="s">
        <v>10788</v>
      </c>
      <c r="C6676" s="91">
        <f>IF(C6675="","",IF(AND(MONTH(C6675)&gt;=1,MONTH(C6675)&lt;=3),1,IF(AND(MONTH(C6675)&gt;=4,MONTH(C6675)&lt;=6),2,IF(AND(MONTH(C6675)&gt;=7,MONTH(C6675)&lt;=9),3,4))))</f>
        <v>4</v>
      </c>
      <c r="D6676" s="1"/>
      <c r="E6676" s="92" t="s">
        <v>14822</v>
      </c>
      <c r="F6676" s="93"/>
    </row>
    <row r="6677" spans="1:10" ht="14.1" customHeight="1" x14ac:dyDescent="0.25">
      <c r="A6677" s="1"/>
      <c r="B6677" s="80" t="s">
        <v>13758</v>
      </c>
      <c r="C6677" s="90">
        <v>43830</v>
      </c>
      <c r="D6677" s="1"/>
      <c r="E6677" s="92" t="s">
        <v>18636</v>
      </c>
      <c r="F6677" s="93"/>
    </row>
    <row r="6678" spans="1:10" ht="14.1" customHeight="1" x14ac:dyDescent="0.25">
      <c r="A6678" s="1"/>
      <c r="B6678" s="80" t="s">
        <v>10788</v>
      </c>
      <c r="C6678" s="91">
        <f>IF(C6677="","",IF(AND(MONTH(C6677)&gt;=1,MONTH(C6677)&lt;=3),1,IF(AND(MONTH(C6677)&gt;=4,MONTH(C6677)&lt;=6),2,IF(AND(MONTH(C6677)&gt;=7,MONTH(C6677)&lt;=9),3,4))))</f>
        <v>4</v>
      </c>
      <c r="D6678" s="1"/>
      <c r="E6678" s="92" t="s">
        <v>15990</v>
      </c>
      <c r="F6678" s="93"/>
    </row>
    <row r="6680" spans="1:10" ht="14.1" customHeight="1" x14ac:dyDescent="0.25">
      <c r="A6680" s="85" t="s">
        <v>15474</v>
      </c>
      <c r="B6680" s="85" t="s">
        <v>5027</v>
      </c>
      <c r="C6680" s="85" t="s">
        <v>17461</v>
      </c>
      <c r="D6680" s="85" t="s">
        <v>3935</v>
      </c>
      <c r="E6680" s="85" t="s">
        <v>10722</v>
      </c>
      <c r="F6680" s="85" t="s">
        <v>18237</v>
      </c>
    </row>
    <row r="6681" spans="1:10" ht="14.1" customHeight="1" x14ac:dyDescent="0.25">
      <c r="A6681" s="94" t="s">
        <v>16020</v>
      </c>
      <c r="B6681" s="82" t="str">
        <f ca="1">IFERROR(INDEX(UNSPSCDes,MATCH(INDIRECT(ADDRESS(ROW(),COLUMN()-1,4)),UNSPSCCode,0)),IF(INDIRECT(ADDRESS(ROW(),COLUMN()-1,4))="30181508","Divisiones de baños",""))</f>
        <v>Divisiones de baños</v>
      </c>
      <c r="C6681" s="95" t="str">
        <f>IFERROR(VLOOKUP("UD",'Informacion '!P:Q,2,FALSE),"")</f>
        <v>Unidad</v>
      </c>
      <c r="D6681" s="94">
        <v>6</v>
      </c>
      <c r="E6681" s="84">
        <v>200000</v>
      </c>
      <c r="F6681" s="83">
        <f ca="1">INDIRECT(ADDRESS(ROW(),COLUMN()-2,4))*INDIRECT(ADDRESS(ROW(),COLUMN()-1,4))</f>
        <v>1200000</v>
      </c>
    </row>
    <row r="6682" spans="1:10" ht="14.1" customHeight="1" x14ac:dyDescent="0.25">
      <c r="A6682" s="94" t="s">
        <v>4141</v>
      </c>
      <c r="B6682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6682" s="95" t="str">
        <f>IFERROR(VLOOKUP("UD",'Informacion '!P:Q,2,FALSE),"")</f>
        <v>Unidad</v>
      </c>
      <c r="D6682" s="94">
        <v>1</v>
      </c>
      <c r="E6682" s="84">
        <v>4800000</v>
      </c>
      <c r="F6682" s="83">
        <f ca="1">INDIRECT(ADDRESS(ROW(),COLUMN()-2,4))*INDIRECT(ADDRESS(ROW(),COLUMN()-1,4))</f>
        <v>4800000</v>
      </c>
    </row>
    <row r="6683" spans="1:10" ht="14.1" customHeight="1" x14ac:dyDescent="0.25">
      <c r="A6683" s="94" t="s">
        <v>4141</v>
      </c>
      <c r="B6683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6683" s="95" t="str">
        <f>IFERROR(VLOOKUP("UD",'Informacion '!P:Q,2,FALSE),"")</f>
        <v>Unidad</v>
      </c>
      <c r="D6683" s="94">
        <v>1</v>
      </c>
      <c r="E6683" s="84">
        <v>2500000</v>
      </c>
      <c r="F6683" s="83">
        <f ca="1">INDIRECT(ADDRESS(ROW(),COLUMN()-2,4))*INDIRECT(ADDRESS(ROW(),COLUMN()-1,4))</f>
        <v>2500000</v>
      </c>
    </row>
    <row r="6684" spans="1:10" ht="14.1" customHeight="1" x14ac:dyDescent="0.25">
      <c r="E6684" s="96" t="s">
        <v>7213</v>
      </c>
      <c r="F6684" s="87">
        <f ca="1">SUM(Table182[MONTO TOTAL ESTIMADO])</f>
        <v>8500000</v>
      </c>
      <c r="H6684" s="39" t="str">
        <f>C6674</f>
        <v>Bienes</v>
      </c>
      <c r="I6684" s="39" t="str">
        <f>E6674</f>
        <v>No</v>
      </c>
      <c r="J6684" s="39" t="str">
        <f>D6674</f>
        <v>Compras Menores</v>
      </c>
    </row>
    <row r="6686" spans="1:10" ht="33.950000000000003" customHeight="1" x14ac:dyDescent="0.25">
      <c r="A6686" s="77" t="s">
        <v>17233</v>
      </c>
      <c r="B6686" s="77" t="s">
        <v>4237</v>
      </c>
      <c r="C6686" s="77" t="s">
        <v>4743</v>
      </c>
      <c r="D6686" s="77" t="s">
        <v>9891</v>
      </c>
      <c r="E6686" s="77" t="s">
        <v>3089</v>
      </c>
      <c r="F6686" s="77" t="s">
        <v>18141</v>
      </c>
    </row>
    <row r="6687" spans="1:10" ht="14.1" customHeight="1" x14ac:dyDescent="0.25">
      <c r="A6687" s="79" t="s">
        <v>17457</v>
      </c>
      <c r="B6687" s="79" t="s">
        <v>2182</v>
      </c>
      <c r="C6687" s="79" t="s">
        <v>17215</v>
      </c>
      <c r="D6687" s="79" t="s">
        <v>17798</v>
      </c>
      <c r="E6687" s="79" t="s">
        <v>18247</v>
      </c>
      <c r="F6687" s="79"/>
    </row>
    <row r="6688" spans="1:10" ht="14.1" customHeight="1" x14ac:dyDescent="0.25">
      <c r="A6688" s="2" t="s">
        <v>6643</v>
      </c>
      <c r="B6688" s="80" t="s">
        <v>1046</v>
      </c>
      <c r="C6688" s="90">
        <v>43474</v>
      </c>
      <c r="D6688" s="2" t="s">
        <v>59</v>
      </c>
      <c r="E6688" s="92" t="s">
        <v>20066</v>
      </c>
      <c r="F6688" s="93" t="s">
        <v>5684</v>
      </c>
    </row>
    <row r="6689" spans="1:6" ht="14.1" customHeight="1" x14ac:dyDescent="0.25">
      <c r="A6689" s="1"/>
      <c r="B6689" s="80" t="s">
        <v>10788</v>
      </c>
      <c r="C6689" s="91">
        <f>IF(C6688="","",IF(AND(MONTH(C6688)&gt;=1,MONTH(C6688)&lt;=3),1,IF(AND(MONTH(C6688)&gt;=4,MONTH(C6688)&lt;=6),2,IF(AND(MONTH(C6688)&gt;=7,MONTH(C6688)&lt;=9),3,4))))</f>
        <v>1</v>
      </c>
      <c r="D6689" s="1"/>
      <c r="E6689" s="92" t="s">
        <v>14822</v>
      </c>
      <c r="F6689" s="93"/>
    </row>
    <row r="6690" spans="1:6" ht="14.1" customHeight="1" x14ac:dyDescent="0.25">
      <c r="A6690" s="1"/>
      <c r="B6690" s="80" t="s">
        <v>13758</v>
      </c>
      <c r="C6690" s="90">
        <v>43554</v>
      </c>
      <c r="D6690" s="1"/>
      <c r="E6690" s="92" t="s">
        <v>18636</v>
      </c>
      <c r="F6690" s="93"/>
    </row>
    <row r="6691" spans="1:6" ht="14.1" customHeight="1" x14ac:dyDescent="0.25">
      <c r="A6691" s="1"/>
      <c r="B6691" s="80" t="s">
        <v>10788</v>
      </c>
      <c r="C6691" s="91">
        <f>IF(C6690="","",IF(AND(MONTH(C6690)&gt;=1,MONTH(C6690)&lt;=3),1,IF(AND(MONTH(C6690)&gt;=4,MONTH(C6690)&lt;=6),2,IF(AND(MONTH(C6690)&gt;=7,MONTH(C6690)&lt;=9),3,4))))</f>
        <v>1</v>
      </c>
      <c r="D6691" s="1"/>
      <c r="E6691" s="92" t="s">
        <v>15990</v>
      </c>
      <c r="F6691" s="93"/>
    </row>
    <row r="6693" spans="1:6" ht="14.1" customHeight="1" x14ac:dyDescent="0.25">
      <c r="A6693" s="85" t="s">
        <v>15474</v>
      </c>
      <c r="B6693" s="85" t="s">
        <v>5027</v>
      </c>
      <c r="C6693" s="85" t="s">
        <v>17461</v>
      </c>
      <c r="D6693" s="85" t="s">
        <v>3935</v>
      </c>
      <c r="E6693" s="85" t="s">
        <v>10722</v>
      </c>
      <c r="F6693" s="85" t="s">
        <v>18237</v>
      </c>
    </row>
    <row r="6694" spans="1:6" ht="14.1" customHeight="1" x14ac:dyDescent="0.25">
      <c r="A6694" s="94" t="s">
        <v>435</v>
      </c>
      <c r="B669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694" s="95" t="str">
        <f>IFERROR(VLOOKUP("UD",'Informacion '!P:Q,2,FALSE),"")</f>
        <v>Unidad</v>
      </c>
      <c r="D6694" s="94">
        <v>245</v>
      </c>
      <c r="E6694" s="84">
        <v>23.24</v>
      </c>
      <c r="F6694" s="83">
        <f t="shared" ref="F6694:F6712" ca="1" si="274">INDIRECT(ADDRESS(ROW(),COLUMN()-2,4))*INDIRECT(ADDRESS(ROW(),COLUMN()-1,4))</f>
        <v>5693.7999999999993</v>
      </c>
    </row>
    <row r="6695" spans="1:6" ht="14.1" customHeight="1" x14ac:dyDescent="0.25">
      <c r="A6695" s="94" t="s">
        <v>10944</v>
      </c>
      <c r="B6695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6695" s="95" t="str">
        <f>IFERROR(VLOOKUP("UD",'Informacion '!P:Q,2,FALSE),"")</f>
        <v>Unidad</v>
      </c>
      <c r="D6695" s="94">
        <v>692</v>
      </c>
      <c r="E6695" s="84">
        <v>95</v>
      </c>
      <c r="F6695" s="83">
        <f t="shared" ca="1" si="274"/>
        <v>65740</v>
      </c>
    </row>
    <row r="6696" spans="1:6" ht="14.1" customHeight="1" x14ac:dyDescent="0.25">
      <c r="A6696" s="94" t="s">
        <v>1884</v>
      </c>
      <c r="B6696" s="82" t="str">
        <f ca="1">IFERROR(INDEX(UNSPSCDes,MATCH(INDIRECT(ADDRESS(ROW(),COLUMN()-1,4)),UNSPSCCode,0)),IF(INDIRECT(ADDRESS(ROW(),COLUMN()-1,4))="14121504","Papel de empaque",""))</f>
        <v>Papel de empaque</v>
      </c>
      <c r="C6696" s="95" t="str">
        <f>IFERROR(VLOOKUP("UD",'Informacion '!P:Q,2,FALSE),"")</f>
        <v>Unidad</v>
      </c>
      <c r="D6696" s="94">
        <v>6</v>
      </c>
      <c r="E6696" s="84">
        <v>1748.04</v>
      </c>
      <c r="F6696" s="83">
        <f t="shared" ca="1" si="274"/>
        <v>10488.24</v>
      </c>
    </row>
    <row r="6697" spans="1:6" ht="14.1" customHeight="1" x14ac:dyDescent="0.25">
      <c r="A6697" s="94" t="s">
        <v>5212</v>
      </c>
      <c r="B6697" s="82" t="str">
        <f ca="1">IFERROR(INDEX(UNSPSCDes,MATCH(INDIRECT(ADDRESS(ROW(),COLUMN()-1,4)),UNSPSCCode,0)),IF(INDIRECT(ADDRESS(ROW(),COLUMN()-1,4))="23153035","Placa",""))</f>
        <v>Placa</v>
      </c>
      <c r="C6697" s="95" t="str">
        <f>IFERROR(VLOOKUP("UD",'Informacion '!P:Q,2,FALSE),"")</f>
        <v>Unidad</v>
      </c>
      <c r="D6697" s="94">
        <v>2</v>
      </c>
      <c r="E6697" s="84">
        <v>649</v>
      </c>
      <c r="F6697" s="83">
        <f t="shared" ca="1" si="274"/>
        <v>1298</v>
      </c>
    </row>
    <row r="6698" spans="1:6" ht="14.1" customHeight="1" x14ac:dyDescent="0.25">
      <c r="A6698" s="94" t="s">
        <v>12725</v>
      </c>
      <c r="B6698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6698" s="95" t="str">
        <f>IFERROR(VLOOKUP("UD",'Informacion '!P:Q,2,FALSE),"")</f>
        <v>Unidad</v>
      </c>
      <c r="D6698" s="94">
        <v>1</v>
      </c>
      <c r="E6698" s="84">
        <v>147.69999999999999</v>
      </c>
      <c r="F6698" s="83">
        <f t="shared" ca="1" si="274"/>
        <v>147.69999999999999</v>
      </c>
    </row>
    <row r="6699" spans="1:6" ht="14.1" customHeight="1" x14ac:dyDescent="0.25">
      <c r="A6699" s="94" t="s">
        <v>7220</v>
      </c>
      <c r="B6699" s="82" t="str">
        <f ca="1">IFERROR(INDEX(UNSPSCDes,MATCH(INDIRECT(ADDRESS(ROW(),COLUMN()-1,4)),UNSPSCCode,0)),IF(INDIRECT(ADDRESS(ROW(),COLUMN()-1,4))="42142502","Agujas para anestesia",""))</f>
        <v>Agujas para anestesia</v>
      </c>
      <c r="C6699" s="95" t="str">
        <f>IFERROR(VLOOKUP("UD",'Informacion '!P:Q,2,FALSE),"")</f>
        <v>Unidad</v>
      </c>
      <c r="D6699" s="94">
        <v>9</v>
      </c>
      <c r="E6699" s="84">
        <v>325.83</v>
      </c>
      <c r="F6699" s="83">
        <f t="shared" ca="1" si="274"/>
        <v>2932.47</v>
      </c>
    </row>
    <row r="6700" spans="1:6" ht="14.1" customHeight="1" x14ac:dyDescent="0.25">
      <c r="A6700" s="94" t="s">
        <v>11921</v>
      </c>
      <c r="B6700" s="82" t="str">
        <f ca="1">IFERROR(INDEX(UNSPSCDes,MATCH(INDIRECT(ADDRESS(ROW(),COLUMN()-1,4)),UNSPSCCode,0)),IF(INDIRECT(ADDRESS(ROW(),COLUMN()-1,4))="30111602","Cal clorada",""))</f>
        <v>Cal clorada</v>
      </c>
      <c r="C6700" s="95" t="str">
        <f>IFERROR(VLOOKUP("UD",'Informacion '!P:Q,2,FALSE),"")</f>
        <v>Unidad</v>
      </c>
      <c r="D6700" s="94">
        <v>6</v>
      </c>
      <c r="E6700" s="84">
        <v>1168.2</v>
      </c>
      <c r="F6700" s="83">
        <f t="shared" ca="1" si="274"/>
        <v>7009.2000000000007</v>
      </c>
    </row>
    <row r="6701" spans="1:6" ht="14.1" customHeight="1" x14ac:dyDescent="0.25">
      <c r="A6701" s="94" t="s">
        <v>3074</v>
      </c>
      <c r="B6701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6701" s="95" t="str">
        <f>IFERROR(VLOOKUP("UD",'Informacion '!P:Q,2,FALSE),"")</f>
        <v>Unidad</v>
      </c>
      <c r="D6701" s="94">
        <v>1</v>
      </c>
      <c r="E6701" s="84">
        <v>580.77</v>
      </c>
      <c r="F6701" s="83">
        <f t="shared" ca="1" si="274"/>
        <v>580.77</v>
      </c>
    </row>
    <row r="6702" spans="1:6" ht="14.1" customHeight="1" x14ac:dyDescent="0.25">
      <c r="A6702" s="94" t="s">
        <v>16195</v>
      </c>
      <c r="B6702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6702" s="95" t="str">
        <f>IFERROR(VLOOKUP("UD",'Informacion '!P:Q,2,FALSE),"")</f>
        <v>Unidad</v>
      </c>
      <c r="D6702" s="94">
        <v>23584</v>
      </c>
      <c r="E6702" s="84">
        <v>0.39</v>
      </c>
      <c r="F6702" s="83">
        <f t="shared" ca="1" si="274"/>
        <v>9197.76</v>
      </c>
    </row>
    <row r="6703" spans="1:6" ht="14.1" customHeight="1" x14ac:dyDescent="0.25">
      <c r="A6703" s="94" t="s">
        <v>18956</v>
      </c>
      <c r="B6703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703" s="95" t="str">
        <f>IFERROR(VLOOKUP("UD",'Informacion '!P:Q,2,FALSE),"")</f>
        <v>Unidad</v>
      </c>
      <c r="D6703" s="94">
        <v>143</v>
      </c>
      <c r="E6703" s="84">
        <v>1.48</v>
      </c>
      <c r="F6703" s="83">
        <f t="shared" ca="1" si="274"/>
        <v>211.64</v>
      </c>
    </row>
    <row r="6704" spans="1:6" ht="14.1" customHeight="1" x14ac:dyDescent="0.25">
      <c r="A6704" s="94" t="s">
        <v>2064</v>
      </c>
      <c r="B6704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6704" s="95" t="str">
        <f>IFERROR(VLOOKUP("UD",'Informacion '!P:Q,2,FALSE),"")</f>
        <v>Unidad</v>
      </c>
      <c r="D6704" s="94">
        <v>6</v>
      </c>
      <c r="E6704" s="84">
        <v>255.54</v>
      </c>
      <c r="F6704" s="83">
        <f t="shared" ca="1" si="274"/>
        <v>1533.24</v>
      </c>
    </row>
    <row r="6705" spans="1:10" ht="14.1" customHeight="1" x14ac:dyDescent="0.25">
      <c r="A6705" s="94" t="s">
        <v>10483</v>
      </c>
      <c r="B6705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6705" s="95" t="str">
        <f>IFERROR(VLOOKUP("UD",'Informacion '!P:Q,2,FALSE),"")</f>
        <v>Unidad</v>
      </c>
      <c r="D6705" s="94">
        <v>57</v>
      </c>
      <c r="E6705" s="84">
        <v>644</v>
      </c>
      <c r="F6705" s="83">
        <f t="shared" ca="1" si="274"/>
        <v>36708</v>
      </c>
    </row>
    <row r="6706" spans="1:10" ht="14.1" customHeight="1" x14ac:dyDescent="0.25">
      <c r="A6706" s="94" t="s">
        <v>10045</v>
      </c>
      <c r="B6706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6706" s="95" t="str">
        <f>IFERROR(VLOOKUP("UD",'Informacion '!P:Q,2,FALSE),"")</f>
        <v>Unidad</v>
      </c>
      <c r="D6706" s="94">
        <v>1</v>
      </c>
      <c r="E6706" s="84">
        <v>744.18</v>
      </c>
      <c r="F6706" s="83">
        <f t="shared" ca="1" si="274"/>
        <v>744.18</v>
      </c>
    </row>
    <row r="6707" spans="1:10" ht="14.1" customHeight="1" x14ac:dyDescent="0.25">
      <c r="A6707" s="94" t="s">
        <v>4298</v>
      </c>
      <c r="B6707" s="82" t="str">
        <f ca="1">IFERROR(INDEX(UNSPSCDes,MATCH(INDIRECT(ADDRESS(ROW(),COLUMN()-1,4)),UNSPSCCode,0)),IF(INDIRECT(ADDRESS(ROW(),COLUMN()-1,4))="39121436","Electrodos",""))</f>
        <v>Electrodos</v>
      </c>
      <c r="C6707" s="95" t="str">
        <f>IFERROR(VLOOKUP("UD",'Informacion '!P:Q,2,FALSE),"")</f>
        <v>Unidad</v>
      </c>
      <c r="D6707" s="94">
        <v>3</v>
      </c>
      <c r="E6707" s="84">
        <v>53.24</v>
      </c>
      <c r="F6707" s="83">
        <f t="shared" ca="1" si="274"/>
        <v>159.72</v>
      </c>
    </row>
    <row r="6708" spans="1:10" ht="14.1" customHeight="1" x14ac:dyDescent="0.25">
      <c r="A6708" s="94" t="s">
        <v>3604</v>
      </c>
      <c r="B6708" s="82" t="str">
        <f ca="1">IFERROR(INDEX(UNSPSCDes,MATCH(INDIRECT(ADDRESS(ROW(),COLUMN()-1,4)),UNSPSCCode,0)),IF(INDIRECT(ADDRESS(ROW(),COLUMN()-1,4))="12352501","Formaldehidos",""))</f>
        <v>Formaldehidos</v>
      </c>
      <c r="C6708" s="95" t="str">
        <f>IFERROR(VLOOKUP("UD",'Informacion '!P:Q,2,FALSE),"")</f>
        <v>Unidad</v>
      </c>
      <c r="D6708" s="94">
        <v>9</v>
      </c>
      <c r="E6708" s="84">
        <v>3334.6</v>
      </c>
      <c r="F6708" s="83">
        <f t="shared" ca="1" si="274"/>
        <v>30011.399999999998</v>
      </c>
    </row>
    <row r="6709" spans="1:10" ht="14.1" customHeight="1" x14ac:dyDescent="0.25">
      <c r="A6709" s="94" t="s">
        <v>18114</v>
      </c>
      <c r="B6709" s="82" t="str">
        <f ca="1">IFERROR(INDEX(UNSPSCDes,MATCH(INDIRECT(ADDRESS(ROW(),COLUMN()-1,4)),UNSPSCCode,0)),IF(INDIRECT(ADDRESS(ROW(),COLUMN()-1,4))="31201503","Cinta de enmascarar",""))</f>
        <v>Cinta de enmascarar</v>
      </c>
      <c r="C6709" s="95" t="str">
        <f>IFERROR(VLOOKUP("UD",'Informacion '!P:Q,2,FALSE),"")</f>
        <v>Unidad</v>
      </c>
      <c r="D6709" s="94">
        <v>13</v>
      </c>
      <c r="E6709" s="84">
        <v>344.07</v>
      </c>
      <c r="F6709" s="83">
        <f t="shared" ca="1" si="274"/>
        <v>4472.91</v>
      </c>
    </row>
    <row r="6710" spans="1:10" ht="14.1" customHeight="1" x14ac:dyDescent="0.25">
      <c r="A6710" s="94" t="s">
        <v>13602</v>
      </c>
      <c r="B6710" s="82" t="str">
        <f ca="1">IFERROR(INDEX(UNSPSCDes,MATCH(INDIRECT(ADDRESS(ROW(),COLUMN()-1,4)),UNSPSCCode,0)),IF(INDIRECT(ADDRESS(ROW(),COLUMN()-1,4))="27111502","Navajas de afeitar",""))</f>
        <v>Navajas de afeitar</v>
      </c>
      <c r="C6710" s="95" t="str">
        <f>IFERROR(VLOOKUP("UD",'Informacion '!P:Q,2,FALSE),"")</f>
        <v>Unidad</v>
      </c>
      <c r="D6710" s="94">
        <v>2</v>
      </c>
      <c r="E6710" s="84">
        <v>38.17</v>
      </c>
      <c r="F6710" s="83">
        <f t="shared" ca="1" si="274"/>
        <v>76.34</v>
      </c>
    </row>
    <row r="6711" spans="1:10" ht="14.1" customHeight="1" x14ac:dyDescent="0.25">
      <c r="A6711" s="94" t="s">
        <v>18114</v>
      </c>
      <c r="B6711" s="82" t="str">
        <f ca="1">IFERROR(INDEX(UNSPSCDes,MATCH(INDIRECT(ADDRESS(ROW(),COLUMN()-1,4)),UNSPSCCode,0)),IF(INDIRECT(ADDRESS(ROW(),COLUMN()-1,4))="31201503","Cinta de enmascarar",""))</f>
        <v>Cinta de enmascarar</v>
      </c>
      <c r="C6711" s="95" t="str">
        <f>IFERROR(VLOOKUP("UD",'Informacion '!P:Q,2,FALSE),"")</f>
        <v>Unidad</v>
      </c>
      <c r="D6711" s="94">
        <v>32</v>
      </c>
      <c r="E6711" s="84">
        <v>490.28</v>
      </c>
      <c r="F6711" s="83">
        <f t="shared" ca="1" si="274"/>
        <v>15688.96</v>
      </c>
    </row>
    <row r="6712" spans="1:10" ht="14.1" customHeight="1" x14ac:dyDescent="0.25">
      <c r="A6712" s="94" t="s">
        <v>3581</v>
      </c>
      <c r="B6712" s="82" t="str">
        <f ca="1">IFERROR(INDEX(UNSPSCDes,MATCH(INDIRECT(ADDRESS(ROW(),COLUMN()-1,4)),UNSPSCCode,0)),IF(INDIRECT(ADDRESS(ROW(),COLUMN()-1,4))="42132104","Almohadas antimicrobianas para hospital",""))</f>
        <v>Almohadas antimicrobianas para hospital</v>
      </c>
      <c r="C6712" s="95" t="str">
        <f>IFERROR(VLOOKUP("UD",'Informacion '!P:Q,2,FALSE),"")</f>
        <v>Unidad</v>
      </c>
      <c r="D6712" s="94">
        <v>5</v>
      </c>
      <c r="E6712" s="84">
        <v>40</v>
      </c>
      <c r="F6712" s="83">
        <f t="shared" ca="1" si="274"/>
        <v>200</v>
      </c>
    </row>
    <row r="6713" spans="1:10" ht="14.1" customHeight="1" x14ac:dyDescent="0.25">
      <c r="E6713" s="96" t="s">
        <v>7213</v>
      </c>
      <c r="F6713" s="87">
        <f ca="1">SUM(Table183[MONTO TOTAL ESTIMADO])</f>
        <v>192894.33</v>
      </c>
      <c r="H6713" s="39" t="str">
        <f>C6687</f>
        <v>Bienes</v>
      </c>
      <c r="I6713" s="39" t="str">
        <f>E6687</f>
        <v>No</v>
      </c>
      <c r="J6713" s="39" t="str">
        <f>D6687</f>
        <v>Compras Menores</v>
      </c>
    </row>
    <row r="6715" spans="1:10" ht="33.950000000000003" customHeight="1" x14ac:dyDescent="0.25">
      <c r="A6715" s="77" t="s">
        <v>17233</v>
      </c>
      <c r="B6715" s="77" t="s">
        <v>4237</v>
      </c>
      <c r="C6715" s="77" t="s">
        <v>4743</v>
      </c>
      <c r="D6715" s="77" t="s">
        <v>9891</v>
      </c>
      <c r="E6715" s="77" t="s">
        <v>3089</v>
      </c>
      <c r="F6715" s="77" t="s">
        <v>18141</v>
      </c>
    </row>
    <row r="6716" spans="1:10" ht="14.1" customHeight="1" x14ac:dyDescent="0.25">
      <c r="A6716" s="79" t="s">
        <v>14548</v>
      </c>
      <c r="B6716" s="79" t="s">
        <v>2182</v>
      </c>
      <c r="C6716" s="79" t="s">
        <v>17215</v>
      </c>
      <c r="D6716" s="79" t="s">
        <v>17798</v>
      </c>
      <c r="E6716" s="79" t="s">
        <v>18247</v>
      </c>
      <c r="F6716" s="79"/>
    </row>
    <row r="6717" spans="1:10" ht="14.1" customHeight="1" x14ac:dyDescent="0.25">
      <c r="A6717" s="2" t="s">
        <v>6643</v>
      </c>
      <c r="B6717" s="80" t="s">
        <v>1046</v>
      </c>
      <c r="C6717" s="90">
        <v>43556</v>
      </c>
      <c r="D6717" s="2" t="s">
        <v>59</v>
      </c>
      <c r="E6717" s="92" t="s">
        <v>20066</v>
      </c>
      <c r="F6717" s="93" t="s">
        <v>5684</v>
      </c>
    </row>
    <row r="6718" spans="1:10" ht="14.1" customHeight="1" x14ac:dyDescent="0.25">
      <c r="A6718" s="1"/>
      <c r="B6718" s="80" t="s">
        <v>10788</v>
      </c>
      <c r="C6718" s="91">
        <f>IF(C6717="","",IF(AND(MONTH(C6717)&gt;=1,MONTH(C6717)&lt;=3),1,IF(AND(MONTH(C6717)&gt;=4,MONTH(C6717)&lt;=6),2,IF(AND(MONTH(C6717)&gt;=7,MONTH(C6717)&lt;=9),3,4))))</f>
        <v>2</v>
      </c>
      <c r="D6718" s="1"/>
      <c r="E6718" s="92" t="s">
        <v>14822</v>
      </c>
      <c r="F6718" s="93"/>
    </row>
    <row r="6719" spans="1:10" ht="14.1" customHeight="1" x14ac:dyDescent="0.25">
      <c r="A6719" s="1"/>
      <c r="B6719" s="80" t="s">
        <v>13758</v>
      </c>
      <c r="C6719" s="90">
        <v>43645</v>
      </c>
      <c r="D6719" s="1"/>
      <c r="E6719" s="92" t="s">
        <v>18636</v>
      </c>
      <c r="F6719" s="93"/>
    </row>
    <row r="6720" spans="1:10" ht="14.1" customHeight="1" x14ac:dyDescent="0.25">
      <c r="A6720" s="1"/>
      <c r="B6720" s="80" t="s">
        <v>10788</v>
      </c>
      <c r="C6720" s="91">
        <f>IF(C6719="","",IF(AND(MONTH(C6719)&gt;=1,MONTH(C6719)&lt;=3),1,IF(AND(MONTH(C6719)&gt;=4,MONTH(C6719)&lt;=6),2,IF(AND(MONTH(C6719)&gt;=7,MONTH(C6719)&lt;=9),3,4))))</f>
        <v>2</v>
      </c>
      <c r="D6720" s="1"/>
      <c r="E6720" s="92" t="s">
        <v>15990</v>
      </c>
      <c r="F6720" s="93"/>
    </row>
    <row r="6722" spans="1:6" ht="14.1" customHeight="1" x14ac:dyDescent="0.25">
      <c r="A6722" s="85" t="s">
        <v>15474</v>
      </c>
      <c r="B6722" s="85" t="s">
        <v>5027</v>
      </c>
      <c r="C6722" s="85" t="s">
        <v>17461</v>
      </c>
      <c r="D6722" s="85" t="s">
        <v>3935</v>
      </c>
      <c r="E6722" s="85" t="s">
        <v>10722</v>
      </c>
      <c r="F6722" s="85" t="s">
        <v>18237</v>
      </c>
    </row>
    <row r="6723" spans="1:6" ht="14.1" customHeight="1" x14ac:dyDescent="0.25">
      <c r="A6723" s="94" t="s">
        <v>435</v>
      </c>
      <c r="B672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723" s="95" t="str">
        <f>IFERROR(VLOOKUP("UD",'Informacion '!P:Q,2,FALSE),"")</f>
        <v>Unidad</v>
      </c>
      <c r="D6723" s="94">
        <v>250</v>
      </c>
      <c r="E6723" s="84">
        <v>23.24</v>
      </c>
      <c r="F6723" s="83">
        <f t="shared" ref="F6723:F6741" ca="1" si="275">INDIRECT(ADDRESS(ROW(),COLUMN()-2,4))*INDIRECT(ADDRESS(ROW(),COLUMN()-1,4))</f>
        <v>5810</v>
      </c>
    </row>
    <row r="6724" spans="1:6" ht="14.1" customHeight="1" x14ac:dyDescent="0.25">
      <c r="A6724" s="94" t="s">
        <v>10944</v>
      </c>
      <c r="B6724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6724" s="95" t="str">
        <f>IFERROR(VLOOKUP("UD",'Informacion '!P:Q,2,FALSE),"")</f>
        <v>Unidad</v>
      </c>
      <c r="D6724" s="94">
        <v>706</v>
      </c>
      <c r="E6724" s="84">
        <v>95</v>
      </c>
      <c r="F6724" s="83">
        <f t="shared" ca="1" si="275"/>
        <v>67070</v>
      </c>
    </row>
    <row r="6725" spans="1:6" ht="14.1" customHeight="1" x14ac:dyDescent="0.25">
      <c r="A6725" s="94" t="s">
        <v>1884</v>
      </c>
      <c r="B6725" s="82" t="str">
        <f ca="1">IFERROR(INDEX(UNSPSCDes,MATCH(INDIRECT(ADDRESS(ROW(),COLUMN()-1,4)),UNSPSCCode,0)),IF(INDIRECT(ADDRESS(ROW(),COLUMN()-1,4))="14121504","Papel de empaque",""))</f>
        <v>Papel de empaque</v>
      </c>
      <c r="C6725" s="95" t="str">
        <f>IFERROR(VLOOKUP("UD",'Informacion '!P:Q,2,FALSE),"")</f>
        <v>Unidad</v>
      </c>
      <c r="D6725" s="94">
        <v>10</v>
      </c>
      <c r="E6725" s="84">
        <v>1748.04</v>
      </c>
      <c r="F6725" s="83">
        <f t="shared" ca="1" si="275"/>
        <v>17480.400000000001</v>
      </c>
    </row>
    <row r="6726" spans="1:6" ht="14.1" customHeight="1" x14ac:dyDescent="0.25">
      <c r="A6726" s="94" t="s">
        <v>5212</v>
      </c>
      <c r="B6726" s="82" t="str">
        <f ca="1">IFERROR(INDEX(UNSPSCDes,MATCH(INDIRECT(ADDRESS(ROW(),COLUMN()-1,4)),UNSPSCCode,0)),IF(INDIRECT(ADDRESS(ROW(),COLUMN()-1,4))="23153035","Placa",""))</f>
        <v>Placa</v>
      </c>
      <c r="C6726" s="95" t="str">
        <f>IFERROR(VLOOKUP("UD",'Informacion '!P:Q,2,FALSE),"")</f>
        <v>Unidad</v>
      </c>
      <c r="D6726" s="94">
        <v>3</v>
      </c>
      <c r="E6726" s="84">
        <v>649</v>
      </c>
      <c r="F6726" s="83">
        <f t="shared" ca="1" si="275"/>
        <v>1947</v>
      </c>
    </row>
    <row r="6727" spans="1:6" ht="14.1" customHeight="1" x14ac:dyDescent="0.25">
      <c r="A6727" s="94" t="s">
        <v>12725</v>
      </c>
      <c r="B6727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6727" s="95" t="str">
        <f>IFERROR(VLOOKUP("UD",'Informacion '!P:Q,2,FALSE),"")</f>
        <v>Unidad</v>
      </c>
      <c r="D6727" s="94">
        <v>2</v>
      </c>
      <c r="E6727" s="84">
        <v>147.69999999999999</v>
      </c>
      <c r="F6727" s="83">
        <f t="shared" ca="1" si="275"/>
        <v>295.39999999999998</v>
      </c>
    </row>
    <row r="6728" spans="1:6" ht="14.1" customHeight="1" x14ac:dyDescent="0.25">
      <c r="A6728" s="94" t="s">
        <v>7220</v>
      </c>
      <c r="B6728" s="82" t="str">
        <f ca="1">IFERROR(INDEX(UNSPSCDes,MATCH(INDIRECT(ADDRESS(ROW(),COLUMN()-1,4)),UNSPSCCode,0)),IF(INDIRECT(ADDRESS(ROW(),COLUMN()-1,4))="42142502","Agujas para anestesia",""))</f>
        <v>Agujas para anestesia</v>
      </c>
      <c r="C6728" s="95" t="str">
        <f>IFERROR(VLOOKUP("UD",'Informacion '!P:Q,2,FALSE),"")</f>
        <v>Unidad</v>
      </c>
      <c r="D6728" s="94">
        <v>10</v>
      </c>
      <c r="E6728" s="84">
        <v>325.83</v>
      </c>
      <c r="F6728" s="83">
        <f t="shared" ca="1" si="275"/>
        <v>3258.2999999999997</v>
      </c>
    </row>
    <row r="6729" spans="1:6" ht="14.1" customHeight="1" x14ac:dyDescent="0.25">
      <c r="A6729" s="94" t="s">
        <v>11921</v>
      </c>
      <c r="B6729" s="82" t="str">
        <f ca="1">IFERROR(INDEX(UNSPSCDes,MATCH(INDIRECT(ADDRESS(ROW(),COLUMN()-1,4)),UNSPSCCode,0)),IF(INDIRECT(ADDRESS(ROW(),COLUMN()-1,4))="30111602","Cal clorada",""))</f>
        <v>Cal clorada</v>
      </c>
      <c r="C6729" s="95" t="str">
        <f>IFERROR(VLOOKUP("UD",'Informacion '!P:Q,2,FALSE),"")</f>
        <v>Unidad</v>
      </c>
      <c r="D6729" s="94">
        <v>7</v>
      </c>
      <c r="E6729" s="84">
        <v>1168.2</v>
      </c>
      <c r="F6729" s="83">
        <f t="shared" ca="1" si="275"/>
        <v>8177.4000000000005</v>
      </c>
    </row>
    <row r="6730" spans="1:6" ht="14.1" customHeight="1" x14ac:dyDescent="0.25">
      <c r="A6730" s="94" t="s">
        <v>3074</v>
      </c>
      <c r="B6730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6730" s="95" t="str">
        <f>IFERROR(VLOOKUP("UD",'Informacion '!P:Q,2,FALSE),"")</f>
        <v>Unidad</v>
      </c>
      <c r="D6730" s="94">
        <v>2</v>
      </c>
      <c r="E6730" s="84">
        <v>580.77</v>
      </c>
      <c r="F6730" s="83">
        <f t="shared" ca="1" si="275"/>
        <v>1161.54</v>
      </c>
    </row>
    <row r="6731" spans="1:6" ht="14.1" customHeight="1" x14ac:dyDescent="0.25">
      <c r="A6731" s="94" t="s">
        <v>16195</v>
      </c>
      <c r="B6731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6731" s="95" t="str">
        <f>IFERROR(VLOOKUP("UD",'Informacion '!P:Q,2,FALSE),"")</f>
        <v>Unidad</v>
      </c>
      <c r="D6731" s="94">
        <v>24056</v>
      </c>
      <c r="E6731" s="84">
        <v>0.39</v>
      </c>
      <c r="F6731" s="83">
        <f t="shared" ca="1" si="275"/>
        <v>9381.84</v>
      </c>
    </row>
    <row r="6732" spans="1:6" ht="14.1" customHeight="1" x14ac:dyDescent="0.25">
      <c r="A6732" s="94" t="s">
        <v>18956</v>
      </c>
      <c r="B6732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732" s="95" t="str">
        <f>IFERROR(VLOOKUP("UD",'Informacion '!P:Q,2,FALSE),"")</f>
        <v>Unidad</v>
      </c>
      <c r="D6732" s="94">
        <v>146</v>
      </c>
      <c r="E6732" s="84">
        <v>1.48</v>
      </c>
      <c r="F6732" s="83">
        <f t="shared" ca="1" si="275"/>
        <v>216.07999999999998</v>
      </c>
    </row>
    <row r="6733" spans="1:6" ht="14.1" customHeight="1" x14ac:dyDescent="0.25">
      <c r="A6733" s="94" t="s">
        <v>2064</v>
      </c>
      <c r="B6733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6733" s="95" t="str">
        <f>IFERROR(VLOOKUP("UD",'Informacion '!P:Q,2,FALSE),"")</f>
        <v>Unidad</v>
      </c>
      <c r="D6733" s="94">
        <v>7</v>
      </c>
      <c r="E6733" s="84">
        <v>255.54</v>
      </c>
      <c r="F6733" s="83">
        <f t="shared" ca="1" si="275"/>
        <v>1788.78</v>
      </c>
    </row>
    <row r="6734" spans="1:6" ht="14.1" customHeight="1" x14ac:dyDescent="0.25">
      <c r="A6734" s="94" t="s">
        <v>10483</v>
      </c>
      <c r="B673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6734" s="95" t="str">
        <f>IFERROR(VLOOKUP("UD",'Informacion '!P:Q,2,FALSE),"")</f>
        <v>Unidad</v>
      </c>
      <c r="D6734" s="94">
        <v>59</v>
      </c>
      <c r="E6734" s="84">
        <v>644</v>
      </c>
      <c r="F6734" s="83">
        <f t="shared" ca="1" si="275"/>
        <v>37996</v>
      </c>
    </row>
    <row r="6735" spans="1:6" ht="14.1" customHeight="1" x14ac:dyDescent="0.25">
      <c r="A6735" s="94" t="s">
        <v>10045</v>
      </c>
      <c r="B6735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6735" s="95" t="str">
        <f>IFERROR(VLOOKUP("UD",'Informacion '!P:Q,2,FALSE),"")</f>
        <v>Unidad</v>
      </c>
      <c r="D6735" s="94">
        <v>2</v>
      </c>
      <c r="E6735" s="84">
        <v>744.18</v>
      </c>
      <c r="F6735" s="83">
        <f t="shared" ca="1" si="275"/>
        <v>1488.36</v>
      </c>
    </row>
    <row r="6736" spans="1:6" ht="14.1" customHeight="1" x14ac:dyDescent="0.25">
      <c r="A6736" s="94" t="s">
        <v>4298</v>
      </c>
      <c r="B6736" s="82" t="str">
        <f ca="1">IFERROR(INDEX(UNSPSCDes,MATCH(INDIRECT(ADDRESS(ROW(),COLUMN()-1,4)),UNSPSCCode,0)),IF(INDIRECT(ADDRESS(ROW(),COLUMN()-1,4))="39121436","Electrodos",""))</f>
        <v>Electrodos</v>
      </c>
      <c r="C6736" s="95" t="str">
        <f>IFERROR(VLOOKUP("UD",'Informacion '!P:Q,2,FALSE),"")</f>
        <v>Unidad</v>
      </c>
      <c r="D6736" s="94">
        <v>4</v>
      </c>
      <c r="E6736" s="84">
        <v>53.24</v>
      </c>
      <c r="F6736" s="83">
        <f t="shared" ca="1" si="275"/>
        <v>212.96</v>
      </c>
    </row>
    <row r="6737" spans="1:10" ht="14.1" customHeight="1" x14ac:dyDescent="0.25">
      <c r="A6737" s="94" t="s">
        <v>3604</v>
      </c>
      <c r="B6737" s="82" t="str">
        <f ca="1">IFERROR(INDEX(UNSPSCDes,MATCH(INDIRECT(ADDRESS(ROW(),COLUMN()-1,4)),UNSPSCCode,0)),IF(INDIRECT(ADDRESS(ROW(),COLUMN()-1,4))="12352501","Formaldehidos",""))</f>
        <v>Formaldehidos</v>
      </c>
      <c r="C6737" s="95" t="str">
        <f>IFERROR(VLOOKUP("UD",'Informacion '!P:Q,2,FALSE),"")</f>
        <v>Unidad</v>
      </c>
      <c r="D6737" s="94">
        <v>10</v>
      </c>
      <c r="E6737" s="84">
        <v>3334.6</v>
      </c>
      <c r="F6737" s="83">
        <f t="shared" ca="1" si="275"/>
        <v>33346</v>
      </c>
    </row>
    <row r="6738" spans="1:10" ht="14.1" customHeight="1" x14ac:dyDescent="0.25">
      <c r="A6738" s="94" t="s">
        <v>18114</v>
      </c>
      <c r="B6738" s="82" t="str">
        <f ca="1">IFERROR(INDEX(UNSPSCDes,MATCH(INDIRECT(ADDRESS(ROW(),COLUMN()-1,4)),UNSPSCCode,0)),IF(INDIRECT(ADDRESS(ROW(),COLUMN()-1,4))="31201503","Cinta de enmascarar",""))</f>
        <v>Cinta de enmascarar</v>
      </c>
      <c r="C6738" s="95" t="str">
        <f>IFERROR(VLOOKUP("UD",'Informacion '!P:Q,2,FALSE),"")</f>
        <v>Unidad</v>
      </c>
      <c r="D6738" s="94">
        <v>14</v>
      </c>
      <c r="E6738" s="84">
        <v>344.07</v>
      </c>
      <c r="F6738" s="83">
        <f t="shared" ca="1" si="275"/>
        <v>4816.9799999999996</v>
      </c>
    </row>
    <row r="6739" spans="1:10" ht="14.1" customHeight="1" x14ac:dyDescent="0.25">
      <c r="A6739" s="94" t="s">
        <v>13602</v>
      </c>
      <c r="B6739" s="82" t="str">
        <f ca="1">IFERROR(INDEX(UNSPSCDes,MATCH(INDIRECT(ADDRESS(ROW(),COLUMN()-1,4)),UNSPSCCode,0)),IF(INDIRECT(ADDRESS(ROW(),COLUMN()-1,4))="27111502","Navajas de afeitar",""))</f>
        <v>Navajas de afeitar</v>
      </c>
      <c r="C6739" s="95" t="str">
        <f>IFERROR(VLOOKUP("UD",'Informacion '!P:Q,2,FALSE),"")</f>
        <v>Unidad</v>
      </c>
      <c r="D6739" s="94">
        <v>3</v>
      </c>
      <c r="E6739" s="84">
        <v>38.17</v>
      </c>
      <c r="F6739" s="83">
        <f t="shared" ca="1" si="275"/>
        <v>114.51</v>
      </c>
    </row>
    <row r="6740" spans="1:10" ht="14.1" customHeight="1" x14ac:dyDescent="0.25">
      <c r="A6740" s="94" t="s">
        <v>18114</v>
      </c>
      <c r="B6740" s="82" t="str">
        <f ca="1">IFERROR(INDEX(UNSPSCDes,MATCH(INDIRECT(ADDRESS(ROW(),COLUMN()-1,4)),UNSPSCCode,0)),IF(INDIRECT(ADDRESS(ROW(),COLUMN()-1,4))="31201503","Cinta de enmascarar",""))</f>
        <v>Cinta de enmascarar</v>
      </c>
      <c r="C6740" s="95" t="str">
        <f>IFERROR(VLOOKUP("UD",'Informacion '!P:Q,2,FALSE),"")</f>
        <v>Unidad</v>
      </c>
      <c r="D6740" s="94">
        <v>33</v>
      </c>
      <c r="E6740" s="84">
        <v>490.28</v>
      </c>
      <c r="F6740" s="83">
        <f t="shared" ca="1" si="275"/>
        <v>16179.24</v>
      </c>
    </row>
    <row r="6741" spans="1:10" ht="14.1" customHeight="1" x14ac:dyDescent="0.25">
      <c r="A6741" s="94" t="s">
        <v>3581</v>
      </c>
      <c r="B6741" s="82" t="str">
        <f ca="1">IFERROR(INDEX(UNSPSCDes,MATCH(INDIRECT(ADDRESS(ROW(),COLUMN()-1,4)),UNSPSCCode,0)),IF(INDIRECT(ADDRESS(ROW(),COLUMN()-1,4))="42132104","Almohadas antimicrobianas para hospital",""))</f>
        <v>Almohadas antimicrobianas para hospital</v>
      </c>
      <c r="C6741" s="95" t="str">
        <f>IFERROR(VLOOKUP("UD",'Informacion '!P:Q,2,FALSE),"")</f>
        <v>Unidad</v>
      </c>
      <c r="D6741" s="94">
        <v>6</v>
      </c>
      <c r="E6741" s="84">
        <v>40</v>
      </c>
      <c r="F6741" s="83">
        <f t="shared" ca="1" si="275"/>
        <v>240</v>
      </c>
    </row>
    <row r="6742" spans="1:10" ht="14.1" customHeight="1" x14ac:dyDescent="0.25">
      <c r="E6742" s="96" t="s">
        <v>7213</v>
      </c>
      <c r="F6742" s="87">
        <f ca="1">SUM(Table184[MONTO TOTAL ESTIMADO])</f>
        <v>210980.78999999998</v>
      </c>
      <c r="H6742" s="39" t="str">
        <f>C6716</f>
        <v>Bienes</v>
      </c>
      <c r="I6742" s="39" t="str">
        <f>E6716</f>
        <v>No</v>
      </c>
      <c r="J6742" s="39" t="str">
        <f>D6716</f>
        <v>Compras Menores</v>
      </c>
    </row>
    <row r="6744" spans="1:10" ht="33.950000000000003" customHeight="1" x14ac:dyDescent="0.25">
      <c r="A6744" s="77" t="s">
        <v>17233</v>
      </c>
      <c r="B6744" s="77" t="s">
        <v>4237</v>
      </c>
      <c r="C6744" s="77" t="s">
        <v>4743</v>
      </c>
      <c r="D6744" s="77" t="s">
        <v>9891</v>
      </c>
      <c r="E6744" s="77" t="s">
        <v>3089</v>
      </c>
      <c r="F6744" s="77" t="s">
        <v>18141</v>
      </c>
    </row>
    <row r="6745" spans="1:10" ht="14.1" customHeight="1" x14ac:dyDescent="0.25">
      <c r="A6745" s="79" t="s">
        <v>8700</v>
      </c>
      <c r="B6745" s="79" t="s">
        <v>2182</v>
      </c>
      <c r="C6745" s="79" t="s">
        <v>17215</v>
      </c>
      <c r="D6745" s="79" t="s">
        <v>17798</v>
      </c>
      <c r="E6745" s="79" t="s">
        <v>18247</v>
      </c>
      <c r="F6745" s="79"/>
    </row>
    <row r="6746" spans="1:10" ht="14.1" customHeight="1" x14ac:dyDescent="0.25">
      <c r="A6746" s="2" t="s">
        <v>6643</v>
      </c>
      <c r="B6746" s="80" t="s">
        <v>1046</v>
      </c>
      <c r="C6746" s="90">
        <v>43647</v>
      </c>
      <c r="D6746" s="2" t="s">
        <v>59</v>
      </c>
      <c r="E6746" s="92" t="s">
        <v>20066</v>
      </c>
      <c r="F6746" s="93" t="s">
        <v>5684</v>
      </c>
    </row>
    <row r="6747" spans="1:10" ht="14.1" customHeight="1" x14ac:dyDescent="0.25">
      <c r="A6747" s="1"/>
      <c r="B6747" s="80" t="s">
        <v>10788</v>
      </c>
      <c r="C6747" s="91">
        <f>IF(C6746="","",IF(AND(MONTH(C6746)&gt;=1,MONTH(C6746)&lt;=3),1,IF(AND(MONTH(C6746)&gt;=4,MONTH(C6746)&lt;=6),2,IF(AND(MONTH(C6746)&gt;=7,MONTH(C6746)&lt;=9),3,4))))</f>
        <v>3</v>
      </c>
      <c r="D6747" s="1"/>
      <c r="E6747" s="92" t="s">
        <v>14822</v>
      </c>
      <c r="F6747" s="93"/>
    </row>
    <row r="6748" spans="1:10" ht="14.1" customHeight="1" x14ac:dyDescent="0.25">
      <c r="A6748" s="1"/>
      <c r="B6748" s="80" t="s">
        <v>13758</v>
      </c>
      <c r="C6748" s="90">
        <v>43738</v>
      </c>
      <c r="D6748" s="1"/>
      <c r="E6748" s="92" t="s">
        <v>18636</v>
      </c>
      <c r="F6748" s="93"/>
    </row>
    <row r="6749" spans="1:10" ht="14.1" customHeight="1" x14ac:dyDescent="0.25">
      <c r="A6749" s="1"/>
      <c r="B6749" s="80" t="s">
        <v>10788</v>
      </c>
      <c r="C6749" s="91">
        <f>IF(C6748="","",IF(AND(MONTH(C6748)&gt;=1,MONTH(C6748)&lt;=3),1,IF(AND(MONTH(C6748)&gt;=4,MONTH(C6748)&lt;=6),2,IF(AND(MONTH(C6748)&gt;=7,MONTH(C6748)&lt;=9),3,4))))</f>
        <v>3</v>
      </c>
      <c r="D6749" s="1"/>
      <c r="E6749" s="92" t="s">
        <v>15990</v>
      </c>
      <c r="F6749" s="93"/>
    </row>
    <row r="6751" spans="1:10" ht="14.1" customHeight="1" x14ac:dyDescent="0.25">
      <c r="A6751" s="85" t="s">
        <v>15474</v>
      </c>
      <c r="B6751" s="85" t="s">
        <v>5027</v>
      </c>
      <c r="C6751" s="85" t="s">
        <v>17461</v>
      </c>
      <c r="D6751" s="85" t="s">
        <v>3935</v>
      </c>
      <c r="E6751" s="85" t="s">
        <v>10722</v>
      </c>
      <c r="F6751" s="85" t="s">
        <v>18237</v>
      </c>
    </row>
    <row r="6752" spans="1:10" ht="14.1" customHeight="1" x14ac:dyDescent="0.25">
      <c r="A6752" s="94" t="s">
        <v>435</v>
      </c>
      <c r="B6752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752" s="95" t="str">
        <f>IFERROR(VLOOKUP("UD",'Informacion '!P:Q,2,FALSE),"")</f>
        <v>Unidad</v>
      </c>
      <c r="D6752" s="94">
        <v>255</v>
      </c>
      <c r="E6752" s="84">
        <v>23.24</v>
      </c>
      <c r="F6752" s="83">
        <f t="shared" ref="F6752:F6770" ca="1" si="276">INDIRECT(ADDRESS(ROW(),COLUMN()-2,4))*INDIRECT(ADDRESS(ROW(),COLUMN()-1,4))</f>
        <v>5926.2</v>
      </c>
    </row>
    <row r="6753" spans="1:6" ht="14.1" customHeight="1" x14ac:dyDescent="0.25">
      <c r="A6753" s="94" t="s">
        <v>10944</v>
      </c>
      <c r="B6753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6753" s="95" t="str">
        <f>IFERROR(VLOOKUP("UD",'Informacion '!P:Q,2,FALSE),"")</f>
        <v>Unidad</v>
      </c>
      <c r="D6753" s="94">
        <v>721</v>
      </c>
      <c r="E6753" s="84">
        <v>95</v>
      </c>
      <c r="F6753" s="83">
        <f t="shared" ca="1" si="276"/>
        <v>68495</v>
      </c>
    </row>
    <row r="6754" spans="1:6" ht="14.1" customHeight="1" x14ac:dyDescent="0.25">
      <c r="A6754" s="94" t="s">
        <v>1884</v>
      </c>
      <c r="B6754" s="82" t="str">
        <f ca="1">IFERROR(INDEX(UNSPSCDes,MATCH(INDIRECT(ADDRESS(ROW(),COLUMN()-1,4)),UNSPSCCode,0)),IF(INDIRECT(ADDRESS(ROW(),COLUMN()-1,4))="14121504","Papel de empaque",""))</f>
        <v>Papel de empaque</v>
      </c>
      <c r="C6754" s="95" t="str">
        <f>IFERROR(VLOOKUP("UD",'Informacion '!P:Q,2,FALSE),"")</f>
        <v>Unidad</v>
      </c>
      <c r="D6754" s="94">
        <v>14</v>
      </c>
      <c r="E6754" s="84">
        <v>1748.04</v>
      </c>
      <c r="F6754" s="83">
        <f t="shared" ca="1" si="276"/>
        <v>24472.559999999998</v>
      </c>
    </row>
    <row r="6755" spans="1:6" ht="14.1" customHeight="1" x14ac:dyDescent="0.25">
      <c r="A6755" s="94" t="s">
        <v>5212</v>
      </c>
      <c r="B6755" s="82" t="str">
        <f ca="1">IFERROR(INDEX(UNSPSCDes,MATCH(INDIRECT(ADDRESS(ROW(),COLUMN()-1,4)),UNSPSCCode,0)),IF(INDIRECT(ADDRESS(ROW(),COLUMN()-1,4))="23153035","Placa",""))</f>
        <v>Placa</v>
      </c>
      <c r="C6755" s="95" t="str">
        <f>IFERROR(VLOOKUP("UD",'Informacion '!P:Q,2,FALSE),"")</f>
        <v>Unidad</v>
      </c>
      <c r="D6755" s="94">
        <v>4</v>
      </c>
      <c r="E6755" s="84">
        <v>649</v>
      </c>
      <c r="F6755" s="83">
        <f t="shared" ca="1" si="276"/>
        <v>2596</v>
      </c>
    </row>
    <row r="6756" spans="1:6" ht="14.1" customHeight="1" x14ac:dyDescent="0.25">
      <c r="A6756" s="94" t="s">
        <v>12725</v>
      </c>
      <c r="B6756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6756" s="95" t="str">
        <f>IFERROR(VLOOKUP("UD",'Informacion '!P:Q,2,FALSE),"")</f>
        <v>Unidad</v>
      </c>
      <c r="D6756" s="94">
        <v>3</v>
      </c>
      <c r="E6756" s="84">
        <v>147.69999999999999</v>
      </c>
      <c r="F6756" s="83">
        <f t="shared" ca="1" si="276"/>
        <v>443.09999999999997</v>
      </c>
    </row>
    <row r="6757" spans="1:6" ht="14.1" customHeight="1" x14ac:dyDescent="0.25">
      <c r="A6757" s="94" t="s">
        <v>7220</v>
      </c>
      <c r="B6757" s="82" t="str">
        <f ca="1">IFERROR(INDEX(UNSPSCDes,MATCH(INDIRECT(ADDRESS(ROW(),COLUMN()-1,4)),UNSPSCCode,0)),IF(INDIRECT(ADDRESS(ROW(),COLUMN()-1,4))="42142502","Agujas para anestesia",""))</f>
        <v>Agujas para anestesia</v>
      </c>
      <c r="C6757" s="95" t="str">
        <f>IFERROR(VLOOKUP("UD",'Informacion '!P:Q,2,FALSE),"")</f>
        <v>Unidad</v>
      </c>
      <c r="D6757" s="94">
        <v>11</v>
      </c>
      <c r="E6757" s="84">
        <v>325.83</v>
      </c>
      <c r="F6757" s="83">
        <f t="shared" ca="1" si="276"/>
        <v>3584.1299999999997</v>
      </c>
    </row>
    <row r="6758" spans="1:6" ht="14.1" customHeight="1" x14ac:dyDescent="0.25">
      <c r="A6758" s="94" t="s">
        <v>11921</v>
      </c>
      <c r="B6758" s="82" t="str">
        <f ca="1">IFERROR(INDEX(UNSPSCDes,MATCH(INDIRECT(ADDRESS(ROW(),COLUMN()-1,4)),UNSPSCCode,0)),IF(INDIRECT(ADDRESS(ROW(),COLUMN()-1,4))="30111602","Cal clorada",""))</f>
        <v>Cal clorada</v>
      </c>
      <c r="C6758" s="95" t="str">
        <f>IFERROR(VLOOKUP("UD",'Informacion '!P:Q,2,FALSE),"")</f>
        <v>Unidad</v>
      </c>
      <c r="D6758" s="94">
        <v>8</v>
      </c>
      <c r="E6758" s="84">
        <v>1168.28</v>
      </c>
      <c r="F6758" s="83">
        <f t="shared" ca="1" si="276"/>
        <v>9346.24</v>
      </c>
    </row>
    <row r="6759" spans="1:6" ht="14.1" customHeight="1" x14ac:dyDescent="0.25">
      <c r="A6759" s="94" t="s">
        <v>3074</v>
      </c>
      <c r="B6759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6759" s="95" t="str">
        <f>IFERROR(VLOOKUP("UD",'Informacion '!P:Q,2,FALSE),"")</f>
        <v>Unidad</v>
      </c>
      <c r="D6759" s="94">
        <v>3</v>
      </c>
      <c r="E6759" s="84">
        <v>580.77</v>
      </c>
      <c r="F6759" s="83">
        <f t="shared" ca="1" si="276"/>
        <v>1742.31</v>
      </c>
    </row>
    <row r="6760" spans="1:6" ht="14.1" customHeight="1" x14ac:dyDescent="0.25">
      <c r="A6760" s="94" t="s">
        <v>16195</v>
      </c>
      <c r="B6760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6760" s="95" t="str">
        <f>IFERROR(VLOOKUP("UD",'Informacion '!P:Q,2,FALSE),"")</f>
        <v>Unidad</v>
      </c>
      <c r="D6760" s="94">
        <v>24538</v>
      </c>
      <c r="E6760" s="84">
        <v>0.39</v>
      </c>
      <c r="F6760" s="83">
        <f t="shared" ca="1" si="276"/>
        <v>9569.82</v>
      </c>
    </row>
    <row r="6761" spans="1:6" ht="14.1" customHeight="1" x14ac:dyDescent="0.25">
      <c r="A6761" s="94" t="s">
        <v>18956</v>
      </c>
      <c r="B6761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761" s="95" t="str">
        <f>IFERROR(VLOOKUP("UD",'Informacion '!P:Q,2,FALSE),"")</f>
        <v>Unidad</v>
      </c>
      <c r="D6761" s="94">
        <v>149</v>
      </c>
      <c r="E6761" s="84">
        <v>1.48</v>
      </c>
      <c r="F6761" s="83">
        <f t="shared" ca="1" si="276"/>
        <v>220.52</v>
      </c>
    </row>
    <row r="6762" spans="1:6" ht="14.1" customHeight="1" x14ac:dyDescent="0.25">
      <c r="A6762" s="94" t="s">
        <v>2064</v>
      </c>
      <c r="B6762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6762" s="95" t="str">
        <f>IFERROR(VLOOKUP("UD",'Informacion '!P:Q,2,FALSE),"")</f>
        <v>Unidad</v>
      </c>
      <c r="D6762" s="94">
        <v>8</v>
      </c>
      <c r="E6762" s="84">
        <v>255.54</v>
      </c>
      <c r="F6762" s="83">
        <f t="shared" ca="1" si="276"/>
        <v>2044.32</v>
      </c>
    </row>
    <row r="6763" spans="1:6" ht="14.1" customHeight="1" x14ac:dyDescent="0.25">
      <c r="A6763" s="94" t="s">
        <v>10483</v>
      </c>
      <c r="B6763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6763" s="95" t="str">
        <f>IFERROR(VLOOKUP("UD",'Informacion '!P:Q,2,FALSE),"")</f>
        <v>Unidad</v>
      </c>
      <c r="D6763" s="94">
        <v>61</v>
      </c>
      <c r="E6763" s="84">
        <v>644</v>
      </c>
      <c r="F6763" s="83">
        <f t="shared" ca="1" si="276"/>
        <v>39284</v>
      </c>
    </row>
    <row r="6764" spans="1:6" ht="14.1" customHeight="1" x14ac:dyDescent="0.25">
      <c r="A6764" s="94" t="s">
        <v>10045</v>
      </c>
      <c r="B6764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6764" s="95" t="str">
        <f>IFERROR(VLOOKUP("UD",'Informacion '!P:Q,2,FALSE),"")</f>
        <v>Unidad</v>
      </c>
      <c r="D6764" s="94">
        <v>3</v>
      </c>
      <c r="E6764" s="84">
        <v>744.18</v>
      </c>
      <c r="F6764" s="83">
        <f t="shared" ca="1" si="276"/>
        <v>2232.54</v>
      </c>
    </row>
    <row r="6765" spans="1:6" ht="14.1" customHeight="1" x14ac:dyDescent="0.25">
      <c r="A6765" s="94" t="s">
        <v>4298</v>
      </c>
      <c r="B6765" s="82" t="str">
        <f ca="1">IFERROR(INDEX(UNSPSCDes,MATCH(INDIRECT(ADDRESS(ROW(),COLUMN()-1,4)),UNSPSCCode,0)),IF(INDIRECT(ADDRESS(ROW(),COLUMN()-1,4))="39121436","Electrodos",""))</f>
        <v>Electrodos</v>
      </c>
      <c r="C6765" s="95" t="str">
        <f>IFERROR(VLOOKUP("UD",'Informacion '!P:Q,2,FALSE),"")</f>
        <v>Unidad</v>
      </c>
      <c r="D6765" s="94">
        <v>5</v>
      </c>
      <c r="E6765" s="84">
        <v>53.24</v>
      </c>
      <c r="F6765" s="83">
        <f t="shared" ca="1" si="276"/>
        <v>266.2</v>
      </c>
    </row>
    <row r="6766" spans="1:6" ht="14.1" customHeight="1" x14ac:dyDescent="0.25">
      <c r="A6766" s="94" t="s">
        <v>3604</v>
      </c>
      <c r="B6766" s="82" t="str">
        <f ca="1">IFERROR(INDEX(UNSPSCDes,MATCH(INDIRECT(ADDRESS(ROW(),COLUMN()-1,4)),UNSPSCCode,0)),IF(INDIRECT(ADDRESS(ROW(),COLUMN()-1,4))="12352501","Formaldehidos",""))</f>
        <v>Formaldehidos</v>
      </c>
      <c r="C6766" s="95" t="str">
        <f>IFERROR(VLOOKUP("UD",'Informacion '!P:Q,2,FALSE),"")</f>
        <v>Unidad</v>
      </c>
      <c r="D6766" s="94">
        <v>11</v>
      </c>
      <c r="E6766" s="84">
        <v>3334.6</v>
      </c>
      <c r="F6766" s="83">
        <f t="shared" ca="1" si="276"/>
        <v>36680.6</v>
      </c>
    </row>
    <row r="6767" spans="1:6" ht="14.1" customHeight="1" x14ac:dyDescent="0.25">
      <c r="A6767" s="94" t="s">
        <v>18114</v>
      </c>
      <c r="B6767" s="82" t="str">
        <f ca="1">IFERROR(INDEX(UNSPSCDes,MATCH(INDIRECT(ADDRESS(ROW(),COLUMN()-1,4)),UNSPSCCode,0)),IF(INDIRECT(ADDRESS(ROW(),COLUMN()-1,4))="31201503","Cinta de enmascarar",""))</f>
        <v>Cinta de enmascarar</v>
      </c>
      <c r="C6767" s="95" t="str">
        <f>IFERROR(VLOOKUP("UD",'Informacion '!P:Q,2,FALSE),"")</f>
        <v>Unidad</v>
      </c>
      <c r="D6767" s="94">
        <v>15</v>
      </c>
      <c r="E6767" s="84">
        <v>344.07</v>
      </c>
      <c r="F6767" s="83">
        <f t="shared" ca="1" si="276"/>
        <v>5161.05</v>
      </c>
    </row>
    <row r="6768" spans="1:6" ht="14.1" customHeight="1" x14ac:dyDescent="0.25">
      <c r="A6768" s="94" t="s">
        <v>13602</v>
      </c>
      <c r="B6768" s="82" t="str">
        <f ca="1">IFERROR(INDEX(UNSPSCDes,MATCH(INDIRECT(ADDRESS(ROW(),COLUMN()-1,4)),UNSPSCCode,0)),IF(INDIRECT(ADDRESS(ROW(),COLUMN()-1,4))="27111502","Navajas de afeitar",""))</f>
        <v>Navajas de afeitar</v>
      </c>
      <c r="C6768" s="95" t="str">
        <f>IFERROR(VLOOKUP("UD",'Informacion '!P:Q,2,FALSE),"")</f>
        <v>Unidad</v>
      </c>
      <c r="D6768" s="94">
        <v>4</v>
      </c>
      <c r="E6768" s="84">
        <v>38.17</v>
      </c>
      <c r="F6768" s="83">
        <f t="shared" ca="1" si="276"/>
        <v>152.68</v>
      </c>
    </row>
    <row r="6769" spans="1:10" ht="14.1" customHeight="1" x14ac:dyDescent="0.25">
      <c r="A6769" s="94" t="s">
        <v>18114</v>
      </c>
      <c r="B6769" s="82" t="str">
        <f ca="1">IFERROR(INDEX(UNSPSCDes,MATCH(INDIRECT(ADDRESS(ROW(),COLUMN()-1,4)),UNSPSCCode,0)),IF(INDIRECT(ADDRESS(ROW(),COLUMN()-1,4))="31201503","Cinta de enmascarar",""))</f>
        <v>Cinta de enmascarar</v>
      </c>
      <c r="C6769" s="95" t="str">
        <f>IFERROR(VLOOKUP("UD",'Informacion '!P:Q,2,FALSE),"")</f>
        <v>Unidad</v>
      </c>
      <c r="D6769" s="94">
        <v>34</v>
      </c>
      <c r="E6769" s="84">
        <v>490.28</v>
      </c>
      <c r="F6769" s="83">
        <f t="shared" ca="1" si="276"/>
        <v>16669.52</v>
      </c>
    </row>
    <row r="6770" spans="1:10" ht="14.1" customHeight="1" x14ac:dyDescent="0.25">
      <c r="A6770" s="94" t="s">
        <v>3581</v>
      </c>
      <c r="B6770" s="82" t="str">
        <f ca="1">IFERROR(INDEX(UNSPSCDes,MATCH(INDIRECT(ADDRESS(ROW(),COLUMN()-1,4)),UNSPSCCode,0)),IF(INDIRECT(ADDRESS(ROW(),COLUMN()-1,4))="42132104","Almohadas antimicrobianas para hospital",""))</f>
        <v>Almohadas antimicrobianas para hospital</v>
      </c>
      <c r="C6770" s="95" t="str">
        <f>IFERROR(VLOOKUP("UD",'Informacion '!P:Q,2,FALSE),"")</f>
        <v>Unidad</v>
      </c>
      <c r="D6770" s="94">
        <v>7</v>
      </c>
      <c r="E6770" s="84">
        <v>40</v>
      </c>
      <c r="F6770" s="83">
        <f t="shared" ca="1" si="276"/>
        <v>280</v>
      </c>
    </row>
    <row r="6771" spans="1:10" ht="14.1" customHeight="1" x14ac:dyDescent="0.25">
      <c r="E6771" s="96" t="s">
        <v>7213</v>
      </c>
      <c r="F6771" s="87">
        <f ca="1">SUM(Table185[MONTO TOTAL ESTIMADO])</f>
        <v>229166.79</v>
      </c>
      <c r="H6771" s="39" t="str">
        <f>C6745</f>
        <v>Bienes</v>
      </c>
      <c r="I6771" s="39" t="str">
        <f>E6745</f>
        <v>No</v>
      </c>
      <c r="J6771" s="39" t="str">
        <f>D6745</f>
        <v>Compras Menores</v>
      </c>
    </row>
    <row r="6773" spans="1:10" ht="33.950000000000003" customHeight="1" x14ac:dyDescent="0.25">
      <c r="A6773" s="77" t="s">
        <v>17233</v>
      </c>
      <c r="B6773" s="77" t="s">
        <v>4237</v>
      </c>
      <c r="C6773" s="77" t="s">
        <v>4743</v>
      </c>
      <c r="D6773" s="77" t="s">
        <v>9891</v>
      </c>
      <c r="E6773" s="77" t="s">
        <v>3089</v>
      </c>
      <c r="F6773" s="77" t="s">
        <v>18141</v>
      </c>
    </row>
    <row r="6774" spans="1:10" ht="14.1" customHeight="1" x14ac:dyDescent="0.25">
      <c r="A6774" s="79" t="s">
        <v>6044</v>
      </c>
      <c r="B6774" s="79" t="s">
        <v>2182</v>
      </c>
      <c r="C6774" s="79" t="s">
        <v>17215</v>
      </c>
      <c r="D6774" s="79" t="s">
        <v>17798</v>
      </c>
      <c r="E6774" s="79" t="s">
        <v>18247</v>
      </c>
      <c r="F6774" s="79"/>
    </row>
    <row r="6775" spans="1:10" ht="14.1" customHeight="1" x14ac:dyDescent="0.25">
      <c r="A6775" s="2" t="s">
        <v>6643</v>
      </c>
      <c r="B6775" s="80" t="s">
        <v>1046</v>
      </c>
      <c r="C6775" s="90">
        <v>43739</v>
      </c>
      <c r="D6775" s="2" t="s">
        <v>59</v>
      </c>
      <c r="E6775" s="92" t="s">
        <v>20066</v>
      </c>
      <c r="F6775" s="93" t="s">
        <v>5684</v>
      </c>
    </row>
    <row r="6776" spans="1:10" ht="14.1" customHeight="1" x14ac:dyDescent="0.25">
      <c r="A6776" s="1"/>
      <c r="B6776" s="80" t="s">
        <v>10788</v>
      </c>
      <c r="C6776" s="91">
        <f>IF(C6775="","",IF(AND(MONTH(C6775)&gt;=1,MONTH(C6775)&lt;=3),1,IF(AND(MONTH(C6775)&gt;=4,MONTH(C6775)&lt;=6),2,IF(AND(MONTH(C6775)&gt;=7,MONTH(C6775)&lt;=9),3,4))))</f>
        <v>4</v>
      </c>
      <c r="D6776" s="1"/>
      <c r="E6776" s="92" t="s">
        <v>14822</v>
      </c>
      <c r="F6776" s="93"/>
    </row>
    <row r="6777" spans="1:10" ht="14.1" customHeight="1" x14ac:dyDescent="0.25">
      <c r="A6777" s="1"/>
      <c r="B6777" s="80" t="s">
        <v>13758</v>
      </c>
      <c r="C6777" s="90">
        <v>43830</v>
      </c>
      <c r="D6777" s="1"/>
      <c r="E6777" s="92" t="s">
        <v>18636</v>
      </c>
      <c r="F6777" s="93"/>
    </row>
    <row r="6778" spans="1:10" ht="14.1" customHeight="1" x14ac:dyDescent="0.25">
      <c r="A6778" s="1"/>
      <c r="B6778" s="80" t="s">
        <v>10788</v>
      </c>
      <c r="C6778" s="91">
        <f>IF(C6777="","",IF(AND(MONTH(C6777)&gt;=1,MONTH(C6777)&lt;=3),1,IF(AND(MONTH(C6777)&gt;=4,MONTH(C6777)&lt;=6),2,IF(AND(MONTH(C6777)&gt;=7,MONTH(C6777)&lt;=9),3,4))))</f>
        <v>4</v>
      </c>
      <c r="D6778" s="1"/>
      <c r="E6778" s="92" t="s">
        <v>15990</v>
      </c>
      <c r="F6778" s="93"/>
    </row>
    <row r="6780" spans="1:10" ht="14.1" customHeight="1" x14ac:dyDescent="0.25">
      <c r="A6780" s="85" t="s">
        <v>15474</v>
      </c>
      <c r="B6780" s="85" t="s">
        <v>5027</v>
      </c>
      <c r="C6780" s="85" t="s">
        <v>17461</v>
      </c>
      <c r="D6780" s="85" t="s">
        <v>3935</v>
      </c>
      <c r="E6780" s="85" t="s">
        <v>10722</v>
      </c>
      <c r="F6780" s="85" t="s">
        <v>18237</v>
      </c>
    </row>
    <row r="6781" spans="1:10" ht="14.1" customHeight="1" x14ac:dyDescent="0.25">
      <c r="A6781" s="94" t="s">
        <v>435</v>
      </c>
      <c r="B678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781" s="95" t="str">
        <f>IFERROR(VLOOKUP("UD",'Informacion '!P:Q,2,FALSE),"")</f>
        <v>Unidad</v>
      </c>
      <c r="D6781" s="94">
        <v>261</v>
      </c>
      <c r="E6781" s="84">
        <v>23.24</v>
      </c>
      <c r="F6781" s="83">
        <f t="shared" ref="F6781:F6799" ca="1" si="277">INDIRECT(ADDRESS(ROW(),COLUMN()-2,4))*INDIRECT(ADDRESS(ROW(),COLUMN()-1,4))</f>
        <v>6065.6399999999994</v>
      </c>
    </row>
    <row r="6782" spans="1:10" ht="14.1" customHeight="1" x14ac:dyDescent="0.25">
      <c r="A6782" s="94" t="s">
        <v>10944</v>
      </c>
      <c r="B6782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6782" s="95" t="str">
        <f>IFERROR(VLOOKUP("UD",'Informacion '!P:Q,2,FALSE),"")</f>
        <v>Unidad</v>
      </c>
      <c r="D6782" s="94">
        <v>736</v>
      </c>
      <c r="E6782" s="84">
        <v>95</v>
      </c>
      <c r="F6782" s="83">
        <f t="shared" ca="1" si="277"/>
        <v>69920</v>
      </c>
    </row>
    <row r="6783" spans="1:10" ht="14.1" customHeight="1" x14ac:dyDescent="0.25">
      <c r="A6783" s="94" t="s">
        <v>1884</v>
      </c>
      <c r="B6783" s="82" t="str">
        <f ca="1">IFERROR(INDEX(UNSPSCDes,MATCH(INDIRECT(ADDRESS(ROW(),COLUMN()-1,4)),UNSPSCCode,0)),IF(INDIRECT(ADDRESS(ROW(),COLUMN()-1,4))="14121504","Papel de empaque",""))</f>
        <v>Papel de empaque</v>
      </c>
      <c r="C6783" s="95" t="str">
        <f>IFERROR(VLOOKUP("UD",'Informacion '!P:Q,2,FALSE),"")</f>
        <v>Unidad</v>
      </c>
      <c r="D6783" s="94">
        <v>18</v>
      </c>
      <c r="E6783" s="84">
        <v>1748.04</v>
      </c>
      <c r="F6783" s="83">
        <f t="shared" ca="1" si="277"/>
        <v>31464.720000000001</v>
      </c>
    </row>
    <row r="6784" spans="1:10" ht="14.1" customHeight="1" x14ac:dyDescent="0.25">
      <c r="A6784" s="94" t="s">
        <v>5212</v>
      </c>
      <c r="B6784" s="82" t="str">
        <f ca="1">IFERROR(INDEX(UNSPSCDes,MATCH(INDIRECT(ADDRESS(ROW(),COLUMN()-1,4)),UNSPSCCode,0)),IF(INDIRECT(ADDRESS(ROW(),COLUMN()-1,4))="23153035","Placa",""))</f>
        <v>Placa</v>
      </c>
      <c r="C6784" s="95" t="str">
        <f>IFERROR(VLOOKUP("UD",'Informacion '!P:Q,2,FALSE),"")</f>
        <v>Unidad</v>
      </c>
      <c r="D6784" s="94">
        <v>5</v>
      </c>
      <c r="E6784" s="84">
        <v>649</v>
      </c>
      <c r="F6784" s="83">
        <f t="shared" ca="1" si="277"/>
        <v>3245</v>
      </c>
    </row>
    <row r="6785" spans="1:10" ht="14.1" customHeight="1" x14ac:dyDescent="0.25">
      <c r="A6785" s="94" t="s">
        <v>12725</v>
      </c>
      <c r="B6785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6785" s="95" t="str">
        <f>IFERROR(VLOOKUP("UD",'Informacion '!P:Q,2,FALSE),"")</f>
        <v>Unidad</v>
      </c>
      <c r="D6785" s="94">
        <v>4</v>
      </c>
      <c r="E6785" s="84">
        <v>147.69999999999999</v>
      </c>
      <c r="F6785" s="83">
        <f t="shared" ca="1" si="277"/>
        <v>590.79999999999995</v>
      </c>
    </row>
    <row r="6786" spans="1:10" ht="14.1" customHeight="1" x14ac:dyDescent="0.25">
      <c r="A6786" s="94" t="s">
        <v>7220</v>
      </c>
      <c r="B6786" s="82" t="str">
        <f ca="1">IFERROR(INDEX(UNSPSCDes,MATCH(INDIRECT(ADDRESS(ROW(),COLUMN()-1,4)),UNSPSCCode,0)),IF(INDIRECT(ADDRESS(ROW(),COLUMN()-1,4))="42142502","Agujas para anestesia",""))</f>
        <v>Agujas para anestesia</v>
      </c>
      <c r="C6786" s="95" t="str">
        <f>IFERROR(VLOOKUP("UD",'Informacion '!P:Q,2,FALSE),"")</f>
        <v>Unidad</v>
      </c>
      <c r="D6786" s="94">
        <v>12</v>
      </c>
      <c r="E6786" s="84">
        <v>325.83</v>
      </c>
      <c r="F6786" s="83">
        <f t="shared" ca="1" si="277"/>
        <v>3909.96</v>
      </c>
    </row>
    <row r="6787" spans="1:10" ht="14.1" customHeight="1" x14ac:dyDescent="0.25">
      <c r="A6787" s="94" t="s">
        <v>11921</v>
      </c>
      <c r="B6787" s="82" t="str">
        <f ca="1">IFERROR(INDEX(UNSPSCDes,MATCH(INDIRECT(ADDRESS(ROW(),COLUMN()-1,4)),UNSPSCCode,0)),IF(INDIRECT(ADDRESS(ROW(),COLUMN()-1,4))="30111602","Cal clorada",""))</f>
        <v>Cal clorada</v>
      </c>
      <c r="C6787" s="95" t="str">
        <f>IFERROR(VLOOKUP("UD",'Informacion '!P:Q,2,FALSE),"")</f>
        <v>Unidad</v>
      </c>
      <c r="D6787" s="94">
        <v>9</v>
      </c>
      <c r="E6787" s="84">
        <v>1168.2</v>
      </c>
      <c r="F6787" s="83">
        <f t="shared" ca="1" si="277"/>
        <v>10513.800000000001</v>
      </c>
    </row>
    <row r="6788" spans="1:10" ht="14.1" customHeight="1" x14ac:dyDescent="0.25">
      <c r="A6788" s="94" t="s">
        <v>3074</v>
      </c>
      <c r="B6788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6788" s="95" t="str">
        <f>IFERROR(VLOOKUP("UD",'Informacion '!P:Q,2,FALSE),"")</f>
        <v>Unidad</v>
      </c>
      <c r="D6788" s="94">
        <v>4</v>
      </c>
      <c r="E6788" s="84">
        <v>580.77</v>
      </c>
      <c r="F6788" s="83">
        <f t="shared" ca="1" si="277"/>
        <v>2323.08</v>
      </c>
    </row>
    <row r="6789" spans="1:10" ht="14.1" customHeight="1" x14ac:dyDescent="0.25">
      <c r="A6789" s="94" t="s">
        <v>16195</v>
      </c>
      <c r="B6789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6789" s="95" t="str">
        <f>IFERROR(VLOOKUP("UD",'Informacion '!P:Q,2,FALSE),"")</f>
        <v>Unidad</v>
      </c>
      <c r="D6789" s="94">
        <v>25029</v>
      </c>
      <c r="E6789" s="84">
        <v>0.39</v>
      </c>
      <c r="F6789" s="83">
        <f t="shared" ca="1" si="277"/>
        <v>9761.31</v>
      </c>
    </row>
    <row r="6790" spans="1:10" ht="14.1" customHeight="1" x14ac:dyDescent="0.25">
      <c r="A6790" s="94" t="s">
        <v>18956</v>
      </c>
      <c r="B6790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790" s="95" t="str">
        <f>IFERROR(VLOOKUP("UD",'Informacion '!P:Q,2,FALSE),"")</f>
        <v>Unidad</v>
      </c>
      <c r="D6790" s="94">
        <v>152</v>
      </c>
      <c r="E6790" s="84">
        <v>1.48</v>
      </c>
      <c r="F6790" s="83">
        <f t="shared" ca="1" si="277"/>
        <v>224.96</v>
      </c>
    </row>
    <row r="6791" spans="1:10" ht="14.1" customHeight="1" x14ac:dyDescent="0.25">
      <c r="A6791" s="94" t="s">
        <v>2064</v>
      </c>
      <c r="B6791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6791" s="95" t="str">
        <f>IFERROR(VLOOKUP("UD",'Informacion '!P:Q,2,FALSE),"")</f>
        <v>Unidad</v>
      </c>
      <c r="D6791" s="94">
        <v>9</v>
      </c>
      <c r="E6791" s="84">
        <v>255.54</v>
      </c>
      <c r="F6791" s="83">
        <f t="shared" ca="1" si="277"/>
        <v>2299.86</v>
      </c>
    </row>
    <row r="6792" spans="1:10" ht="14.1" customHeight="1" x14ac:dyDescent="0.25">
      <c r="A6792" s="94" t="s">
        <v>10483</v>
      </c>
      <c r="B6792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6792" s="95" t="str">
        <f>IFERROR(VLOOKUP("UD",'Informacion '!P:Q,2,FALSE),"")</f>
        <v>Unidad</v>
      </c>
      <c r="D6792" s="94">
        <v>63</v>
      </c>
      <c r="E6792" s="84">
        <v>644</v>
      </c>
      <c r="F6792" s="83">
        <f t="shared" ca="1" si="277"/>
        <v>40572</v>
      </c>
    </row>
    <row r="6793" spans="1:10" ht="14.1" customHeight="1" x14ac:dyDescent="0.25">
      <c r="A6793" s="94" t="s">
        <v>10045</v>
      </c>
      <c r="B6793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6793" s="95" t="str">
        <f>IFERROR(VLOOKUP("UD",'Informacion '!P:Q,2,FALSE),"")</f>
        <v>Unidad</v>
      </c>
      <c r="D6793" s="94">
        <v>4</v>
      </c>
      <c r="E6793" s="84">
        <v>744.18</v>
      </c>
      <c r="F6793" s="83">
        <f t="shared" ca="1" si="277"/>
        <v>2976.72</v>
      </c>
    </row>
    <row r="6794" spans="1:10" ht="14.1" customHeight="1" x14ac:dyDescent="0.25">
      <c r="A6794" s="94" t="s">
        <v>4298</v>
      </c>
      <c r="B6794" s="82" t="str">
        <f ca="1">IFERROR(INDEX(UNSPSCDes,MATCH(INDIRECT(ADDRESS(ROW(),COLUMN()-1,4)),UNSPSCCode,0)),IF(INDIRECT(ADDRESS(ROW(),COLUMN()-1,4))="39121436","Electrodos",""))</f>
        <v>Electrodos</v>
      </c>
      <c r="C6794" s="95" t="str">
        <f>IFERROR(VLOOKUP("UD",'Informacion '!P:Q,2,FALSE),"")</f>
        <v>Unidad</v>
      </c>
      <c r="D6794" s="94">
        <v>6</v>
      </c>
      <c r="E6794" s="84">
        <v>53.24</v>
      </c>
      <c r="F6794" s="83">
        <f t="shared" ca="1" si="277"/>
        <v>319.44</v>
      </c>
    </row>
    <row r="6795" spans="1:10" ht="14.1" customHeight="1" x14ac:dyDescent="0.25">
      <c r="A6795" s="94" t="s">
        <v>3604</v>
      </c>
      <c r="B6795" s="82" t="str">
        <f ca="1">IFERROR(INDEX(UNSPSCDes,MATCH(INDIRECT(ADDRESS(ROW(),COLUMN()-1,4)),UNSPSCCode,0)),IF(INDIRECT(ADDRESS(ROW(),COLUMN()-1,4))="12352501","Formaldehidos",""))</f>
        <v>Formaldehidos</v>
      </c>
      <c r="C6795" s="95" t="str">
        <f>IFERROR(VLOOKUP("UD",'Informacion '!P:Q,2,FALSE),"")</f>
        <v>Unidad</v>
      </c>
      <c r="D6795" s="94">
        <v>12</v>
      </c>
      <c r="E6795" s="84">
        <v>3334.6</v>
      </c>
      <c r="F6795" s="83">
        <f t="shared" ca="1" si="277"/>
        <v>40015.199999999997</v>
      </c>
    </row>
    <row r="6796" spans="1:10" ht="14.1" customHeight="1" x14ac:dyDescent="0.25">
      <c r="A6796" s="94" t="s">
        <v>18114</v>
      </c>
      <c r="B6796" s="82" t="str">
        <f ca="1">IFERROR(INDEX(UNSPSCDes,MATCH(INDIRECT(ADDRESS(ROW(),COLUMN()-1,4)),UNSPSCCode,0)),IF(INDIRECT(ADDRESS(ROW(),COLUMN()-1,4))="31201503","Cinta de enmascarar",""))</f>
        <v>Cinta de enmascarar</v>
      </c>
      <c r="C6796" s="95" t="str">
        <f>IFERROR(VLOOKUP("UD",'Informacion '!P:Q,2,FALSE),"")</f>
        <v>Unidad</v>
      </c>
      <c r="D6796" s="94">
        <v>16</v>
      </c>
      <c r="E6796" s="84">
        <v>344.07</v>
      </c>
      <c r="F6796" s="83">
        <f t="shared" ca="1" si="277"/>
        <v>5505.12</v>
      </c>
    </row>
    <row r="6797" spans="1:10" ht="14.1" customHeight="1" x14ac:dyDescent="0.25">
      <c r="A6797" s="94" t="s">
        <v>13602</v>
      </c>
      <c r="B6797" s="82" t="str">
        <f ca="1">IFERROR(INDEX(UNSPSCDes,MATCH(INDIRECT(ADDRESS(ROW(),COLUMN()-1,4)),UNSPSCCode,0)),IF(INDIRECT(ADDRESS(ROW(),COLUMN()-1,4))="27111502","Navajas de afeitar",""))</f>
        <v>Navajas de afeitar</v>
      </c>
      <c r="C6797" s="95" t="str">
        <f>IFERROR(VLOOKUP("UD",'Informacion '!P:Q,2,FALSE),"")</f>
        <v>Unidad</v>
      </c>
      <c r="D6797" s="94">
        <v>5</v>
      </c>
      <c r="E6797" s="84">
        <v>38.17</v>
      </c>
      <c r="F6797" s="83">
        <f t="shared" ca="1" si="277"/>
        <v>190.85000000000002</v>
      </c>
    </row>
    <row r="6798" spans="1:10" ht="14.1" customHeight="1" x14ac:dyDescent="0.25">
      <c r="A6798" s="94" t="s">
        <v>18114</v>
      </c>
      <c r="B6798" s="82" t="str">
        <f ca="1">IFERROR(INDEX(UNSPSCDes,MATCH(INDIRECT(ADDRESS(ROW(),COLUMN()-1,4)),UNSPSCCode,0)),IF(INDIRECT(ADDRESS(ROW(),COLUMN()-1,4))="31201503","Cinta de enmascarar",""))</f>
        <v>Cinta de enmascarar</v>
      </c>
      <c r="C6798" s="95" t="str">
        <f>IFERROR(VLOOKUP("UD",'Informacion '!P:Q,2,FALSE),"")</f>
        <v>Unidad</v>
      </c>
      <c r="D6798" s="94">
        <v>35</v>
      </c>
      <c r="E6798" s="84">
        <v>490.28</v>
      </c>
      <c r="F6798" s="83">
        <f t="shared" ca="1" si="277"/>
        <v>17159.8</v>
      </c>
    </row>
    <row r="6799" spans="1:10" ht="14.1" customHeight="1" x14ac:dyDescent="0.25">
      <c r="A6799" s="94" t="s">
        <v>3581</v>
      </c>
      <c r="B6799" s="82" t="str">
        <f ca="1">IFERROR(INDEX(UNSPSCDes,MATCH(INDIRECT(ADDRESS(ROW(),COLUMN()-1,4)),UNSPSCCode,0)),IF(INDIRECT(ADDRESS(ROW(),COLUMN()-1,4))="42132104","Almohadas antimicrobianas para hospital",""))</f>
        <v>Almohadas antimicrobianas para hospital</v>
      </c>
      <c r="C6799" s="95" t="str">
        <f>IFERROR(VLOOKUP("UD",'Informacion '!P:Q,2,FALSE),"")</f>
        <v>Unidad</v>
      </c>
      <c r="D6799" s="94">
        <v>8</v>
      </c>
      <c r="E6799" s="84">
        <v>40</v>
      </c>
      <c r="F6799" s="83">
        <f t="shared" ca="1" si="277"/>
        <v>320</v>
      </c>
    </row>
    <row r="6800" spans="1:10" ht="14.1" customHeight="1" x14ac:dyDescent="0.25">
      <c r="E6800" s="96" t="s">
        <v>7213</v>
      </c>
      <c r="F6800" s="87">
        <f ca="1">SUM(Table186[MONTO TOTAL ESTIMADO])</f>
        <v>247378.25999999998</v>
      </c>
      <c r="H6800" s="39" t="str">
        <f>C6774</f>
        <v>Bienes</v>
      </c>
      <c r="I6800" s="39" t="str">
        <f>E6774</f>
        <v>No</v>
      </c>
      <c r="J6800" s="39" t="str">
        <f>D6774</f>
        <v>Compras Menores</v>
      </c>
    </row>
    <row r="6802" spans="1:6" ht="33.950000000000003" customHeight="1" x14ac:dyDescent="0.25">
      <c r="A6802" s="77" t="s">
        <v>17233</v>
      </c>
      <c r="B6802" s="77" t="s">
        <v>4237</v>
      </c>
      <c r="C6802" s="77" t="s">
        <v>4743</v>
      </c>
      <c r="D6802" s="77" t="s">
        <v>9891</v>
      </c>
      <c r="E6802" s="77" t="s">
        <v>3089</v>
      </c>
      <c r="F6802" s="77" t="s">
        <v>18141</v>
      </c>
    </row>
    <row r="6803" spans="1:6" ht="14.1" customHeight="1" x14ac:dyDescent="0.25">
      <c r="A6803" s="79" t="s">
        <v>7805</v>
      </c>
      <c r="B6803" s="79" t="s">
        <v>2182</v>
      </c>
      <c r="C6803" s="79" t="s">
        <v>17215</v>
      </c>
      <c r="D6803" s="79" t="s">
        <v>17798</v>
      </c>
      <c r="E6803" s="79" t="s">
        <v>18247</v>
      </c>
      <c r="F6803" s="79"/>
    </row>
    <row r="6804" spans="1:6" ht="14.1" customHeight="1" x14ac:dyDescent="0.25">
      <c r="A6804" s="2" t="s">
        <v>6643</v>
      </c>
      <c r="B6804" s="80" t="s">
        <v>1046</v>
      </c>
      <c r="C6804" s="90">
        <v>43474</v>
      </c>
      <c r="D6804" s="2" t="s">
        <v>59</v>
      </c>
      <c r="E6804" s="92" t="s">
        <v>20066</v>
      </c>
      <c r="F6804" s="93"/>
    </row>
    <row r="6805" spans="1:6" ht="14.1" customHeight="1" x14ac:dyDescent="0.25">
      <c r="A6805" s="1"/>
      <c r="B6805" s="80" t="s">
        <v>10788</v>
      </c>
      <c r="C6805" s="91">
        <f>IF(C6804="","",IF(AND(MONTH(C6804)&gt;=1,MONTH(C6804)&lt;=3),1,IF(AND(MONTH(C6804)&gt;=4,MONTH(C6804)&lt;=6),2,IF(AND(MONTH(C6804)&gt;=7,MONTH(C6804)&lt;=9),3,4))))</f>
        <v>1</v>
      </c>
      <c r="D6805" s="1"/>
      <c r="E6805" s="92" t="s">
        <v>14822</v>
      </c>
      <c r="F6805" s="93"/>
    </row>
    <row r="6806" spans="1:6" ht="14.1" customHeight="1" x14ac:dyDescent="0.25">
      <c r="A6806" s="1"/>
      <c r="B6806" s="80" t="s">
        <v>13758</v>
      </c>
      <c r="C6806" s="90">
        <v>43554</v>
      </c>
      <c r="D6806" s="1"/>
      <c r="E6806" s="92" t="s">
        <v>18636</v>
      </c>
      <c r="F6806" s="93"/>
    </row>
    <row r="6807" spans="1:6" ht="14.1" customHeight="1" x14ac:dyDescent="0.25">
      <c r="A6807" s="1"/>
      <c r="B6807" s="80" t="s">
        <v>10788</v>
      </c>
      <c r="C6807" s="91">
        <f>IF(C6806="","",IF(AND(MONTH(C6806)&gt;=1,MONTH(C6806)&lt;=3),1,IF(AND(MONTH(C6806)&gt;=4,MONTH(C6806)&lt;=6),2,IF(AND(MONTH(C6806)&gt;=7,MONTH(C6806)&lt;=9),3,4))))</f>
        <v>1</v>
      </c>
      <c r="D6807" s="1"/>
      <c r="E6807" s="92" t="s">
        <v>15990</v>
      </c>
      <c r="F6807" s="93"/>
    </row>
    <row r="6809" spans="1:6" ht="14.1" customHeight="1" x14ac:dyDescent="0.25">
      <c r="A6809" s="85" t="s">
        <v>15474</v>
      </c>
      <c r="B6809" s="85" t="s">
        <v>5027</v>
      </c>
      <c r="C6809" s="85" t="s">
        <v>17461</v>
      </c>
      <c r="D6809" s="85" t="s">
        <v>3935</v>
      </c>
      <c r="E6809" s="85" t="s">
        <v>10722</v>
      </c>
      <c r="F6809" s="85" t="s">
        <v>18237</v>
      </c>
    </row>
    <row r="6810" spans="1:6" ht="14.1" customHeight="1" x14ac:dyDescent="0.25">
      <c r="A6810" s="94" t="s">
        <v>7266</v>
      </c>
      <c r="B6810" s="82" t="str">
        <f ca="1">IFERROR(INDEX(UNSPSCDes,MATCH(INDIRECT(ADDRESS(ROW(),COLUMN()-1,4)),UNSPSCCode,0)),IF(INDIRECT(ADDRESS(ROW(),COLUMN()-1,4))="12141916","Yodo i",""))</f>
        <v>Yodo i</v>
      </c>
      <c r="C6810" s="95" t="str">
        <f>IFERROR(VLOOKUP("UD",'Informacion '!P:Q,2,FALSE),"")</f>
        <v>Unidad</v>
      </c>
      <c r="D6810" s="94">
        <v>2</v>
      </c>
      <c r="E6810" s="84">
        <v>236.54</v>
      </c>
      <c r="F6810" s="83">
        <f t="shared" ref="F6810:F6818" ca="1" si="278">INDIRECT(ADDRESS(ROW(),COLUMN()-2,4))*INDIRECT(ADDRESS(ROW(),COLUMN()-1,4))</f>
        <v>473.08</v>
      </c>
    </row>
    <row r="6811" spans="1:6" ht="14.1" customHeight="1" x14ac:dyDescent="0.25">
      <c r="A6811" s="94" t="s">
        <v>865</v>
      </c>
      <c r="B6811" s="82" t="str">
        <f ca="1">IFERROR(INDEX(UNSPSCDes,MATCH(INDIRECT(ADDRESS(ROW(),COLUMN()-1,4)),UNSPSCCode,0)),IF(INDIRECT(ADDRESS(ROW(),COLUMN()-1,4))="24122006","Aplicador",""))</f>
        <v>Aplicador</v>
      </c>
      <c r="C6811" s="95" t="str">
        <f>IFERROR(VLOOKUP("UD",'Informacion '!P:Q,2,FALSE),"")</f>
        <v>Unidad</v>
      </c>
      <c r="D6811" s="94">
        <v>51</v>
      </c>
      <c r="E6811" s="84">
        <v>4.96</v>
      </c>
      <c r="F6811" s="83">
        <f t="shared" ca="1" si="278"/>
        <v>252.96</v>
      </c>
    </row>
    <row r="6812" spans="1:6" ht="14.1" customHeight="1" x14ac:dyDescent="0.25">
      <c r="A6812" s="94" t="s">
        <v>16197</v>
      </c>
      <c r="B6812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6812" s="95" t="str">
        <f>IFERROR(VLOOKUP("UD",'Informacion '!P:Q,2,FALSE),"")</f>
        <v>Unidad</v>
      </c>
      <c r="D6812" s="94">
        <v>4</v>
      </c>
      <c r="E6812" s="84">
        <v>3035.85</v>
      </c>
      <c r="F6812" s="83">
        <f t="shared" ca="1" si="278"/>
        <v>12143.4</v>
      </c>
    </row>
    <row r="6813" spans="1:6" ht="14.1" customHeight="1" x14ac:dyDescent="0.25">
      <c r="A6813" s="94" t="s">
        <v>16197</v>
      </c>
      <c r="B6813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6813" s="95" t="str">
        <f>IFERROR(VLOOKUP("UD",'Informacion '!P:Q,2,FALSE),"")</f>
        <v>Unidad</v>
      </c>
      <c r="D6813" s="94">
        <v>5</v>
      </c>
      <c r="E6813" s="84">
        <v>3437.65</v>
      </c>
      <c r="F6813" s="83">
        <f t="shared" ca="1" si="278"/>
        <v>17188.25</v>
      </c>
    </row>
    <row r="6814" spans="1:6" ht="14.1" customHeight="1" x14ac:dyDescent="0.25">
      <c r="A6814" s="94" t="s">
        <v>435</v>
      </c>
      <c r="B681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814" s="95" t="str">
        <f>IFERROR(VLOOKUP("UD",'Informacion '!P:Q,2,FALSE),"")</f>
        <v>Unidad</v>
      </c>
      <c r="D6814" s="94">
        <v>6</v>
      </c>
      <c r="E6814" s="84">
        <v>685.88</v>
      </c>
      <c r="F6814" s="83">
        <f t="shared" ca="1" si="278"/>
        <v>4115.28</v>
      </c>
    </row>
    <row r="6815" spans="1:6" ht="14.1" customHeight="1" x14ac:dyDescent="0.25">
      <c r="A6815" s="94" t="s">
        <v>435</v>
      </c>
      <c r="B6815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815" s="95" t="str">
        <f>IFERROR(VLOOKUP("UD",'Informacion '!P:Q,2,FALSE),"")</f>
        <v>Unidad</v>
      </c>
      <c r="D6815" s="94">
        <v>7</v>
      </c>
      <c r="E6815" s="84">
        <v>663.75</v>
      </c>
      <c r="F6815" s="83">
        <f t="shared" ca="1" si="278"/>
        <v>4646.25</v>
      </c>
    </row>
    <row r="6816" spans="1:6" ht="14.1" customHeight="1" x14ac:dyDescent="0.25">
      <c r="A6816" s="94" t="s">
        <v>7710</v>
      </c>
      <c r="B6816" s="82" t="str">
        <f ca="1">IFERROR(INDEX(UNSPSCDes,MATCH(INDIRECT(ADDRESS(ROW(),COLUMN()-1,4)),UNSPSCCode,0)),IF(INDIRECT(ADDRESS(ROW(),COLUMN()-1,4))="91101501","Gimnasios o centros de salud",""))</f>
        <v>Gimnasios o centros de salud</v>
      </c>
      <c r="C6816" s="95" t="str">
        <f>IFERROR(VLOOKUP("UD",'Informacion '!P:Q,2,FALSE),"")</f>
        <v>Unidad</v>
      </c>
      <c r="D6816" s="94">
        <v>1</v>
      </c>
      <c r="E6816" s="84">
        <v>50000</v>
      </c>
      <c r="F6816" s="83">
        <f t="shared" ca="1" si="278"/>
        <v>50000</v>
      </c>
    </row>
    <row r="6817" spans="1:10" ht="14.1" customHeight="1" x14ac:dyDescent="0.25">
      <c r="A6817" s="94" t="s">
        <v>10014</v>
      </c>
      <c r="B6817" s="82" t="str">
        <f ca="1">IFERROR(INDEX(UNSPSCDes,MATCH(INDIRECT(ADDRESS(ROW(),COLUMN()-1,4)),UNSPSCCode,0)),IF(INDIRECT(ADDRESS(ROW(),COLUMN()-1,4))="42242101","Suministros de tracción de brazo",""))</f>
        <v>Suministros de tracción de brazo</v>
      </c>
      <c r="C6817" s="95" t="str">
        <f>IFERROR(VLOOKUP("UD",'Informacion '!P:Q,2,FALSE),"")</f>
        <v>Unidad</v>
      </c>
      <c r="D6817" s="94">
        <v>1</v>
      </c>
      <c r="E6817" s="84">
        <v>11200</v>
      </c>
      <c r="F6817" s="83">
        <f t="shared" ca="1" si="278"/>
        <v>11200</v>
      </c>
    </row>
    <row r="6818" spans="1:10" ht="14.1" customHeight="1" x14ac:dyDescent="0.25">
      <c r="A6818" s="94" t="s">
        <v>4423</v>
      </c>
      <c r="B6818" s="82" t="str">
        <f ca="1">IFERROR(INDEX(UNSPSCDes,MATCH(INDIRECT(ADDRESS(ROW(),COLUMN()-1,4)),UNSPSCCode,0)),IF(INDIRECT(ADDRESS(ROW(),COLUMN()-1,4))="42241510","Kits o materiales para tablillas termoplásticas",""))</f>
        <v>Kits o materiales para tablillas termoplásticas</v>
      </c>
      <c r="C6818" s="95" t="str">
        <f>IFERROR(VLOOKUP("UD",'Informacion '!P:Q,2,FALSE),"")</f>
        <v>Unidad</v>
      </c>
      <c r="D6818" s="94">
        <v>5</v>
      </c>
      <c r="E6818" s="84">
        <v>2900</v>
      </c>
      <c r="F6818" s="83">
        <f t="shared" ca="1" si="278"/>
        <v>14500</v>
      </c>
    </row>
    <row r="6819" spans="1:10" ht="14.1" customHeight="1" x14ac:dyDescent="0.25">
      <c r="E6819" s="96" t="s">
        <v>7213</v>
      </c>
      <c r="F6819" s="87">
        <f ca="1">SUM(Table187[MONTO TOTAL ESTIMADO])</f>
        <v>114519.22</v>
      </c>
      <c r="H6819" s="39" t="str">
        <f>C6803</f>
        <v>Bienes</v>
      </c>
      <c r="I6819" s="39" t="str">
        <f>E6803</f>
        <v>No</v>
      </c>
      <c r="J6819" s="39" t="str">
        <f>D6803</f>
        <v>Compras Menores</v>
      </c>
    </row>
    <row r="6821" spans="1:10" ht="33.950000000000003" customHeight="1" x14ac:dyDescent="0.25">
      <c r="A6821" s="77" t="s">
        <v>17233</v>
      </c>
      <c r="B6821" s="77" t="s">
        <v>4237</v>
      </c>
      <c r="C6821" s="77" t="s">
        <v>4743</v>
      </c>
      <c r="D6821" s="77" t="s">
        <v>9891</v>
      </c>
      <c r="E6821" s="77" t="s">
        <v>3089</v>
      </c>
      <c r="F6821" s="77" t="s">
        <v>18141</v>
      </c>
    </row>
    <row r="6822" spans="1:10" ht="14.1" customHeight="1" x14ac:dyDescent="0.25">
      <c r="A6822" s="79" t="s">
        <v>5022</v>
      </c>
      <c r="B6822" s="79" t="s">
        <v>2182</v>
      </c>
      <c r="C6822" s="79" t="s">
        <v>17215</v>
      </c>
      <c r="D6822" s="79" t="s">
        <v>17798</v>
      </c>
      <c r="E6822" s="79" t="s">
        <v>18247</v>
      </c>
      <c r="F6822" s="79"/>
    </row>
    <row r="6823" spans="1:10" ht="14.1" customHeight="1" x14ac:dyDescent="0.25">
      <c r="A6823" s="2" t="s">
        <v>6643</v>
      </c>
      <c r="B6823" s="80" t="s">
        <v>1046</v>
      </c>
      <c r="C6823" s="90">
        <v>43556</v>
      </c>
      <c r="D6823" s="2" t="s">
        <v>59</v>
      </c>
      <c r="E6823" s="92" t="s">
        <v>20066</v>
      </c>
      <c r="F6823" s="93" t="s">
        <v>5684</v>
      </c>
    </row>
    <row r="6824" spans="1:10" ht="14.1" customHeight="1" x14ac:dyDescent="0.25">
      <c r="A6824" s="1"/>
      <c r="B6824" s="80" t="s">
        <v>10788</v>
      </c>
      <c r="C6824" s="91">
        <f>IF(C6823="","",IF(AND(MONTH(C6823)&gt;=1,MONTH(C6823)&lt;=3),1,IF(AND(MONTH(C6823)&gt;=4,MONTH(C6823)&lt;=6),2,IF(AND(MONTH(C6823)&gt;=7,MONTH(C6823)&lt;=9),3,4))))</f>
        <v>2</v>
      </c>
      <c r="D6824" s="1"/>
      <c r="E6824" s="92" t="s">
        <v>14822</v>
      </c>
      <c r="F6824" s="93"/>
    </row>
    <row r="6825" spans="1:10" ht="14.1" customHeight="1" x14ac:dyDescent="0.25">
      <c r="A6825" s="1"/>
      <c r="B6825" s="80" t="s">
        <v>13758</v>
      </c>
      <c r="C6825" s="90">
        <v>43645</v>
      </c>
      <c r="D6825" s="1"/>
      <c r="E6825" s="92" t="s">
        <v>18636</v>
      </c>
      <c r="F6825" s="93"/>
    </row>
    <row r="6826" spans="1:10" ht="14.1" customHeight="1" x14ac:dyDescent="0.25">
      <c r="A6826" s="1"/>
      <c r="B6826" s="80" t="s">
        <v>10788</v>
      </c>
      <c r="C6826" s="91">
        <f>IF(C6825="","",IF(AND(MONTH(C6825)&gt;=1,MONTH(C6825)&lt;=3),1,IF(AND(MONTH(C6825)&gt;=4,MONTH(C6825)&lt;=6),2,IF(AND(MONTH(C6825)&gt;=7,MONTH(C6825)&lt;=9),3,4))))</f>
        <v>2</v>
      </c>
      <c r="D6826" s="1"/>
      <c r="E6826" s="92" t="s">
        <v>15990</v>
      </c>
      <c r="F6826" s="93"/>
    </row>
    <row r="6828" spans="1:10" ht="14.1" customHeight="1" x14ac:dyDescent="0.25">
      <c r="A6828" s="85" t="s">
        <v>15474</v>
      </c>
      <c r="B6828" s="85" t="s">
        <v>5027</v>
      </c>
      <c r="C6828" s="85" t="s">
        <v>17461</v>
      </c>
      <c r="D6828" s="85" t="s">
        <v>3935</v>
      </c>
      <c r="E6828" s="85" t="s">
        <v>10722</v>
      </c>
      <c r="F6828" s="85" t="s">
        <v>18237</v>
      </c>
    </row>
    <row r="6829" spans="1:10" ht="14.1" customHeight="1" x14ac:dyDescent="0.25">
      <c r="A6829" s="94" t="s">
        <v>7266</v>
      </c>
      <c r="B6829" s="82" t="str">
        <f ca="1">IFERROR(INDEX(UNSPSCDes,MATCH(INDIRECT(ADDRESS(ROW(),COLUMN()-1,4)),UNSPSCCode,0)),IF(INDIRECT(ADDRESS(ROW(),COLUMN()-1,4))="12141916","Yodo i",""))</f>
        <v>Yodo i</v>
      </c>
      <c r="C6829" s="95" t="str">
        <f>IFERROR(VLOOKUP("UD",'Informacion '!P:Q,2,FALSE),"")</f>
        <v>Unidad</v>
      </c>
      <c r="D6829" s="94">
        <v>3</v>
      </c>
      <c r="E6829" s="84">
        <v>236.54</v>
      </c>
      <c r="F6829" s="83">
        <f t="shared" ref="F6829:F6835" ca="1" si="279">INDIRECT(ADDRESS(ROW(),COLUMN()-2,4))*INDIRECT(ADDRESS(ROW(),COLUMN()-1,4))</f>
        <v>709.62</v>
      </c>
    </row>
    <row r="6830" spans="1:10" ht="14.1" customHeight="1" x14ac:dyDescent="0.25">
      <c r="A6830" s="94" t="s">
        <v>865</v>
      </c>
      <c r="B6830" s="82" t="str">
        <f ca="1">IFERROR(INDEX(UNSPSCDes,MATCH(INDIRECT(ADDRESS(ROW(),COLUMN()-1,4)),UNSPSCCode,0)),IF(INDIRECT(ADDRESS(ROW(),COLUMN()-1,4))="24122006","Aplicador",""))</f>
        <v>Aplicador</v>
      </c>
      <c r="C6830" s="95" t="str">
        <f>IFERROR(VLOOKUP("UD",'Informacion '!P:Q,2,FALSE),"")</f>
        <v>Unidad</v>
      </c>
      <c r="D6830" s="94">
        <v>53</v>
      </c>
      <c r="E6830" s="84">
        <v>4.96</v>
      </c>
      <c r="F6830" s="83">
        <f t="shared" ca="1" si="279"/>
        <v>262.88</v>
      </c>
    </row>
    <row r="6831" spans="1:10" ht="14.1" customHeight="1" x14ac:dyDescent="0.25">
      <c r="A6831" s="94" t="s">
        <v>16197</v>
      </c>
      <c r="B6831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6831" s="95" t="str">
        <f>IFERROR(VLOOKUP("UD",'Informacion '!P:Q,2,FALSE),"")</f>
        <v>Unidad</v>
      </c>
      <c r="D6831" s="94">
        <v>5</v>
      </c>
      <c r="E6831" s="84">
        <v>3035.85</v>
      </c>
      <c r="F6831" s="83">
        <f t="shared" ca="1" si="279"/>
        <v>15179.25</v>
      </c>
    </row>
    <row r="6832" spans="1:10" ht="14.1" customHeight="1" x14ac:dyDescent="0.25">
      <c r="A6832" s="94" t="s">
        <v>16197</v>
      </c>
      <c r="B6832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6832" s="95" t="str">
        <f>IFERROR(VLOOKUP("UD",'Informacion '!P:Q,2,FALSE),"")</f>
        <v>Unidad</v>
      </c>
      <c r="D6832" s="94">
        <v>6</v>
      </c>
      <c r="E6832" s="84">
        <v>3437.65</v>
      </c>
      <c r="F6832" s="83">
        <f t="shared" ca="1" si="279"/>
        <v>20625.900000000001</v>
      </c>
    </row>
    <row r="6833" spans="1:10" ht="14.1" customHeight="1" x14ac:dyDescent="0.25">
      <c r="A6833" s="94" t="s">
        <v>435</v>
      </c>
      <c r="B683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833" s="95" t="str">
        <f>IFERROR(VLOOKUP("UD",'Informacion '!P:Q,2,FALSE),"")</f>
        <v>Unidad</v>
      </c>
      <c r="D6833" s="94">
        <v>7</v>
      </c>
      <c r="E6833" s="84">
        <v>685.88</v>
      </c>
      <c r="F6833" s="83">
        <f t="shared" ca="1" si="279"/>
        <v>4801.16</v>
      </c>
    </row>
    <row r="6834" spans="1:10" ht="14.1" customHeight="1" x14ac:dyDescent="0.25">
      <c r="A6834" s="94" t="s">
        <v>435</v>
      </c>
      <c r="B683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834" s="95" t="str">
        <f>IFERROR(VLOOKUP("UD",'Informacion '!P:Q,2,FALSE),"")</f>
        <v>Unidad</v>
      </c>
      <c r="D6834" s="94">
        <v>8</v>
      </c>
      <c r="E6834" s="84">
        <v>663.75</v>
      </c>
      <c r="F6834" s="83">
        <f t="shared" ca="1" si="279"/>
        <v>5310</v>
      </c>
    </row>
    <row r="6835" spans="1:10" ht="14.1" customHeight="1" x14ac:dyDescent="0.25">
      <c r="A6835" s="94" t="s">
        <v>4423</v>
      </c>
      <c r="B6835" s="82" t="str">
        <f ca="1">IFERROR(INDEX(UNSPSCDes,MATCH(INDIRECT(ADDRESS(ROW(),COLUMN()-1,4)),UNSPSCCode,0)),IF(INDIRECT(ADDRESS(ROW(),COLUMN()-1,4))="42241510","Kits o materiales para tablillas termoplásticas",""))</f>
        <v>Kits o materiales para tablillas termoplásticas</v>
      </c>
      <c r="C6835" s="95" t="str">
        <f>IFERROR(VLOOKUP("UD",'Informacion '!P:Q,2,FALSE),"")</f>
        <v>Unidad</v>
      </c>
      <c r="D6835" s="94">
        <v>5</v>
      </c>
      <c r="E6835" s="84">
        <v>2900</v>
      </c>
      <c r="F6835" s="83">
        <f t="shared" ca="1" si="279"/>
        <v>14500</v>
      </c>
    </row>
    <row r="6836" spans="1:10" ht="14.1" customHeight="1" x14ac:dyDescent="0.25">
      <c r="E6836" s="96" t="s">
        <v>7213</v>
      </c>
      <c r="F6836" s="87">
        <f ca="1">SUM(Table188[MONTO TOTAL ESTIMADO])</f>
        <v>61388.81</v>
      </c>
      <c r="H6836" s="39" t="str">
        <f>C6822</f>
        <v>Bienes</v>
      </c>
      <c r="I6836" s="39" t="str">
        <f>E6822</f>
        <v>No</v>
      </c>
      <c r="J6836" s="39" t="str">
        <f>D6822</f>
        <v>Compras Menores</v>
      </c>
    </row>
    <row r="6838" spans="1:10" ht="33.950000000000003" customHeight="1" x14ac:dyDescent="0.25">
      <c r="A6838" s="77" t="s">
        <v>17233</v>
      </c>
      <c r="B6838" s="77" t="s">
        <v>4237</v>
      </c>
      <c r="C6838" s="77" t="s">
        <v>4743</v>
      </c>
      <c r="D6838" s="77" t="s">
        <v>9891</v>
      </c>
      <c r="E6838" s="77" t="s">
        <v>3089</v>
      </c>
      <c r="F6838" s="77" t="s">
        <v>18141</v>
      </c>
    </row>
    <row r="6839" spans="1:10" ht="14.1" customHeight="1" x14ac:dyDescent="0.25">
      <c r="A6839" s="79" t="s">
        <v>13535</v>
      </c>
      <c r="B6839" s="79" t="s">
        <v>2182</v>
      </c>
      <c r="C6839" s="79" t="s">
        <v>17215</v>
      </c>
      <c r="D6839" s="79" t="s">
        <v>17798</v>
      </c>
      <c r="E6839" s="79" t="s">
        <v>18247</v>
      </c>
      <c r="F6839" s="79"/>
    </row>
    <row r="6840" spans="1:10" ht="14.1" customHeight="1" x14ac:dyDescent="0.25">
      <c r="A6840" s="2" t="s">
        <v>6643</v>
      </c>
      <c r="B6840" s="80" t="s">
        <v>1046</v>
      </c>
      <c r="C6840" s="90">
        <v>43647</v>
      </c>
      <c r="D6840" s="2" t="s">
        <v>59</v>
      </c>
      <c r="E6840" s="92" t="s">
        <v>20066</v>
      </c>
      <c r="F6840" s="93" t="s">
        <v>5684</v>
      </c>
    </row>
    <row r="6841" spans="1:10" ht="14.1" customHeight="1" x14ac:dyDescent="0.25">
      <c r="A6841" s="1"/>
      <c r="B6841" s="80" t="s">
        <v>10788</v>
      </c>
      <c r="C6841" s="91">
        <f>IF(C6840="","",IF(AND(MONTH(C6840)&gt;=1,MONTH(C6840)&lt;=3),1,IF(AND(MONTH(C6840)&gt;=4,MONTH(C6840)&lt;=6),2,IF(AND(MONTH(C6840)&gt;=7,MONTH(C6840)&lt;=9),3,4))))</f>
        <v>3</v>
      </c>
      <c r="D6841" s="1"/>
      <c r="E6841" s="92" t="s">
        <v>14822</v>
      </c>
      <c r="F6841" s="93"/>
    </row>
    <row r="6842" spans="1:10" ht="14.1" customHeight="1" x14ac:dyDescent="0.25">
      <c r="A6842" s="1"/>
      <c r="B6842" s="80" t="s">
        <v>13758</v>
      </c>
      <c r="C6842" s="90">
        <v>43738</v>
      </c>
      <c r="D6842" s="1"/>
      <c r="E6842" s="92" t="s">
        <v>18636</v>
      </c>
      <c r="F6842" s="93"/>
    </row>
    <row r="6843" spans="1:10" ht="14.1" customHeight="1" x14ac:dyDescent="0.25">
      <c r="A6843" s="1"/>
      <c r="B6843" s="80" t="s">
        <v>10788</v>
      </c>
      <c r="C6843" s="91">
        <f>IF(C6842="","",IF(AND(MONTH(C6842)&gt;=1,MONTH(C6842)&lt;=3),1,IF(AND(MONTH(C6842)&gt;=4,MONTH(C6842)&lt;=6),2,IF(AND(MONTH(C6842)&gt;=7,MONTH(C6842)&lt;=9),3,4))))</f>
        <v>3</v>
      </c>
      <c r="D6843" s="1"/>
      <c r="E6843" s="92" t="s">
        <v>15990</v>
      </c>
      <c r="F6843" s="93"/>
    </row>
    <row r="6845" spans="1:10" ht="14.1" customHeight="1" x14ac:dyDescent="0.25">
      <c r="A6845" s="85" t="s">
        <v>15474</v>
      </c>
      <c r="B6845" s="85" t="s">
        <v>5027</v>
      </c>
      <c r="C6845" s="85" t="s">
        <v>17461</v>
      </c>
      <c r="D6845" s="85" t="s">
        <v>3935</v>
      </c>
      <c r="E6845" s="85" t="s">
        <v>10722</v>
      </c>
      <c r="F6845" s="85" t="s">
        <v>18237</v>
      </c>
    </row>
    <row r="6846" spans="1:10" ht="14.1" customHeight="1" x14ac:dyDescent="0.25">
      <c r="A6846" s="94" t="s">
        <v>7266</v>
      </c>
      <c r="B6846" s="82" t="str">
        <f ca="1">IFERROR(INDEX(UNSPSCDes,MATCH(INDIRECT(ADDRESS(ROW(),COLUMN()-1,4)),UNSPSCCode,0)),IF(INDIRECT(ADDRESS(ROW(),COLUMN()-1,4))="12141916","Yodo i",""))</f>
        <v>Yodo i</v>
      </c>
      <c r="C6846" s="95" t="str">
        <f>IFERROR(VLOOKUP("UD",'Informacion '!P:Q,2,FALSE),"")</f>
        <v>Unidad</v>
      </c>
      <c r="D6846" s="94">
        <v>4</v>
      </c>
      <c r="E6846" s="84">
        <v>236.54</v>
      </c>
      <c r="F6846" s="83">
        <f t="shared" ref="F6846:F6851" ca="1" si="280">INDIRECT(ADDRESS(ROW(),COLUMN()-2,4))*INDIRECT(ADDRESS(ROW(),COLUMN()-1,4))</f>
        <v>946.16</v>
      </c>
    </row>
    <row r="6847" spans="1:10" ht="14.1" customHeight="1" x14ac:dyDescent="0.25">
      <c r="A6847" s="94" t="s">
        <v>865</v>
      </c>
      <c r="B6847" s="82" t="str">
        <f ca="1">IFERROR(INDEX(UNSPSCDes,MATCH(INDIRECT(ADDRESS(ROW(),COLUMN()-1,4)),UNSPSCCode,0)),IF(INDIRECT(ADDRESS(ROW(),COLUMN()-1,4))="24122006","Aplicador",""))</f>
        <v>Aplicador</v>
      </c>
      <c r="C6847" s="95" t="str">
        <f>IFERROR(VLOOKUP("UD",'Informacion '!P:Q,2,FALSE),"")</f>
        <v>Unidad</v>
      </c>
      <c r="D6847" s="94">
        <v>55</v>
      </c>
      <c r="E6847" s="84">
        <v>4.96</v>
      </c>
      <c r="F6847" s="83">
        <f t="shared" ca="1" si="280"/>
        <v>272.8</v>
      </c>
    </row>
    <row r="6848" spans="1:10" ht="14.1" customHeight="1" x14ac:dyDescent="0.25">
      <c r="A6848" s="94" t="s">
        <v>16197</v>
      </c>
      <c r="B6848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6848" s="95" t="str">
        <f>IFERROR(VLOOKUP("UD",'Informacion '!P:Q,2,FALSE),"")</f>
        <v>Unidad</v>
      </c>
      <c r="D6848" s="94">
        <v>6</v>
      </c>
      <c r="E6848" s="84">
        <v>3035.85</v>
      </c>
      <c r="F6848" s="83">
        <f t="shared" ca="1" si="280"/>
        <v>18215.099999999999</v>
      </c>
    </row>
    <row r="6849" spans="1:10" ht="14.1" customHeight="1" x14ac:dyDescent="0.25">
      <c r="A6849" s="94" t="s">
        <v>16197</v>
      </c>
      <c r="B6849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6849" s="95" t="str">
        <f>IFERROR(VLOOKUP("UD",'Informacion '!P:Q,2,FALSE),"")</f>
        <v>Unidad</v>
      </c>
      <c r="D6849" s="94">
        <v>7</v>
      </c>
      <c r="E6849" s="84">
        <v>3437.65</v>
      </c>
      <c r="F6849" s="83">
        <f t="shared" ca="1" si="280"/>
        <v>24063.55</v>
      </c>
    </row>
    <row r="6850" spans="1:10" ht="14.1" customHeight="1" x14ac:dyDescent="0.25">
      <c r="A6850" s="94" t="s">
        <v>435</v>
      </c>
      <c r="B6850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850" s="95" t="str">
        <f>IFERROR(VLOOKUP("UD",'Informacion '!P:Q,2,FALSE),"")</f>
        <v>Unidad</v>
      </c>
      <c r="D6850" s="94">
        <v>8</v>
      </c>
      <c r="E6850" s="84">
        <v>685.88</v>
      </c>
      <c r="F6850" s="83">
        <f t="shared" ca="1" si="280"/>
        <v>5487.04</v>
      </c>
    </row>
    <row r="6851" spans="1:10" ht="14.1" customHeight="1" x14ac:dyDescent="0.25">
      <c r="A6851" s="94" t="s">
        <v>435</v>
      </c>
      <c r="B685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851" s="95" t="str">
        <f>IFERROR(VLOOKUP("UD",'Informacion '!P:Q,2,FALSE),"")</f>
        <v>Unidad</v>
      </c>
      <c r="D6851" s="94">
        <v>9</v>
      </c>
      <c r="E6851" s="84">
        <v>663.75</v>
      </c>
      <c r="F6851" s="83">
        <f t="shared" ca="1" si="280"/>
        <v>5973.75</v>
      </c>
    </row>
    <row r="6852" spans="1:10" ht="14.1" customHeight="1" x14ac:dyDescent="0.25">
      <c r="E6852" s="96" t="s">
        <v>7213</v>
      </c>
      <c r="F6852" s="87">
        <f ca="1">SUM(Table189[MONTO TOTAL ESTIMADO])</f>
        <v>54958.400000000001</v>
      </c>
      <c r="H6852" s="39" t="str">
        <f>C6839</f>
        <v>Bienes</v>
      </c>
      <c r="I6852" s="39" t="str">
        <f>E6839</f>
        <v>No</v>
      </c>
      <c r="J6852" s="39" t="str">
        <f>D6839</f>
        <v>Compras Menores</v>
      </c>
    </row>
    <row r="6854" spans="1:10" ht="33.950000000000003" customHeight="1" x14ac:dyDescent="0.25">
      <c r="A6854" s="77" t="s">
        <v>17233</v>
      </c>
      <c r="B6854" s="77" t="s">
        <v>4237</v>
      </c>
      <c r="C6854" s="77" t="s">
        <v>4743</v>
      </c>
      <c r="D6854" s="77" t="s">
        <v>9891</v>
      </c>
      <c r="E6854" s="77" t="s">
        <v>3089</v>
      </c>
      <c r="F6854" s="77" t="s">
        <v>18141</v>
      </c>
    </row>
    <row r="6855" spans="1:10" ht="14.1" customHeight="1" x14ac:dyDescent="0.25">
      <c r="A6855" s="79" t="s">
        <v>4013</v>
      </c>
      <c r="B6855" s="79" t="s">
        <v>2182</v>
      </c>
      <c r="C6855" s="79" t="s">
        <v>17215</v>
      </c>
      <c r="D6855" s="79" t="s">
        <v>17798</v>
      </c>
      <c r="E6855" s="79" t="s">
        <v>18247</v>
      </c>
      <c r="F6855" s="79"/>
    </row>
    <row r="6856" spans="1:10" ht="14.1" customHeight="1" x14ac:dyDescent="0.25">
      <c r="A6856" s="2" t="s">
        <v>6643</v>
      </c>
      <c r="B6856" s="80" t="s">
        <v>1046</v>
      </c>
      <c r="C6856" s="90">
        <v>43739</v>
      </c>
      <c r="D6856" s="2" t="s">
        <v>59</v>
      </c>
      <c r="E6856" s="92" t="s">
        <v>20066</v>
      </c>
      <c r="F6856" s="93" t="s">
        <v>5684</v>
      </c>
    </row>
    <row r="6857" spans="1:10" ht="14.1" customHeight="1" x14ac:dyDescent="0.25">
      <c r="A6857" s="1"/>
      <c r="B6857" s="80" t="s">
        <v>10788</v>
      </c>
      <c r="C6857" s="91">
        <f>IF(C6856="","",IF(AND(MONTH(C6856)&gt;=1,MONTH(C6856)&lt;=3),1,IF(AND(MONTH(C6856)&gt;=4,MONTH(C6856)&lt;=6),2,IF(AND(MONTH(C6856)&gt;=7,MONTH(C6856)&lt;=9),3,4))))</f>
        <v>4</v>
      </c>
      <c r="D6857" s="1"/>
      <c r="E6857" s="92" t="s">
        <v>14822</v>
      </c>
      <c r="F6857" s="93"/>
    </row>
    <row r="6858" spans="1:10" ht="14.1" customHeight="1" x14ac:dyDescent="0.25">
      <c r="A6858" s="1"/>
      <c r="B6858" s="80" t="s">
        <v>13758</v>
      </c>
      <c r="C6858" s="90">
        <v>43830</v>
      </c>
      <c r="D6858" s="1"/>
      <c r="E6858" s="92" t="s">
        <v>18636</v>
      </c>
      <c r="F6858" s="93"/>
    </row>
    <row r="6859" spans="1:10" ht="14.1" customHeight="1" x14ac:dyDescent="0.25">
      <c r="A6859" s="1"/>
      <c r="B6859" s="80" t="s">
        <v>10788</v>
      </c>
      <c r="C6859" s="91">
        <f>IF(C6858="","",IF(AND(MONTH(C6858)&gt;=1,MONTH(C6858)&lt;=3),1,IF(AND(MONTH(C6858)&gt;=4,MONTH(C6858)&lt;=6),2,IF(AND(MONTH(C6858)&gt;=7,MONTH(C6858)&lt;=9),3,4))))</f>
        <v>4</v>
      </c>
      <c r="D6859" s="1"/>
      <c r="E6859" s="92" t="s">
        <v>15990</v>
      </c>
      <c r="F6859" s="93"/>
    </row>
    <row r="6861" spans="1:10" ht="14.1" customHeight="1" x14ac:dyDescent="0.25">
      <c r="A6861" s="85" t="s">
        <v>15474</v>
      </c>
      <c r="B6861" s="85" t="s">
        <v>5027</v>
      </c>
      <c r="C6861" s="85" t="s">
        <v>17461</v>
      </c>
      <c r="D6861" s="85" t="s">
        <v>3935</v>
      </c>
      <c r="E6861" s="85" t="s">
        <v>10722</v>
      </c>
      <c r="F6861" s="85" t="s">
        <v>18237</v>
      </c>
    </row>
    <row r="6862" spans="1:10" ht="14.1" customHeight="1" x14ac:dyDescent="0.25">
      <c r="A6862" s="94" t="s">
        <v>7266</v>
      </c>
      <c r="B6862" s="82" t="str">
        <f ca="1">IFERROR(INDEX(UNSPSCDes,MATCH(INDIRECT(ADDRESS(ROW(),COLUMN()-1,4)),UNSPSCCode,0)),IF(INDIRECT(ADDRESS(ROW(),COLUMN()-1,4))="12141916","Yodo i",""))</f>
        <v>Yodo i</v>
      </c>
      <c r="C6862" s="95" t="str">
        <f>IFERROR(VLOOKUP("UD",'Informacion '!P:Q,2,FALSE),"")</f>
        <v>Unidad</v>
      </c>
      <c r="D6862" s="94">
        <v>11</v>
      </c>
      <c r="E6862" s="84">
        <v>236.54</v>
      </c>
      <c r="F6862" s="83">
        <f t="shared" ref="F6862:F6867" ca="1" si="281">INDIRECT(ADDRESS(ROW(),COLUMN()-2,4))*INDIRECT(ADDRESS(ROW(),COLUMN()-1,4))</f>
        <v>2601.94</v>
      </c>
    </row>
    <row r="6863" spans="1:10" ht="14.1" customHeight="1" x14ac:dyDescent="0.25">
      <c r="A6863" s="94" t="s">
        <v>865</v>
      </c>
      <c r="B6863" s="82" t="str">
        <f ca="1">IFERROR(INDEX(UNSPSCDes,MATCH(INDIRECT(ADDRESS(ROW(),COLUMN()-1,4)),UNSPSCCode,0)),IF(INDIRECT(ADDRESS(ROW(),COLUMN()-1,4))="24122006","Aplicador",""))</f>
        <v>Aplicador</v>
      </c>
      <c r="C6863" s="95" t="str">
        <f>IFERROR(VLOOKUP("UD",'Informacion '!P:Q,2,FALSE),"")</f>
        <v>Unidad</v>
      </c>
      <c r="D6863" s="94">
        <v>57</v>
      </c>
      <c r="E6863" s="84">
        <v>4.96</v>
      </c>
      <c r="F6863" s="83">
        <f t="shared" ca="1" si="281"/>
        <v>282.71999999999997</v>
      </c>
    </row>
    <row r="6864" spans="1:10" ht="14.1" customHeight="1" x14ac:dyDescent="0.25">
      <c r="A6864" s="94" t="s">
        <v>16197</v>
      </c>
      <c r="B6864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6864" s="95" t="str">
        <f>IFERROR(VLOOKUP("UD",'Informacion '!P:Q,2,FALSE),"")</f>
        <v>Unidad</v>
      </c>
      <c r="D6864" s="94">
        <v>7</v>
      </c>
      <c r="E6864" s="84">
        <v>3035.85</v>
      </c>
      <c r="F6864" s="83">
        <f t="shared" ca="1" si="281"/>
        <v>21250.95</v>
      </c>
    </row>
    <row r="6865" spans="1:10" ht="14.1" customHeight="1" x14ac:dyDescent="0.25">
      <c r="A6865" s="94" t="s">
        <v>16197</v>
      </c>
      <c r="B6865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6865" s="95" t="str">
        <f>IFERROR(VLOOKUP("UD",'Informacion '!P:Q,2,FALSE),"")</f>
        <v>Unidad</v>
      </c>
      <c r="D6865" s="94">
        <v>8</v>
      </c>
      <c r="E6865" s="84">
        <v>3437.65</v>
      </c>
      <c r="F6865" s="83">
        <f t="shared" ca="1" si="281"/>
        <v>27501.200000000001</v>
      </c>
    </row>
    <row r="6866" spans="1:10" ht="14.1" customHeight="1" x14ac:dyDescent="0.25">
      <c r="A6866" s="94" t="s">
        <v>435</v>
      </c>
      <c r="B6866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866" s="95" t="str">
        <f>IFERROR(VLOOKUP("UD",'Informacion '!P:Q,2,FALSE),"")</f>
        <v>Unidad</v>
      </c>
      <c r="D6866" s="94">
        <v>9</v>
      </c>
      <c r="E6866" s="84">
        <v>685.88</v>
      </c>
      <c r="F6866" s="83">
        <f t="shared" ca="1" si="281"/>
        <v>6172.92</v>
      </c>
    </row>
    <row r="6867" spans="1:10" ht="14.1" customHeight="1" x14ac:dyDescent="0.25">
      <c r="A6867" s="94" t="s">
        <v>435</v>
      </c>
      <c r="B6867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6867" s="95" t="str">
        <f>IFERROR(VLOOKUP("UD",'Informacion '!P:Q,2,FALSE),"")</f>
        <v>Unidad</v>
      </c>
      <c r="D6867" s="94">
        <v>10</v>
      </c>
      <c r="E6867" s="84">
        <v>663.75</v>
      </c>
      <c r="F6867" s="83">
        <f t="shared" ca="1" si="281"/>
        <v>6637.5</v>
      </c>
    </row>
    <row r="6868" spans="1:10" ht="14.1" customHeight="1" x14ac:dyDescent="0.25">
      <c r="E6868" s="96" t="s">
        <v>7213</v>
      </c>
      <c r="F6868" s="87">
        <f ca="1">SUM(Table190[MONTO TOTAL ESTIMADO])</f>
        <v>64447.229999999996</v>
      </c>
      <c r="H6868" s="39" t="str">
        <f>C6855</f>
        <v>Bienes</v>
      </c>
      <c r="I6868" s="39" t="str">
        <f>E6855</f>
        <v>No</v>
      </c>
      <c r="J6868" s="39" t="str">
        <f>D6855</f>
        <v>Compras Menores</v>
      </c>
    </row>
    <row r="6870" spans="1:10" ht="33.950000000000003" customHeight="1" x14ac:dyDescent="0.25">
      <c r="A6870" s="77" t="s">
        <v>17233</v>
      </c>
      <c r="B6870" s="77" t="s">
        <v>4237</v>
      </c>
      <c r="C6870" s="77" t="s">
        <v>4743</v>
      </c>
      <c r="D6870" s="77" t="s">
        <v>9891</v>
      </c>
      <c r="E6870" s="77" t="s">
        <v>3089</v>
      </c>
      <c r="F6870" s="77" t="s">
        <v>18141</v>
      </c>
    </row>
    <row r="6871" spans="1:10" ht="14.1" customHeight="1" x14ac:dyDescent="0.25">
      <c r="A6871" s="79" t="s">
        <v>10653</v>
      </c>
      <c r="B6871" s="79" t="s">
        <v>2182</v>
      </c>
      <c r="C6871" s="79" t="s">
        <v>17215</v>
      </c>
      <c r="D6871" s="79" t="s">
        <v>15249</v>
      </c>
      <c r="E6871" s="79" t="s">
        <v>18247</v>
      </c>
      <c r="F6871" s="79"/>
    </row>
    <row r="6872" spans="1:10" ht="14.1" customHeight="1" x14ac:dyDescent="0.25">
      <c r="A6872" s="2" t="s">
        <v>6643</v>
      </c>
      <c r="B6872" s="80" t="s">
        <v>1046</v>
      </c>
      <c r="C6872" s="90">
        <v>43474</v>
      </c>
      <c r="D6872" s="2" t="s">
        <v>59</v>
      </c>
      <c r="E6872" s="92" t="s">
        <v>20066</v>
      </c>
      <c r="F6872" s="93" t="s">
        <v>5684</v>
      </c>
    </row>
    <row r="6873" spans="1:10" ht="14.1" customHeight="1" x14ac:dyDescent="0.25">
      <c r="A6873" s="1"/>
      <c r="B6873" s="80" t="s">
        <v>10788</v>
      </c>
      <c r="C6873" s="91">
        <f>IF(C6872="","",IF(AND(MONTH(C6872)&gt;=1,MONTH(C6872)&lt;=3),1,IF(AND(MONTH(C6872)&gt;=4,MONTH(C6872)&lt;=6),2,IF(AND(MONTH(C6872)&gt;=7,MONTH(C6872)&lt;=9),3,4))))</f>
        <v>1</v>
      </c>
      <c r="D6873" s="1"/>
      <c r="E6873" s="92" t="s">
        <v>14822</v>
      </c>
      <c r="F6873" s="93"/>
    </row>
    <row r="6874" spans="1:10" ht="14.1" customHeight="1" x14ac:dyDescent="0.25">
      <c r="A6874" s="1"/>
      <c r="B6874" s="80" t="s">
        <v>13758</v>
      </c>
      <c r="C6874" s="90">
        <v>43554</v>
      </c>
      <c r="D6874" s="1"/>
      <c r="E6874" s="92" t="s">
        <v>18636</v>
      </c>
      <c r="F6874" s="93"/>
    </row>
    <row r="6875" spans="1:10" ht="14.1" customHeight="1" x14ac:dyDescent="0.25">
      <c r="A6875" s="1"/>
      <c r="B6875" s="80" t="s">
        <v>10788</v>
      </c>
      <c r="C6875" s="91">
        <f>IF(C6874="","",IF(AND(MONTH(C6874)&gt;=1,MONTH(C6874)&lt;=3),1,IF(AND(MONTH(C6874)&gt;=4,MONTH(C6874)&lt;=6),2,IF(AND(MONTH(C6874)&gt;=7,MONTH(C6874)&lt;=9),3,4))))</f>
        <v>1</v>
      </c>
      <c r="D6875" s="1"/>
      <c r="E6875" s="92" t="s">
        <v>15990</v>
      </c>
      <c r="F6875" s="93"/>
    </row>
    <row r="6877" spans="1:10" ht="14.1" customHeight="1" x14ac:dyDescent="0.25">
      <c r="A6877" s="85" t="s">
        <v>15474</v>
      </c>
      <c r="B6877" s="85" t="s">
        <v>5027</v>
      </c>
      <c r="C6877" s="85" t="s">
        <v>17461</v>
      </c>
      <c r="D6877" s="85" t="s">
        <v>3935</v>
      </c>
      <c r="E6877" s="85" t="s">
        <v>10722</v>
      </c>
      <c r="F6877" s="85" t="s">
        <v>18237</v>
      </c>
    </row>
    <row r="6878" spans="1:10" ht="14.1" customHeight="1" x14ac:dyDescent="0.25">
      <c r="A6878" s="94" t="s">
        <v>2591</v>
      </c>
      <c r="B6878" s="82" t="str">
        <f ca="1">IFERROR(INDEX(UNSPSCDes,MATCH(INDIRECT(ADDRESS(ROW(),COLUMN()-1,4)),UNSPSCCode,0)),IF(INDIRECT(ADDRESS(ROW(),COLUMN()-1,4))="42142504","Agujas para biopsia",""))</f>
        <v>Agujas para biopsia</v>
      </c>
      <c r="C6878" s="95" t="str">
        <f>IFERROR(VLOOKUP("UD",'Informacion '!P:Q,2,FALSE),"")</f>
        <v>Unidad</v>
      </c>
      <c r="D6878" s="94">
        <v>2</v>
      </c>
      <c r="E6878" s="84">
        <v>1253</v>
      </c>
      <c r="F6878" s="83">
        <f t="shared" ref="F6878:F6899" ca="1" si="282">INDIRECT(ADDRESS(ROW(),COLUMN()-2,4))*INDIRECT(ADDRESS(ROW(),COLUMN()-1,4))</f>
        <v>2506</v>
      </c>
    </row>
    <row r="6879" spans="1:10" ht="14.1" customHeight="1" x14ac:dyDescent="0.25">
      <c r="A6879" s="94" t="s">
        <v>5655</v>
      </c>
      <c r="B6879" s="82" t="str">
        <f ca="1">IFERROR(INDEX(UNSPSCDes,MATCH(INDIRECT(ADDRESS(ROW(),COLUMN()-1,4)),UNSPSCCode,0)),IF(INDIRECT(ADDRESS(ROW(),COLUMN()-1,4))="53131622","Condones",""))</f>
        <v>Condones</v>
      </c>
      <c r="C6879" s="95" t="str">
        <f>IFERROR(VLOOKUP("UD",'Informacion '!P:Q,2,FALSE),"")</f>
        <v>Unidad</v>
      </c>
      <c r="D6879" s="94">
        <v>2</v>
      </c>
      <c r="E6879" s="84">
        <v>6.83</v>
      </c>
      <c r="F6879" s="83">
        <f t="shared" ca="1" si="282"/>
        <v>13.66</v>
      </c>
    </row>
    <row r="6880" spans="1:10" ht="14.1" customHeight="1" x14ac:dyDescent="0.25">
      <c r="A6880" s="94" t="s">
        <v>2946</v>
      </c>
      <c r="B6880" s="82" t="str">
        <f ca="1">IFERROR(INDEX(UNSPSCDes,MATCH(INDIRECT(ADDRESS(ROW(),COLUMN()-1,4)),UNSPSCCode,0)),IF(INDIRECT(ADDRESS(ROW(),COLUMN()-1,4))="14121812","Papel de fotografía",""))</f>
        <v>Papel de fotografía</v>
      </c>
      <c r="C6880" s="95" t="str">
        <f>IFERROR(VLOOKUP("UD",'Informacion '!P:Q,2,FALSE),"")</f>
        <v>Unidad</v>
      </c>
      <c r="D6880" s="94">
        <v>92</v>
      </c>
      <c r="E6880" s="84">
        <v>767</v>
      </c>
      <c r="F6880" s="83">
        <f t="shared" ca="1" si="282"/>
        <v>70564</v>
      </c>
    </row>
    <row r="6881" spans="1:6" ht="14.1" customHeight="1" x14ac:dyDescent="0.25">
      <c r="A6881" s="94" t="s">
        <v>5212</v>
      </c>
      <c r="B6881" s="82" t="str">
        <f ca="1">IFERROR(INDEX(UNSPSCDes,MATCH(INDIRECT(ADDRESS(ROW(),COLUMN()-1,4)),UNSPSCCode,0)),IF(INDIRECT(ADDRESS(ROW(),COLUMN()-1,4))="23153035","Placa",""))</f>
        <v>Placa</v>
      </c>
      <c r="C6881" s="95" t="str">
        <f>IFERROR(VLOOKUP("UD",'Informacion '!P:Q,2,FALSE),"")</f>
        <v>Unidad</v>
      </c>
      <c r="D6881" s="94">
        <v>332</v>
      </c>
      <c r="E6881" s="84">
        <v>81.42</v>
      </c>
      <c r="F6881" s="83">
        <f t="shared" ca="1" si="282"/>
        <v>27031.440000000002</v>
      </c>
    </row>
    <row r="6882" spans="1:6" ht="14.1" customHeight="1" x14ac:dyDescent="0.25">
      <c r="A6882" s="94" t="s">
        <v>5212</v>
      </c>
      <c r="B6882" s="82" t="str">
        <f ca="1">IFERROR(INDEX(UNSPSCDes,MATCH(INDIRECT(ADDRESS(ROW(),COLUMN()-1,4)),UNSPSCCode,0)),IF(INDIRECT(ADDRESS(ROW(),COLUMN()-1,4))="23153035","Placa",""))</f>
        <v>Placa</v>
      </c>
      <c r="C6882" s="95" t="str">
        <f>IFERROR(VLOOKUP("UD",'Informacion '!P:Q,2,FALSE),"")</f>
        <v>Unidad</v>
      </c>
      <c r="D6882" s="94">
        <v>306</v>
      </c>
      <c r="E6882" s="84">
        <v>159.30000000000001</v>
      </c>
      <c r="F6882" s="83">
        <f t="shared" ca="1" si="282"/>
        <v>48745.8</v>
      </c>
    </row>
    <row r="6883" spans="1:6" ht="14.1" customHeight="1" x14ac:dyDescent="0.25">
      <c r="A6883" s="94" t="s">
        <v>5655</v>
      </c>
      <c r="B6883" s="82" t="str">
        <f ca="1">IFERROR(INDEX(UNSPSCDes,MATCH(INDIRECT(ADDRESS(ROW(),COLUMN()-1,4)),UNSPSCCode,0)),IF(INDIRECT(ADDRESS(ROW(),COLUMN()-1,4))="53131622","Condones",""))</f>
        <v>Condones</v>
      </c>
      <c r="C6883" s="95" t="str">
        <f>IFERROR(VLOOKUP("UD",'Informacion '!P:Q,2,FALSE),"")</f>
        <v>Unidad</v>
      </c>
      <c r="D6883" s="94">
        <v>11</v>
      </c>
      <c r="E6883" s="84">
        <v>7.08</v>
      </c>
      <c r="F6883" s="83">
        <f t="shared" ca="1" si="282"/>
        <v>77.88</v>
      </c>
    </row>
    <row r="6884" spans="1:6" ht="14.1" customHeight="1" x14ac:dyDescent="0.25">
      <c r="A6884" s="94" t="s">
        <v>5212</v>
      </c>
      <c r="B6884" s="82" t="str">
        <f ca="1">IFERROR(INDEX(UNSPSCDes,MATCH(INDIRECT(ADDRESS(ROW(),COLUMN()-1,4)),UNSPSCCode,0)),IF(INDIRECT(ADDRESS(ROW(),COLUMN()-1,4))="23153035","Placa",""))</f>
        <v>Placa</v>
      </c>
      <c r="C6884" s="95" t="str">
        <f>IFERROR(VLOOKUP("UD",'Informacion '!P:Q,2,FALSE),"")</f>
        <v>Unidad</v>
      </c>
      <c r="D6884" s="94">
        <v>255</v>
      </c>
      <c r="E6884" s="84">
        <v>64.900000000000006</v>
      </c>
      <c r="F6884" s="83">
        <f t="shared" ca="1" si="282"/>
        <v>16549.5</v>
      </c>
    </row>
    <row r="6885" spans="1:6" ht="14.1" customHeight="1" x14ac:dyDescent="0.25">
      <c r="A6885" s="94" t="s">
        <v>5212</v>
      </c>
      <c r="B6885" s="82" t="str">
        <f ca="1">IFERROR(INDEX(UNSPSCDes,MATCH(INDIRECT(ADDRESS(ROW(),COLUMN()-1,4)),UNSPSCCode,0)),IF(INDIRECT(ADDRESS(ROW(),COLUMN()-1,4))="23153035","Placa",""))</f>
        <v>Placa</v>
      </c>
      <c r="C6885" s="95" t="str">
        <f>IFERROR(VLOOKUP("UD",'Informacion '!P:Q,2,FALSE),"")</f>
        <v>Unidad</v>
      </c>
      <c r="D6885" s="94">
        <v>357</v>
      </c>
      <c r="E6885" s="84">
        <v>69.62</v>
      </c>
      <c r="F6885" s="83">
        <f t="shared" ca="1" si="282"/>
        <v>24854.34</v>
      </c>
    </row>
    <row r="6886" spans="1:6" ht="14.1" customHeight="1" x14ac:dyDescent="0.25">
      <c r="A6886" s="94" t="s">
        <v>2591</v>
      </c>
      <c r="B6886" s="82" t="str">
        <f ca="1">IFERROR(INDEX(UNSPSCDes,MATCH(INDIRECT(ADDRESS(ROW(),COLUMN()-1,4)),UNSPSCCode,0)),IF(INDIRECT(ADDRESS(ROW(),COLUMN()-1,4))="42142504","Agujas para biopsia",""))</f>
        <v>Agujas para biopsia</v>
      </c>
      <c r="C6886" s="95" t="str">
        <f>IFERROR(VLOOKUP("UD",'Informacion '!P:Q,2,FALSE),"")</f>
        <v>Unidad</v>
      </c>
      <c r="D6886" s="94">
        <v>3</v>
      </c>
      <c r="E6886" s="84">
        <v>1000.01</v>
      </c>
      <c r="F6886" s="83">
        <f t="shared" ca="1" si="282"/>
        <v>3000.0299999999997</v>
      </c>
    </row>
    <row r="6887" spans="1:6" ht="14.1" customHeight="1" x14ac:dyDescent="0.25">
      <c r="A6887" s="94" t="s">
        <v>5212</v>
      </c>
      <c r="B6887" s="82" t="str">
        <f ca="1">IFERROR(INDEX(UNSPSCDes,MATCH(INDIRECT(ADDRESS(ROW(),COLUMN()-1,4)),UNSPSCCode,0)),IF(INDIRECT(ADDRESS(ROW(),COLUMN()-1,4))="23153035","Placa",""))</f>
        <v>Placa</v>
      </c>
      <c r="C6887" s="95" t="str">
        <f>IFERROR(VLOOKUP("UD",'Informacion '!P:Q,2,FALSE),"")</f>
        <v>Unidad</v>
      </c>
      <c r="D6887" s="94">
        <v>357</v>
      </c>
      <c r="E6887" s="84">
        <v>93.22</v>
      </c>
      <c r="F6887" s="83">
        <f t="shared" ca="1" si="282"/>
        <v>33279.54</v>
      </c>
    </row>
    <row r="6888" spans="1:6" ht="14.1" customHeight="1" x14ac:dyDescent="0.25">
      <c r="A6888" s="94" t="s">
        <v>5655</v>
      </c>
      <c r="B6888" s="82" t="str">
        <f ca="1">IFERROR(INDEX(UNSPSCDes,MATCH(INDIRECT(ADDRESS(ROW(),COLUMN()-1,4)),UNSPSCCode,0)),IF(INDIRECT(ADDRESS(ROW(),COLUMN()-1,4))="53131622","Condones",""))</f>
        <v>Condones</v>
      </c>
      <c r="C6888" s="95" t="str">
        <f>IFERROR(VLOOKUP("UD",'Informacion '!P:Q,2,FALSE),"")</f>
        <v>Unidad</v>
      </c>
      <c r="D6888" s="94">
        <v>434</v>
      </c>
      <c r="E6888" s="84">
        <v>10.15</v>
      </c>
      <c r="F6888" s="83">
        <f t="shared" ca="1" si="282"/>
        <v>4405.1000000000004</v>
      </c>
    </row>
    <row r="6889" spans="1:6" ht="14.1" customHeight="1" x14ac:dyDescent="0.25">
      <c r="A6889" s="94" t="s">
        <v>4306</v>
      </c>
      <c r="B6889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6889" s="95" t="str">
        <f>IFERROR(VLOOKUP("UD",'Informacion '!P:Q,2,FALSE),"")</f>
        <v>Unidad</v>
      </c>
      <c r="D6889" s="94">
        <v>1</v>
      </c>
      <c r="E6889" s="84">
        <v>571.54999999999995</v>
      </c>
      <c r="F6889" s="83">
        <f t="shared" ca="1" si="282"/>
        <v>571.54999999999995</v>
      </c>
    </row>
    <row r="6890" spans="1:6" ht="14.1" customHeight="1" x14ac:dyDescent="0.25">
      <c r="A6890" s="94" t="s">
        <v>4306</v>
      </c>
      <c r="B6890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6890" s="95" t="str">
        <f>IFERROR(VLOOKUP("UD",'Informacion '!P:Q,2,FALSE),"")</f>
        <v>Unidad</v>
      </c>
      <c r="D6890" s="94">
        <v>8</v>
      </c>
      <c r="E6890" s="84">
        <v>838.5</v>
      </c>
      <c r="F6890" s="83">
        <f t="shared" ca="1" si="282"/>
        <v>6708</v>
      </c>
    </row>
    <row r="6891" spans="1:6" ht="14.1" customHeight="1" x14ac:dyDescent="0.25">
      <c r="A6891" s="94" t="s">
        <v>6481</v>
      </c>
      <c r="B6891" s="82" t="str">
        <f ca="1">IFERROR(INDEX(UNSPSCDes,MATCH(INDIRECT(ADDRESS(ROW(),COLUMN()-1,4)),UNSPSCCode,0)),IF(INDIRECT(ADDRESS(ROW(),COLUMN()-1,4))="42293603","Sondas para uso quirúrgico",""))</f>
        <v>Sondas para uso quirúrgico</v>
      </c>
      <c r="C6891" s="95" t="str">
        <f>IFERROR(VLOOKUP("UD",'Informacion '!P:Q,2,FALSE),"")</f>
        <v>Unidad</v>
      </c>
      <c r="D6891" s="94">
        <v>7</v>
      </c>
      <c r="E6891" s="84">
        <v>28.64</v>
      </c>
      <c r="F6891" s="83">
        <f t="shared" ca="1" si="282"/>
        <v>200.48000000000002</v>
      </c>
    </row>
    <row r="6892" spans="1:6" ht="14.1" customHeight="1" x14ac:dyDescent="0.25">
      <c r="A6892" s="94" t="s">
        <v>6481</v>
      </c>
      <c r="B6892" s="82" t="str">
        <f ca="1">IFERROR(INDEX(UNSPSCDes,MATCH(INDIRECT(ADDRESS(ROW(),COLUMN()-1,4)),UNSPSCCode,0)),IF(INDIRECT(ADDRESS(ROW(),COLUMN()-1,4))="42293603","Sondas para uso quirúrgico",""))</f>
        <v>Sondas para uso quirúrgico</v>
      </c>
      <c r="C6892" s="95" t="str">
        <f>IFERROR(VLOOKUP("UD",'Informacion '!P:Q,2,FALSE),"")</f>
        <v>Unidad</v>
      </c>
      <c r="D6892" s="94">
        <v>4</v>
      </c>
      <c r="E6892" s="84">
        <v>28.79</v>
      </c>
      <c r="F6892" s="83">
        <f t="shared" ca="1" si="282"/>
        <v>115.16</v>
      </c>
    </row>
    <row r="6893" spans="1:6" ht="14.1" customHeight="1" x14ac:dyDescent="0.25">
      <c r="A6893" s="94" t="s">
        <v>5655</v>
      </c>
      <c r="B6893" s="82" t="str">
        <f ca="1">IFERROR(INDEX(UNSPSCDes,MATCH(INDIRECT(ADDRESS(ROW(),COLUMN()-1,4)),UNSPSCCode,0)),IF(INDIRECT(ADDRESS(ROW(),COLUMN()-1,4))="53131622","Condones",""))</f>
        <v>Condones</v>
      </c>
      <c r="C6893" s="95" t="str">
        <f>IFERROR(VLOOKUP("UD",'Informacion '!P:Q,2,FALSE),"")</f>
        <v>Unidad</v>
      </c>
      <c r="D6893" s="94">
        <v>764</v>
      </c>
      <c r="E6893" s="84">
        <v>9.51</v>
      </c>
      <c r="F6893" s="83">
        <f t="shared" ca="1" si="282"/>
        <v>7265.6399999999994</v>
      </c>
    </row>
    <row r="6894" spans="1:6" ht="14.1" customHeight="1" x14ac:dyDescent="0.25">
      <c r="A6894" s="94" t="s">
        <v>2946</v>
      </c>
      <c r="B6894" s="82" t="str">
        <f ca="1">IFERROR(INDEX(UNSPSCDes,MATCH(INDIRECT(ADDRESS(ROW(),COLUMN()-1,4)),UNSPSCCode,0)),IF(INDIRECT(ADDRESS(ROW(),COLUMN()-1,4))="14121812","Papel de fotografía",""))</f>
        <v>Papel de fotografía</v>
      </c>
      <c r="C6894" s="95" t="str">
        <f>IFERROR(VLOOKUP("UD",'Informacion '!P:Q,2,FALSE),"")</f>
        <v>Unidad</v>
      </c>
      <c r="D6894" s="94">
        <v>53</v>
      </c>
      <c r="E6894" s="84">
        <v>920.4</v>
      </c>
      <c r="F6894" s="83">
        <f t="shared" ca="1" si="282"/>
        <v>48781.2</v>
      </c>
    </row>
    <row r="6895" spans="1:6" ht="14.1" customHeight="1" x14ac:dyDescent="0.25">
      <c r="A6895" s="94" t="s">
        <v>4306</v>
      </c>
      <c r="B6895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6895" s="95" t="str">
        <f>IFERROR(VLOOKUP("UD",'Informacion '!P:Q,2,FALSE),"")</f>
        <v>Unidad</v>
      </c>
      <c r="D6895" s="94">
        <v>7</v>
      </c>
      <c r="E6895" s="84">
        <v>96.6</v>
      </c>
      <c r="F6895" s="83">
        <f t="shared" ca="1" si="282"/>
        <v>676.19999999999993</v>
      </c>
    </row>
    <row r="6896" spans="1:6" ht="14.1" customHeight="1" x14ac:dyDescent="0.25">
      <c r="A6896" s="94" t="s">
        <v>4162</v>
      </c>
      <c r="B6896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6896" s="95" t="str">
        <f>IFERROR(VLOOKUP("UD",'Informacion '!P:Q,2,FALSE),"")</f>
        <v>Unidad</v>
      </c>
      <c r="D6896" s="94">
        <v>3</v>
      </c>
      <c r="E6896" s="84">
        <v>1863.61</v>
      </c>
      <c r="F6896" s="83">
        <f t="shared" ca="1" si="282"/>
        <v>5590.83</v>
      </c>
    </row>
    <row r="6897" spans="1:10" ht="14.1" customHeight="1" x14ac:dyDescent="0.25">
      <c r="A6897" s="94" t="s">
        <v>4162</v>
      </c>
      <c r="B6897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6897" s="95" t="str">
        <f>IFERROR(VLOOKUP("UD",'Informacion '!P:Q,2,FALSE),"")</f>
        <v>Unidad</v>
      </c>
      <c r="D6897" s="94">
        <v>3</v>
      </c>
      <c r="E6897" s="84">
        <v>1863.61</v>
      </c>
      <c r="F6897" s="83">
        <f t="shared" ca="1" si="282"/>
        <v>5590.83</v>
      </c>
    </row>
    <row r="6898" spans="1:10" ht="14.1" customHeight="1" x14ac:dyDescent="0.25">
      <c r="A6898" s="94" t="s">
        <v>2946</v>
      </c>
      <c r="B6898" s="82" t="str">
        <f ca="1">IFERROR(INDEX(UNSPSCDes,MATCH(INDIRECT(ADDRESS(ROW(),COLUMN()-1,4)),UNSPSCCode,0)),IF(INDIRECT(ADDRESS(ROW(),COLUMN()-1,4))="14121812","Papel de fotografía",""))</f>
        <v>Papel de fotografía</v>
      </c>
      <c r="C6898" s="95" t="str">
        <f>IFERROR(VLOOKUP("UD",'Informacion '!P:Q,2,FALSE),"")</f>
        <v>Unidad</v>
      </c>
      <c r="D6898" s="94">
        <v>25</v>
      </c>
      <c r="E6898" s="84">
        <v>316.83</v>
      </c>
      <c r="F6898" s="83">
        <f t="shared" ca="1" si="282"/>
        <v>7920.75</v>
      </c>
    </row>
    <row r="6899" spans="1:10" ht="14.1" customHeight="1" x14ac:dyDescent="0.25">
      <c r="A6899" s="94" t="s">
        <v>4162</v>
      </c>
      <c r="B6899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6899" s="95" t="str">
        <f>IFERROR(VLOOKUP("UD",'Informacion '!P:Q,2,FALSE),"")</f>
        <v>Unidad</v>
      </c>
      <c r="D6899" s="94">
        <v>1</v>
      </c>
      <c r="E6899" s="84">
        <v>1800</v>
      </c>
      <c r="F6899" s="83">
        <f t="shared" ca="1" si="282"/>
        <v>1800</v>
      </c>
    </row>
    <row r="6900" spans="1:10" ht="14.1" customHeight="1" x14ac:dyDescent="0.25">
      <c r="E6900" s="96" t="s">
        <v>7213</v>
      </c>
      <c r="F6900" s="87">
        <f ca="1">SUM(Table191[MONTO TOTAL ESTIMADO])</f>
        <v>316247.93000000011</v>
      </c>
      <c r="H6900" s="39" t="str">
        <f>C6871</f>
        <v>Bienes</v>
      </c>
      <c r="I6900" s="39" t="str">
        <f>E6871</f>
        <v>No</v>
      </c>
      <c r="J6900" s="39" t="str">
        <f>D6871</f>
        <v>Comparacion de Precios</v>
      </c>
    </row>
    <row r="6902" spans="1:10" ht="33.950000000000003" customHeight="1" x14ac:dyDescent="0.25">
      <c r="A6902" s="77" t="s">
        <v>17233</v>
      </c>
      <c r="B6902" s="77" t="s">
        <v>4237</v>
      </c>
      <c r="C6902" s="77" t="s">
        <v>4743</v>
      </c>
      <c r="D6902" s="77" t="s">
        <v>9891</v>
      </c>
      <c r="E6902" s="77" t="s">
        <v>3089</v>
      </c>
      <c r="F6902" s="77" t="s">
        <v>18141</v>
      </c>
    </row>
    <row r="6903" spans="1:10" ht="14.1" customHeight="1" x14ac:dyDescent="0.25">
      <c r="A6903" s="79" t="s">
        <v>4095</v>
      </c>
      <c r="B6903" s="79" t="s">
        <v>2182</v>
      </c>
      <c r="C6903" s="79" t="s">
        <v>17215</v>
      </c>
      <c r="D6903" s="79" t="s">
        <v>15249</v>
      </c>
      <c r="E6903" s="79" t="s">
        <v>18247</v>
      </c>
      <c r="F6903" s="79"/>
    </row>
    <row r="6904" spans="1:10" ht="14.1" customHeight="1" x14ac:dyDescent="0.25">
      <c r="A6904" s="2" t="s">
        <v>6643</v>
      </c>
      <c r="B6904" s="80" t="s">
        <v>1046</v>
      </c>
      <c r="C6904" s="90">
        <v>43556</v>
      </c>
      <c r="D6904" s="2" t="s">
        <v>59</v>
      </c>
      <c r="E6904" s="92" t="s">
        <v>20066</v>
      </c>
      <c r="F6904" s="93" t="s">
        <v>5684</v>
      </c>
    </row>
    <row r="6905" spans="1:10" ht="14.1" customHeight="1" x14ac:dyDescent="0.25">
      <c r="A6905" s="1"/>
      <c r="B6905" s="80" t="s">
        <v>10788</v>
      </c>
      <c r="C6905" s="91">
        <f>IF(C6904="","",IF(AND(MONTH(C6904)&gt;=1,MONTH(C6904)&lt;=3),1,IF(AND(MONTH(C6904)&gt;=4,MONTH(C6904)&lt;=6),2,IF(AND(MONTH(C6904)&gt;=7,MONTH(C6904)&lt;=9),3,4))))</f>
        <v>2</v>
      </c>
      <c r="D6905" s="1"/>
      <c r="E6905" s="92" t="s">
        <v>14822</v>
      </c>
      <c r="F6905" s="93"/>
    </row>
    <row r="6906" spans="1:10" ht="14.1" customHeight="1" x14ac:dyDescent="0.25">
      <c r="A6906" s="1"/>
      <c r="B6906" s="80" t="s">
        <v>13758</v>
      </c>
      <c r="C6906" s="90">
        <v>43645</v>
      </c>
      <c r="D6906" s="1"/>
      <c r="E6906" s="92" t="s">
        <v>18636</v>
      </c>
      <c r="F6906" s="93"/>
    </row>
    <row r="6907" spans="1:10" ht="14.1" customHeight="1" x14ac:dyDescent="0.25">
      <c r="A6907" s="1"/>
      <c r="B6907" s="80" t="s">
        <v>10788</v>
      </c>
      <c r="C6907" s="91">
        <f>IF(C6906="","",IF(AND(MONTH(C6906)&gt;=1,MONTH(C6906)&lt;=3),1,IF(AND(MONTH(C6906)&gt;=4,MONTH(C6906)&lt;=6),2,IF(AND(MONTH(C6906)&gt;=7,MONTH(C6906)&lt;=9),3,4))))</f>
        <v>2</v>
      </c>
      <c r="D6907" s="1"/>
      <c r="E6907" s="92" t="s">
        <v>15990</v>
      </c>
      <c r="F6907" s="93"/>
    </row>
    <row r="6909" spans="1:10" ht="14.1" customHeight="1" x14ac:dyDescent="0.25">
      <c r="A6909" s="85" t="s">
        <v>15474</v>
      </c>
      <c r="B6909" s="85" t="s">
        <v>5027</v>
      </c>
      <c r="C6909" s="85" t="s">
        <v>17461</v>
      </c>
      <c r="D6909" s="85" t="s">
        <v>3935</v>
      </c>
      <c r="E6909" s="85" t="s">
        <v>10722</v>
      </c>
      <c r="F6909" s="85" t="s">
        <v>18237</v>
      </c>
    </row>
    <row r="6910" spans="1:10" ht="14.1" customHeight="1" x14ac:dyDescent="0.25">
      <c r="A6910" s="94" t="s">
        <v>2591</v>
      </c>
      <c r="B6910" s="82" t="str">
        <f ca="1">IFERROR(INDEX(UNSPSCDes,MATCH(INDIRECT(ADDRESS(ROW(),COLUMN()-1,4)),UNSPSCCode,0)),IF(INDIRECT(ADDRESS(ROW(),COLUMN()-1,4))="42142504","Agujas para biopsia",""))</f>
        <v>Agujas para biopsia</v>
      </c>
      <c r="C6910" s="95" t="str">
        <f>IFERROR(VLOOKUP("UD",'Informacion '!P:Q,2,FALSE),"")</f>
        <v>Unidad</v>
      </c>
      <c r="D6910" s="94">
        <v>3</v>
      </c>
      <c r="E6910" s="84">
        <v>1253</v>
      </c>
      <c r="F6910" s="83">
        <f t="shared" ref="F6910:F6931" ca="1" si="283">INDIRECT(ADDRESS(ROW(),COLUMN()-2,4))*INDIRECT(ADDRESS(ROW(),COLUMN()-1,4))</f>
        <v>3759</v>
      </c>
    </row>
    <row r="6911" spans="1:10" ht="14.1" customHeight="1" x14ac:dyDescent="0.25">
      <c r="A6911" s="94" t="s">
        <v>5655</v>
      </c>
      <c r="B6911" s="82" t="str">
        <f ca="1">IFERROR(INDEX(UNSPSCDes,MATCH(INDIRECT(ADDRESS(ROW(),COLUMN()-1,4)),UNSPSCCode,0)),IF(INDIRECT(ADDRESS(ROW(),COLUMN()-1,4))="53131622","Condones",""))</f>
        <v>Condones</v>
      </c>
      <c r="C6911" s="95" t="str">
        <f>IFERROR(VLOOKUP("UD",'Informacion '!P:Q,2,FALSE),"")</f>
        <v>Unidad</v>
      </c>
      <c r="D6911" s="94">
        <v>3</v>
      </c>
      <c r="E6911" s="84">
        <v>6.83</v>
      </c>
      <c r="F6911" s="83">
        <f t="shared" ca="1" si="283"/>
        <v>20.490000000000002</v>
      </c>
    </row>
    <row r="6912" spans="1:10" ht="14.1" customHeight="1" x14ac:dyDescent="0.25">
      <c r="A6912" s="94" t="s">
        <v>2946</v>
      </c>
      <c r="B6912" s="82" t="str">
        <f ca="1">IFERROR(INDEX(UNSPSCDes,MATCH(INDIRECT(ADDRESS(ROW(),COLUMN()-1,4)),UNSPSCCode,0)),IF(INDIRECT(ADDRESS(ROW(),COLUMN()-1,4))="14121812","Papel de fotografía",""))</f>
        <v>Papel de fotografía</v>
      </c>
      <c r="C6912" s="95" t="str">
        <f>IFERROR(VLOOKUP("UD",'Informacion '!P:Q,2,FALSE),"")</f>
        <v>Unidad</v>
      </c>
      <c r="D6912" s="94">
        <v>94</v>
      </c>
      <c r="E6912" s="84">
        <v>767</v>
      </c>
      <c r="F6912" s="83">
        <f t="shared" ca="1" si="283"/>
        <v>72098</v>
      </c>
    </row>
    <row r="6913" spans="1:6" ht="14.1" customHeight="1" x14ac:dyDescent="0.25">
      <c r="A6913" s="94" t="s">
        <v>5212</v>
      </c>
      <c r="B6913" s="82" t="str">
        <f ca="1">IFERROR(INDEX(UNSPSCDes,MATCH(INDIRECT(ADDRESS(ROW(),COLUMN()-1,4)),UNSPSCCode,0)),IF(INDIRECT(ADDRESS(ROW(),COLUMN()-1,4))="23153035","Placa",""))</f>
        <v>Placa</v>
      </c>
      <c r="C6913" s="95" t="str">
        <f>IFERROR(VLOOKUP("UD",'Informacion '!P:Q,2,FALSE),"")</f>
        <v>Unidad</v>
      </c>
      <c r="D6913" s="94">
        <v>339</v>
      </c>
      <c r="E6913" s="84">
        <v>81.42</v>
      </c>
      <c r="F6913" s="83">
        <f t="shared" ca="1" si="283"/>
        <v>27601.38</v>
      </c>
    </row>
    <row r="6914" spans="1:6" ht="14.1" customHeight="1" x14ac:dyDescent="0.25">
      <c r="A6914" s="94" t="s">
        <v>5212</v>
      </c>
      <c r="B6914" s="82" t="str">
        <f ca="1">IFERROR(INDEX(UNSPSCDes,MATCH(INDIRECT(ADDRESS(ROW(),COLUMN()-1,4)),UNSPSCCode,0)),IF(INDIRECT(ADDRESS(ROW(),COLUMN()-1,4))="23153035","Placa",""))</f>
        <v>Placa</v>
      </c>
      <c r="C6914" s="95" t="str">
        <f>IFERROR(VLOOKUP("UD",'Informacion '!P:Q,2,FALSE),"")</f>
        <v>Unidad</v>
      </c>
      <c r="D6914" s="94">
        <v>313</v>
      </c>
      <c r="E6914" s="84">
        <v>159.30000000000001</v>
      </c>
      <c r="F6914" s="83">
        <f t="shared" ca="1" si="283"/>
        <v>49860.9</v>
      </c>
    </row>
    <row r="6915" spans="1:6" ht="14.1" customHeight="1" x14ac:dyDescent="0.25">
      <c r="A6915" s="94" t="s">
        <v>5655</v>
      </c>
      <c r="B6915" s="82" t="str">
        <f ca="1">IFERROR(INDEX(UNSPSCDes,MATCH(INDIRECT(ADDRESS(ROW(),COLUMN()-1,4)),UNSPSCCode,0)),IF(INDIRECT(ADDRESS(ROW(),COLUMN()-1,4))="53131622","Condones",""))</f>
        <v>Condones</v>
      </c>
      <c r="C6915" s="95" t="str">
        <f>IFERROR(VLOOKUP("UD",'Informacion '!P:Q,2,FALSE),"")</f>
        <v>Unidad</v>
      </c>
      <c r="D6915" s="94">
        <v>12</v>
      </c>
      <c r="E6915" s="84">
        <v>7.08</v>
      </c>
      <c r="F6915" s="83">
        <f t="shared" ca="1" si="283"/>
        <v>84.960000000000008</v>
      </c>
    </row>
    <row r="6916" spans="1:6" ht="14.1" customHeight="1" x14ac:dyDescent="0.25">
      <c r="A6916" s="94" t="s">
        <v>5212</v>
      </c>
      <c r="B6916" s="82" t="str">
        <f ca="1">IFERROR(INDEX(UNSPSCDes,MATCH(INDIRECT(ADDRESS(ROW(),COLUMN()-1,4)),UNSPSCCode,0)),IF(INDIRECT(ADDRESS(ROW(),COLUMN()-1,4))="23153035","Placa",""))</f>
        <v>Placa</v>
      </c>
      <c r="C6916" s="95" t="str">
        <f>IFERROR(VLOOKUP("UD",'Informacion '!P:Q,2,FALSE),"")</f>
        <v>Unidad</v>
      </c>
      <c r="D6916" s="94">
        <v>261</v>
      </c>
      <c r="E6916" s="84">
        <v>64.900000000000006</v>
      </c>
      <c r="F6916" s="83">
        <f t="shared" ca="1" si="283"/>
        <v>16938.900000000001</v>
      </c>
    </row>
    <row r="6917" spans="1:6" ht="14.1" customHeight="1" x14ac:dyDescent="0.25">
      <c r="A6917" s="94" t="s">
        <v>5212</v>
      </c>
      <c r="B6917" s="82" t="str">
        <f ca="1">IFERROR(INDEX(UNSPSCDes,MATCH(INDIRECT(ADDRESS(ROW(),COLUMN()-1,4)),UNSPSCCode,0)),IF(INDIRECT(ADDRESS(ROW(),COLUMN()-1,4))="23153035","Placa",""))</f>
        <v>Placa</v>
      </c>
      <c r="C6917" s="95" t="str">
        <f>IFERROR(VLOOKUP("UD",'Informacion '!P:Q,2,FALSE),"")</f>
        <v>Unidad</v>
      </c>
      <c r="D6917" s="94">
        <v>365</v>
      </c>
      <c r="E6917" s="84">
        <v>69.62</v>
      </c>
      <c r="F6917" s="83">
        <f t="shared" ca="1" si="283"/>
        <v>25411.300000000003</v>
      </c>
    </row>
    <row r="6918" spans="1:6" ht="14.1" customHeight="1" x14ac:dyDescent="0.25">
      <c r="A6918" s="94" t="s">
        <v>2591</v>
      </c>
      <c r="B6918" s="82" t="str">
        <f ca="1">IFERROR(INDEX(UNSPSCDes,MATCH(INDIRECT(ADDRESS(ROW(),COLUMN()-1,4)),UNSPSCCode,0)),IF(INDIRECT(ADDRESS(ROW(),COLUMN()-1,4))="42142504","Agujas para biopsia",""))</f>
        <v>Agujas para biopsia</v>
      </c>
      <c r="C6918" s="95" t="str">
        <f>IFERROR(VLOOKUP("UD",'Informacion '!P:Q,2,FALSE),"")</f>
        <v>Unidad</v>
      </c>
      <c r="D6918" s="94">
        <v>4</v>
      </c>
      <c r="E6918" s="84">
        <v>1000.01</v>
      </c>
      <c r="F6918" s="83">
        <f t="shared" ca="1" si="283"/>
        <v>4000.04</v>
      </c>
    </row>
    <row r="6919" spans="1:6" ht="14.1" customHeight="1" x14ac:dyDescent="0.25">
      <c r="A6919" s="94" t="s">
        <v>5212</v>
      </c>
      <c r="B6919" s="82" t="str">
        <f ca="1">IFERROR(INDEX(UNSPSCDes,MATCH(INDIRECT(ADDRESS(ROW(),COLUMN()-1,4)),UNSPSCCode,0)),IF(INDIRECT(ADDRESS(ROW(),COLUMN()-1,4))="23153035","Placa",""))</f>
        <v>Placa</v>
      </c>
      <c r="C6919" s="95" t="str">
        <f>IFERROR(VLOOKUP("UD",'Informacion '!P:Q,2,FALSE),"")</f>
        <v>Unidad</v>
      </c>
      <c r="D6919" s="94">
        <v>365</v>
      </c>
      <c r="E6919" s="84">
        <v>93.22</v>
      </c>
      <c r="F6919" s="83">
        <f t="shared" ca="1" si="283"/>
        <v>34025.300000000003</v>
      </c>
    </row>
    <row r="6920" spans="1:6" ht="14.1" customHeight="1" x14ac:dyDescent="0.25">
      <c r="A6920" s="94" t="s">
        <v>5655</v>
      </c>
      <c r="B6920" s="82" t="str">
        <f ca="1">IFERROR(INDEX(UNSPSCDes,MATCH(INDIRECT(ADDRESS(ROW(),COLUMN()-1,4)),UNSPSCCode,0)),IF(INDIRECT(ADDRESS(ROW(),COLUMN()-1,4))="53131622","Condones",""))</f>
        <v>Condones</v>
      </c>
      <c r="C6920" s="95" t="str">
        <f>IFERROR(VLOOKUP("UD",'Informacion '!P:Q,2,FALSE),"")</f>
        <v>Unidad</v>
      </c>
      <c r="D6920" s="94">
        <v>443</v>
      </c>
      <c r="E6920" s="84">
        <v>10.15</v>
      </c>
      <c r="F6920" s="83">
        <f t="shared" ca="1" si="283"/>
        <v>4496.45</v>
      </c>
    </row>
    <row r="6921" spans="1:6" ht="14.1" customHeight="1" x14ac:dyDescent="0.25">
      <c r="A6921" s="94" t="s">
        <v>4306</v>
      </c>
      <c r="B6921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6921" s="95" t="str">
        <f>IFERROR(VLOOKUP("UD",'Informacion '!P:Q,2,FALSE),"")</f>
        <v>Unidad</v>
      </c>
      <c r="D6921" s="94">
        <v>2</v>
      </c>
      <c r="E6921" s="84">
        <v>571.54999999999995</v>
      </c>
      <c r="F6921" s="83">
        <f t="shared" ca="1" si="283"/>
        <v>1143.0999999999999</v>
      </c>
    </row>
    <row r="6922" spans="1:6" ht="14.1" customHeight="1" x14ac:dyDescent="0.25">
      <c r="A6922" s="94" t="s">
        <v>4306</v>
      </c>
      <c r="B6922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6922" s="95" t="str">
        <f>IFERROR(VLOOKUP("UD",'Informacion '!P:Q,2,FALSE),"")</f>
        <v>Unidad</v>
      </c>
      <c r="D6922" s="94">
        <v>9</v>
      </c>
      <c r="E6922" s="84">
        <v>838.5</v>
      </c>
      <c r="F6922" s="83">
        <f t="shared" ca="1" si="283"/>
        <v>7546.5</v>
      </c>
    </row>
    <row r="6923" spans="1:6" ht="14.1" customHeight="1" x14ac:dyDescent="0.25">
      <c r="A6923" s="94" t="s">
        <v>6481</v>
      </c>
      <c r="B6923" s="82" t="str">
        <f ca="1">IFERROR(INDEX(UNSPSCDes,MATCH(INDIRECT(ADDRESS(ROW(),COLUMN()-1,4)),UNSPSCCode,0)),IF(INDIRECT(ADDRESS(ROW(),COLUMN()-1,4))="42293603","Sondas para uso quirúrgico",""))</f>
        <v>Sondas para uso quirúrgico</v>
      </c>
      <c r="C6923" s="95" t="str">
        <f>IFERROR(VLOOKUP("UD",'Informacion '!P:Q,2,FALSE),"")</f>
        <v>Unidad</v>
      </c>
      <c r="D6923" s="94">
        <v>8</v>
      </c>
      <c r="E6923" s="84">
        <v>28.64</v>
      </c>
      <c r="F6923" s="83">
        <f t="shared" ca="1" si="283"/>
        <v>229.12</v>
      </c>
    </row>
    <row r="6924" spans="1:6" ht="14.1" customHeight="1" x14ac:dyDescent="0.25">
      <c r="A6924" s="94" t="s">
        <v>6481</v>
      </c>
      <c r="B6924" s="82" t="str">
        <f ca="1">IFERROR(INDEX(UNSPSCDes,MATCH(INDIRECT(ADDRESS(ROW(),COLUMN()-1,4)),UNSPSCCode,0)),IF(INDIRECT(ADDRESS(ROW(),COLUMN()-1,4))="42293603","Sondas para uso quirúrgico",""))</f>
        <v>Sondas para uso quirúrgico</v>
      </c>
      <c r="C6924" s="95" t="str">
        <f>IFERROR(VLOOKUP("UD",'Informacion '!P:Q,2,FALSE),"")</f>
        <v>Unidad</v>
      </c>
      <c r="D6924" s="94">
        <v>5</v>
      </c>
      <c r="E6924" s="84">
        <v>28.79</v>
      </c>
      <c r="F6924" s="83">
        <f t="shared" ca="1" si="283"/>
        <v>143.94999999999999</v>
      </c>
    </row>
    <row r="6925" spans="1:6" ht="14.1" customHeight="1" x14ac:dyDescent="0.25">
      <c r="A6925" s="94" t="s">
        <v>5655</v>
      </c>
      <c r="B6925" s="82" t="str">
        <f ca="1">IFERROR(INDEX(UNSPSCDes,MATCH(INDIRECT(ADDRESS(ROW(),COLUMN()-1,4)),UNSPSCCode,0)),IF(INDIRECT(ADDRESS(ROW(),COLUMN()-1,4))="53131622","Condones",""))</f>
        <v>Condones</v>
      </c>
      <c r="C6925" s="95" t="str">
        <f>IFERROR(VLOOKUP("UD",'Informacion '!P:Q,2,FALSE),"")</f>
        <v>Unidad</v>
      </c>
      <c r="D6925" s="94">
        <v>780</v>
      </c>
      <c r="E6925" s="84">
        <v>9.51</v>
      </c>
      <c r="F6925" s="83">
        <f t="shared" ca="1" si="283"/>
        <v>7417.8</v>
      </c>
    </row>
    <row r="6926" spans="1:6" ht="14.1" customHeight="1" x14ac:dyDescent="0.25">
      <c r="A6926" s="94" t="s">
        <v>2946</v>
      </c>
      <c r="B6926" s="82" t="str">
        <f ca="1">IFERROR(INDEX(UNSPSCDes,MATCH(INDIRECT(ADDRESS(ROW(),COLUMN()-1,4)),UNSPSCCode,0)),IF(INDIRECT(ADDRESS(ROW(),COLUMN()-1,4))="14121812","Papel de fotografía",""))</f>
        <v>Papel de fotografía</v>
      </c>
      <c r="C6926" s="95" t="str">
        <f>IFERROR(VLOOKUP("UD",'Informacion '!P:Q,2,FALSE),"")</f>
        <v>Unidad</v>
      </c>
      <c r="D6926" s="94">
        <v>55</v>
      </c>
      <c r="E6926" s="84">
        <v>920.4</v>
      </c>
      <c r="F6926" s="83">
        <f t="shared" ca="1" si="283"/>
        <v>50622</v>
      </c>
    </row>
    <row r="6927" spans="1:6" ht="14.1" customHeight="1" x14ac:dyDescent="0.25">
      <c r="A6927" s="94" t="s">
        <v>4306</v>
      </c>
      <c r="B6927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6927" s="95" t="str">
        <f>IFERROR(VLOOKUP("UD",'Informacion '!P:Q,2,FALSE),"")</f>
        <v>Unidad</v>
      </c>
      <c r="D6927" s="94">
        <v>8</v>
      </c>
      <c r="E6927" s="84">
        <v>96.6</v>
      </c>
      <c r="F6927" s="83">
        <f t="shared" ca="1" si="283"/>
        <v>772.8</v>
      </c>
    </row>
    <row r="6928" spans="1:6" ht="14.1" customHeight="1" x14ac:dyDescent="0.25">
      <c r="A6928" s="94" t="s">
        <v>4162</v>
      </c>
      <c r="B6928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6928" s="95" t="str">
        <f>IFERROR(VLOOKUP("UD",'Informacion '!P:Q,2,FALSE),"")</f>
        <v>Unidad</v>
      </c>
      <c r="D6928" s="94">
        <v>4</v>
      </c>
      <c r="E6928" s="84">
        <v>1863.61</v>
      </c>
      <c r="F6928" s="83">
        <f t="shared" ca="1" si="283"/>
        <v>7454.44</v>
      </c>
    </row>
    <row r="6929" spans="1:10" ht="14.1" customHeight="1" x14ac:dyDescent="0.25">
      <c r="A6929" s="94" t="s">
        <v>4162</v>
      </c>
      <c r="B6929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6929" s="95" t="str">
        <f>IFERROR(VLOOKUP("UD",'Informacion '!P:Q,2,FALSE),"")</f>
        <v>Unidad</v>
      </c>
      <c r="D6929" s="94">
        <v>4</v>
      </c>
      <c r="E6929" s="84">
        <v>1863.61</v>
      </c>
      <c r="F6929" s="83">
        <f t="shared" ca="1" si="283"/>
        <v>7454.44</v>
      </c>
    </row>
    <row r="6930" spans="1:10" ht="14.1" customHeight="1" x14ac:dyDescent="0.25">
      <c r="A6930" s="94" t="s">
        <v>2946</v>
      </c>
      <c r="B6930" s="82" t="str">
        <f ca="1">IFERROR(INDEX(UNSPSCDes,MATCH(INDIRECT(ADDRESS(ROW(),COLUMN()-1,4)),UNSPSCCode,0)),IF(INDIRECT(ADDRESS(ROW(),COLUMN()-1,4))="14121812","Papel de fotografía",""))</f>
        <v>Papel de fotografía</v>
      </c>
      <c r="C6930" s="95" t="str">
        <f>IFERROR(VLOOKUP("UD",'Informacion '!P:Q,2,FALSE),"")</f>
        <v>Unidad</v>
      </c>
      <c r="D6930" s="94">
        <v>26</v>
      </c>
      <c r="E6930" s="84">
        <v>316.83</v>
      </c>
      <c r="F6930" s="83">
        <f t="shared" ca="1" si="283"/>
        <v>8237.58</v>
      </c>
    </row>
    <row r="6931" spans="1:10" ht="14.1" customHeight="1" x14ac:dyDescent="0.25">
      <c r="A6931" s="94" t="s">
        <v>4162</v>
      </c>
      <c r="B6931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6931" s="95" t="str">
        <f>IFERROR(VLOOKUP("UD",'Informacion '!P:Q,2,FALSE),"")</f>
        <v>Unidad</v>
      </c>
      <c r="D6931" s="94">
        <v>2</v>
      </c>
      <c r="E6931" s="84">
        <v>1800</v>
      </c>
      <c r="F6931" s="83">
        <f t="shared" ca="1" si="283"/>
        <v>3600</v>
      </c>
    </row>
    <row r="6932" spans="1:10" ht="14.1" customHeight="1" x14ac:dyDescent="0.25">
      <c r="E6932" s="96" t="s">
        <v>7213</v>
      </c>
      <c r="F6932" s="87">
        <f ca="1">SUM(Table192[MONTO TOTAL ESTIMADO])</f>
        <v>332918.45000000007</v>
      </c>
      <c r="H6932" s="39" t="str">
        <f>C6903</f>
        <v>Bienes</v>
      </c>
      <c r="I6932" s="39" t="str">
        <f>E6903</f>
        <v>No</v>
      </c>
      <c r="J6932" s="39" t="str">
        <f>D6903</f>
        <v>Comparacion de Precios</v>
      </c>
    </row>
    <row r="6934" spans="1:10" ht="33.950000000000003" customHeight="1" x14ac:dyDescent="0.25">
      <c r="A6934" s="77" t="s">
        <v>17233</v>
      </c>
      <c r="B6934" s="77" t="s">
        <v>4237</v>
      </c>
      <c r="C6934" s="77" t="s">
        <v>4743</v>
      </c>
      <c r="D6934" s="77" t="s">
        <v>9891</v>
      </c>
      <c r="E6934" s="77" t="s">
        <v>3089</v>
      </c>
      <c r="F6934" s="77" t="s">
        <v>18141</v>
      </c>
    </row>
    <row r="6935" spans="1:10" ht="14.1" customHeight="1" x14ac:dyDescent="0.25">
      <c r="A6935" s="79" t="s">
        <v>7944</v>
      </c>
      <c r="B6935" s="79" t="s">
        <v>2182</v>
      </c>
      <c r="C6935" s="79" t="s">
        <v>17215</v>
      </c>
      <c r="D6935" s="79" t="s">
        <v>15249</v>
      </c>
      <c r="E6935" s="79" t="s">
        <v>18247</v>
      </c>
      <c r="F6935" s="79"/>
    </row>
    <row r="6936" spans="1:10" ht="14.1" customHeight="1" x14ac:dyDescent="0.25">
      <c r="A6936" s="2" t="s">
        <v>6643</v>
      </c>
      <c r="B6936" s="80" t="s">
        <v>1046</v>
      </c>
      <c r="C6936" s="90">
        <v>43647</v>
      </c>
      <c r="D6936" s="2" t="s">
        <v>59</v>
      </c>
      <c r="E6936" s="92" t="s">
        <v>20066</v>
      </c>
      <c r="F6936" s="93" t="s">
        <v>5684</v>
      </c>
    </row>
    <row r="6937" spans="1:10" ht="14.1" customHeight="1" x14ac:dyDescent="0.25">
      <c r="A6937" s="1"/>
      <c r="B6937" s="80" t="s">
        <v>10788</v>
      </c>
      <c r="C6937" s="91">
        <f>IF(C6936="","",IF(AND(MONTH(C6936)&gt;=1,MONTH(C6936)&lt;=3),1,IF(AND(MONTH(C6936)&gt;=4,MONTH(C6936)&lt;=6),2,IF(AND(MONTH(C6936)&gt;=7,MONTH(C6936)&lt;=9),3,4))))</f>
        <v>3</v>
      </c>
      <c r="D6937" s="1"/>
      <c r="E6937" s="92" t="s">
        <v>14822</v>
      </c>
      <c r="F6937" s="93"/>
    </row>
    <row r="6938" spans="1:10" ht="14.1" customHeight="1" x14ac:dyDescent="0.25">
      <c r="A6938" s="1"/>
      <c r="B6938" s="80" t="s">
        <v>13758</v>
      </c>
      <c r="C6938" s="90">
        <v>43738</v>
      </c>
      <c r="D6938" s="1"/>
      <c r="E6938" s="92" t="s">
        <v>18636</v>
      </c>
      <c r="F6938" s="93"/>
    </row>
    <row r="6939" spans="1:10" ht="14.1" customHeight="1" x14ac:dyDescent="0.25">
      <c r="A6939" s="1"/>
      <c r="B6939" s="80" t="s">
        <v>10788</v>
      </c>
      <c r="C6939" s="91">
        <f>IF(C6938="","",IF(AND(MONTH(C6938)&gt;=1,MONTH(C6938)&lt;=3),1,IF(AND(MONTH(C6938)&gt;=4,MONTH(C6938)&lt;=6),2,IF(AND(MONTH(C6938)&gt;=7,MONTH(C6938)&lt;=9),3,4))))</f>
        <v>3</v>
      </c>
      <c r="D6939" s="1"/>
      <c r="E6939" s="92" t="s">
        <v>15990</v>
      </c>
      <c r="F6939" s="93"/>
    </row>
    <row r="6941" spans="1:10" ht="14.1" customHeight="1" x14ac:dyDescent="0.25">
      <c r="A6941" s="85" t="s">
        <v>15474</v>
      </c>
      <c r="B6941" s="85" t="s">
        <v>5027</v>
      </c>
      <c r="C6941" s="85" t="s">
        <v>17461</v>
      </c>
      <c r="D6941" s="85" t="s">
        <v>3935</v>
      </c>
      <c r="E6941" s="85" t="s">
        <v>10722</v>
      </c>
      <c r="F6941" s="85" t="s">
        <v>18237</v>
      </c>
    </row>
    <row r="6942" spans="1:10" ht="14.1" customHeight="1" x14ac:dyDescent="0.25">
      <c r="A6942" s="94" t="s">
        <v>2591</v>
      </c>
      <c r="B6942" s="82" t="str">
        <f ca="1">IFERROR(INDEX(UNSPSCDes,MATCH(INDIRECT(ADDRESS(ROW(),COLUMN()-1,4)),UNSPSCCode,0)),IF(INDIRECT(ADDRESS(ROW(),COLUMN()-1,4))="42142504","Agujas para biopsia",""))</f>
        <v>Agujas para biopsia</v>
      </c>
      <c r="C6942" s="95" t="str">
        <f>IFERROR(VLOOKUP("UD",'Informacion '!P:Q,2,FALSE),"")</f>
        <v>Unidad</v>
      </c>
      <c r="D6942" s="94">
        <v>4</v>
      </c>
      <c r="E6942" s="84">
        <v>12536</v>
      </c>
      <c r="F6942" s="83">
        <f t="shared" ref="F6942:F6963" ca="1" si="284">INDIRECT(ADDRESS(ROW(),COLUMN()-2,4))*INDIRECT(ADDRESS(ROW(),COLUMN()-1,4))</f>
        <v>50144</v>
      </c>
    </row>
    <row r="6943" spans="1:10" ht="14.1" customHeight="1" x14ac:dyDescent="0.25">
      <c r="A6943" s="94" t="s">
        <v>5655</v>
      </c>
      <c r="B6943" s="82" t="str">
        <f ca="1">IFERROR(INDEX(UNSPSCDes,MATCH(INDIRECT(ADDRESS(ROW(),COLUMN()-1,4)),UNSPSCCode,0)),IF(INDIRECT(ADDRESS(ROW(),COLUMN()-1,4))="53131622","Condones",""))</f>
        <v>Condones</v>
      </c>
      <c r="C6943" s="95" t="str">
        <f>IFERROR(VLOOKUP("UD",'Informacion '!P:Q,2,FALSE),"")</f>
        <v>Unidad</v>
      </c>
      <c r="D6943" s="94">
        <v>4</v>
      </c>
      <c r="E6943" s="84">
        <v>6.83</v>
      </c>
      <c r="F6943" s="83">
        <f t="shared" ca="1" si="284"/>
        <v>27.32</v>
      </c>
    </row>
    <row r="6944" spans="1:10" ht="14.1" customHeight="1" x14ac:dyDescent="0.25">
      <c r="A6944" s="94" t="s">
        <v>2946</v>
      </c>
      <c r="B6944" s="82" t="str">
        <f ca="1">IFERROR(INDEX(UNSPSCDes,MATCH(INDIRECT(ADDRESS(ROW(),COLUMN()-1,4)),UNSPSCCode,0)),IF(INDIRECT(ADDRESS(ROW(),COLUMN()-1,4))="14121812","Papel de fotografía",""))</f>
        <v>Papel de fotografía</v>
      </c>
      <c r="C6944" s="95" t="str">
        <f>IFERROR(VLOOKUP("UD",'Informacion '!P:Q,2,FALSE),"")</f>
        <v>Unidad</v>
      </c>
      <c r="D6944" s="94">
        <v>96</v>
      </c>
      <c r="E6944" s="84">
        <v>767</v>
      </c>
      <c r="F6944" s="83">
        <f t="shared" ca="1" si="284"/>
        <v>73632</v>
      </c>
    </row>
    <row r="6945" spans="1:6" ht="14.1" customHeight="1" x14ac:dyDescent="0.25">
      <c r="A6945" s="94" t="s">
        <v>5212</v>
      </c>
      <c r="B6945" s="82" t="str">
        <f ca="1">IFERROR(INDEX(UNSPSCDes,MATCH(INDIRECT(ADDRESS(ROW(),COLUMN()-1,4)),UNSPSCCode,0)),IF(INDIRECT(ADDRESS(ROW(),COLUMN()-1,4))="23153035","Placa",""))</f>
        <v>Placa</v>
      </c>
      <c r="C6945" s="95" t="str">
        <f>IFERROR(VLOOKUP("UD",'Informacion '!P:Q,2,FALSE),"")</f>
        <v>Unidad</v>
      </c>
      <c r="D6945" s="94">
        <v>346</v>
      </c>
      <c r="E6945" s="84">
        <v>81.42</v>
      </c>
      <c r="F6945" s="83">
        <f t="shared" ca="1" si="284"/>
        <v>28171.32</v>
      </c>
    </row>
    <row r="6946" spans="1:6" ht="14.1" customHeight="1" x14ac:dyDescent="0.25">
      <c r="A6946" s="94" t="s">
        <v>5212</v>
      </c>
      <c r="B6946" s="82" t="str">
        <f ca="1">IFERROR(INDEX(UNSPSCDes,MATCH(INDIRECT(ADDRESS(ROW(),COLUMN()-1,4)),UNSPSCCode,0)),IF(INDIRECT(ADDRESS(ROW(),COLUMN()-1,4))="23153035","Placa",""))</f>
        <v>Placa</v>
      </c>
      <c r="C6946" s="95" t="str">
        <f>IFERROR(VLOOKUP("UD",'Informacion '!P:Q,2,FALSE),"")</f>
        <v>Unidad</v>
      </c>
      <c r="D6946" s="94">
        <v>320</v>
      </c>
      <c r="E6946" s="84">
        <v>159.30000000000001</v>
      </c>
      <c r="F6946" s="83">
        <f t="shared" ca="1" si="284"/>
        <v>50976</v>
      </c>
    </row>
    <row r="6947" spans="1:6" ht="14.1" customHeight="1" x14ac:dyDescent="0.25">
      <c r="A6947" s="94" t="s">
        <v>5655</v>
      </c>
      <c r="B6947" s="82" t="str">
        <f ca="1">IFERROR(INDEX(UNSPSCDes,MATCH(INDIRECT(ADDRESS(ROW(),COLUMN()-1,4)),UNSPSCCode,0)),IF(INDIRECT(ADDRESS(ROW(),COLUMN()-1,4))="53131622","Condones",""))</f>
        <v>Condones</v>
      </c>
      <c r="C6947" s="95" t="str">
        <f>IFERROR(VLOOKUP("UD",'Informacion '!P:Q,2,FALSE),"")</f>
        <v>Unidad</v>
      </c>
      <c r="D6947" s="94">
        <v>13</v>
      </c>
      <c r="E6947" s="84">
        <v>7.08</v>
      </c>
      <c r="F6947" s="83">
        <f t="shared" ca="1" si="284"/>
        <v>92.04</v>
      </c>
    </row>
    <row r="6948" spans="1:6" ht="14.1" customHeight="1" x14ac:dyDescent="0.25">
      <c r="A6948" s="94" t="s">
        <v>5212</v>
      </c>
      <c r="B6948" s="82" t="str">
        <f ca="1">IFERROR(INDEX(UNSPSCDes,MATCH(INDIRECT(ADDRESS(ROW(),COLUMN()-1,4)),UNSPSCCode,0)),IF(INDIRECT(ADDRESS(ROW(),COLUMN()-1,4))="23153035","Placa",""))</f>
        <v>Placa</v>
      </c>
      <c r="C6948" s="95" t="str">
        <f>IFERROR(VLOOKUP("UD",'Informacion '!P:Q,2,FALSE),"")</f>
        <v>Unidad</v>
      </c>
      <c r="D6948" s="94">
        <v>267</v>
      </c>
      <c r="E6948" s="84">
        <v>64.900000000000006</v>
      </c>
      <c r="F6948" s="83">
        <f t="shared" ca="1" si="284"/>
        <v>17328.300000000003</v>
      </c>
    </row>
    <row r="6949" spans="1:6" ht="14.1" customHeight="1" x14ac:dyDescent="0.25">
      <c r="A6949" s="94" t="s">
        <v>5212</v>
      </c>
      <c r="B6949" s="82" t="str">
        <f ca="1">IFERROR(INDEX(UNSPSCDes,MATCH(INDIRECT(ADDRESS(ROW(),COLUMN()-1,4)),UNSPSCCode,0)),IF(INDIRECT(ADDRESS(ROW(),COLUMN()-1,4))="23153035","Placa",""))</f>
        <v>Placa</v>
      </c>
      <c r="C6949" s="95" t="str">
        <f>IFERROR(VLOOKUP("UD",'Informacion '!P:Q,2,FALSE),"")</f>
        <v>Unidad</v>
      </c>
      <c r="D6949" s="94">
        <v>373</v>
      </c>
      <c r="E6949" s="84">
        <v>69.62</v>
      </c>
      <c r="F6949" s="83">
        <f t="shared" ca="1" si="284"/>
        <v>25968.260000000002</v>
      </c>
    </row>
    <row r="6950" spans="1:6" ht="14.1" customHeight="1" x14ac:dyDescent="0.25">
      <c r="A6950" s="94" t="s">
        <v>2591</v>
      </c>
      <c r="B6950" s="82" t="str">
        <f ca="1">IFERROR(INDEX(UNSPSCDes,MATCH(INDIRECT(ADDRESS(ROW(),COLUMN()-1,4)),UNSPSCCode,0)),IF(INDIRECT(ADDRESS(ROW(),COLUMN()-1,4))="42142504","Agujas para biopsia",""))</f>
        <v>Agujas para biopsia</v>
      </c>
      <c r="C6950" s="95" t="str">
        <f>IFERROR(VLOOKUP("UD",'Informacion '!P:Q,2,FALSE),"")</f>
        <v>Unidad</v>
      </c>
      <c r="D6950" s="94">
        <v>5</v>
      </c>
      <c r="E6950" s="84">
        <v>1000.01</v>
      </c>
      <c r="F6950" s="83">
        <f t="shared" ca="1" si="284"/>
        <v>5000.05</v>
      </c>
    </row>
    <row r="6951" spans="1:6" ht="14.1" customHeight="1" x14ac:dyDescent="0.25">
      <c r="A6951" s="94" t="s">
        <v>5212</v>
      </c>
      <c r="B6951" s="82" t="str">
        <f ca="1">IFERROR(INDEX(UNSPSCDes,MATCH(INDIRECT(ADDRESS(ROW(),COLUMN()-1,4)),UNSPSCCode,0)),IF(INDIRECT(ADDRESS(ROW(),COLUMN()-1,4))="23153035","Placa",""))</f>
        <v>Placa</v>
      </c>
      <c r="C6951" s="95" t="str">
        <f>IFERROR(VLOOKUP("UD",'Informacion '!P:Q,2,FALSE),"")</f>
        <v>Unidad</v>
      </c>
      <c r="D6951" s="94">
        <v>373</v>
      </c>
      <c r="E6951" s="84">
        <v>93.22</v>
      </c>
      <c r="F6951" s="83">
        <f t="shared" ca="1" si="284"/>
        <v>34771.06</v>
      </c>
    </row>
    <row r="6952" spans="1:6" ht="14.1" customHeight="1" x14ac:dyDescent="0.25">
      <c r="A6952" s="94" t="s">
        <v>5655</v>
      </c>
      <c r="B6952" s="82" t="str">
        <f ca="1">IFERROR(INDEX(UNSPSCDes,MATCH(INDIRECT(ADDRESS(ROW(),COLUMN()-1,4)),UNSPSCCode,0)),IF(INDIRECT(ADDRESS(ROW(),COLUMN()-1,4))="53131622","Condones",""))</f>
        <v>Condones</v>
      </c>
      <c r="C6952" s="95" t="str">
        <f>IFERROR(VLOOKUP("UD",'Informacion '!P:Q,2,FALSE),"")</f>
        <v>Unidad</v>
      </c>
      <c r="D6952" s="94">
        <v>452</v>
      </c>
      <c r="E6952" s="84">
        <v>10.15</v>
      </c>
      <c r="F6952" s="83">
        <f t="shared" ca="1" si="284"/>
        <v>4587.8</v>
      </c>
    </row>
    <row r="6953" spans="1:6" ht="14.1" customHeight="1" x14ac:dyDescent="0.25">
      <c r="A6953" s="94" t="s">
        <v>4306</v>
      </c>
      <c r="B6953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6953" s="95" t="str">
        <f>IFERROR(VLOOKUP("UD",'Informacion '!P:Q,2,FALSE),"")</f>
        <v>Unidad</v>
      </c>
      <c r="D6953" s="94">
        <v>3</v>
      </c>
      <c r="E6953" s="84">
        <v>571.54999999999995</v>
      </c>
      <c r="F6953" s="83">
        <f t="shared" ca="1" si="284"/>
        <v>1714.6499999999999</v>
      </c>
    </row>
    <row r="6954" spans="1:6" ht="14.1" customHeight="1" x14ac:dyDescent="0.25">
      <c r="A6954" s="94" t="s">
        <v>4306</v>
      </c>
      <c r="B6954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6954" s="95" t="str">
        <f>IFERROR(VLOOKUP("UD",'Informacion '!P:Q,2,FALSE),"")</f>
        <v>Unidad</v>
      </c>
      <c r="D6954" s="94">
        <v>10</v>
      </c>
      <c r="E6954" s="84">
        <v>838.5</v>
      </c>
      <c r="F6954" s="83">
        <f t="shared" ca="1" si="284"/>
        <v>8385</v>
      </c>
    </row>
    <row r="6955" spans="1:6" ht="14.1" customHeight="1" x14ac:dyDescent="0.25">
      <c r="A6955" s="94" t="s">
        <v>6481</v>
      </c>
      <c r="B6955" s="82" t="str">
        <f ca="1">IFERROR(INDEX(UNSPSCDes,MATCH(INDIRECT(ADDRESS(ROW(),COLUMN()-1,4)),UNSPSCCode,0)),IF(INDIRECT(ADDRESS(ROW(),COLUMN()-1,4))="42293603","Sondas para uso quirúrgico",""))</f>
        <v>Sondas para uso quirúrgico</v>
      </c>
      <c r="C6955" s="95" t="str">
        <f>IFERROR(VLOOKUP("UD",'Informacion '!P:Q,2,FALSE),"")</f>
        <v>Unidad</v>
      </c>
      <c r="D6955" s="94">
        <v>9</v>
      </c>
      <c r="E6955" s="84">
        <v>28.64</v>
      </c>
      <c r="F6955" s="83">
        <f t="shared" ca="1" si="284"/>
        <v>257.76</v>
      </c>
    </row>
    <row r="6956" spans="1:6" ht="14.1" customHeight="1" x14ac:dyDescent="0.25">
      <c r="A6956" s="94" t="s">
        <v>6481</v>
      </c>
      <c r="B6956" s="82" t="str">
        <f ca="1">IFERROR(INDEX(UNSPSCDes,MATCH(INDIRECT(ADDRESS(ROW(),COLUMN()-1,4)),UNSPSCCode,0)),IF(INDIRECT(ADDRESS(ROW(),COLUMN()-1,4))="42293603","Sondas para uso quirúrgico",""))</f>
        <v>Sondas para uso quirúrgico</v>
      </c>
      <c r="C6956" s="95" t="str">
        <f>IFERROR(VLOOKUP("UD",'Informacion '!P:Q,2,FALSE),"")</f>
        <v>Unidad</v>
      </c>
      <c r="D6956" s="94">
        <v>6</v>
      </c>
      <c r="E6956" s="84">
        <v>28.79</v>
      </c>
      <c r="F6956" s="83">
        <f t="shared" ca="1" si="284"/>
        <v>172.74</v>
      </c>
    </row>
    <row r="6957" spans="1:6" ht="14.1" customHeight="1" x14ac:dyDescent="0.25">
      <c r="A6957" s="94" t="s">
        <v>5655</v>
      </c>
      <c r="B6957" s="82" t="str">
        <f ca="1">IFERROR(INDEX(UNSPSCDes,MATCH(INDIRECT(ADDRESS(ROW(),COLUMN()-1,4)),UNSPSCCode,0)),IF(INDIRECT(ADDRESS(ROW(),COLUMN()-1,4))="53131622","Condones",""))</f>
        <v>Condones</v>
      </c>
      <c r="C6957" s="95" t="str">
        <f>IFERROR(VLOOKUP("UD",'Informacion '!P:Q,2,FALSE),"")</f>
        <v>Unidad</v>
      </c>
      <c r="D6957" s="94">
        <v>796</v>
      </c>
      <c r="E6957" s="84">
        <v>9.51</v>
      </c>
      <c r="F6957" s="83">
        <f t="shared" ca="1" si="284"/>
        <v>7569.96</v>
      </c>
    </row>
    <row r="6958" spans="1:6" ht="14.1" customHeight="1" x14ac:dyDescent="0.25">
      <c r="A6958" s="94" t="s">
        <v>2946</v>
      </c>
      <c r="B6958" s="82" t="str">
        <f ca="1">IFERROR(INDEX(UNSPSCDes,MATCH(INDIRECT(ADDRESS(ROW(),COLUMN()-1,4)),UNSPSCCode,0)),IF(INDIRECT(ADDRESS(ROW(),COLUMN()-1,4))="14121812","Papel de fotografía",""))</f>
        <v>Papel de fotografía</v>
      </c>
      <c r="C6958" s="95" t="str">
        <f>IFERROR(VLOOKUP("UD",'Informacion '!P:Q,2,FALSE),"")</f>
        <v>Unidad</v>
      </c>
      <c r="D6958" s="94">
        <v>57</v>
      </c>
      <c r="E6958" s="84">
        <v>920.4</v>
      </c>
      <c r="F6958" s="83">
        <f t="shared" ca="1" si="284"/>
        <v>52462.799999999996</v>
      </c>
    </row>
    <row r="6959" spans="1:6" ht="14.1" customHeight="1" x14ac:dyDescent="0.25">
      <c r="A6959" s="94" t="s">
        <v>4306</v>
      </c>
      <c r="B6959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6959" s="95" t="str">
        <f>IFERROR(VLOOKUP("UD",'Informacion '!P:Q,2,FALSE),"")</f>
        <v>Unidad</v>
      </c>
      <c r="D6959" s="94">
        <v>9</v>
      </c>
      <c r="E6959" s="84">
        <v>96.6</v>
      </c>
      <c r="F6959" s="83">
        <f t="shared" ca="1" si="284"/>
        <v>869.4</v>
      </c>
    </row>
    <row r="6960" spans="1:6" ht="14.1" customHeight="1" x14ac:dyDescent="0.25">
      <c r="A6960" s="94" t="s">
        <v>4162</v>
      </c>
      <c r="B6960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6960" s="95" t="str">
        <f>IFERROR(VLOOKUP("UD",'Informacion '!P:Q,2,FALSE),"")</f>
        <v>Unidad</v>
      </c>
      <c r="D6960" s="94">
        <v>5</v>
      </c>
      <c r="E6960" s="84">
        <v>1863.61</v>
      </c>
      <c r="F6960" s="83">
        <f t="shared" ca="1" si="284"/>
        <v>9318.0499999999993</v>
      </c>
    </row>
    <row r="6961" spans="1:10" ht="14.1" customHeight="1" x14ac:dyDescent="0.25">
      <c r="A6961" s="94" t="s">
        <v>4162</v>
      </c>
      <c r="B6961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6961" s="95" t="str">
        <f>IFERROR(VLOOKUP("UD",'Informacion '!P:Q,2,FALSE),"")</f>
        <v>Unidad</v>
      </c>
      <c r="D6961" s="94">
        <v>5</v>
      </c>
      <c r="E6961" s="84">
        <v>1863.61</v>
      </c>
      <c r="F6961" s="83">
        <f t="shared" ca="1" si="284"/>
        <v>9318.0499999999993</v>
      </c>
    </row>
    <row r="6962" spans="1:10" ht="14.1" customHeight="1" x14ac:dyDescent="0.25">
      <c r="A6962" s="94" t="s">
        <v>2946</v>
      </c>
      <c r="B6962" s="82" t="str">
        <f ca="1">IFERROR(INDEX(UNSPSCDes,MATCH(INDIRECT(ADDRESS(ROW(),COLUMN()-1,4)),UNSPSCCode,0)),IF(INDIRECT(ADDRESS(ROW(),COLUMN()-1,4))="14121812","Papel de fotografía",""))</f>
        <v>Papel de fotografía</v>
      </c>
      <c r="C6962" s="95" t="str">
        <f>IFERROR(VLOOKUP("UD",'Informacion '!P:Q,2,FALSE),"")</f>
        <v>Unidad</v>
      </c>
      <c r="D6962" s="94">
        <v>27</v>
      </c>
      <c r="E6962" s="84">
        <v>316.83</v>
      </c>
      <c r="F6962" s="83">
        <f t="shared" ca="1" si="284"/>
        <v>8554.41</v>
      </c>
    </row>
    <row r="6963" spans="1:10" ht="14.1" customHeight="1" x14ac:dyDescent="0.25">
      <c r="A6963" s="94" t="s">
        <v>4162</v>
      </c>
      <c r="B6963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6963" s="95" t="str">
        <f>IFERROR(VLOOKUP("UD",'Informacion '!P:Q,2,FALSE),"")</f>
        <v>Unidad</v>
      </c>
      <c r="D6963" s="94">
        <v>3</v>
      </c>
      <c r="E6963" s="84">
        <v>1800</v>
      </c>
      <c r="F6963" s="83">
        <f t="shared" ca="1" si="284"/>
        <v>5400</v>
      </c>
    </row>
    <row r="6964" spans="1:10" ht="14.1" customHeight="1" x14ac:dyDescent="0.25">
      <c r="E6964" s="96" t="s">
        <v>7213</v>
      </c>
      <c r="F6964" s="87">
        <f ca="1">SUM(Table193[MONTO TOTAL ESTIMADO])</f>
        <v>394720.97000000003</v>
      </c>
      <c r="H6964" s="39" t="str">
        <f>C6935</f>
        <v>Bienes</v>
      </c>
      <c r="I6964" s="39" t="str">
        <f>E6935</f>
        <v>No</v>
      </c>
      <c r="J6964" s="39" t="str">
        <f>D6935</f>
        <v>Comparacion de Precios</v>
      </c>
    </row>
    <row r="6966" spans="1:10" ht="33.950000000000003" customHeight="1" x14ac:dyDescent="0.25">
      <c r="A6966" s="77" t="s">
        <v>17233</v>
      </c>
      <c r="B6966" s="77" t="s">
        <v>4237</v>
      </c>
      <c r="C6966" s="77" t="s">
        <v>4743</v>
      </c>
      <c r="D6966" s="77" t="s">
        <v>9891</v>
      </c>
      <c r="E6966" s="77" t="s">
        <v>3089</v>
      </c>
      <c r="F6966" s="77" t="s">
        <v>18141</v>
      </c>
    </row>
    <row r="6967" spans="1:10" ht="14.1" customHeight="1" x14ac:dyDescent="0.25">
      <c r="A6967" s="79" t="s">
        <v>4773</v>
      </c>
      <c r="B6967" s="79" t="s">
        <v>2182</v>
      </c>
      <c r="C6967" s="79" t="s">
        <v>17215</v>
      </c>
      <c r="D6967" s="79" t="s">
        <v>15249</v>
      </c>
      <c r="E6967" s="79" t="s">
        <v>18247</v>
      </c>
      <c r="F6967" s="79"/>
    </row>
    <row r="6968" spans="1:10" ht="14.1" customHeight="1" x14ac:dyDescent="0.25">
      <c r="A6968" s="2" t="s">
        <v>6643</v>
      </c>
      <c r="B6968" s="80" t="s">
        <v>1046</v>
      </c>
      <c r="C6968" s="90">
        <v>43739</v>
      </c>
      <c r="D6968" s="2" t="s">
        <v>59</v>
      </c>
      <c r="E6968" s="92" t="s">
        <v>20066</v>
      </c>
      <c r="F6968" s="93" t="s">
        <v>5684</v>
      </c>
    </row>
    <row r="6969" spans="1:10" ht="14.1" customHeight="1" x14ac:dyDescent="0.25">
      <c r="A6969" s="1"/>
      <c r="B6969" s="80" t="s">
        <v>10788</v>
      </c>
      <c r="C6969" s="91">
        <f>IF(C6968="","",IF(AND(MONTH(C6968)&gt;=1,MONTH(C6968)&lt;=3),1,IF(AND(MONTH(C6968)&gt;=4,MONTH(C6968)&lt;=6),2,IF(AND(MONTH(C6968)&gt;=7,MONTH(C6968)&lt;=9),3,4))))</f>
        <v>4</v>
      </c>
      <c r="D6969" s="1"/>
      <c r="E6969" s="92" t="s">
        <v>14822</v>
      </c>
      <c r="F6969" s="93" t="s">
        <v>17690</v>
      </c>
    </row>
    <row r="6970" spans="1:10" ht="14.1" customHeight="1" x14ac:dyDescent="0.25">
      <c r="A6970" s="1"/>
      <c r="B6970" s="80" t="s">
        <v>13758</v>
      </c>
      <c r="C6970" s="90">
        <v>43830</v>
      </c>
      <c r="D6970" s="1"/>
      <c r="E6970" s="92" t="s">
        <v>18636</v>
      </c>
      <c r="F6970" s="93"/>
    </row>
    <row r="6971" spans="1:10" ht="14.1" customHeight="1" x14ac:dyDescent="0.25">
      <c r="A6971" s="1"/>
      <c r="B6971" s="80" t="s">
        <v>10788</v>
      </c>
      <c r="C6971" s="91">
        <f>IF(C6970="","",IF(AND(MONTH(C6970)&gt;=1,MONTH(C6970)&lt;=3),1,IF(AND(MONTH(C6970)&gt;=4,MONTH(C6970)&lt;=6),2,IF(AND(MONTH(C6970)&gt;=7,MONTH(C6970)&lt;=9),3,4))))</f>
        <v>4</v>
      </c>
      <c r="D6971" s="1"/>
      <c r="E6971" s="92" t="s">
        <v>15990</v>
      </c>
      <c r="F6971" s="93"/>
    </row>
    <row r="6973" spans="1:10" ht="14.1" customHeight="1" x14ac:dyDescent="0.25">
      <c r="A6973" s="85" t="s">
        <v>15474</v>
      </c>
      <c r="B6973" s="85" t="s">
        <v>5027</v>
      </c>
      <c r="C6973" s="85" t="s">
        <v>17461</v>
      </c>
      <c r="D6973" s="85" t="s">
        <v>3935</v>
      </c>
      <c r="E6973" s="85" t="s">
        <v>10722</v>
      </c>
      <c r="F6973" s="85" t="s">
        <v>18237</v>
      </c>
    </row>
    <row r="6974" spans="1:10" ht="14.1" customHeight="1" x14ac:dyDescent="0.25">
      <c r="A6974" s="94" t="s">
        <v>17652</v>
      </c>
      <c r="B6974" s="82" t="str">
        <f ca="1">IFERROR(INDEX(UNSPSCDes,MATCH(INDIRECT(ADDRESS(ROW(),COLUMN()-1,4)),UNSPSCCode,0)),IF(INDIRECT(ADDRESS(ROW(),COLUMN()-1,4))="51171513","Dihidroxialuminio-carbonato de sodio",""))</f>
        <v>Dihidroxialuminio-carbonato de sodio</v>
      </c>
      <c r="C6974" s="95" t="str">
        <f>IFERROR(VLOOKUP("UD",'Informacion '!P:Q,2,FALSE),"")</f>
        <v>Unidad</v>
      </c>
      <c r="D6974" s="94">
        <v>30</v>
      </c>
      <c r="E6974" s="84">
        <v>46.15</v>
      </c>
      <c r="F6974" s="83">
        <f t="shared" ref="F6974:F7003" ca="1" si="285">INDIRECT(ADDRESS(ROW(),COLUMN()-2,4))*INDIRECT(ADDRESS(ROW(),COLUMN()-1,4))</f>
        <v>1384.5</v>
      </c>
    </row>
    <row r="6975" spans="1:10" ht="14.1" customHeight="1" x14ac:dyDescent="0.25">
      <c r="A6975" s="94" t="s">
        <v>10723</v>
      </c>
      <c r="B6975" s="82" t="str">
        <f ca="1">IFERROR(INDEX(UNSPSCDes,MATCH(INDIRECT(ADDRESS(ROW(),COLUMN()-1,4)),UNSPSCCode,0)),IF(INDIRECT(ADDRESS(ROW(),COLUMN()-1,4))="51101567","Ampicilina",""))</f>
        <v>Ampicilina</v>
      </c>
      <c r="C6975" s="95" t="str">
        <f>IFERROR(VLOOKUP("UD",'Informacion '!P:Q,2,FALSE),"")</f>
        <v>Unidad</v>
      </c>
      <c r="D6975" s="94">
        <v>4</v>
      </c>
      <c r="E6975" s="84">
        <v>24.9</v>
      </c>
      <c r="F6975" s="83">
        <f t="shared" ca="1" si="285"/>
        <v>99.6</v>
      </c>
    </row>
    <row r="6976" spans="1:10" ht="14.1" customHeight="1" x14ac:dyDescent="0.25">
      <c r="A6976" s="94" t="s">
        <v>5834</v>
      </c>
      <c r="B6976" s="82" t="str">
        <f ca="1">IFERROR(INDEX(UNSPSCDes,MATCH(INDIRECT(ADDRESS(ROW(),COLUMN()-1,4)),UNSPSCCode,0)),IF(INDIRECT(ADDRESS(ROW(),COLUMN()-1,4))="51101551","Ceftriaxona",""))</f>
        <v>Ceftriaxona</v>
      </c>
      <c r="C6976" s="95" t="str">
        <f>IFERROR(VLOOKUP("UD",'Informacion '!P:Q,2,FALSE),"")</f>
        <v>Unidad</v>
      </c>
      <c r="D6976" s="94">
        <v>5</v>
      </c>
      <c r="E6976" s="84">
        <v>2.34</v>
      </c>
      <c r="F6976" s="83">
        <f t="shared" ca="1" si="285"/>
        <v>11.7</v>
      </c>
    </row>
    <row r="6977" spans="1:6" ht="14.1" customHeight="1" x14ac:dyDescent="0.25">
      <c r="A6977" s="94" t="s">
        <v>1761</v>
      </c>
      <c r="B6977" s="82" t="str">
        <f ca="1">IFERROR(INDEX(UNSPSCDes,MATCH(INDIRECT(ADDRESS(ROW(),COLUMN()-1,4)),UNSPSCCode,0)),IF(INDIRECT(ADDRESS(ROW(),COLUMN()-1,4))="51101593","Cefotaxima",""))</f>
        <v>Cefotaxima</v>
      </c>
      <c r="C6977" s="95" t="str">
        <f>IFERROR(VLOOKUP("UD",'Informacion '!P:Q,2,FALSE),"")</f>
        <v>Unidad</v>
      </c>
      <c r="D6977" s="94">
        <v>64</v>
      </c>
      <c r="E6977" s="84">
        <v>15.95</v>
      </c>
      <c r="F6977" s="83">
        <f t="shared" ca="1" si="285"/>
        <v>1020.8</v>
      </c>
    </row>
    <row r="6978" spans="1:6" ht="14.1" customHeight="1" x14ac:dyDescent="0.25">
      <c r="A6978" s="94" t="s">
        <v>12333</v>
      </c>
      <c r="B6978" s="82" t="str">
        <f ca="1">IFERROR(INDEX(UNSPSCDes,MATCH(INDIRECT(ADDRESS(ROW(),COLUMN()-1,4)),UNSPSCCode,0)),IF(INDIRECT(ADDRESS(ROW(),COLUMN()-1,4))="51101542","Ciprofloxacina",""))</f>
        <v>Ciprofloxacina</v>
      </c>
      <c r="C6978" s="95" t="str">
        <f>IFERROR(VLOOKUP("UD",'Informacion '!P:Q,2,FALSE),"")</f>
        <v>Unidad</v>
      </c>
      <c r="D6978" s="94">
        <v>4</v>
      </c>
      <c r="E6978" s="84">
        <v>273.20999999999998</v>
      </c>
      <c r="F6978" s="83">
        <f t="shared" ca="1" si="285"/>
        <v>1092.8399999999999</v>
      </c>
    </row>
    <row r="6979" spans="1:6" ht="14.1" customHeight="1" x14ac:dyDescent="0.25">
      <c r="A6979" s="94" t="s">
        <v>12333</v>
      </c>
      <c r="B6979" s="82" t="str">
        <f ca="1">IFERROR(INDEX(UNSPSCDes,MATCH(INDIRECT(ADDRESS(ROW(),COLUMN()-1,4)),UNSPSCCode,0)),IF(INDIRECT(ADDRESS(ROW(),COLUMN()-1,4))="51101542","Ciprofloxacina",""))</f>
        <v>Ciprofloxacina</v>
      </c>
      <c r="C6979" s="95" t="str">
        <f>IFERROR(VLOOKUP("UD",'Informacion '!P:Q,2,FALSE),"")</f>
        <v>Unidad</v>
      </c>
      <c r="D6979" s="94">
        <v>32</v>
      </c>
      <c r="E6979" s="84">
        <v>125.5</v>
      </c>
      <c r="F6979" s="83">
        <f t="shared" ca="1" si="285"/>
        <v>4016</v>
      </c>
    </row>
    <row r="6980" spans="1:6" ht="14.1" customHeight="1" x14ac:dyDescent="0.25">
      <c r="A6980" s="94" t="s">
        <v>12333</v>
      </c>
      <c r="B6980" s="82" t="str">
        <f ca="1">IFERROR(INDEX(UNSPSCDes,MATCH(INDIRECT(ADDRESS(ROW(),COLUMN()-1,4)),UNSPSCCode,0)),IF(INDIRECT(ADDRESS(ROW(),COLUMN()-1,4))="51101542","Ciprofloxacina",""))</f>
        <v>Ciprofloxacina</v>
      </c>
      <c r="C6980" s="95" t="str">
        <f>IFERROR(VLOOKUP("UD",'Informacion '!P:Q,2,FALSE),"")</f>
        <v>Unidad</v>
      </c>
      <c r="D6980" s="94">
        <v>15</v>
      </c>
      <c r="E6980" s="84">
        <v>652.08000000000004</v>
      </c>
      <c r="F6980" s="83">
        <f t="shared" ca="1" si="285"/>
        <v>9781.2000000000007</v>
      </c>
    </row>
    <row r="6981" spans="1:6" ht="14.1" customHeight="1" x14ac:dyDescent="0.25">
      <c r="A6981" s="94" t="s">
        <v>12333</v>
      </c>
      <c r="B6981" s="82" t="str">
        <f ca="1">IFERROR(INDEX(UNSPSCDes,MATCH(INDIRECT(ADDRESS(ROW(),COLUMN()-1,4)),UNSPSCCode,0)),IF(INDIRECT(ADDRESS(ROW(),COLUMN()-1,4))="51101542","Ciprofloxacina",""))</f>
        <v>Ciprofloxacina</v>
      </c>
      <c r="C6981" s="95" t="str">
        <f>IFERROR(VLOOKUP("UD",'Informacion '!P:Q,2,FALSE),"")</f>
        <v>Unidad</v>
      </c>
      <c r="D6981" s="94">
        <v>11</v>
      </c>
      <c r="E6981" s="84">
        <v>297.85000000000002</v>
      </c>
      <c r="F6981" s="83">
        <f t="shared" ca="1" si="285"/>
        <v>3276.3500000000004</v>
      </c>
    </row>
    <row r="6982" spans="1:6" ht="14.1" customHeight="1" x14ac:dyDescent="0.25">
      <c r="A6982" s="94" t="s">
        <v>10047</v>
      </c>
      <c r="B6982" s="82" t="str">
        <f ca="1">IFERROR(INDEX(UNSPSCDes,MATCH(INDIRECT(ADDRESS(ROW(),COLUMN()-1,4)),UNSPSCCode,0)),IF(INDIRECT(ADDRESS(ROW(),COLUMN()-1,4))="51101561","Piperacilina",""))</f>
        <v>Piperacilina</v>
      </c>
      <c r="C6982" s="95" t="str">
        <f>IFERROR(VLOOKUP("UD",'Informacion '!P:Q,2,FALSE),"")</f>
        <v>Unidad</v>
      </c>
      <c r="D6982" s="94">
        <v>33</v>
      </c>
      <c r="E6982" s="84">
        <v>1255</v>
      </c>
      <c r="F6982" s="83">
        <f t="shared" ca="1" si="285"/>
        <v>41415</v>
      </c>
    </row>
    <row r="6983" spans="1:6" ht="14.1" customHeight="1" x14ac:dyDescent="0.25">
      <c r="A6983" s="94" t="s">
        <v>15617</v>
      </c>
      <c r="B6983" s="82" t="str">
        <f ca="1">IFERROR(INDEX(UNSPSCDes,MATCH(INDIRECT(ADDRESS(ROW(),COLUMN()-1,4)),UNSPSCCode,0)),IF(INDIRECT(ADDRESS(ROW(),COLUMN()-1,4))="51101603","Metronidazol",""))</f>
        <v>Metronidazol</v>
      </c>
      <c r="C6983" s="95" t="str">
        <f>IFERROR(VLOOKUP("UD",'Informacion '!P:Q,2,FALSE),"")</f>
        <v>Unidad</v>
      </c>
      <c r="D6983" s="94">
        <v>148</v>
      </c>
      <c r="E6983" s="84">
        <v>16.989999999999998</v>
      </c>
      <c r="F6983" s="83">
        <f t="shared" ca="1" si="285"/>
        <v>2514.52</v>
      </c>
    </row>
    <row r="6984" spans="1:6" ht="14.1" customHeight="1" x14ac:dyDescent="0.25">
      <c r="A6984" s="94" t="s">
        <v>12333</v>
      </c>
      <c r="B6984" s="82" t="str">
        <f ca="1">IFERROR(INDEX(UNSPSCDes,MATCH(INDIRECT(ADDRESS(ROW(),COLUMN()-1,4)),UNSPSCCode,0)),IF(INDIRECT(ADDRESS(ROW(),COLUMN()-1,4))="51101542","Ciprofloxacina",""))</f>
        <v>Ciprofloxacina</v>
      </c>
      <c r="C6984" s="95" t="str">
        <f>IFERROR(VLOOKUP("UD",'Informacion '!P:Q,2,FALSE),"")</f>
        <v>Unidad</v>
      </c>
      <c r="D6984" s="94">
        <v>445</v>
      </c>
      <c r="E6984" s="84">
        <v>29.4</v>
      </c>
      <c r="F6984" s="83">
        <f t="shared" ca="1" si="285"/>
        <v>13083</v>
      </c>
    </row>
    <row r="6985" spans="1:6" ht="14.1" customHeight="1" x14ac:dyDescent="0.25">
      <c r="A6985" s="94" t="s">
        <v>9006</v>
      </c>
      <c r="B6985" s="82" t="str">
        <f ca="1">IFERROR(INDEX(UNSPSCDes,MATCH(INDIRECT(ADDRESS(ROW(),COLUMN()-1,4)),UNSPSCCode,0)),IF(INDIRECT(ADDRESS(ROW(),COLUMN()-1,4))="51101801","Anfotericina b",""))</f>
        <v>Anfotericina b</v>
      </c>
      <c r="C6985" s="95" t="str">
        <f>IFERROR(VLOOKUP("UD",'Informacion '!P:Q,2,FALSE),"")</f>
        <v>Unidad</v>
      </c>
      <c r="D6985" s="94">
        <v>4</v>
      </c>
      <c r="E6985" s="84">
        <v>6397.71</v>
      </c>
      <c r="F6985" s="83">
        <f t="shared" ca="1" si="285"/>
        <v>25590.84</v>
      </c>
    </row>
    <row r="6986" spans="1:6" ht="14.1" customHeight="1" x14ac:dyDescent="0.25">
      <c r="A6986" s="94" t="s">
        <v>18885</v>
      </c>
      <c r="B6986" s="82" t="str">
        <f ca="1">IFERROR(INDEX(UNSPSCDes,MATCH(INDIRECT(ADDRESS(ROW(),COLUMN()-1,4)),UNSPSCCode,0)),IF(INDIRECT(ADDRESS(ROW(),COLUMN()-1,4))="51101511","Amoxicilina",""))</f>
        <v>Amoxicilina</v>
      </c>
      <c r="C6986" s="95" t="str">
        <f>IFERROR(VLOOKUP("UD",'Informacion '!P:Q,2,FALSE),"")</f>
        <v>Unidad</v>
      </c>
      <c r="D6986" s="94">
        <v>8</v>
      </c>
      <c r="E6986" s="84">
        <v>2.82</v>
      </c>
      <c r="F6986" s="83">
        <f t="shared" ca="1" si="285"/>
        <v>22.56</v>
      </c>
    </row>
    <row r="6987" spans="1:6" ht="14.1" customHeight="1" x14ac:dyDescent="0.25">
      <c r="A6987" s="94" t="s">
        <v>14780</v>
      </c>
      <c r="B6987" s="82" t="str">
        <f ca="1">IFERROR(INDEX(UNSPSCDes,MATCH(INDIRECT(ADDRESS(ROW(),COLUMN()-1,4)),UNSPSCCode,0)),IF(INDIRECT(ADDRESS(ROW(),COLUMN()-1,4))="51101594","Cefepima",""))</f>
        <v>Cefepima</v>
      </c>
      <c r="C6987" s="95" t="str">
        <f>IFERROR(VLOOKUP("UD",'Informacion '!P:Q,2,FALSE),"")</f>
        <v>Unidad</v>
      </c>
      <c r="D6987" s="94">
        <v>659</v>
      </c>
      <c r="E6987" s="84">
        <v>196</v>
      </c>
      <c r="F6987" s="83">
        <f t="shared" ca="1" si="285"/>
        <v>129164</v>
      </c>
    </row>
    <row r="6988" spans="1:6" ht="14.1" customHeight="1" x14ac:dyDescent="0.25">
      <c r="A6988" s="94" t="s">
        <v>15568</v>
      </c>
      <c r="B6988" s="82" t="str">
        <f ca="1">IFERROR(INDEX(UNSPSCDes,MATCH(INDIRECT(ADDRESS(ROW(),COLUMN()-1,4)),UNSPSCCode,0)),IF(INDIRECT(ADDRESS(ROW(),COLUMN()-1,4))="51101586","Amikacina",""))</f>
        <v>Amikacina</v>
      </c>
      <c r="C6988" s="95" t="str">
        <f>IFERROR(VLOOKUP("UD",'Informacion '!P:Q,2,FALSE),"")</f>
        <v>Unidad</v>
      </c>
      <c r="D6988" s="94">
        <v>6</v>
      </c>
      <c r="E6988" s="84">
        <v>14.18</v>
      </c>
      <c r="F6988" s="83">
        <f t="shared" ca="1" si="285"/>
        <v>85.08</v>
      </c>
    </row>
    <row r="6989" spans="1:6" ht="14.1" customHeight="1" x14ac:dyDescent="0.25">
      <c r="A6989" s="94" t="s">
        <v>4548</v>
      </c>
      <c r="B6989" s="82" t="str">
        <f ca="1">IFERROR(INDEX(UNSPSCDes,MATCH(INDIRECT(ADDRESS(ROW(),COLUMN()-1,4)),UNSPSCCode,0)),IF(INDIRECT(ADDRESS(ROW(),COLUMN()-1,4))="51101548","Fosfomicina trometamol",""))</f>
        <v>Fosfomicina trometamol</v>
      </c>
      <c r="C6989" s="95" t="str">
        <f>IFERROR(VLOOKUP("UD",'Informacion '!P:Q,2,FALSE),"")</f>
        <v>Unidad</v>
      </c>
      <c r="D6989" s="94">
        <v>10</v>
      </c>
      <c r="E6989" s="84">
        <v>1460.08</v>
      </c>
      <c r="F6989" s="83">
        <f t="shared" ca="1" si="285"/>
        <v>14600.8</v>
      </c>
    </row>
    <row r="6990" spans="1:6" ht="14.1" customHeight="1" x14ac:dyDescent="0.25">
      <c r="A6990" s="94" t="s">
        <v>4420</v>
      </c>
      <c r="B6990" s="82" t="str">
        <f ca="1">IFERROR(INDEX(UNSPSCDes,MATCH(INDIRECT(ADDRESS(ROW(),COLUMN()-1,4)),UNSPSCCode,0)),IF(INDIRECT(ADDRESS(ROW(),COLUMN()-1,4))="51101584","Gentamicina",""))</f>
        <v>Gentamicina</v>
      </c>
      <c r="C6990" s="95" t="str">
        <f>IFERROR(VLOOKUP("UD",'Informacion '!P:Q,2,FALSE),"")</f>
        <v>Unidad</v>
      </c>
      <c r="D6990" s="94">
        <v>22</v>
      </c>
      <c r="E6990" s="84">
        <v>13.33</v>
      </c>
      <c r="F6990" s="83">
        <f t="shared" ca="1" si="285"/>
        <v>293.26</v>
      </c>
    </row>
    <row r="6991" spans="1:6" ht="14.1" customHeight="1" x14ac:dyDescent="0.25">
      <c r="A6991" s="94" t="s">
        <v>4420</v>
      </c>
      <c r="B6991" s="82" t="str">
        <f ca="1">IFERROR(INDEX(UNSPSCDes,MATCH(INDIRECT(ADDRESS(ROW(),COLUMN()-1,4)),UNSPSCCode,0)),IF(INDIRECT(ADDRESS(ROW(),COLUMN()-1,4))="51101584","Gentamicina",""))</f>
        <v>Gentamicina</v>
      </c>
      <c r="C6991" s="95" t="str">
        <f>IFERROR(VLOOKUP("UD",'Informacion '!P:Q,2,FALSE),"")</f>
        <v>Unidad</v>
      </c>
      <c r="D6991" s="94">
        <v>6</v>
      </c>
      <c r="E6991" s="84">
        <v>178.95</v>
      </c>
      <c r="F6991" s="83">
        <f t="shared" ca="1" si="285"/>
        <v>1073.6999999999998</v>
      </c>
    </row>
    <row r="6992" spans="1:6" ht="14.1" customHeight="1" x14ac:dyDescent="0.25">
      <c r="A6992" s="94" t="s">
        <v>16333</v>
      </c>
      <c r="B6992" s="82" t="str">
        <f ca="1">IFERROR(INDEX(UNSPSCDes,MATCH(INDIRECT(ADDRESS(ROW(),COLUMN()-1,4)),UNSPSCCode,0)),IF(INDIRECT(ADDRESS(ROW(),COLUMN()-1,4))="51101508","Sulfonamidas antibióticas",""))</f>
        <v>Sulfonamidas antibióticas</v>
      </c>
      <c r="C6992" s="95" t="str">
        <f>IFERROR(VLOOKUP("UD",'Informacion '!P:Q,2,FALSE),"")</f>
        <v>Unidad</v>
      </c>
      <c r="D6992" s="94">
        <v>14</v>
      </c>
      <c r="E6992" s="84">
        <v>517.6</v>
      </c>
      <c r="F6992" s="83">
        <f t="shared" ca="1" si="285"/>
        <v>7246.4000000000005</v>
      </c>
    </row>
    <row r="6993" spans="1:10" ht="14.1" customHeight="1" x14ac:dyDescent="0.25">
      <c r="A6993" s="94" t="s">
        <v>2660</v>
      </c>
      <c r="B6993" s="82" t="str">
        <f ca="1">IFERROR(INDEX(UNSPSCDes,MATCH(INDIRECT(ADDRESS(ROW(),COLUMN()-1,4)),UNSPSCCode,0)),IF(INDIRECT(ADDRESS(ROW(),COLUMN()-1,4))="51101504","Clindamicina",""))</f>
        <v>Clindamicina</v>
      </c>
      <c r="C6993" s="95" t="str">
        <f>IFERROR(VLOOKUP("UD",'Informacion '!P:Q,2,FALSE),"")</f>
        <v>Unidad</v>
      </c>
      <c r="D6993" s="94">
        <v>1229</v>
      </c>
      <c r="E6993" s="84">
        <v>49.1</v>
      </c>
      <c r="F6993" s="83">
        <f t="shared" ca="1" si="285"/>
        <v>60343.9</v>
      </c>
    </row>
    <row r="6994" spans="1:10" ht="14.1" customHeight="1" x14ac:dyDescent="0.25">
      <c r="A6994" s="94" t="s">
        <v>17776</v>
      </c>
      <c r="B6994" s="82" t="str">
        <f ca="1">IFERROR(INDEX(UNSPSCDes,MATCH(INDIRECT(ADDRESS(ROW(),COLUMN()-1,4)),UNSPSCCode,0)),IF(INDIRECT(ADDRESS(ROW(),COLUMN()-1,4))="51101611","Meropenem",""))</f>
        <v>Meropenem</v>
      </c>
      <c r="C6994" s="95" t="str">
        <f>IFERROR(VLOOKUP("UD",'Informacion '!P:Q,2,FALSE),"")</f>
        <v>Unidad</v>
      </c>
      <c r="D6994" s="94">
        <v>116</v>
      </c>
      <c r="E6994" s="84">
        <v>753.05</v>
      </c>
      <c r="F6994" s="83">
        <f t="shared" ca="1" si="285"/>
        <v>87353.799999999988</v>
      </c>
    </row>
    <row r="6995" spans="1:10" ht="14.1" customHeight="1" x14ac:dyDescent="0.25">
      <c r="A6995" s="94" t="s">
        <v>4998</v>
      </c>
      <c r="B6995" s="82" t="str">
        <f ca="1">IFERROR(INDEX(UNSPSCDes,MATCH(INDIRECT(ADDRESS(ROW(),COLUMN()-1,4)),UNSPSCCode,0)),IF(INDIRECT(ADDRESS(ROW(),COLUMN()-1,4))="51101538","Levofloxacina",""))</f>
        <v>Levofloxacina</v>
      </c>
      <c r="C6995" s="95" t="str">
        <f>IFERROR(VLOOKUP("UD",'Informacion '!P:Q,2,FALSE),"")</f>
        <v>Unidad</v>
      </c>
      <c r="D6995" s="94">
        <v>77</v>
      </c>
      <c r="E6995" s="84">
        <v>121.02</v>
      </c>
      <c r="F6995" s="83">
        <f t="shared" ca="1" si="285"/>
        <v>9318.5399999999991</v>
      </c>
    </row>
    <row r="6996" spans="1:10" ht="14.1" customHeight="1" x14ac:dyDescent="0.25">
      <c r="A6996" s="94" t="s">
        <v>7992</v>
      </c>
      <c r="B6996" s="82" t="str">
        <f ca="1">IFERROR(INDEX(UNSPSCDes,MATCH(INDIRECT(ADDRESS(ROW(),COLUMN()-1,4)),UNSPSCCode,0)),IF(INDIRECT(ADDRESS(ROW(),COLUMN()-1,4))="51101572","Azitromicina",""))</f>
        <v>Azitromicina</v>
      </c>
      <c r="C6996" s="95" t="str">
        <f>IFERROR(VLOOKUP("UD",'Informacion '!P:Q,2,FALSE),"")</f>
        <v>Unidad</v>
      </c>
      <c r="D6996" s="94">
        <v>28</v>
      </c>
      <c r="E6996" s="84">
        <v>13.89</v>
      </c>
      <c r="F6996" s="83">
        <f t="shared" ca="1" si="285"/>
        <v>388.92</v>
      </c>
    </row>
    <row r="6997" spans="1:10" ht="14.1" customHeight="1" x14ac:dyDescent="0.25">
      <c r="A6997" s="94" t="s">
        <v>10047</v>
      </c>
      <c r="B6997" s="82" t="str">
        <f ca="1">IFERROR(INDEX(UNSPSCDes,MATCH(INDIRECT(ADDRESS(ROW(),COLUMN()-1,4)),UNSPSCCode,0)),IF(INDIRECT(ADDRESS(ROW(),COLUMN()-1,4))="51101561","Piperacilina",""))</f>
        <v>Piperacilina</v>
      </c>
      <c r="C6997" s="95" t="str">
        <f>IFERROR(VLOOKUP("UD",'Informacion '!P:Q,2,FALSE),"")</f>
        <v>Unidad</v>
      </c>
      <c r="D6997" s="94">
        <v>244</v>
      </c>
      <c r="E6997" s="84">
        <v>257.37</v>
      </c>
      <c r="F6997" s="83">
        <f t="shared" ca="1" si="285"/>
        <v>62798.28</v>
      </c>
    </row>
    <row r="6998" spans="1:10" ht="14.1" customHeight="1" x14ac:dyDescent="0.25">
      <c r="A6998" s="94" t="s">
        <v>2988</v>
      </c>
      <c r="B6998" s="82" t="str">
        <f ca="1">IFERROR(INDEX(UNSPSCDes,MATCH(INDIRECT(ADDRESS(ROW(),COLUMN()-1,4)),UNSPSCCode,0)),IF(INDIRECT(ADDRESS(ROW(),COLUMN()-1,4))="51101509","Tetraciclina",""))</f>
        <v>Tetraciclina</v>
      </c>
      <c r="C6998" s="95" t="str">
        <f>IFERROR(VLOOKUP("UD",'Informacion '!P:Q,2,FALSE),"")</f>
        <v>Unidad</v>
      </c>
      <c r="D6998" s="94">
        <v>4</v>
      </c>
      <c r="E6998" s="84">
        <v>3524.07</v>
      </c>
      <c r="F6998" s="83">
        <f t="shared" ca="1" si="285"/>
        <v>14096.28</v>
      </c>
    </row>
    <row r="6999" spans="1:10" ht="14.1" customHeight="1" x14ac:dyDescent="0.25">
      <c r="A6999" s="94" t="s">
        <v>11458</v>
      </c>
      <c r="B6999" s="82" t="str">
        <f ca="1">IFERROR(INDEX(UNSPSCDes,MATCH(INDIRECT(ADDRESS(ROW(),COLUMN()-1,4)),UNSPSCCode,0)),IF(INDIRECT(ADDRESS(ROW(),COLUMN()-1,4))="51102717","Nitrofurazona",""))</f>
        <v>Nitrofurazona</v>
      </c>
      <c r="C6999" s="95" t="str">
        <f>IFERROR(VLOOKUP("UD",'Informacion '!P:Q,2,FALSE),"")</f>
        <v>Unidad</v>
      </c>
      <c r="D6999" s="94">
        <v>6</v>
      </c>
      <c r="E6999" s="84">
        <v>199.99</v>
      </c>
      <c r="F6999" s="83">
        <f t="shared" ca="1" si="285"/>
        <v>1199.94</v>
      </c>
    </row>
    <row r="7000" spans="1:10" ht="14.1" customHeight="1" x14ac:dyDescent="0.25">
      <c r="A7000" s="94" t="s">
        <v>12823</v>
      </c>
      <c r="B7000" s="82" t="str">
        <f ca="1">IFERROR(INDEX(UNSPSCDes,MATCH(INDIRECT(ADDRESS(ROW(),COLUMN()-1,4)),UNSPSCCode,0)),IF(INDIRECT(ADDRESS(ROW(),COLUMN()-1,4))="51101578","Cefazolina",""))</f>
        <v>Cefazolina</v>
      </c>
      <c r="C7000" s="95" t="str">
        <f>IFERROR(VLOOKUP("UD",'Informacion '!P:Q,2,FALSE),"")</f>
        <v>Unidad</v>
      </c>
      <c r="D7000" s="94">
        <v>506</v>
      </c>
      <c r="E7000" s="84">
        <v>126.51</v>
      </c>
      <c r="F7000" s="83">
        <f t="shared" ca="1" si="285"/>
        <v>64014.060000000005</v>
      </c>
    </row>
    <row r="7001" spans="1:10" ht="14.1" customHeight="1" x14ac:dyDescent="0.25">
      <c r="A7001" s="94" t="s">
        <v>446</v>
      </c>
      <c r="B7001" s="82" t="str">
        <f ca="1">IFERROR(INDEX(UNSPSCDes,MATCH(INDIRECT(ADDRESS(ROW(),COLUMN()-1,4)),UNSPSCCode,0)),IF(INDIRECT(ADDRESS(ROW(),COLUMN()-1,4))="51101591","Vancomicina",""))</f>
        <v>Vancomicina</v>
      </c>
      <c r="C7001" s="95" t="str">
        <f>IFERROR(VLOOKUP("UD",'Informacion '!P:Q,2,FALSE),"")</f>
        <v>Unidad</v>
      </c>
      <c r="D7001" s="94">
        <v>126</v>
      </c>
      <c r="E7001" s="84">
        <v>164.88</v>
      </c>
      <c r="F7001" s="83">
        <f t="shared" ca="1" si="285"/>
        <v>20774.88</v>
      </c>
    </row>
    <row r="7002" spans="1:10" ht="14.1" customHeight="1" x14ac:dyDescent="0.25">
      <c r="A7002" s="94" t="s">
        <v>5834</v>
      </c>
      <c r="B7002" s="82" t="str">
        <f ca="1">IFERROR(INDEX(UNSPSCDes,MATCH(INDIRECT(ADDRESS(ROW(),COLUMN()-1,4)),UNSPSCCode,0)),IF(INDIRECT(ADDRESS(ROW(),COLUMN()-1,4))="51101551","Ceftriaxona",""))</f>
        <v>Ceftriaxona</v>
      </c>
      <c r="C7002" s="95" t="str">
        <f>IFERROR(VLOOKUP("UD",'Informacion '!P:Q,2,FALSE),"")</f>
        <v>Unidad</v>
      </c>
      <c r="D7002" s="94">
        <v>1825</v>
      </c>
      <c r="E7002" s="84">
        <v>37.5</v>
      </c>
      <c r="F7002" s="83">
        <f t="shared" ca="1" si="285"/>
        <v>68437.5</v>
      </c>
    </row>
    <row r="7003" spans="1:10" ht="14.1" customHeight="1" x14ac:dyDescent="0.25">
      <c r="A7003" s="94" t="s">
        <v>5968</v>
      </c>
      <c r="B7003" s="82" t="str">
        <f ca="1">IFERROR(INDEX(UNSPSCDes,MATCH(INDIRECT(ADDRESS(ROW(),COLUMN()-1,4)),UNSPSCCode,0)),IF(INDIRECT(ADDRESS(ROW(),COLUMN()-1,4))="51101552","Ceftazidima",""))</f>
        <v>Ceftazidima</v>
      </c>
      <c r="C7003" s="95" t="str">
        <f>IFERROR(VLOOKUP("UD",'Informacion '!P:Q,2,FALSE),"")</f>
        <v>Unidad</v>
      </c>
      <c r="D7003" s="94">
        <v>23</v>
      </c>
      <c r="E7003" s="84">
        <v>181.5</v>
      </c>
      <c r="F7003" s="83">
        <f t="shared" ca="1" si="285"/>
        <v>4174.5</v>
      </c>
    </row>
    <row r="7004" spans="1:10" ht="14.1" customHeight="1" x14ac:dyDescent="0.25">
      <c r="E7004" s="96" t="s">
        <v>7213</v>
      </c>
      <c r="F7004" s="87">
        <f ca="1">SUM(Table194[MONTO TOTAL ESTIMADO])</f>
        <v>648672.75</v>
      </c>
      <c r="H7004" s="39" t="str">
        <f>C6967</f>
        <v>Bienes</v>
      </c>
      <c r="I7004" s="39" t="str">
        <f>E6967</f>
        <v>No</v>
      </c>
      <c r="J7004" s="39" t="str">
        <f>D6967</f>
        <v>Comparacion de Precios</v>
      </c>
    </row>
    <row r="7006" spans="1:10" ht="33.950000000000003" customHeight="1" x14ac:dyDescent="0.25">
      <c r="A7006" s="77" t="s">
        <v>17233</v>
      </c>
      <c r="B7006" s="77" t="s">
        <v>4237</v>
      </c>
      <c r="C7006" s="77" t="s">
        <v>4743</v>
      </c>
      <c r="D7006" s="77" t="s">
        <v>9891</v>
      </c>
      <c r="E7006" s="77" t="s">
        <v>3089</v>
      </c>
      <c r="F7006" s="77" t="s">
        <v>18141</v>
      </c>
    </row>
    <row r="7007" spans="1:10" ht="14.1" customHeight="1" x14ac:dyDescent="0.25">
      <c r="A7007" s="79" t="s">
        <v>11793</v>
      </c>
      <c r="B7007" s="79" t="s">
        <v>2182</v>
      </c>
      <c r="C7007" s="79" t="s">
        <v>17215</v>
      </c>
      <c r="D7007" s="79" t="s">
        <v>15249</v>
      </c>
      <c r="E7007" s="79" t="s">
        <v>18247</v>
      </c>
      <c r="F7007" s="79"/>
    </row>
    <row r="7008" spans="1:10" ht="14.1" customHeight="1" x14ac:dyDescent="0.25">
      <c r="A7008" s="2" t="s">
        <v>6643</v>
      </c>
      <c r="B7008" s="80" t="s">
        <v>1046</v>
      </c>
      <c r="C7008" s="90">
        <v>43739</v>
      </c>
      <c r="D7008" s="2" t="s">
        <v>59</v>
      </c>
      <c r="E7008" s="92" t="s">
        <v>20066</v>
      </c>
      <c r="F7008" s="93" t="s">
        <v>5684</v>
      </c>
    </row>
    <row r="7009" spans="1:6" ht="14.1" customHeight="1" x14ac:dyDescent="0.25">
      <c r="A7009" s="1"/>
      <c r="B7009" s="80" t="s">
        <v>10788</v>
      </c>
      <c r="C7009" s="91">
        <f>IF(C7008="","",IF(AND(MONTH(C7008)&gt;=1,MONTH(C7008)&lt;=3),1,IF(AND(MONTH(C7008)&gt;=4,MONTH(C7008)&lt;=6),2,IF(AND(MONTH(C7008)&gt;=7,MONTH(C7008)&lt;=9),3,4))))</f>
        <v>4</v>
      </c>
      <c r="D7009" s="1"/>
      <c r="E7009" s="92" t="s">
        <v>14822</v>
      </c>
      <c r="F7009" s="93" t="s">
        <v>17690</v>
      </c>
    </row>
    <row r="7010" spans="1:6" ht="14.1" customHeight="1" x14ac:dyDescent="0.25">
      <c r="A7010" s="1"/>
      <c r="B7010" s="80" t="s">
        <v>13758</v>
      </c>
      <c r="C7010" s="90">
        <v>43830</v>
      </c>
      <c r="D7010" s="1"/>
      <c r="E7010" s="92" t="s">
        <v>18636</v>
      </c>
      <c r="F7010" s="93"/>
    </row>
    <row r="7011" spans="1:6" ht="14.1" customHeight="1" x14ac:dyDescent="0.25">
      <c r="A7011" s="1"/>
      <c r="B7011" s="80" t="s">
        <v>10788</v>
      </c>
      <c r="C7011" s="91">
        <f>IF(C7010="","",IF(AND(MONTH(C7010)&gt;=1,MONTH(C7010)&lt;=3),1,IF(AND(MONTH(C7010)&gt;=4,MONTH(C7010)&lt;=6),2,IF(AND(MONTH(C7010)&gt;=7,MONTH(C7010)&lt;=9),3,4))))</f>
        <v>4</v>
      </c>
      <c r="D7011" s="1"/>
      <c r="E7011" s="92" t="s">
        <v>15990</v>
      </c>
      <c r="F7011" s="93"/>
    </row>
    <row r="7013" spans="1:6" ht="14.1" customHeight="1" x14ac:dyDescent="0.25">
      <c r="A7013" s="85" t="s">
        <v>15474</v>
      </c>
      <c r="B7013" s="85" t="s">
        <v>5027</v>
      </c>
      <c r="C7013" s="85" t="s">
        <v>17461</v>
      </c>
      <c r="D7013" s="85" t="s">
        <v>3935</v>
      </c>
      <c r="E7013" s="85" t="s">
        <v>10722</v>
      </c>
      <c r="F7013" s="85" t="s">
        <v>18237</v>
      </c>
    </row>
    <row r="7014" spans="1:6" ht="14.1" customHeight="1" x14ac:dyDescent="0.25">
      <c r="A7014" s="94" t="s">
        <v>2591</v>
      </c>
      <c r="B7014" s="82" t="str">
        <f ca="1">IFERROR(INDEX(UNSPSCDes,MATCH(INDIRECT(ADDRESS(ROW(),COLUMN()-1,4)),UNSPSCCode,0)),IF(INDIRECT(ADDRESS(ROW(),COLUMN()-1,4))="42142504","Agujas para biopsia",""))</f>
        <v>Agujas para biopsia</v>
      </c>
      <c r="C7014" s="95" t="str">
        <f>IFERROR(VLOOKUP("UD",'Informacion '!P:Q,2,FALSE),"")</f>
        <v>Unidad</v>
      </c>
      <c r="D7014" s="94">
        <v>5</v>
      </c>
      <c r="E7014" s="84">
        <v>1253</v>
      </c>
      <c r="F7014" s="83">
        <f t="shared" ref="F7014:F7035" ca="1" si="286">INDIRECT(ADDRESS(ROW(),COLUMN()-2,4))*INDIRECT(ADDRESS(ROW(),COLUMN()-1,4))</f>
        <v>6265</v>
      </c>
    </row>
    <row r="7015" spans="1:6" ht="14.1" customHeight="1" x14ac:dyDescent="0.25">
      <c r="A7015" s="94" t="s">
        <v>5655</v>
      </c>
      <c r="B7015" s="82" t="str">
        <f ca="1">IFERROR(INDEX(UNSPSCDes,MATCH(INDIRECT(ADDRESS(ROW(),COLUMN()-1,4)),UNSPSCCode,0)),IF(INDIRECT(ADDRESS(ROW(),COLUMN()-1,4))="53131622","Condones",""))</f>
        <v>Condones</v>
      </c>
      <c r="C7015" s="95" t="str">
        <f>IFERROR(VLOOKUP("UD",'Informacion '!P:Q,2,FALSE),"")</f>
        <v>Unidad</v>
      </c>
      <c r="D7015" s="94">
        <v>5</v>
      </c>
      <c r="E7015" s="84">
        <v>6.83</v>
      </c>
      <c r="F7015" s="83">
        <f t="shared" ca="1" si="286"/>
        <v>34.15</v>
      </c>
    </row>
    <row r="7016" spans="1:6" ht="14.1" customHeight="1" x14ac:dyDescent="0.25">
      <c r="A7016" s="94" t="s">
        <v>2946</v>
      </c>
      <c r="B7016" s="82" t="str">
        <f ca="1">IFERROR(INDEX(UNSPSCDes,MATCH(INDIRECT(ADDRESS(ROW(),COLUMN()-1,4)),UNSPSCCode,0)),IF(INDIRECT(ADDRESS(ROW(),COLUMN()-1,4))="14121812","Papel de fotografía",""))</f>
        <v>Papel de fotografía</v>
      </c>
      <c r="C7016" s="95" t="str">
        <f>IFERROR(VLOOKUP("UD",'Informacion '!P:Q,2,FALSE),"")</f>
        <v>Unidad</v>
      </c>
      <c r="D7016" s="94">
        <v>98</v>
      </c>
      <c r="E7016" s="84">
        <v>767</v>
      </c>
      <c r="F7016" s="83">
        <f t="shared" ca="1" si="286"/>
        <v>75166</v>
      </c>
    </row>
    <row r="7017" spans="1:6" ht="14.1" customHeight="1" x14ac:dyDescent="0.25">
      <c r="A7017" s="94" t="s">
        <v>5212</v>
      </c>
      <c r="B7017" s="82" t="str">
        <f ca="1">IFERROR(INDEX(UNSPSCDes,MATCH(INDIRECT(ADDRESS(ROW(),COLUMN()-1,4)),UNSPSCCode,0)),IF(INDIRECT(ADDRESS(ROW(),COLUMN()-1,4))="23153035","Placa",""))</f>
        <v>Placa</v>
      </c>
      <c r="C7017" s="95" t="str">
        <f>IFERROR(VLOOKUP("UD",'Informacion '!P:Q,2,FALSE),"")</f>
        <v>Unidad</v>
      </c>
      <c r="D7017" s="94">
        <v>353</v>
      </c>
      <c r="E7017" s="84">
        <v>81.42</v>
      </c>
      <c r="F7017" s="83">
        <f t="shared" ca="1" si="286"/>
        <v>28741.260000000002</v>
      </c>
    </row>
    <row r="7018" spans="1:6" ht="14.1" customHeight="1" x14ac:dyDescent="0.25">
      <c r="A7018" s="94" t="s">
        <v>5212</v>
      </c>
      <c r="B7018" s="82" t="str">
        <f ca="1">IFERROR(INDEX(UNSPSCDes,MATCH(INDIRECT(ADDRESS(ROW(),COLUMN()-1,4)),UNSPSCCode,0)),IF(INDIRECT(ADDRESS(ROW(),COLUMN()-1,4))="23153035","Placa",""))</f>
        <v>Placa</v>
      </c>
      <c r="C7018" s="95" t="str">
        <f>IFERROR(VLOOKUP("UD",'Informacion '!P:Q,2,FALSE),"")</f>
        <v>Unidad</v>
      </c>
      <c r="D7018" s="94">
        <v>327</v>
      </c>
      <c r="E7018" s="84">
        <v>159.30000000000001</v>
      </c>
      <c r="F7018" s="83">
        <f t="shared" ca="1" si="286"/>
        <v>52091.100000000006</v>
      </c>
    </row>
    <row r="7019" spans="1:6" ht="14.1" customHeight="1" x14ac:dyDescent="0.25">
      <c r="A7019" s="94" t="s">
        <v>5655</v>
      </c>
      <c r="B7019" s="82" t="str">
        <f ca="1">IFERROR(INDEX(UNSPSCDes,MATCH(INDIRECT(ADDRESS(ROW(),COLUMN()-1,4)),UNSPSCCode,0)),IF(INDIRECT(ADDRESS(ROW(),COLUMN()-1,4))="53131622","Condones",""))</f>
        <v>Condones</v>
      </c>
      <c r="C7019" s="95" t="str">
        <f>IFERROR(VLOOKUP("UD",'Informacion '!P:Q,2,FALSE),"")</f>
        <v>Unidad</v>
      </c>
      <c r="D7019" s="94">
        <v>14</v>
      </c>
      <c r="E7019" s="84">
        <v>7.08</v>
      </c>
      <c r="F7019" s="83">
        <f t="shared" ca="1" si="286"/>
        <v>99.12</v>
      </c>
    </row>
    <row r="7020" spans="1:6" ht="14.1" customHeight="1" x14ac:dyDescent="0.25">
      <c r="A7020" s="94" t="s">
        <v>5212</v>
      </c>
      <c r="B7020" s="82" t="str">
        <f ca="1">IFERROR(INDEX(UNSPSCDes,MATCH(INDIRECT(ADDRESS(ROW(),COLUMN()-1,4)),UNSPSCCode,0)),IF(INDIRECT(ADDRESS(ROW(),COLUMN()-1,4))="23153035","Placa",""))</f>
        <v>Placa</v>
      </c>
      <c r="C7020" s="95" t="str">
        <f>IFERROR(VLOOKUP("UD",'Informacion '!P:Q,2,FALSE),"")</f>
        <v>Unidad</v>
      </c>
      <c r="D7020" s="94">
        <v>273</v>
      </c>
      <c r="E7020" s="84">
        <v>64.900000000000006</v>
      </c>
      <c r="F7020" s="83">
        <f t="shared" ca="1" si="286"/>
        <v>17717.7</v>
      </c>
    </row>
    <row r="7021" spans="1:6" ht="14.1" customHeight="1" x14ac:dyDescent="0.25">
      <c r="A7021" s="94" t="s">
        <v>5212</v>
      </c>
      <c r="B7021" s="82" t="str">
        <f ca="1">IFERROR(INDEX(UNSPSCDes,MATCH(INDIRECT(ADDRESS(ROW(),COLUMN()-1,4)),UNSPSCCode,0)),IF(INDIRECT(ADDRESS(ROW(),COLUMN()-1,4))="23153035","Placa",""))</f>
        <v>Placa</v>
      </c>
      <c r="C7021" s="95" t="str">
        <f>IFERROR(VLOOKUP("UD",'Informacion '!P:Q,2,FALSE),"")</f>
        <v>Unidad</v>
      </c>
      <c r="D7021" s="94">
        <v>381</v>
      </c>
      <c r="E7021" s="84">
        <v>69.62</v>
      </c>
      <c r="F7021" s="83">
        <f t="shared" ca="1" si="286"/>
        <v>26525.22</v>
      </c>
    </row>
    <row r="7022" spans="1:6" ht="14.1" customHeight="1" x14ac:dyDescent="0.25">
      <c r="A7022" s="94" t="s">
        <v>2591</v>
      </c>
      <c r="B7022" s="82" t="str">
        <f ca="1">IFERROR(INDEX(UNSPSCDes,MATCH(INDIRECT(ADDRESS(ROW(),COLUMN()-1,4)),UNSPSCCode,0)),IF(INDIRECT(ADDRESS(ROW(),COLUMN()-1,4))="42142504","Agujas para biopsia",""))</f>
        <v>Agujas para biopsia</v>
      </c>
      <c r="C7022" s="95" t="str">
        <f>IFERROR(VLOOKUP("UD",'Informacion '!P:Q,2,FALSE),"")</f>
        <v>Unidad</v>
      </c>
      <c r="D7022" s="94">
        <v>6</v>
      </c>
      <c r="E7022" s="84">
        <v>1000.01</v>
      </c>
      <c r="F7022" s="83">
        <f t="shared" ca="1" si="286"/>
        <v>6000.0599999999995</v>
      </c>
    </row>
    <row r="7023" spans="1:6" ht="14.1" customHeight="1" x14ac:dyDescent="0.25">
      <c r="A7023" s="94" t="s">
        <v>5212</v>
      </c>
      <c r="B7023" s="82" t="str">
        <f ca="1">IFERROR(INDEX(UNSPSCDes,MATCH(INDIRECT(ADDRESS(ROW(),COLUMN()-1,4)),UNSPSCCode,0)),IF(INDIRECT(ADDRESS(ROW(),COLUMN()-1,4))="23153035","Placa",""))</f>
        <v>Placa</v>
      </c>
      <c r="C7023" s="95" t="str">
        <f>IFERROR(VLOOKUP("UD",'Informacion '!P:Q,2,FALSE),"")</f>
        <v>Unidad</v>
      </c>
      <c r="D7023" s="94">
        <v>381</v>
      </c>
      <c r="E7023" s="84">
        <v>93.22</v>
      </c>
      <c r="F7023" s="83">
        <f t="shared" ca="1" si="286"/>
        <v>35516.82</v>
      </c>
    </row>
    <row r="7024" spans="1:6" ht="14.1" customHeight="1" x14ac:dyDescent="0.25">
      <c r="A7024" s="94" t="s">
        <v>5655</v>
      </c>
      <c r="B7024" s="82" t="str">
        <f ca="1">IFERROR(INDEX(UNSPSCDes,MATCH(INDIRECT(ADDRESS(ROW(),COLUMN()-1,4)),UNSPSCCode,0)),IF(INDIRECT(ADDRESS(ROW(),COLUMN()-1,4))="53131622","Condones",""))</f>
        <v>Condones</v>
      </c>
      <c r="C7024" s="95" t="str">
        <f>IFERROR(VLOOKUP("UD",'Informacion '!P:Q,2,FALSE),"")</f>
        <v>Unidad</v>
      </c>
      <c r="D7024" s="94">
        <v>462</v>
      </c>
      <c r="E7024" s="84">
        <v>10.15</v>
      </c>
      <c r="F7024" s="83">
        <f t="shared" ca="1" si="286"/>
        <v>4689.3</v>
      </c>
    </row>
    <row r="7025" spans="1:10" ht="14.1" customHeight="1" x14ac:dyDescent="0.25">
      <c r="A7025" s="94" t="s">
        <v>4306</v>
      </c>
      <c r="B7025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025" s="95" t="str">
        <f>IFERROR(VLOOKUP("UD",'Informacion '!P:Q,2,FALSE),"")</f>
        <v>Unidad</v>
      </c>
      <c r="D7025" s="94">
        <v>4</v>
      </c>
      <c r="E7025" s="84">
        <v>571.54999999999995</v>
      </c>
      <c r="F7025" s="83">
        <f t="shared" ca="1" si="286"/>
        <v>2286.1999999999998</v>
      </c>
    </row>
    <row r="7026" spans="1:10" ht="14.1" customHeight="1" x14ac:dyDescent="0.25">
      <c r="A7026" s="94" t="s">
        <v>4306</v>
      </c>
      <c r="B7026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026" s="95" t="str">
        <f>IFERROR(VLOOKUP("UD",'Informacion '!P:Q,2,FALSE),"")</f>
        <v>Unidad</v>
      </c>
      <c r="D7026" s="94">
        <v>11</v>
      </c>
      <c r="E7026" s="84">
        <v>838.5</v>
      </c>
      <c r="F7026" s="83">
        <f t="shared" ca="1" si="286"/>
        <v>9223.5</v>
      </c>
    </row>
    <row r="7027" spans="1:10" ht="14.1" customHeight="1" x14ac:dyDescent="0.25">
      <c r="A7027" s="94" t="s">
        <v>6481</v>
      </c>
      <c r="B7027" s="82" t="str">
        <f ca="1">IFERROR(INDEX(UNSPSCDes,MATCH(INDIRECT(ADDRESS(ROW(),COLUMN()-1,4)),UNSPSCCode,0)),IF(INDIRECT(ADDRESS(ROW(),COLUMN()-1,4))="42293603","Sondas para uso quirúrgico",""))</f>
        <v>Sondas para uso quirúrgico</v>
      </c>
      <c r="C7027" s="95" t="str">
        <f>IFERROR(VLOOKUP("UD",'Informacion '!P:Q,2,FALSE),"")</f>
        <v>Unidad</v>
      </c>
      <c r="D7027" s="94">
        <v>10</v>
      </c>
      <c r="E7027" s="84">
        <v>28.64</v>
      </c>
      <c r="F7027" s="83">
        <f t="shared" ca="1" si="286"/>
        <v>286.39999999999998</v>
      </c>
    </row>
    <row r="7028" spans="1:10" ht="14.1" customHeight="1" x14ac:dyDescent="0.25">
      <c r="A7028" s="94" t="s">
        <v>6481</v>
      </c>
      <c r="B7028" s="82" t="str">
        <f ca="1">IFERROR(INDEX(UNSPSCDes,MATCH(INDIRECT(ADDRESS(ROW(),COLUMN()-1,4)),UNSPSCCode,0)),IF(INDIRECT(ADDRESS(ROW(),COLUMN()-1,4))="42293603","Sondas para uso quirúrgico",""))</f>
        <v>Sondas para uso quirúrgico</v>
      </c>
      <c r="C7028" s="95" t="str">
        <f>IFERROR(VLOOKUP("UD",'Informacion '!P:Q,2,FALSE),"")</f>
        <v>Unidad</v>
      </c>
      <c r="D7028" s="94">
        <v>7</v>
      </c>
      <c r="E7028" s="84">
        <v>28.79</v>
      </c>
      <c r="F7028" s="83">
        <f t="shared" ca="1" si="286"/>
        <v>201.53</v>
      </c>
    </row>
    <row r="7029" spans="1:10" ht="14.1" customHeight="1" x14ac:dyDescent="0.25">
      <c r="A7029" s="94" t="s">
        <v>5655</v>
      </c>
      <c r="B7029" s="82" t="str">
        <f ca="1">IFERROR(INDEX(UNSPSCDes,MATCH(INDIRECT(ADDRESS(ROW(),COLUMN()-1,4)),UNSPSCCode,0)),IF(INDIRECT(ADDRESS(ROW(),COLUMN()-1,4))="53131622","Condones",""))</f>
        <v>Condones</v>
      </c>
      <c r="C7029" s="95" t="str">
        <f>IFERROR(VLOOKUP("UD",'Informacion '!P:Q,2,FALSE),"")</f>
        <v>Unidad</v>
      </c>
      <c r="D7029" s="94">
        <v>812</v>
      </c>
      <c r="E7029" s="84">
        <v>9.51</v>
      </c>
      <c r="F7029" s="83">
        <f t="shared" ca="1" si="286"/>
        <v>7722.12</v>
      </c>
    </row>
    <row r="7030" spans="1:10" ht="14.1" customHeight="1" x14ac:dyDescent="0.25">
      <c r="A7030" s="94" t="s">
        <v>2946</v>
      </c>
      <c r="B7030" s="82" t="str">
        <f ca="1">IFERROR(INDEX(UNSPSCDes,MATCH(INDIRECT(ADDRESS(ROW(),COLUMN()-1,4)),UNSPSCCode,0)),IF(INDIRECT(ADDRESS(ROW(),COLUMN()-1,4))="14121812","Papel de fotografía",""))</f>
        <v>Papel de fotografía</v>
      </c>
      <c r="C7030" s="95" t="str">
        <f>IFERROR(VLOOKUP("UD",'Informacion '!P:Q,2,FALSE),"")</f>
        <v>Unidad</v>
      </c>
      <c r="D7030" s="94">
        <v>59</v>
      </c>
      <c r="E7030" s="84">
        <v>920.4</v>
      </c>
      <c r="F7030" s="83">
        <f t="shared" ca="1" si="286"/>
        <v>54303.6</v>
      </c>
    </row>
    <row r="7031" spans="1:10" ht="14.1" customHeight="1" x14ac:dyDescent="0.25">
      <c r="A7031" s="94" t="s">
        <v>4306</v>
      </c>
      <c r="B7031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031" s="95" t="str">
        <f>IFERROR(VLOOKUP("UD",'Informacion '!P:Q,2,FALSE),"")</f>
        <v>Unidad</v>
      </c>
      <c r="D7031" s="94">
        <v>20</v>
      </c>
      <c r="E7031" s="84">
        <v>838.5</v>
      </c>
      <c r="F7031" s="83">
        <f t="shared" ca="1" si="286"/>
        <v>16770</v>
      </c>
    </row>
    <row r="7032" spans="1:10" ht="14.1" customHeight="1" x14ac:dyDescent="0.25">
      <c r="A7032" s="94" t="s">
        <v>4162</v>
      </c>
      <c r="B7032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7032" s="95" t="str">
        <f>IFERROR(VLOOKUP("UD",'Informacion '!P:Q,2,FALSE),"")</f>
        <v>Unidad</v>
      </c>
      <c r="D7032" s="94">
        <v>6</v>
      </c>
      <c r="E7032" s="84">
        <v>1863.61</v>
      </c>
      <c r="F7032" s="83">
        <f t="shared" ca="1" si="286"/>
        <v>11181.66</v>
      </c>
    </row>
    <row r="7033" spans="1:10" ht="14.1" customHeight="1" x14ac:dyDescent="0.25">
      <c r="A7033" s="94" t="s">
        <v>4162</v>
      </c>
      <c r="B7033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7033" s="95" t="str">
        <f>IFERROR(VLOOKUP("UD",'Informacion '!P:Q,2,FALSE),"")</f>
        <v>Unidad</v>
      </c>
      <c r="D7033" s="94">
        <v>6</v>
      </c>
      <c r="E7033" s="84">
        <v>1863.61</v>
      </c>
      <c r="F7033" s="83">
        <f t="shared" ca="1" si="286"/>
        <v>11181.66</v>
      </c>
    </row>
    <row r="7034" spans="1:10" ht="14.1" customHeight="1" x14ac:dyDescent="0.25">
      <c r="A7034" s="94" t="s">
        <v>2946</v>
      </c>
      <c r="B7034" s="82" t="str">
        <f ca="1">IFERROR(INDEX(UNSPSCDes,MATCH(INDIRECT(ADDRESS(ROW(),COLUMN()-1,4)),UNSPSCCode,0)),IF(INDIRECT(ADDRESS(ROW(),COLUMN()-1,4))="14121812","Papel de fotografía",""))</f>
        <v>Papel de fotografía</v>
      </c>
      <c r="C7034" s="95" t="str">
        <f>IFERROR(VLOOKUP("UD",'Informacion '!P:Q,2,FALSE),"")</f>
        <v>Unidad</v>
      </c>
      <c r="D7034" s="94">
        <v>28</v>
      </c>
      <c r="E7034" s="84">
        <v>316.83</v>
      </c>
      <c r="F7034" s="83">
        <f t="shared" ca="1" si="286"/>
        <v>8871.24</v>
      </c>
    </row>
    <row r="7035" spans="1:10" ht="14.1" customHeight="1" x14ac:dyDescent="0.25">
      <c r="A7035" s="94" t="s">
        <v>4162</v>
      </c>
      <c r="B7035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7035" s="95" t="str">
        <f>IFERROR(VLOOKUP("UD",'Informacion '!P:Q,2,FALSE),"")</f>
        <v>Unidad</v>
      </c>
      <c r="D7035" s="94">
        <v>4</v>
      </c>
      <c r="E7035" s="84">
        <v>1800</v>
      </c>
      <c r="F7035" s="83">
        <f t="shared" ca="1" si="286"/>
        <v>7200</v>
      </c>
    </row>
    <row r="7036" spans="1:10" ht="14.1" customHeight="1" x14ac:dyDescent="0.25">
      <c r="E7036" s="96" t="s">
        <v>7213</v>
      </c>
      <c r="F7036" s="87">
        <f ca="1">SUM(Table195[MONTO TOTAL ESTIMADO])</f>
        <v>382073.64</v>
      </c>
      <c r="H7036" s="39" t="str">
        <f>C7007</f>
        <v>Bienes</v>
      </c>
      <c r="I7036" s="39" t="str">
        <f>E7007</f>
        <v>No</v>
      </c>
      <c r="J7036" s="39" t="str">
        <f>D7007</f>
        <v>Comparacion de Precios</v>
      </c>
    </row>
    <row r="7038" spans="1:10" ht="33.950000000000003" customHeight="1" x14ac:dyDescent="0.25">
      <c r="A7038" s="77" t="s">
        <v>17233</v>
      </c>
      <c r="B7038" s="77" t="s">
        <v>4237</v>
      </c>
      <c r="C7038" s="77" t="s">
        <v>4743</v>
      </c>
      <c r="D7038" s="77" t="s">
        <v>9891</v>
      </c>
      <c r="E7038" s="77" t="s">
        <v>3089</v>
      </c>
      <c r="F7038" s="77" t="s">
        <v>18141</v>
      </c>
    </row>
    <row r="7039" spans="1:10" ht="14.1" customHeight="1" x14ac:dyDescent="0.25">
      <c r="A7039" s="79" t="s">
        <v>7638</v>
      </c>
      <c r="B7039" s="79" t="s">
        <v>2182</v>
      </c>
      <c r="C7039" s="79" t="s">
        <v>17215</v>
      </c>
      <c r="D7039" s="79" t="s">
        <v>15249</v>
      </c>
      <c r="E7039" s="79" t="s">
        <v>18247</v>
      </c>
      <c r="F7039" s="79"/>
    </row>
    <row r="7040" spans="1:10" ht="14.1" customHeight="1" x14ac:dyDescent="0.25">
      <c r="A7040" s="2" t="s">
        <v>6643</v>
      </c>
      <c r="B7040" s="80" t="s">
        <v>1046</v>
      </c>
      <c r="C7040" s="90">
        <v>43474</v>
      </c>
      <c r="D7040" s="2" t="s">
        <v>59</v>
      </c>
      <c r="E7040" s="92" t="s">
        <v>20066</v>
      </c>
      <c r="F7040" s="93" t="s">
        <v>5684</v>
      </c>
    </row>
    <row r="7041" spans="1:6" ht="14.1" customHeight="1" x14ac:dyDescent="0.25">
      <c r="A7041" s="1"/>
      <c r="B7041" s="80" t="s">
        <v>10788</v>
      </c>
      <c r="C7041" s="91">
        <f>IF(C7040="","",IF(AND(MONTH(C7040)&gt;=1,MONTH(C7040)&lt;=3),1,IF(AND(MONTH(C7040)&gt;=4,MONTH(C7040)&lt;=6),2,IF(AND(MONTH(C7040)&gt;=7,MONTH(C7040)&lt;=9),3,4))))</f>
        <v>1</v>
      </c>
      <c r="D7041" s="1"/>
      <c r="E7041" s="92" t="s">
        <v>14822</v>
      </c>
      <c r="F7041" s="93" t="s">
        <v>17690</v>
      </c>
    </row>
    <row r="7042" spans="1:6" ht="14.1" customHeight="1" x14ac:dyDescent="0.25">
      <c r="A7042" s="1"/>
      <c r="B7042" s="80" t="s">
        <v>13758</v>
      </c>
      <c r="C7042" s="90">
        <v>43554</v>
      </c>
      <c r="D7042" s="1"/>
      <c r="E7042" s="92" t="s">
        <v>18636</v>
      </c>
      <c r="F7042" s="93"/>
    </row>
    <row r="7043" spans="1:6" ht="14.1" customHeight="1" x14ac:dyDescent="0.25">
      <c r="A7043" s="1"/>
      <c r="B7043" s="80" t="s">
        <v>10788</v>
      </c>
      <c r="C7043" s="91">
        <f>IF(C7042="","",IF(AND(MONTH(C7042)&gt;=1,MONTH(C7042)&lt;=3),1,IF(AND(MONTH(C7042)&gt;=4,MONTH(C7042)&lt;=6),2,IF(AND(MONTH(C7042)&gt;=7,MONTH(C7042)&lt;=9),3,4))))</f>
        <v>1</v>
      </c>
      <c r="D7043" s="1"/>
      <c r="E7043" s="92" t="s">
        <v>15990</v>
      </c>
      <c r="F7043" s="93"/>
    </row>
    <row r="7045" spans="1:6" ht="14.1" customHeight="1" x14ac:dyDescent="0.25">
      <c r="A7045" s="85" t="s">
        <v>15474</v>
      </c>
      <c r="B7045" s="85" t="s">
        <v>5027</v>
      </c>
      <c r="C7045" s="85" t="s">
        <v>17461</v>
      </c>
      <c r="D7045" s="85" t="s">
        <v>3935</v>
      </c>
      <c r="E7045" s="85" t="s">
        <v>10722</v>
      </c>
      <c r="F7045" s="85" t="s">
        <v>18237</v>
      </c>
    </row>
    <row r="7046" spans="1:6" ht="14.1" customHeight="1" x14ac:dyDescent="0.25">
      <c r="A7046" s="94" t="s">
        <v>435</v>
      </c>
      <c r="B7046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046" s="95" t="str">
        <f>IFERROR(VLOOKUP("UD",'Informacion '!P:Q,2,FALSE),"")</f>
        <v>Unidad</v>
      </c>
      <c r="D7046" s="94">
        <v>7494</v>
      </c>
      <c r="E7046" s="84">
        <v>6.58</v>
      </c>
      <c r="F7046" s="83">
        <f t="shared" ref="F7046:F7072" ca="1" si="287">INDIRECT(ADDRESS(ROW(),COLUMN()-2,4))*INDIRECT(ADDRESS(ROW(),COLUMN()-1,4))</f>
        <v>49310.520000000004</v>
      </c>
    </row>
    <row r="7047" spans="1:6" ht="14.1" customHeight="1" x14ac:dyDescent="0.25">
      <c r="A7047" s="94" t="s">
        <v>8061</v>
      </c>
      <c r="B7047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7047" s="95" t="str">
        <f>IFERROR(VLOOKUP("UD",'Informacion '!P:Q,2,FALSE),"")</f>
        <v>Unidad</v>
      </c>
      <c r="D7047" s="94">
        <v>14</v>
      </c>
      <c r="E7047" s="84">
        <v>3551.27</v>
      </c>
      <c r="F7047" s="83">
        <f t="shared" ca="1" si="287"/>
        <v>49717.78</v>
      </c>
    </row>
    <row r="7048" spans="1:6" ht="14.1" customHeight="1" x14ac:dyDescent="0.25">
      <c r="A7048" s="94" t="s">
        <v>8061</v>
      </c>
      <c r="B7048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7048" s="95" t="str">
        <f>IFERROR(VLOOKUP("UD",'Informacion '!P:Q,2,FALSE),"")</f>
        <v>Unidad</v>
      </c>
      <c r="D7048" s="94">
        <v>3</v>
      </c>
      <c r="E7048" s="84">
        <v>7143.5</v>
      </c>
      <c r="F7048" s="83">
        <f t="shared" ca="1" si="287"/>
        <v>21430.5</v>
      </c>
    </row>
    <row r="7049" spans="1:6" ht="14.1" customHeight="1" x14ac:dyDescent="0.25">
      <c r="A7049" s="94" t="s">
        <v>2626</v>
      </c>
      <c r="B7049" s="82" t="str">
        <f ca="1">IFERROR(INDEX(UNSPSCDes,MATCH(INDIRECT(ADDRESS(ROW(),COLUMN()-1,4)),UNSPSCCode,0)),IF(INDIRECT(ADDRESS(ROW(),COLUMN()-1,4))="42281904","Bolsas de esterilización",""))</f>
        <v>Bolsas de esterilización</v>
      </c>
      <c r="C7049" s="95" t="str">
        <f>IFERROR(VLOOKUP("UD",'Informacion '!P:Q,2,FALSE),"")</f>
        <v>Unidad</v>
      </c>
      <c r="D7049" s="94">
        <v>7800</v>
      </c>
      <c r="E7049" s="84">
        <v>14.16</v>
      </c>
      <c r="F7049" s="83">
        <f t="shared" ca="1" si="287"/>
        <v>110448</v>
      </c>
    </row>
    <row r="7050" spans="1:6" ht="14.1" customHeight="1" x14ac:dyDescent="0.25">
      <c r="A7050" s="94" t="s">
        <v>18956</v>
      </c>
      <c r="B7050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050" s="95" t="str">
        <f>IFERROR(VLOOKUP("UD",'Informacion '!P:Q,2,FALSE),"")</f>
        <v>Unidad</v>
      </c>
      <c r="D7050" s="94">
        <v>373</v>
      </c>
      <c r="E7050" s="84">
        <v>3.19</v>
      </c>
      <c r="F7050" s="83">
        <f t="shared" ca="1" si="287"/>
        <v>1189.8699999999999</v>
      </c>
    </row>
    <row r="7051" spans="1:6" ht="14.1" customHeight="1" x14ac:dyDescent="0.25">
      <c r="A7051" s="94" t="s">
        <v>18956</v>
      </c>
      <c r="B7051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051" s="95" t="str">
        <f>IFERROR(VLOOKUP("UD",'Informacion '!P:Q,2,FALSE),"")</f>
        <v>Unidad</v>
      </c>
      <c r="D7051" s="94">
        <v>17</v>
      </c>
      <c r="E7051" s="84">
        <v>376.24</v>
      </c>
      <c r="F7051" s="83">
        <f t="shared" ca="1" si="287"/>
        <v>6396.08</v>
      </c>
    </row>
    <row r="7052" spans="1:6" ht="14.1" customHeight="1" x14ac:dyDescent="0.25">
      <c r="A7052" s="94" t="s">
        <v>14138</v>
      </c>
      <c r="B7052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052" s="95" t="str">
        <f>IFERROR(VLOOKUP("UD",'Informacion '!P:Q,2,FALSE),"")</f>
        <v>Unidad</v>
      </c>
      <c r="D7052" s="94">
        <v>4</v>
      </c>
      <c r="E7052" s="84">
        <v>950</v>
      </c>
      <c r="F7052" s="83">
        <f t="shared" ca="1" si="287"/>
        <v>3800</v>
      </c>
    </row>
    <row r="7053" spans="1:6" ht="14.1" customHeight="1" x14ac:dyDescent="0.25">
      <c r="A7053" s="94" t="s">
        <v>16379</v>
      </c>
      <c r="B7053" s="82" t="str">
        <f ca="1">IFERROR(INDEX(UNSPSCDes,MATCH(INDIRECT(ADDRESS(ROW(),COLUMN()-1,4)),UNSPSCCode,0)),IF(INDIRECT(ADDRESS(ROW(),COLUMN()-1,4))="53131608","Jabones",""))</f>
        <v>Jabones</v>
      </c>
      <c r="C7053" s="95" t="str">
        <f>IFERROR(VLOOKUP("UD",'Informacion '!P:Q,2,FALSE),"")</f>
        <v>Unidad</v>
      </c>
      <c r="D7053" s="94">
        <v>1</v>
      </c>
      <c r="E7053" s="84">
        <v>770.68</v>
      </c>
      <c r="F7053" s="83">
        <f t="shared" ca="1" si="287"/>
        <v>770.68</v>
      </c>
    </row>
    <row r="7054" spans="1:6" ht="14.1" customHeight="1" x14ac:dyDescent="0.25">
      <c r="A7054" s="94" t="s">
        <v>2499</v>
      </c>
      <c r="B7054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7054" s="95" t="str">
        <f>IFERROR(VLOOKUP("UD",'Informacion '!P:Q,2,FALSE),"")</f>
        <v>Unidad</v>
      </c>
      <c r="D7054" s="94">
        <v>3</v>
      </c>
      <c r="E7054" s="84">
        <v>583.33000000000004</v>
      </c>
      <c r="F7054" s="83">
        <f t="shared" ca="1" si="287"/>
        <v>1749.9900000000002</v>
      </c>
    </row>
    <row r="7055" spans="1:6" ht="14.1" customHeight="1" x14ac:dyDescent="0.25">
      <c r="A7055" s="94" t="s">
        <v>4298</v>
      </c>
      <c r="B7055" s="82" t="str">
        <f ca="1">IFERROR(INDEX(UNSPSCDes,MATCH(INDIRECT(ADDRESS(ROW(),COLUMN()-1,4)),UNSPSCCode,0)),IF(INDIRECT(ADDRESS(ROW(),COLUMN()-1,4))="39121436","Electrodos",""))</f>
        <v>Electrodos</v>
      </c>
      <c r="C7055" s="95" t="str">
        <f>IFERROR(VLOOKUP("UD",'Informacion '!P:Q,2,FALSE),"")</f>
        <v>Unidad</v>
      </c>
      <c r="D7055" s="94">
        <v>7</v>
      </c>
      <c r="E7055" s="84">
        <v>650</v>
      </c>
      <c r="F7055" s="83">
        <f t="shared" ca="1" si="287"/>
        <v>4550</v>
      </c>
    </row>
    <row r="7056" spans="1:6" ht="14.1" customHeight="1" x14ac:dyDescent="0.25">
      <c r="A7056" s="94" t="s">
        <v>4298</v>
      </c>
      <c r="B7056" s="82" t="str">
        <f ca="1">IFERROR(INDEX(UNSPSCDes,MATCH(INDIRECT(ADDRESS(ROW(),COLUMN()-1,4)),UNSPSCCode,0)),IF(INDIRECT(ADDRESS(ROW(),COLUMN()-1,4))="39121436","Electrodos",""))</f>
        <v>Electrodos</v>
      </c>
      <c r="C7056" s="95" t="str">
        <f>IFERROR(VLOOKUP("UD",'Informacion '!P:Q,2,FALSE),"")</f>
        <v>Unidad</v>
      </c>
      <c r="D7056" s="94">
        <v>11</v>
      </c>
      <c r="E7056" s="84">
        <v>649.99</v>
      </c>
      <c r="F7056" s="83">
        <f t="shared" ca="1" si="287"/>
        <v>7149.89</v>
      </c>
    </row>
    <row r="7057" spans="1:6" ht="14.1" customHeight="1" x14ac:dyDescent="0.25">
      <c r="A7057" s="94" t="s">
        <v>4298</v>
      </c>
      <c r="B7057" s="82" t="str">
        <f ca="1">IFERROR(INDEX(UNSPSCDes,MATCH(INDIRECT(ADDRESS(ROW(),COLUMN()-1,4)),UNSPSCCode,0)),IF(INDIRECT(ADDRESS(ROW(),COLUMN()-1,4))="39121436","Electrodos",""))</f>
        <v>Electrodos</v>
      </c>
      <c r="C7057" s="95" t="str">
        <f>IFERROR(VLOOKUP("UD",'Informacion '!P:Q,2,FALSE),"")</f>
        <v>Unidad</v>
      </c>
      <c r="D7057" s="94">
        <v>2</v>
      </c>
      <c r="E7057" s="84">
        <v>650</v>
      </c>
      <c r="F7057" s="83">
        <f t="shared" ca="1" si="287"/>
        <v>1300</v>
      </c>
    </row>
    <row r="7058" spans="1:6" ht="14.1" customHeight="1" x14ac:dyDescent="0.25">
      <c r="A7058" s="94" t="s">
        <v>7589</v>
      </c>
      <c r="B7058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058" s="95" t="str">
        <f>IFERROR(VLOOKUP("UD",'Informacion '!P:Q,2,FALSE),"")</f>
        <v>Unidad</v>
      </c>
      <c r="D7058" s="94">
        <v>22</v>
      </c>
      <c r="E7058" s="84">
        <v>344.81</v>
      </c>
      <c r="F7058" s="83">
        <f t="shared" ca="1" si="287"/>
        <v>7585.82</v>
      </c>
    </row>
    <row r="7059" spans="1:6" ht="14.1" customHeight="1" x14ac:dyDescent="0.25">
      <c r="A7059" s="94" t="s">
        <v>7175</v>
      </c>
      <c r="B7059" s="82" t="str">
        <f ca="1">IFERROR(INDEX(UNSPSCDes,MATCH(INDIRECT(ADDRESS(ROW(),COLUMN()-1,4)),UNSPSCCode,0)),IF(INDIRECT(ADDRESS(ROW(),COLUMN()-1,4))="42272214","Conectores o adaptadores o válvulas de circuitos",""))</f>
        <v>Conectores o adaptadores o válvulas de circuitos</v>
      </c>
      <c r="C7059" s="95" t="str">
        <f>IFERROR(VLOOKUP("UD",'Informacion '!P:Q,2,FALSE),"")</f>
        <v>Unidad</v>
      </c>
      <c r="D7059" s="94">
        <v>613</v>
      </c>
      <c r="E7059" s="84">
        <v>70.78</v>
      </c>
      <c r="F7059" s="83">
        <f t="shared" ca="1" si="287"/>
        <v>43388.14</v>
      </c>
    </row>
    <row r="7060" spans="1:6" ht="14.1" customHeight="1" x14ac:dyDescent="0.25">
      <c r="A7060" s="94" t="s">
        <v>13351</v>
      </c>
      <c r="B7060" s="82" t="str">
        <f ca="1">IFERROR(INDEX(UNSPSCDes,MATCH(INDIRECT(ADDRESS(ROW(),COLUMN()-1,4)),UNSPSCCode,0)),IF(INDIRECT(ADDRESS(ROW(),COLUMN()-1,4))="47131603","Esponjas",""))</f>
        <v>Esponjas</v>
      </c>
      <c r="C7060" s="95" t="str">
        <f>IFERROR(VLOOKUP("UD",'Informacion '!P:Q,2,FALSE),"")</f>
        <v>Unidad</v>
      </c>
      <c r="D7060" s="94">
        <v>26</v>
      </c>
      <c r="E7060" s="84">
        <v>341.03</v>
      </c>
      <c r="F7060" s="83">
        <f t="shared" ca="1" si="287"/>
        <v>8866.7799999999988</v>
      </c>
    </row>
    <row r="7061" spans="1:6" ht="14.1" customHeight="1" x14ac:dyDescent="0.25">
      <c r="A7061" s="94" t="s">
        <v>4298</v>
      </c>
      <c r="B7061" s="82" t="str">
        <f ca="1">IFERROR(INDEX(UNSPSCDes,MATCH(INDIRECT(ADDRESS(ROW(),COLUMN()-1,4)),UNSPSCCode,0)),IF(INDIRECT(ADDRESS(ROW(),COLUMN()-1,4))="39121436","Electrodos",""))</f>
        <v>Electrodos</v>
      </c>
      <c r="C7061" s="95" t="str">
        <f>IFERROR(VLOOKUP("UD",'Informacion '!P:Q,2,FALSE),"")</f>
        <v>Unidad</v>
      </c>
      <c r="D7061" s="94">
        <v>440</v>
      </c>
      <c r="E7061" s="84">
        <v>5.31</v>
      </c>
      <c r="F7061" s="83">
        <f t="shared" ca="1" si="287"/>
        <v>2336.3999999999996</v>
      </c>
    </row>
    <row r="7062" spans="1:6" ht="14.1" customHeight="1" x14ac:dyDescent="0.25">
      <c r="A7062" s="94" t="s">
        <v>1279</v>
      </c>
      <c r="B7062" s="82" t="str">
        <f ca="1">IFERROR(INDEX(UNSPSCDes,MATCH(INDIRECT(ADDRESS(ROW(),COLUMN()-1,4)),UNSPSCCode,0)),IF(INDIRECT(ADDRESS(ROW(),COLUMN()-1,4))="42231701","Tubos nasogástricos",""))</f>
        <v>Tubos nasogástricos</v>
      </c>
      <c r="C7062" s="95" t="str">
        <f>IFERROR(VLOOKUP("UD",'Informacion '!P:Q,2,FALSE),"")</f>
        <v>Unidad</v>
      </c>
      <c r="D7062" s="94">
        <v>18</v>
      </c>
      <c r="E7062" s="84">
        <v>1091.0999999999999</v>
      </c>
      <c r="F7062" s="83">
        <f t="shared" ca="1" si="287"/>
        <v>19639.8</v>
      </c>
    </row>
    <row r="7063" spans="1:6" ht="14.1" customHeight="1" x14ac:dyDescent="0.25">
      <c r="A7063" s="94" t="s">
        <v>10944</v>
      </c>
      <c r="B7063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063" s="95" t="str">
        <f>IFERROR(VLOOKUP("UD",'Informacion '!P:Q,2,FALSE),"")</f>
        <v>Unidad</v>
      </c>
      <c r="D7063" s="94">
        <v>1493</v>
      </c>
      <c r="E7063" s="84">
        <v>19.489999999999998</v>
      </c>
      <c r="F7063" s="83">
        <f t="shared" ca="1" si="287"/>
        <v>29098.569999999996</v>
      </c>
    </row>
    <row r="7064" spans="1:6" ht="14.1" customHeight="1" x14ac:dyDescent="0.25">
      <c r="A7064" s="94" t="s">
        <v>7220</v>
      </c>
      <c r="B7064" s="82" t="str">
        <f ca="1">IFERROR(INDEX(UNSPSCDes,MATCH(INDIRECT(ADDRESS(ROW(),COLUMN()-1,4)),UNSPSCCode,0)),IF(INDIRECT(ADDRESS(ROW(),COLUMN()-1,4))="42142502","Agujas para anestesia",""))</f>
        <v>Agujas para anestesia</v>
      </c>
      <c r="C7064" s="95" t="str">
        <f>IFERROR(VLOOKUP("UD",'Informacion '!P:Q,2,FALSE),"")</f>
        <v>Unidad</v>
      </c>
      <c r="D7064" s="94">
        <v>11</v>
      </c>
      <c r="E7064" s="84">
        <v>23.75</v>
      </c>
      <c r="F7064" s="83">
        <f t="shared" ca="1" si="287"/>
        <v>261.25</v>
      </c>
    </row>
    <row r="7065" spans="1:6" ht="14.1" customHeight="1" x14ac:dyDescent="0.25">
      <c r="A7065" s="94" t="s">
        <v>9323</v>
      </c>
      <c r="B7065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065" s="95" t="str">
        <f>IFERROR(VLOOKUP("UD",'Informacion '!P:Q,2,FALSE),"")</f>
        <v>Unidad</v>
      </c>
      <c r="D7065" s="94">
        <v>2</v>
      </c>
      <c r="E7065" s="84">
        <v>2000</v>
      </c>
      <c r="F7065" s="83">
        <f t="shared" ca="1" si="287"/>
        <v>4000</v>
      </c>
    </row>
    <row r="7066" spans="1:6" ht="14.1" customHeight="1" x14ac:dyDescent="0.25">
      <c r="A7066" s="94" t="s">
        <v>12909</v>
      </c>
      <c r="B7066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066" s="95" t="str">
        <f>IFERROR(VLOOKUP("UD",'Informacion '!P:Q,2,FALSE),"")</f>
        <v>Unidad</v>
      </c>
      <c r="D7066" s="94">
        <v>1275</v>
      </c>
      <c r="E7066" s="84">
        <v>2.08</v>
      </c>
      <c r="F7066" s="83">
        <f t="shared" ca="1" si="287"/>
        <v>2652</v>
      </c>
    </row>
    <row r="7067" spans="1:6" ht="14.1" customHeight="1" x14ac:dyDescent="0.25">
      <c r="A7067" s="94" t="s">
        <v>12909</v>
      </c>
      <c r="B7067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067" s="95" t="str">
        <f>IFERROR(VLOOKUP("UD",'Informacion '!P:Q,2,FALSE),"")</f>
        <v>Unidad</v>
      </c>
      <c r="D7067" s="94">
        <v>13</v>
      </c>
      <c r="E7067" s="84">
        <v>2</v>
      </c>
      <c r="F7067" s="83">
        <f t="shared" ca="1" si="287"/>
        <v>26</v>
      </c>
    </row>
    <row r="7068" spans="1:6" ht="14.1" customHeight="1" x14ac:dyDescent="0.25">
      <c r="A7068" s="94" t="s">
        <v>6120</v>
      </c>
      <c r="B7068" s="82" t="str">
        <f ca="1">IFERROR(INDEX(UNSPSCDes,MATCH(INDIRECT(ADDRESS(ROW(),COLUMN()-1,4)),UNSPSCCode,0)),IF(INDIRECT(ADDRESS(ROW(),COLUMN()-1,4))="44121634","Rollos adhesivos",""))</f>
        <v>Rollos adhesivos</v>
      </c>
      <c r="C7068" s="95" t="str">
        <f>IFERROR(VLOOKUP("UD",'Informacion '!P:Q,2,FALSE),"")</f>
        <v>Unidad</v>
      </c>
      <c r="D7068" s="94">
        <v>5</v>
      </c>
      <c r="E7068" s="84">
        <v>80</v>
      </c>
      <c r="F7068" s="83">
        <f t="shared" ca="1" si="287"/>
        <v>400</v>
      </c>
    </row>
    <row r="7069" spans="1:6" ht="14.1" customHeight="1" x14ac:dyDescent="0.25">
      <c r="A7069" s="94" t="s">
        <v>9323</v>
      </c>
      <c r="B7069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069" s="95" t="str">
        <f>IFERROR(VLOOKUP("UD",'Informacion '!P:Q,2,FALSE),"")</f>
        <v>Unidad</v>
      </c>
      <c r="D7069" s="94">
        <v>1</v>
      </c>
      <c r="E7069" s="84">
        <v>2000</v>
      </c>
      <c r="F7069" s="83">
        <f t="shared" ca="1" si="287"/>
        <v>2000</v>
      </c>
    </row>
    <row r="7070" spans="1:6" ht="14.1" customHeight="1" x14ac:dyDescent="0.25">
      <c r="A7070" s="94" t="s">
        <v>7589</v>
      </c>
      <c r="B7070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070" s="95" t="str">
        <f>IFERROR(VLOOKUP("UD",'Informacion '!P:Q,2,FALSE),"")</f>
        <v>Unidad</v>
      </c>
      <c r="D7070" s="94">
        <v>51</v>
      </c>
      <c r="E7070" s="84">
        <v>5.88</v>
      </c>
      <c r="F7070" s="83">
        <f t="shared" ca="1" si="287"/>
        <v>299.88</v>
      </c>
    </row>
    <row r="7071" spans="1:6" ht="14.1" customHeight="1" x14ac:dyDescent="0.25">
      <c r="A7071" s="94" t="s">
        <v>15520</v>
      </c>
      <c r="B7071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7071" s="95" t="str">
        <f>IFERROR(VLOOKUP("UD",'Informacion '!P:Q,2,FALSE),"")</f>
        <v>Unidad</v>
      </c>
      <c r="D7071" s="94">
        <v>2448</v>
      </c>
      <c r="E7071" s="84">
        <v>5.68</v>
      </c>
      <c r="F7071" s="83">
        <f t="shared" ca="1" si="287"/>
        <v>13904.64</v>
      </c>
    </row>
    <row r="7072" spans="1:6" ht="14.1" customHeight="1" x14ac:dyDescent="0.25">
      <c r="A7072" s="94" t="s">
        <v>16391</v>
      </c>
      <c r="B7072" s="82" t="str">
        <f ca="1">IFERROR(INDEX(UNSPSCDes,MATCH(INDIRECT(ADDRESS(ROW(),COLUMN()-1,4)),UNSPSCCode,0)),IF(INDIRECT(ADDRESS(ROW(),COLUMN()-1,4))="42142615","Accesorios para jeringas",""))</f>
        <v>Accesorios para jeringas</v>
      </c>
      <c r="C7072" s="95" t="str">
        <f>IFERROR(VLOOKUP("UD",'Informacion '!P:Q,2,FALSE),"")</f>
        <v>Unidad</v>
      </c>
      <c r="D7072" s="94">
        <v>8</v>
      </c>
      <c r="E7072" s="84">
        <v>8.4499999999999993</v>
      </c>
      <c r="F7072" s="83">
        <f t="shared" ca="1" si="287"/>
        <v>67.599999999999994</v>
      </c>
    </row>
    <row r="7073" spans="1:10" ht="14.1" customHeight="1" x14ac:dyDescent="0.25">
      <c r="E7073" s="96" t="s">
        <v>7213</v>
      </c>
      <c r="F7073" s="87">
        <f ca="1">SUM(Table196[MONTO TOTAL ESTIMADO])</f>
        <v>392340.18999999994</v>
      </c>
      <c r="H7073" s="39" t="str">
        <f>C7039</f>
        <v>Bienes</v>
      </c>
      <c r="I7073" s="39" t="str">
        <f>E7039</f>
        <v>No</v>
      </c>
      <c r="J7073" s="39" t="str">
        <f>D7039</f>
        <v>Comparacion de Precios</v>
      </c>
    </row>
    <row r="7075" spans="1:10" ht="33.950000000000003" customHeight="1" x14ac:dyDescent="0.25">
      <c r="A7075" s="77" t="s">
        <v>17233</v>
      </c>
      <c r="B7075" s="77" t="s">
        <v>4237</v>
      </c>
      <c r="C7075" s="77" t="s">
        <v>4743</v>
      </c>
      <c r="D7075" s="77" t="s">
        <v>9891</v>
      </c>
      <c r="E7075" s="77" t="s">
        <v>3089</v>
      </c>
      <c r="F7075" s="77" t="s">
        <v>18141</v>
      </c>
    </row>
    <row r="7076" spans="1:10" ht="14.1" customHeight="1" x14ac:dyDescent="0.25">
      <c r="A7076" s="79" t="s">
        <v>18502</v>
      </c>
      <c r="B7076" s="79" t="s">
        <v>2182</v>
      </c>
      <c r="C7076" s="79" t="s">
        <v>17215</v>
      </c>
      <c r="D7076" s="79" t="s">
        <v>15249</v>
      </c>
      <c r="E7076" s="79" t="s">
        <v>18247</v>
      </c>
      <c r="F7076" s="79"/>
    </row>
    <row r="7077" spans="1:10" ht="14.1" customHeight="1" x14ac:dyDescent="0.25">
      <c r="A7077" s="2" t="s">
        <v>6643</v>
      </c>
      <c r="B7077" s="80" t="s">
        <v>1046</v>
      </c>
      <c r="C7077" s="90">
        <v>43556</v>
      </c>
      <c r="D7077" s="2" t="s">
        <v>59</v>
      </c>
      <c r="E7077" s="92" t="s">
        <v>20066</v>
      </c>
      <c r="F7077" s="93" t="s">
        <v>5684</v>
      </c>
    </row>
    <row r="7078" spans="1:10" ht="14.1" customHeight="1" x14ac:dyDescent="0.25">
      <c r="A7078" s="1"/>
      <c r="B7078" s="80" t="s">
        <v>10788</v>
      </c>
      <c r="C7078" s="91">
        <f>IF(C7077="","",IF(AND(MONTH(C7077)&gt;=1,MONTH(C7077)&lt;=3),1,IF(AND(MONTH(C7077)&gt;=4,MONTH(C7077)&lt;=6),2,IF(AND(MONTH(C7077)&gt;=7,MONTH(C7077)&lt;=9),3,4))))</f>
        <v>2</v>
      </c>
      <c r="D7078" s="1"/>
      <c r="E7078" s="92" t="s">
        <v>14822</v>
      </c>
      <c r="F7078" s="93"/>
    </row>
    <row r="7079" spans="1:10" ht="14.1" customHeight="1" x14ac:dyDescent="0.25">
      <c r="A7079" s="1"/>
      <c r="B7079" s="80" t="s">
        <v>13758</v>
      </c>
      <c r="C7079" s="90">
        <v>43645</v>
      </c>
      <c r="D7079" s="1"/>
      <c r="E7079" s="92" t="s">
        <v>18636</v>
      </c>
      <c r="F7079" s="93"/>
    </row>
    <row r="7080" spans="1:10" ht="14.1" customHeight="1" x14ac:dyDescent="0.25">
      <c r="A7080" s="1"/>
      <c r="B7080" s="80" t="s">
        <v>10788</v>
      </c>
      <c r="C7080" s="91">
        <f>IF(C7079="","",IF(AND(MONTH(C7079)&gt;=1,MONTH(C7079)&lt;=3),1,IF(AND(MONTH(C7079)&gt;=4,MONTH(C7079)&lt;=6),2,IF(AND(MONTH(C7079)&gt;=7,MONTH(C7079)&lt;=9),3,4))))</f>
        <v>2</v>
      </c>
      <c r="D7080" s="1"/>
      <c r="E7080" s="92" t="s">
        <v>15990</v>
      </c>
      <c r="F7080" s="93"/>
    </row>
    <row r="7082" spans="1:10" ht="14.1" customHeight="1" x14ac:dyDescent="0.25">
      <c r="A7082" s="85" t="s">
        <v>15474</v>
      </c>
      <c r="B7082" s="85" t="s">
        <v>5027</v>
      </c>
      <c r="C7082" s="85" t="s">
        <v>17461</v>
      </c>
      <c r="D7082" s="85" t="s">
        <v>3935</v>
      </c>
      <c r="E7082" s="85" t="s">
        <v>10722</v>
      </c>
      <c r="F7082" s="85" t="s">
        <v>18237</v>
      </c>
    </row>
    <row r="7083" spans="1:10" ht="14.1" customHeight="1" x14ac:dyDescent="0.25">
      <c r="A7083" s="94" t="s">
        <v>435</v>
      </c>
      <c r="B708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083" s="95" t="str">
        <f>IFERROR(VLOOKUP("UD",'Informacion '!P:Q,2,FALSE),"")</f>
        <v>Unidad</v>
      </c>
      <c r="D7083" s="94">
        <v>7644</v>
      </c>
      <c r="E7083" s="84">
        <v>6.58</v>
      </c>
      <c r="F7083" s="83">
        <f t="shared" ref="F7083:F7109" ca="1" si="288">INDIRECT(ADDRESS(ROW(),COLUMN()-2,4))*INDIRECT(ADDRESS(ROW(),COLUMN()-1,4))</f>
        <v>50297.520000000004</v>
      </c>
    </row>
    <row r="7084" spans="1:10" ht="14.1" customHeight="1" x14ac:dyDescent="0.25">
      <c r="A7084" s="94" t="s">
        <v>8061</v>
      </c>
      <c r="B7084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7084" s="95" t="str">
        <f>IFERROR(VLOOKUP("UD",'Informacion '!P:Q,2,FALSE),"")</f>
        <v>Unidad</v>
      </c>
      <c r="D7084" s="94">
        <v>15</v>
      </c>
      <c r="E7084" s="84">
        <v>3551.27</v>
      </c>
      <c r="F7084" s="83">
        <f t="shared" ca="1" si="288"/>
        <v>53269.05</v>
      </c>
    </row>
    <row r="7085" spans="1:10" ht="14.1" customHeight="1" x14ac:dyDescent="0.25">
      <c r="A7085" s="94" t="s">
        <v>8061</v>
      </c>
      <c r="B7085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7085" s="95" t="str">
        <f>IFERROR(VLOOKUP("UD",'Informacion '!P:Q,2,FALSE),"")</f>
        <v>Unidad</v>
      </c>
      <c r="D7085" s="94">
        <v>4</v>
      </c>
      <c r="E7085" s="84">
        <v>7143.5</v>
      </c>
      <c r="F7085" s="83">
        <f t="shared" ca="1" si="288"/>
        <v>28574</v>
      </c>
    </row>
    <row r="7086" spans="1:10" ht="14.1" customHeight="1" x14ac:dyDescent="0.25">
      <c r="A7086" s="94" t="s">
        <v>2626</v>
      </c>
      <c r="B7086" s="82" t="str">
        <f ca="1">IFERROR(INDEX(UNSPSCDes,MATCH(INDIRECT(ADDRESS(ROW(),COLUMN()-1,4)),UNSPSCCode,0)),IF(INDIRECT(ADDRESS(ROW(),COLUMN()-1,4))="42281904","Bolsas de esterilización",""))</f>
        <v>Bolsas de esterilización</v>
      </c>
      <c r="C7086" s="95" t="str">
        <f>IFERROR(VLOOKUP("UD",'Informacion '!P:Q,2,FALSE),"")</f>
        <v>Unidad</v>
      </c>
      <c r="D7086" s="94">
        <v>8200</v>
      </c>
      <c r="E7086" s="84">
        <v>14.16</v>
      </c>
      <c r="F7086" s="83">
        <f t="shared" ca="1" si="288"/>
        <v>116112</v>
      </c>
    </row>
    <row r="7087" spans="1:10" ht="14.1" customHeight="1" x14ac:dyDescent="0.25">
      <c r="A7087" s="94" t="s">
        <v>18956</v>
      </c>
      <c r="B7087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087" s="95" t="str">
        <f>IFERROR(VLOOKUP("UD",'Informacion '!P:Q,2,FALSE),"")</f>
        <v>Unidad</v>
      </c>
      <c r="D7087" s="94">
        <v>381</v>
      </c>
      <c r="E7087" s="84">
        <v>3.19</v>
      </c>
      <c r="F7087" s="83">
        <f t="shared" ca="1" si="288"/>
        <v>1215.3899999999999</v>
      </c>
    </row>
    <row r="7088" spans="1:10" ht="14.1" customHeight="1" x14ac:dyDescent="0.25">
      <c r="A7088" s="94" t="s">
        <v>14138</v>
      </c>
      <c r="B708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088" s="95" t="str">
        <f>IFERROR(VLOOKUP("UD",'Informacion '!P:Q,2,FALSE),"")</f>
        <v>Unidad</v>
      </c>
      <c r="D7088" s="94">
        <v>18</v>
      </c>
      <c r="E7088" s="84">
        <v>376.24</v>
      </c>
      <c r="F7088" s="83">
        <f t="shared" ca="1" si="288"/>
        <v>6772.32</v>
      </c>
    </row>
    <row r="7089" spans="1:6" ht="14.1" customHeight="1" x14ac:dyDescent="0.25">
      <c r="A7089" s="94" t="s">
        <v>2064</v>
      </c>
      <c r="B7089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089" s="95" t="str">
        <f>IFERROR(VLOOKUP("UD",'Informacion '!P:Q,2,FALSE),"")</f>
        <v>Unidad</v>
      </c>
      <c r="D7089" s="94">
        <v>5</v>
      </c>
      <c r="E7089" s="84">
        <v>950</v>
      </c>
      <c r="F7089" s="83">
        <f t="shared" ca="1" si="288"/>
        <v>4750</v>
      </c>
    </row>
    <row r="7090" spans="1:6" ht="14.1" customHeight="1" x14ac:dyDescent="0.25">
      <c r="A7090" s="94" t="s">
        <v>16379</v>
      </c>
      <c r="B7090" s="82" t="str">
        <f ca="1">IFERROR(INDEX(UNSPSCDes,MATCH(INDIRECT(ADDRESS(ROW(),COLUMN()-1,4)),UNSPSCCode,0)),IF(INDIRECT(ADDRESS(ROW(),COLUMN()-1,4))="53131608","Jabones",""))</f>
        <v>Jabones</v>
      </c>
      <c r="C7090" s="95" t="str">
        <f>IFERROR(VLOOKUP("UD",'Informacion '!P:Q,2,FALSE),"")</f>
        <v>Unidad</v>
      </c>
      <c r="D7090" s="94">
        <v>2</v>
      </c>
      <c r="E7090" s="84">
        <v>770.68</v>
      </c>
      <c r="F7090" s="83">
        <f t="shared" ca="1" si="288"/>
        <v>1541.36</v>
      </c>
    </row>
    <row r="7091" spans="1:6" ht="14.1" customHeight="1" x14ac:dyDescent="0.25">
      <c r="A7091" s="94" t="s">
        <v>2499</v>
      </c>
      <c r="B7091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7091" s="95" t="str">
        <f>IFERROR(VLOOKUP("UD",'Informacion '!P:Q,2,FALSE),"")</f>
        <v>Unidad</v>
      </c>
      <c r="D7091" s="94">
        <v>4</v>
      </c>
      <c r="E7091" s="84">
        <v>583.33000000000004</v>
      </c>
      <c r="F7091" s="83">
        <f t="shared" ca="1" si="288"/>
        <v>2333.3200000000002</v>
      </c>
    </row>
    <row r="7092" spans="1:6" ht="14.1" customHeight="1" x14ac:dyDescent="0.25">
      <c r="A7092" s="94" t="s">
        <v>4298</v>
      </c>
      <c r="B7092" s="82" t="str">
        <f ca="1">IFERROR(INDEX(UNSPSCDes,MATCH(INDIRECT(ADDRESS(ROW(),COLUMN()-1,4)),UNSPSCCode,0)),IF(INDIRECT(ADDRESS(ROW(),COLUMN()-1,4))="39121436","Electrodos",""))</f>
        <v>Electrodos</v>
      </c>
      <c r="C7092" s="95" t="str">
        <f>IFERROR(VLOOKUP("UD",'Informacion '!P:Q,2,FALSE),"")</f>
        <v>Unidad</v>
      </c>
      <c r="D7092" s="94">
        <v>8</v>
      </c>
      <c r="E7092" s="84">
        <v>650</v>
      </c>
      <c r="F7092" s="83">
        <f t="shared" ca="1" si="288"/>
        <v>5200</v>
      </c>
    </row>
    <row r="7093" spans="1:6" ht="14.1" customHeight="1" x14ac:dyDescent="0.25">
      <c r="A7093" s="94" t="s">
        <v>4298</v>
      </c>
      <c r="B7093" s="82" t="str">
        <f ca="1">IFERROR(INDEX(UNSPSCDes,MATCH(INDIRECT(ADDRESS(ROW(),COLUMN()-1,4)),UNSPSCCode,0)),IF(INDIRECT(ADDRESS(ROW(),COLUMN()-1,4))="39121436","Electrodos",""))</f>
        <v>Electrodos</v>
      </c>
      <c r="C7093" s="95" t="str">
        <f>IFERROR(VLOOKUP("UD",'Informacion '!P:Q,2,FALSE),"")</f>
        <v>Unidad</v>
      </c>
      <c r="D7093" s="94">
        <v>12</v>
      </c>
      <c r="E7093" s="84">
        <v>649.99</v>
      </c>
      <c r="F7093" s="83">
        <f t="shared" ca="1" si="288"/>
        <v>7799.88</v>
      </c>
    </row>
    <row r="7094" spans="1:6" ht="14.1" customHeight="1" x14ac:dyDescent="0.25">
      <c r="A7094" s="94" t="s">
        <v>4298</v>
      </c>
      <c r="B7094" s="82" t="str">
        <f ca="1">IFERROR(INDEX(UNSPSCDes,MATCH(INDIRECT(ADDRESS(ROW(),COLUMN()-1,4)),UNSPSCCode,0)),IF(INDIRECT(ADDRESS(ROW(),COLUMN()-1,4))="39121436","Electrodos",""))</f>
        <v>Electrodos</v>
      </c>
      <c r="C7094" s="95" t="str">
        <f>IFERROR(VLOOKUP("UD",'Informacion '!P:Q,2,FALSE),"")</f>
        <v>Unidad</v>
      </c>
      <c r="D7094" s="94">
        <v>3</v>
      </c>
      <c r="E7094" s="84">
        <v>650</v>
      </c>
      <c r="F7094" s="83">
        <f t="shared" ca="1" si="288"/>
        <v>1950</v>
      </c>
    </row>
    <row r="7095" spans="1:6" ht="14.1" customHeight="1" x14ac:dyDescent="0.25">
      <c r="A7095" s="94" t="s">
        <v>7589</v>
      </c>
      <c r="B7095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095" s="95" t="str">
        <f>IFERROR(VLOOKUP("UD",'Informacion '!P:Q,2,FALSE),"")</f>
        <v>Unidad</v>
      </c>
      <c r="D7095" s="94">
        <v>24</v>
      </c>
      <c r="E7095" s="84">
        <v>344.81</v>
      </c>
      <c r="F7095" s="83">
        <f t="shared" ca="1" si="288"/>
        <v>8275.44</v>
      </c>
    </row>
    <row r="7096" spans="1:6" ht="14.1" customHeight="1" x14ac:dyDescent="0.25">
      <c r="A7096" s="94" t="s">
        <v>7175</v>
      </c>
      <c r="B7096" s="82" t="str">
        <f ca="1">IFERROR(INDEX(UNSPSCDes,MATCH(INDIRECT(ADDRESS(ROW(),COLUMN()-1,4)),UNSPSCCode,0)),IF(INDIRECT(ADDRESS(ROW(),COLUMN()-1,4))="42272214","Conectores o adaptadores o válvulas de circuitos",""))</f>
        <v>Conectores o adaptadores o válvulas de circuitos</v>
      </c>
      <c r="C7096" s="95" t="str">
        <f>IFERROR(VLOOKUP("UD",'Informacion '!P:Q,2,FALSE),"")</f>
        <v>Unidad</v>
      </c>
      <c r="D7096" s="94">
        <v>626</v>
      </c>
      <c r="E7096" s="84">
        <v>70.78</v>
      </c>
      <c r="F7096" s="83">
        <f t="shared" ca="1" si="288"/>
        <v>44308.28</v>
      </c>
    </row>
    <row r="7097" spans="1:6" ht="14.1" customHeight="1" x14ac:dyDescent="0.25">
      <c r="A7097" s="94" t="s">
        <v>13351</v>
      </c>
      <c r="B7097" s="82" t="str">
        <f ca="1">IFERROR(INDEX(UNSPSCDes,MATCH(INDIRECT(ADDRESS(ROW(),COLUMN()-1,4)),UNSPSCCode,0)),IF(INDIRECT(ADDRESS(ROW(),COLUMN()-1,4))="47131603","Esponjas",""))</f>
        <v>Esponjas</v>
      </c>
      <c r="C7097" s="95" t="str">
        <f>IFERROR(VLOOKUP("UD",'Informacion '!P:Q,2,FALSE),"")</f>
        <v>Unidad</v>
      </c>
      <c r="D7097" s="94">
        <v>27</v>
      </c>
      <c r="E7097" s="84">
        <v>341.03</v>
      </c>
      <c r="F7097" s="83">
        <f t="shared" ca="1" si="288"/>
        <v>9207.81</v>
      </c>
    </row>
    <row r="7098" spans="1:6" ht="14.1" customHeight="1" x14ac:dyDescent="0.25">
      <c r="A7098" s="94" t="s">
        <v>4298</v>
      </c>
      <c r="B7098" s="82" t="str">
        <f ca="1">IFERROR(INDEX(UNSPSCDes,MATCH(INDIRECT(ADDRESS(ROW(),COLUMN()-1,4)),UNSPSCCode,0)),IF(INDIRECT(ADDRESS(ROW(),COLUMN()-1,4))="39121436","Electrodos",""))</f>
        <v>Electrodos</v>
      </c>
      <c r="C7098" s="95" t="str">
        <f>IFERROR(VLOOKUP("UD",'Informacion '!P:Q,2,FALSE),"")</f>
        <v>Unidad</v>
      </c>
      <c r="D7098" s="94">
        <v>449</v>
      </c>
      <c r="E7098" s="84">
        <v>5.31</v>
      </c>
      <c r="F7098" s="83">
        <f t="shared" ca="1" si="288"/>
        <v>2384.1899999999996</v>
      </c>
    </row>
    <row r="7099" spans="1:6" ht="14.1" customHeight="1" x14ac:dyDescent="0.25">
      <c r="A7099" s="94" t="s">
        <v>1279</v>
      </c>
      <c r="B7099" s="82" t="str">
        <f ca="1">IFERROR(INDEX(UNSPSCDes,MATCH(INDIRECT(ADDRESS(ROW(),COLUMN()-1,4)),UNSPSCCode,0)),IF(INDIRECT(ADDRESS(ROW(),COLUMN()-1,4))="42231701","Tubos nasogástricos",""))</f>
        <v>Tubos nasogástricos</v>
      </c>
      <c r="C7099" s="95" t="str">
        <f>IFERROR(VLOOKUP("UD",'Informacion '!P:Q,2,FALSE),"")</f>
        <v>Unidad</v>
      </c>
      <c r="D7099" s="94">
        <v>20</v>
      </c>
      <c r="E7099" s="84">
        <v>1091.0999999999999</v>
      </c>
      <c r="F7099" s="83">
        <f t="shared" ca="1" si="288"/>
        <v>21822</v>
      </c>
    </row>
    <row r="7100" spans="1:6" ht="14.1" customHeight="1" x14ac:dyDescent="0.25">
      <c r="A7100" s="94" t="s">
        <v>10944</v>
      </c>
      <c r="B7100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100" s="95" t="str">
        <f>IFERROR(VLOOKUP("UD",'Informacion '!P:Q,2,FALSE),"")</f>
        <v>Unidad</v>
      </c>
      <c r="D7100" s="94">
        <v>1523</v>
      </c>
      <c r="E7100" s="84">
        <v>19.489999999999998</v>
      </c>
      <c r="F7100" s="83">
        <f t="shared" ca="1" si="288"/>
        <v>29683.269999999997</v>
      </c>
    </row>
    <row r="7101" spans="1:6" ht="14.1" customHeight="1" x14ac:dyDescent="0.25">
      <c r="A7101" s="94" t="s">
        <v>7220</v>
      </c>
      <c r="B7101" s="82" t="str">
        <f ca="1">IFERROR(INDEX(UNSPSCDes,MATCH(INDIRECT(ADDRESS(ROW(),COLUMN()-1,4)),UNSPSCCode,0)),IF(INDIRECT(ADDRESS(ROW(),COLUMN()-1,4))="42142502","Agujas para anestesia",""))</f>
        <v>Agujas para anestesia</v>
      </c>
      <c r="C7101" s="95" t="str">
        <f>IFERROR(VLOOKUP("UD",'Informacion '!P:Q,2,FALSE),"")</f>
        <v>Unidad</v>
      </c>
      <c r="D7101" s="94">
        <v>12</v>
      </c>
      <c r="E7101" s="84">
        <v>23.75</v>
      </c>
      <c r="F7101" s="83">
        <f t="shared" ca="1" si="288"/>
        <v>285</v>
      </c>
    </row>
    <row r="7102" spans="1:6" ht="14.1" customHeight="1" x14ac:dyDescent="0.25">
      <c r="A7102" s="94" t="s">
        <v>9323</v>
      </c>
      <c r="B7102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102" s="95" t="str">
        <f>IFERROR(VLOOKUP("UD",'Informacion '!P:Q,2,FALSE),"")</f>
        <v>Unidad</v>
      </c>
      <c r="D7102" s="94">
        <v>3</v>
      </c>
      <c r="E7102" s="84">
        <v>2000</v>
      </c>
      <c r="F7102" s="83">
        <f t="shared" ca="1" si="288"/>
        <v>6000</v>
      </c>
    </row>
    <row r="7103" spans="1:6" ht="14.1" customHeight="1" x14ac:dyDescent="0.25">
      <c r="A7103" s="94" t="s">
        <v>12909</v>
      </c>
      <c r="B7103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103" s="95" t="str">
        <f>IFERROR(VLOOKUP("UD",'Informacion '!P:Q,2,FALSE),"")</f>
        <v>Unidad</v>
      </c>
      <c r="D7103" s="94">
        <v>1301</v>
      </c>
      <c r="E7103" s="84">
        <v>2.08</v>
      </c>
      <c r="F7103" s="83">
        <f t="shared" ca="1" si="288"/>
        <v>2706.08</v>
      </c>
    </row>
    <row r="7104" spans="1:6" ht="14.1" customHeight="1" x14ac:dyDescent="0.25">
      <c r="A7104" s="94" t="s">
        <v>12909</v>
      </c>
      <c r="B7104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104" s="95" t="str">
        <f>IFERROR(VLOOKUP("UD",'Informacion '!P:Q,2,FALSE),"")</f>
        <v>Unidad</v>
      </c>
      <c r="D7104" s="94">
        <v>14</v>
      </c>
      <c r="E7104" s="84">
        <v>2</v>
      </c>
      <c r="F7104" s="83">
        <f t="shared" ca="1" si="288"/>
        <v>28</v>
      </c>
    </row>
    <row r="7105" spans="1:10" ht="14.1" customHeight="1" x14ac:dyDescent="0.25">
      <c r="A7105" s="94" t="s">
        <v>6120</v>
      </c>
      <c r="B7105" s="82" t="str">
        <f ca="1">IFERROR(INDEX(UNSPSCDes,MATCH(INDIRECT(ADDRESS(ROW(),COLUMN()-1,4)),UNSPSCCode,0)),IF(INDIRECT(ADDRESS(ROW(),COLUMN()-1,4))="44121634","Rollos adhesivos",""))</f>
        <v>Rollos adhesivos</v>
      </c>
      <c r="C7105" s="95" t="str">
        <f>IFERROR(VLOOKUP("UD",'Informacion '!P:Q,2,FALSE),"")</f>
        <v>Unidad</v>
      </c>
      <c r="D7105" s="94">
        <v>6</v>
      </c>
      <c r="E7105" s="84">
        <v>80</v>
      </c>
      <c r="F7105" s="83">
        <f t="shared" ca="1" si="288"/>
        <v>480</v>
      </c>
    </row>
    <row r="7106" spans="1:10" ht="14.1" customHeight="1" x14ac:dyDescent="0.25">
      <c r="A7106" s="94" t="s">
        <v>9323</v>
      </c>
      <c r="B7106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106" s="95" t="str">
        <f>IFERROR(VLOOKUP("UD",'Informacion '!P:Q,2,FALSE),"")</f>
        <v>Unidad</v>
      </c>
      <c r="D7106" s="94">
        <v>2</v>
      </c>
      <c r="E7106" s="84">
        <v>2000</v>
      </c>
      <c r="F7106" s="83">
        <f t="shared" ca="1" si="288"/>
        <v>4000</v>
      </c>
    </row>
    <row r="7107" spans="1:10" ht="14.1" customHeight="1" x14ac:dyDescent="0.25">
      <c r="A7107" s="94" t="s">
        <v>7589</v>
      </c>
      <c r="B7107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107" s="95" t="str">
        <f>IFERROR(VLOOKUP("UD",'Informacion '!P:Q,2,FALSE),"")</f>
        <v>Unidad</v>
      </c>
      <c r="D7107" s="94">
        <v>53</v>
      </c>
      <c r="E7107" s="84">
        <v>5.88</v>
      </c>
      <c r="F7107" s="83">
        <f t="shared" ca="1" si="288"/>
        <v>311.64</v>
      </c>
    </row>
    <row r="7108" spans="1:10" ht="14.1" customHeight="1" x14ac:dyDescent="0.25">
      <c r="A7108" s="94" t="s">
        <v>15520</v>
      </c>
      <c r="B7108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7108" s="95" t="str">
        <f>IFERROR(VLOOKUP("UD",'Informacion '!P:Q,2,FALSE),"")</f>
        <v>Unidad</v>
      </c>
      <c r="D7108" s="94">
        <v>2497</v>
      </c>
      <c r="E7108" s="84">
        <v>5.68</v>
      </c>
      <c r="F7108" s="83">
        <f t="shared" ca="1" si="288"/>
        <v>14182.96</v>
      </c>
    </row>
    <row r="7109" spans="1:10" ht="14.1" customHeight="1" x14ac:dyDescent="0.25">
      <c r="A7109" s="94" t="s">
        <v>16391</v>
      </c>
      <c r="B7109" s="82" t="str">
        <f ca="1">IFERROR(INDEX(UNSPSCDes,MATCH(INDIRECT(ADDRESS(ROW(),COLUMN()-1,4)),UNSPSCCode,0)),IF(INDIRECT(ADDRESS(ROW(),COLUMN()-1,4))="42142615","Accesorios para jeringas",""))</f>
        <v>Accesorios para jeringas</v>
      </c>
      <c r="C7109" s="95" t="str">
        <f>IFERROR(VLOOKUP("UD",'Informacion '!P:Q,2,FALSE),"")</f>
        <v>Unidad</v>
      </c>
      <c r="D7109" s="94">
        <v>10</v>
      </c>
      <c r="E7109" s="84">
        <v>8.4499999999999993</v>
      </c>
      <c r="F7109" s="83">
        <f t="shared" ca="1" si="288"/>
        <v>84.5</v>
      </c>
    </row>
    <row r="7110" spans="1:10" ht="14.1" customHeight="1" x14ac:dyDescent="0.25">
      <c r="E7110" s="96" t="s">
        <v>7213</v>
      </c>
      <c r="F7110" s="87">
        <f ca="1">SUM(Table197[MONTO TOTAL ESTIMADO])</f>
        <v>423574.01000000013</v>
      </c>
      <c r="H7110" s="39" t="str">
        <f>C7076</f>
        <v>Bienes</v>
      </c>
      <c r="I7110" s="39" t="str">
        <f>E7076</f>
        <v>No</v>
      </c>
      <c r="J7110" s="39" t="str">
        <f>D7076</f>
        <v>Comparacion de Precios</v>
      </c>
    </row>
    <row r="7112" spans="1:10" ht="33.950000000000003" customHeight="1" x14ac:dyDescent="0.25">
      <c r="A7112" s="77" t="s">
        <v>17233</v>
      </c>
      <c r="B7112" s="77" t="s">
        <v>4237</v>
      </c>
      <c r="C7112" s="77" t="s">
        <v>4743</v>
      </c>
      <c r="D7112" s="77" t="s">
        <v>9891</v>
      </c>
      <c r="E7112" s="77" t="s">
        <v>3089</v>
      </c>
      <c r="F7112" s="77" t="s">
        <v>18141</v>
      </c>
    </row>
    <row r="7113" spans="1:10" ht="14.1" customHeight="1" x14ac:dyDescent="0.25">
      <c r="A7113" s="79" t="s">
        <v>6951</v>
      </c>
      <c r="B7113" s="79" t="s">
        <v>2182</v>
      </c>
      <c r="C7113" s="79" t="s">
        <v>17215</v>
      </c>
      <c r="D7113" s="79" t="s">
        <v>15249</v>
      </c>
      <c r="E7113" s="79" t="s">
        <v>18247</v>
      </c>
      <c r="F7113" s="79"/>
    </row>
    <row r="7114" spans="1:10" ht="14.1" customHeight="1" x14ac:dyDescent="0.25">
      <c r="A7114" s="2" t="s">
        <v>6643</v>
      </c>
      <c r="B7114" s="80" t="s">
        <v>1046</v>
      </c>
      <c r="C7114" s="90">
        <v>43647</v>
      </c>
      <c r="D7114" s="2" t="s">
        <v>59</v>
      </c>
      <c r="E7114" s="92" t="s">
        <v>20066</v>
      </c>
      <c r="F7114" s="93" t="s">
        <v>5684</v>
      </c>
    </row>
    <row r="7115" spans="1:10" ht="14.1" customHeight="1" x14ac:dyDescent="0.25">
      <c r="A7115" s="1"/>
      <c r="B7115" s="80" t="s">
        <v>10788</v>
      </c>
      <c r="C7115" s="91">
        <f>IF(C7114="","",IF(AND(MONTH(C7114)&gt;=1,MONTH(C7114)&lt;=3),1,IF(AND(MONTH(C7114)&gt;=4,MONTH(C7114)&lt;=6),2,IF(AND(MONTH(C7114)&gt;=7,MONTH(C7114)&lt;=9),3,4))))</f>
        <v>3</v>
      </c>
      <c r="D7115" s="1"/>
      <c r="E7115" s="92" t="s">
        <v>14822</v>
      </c>
      <c r="F7115" s="93" t="s">
        <v>17690</v>
      </c>
    </row>
    <row r="7116" spans="1:10" ht="14.1" customHeight="1" x14ac:dyDescent="0.25">
      <c r="A7116" s="1"/>
      <c r="B7116" s="80" t="s">
        <v>13758</v>
      </c>
      <c r="C7116" s="90">
        <v>43738</v>
      </c>
      <c r="D7116" s="1"/>
      <c r="E7116" s="92" t="s">
        <v>18636</v>
      </c>
      <c r="F7116" s="93"/>
    </row>
    <row r="7117" spans="1:10" ht="14.1" customHeight="1" x14ac:dyDescent="0.25">
      <c r="A7117" s="1"/>
      <c r="B7117" s="80" t="s">
        <v>10788</v>
      </c>
      <c r="C7117" s="91">
        <f>IF(C7116="","",IF(AND(MONTH(C7116)&gt;=1,MONTH(C7116)&lt;=3),1,IF(AND(MONTH(C7116)&gt;=4,MONTH(C7116)&lt;=6),2,IF(AND(MONTH(C7116)&gt;=7,MONTH(C7116)&lt;=9),3,4))))</f>
        <v>3</v>
      </c>
      <c r="D7117" s="1"/>
      <c r="E7117" s="92" t="s">
        <v>15990</v>
      </c>
      <c r="F7117" s="93"/>
    </row>
    <row r="7119" spans="1:10" ht="14.1" customHeight="1" x14ac:dyDescent="0.25">
      <c r="A7119" s="85" t="s">
        <v>15474</v>
      </c>
      <c r="B7119" s="85" t="s">
        <v>5027</v>
      </c>
      <c r="C7119" s="85" t="s">
        <v>17461</v>
      </c>
      <c r="D7119" s="85" t="s">
        <v>3935</v>
      </c>
      <c r="E7119" s="85" t="s">
        <v>10722</v>
      </c>
      <c r="F7119" s="85" t="s">
        <v>18237</v>
      </c>
    </row>
    <row r="7120" spans="1:10" ht="14.1" customHeight="1" x14ac:dyDescent="0.25">
      <c r="A7120" s="94" t="s">
        <v>435</v>
      </c>
      <c r="B7120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120" s="95" t="str">
        <f>IFERROR(VLOOKUP("UD",'Informacion '!P:Q,2,FALSE),"")</f>
        <v>Unidad</v>
      </c>
      <c r="D7120" s="94">
        <v>7797</v>
      </c>
      <c r="E7120" s="84">
        <v>6.58</v>
      </c>
      <c r="F7120" s="83">
        <f t="shared" ref="F7120:F7146" ca="1" si="289">INDIRECT(ADDRESS(ROW(),COLUMN()-2,4))*INDIRECT(ADDRESS(ROW(),COLUMN()-1,4))</f>
        <v>51304.26</v>
      </c>
    </row>
    <row r="7121" spans="1:6" ht="14.1" customHeight="1" x14ac:dyDescent="0.25">
      <c r="A7121" s="94" t="s">
        <v>8061</v>
      </c>
      <c r="B7121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7121" s="95" t="str">
        <f>IFERROR(VLOOKUP("UD",'Informacion '!P:Q,2,FALSE),"")</f>
        <v>Unidad</v>
      </c>
      <c r="D7121" s="94">
        <v>16</v>
      </c>
      <c r="E7121" s="84">
        <v>3551.27</v>
      </c>
      <c r="F7121" s="83">
        <f t="shared" ca="1" si="289"/>
        <v>56820.32</v>
      </c>
    </row>
    <row r="7122" spans="1:6" ht="14.1" customHeight="1" x14ac:dyDescent="0.25">
      <c r="A7122" s="94" t="s">
        <v>8061</v>
      </c>
      <c r="B7122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7122" s="95" t="str">
        <f>IFERROR(VLOOKUP("UD",'Informacion '!P:Q,2,FALSE),"")</f>
        <v>Unidad</v>
      </c>
      <c r="D7122" s="94">
        <v>5</v>
      </c>
      <c r="E7122" s="84">
        <v>7143.5</v>
      </c>
      <c r="F7122" s="83">
        <f t="shared" ca="1" si="289"/>
        <v>35717.5</v>
      </c>
    </row>
    <row r="7123" spans="1:6" ht="14.1" customHeight="1" x14ac:dyDescent="0.25">
      <c r="A7123" s="94" t="s">
        <v>2626</v>
      </c>
      <c r="B7123" s="82" t="str">
        <f ca="1">IFERROR(INDEX(UNSPSCDes,MATCH(INDIRECT(ADDRESS(ROW(),COLUMN()-1,4)),UNSPSCCode,0)),IF(INDIRECT(ADDRESS(ROW(),COLUMN()-1,4))="42281904","Bolsas de esterilización",""))</f>
        <v>Bolsas de esterilización</v>
      </c>
      <c r="C7123" s="95" t="str">
        <f>IFERROR(VLOOKUP("UD",'Informacion '!P:Q,2,FALSE),"")</f>
        <v>Unidad</v>
      </c>
      <c r="D7123" s="94">
        <v>43</v>
      </c>
      <c r="E7123" s="84">
        <v>14.16</v>
      </c>
      <c r="F7123" s="83">
        <f t="shared" ca="1" si="289"/>
        <v>608.88</v>
      </c>
    </row>
    <row r="7124" spans="1:6" ht="14.1" customHeight="1" x14ac:dyDescent="0.25">
      <c r="A7124" s="94" t="s">
        <v>18956</v>
      </c>
      <c r="B7124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124" s="95" t="str">
        <f>IFERROR(VLOOKUP("UD",'Informacion '!P:Q,2,FALSE),"")</f>
        <v>Unidad</v>
      </c>
      <c r="D7124" s="94">
        <v>389</v>
      </c>
      <c r="E7124" s="84">
        <v>3.19</v>
      </c>
      <c r="F7124" s="83">
        <f t="shared" ca="1" si="289"/>
        <v>1240.9100000000001</v>
      </c>
    </row>
    <row r="7125" spans="1:6" ht="14.1" customHeight="1" x14ac:dyDescent="0.25">
      <c r="A7125" s="94" t="s">
        <v>14138</v>
      </c>
      <c r="B7125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125" s="95" t="str">
        <f>IFERROR(VLOOKUP("UD",'Informacion '!P:Q,2,FALSE),"")</f>
        <v>Unidad</v>
      </c>
      <c r="D7125" s="94">
        <v>19</v>
      </c>
      <c r="E7125" s="84">
        <v>376.24</v>
      </c>
      <c r="F7125" s="83">
        <f t="shared" ca="1" si="289"/>
        <v>7148.56</v>
      </c>
    </row>
    <row r="7126" spans="1:6" ht="14.1" customHeight="1" x14ac:dyDescent="0.25">
      <c r="A7126" s="94" t="s">
        <v>2064</v>
      </c>
      <c r="B7126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126" s="95" t="str">
        <f>IFERROR(VLOOKUP("UD",'Informacion '!P:Q,2,FALSE),"")</f>
        <v>Unidad</v>
      </c>
      <c r="D7126" s="94">
        <v>6</v>
      </c>
      <c r="E7126" s="84">
        <v>950</v>
      </c>
      <c r="F7126" s="83">
        <f t="shared" ca="1" si="289"/>
        <v>5700</v>
      </c>
    </row>
    <row r="7127" spans="1:6" ht="14.1" customHeight="1" x14ac:dyDescent="0.25">
      <c r="A7127" s="94" t="s">
        <v>16379</v>
      </c>
      <c r="B7127" s="82" t="str">
        <f ca="1">IFERROR(INDEX(UNSPSCDes,MATCH(INDIRECT(ADDRESS(ROW(),COLUMN()-1,4)),UNSPSCCode,0)),IF(INDIRECT(ADDRESS(ROW(),COLUMN()-1,4))="53131608","Jabones",""))</f>
        <v>Jabones</v>
      </c>
      <c r="C7127" s="95" t="str">
        <f>IFERROR(VLOOKUP("UD",'Informacion '!P:Q,2,FALSE),"")</f>
        <v>Unidad</v>
      </c>
      <c r="D7127" s="94">
        <v>3</v>
      </c>
      <c r="E7127" s="84">
        <v>770.68</v>
      </c>
      <c r="F7127" s="83">
        <f t="shared" ca="1" si="289"/>
        <v>2312.04</v>
      </c>
    </row>
    <row r="7128" spans="1:6" ht="14.1" customHeight="1" x14ac:dyDescent="0.25">
      <c r="A7128" s="94" t="s">
        <v>2499</v>
      </c>
      <c r="B7128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7128" s="95" t="str">
        <f>IFERROR(VLOOKUP("UD",'Informacion '!P:Q,2,FALSE),"")</f>
        <v>Unidad</v>
      </c>
      <c r="D7128" s="94">
        <v>5</v>
      </c>
      <c r="E7128" s="84">
        <v>583.33000000000004</v>
      </c>
      <c r="F7128" s="83">
        <f t="shared" ca="1" si="289"/>
        <v>2916.65</v>
      </c>
    </row>
    <row r="7129" spans="1:6" ht="14.1" customHeight="1" x14ac:dyDescent="0.25">
      <c r="A7129" s="94" t="s">
        <v>4298</v>
      </c>
      <c r="B7129" s="82" t="str">
        <f ca="1">IFERROR(INDEX(UNSPSCDes,MATCH(INDIRECT(ADDRESS(ROW(),COLUMN()-1,4)),UNSPSCCode,0)),IF(INDIRECT(ADDRESS(ROW(),COLUMN()-1,4))="39121436","Electrodos",""))</f>
        <v>Electrodos</v>
      </c>
      <c r="C7129" s="95" t="str">
        <f>IFERROR(VLOOKUP("UD",'Informacion '!P:Q,2,FALSE),"")</f>
        <v>Unidad</v>
      </c>
      <c r="D7129" s="94">
        <v>9</v>
      </c>
      <c r="E7129" s="84">
        <v>650</v>
      </c>
      <c r="F7129" s="83">
        <f t="shared" ca="1" si="289"/>
        <v>5850</v>
      </c>
    </row>
    <row r="7130" spans="1:6" ht="14.1" customHeight="1" x14ac:dyDescent="0.25">
      <c r="A7130" s="94" t="s">
        <v>4298</v>
      </c>
      <c r="B7130" s="82" t="str">
        <f ca="1">IFERROR(INDEX(UNSPSCDes,MATCH(INDIRECT(ADDRESS(ROW(),COLUMN()-1,4)),UNSPSCCode,0)),IF(INDIRECT(ADDRESS(ROW(),COLUMN()-1,4))="39121436","Electrodos",""))</f>
        <v>Electrodos</v>
      </c>
      <c r="C7130" s="95" t="str">
        <f>IFERROR(VLOOKUP("UD",'Informacion '!P:Q,2,FALSE),"")</f>
        <v>Unidad</v>
      </c>
      <c r="D7130" s="94">
        <v>13</v>
      </c>
      <c r="E7130" s="84">
        <v>649.99</v>
      </c>
      <c r="F7130" s="83">
        <f t="shared" ca="1" si="289"/>
        <v>8449.8700000000008</v>
      </c>
    </row>
    <row r="7131" spans="1:6" ht="14.1" customHeight="1" x14ac:dyDescent="0.25">
      <c r="A7131" s="94" t="s">
        <v>4298</v>
      </c>
      <c r="B7131" s="82" t="str">
        <f ca="1">IFERROR(INDEX(UNSPSCDes,MATCH(INDIRECT(ADDRESS(ROW(),COLUMN()-1,4)),UNSPSCCode,0)),IF(INDIRECT(ADDRESS(ROW(),COLUMN()-1,4))="39121436","Electrodos",""))</f>
        <v>Electrodos</v>
      </c>
      <c r="C7131" s="95" t="str">
        <f>IFERROR(VLOOKUP("UD",'Informacion '!P:Q,2,FALSE),"")</f>
        <v>Unidad</v>
      </c>
      <c r="D7131" s="94">
        <v>4</v>
      </c>
      <c r="E7131" s="84">
        <v>650</v>
      </c>
      <c r="F7131" s="83">
        <f t="shared" ca="1" si="289"/>
        <v>2600</v>
      </c>
    </row>
    <row r="7132" spans="1:6" ht="14.1" customHeight="1" x14ac:dyDescent="0.25">
      <c r="A7132" s="94" t="s">
        <v>7589</v>
      </c>
      <c r="B7132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132" s="95" t="str">
        <f>IFERROR(VLOOKUP("UD",'Informacion '!P:Q,2,FALSE),"")</f>
        <v>Unidad</v>
      </c>
      <c r="D7132" s="94">
        <v>26</v>
      </c>
      <c r="E7132" s="84">
        <v>344.81</v>
      </c>
      <c r="F7132" s="83">
        <f t="shared" ca="1" si="289"/>
        <v>8965.06</v>
      </c>
    </row>
    <row r="7133" spans="1:6" ht="14.1" customHeight="1" x14ac:dyDescent="0.25">
      <c r="A7133" s="94" t="s">
        <v>7175</v>
      </c>
      <c r="B7133" s="82" t="str">
        <f ca="1">IFERROR(INDEX(UNSPSCDes,MATCH(INDIRECT(ADDRESS(ROW(),COLUMN()-1,4)),UNSPSCCode,0)),IF(INDIRECT(ADDRESS(ROW(),COLUMN()-1,4))="42272214","Conectores o adaptadores o válvulas de circuitos",""))</f>
        <v>Conectores o adaptadores o válvulas de circuitos</v>
      </c>
      <c r="C7133" s="95" t="str">
        <f>IFERROR(VLOOKUP("UD",'Informacion '!P:Q,2,FALSE),"")</f>
        <v>Unidad</v>
      </c>
      <c r="D7133" s="94">
        <v>639</v>
      </c>
      <c r="E7133" s="84">
        <v>70.78</v>
      </c>
      <c r="F7133" s="83">
        <f t="shared" ca="1" si="289"/>
        <v>45228.42</v>
      </c>
    </row>
    <row r="7134" spans="1:6" ht="14.1" customHeight="1" x14ac:dyDescent="0.25">
      <c r="A7134" s="94" t="s">
        <v>13351</v>
      </c>
      <c r="B7134" s="82" t="str">
        <f ca="1">IFERROR(INDEX(UNSPSCDes,MATCH(INDIRECT(ADDRESS(ROW(),COLUMN()-1,4)),UNSPSCCode,0)),IF(INDIRECT(ADDRESS(ROW(),COLUMN()-1,4))="47131603","Esponjas",""))</f>
        <v>Esponjas</v>
      </c>
      <c r="C7134" s="95" t="str">
        <f>IFERROR(VLOOKUP("UD",'Informacion '!P:Q,2,FALSE),"")</f>
        <v>Unidad</v>
      </c>
      <c r="D7134" s="94">
        <v>28</v>
      </c>
      <c r="E7134" s="84">
        <v>341.03</v>
      </c>
      <c r="F7134" s="83">
        <f t="shared" ca="1" si="289"/>
        <v>9548.84</v>
      </c>
    </row>
    <row r="7135" spans="1:6" ht="14.1" customHeight="1" x14ac:dyDescent="0.25">
      <c r="A7135" s="94" t="s">
        <v>4298</v>
      </c>
      <c r="B7135" s="82" t="str">
        <f ca="1">IFERROR(INDEX(UNSPSCDes,MATCH(INDIRECT(ADDRESS(ROW(),COLUMN()-1,4)),UNSPSCCode,0)),IF(INDIRECT(ADDRESS(ROW(),COLUMN()-1,4))="39121436","Electrodos",""))</f>
        <v>Electrodos</v>
      </c>
      <c r="C7135" s="95" t="str">
        <f>IFERROR(VLOOKUP("UD",'Informacion '!P:Q,2,FALSE),"")</f>
        <v>Unidad</v>
      </c>
      <c r="D7135" s="94">
        <v>458</v>
      </c>
      <c r="E7135" s="84">
        <v>5.31</v>
      </c>
      <c r="F7135" s="83">
        <f t="shared" ca="1" si="289"/>
        <v>2431.98</v>
      </c>
    </row>
    <row r="7136" spans="1:6" ht="14.1" customHeight="1" x14ac:dyDescent="0.25">
      <c r="A7136" s="94" t="s">
        <v>1279</v>
      </c>
      <c r="B7136" s="82" t="str">
        <f ca="1">IFERROR(INDEX(UNSPSCDes,MATCH(INDIRECT(ADDRESS(ROW(),COLUMN()-1,4)),UNSPSCCode,0)),IF(INDIRECT(ADDRESS(ROW(),COLUMN()-1,4))="42231701","Tubos nasogástricos",""))</f>
        <v>Tubos nasogástricos</v>
      </c>
      <c r="C7136" s="95" t="str">
        <f>IFERROR(VLOOKUP("UD",'Informacion '!P:Q,2,FALSE),"")</f>
        <v>Unidad</v>
      </c>
      <c r="D7136" s="94">
        <v>22</v>
      </c>
      <c r="E7136" s="84">
        <v>1091.0999999999999</v>
      </c>
      <c r="F7136" s="83">
        <f t="shared" ca="1" si="289"/>
        <v>24004.199999999997</v>
      </c>
    </row>
    <row r="7137" spans="1:10" ht="14.1" customHeight="1" x14ac:dyDescent="0.25">
      <c r="A7137" s="94" t="s">
        <v>10944</v>
      </c>
      <c r="B7137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137" s="95" t="str">
        <f>IFERROR(VLOOKUP("UD",'Informacion '!P:Q,2,FALSE),"")</f>
        <v>Unidad</v>
      </c>
      <c r="D7137" s="94">
        <v>1554</v>
      </c>
      <c r="E7137" s="84">
        <v>19.489999999999998</v>
      </c>
      <c r="F7137" s="83">
        <f t="shared" ca="1" si="289"/>
        <v>30287.46</v>
      </c>
    </row>
    <row r="7138" spans="1:10" ht="14.1" customHeight="1" x14ac:dyDescent="0.25">
      <c r="A7138" s="94" t="s">
        <v>7220</v>
      </c>
      <c r="B7138" s="82" t="str">
        <f ca="1">IFERROR(INDEX(UNSPSCDes,MATCH(INDIRECT(ADDRESS(ROW(),COLUMN()-1,4)),UNSPSCCode,0)),IF(INDIRECT(ADDRESS(ROW(),COLUMN()-1,4))="42142502","Agujas para anestesia",""))</f>
        <v>Agujas para anestesia</v>
      </c>
      <c r="C7138" s="95" t="str">
        <f>IFERROR(VLOOKUP("UD",'Informacion '!P:Q,2,FALSE),"")</f>
        <v>Unidad</v>
      </c>
      <c r="D7138" s="94">
        <v>13</v>
      </c>
      <c r="E7138" s="84">
        <v>23.75</v>
      </c>
      <c r="F7138" s="83">
        <f t="shared" ca="1" si="289"/>
        <v>308.75</v>
      </c>
    </row>
    <row r="7139" spans="1:10" ht="14.1" customHeight="1" x14ac:dyDescent="0.25">
      <c r="A7139" s="94" t="s">
        <v>9323</v>
      </c>
      <c r="B7139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139" s="95" t="str">
        <f>IFERROR(VLOOKUP("UD",'Informacion '!P:Q,2,FALSE),"")</f>
        <v>Unidad</v>
      </c>
      <c r="D7139" s="94">
        <v>4</v>
      </c>
      <c r="E7139" s="84">
        <v>2000</v>
      </c>
      <c r="F7139" s="83">
        <f t="shared" ca="1" si="289"/>
        <v>8000</v>
      </c>
    </row>
    <row r="7140" spans="1:10" ht="14.1" customHeight="1" x14ac:dyDescent="0.25">
      <c r="A7140" s="94" t="s">
        <v>12909</v>
      </c>
      <c r="B7140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140" s="95" t="str">
        <f>IFERROR(VLOOKUP("UD",'Informacion '!P:Q,2,FALSE),"")</f>
        <v>Unidad</v>
      </c>
      <c r="D7140" s="94">
        <v>1328</v>
      </c>
      <c r="E7140" s="84">
        <v>2.08</v>
      </c>
      <c r="F7140" s="83">
        <f t="shared" ca="1" si="289"/>
        <v>2762.2400000000002</v>
      </c>
    </row>
    <row r="7141" spans="1:10" ht="14.1" customHeight="1" x14ac:dyDescent="0.25">
      <c r="A7141" s="94" t="s">
        <v>12909</v>
      </c>
      <c r="B7141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141" s="95" t="str">
        <f>IFERROR(VLOOKUP("UD",'Informacion '!P:Q,2,FALSE),"")</f>
        <v>Unidad</v>
      </c>
      <c r="D7141" s="94">
        <v>15</v>
      </c>
      <c r="E7141" s="84">
        <v>2</v>
      </c>
      <c r="F7141" s="83">
        <f t="shared" ca="1" si="289"/>
        <v>30</v>
      </c>
    </row>
    <row r="7142" spans="1:10" ht="14.1" customHeight="1" x14ac:dyDescent="0.25">
      <c r="A7142" s="94" t="s">
        <v>6120</v>
      </c>
      <c r="B7142" s="82" t="str">
        <f ca="1">IFERROR(INDEX(UNSPSCDes,MATCH(INDIRECT(ADDRESS(ROW(),COLUMN()-1,4)),UNSPSCCode,0)),IF(INDIRECT(ADDRESS(ROW(),COLUMN()-1,4))="44121634","Rollos adhesivos",""))</f>
        <v>Rollos adhesivos</v>
      </c>
      <c r="C7142" s="95" t="str">
        <f>IFERROR(VLOOKUP("UD",'Informacion '!P:Q,2,FALSE),"")</f>
        <v>Unidad</v>
      </c>
      <c r="D7142" s="94">
        <v>7</v>
      </c>
      <c r="E7142" s="84">
        <v>80</v>
      </c>
      <c r="F7142" s="83">
        <f t="shared" ca="1" si="289"/>
        <v>560</v>
      </c>
    </row>
    <row r="7143" spans="1:10" ht="14.1" customHeight="1" x14ac:dyDescent="0.25">
      <c r="A7143" s="94" t="s">
        <v>9323</v>
      </c>
      <c r="B7143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143" s="95" t="str">
        <f>IFERROR(VLOOKUP("UD",'Informacion '!P:Q,2,FALSE),"")</f>
        <v>Unidad</v>
      </c>
      <c r="D7143" s="94">
        <v>3</v>
      </c>
      <c r="E7143" s="84">
        <v>2000</v>
      </c>
      <c r="F7143" s="83">
        <f t="shared" ca="1" si="289"/>
        <v>6000</v>
      </c>
    </row>
    <row r="7144" spans="1:10" ht="14.1" customHeight="1" x14ac:dyDescent="0.25">
      <c r="A7144" s="94" t="s">
        <v>7589</v>
      </c>
      <c r="B7144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144" s="95" t="str">
        <f>IFERROR(VLOOKUP("UD",'Informacion '!P:Q,2,FALSE),"")</f>
        <v>Unidad</v>
      </c>
      <c r="D7144" s="94">
        <v>55</v>
      </c>
      <c r="E7144" s="84">
        <v>5.88</v>
      </c>
      <c r="F7144" s="83">
        <f t="shared" ca="1" si="289"/>
        <v>323.39999999999998</v>
      </c>
    </row>
    <row r="7145" spans="1:10" ht="14.1" customHeight="1" x14ac:dyDescent="0.25">
      <c r="A7145" s="94" t="s">
        <v>15520</v>
      </c>
      <c r="B7145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7145" s="95" t="str">
        <f>IFERROR(VLOOKUP("UD",'Informacion '!P:Q,2,FALSE),"")</f>
        <v>Unidad</v>
      </c>
      <c r="D7145" s="94">
        <v>2547</v>
      </c>
      <c r="E7145" s="84">
        <v>5.68</v>
      </c>
      <c r="F7145" s="83">
        <f t="shared" ca="1" si="289"/>
        <v>14466.96</v>
      </c>
    </row>
    <row r="7146" spans="1:10" ht="14.1" customHeight="1" x14ac:dyDescent="0.25">
      <c r="A7146" s="94" t="s">
        <v>16391</v>
      </c>
      <c r="B7146" s="82" t="str">
        <f ca="1">IFERROR(INDEX(UNSPSCDes,MATCH(INDIRECT(ADDRESS(ROW(),COLUMN()-1,4)),UNSPSCCode,0)),IF(INDIRECT(ADDRESS(ROW(),COLUMN()-1,4))="42142615","Accesorios para jeringas",""))</f>
        <v>Accesorios para jeringas</v>
      </c>
      <c r="C7146" s="95" t="str">
        <f>IFERROR(VLOOKUP("UD",'Informacion '!P:Q,2,FALSE),"")</f>
        <v>Unidad</v>
      </c>
      <c r="D7146" s="94">
        <v>12</v>
      </c>
      <c r="E7146" s="84">
        <v>8.4499999999999993</v>
      </c>
      <c r="F7146" s="83">
        <f t="shared" ca="1" si="289"/>
        <v>101.39999999999999</v>
      </c>
    </row>
    <row r="7147" spans="1:10" ht="14.1" customHeight="1" x14ac:dyDescent="0.25">
      <c r="E7147" s="96" t="s">
        <v>7213</v>
      </c>
      <c r="F7147" s="87">
        <f ca="1">SUM(Table198[MONTO TOTAL ESTIMADO])</f>
        <v>333687.70000000013</v>
      </c>
      <c r="H7147" s="39" t="str">
        <f>C7113</f>
        <v>Bienes</v>
      </c>
      <c r="I7147" s="39" t="str">
        <f>E7113</f>
        <v>No</v>
      </c>
      <c r="J7147" s="39" t="str">
        <f>D7113</f>
        <v>Comparacion de Precios</v>
      </c>
    </row>
    <row r="7149" spans="1:10" ht="33.950000000000003" customHeight="1" x14ac:dyDescent="0.25">
      <c r="A7149" s="77" t="s">
        <v>17233</v>
      </c>
      <c r="B7149" s="77" t="s">
        <v>4237</v>
      </c>
      <c r="C7149" s="77" t="s">
        <v>4743</v>
      </c>
      <c r="D7149" s="77" t="s">
        <v>9891</v>
      </c>
      <c r="E7149" s="77" t="s">
        <v>3089</v>
      </c>
      <c r="F7149" s="77" t="s">
        <v>18141</v>
      </c>
    </row>
    <row r="7150" spans="1:10" ht="14.1" customHeight="1" x14ac:dyDescent="0.25">
      <c r="A7150" s="79" t="s">
        <v>16930</v>
      </c>
      <c r="B7150" s="79" t="s">
        <v>2182</v>
      </c>
      <c r="C7150" s="79" t="s">
        <v>17215</v>
      </c>
      <c r="D7150" s="79" t="s">
        <v>15249</v>
      </c>
      <c r="E7150" s="79" t="s">
        <v>18247</v>
      </c>
      <c r="F7150" s="79"/>
    </row>
    <row r="7151" spans="1:10" ht="14.1" customHeight="1" x14ac:dyDescent="0.25">
      <c r="A7151" s="2" t="s">
        <v>6643</v>
      </c>
      <c r="B7151" s="80" t="s">
        <v>1046</v>
      </c>
      <c r="C7151" s="90">
        <v>43475</v>
      </c>
      <c r="D7151" s="2" t="s">
        <v>59</v>
      </c>
      <c r="E7151" s="92" t="s">
        <v>20066</v>
      </c>
      <c r="F7151" s="93" t="s">
        <v>5684</v>
      </c>
    </row>
    <row r="7152" spans="1:10" ht="14.1" customHeight="1" x14ac:dyDescent="0.25">
      <c r="A7152" s="1"/>
      <c r="B7152" s="80" t="s">
        <v>10788</v>
      </c>
      <c r="C7152" s="91">
        <f>IF(C7151="","",IF(AND(MONTH(C7151)&gt;=1,MONTH(C7151)&lt;=3),1,IF(AND(MONTH(C7151)&gt;=4,MONTH(C7151)&lt;=6),2,IF(AND(MONTH(C7151)&gt;=7,MONTH(C7151)&lt;=9),3,4))))</f>
        <v>1</v>
      </c>
      <c r="D7152" s="1"/>
      <c r="E7152" s="92" t="s">
        <v>14822</v>
      </c>
      <c r="F7152" s="93"/>
    </row>
    <row r="7153" spans="1:6" ht="14.1" customHeight="1" x14ac:dyDescent="0.25">
      <c r="A7153" s="1"/>
      <c r="B7153" s="80" t="s">
        <v>13758</v>
      </c>
      <c r="C7153" s="90">
        <v>43554</v>
      </c>
      <c r="D7153" s="1"/>
      <c r="E7153" s="92" t="s">
        <v>18636</v>
      </c>
      <c r="F7153" s="93"/>
    </row>
    <row r="7154" spans="1:6" ht="14.1" customHeight="1" x14ac:dyDescent="0.25">
      <c r="A7154" s="1"/>
      <c r="B7154" s="80" t="s">
        <v>10788</v>
      </c>
      <c r="C7154" s="91">
        <f>IF(C7153="","",IF(AND(MONTH(C7153)&gt;=1,MONTH(C7153)&lt;=3),1,IF(AND(MONTH(C7153)&gt;=4,MONTH(C7153)&lt;=6),2,IF(AND(MONTH(C7153)&gt;=7,MONTH(C7153)&lt;=9),3,4))))</f>
        <v>1</v>
      </c>
      <c r="D7154" s="1"/>
      <c r="E7154" s="92" t="s">
        <v>15990</v>
      </c>
      <c r="F7154" s="93"/>
    </row>
    <row r="7156" spans="1:6" ht="14.1" customHeight="1" x14ac:dyDescent="0.25">
      <c r="A7156" s="85" t="s">
        <v>15474</v>
      </c>
      <c r="B7156" s="85" t="s">
        <v>5027</v>
      </c>
      <c r="C7156" s="85" t="s">
        <v>17461</v>
      </c>
      <c r="D7156" s="85" t="s">
        <v>3935</v>
      </c>
      <c r="E7156" s="85" t="s">
        <v>10722</v>
      </c>
      <c r="F7156" s="85" t="s">
        <v>18237</v>
      </c>
    </row>
    <row r="7157" spans="1:6" ht="14.1" customHeight="1" x14ac:dyDescent="0.25">
      <c r="A7157" s="94" t="s">
        <v>2064</v>
      </c>
      <c r="B7157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157" s="95" t="str">
        <f>IFERROR(VLOOKUP("UD",'Informacion '!P:Q,2,FALSE),"")</f>
        <v>Unidad</v>
      </c>
      <c r="D7157" s="94">
        <v>3</v>
      </c>
      <c r="E7157" s="84">
        <v>826.44</v>
      </c>
      <c r="F7157" s="83">
        <f t="shared" ref="F7157:F7188" ca="1" si="290">INDIRECT(ADDRESS(ROW(),COLUMN()-2,4))*INDIRECT(ADDRESS(ROW(),COLUMN()-1,4))</f>
        <v>2479.3200000000002</v>
      </c>
    </row>
    <row r="7158" spans="1:6" ht="14.1" customHeight="1" x14ac:dyDescent="0.25">
      <c r="A7158" s="94" t="s">
        <v>6266</v>
      </c>
      <c r="B7158" s="82" t="str">
        <f ca="1">IFERROR(INDEX(UNSPSCDes,MATCH(INDIRECT(ADDRESS(ROW(),COLUMN()-1,4)),UNSPSCCode,0)),IF(INDIRECT(ADDRESS(ROW(),COLUMN()-1,4))="30151701","Boquillas de bajantes",""))</f>
        <v>Boquillas de bajantes</v>
      </c>
      <c r="C7158" s="95" t="str">
        <f>IFERROR(VLOOKUP("UD",'Informacion '!P:Q,2,FALSE),"")</f>
        <v>Unidad</v>
      </c>
      <c r="D7158" s="94">
        <v>88</v>
      </c>
      <c r="E7158" s="84">
        <v>6.45</v>
      </c>
      <c r="F7158" s="83">
        <f t="shared" ca="1" si="290"/>
        <v>567.6</v>
      </c>
    </row>
    <row r="7159" spans="1:6" ht="14.1" customHeight="1" x14ac:dyDescent="0.25">
      <c r="A7159" s="94" t="s">
        <v>3216</v>
      </c>
      <c r="B7159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159" s="95" t="str">
        <f>IFERROR(VLOOKUP("UD",'Informacion '!P:Q,2,FALSE),"")</f>
        <v>Unidad</v>
      </c>
      <c r="D7159" s="94">
        <v>4</v>
      </c>
      <c r="E7159" s="84">
        <v>17.8</v>
      </c>
      <c r="F7159" s="83">
        <f t="shared" ca="1" si="290"/>
        <v>71.2</v>
      </c>
    </row>
    <row r="7160" spans="1:6" ht="14.1" customHeight="1" x14ac:dyDescent="0.25">
      <c r="A7160" s="94" t="s">
        <v>4298</v>
      </c>
      <c r="B7160" s="82" t="str">
        <f ca="1">IFERROR(INDEX(UNSPSCDes,MATCH(INDIRECT(ADDRESS(ROW(),COLUMN()-1,4)),UNSPSCCode,0)),IF(INDIRECT(ADDRESS(ROW(),COLUMN()-1,4))="39121436","Electrodos",""))</f>
        <v>Electrodos</v>
      </c>
      <c r="C7160" s="95" t="str">
        <f>IFERROR(VLOOKUP("UD",'Informacion '!P:Q,2,FALSE),"")</f>
        <v>Unidad</v>
      </c>
      <c r="D7160" s="94">
        <v>61</v>
      </c>
      <c r="E7160" s="84">
        <v>5.95</v>
      </c>
      <c r="F7160" s="83">
        <f t="shared" ca="1" si="290"/>
        <v>362.95</v>
      </c>
    </row>
    <row r="7161" spans="1:6" ht="14.1" customHeight="1" x14ac:dyDescent="0.25">
      <c r="A7161" s="94" t="s">
        <v>4298</v>
      </c>
      <c r="B7161" s="82" t="str">
        <f ca="1">IFERROR(INDEX(UNSPSCDes,MATCH(INDIRECT(ADDRESS(ROW(),COLUMN()-1,4)),UNSPSCCode,0)),IF(INDIRECT(ADDRESS(ROW(),COLUMN()-1,4))="39121436","Electrodos",""))</f>
        <v>Electrodos</v>
      </c>
      <c r="C7161" s="95" t="str">
        <f>IFERROR(VLOOKUP("UD",'Informacion '!P:Q,2,FALSE),"")</f>
        <v>Unidad</v>
      </c>
      <c r="D7161" s="94">
        <v>3</v>
      </c>
      <c r="E7161" s="84">
        <v>462.09</v>
      </c>
      <c r="F7161" s="83">
        <f t="shared" ca="1" si="290"/>
        <v>1386.27</v>
      </c>
    </row>
    <row r="7162" spans="1:6" ht="14.1" customHeight="1" x14ac:dyDescent="0.25">
      <c r="A7162" s="94" t="s">
        <v>4298</v>
      </c>
      <c r="B7162" s="82" t="str">
        <f ca="1">IFERROR(INDEX(UNSPSCDes,MATCH(INDIRECT(ADDRESS(ROW(),COLUMN()-1,4)),UNSPSCCode,0)),IF(INDIRECT(ADDRESS(ROW(),COLUMN()-1,4))="39121436","Electrodos",""))</f>
        <v>Electrodos</v>
      </c>
      <c r="C7162" s="95" t="str">
        <f>IFERROR(VLOOKUP("UD",'Informacion '!P:Q,2,FALSE),"")</f>
        <v>Unidad</v>
      </c>
      <c r="D7162" s="94">
        <v>3</v>
      </c>
      <c r="E7162" s="84">
        <v>462.09</v>
      </c>
      <c r="F7162" s="83">
        <f t="shared" ca="1" si="290"/>
        <v>1386.27</v>
      </c>
    </row>
    <row r="7163" spans="1:6" ht="14.1" customHeight="1" x14ac:dyDescent="0.25">
      <c r="A7163" s="94" t="s">
        <v>4298</v>
      </c>
      <c r="B7163" s="82" t="str">
        <f ca="1">IFERROR(INDEX(UNSPSCDes,MATCH(INDIRECT(ADDRESS(ROW(),COLUMN()-1,4)),UNSPSCCode,0)),IF(INDIRECT(ADDRESS(ROW(),COLUMN()-1,4))="39121436","Electrodos",""))</f>
        <v>Electrodos</v>
      </c>
      <c r="C7163" s="95" t="str">
        <f>IFERROR(VLOOKUP("UD",'Informacion '!P:Q,2,FALSE),"")</f>
        <v>Unidad</v>
      </c>
      <c r="D7163" s="94">
        <v>3</v>
      </c>
      <c r="E7163" s="84">
        <v>462.09</v>
      </c>
      <c r="F7163" s="83">
        <f t="shared" ca="1" si="290"/>
        <v>1386.27</v>
      </c>
    </row>
    <row r="7164" spans="1:6" ht="14.1" customHeight="1" x14ac:dyDescent="0.25">
      <c r="A7164" s="94" t="s">
        <v>4298</v>
      </c>
      <c r="B7164" s="82" t="str">
        <f ca="1">IFERROR(INDEX(UNSPSCDes,MATCH(INDIRECT(ADDRESS(ROW(),COLUMN()-1,4)),UNSPSCCode,0)),IF(INDIRECT(ADDRESS(ROW(),COLUMN()-1,4))="39121436","Electrodos",""))</f>
        <v>Electrodos</v>
      </c>
      <c r="C7164" s="95" t="str">
        <f>IFERROR(VLOOKUP("UD",'Informacion '!P:Q,2,FALSE),"")</f>
        <v>Unidad</v>
      </c>
      <c r="D7164" s="94">
        <v>3</v>
      </c>
      <c r="E7164" s="84">
        <v>432.36</v>
      </c>
      <c r="F7164" s="83">
        <f t="shared" ca="1" si="290"/>
        <v>1297.08</v>
      </c>
    </row>
    <row r="7165" spans="1:6" ht="14.1" customHeight="1" x14ac:dyDescent="0.25">
      <c r="A7165" s="94" t="s">
        <v>7220</v>
      </c>
      <c r="B7165" s="82" t="str">
        <f ca="1">IFERROR(INDEX(UNSPSCDes,MATCH(INDIRECT(ADDRESS(ROW(),COLUMN()-1,4)),UNSPSCCode,0)),IF(INDIRECT(ADDRESS(ROW(),COLUMN()-1,4))="42142502","Agujas para anestesia",""))</f>
        <v>Agujas para anestesia</v>
      </c>
      <c r="C7165" s="95" t="str">
        <f>IFERROR(VLOOKUP("UD",'Informacion '!P:Q,2,FALSE),"")</f>
        <v>Unidad</v>
      </c>
      <c r="D7165" s="94">
        <v>85</v>
      </c>
      <c r="E7165" s="84">
        <v>70.8</v>
      </c>
      <c r="F7165" s="83">
        <f t="shared" ca="1" si="290"/>
        <v>6018</v>
      </c>
    </row>
    <row r="7166" spans="1:6" ht="14.1" customHeight="1" x14ac:dyDescent="0.25">
      <c r="A7166" s="94" t="s">
        <v>502</v>
      </c>
      <c r="B7166" s="82" t="str">
        <f ca="1">IFERROR(INDEX(UNSPSCDes,MATCH(INDIRECT(ADDRESS(ROW(),COLUMN()-1,4)),UNSPSCCode,0)),IF(INDIRECT(ADDRESS(ROW(),COLUMN()-1,4))="12161503","Kits de reactivos",""))</f>
        <v>Kits de reactivos</v>
      </c>
      <c r="C7166" s="95" t="str">
        <f>IFERROR(VLOOKUP("UD",'Informacion '!P:Q,2,FALSE),"")</f>
        <v>Unidad</v>
      </c>
      <c r="D7166" s="94">
        <v>9</v>
      </c>
      <c r="E7166" s="84">
        <v>2244.91</v>
      </c>
      <c r="F7166" s="83">
        <f t="shared" ca="1" si="290"/>
        <v>20204.189999999999</v>
      </c>
    </row>
    <row r="7167" spans="1:6" ht="14.1" customHeight="1" x14ac:dyDescent="0.25">
      <c r="A7167" s="94" t="s">
        <v>19048</v>
      </c>
      <c r="B7167" s="82" t="str">
        <f ca="1">IFERROR(INDEX(UNSPSCDes,MATCH(INDIRECT(ADDRESS(ROW(),COLUMN()-1,4)),UNSPSCCode,0)),IF(INDIRECT(ADDRESS(ROW(),COLUMN()-1,4))="23191202","Cuchillas de mezcladora",""))</f>
        <v>Cuchillas de mezcladora</v>
      </c>
      <c r="C7167" s="95" t="str">
        <f>IFERROR(VLOOKUP("UD",'Informacion '!P:Q,2,FALSE),"")</f>
        <v>Unidad</v>
      </c>
      <c r="D7167" s="94">
        <v>102</v>
      </c>
      <c r="E7167" s="84">
        <v>115.64</v>
      </c>
      <c r="F7167" s="83">
        <f t="shared" ca="1" si="290"/>
        <v>11795.28</v>
      </c>
    </row>
    <row r="7168" spans="1:6" ht="14.1" customHeight="1" x14ac:dyDescent="0.25">
      <c r="A7168" s="94" t="s">
        <v>19048</v>
      </c>
      <c r="B7168" s="82" t="str">
        <f ca="1">IFERROR(INDEX(UNSPSCDes,MATCH(INDIRECT(ADDRESS(ROW(),COLUMN()-1,4)),UNSPSCCode,0)),IF(INDIRECT(ADDRESS(ROW(),COLUMN()-1,4))="23191202","Cuchillas de mezcladora",""))</f>
        <v>Cuchillas de mezcladora</v>
      </c>
      <c r="C7168" s="95" t="str">
        <f>IFERROR(VLOOKUP("UD",'Informacion '!P:Q,2,FALSE),"")</f>
        <v>Unidad</v>
      </c>
      <c r="D7168" s="94">
        <v>39</v>
      </c>
      <c r="E7168" s="84">
        <v>113.42</v>
      </c>
      <c r="F7168" s="83">
        <f t="shared" ca="1" si="290"/>
        <v>4423.38</v>
      </c>
    </row>
    <row r="7169" spans="1:6" ht="14.1" customHeight="1" x14ac:dyDescent="0.25">
      <c r="A7169" s="94" t="s">
        <v>11857</v>
      </c>
      <c r="B7169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169" s="95" t="str">
        <f>IFERROR(VLOOKUP("UD",'Informacion '!P:Q,2,FALSE),"")</f>
        <v>Unidad</v>
      </c>
      <c r="D7169" s="94">
        <v>122</v>
      </c>
      <c r="E7169" s="84">
        <v>1.7</v>
      </c>
      <c r="F7169" s="83">
        <f t="shared" ca="1" si="290"/>
        <v>207.4</v>
      </c>
    </row>
    <row r="7170" spans="1:6" ht="14.1" customHeight="1" x14ac:dyDescent="0.25">
      <c r="A7170" s="94" t="s">
        <v>4829</v>
      </c>
      <c r="B7170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170" s="95" t="str">
        <f>IFERROR(VLOOKUP("UD",'Informacion '!P:Q,2,FALSE),"")</f>
        <v>Unidad</v>
      </c>
      <c r="D7170" s="94">
        <v>102</v>
      </c>
      <c r="E7170" s="84">
        <v>11.13</v>
      </c>
      <c r="F7170" s="83">
        <f t="shared" ca="1" si="290"/>
        <v>1135.26</v>
      </c>
    </row>
    <row r="7171" spans="1:6" ht="14.1" customHeight="1" x14ac:dyDescent="0.25">
      <c r="A7171" s="94" t="s">
        <v>4829</v>
      </c>
      <c r="B7171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171" s="95" t="str">
        <f>IFERROR(VLOOKUP("UD",'Informacion '!P:Q,2,FALSE),"")</f>
        <v>Unidad</v>
      </c>
      <c r="D7171" s="94">
        <v>2</v>
      </c>
      <c r="E7171" s="84">
        <v>637.20000000000005</v>
      </c>
      <c r="F7171" s="83">
        <f t="shared" ca="1" si="290"/>
        <v>1274.4000000000001</v>
      </c>
    </row>
    <row r="7172" spans="1:6" ht="14.1" customHeight="1" x14ac:dyDescent="0.25">
      <c r="A7172" s="94" t="s">
        <v>7030</v>
      </c>
      <c r="B7172" s="82" t="str">
        <f ca="1">IFERROR(INDEX(UNSPSCDes,MATCH(INDIRECT(ADDRESS(ROW(),COLUMN()-1,4)),UNSPSCCode,0)),IF(INDIRECT(ADDRESS(ROW(),COLUMN()-1,4))="42272220","Accesorios para ventiladores",""))</f>
        <v>Accesorios para ventiladores</v>
      </c>
      <c r="C7172" s="95" t="str">
        <f>IFERROR(VLOOKUP("UD",'Informacion '!P:Q,2,FALSE),"")</f>
        <v>Unidad</v>
      </c>
      <c r="D7172" s="94">
        <v>41</v>
      </c>
      <c r="E7172" s="84">
        <v>351.05</v>
      </c>
      <c r="F7172" s="83">
        <f t="shared" ca="1" si="290"/>
        <v>14393.050000000001</v>
      </c>
    </row>
    <row r="7173" spans="1:6" ht="14.1" customHeight="1" x14ac:dyDescent="0.25">
      <c r="A7173" s="94" t="s">
        <v>7820</v>
      </c>
      <c r="B7173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173" s="95" t="str">
        <f>IFERROR(VLOOKUP("UD",'Informacion '!P:Q,2,FALSE),"")</f>
        <v>Unidad</v>
      </c>
      <c r="D7173" s="94">
        <v>72</v>
      </c>
      <c r="E7173" s="84">
        <v>127.44</v>
      </c>
      <c r="F7173" s="83">
        <f t="shared" ca="1" si="290"/>
        <v>9175.68</v>
      </c>
    </row>
    <row r="7174" spans="1:6" ht="14.1" customHeight="1" x14ac:dyDescent="0.25">
      <c r="A7174" s="94" t="s">
        <v>5706</v>
      </c>
      <c r="B7174" s="82" t="str">
        <f ca="1">IFERROR(INDEX(UNSPSCDes,MATCH(INDIRECT(ADDRESS(ROW(),COLUMN()-1,4)),UNSPSCCode,0)),IF(INDIRECT(ADDRESS(ROW(),COLUMN()-1,4))="41104014","Aplicadores de muestras",""))</f>
        <v>Aplicadores de muestras</v>
      </c>
      <c r="C7174" s="95" t="str">
        <f>IFERROR(VLOOKUP("UD",'Informacion '!P:Q,2,FALSE),"")</f>
        <v>Unidad</v>
      </c>
      <c r="D7174" s="94">
        <v>1719</v>
      </c>
      <c r="E7174" s="84">
        <v>0.45</v>
      </c>
      <c r="F7174" s="83">
        <f t="shared" ca="1" si="290"/>
        <v>773.55000000000007</v>
      </c>
    </row>
    <row r="7175" spans="1:6" ht="14.1" customHeight="1" x14ac:dyDescent="0.25">
      <c r="A7175" s="94" t="s">
        <v>5112</v>
      </c>
      <c r="B7175" s="82" t="str">
        <f ca="1">IFERROR(INDEX(UNSPSCDes,MATCH(INDIRECT(ADDRESS(ROW(),COLUMN()-1,4)),UNSPSCCode,0)),IF(INDIRECT(ADDRESS(ROW(),COLUMN()-1,4))="42294101","Lazos de tracción o bucles de tracción o productos relacionados para uso quirúrgico",""))</f>
        <v>Lazos de tracción o bucles de tracción o productos relacionados para uso quirúrgico</v>
      </c>
      <c r="C7175" s="95" t="str">
        <f>IFERROR(VLOOKUP("UD",'Informacion '!P:Q,2,FALSE),"")</f>
        <v>Unidad</v>
      </c>
      <c r="D7175" s="94">
        <v>1</v>
      </c>
      <c r="E7175" s="84">
        <v>548.69000000000005</v>
      </c>
      <c r="F7175" s="83">
        <f t="shared" ca="1" si="290"/>
        <v>548.69000000000005</v>
      </c>
    </row>
    <row r="7176" spans="1:6" ht="14.1" customHeight="1" x14ac:dyDescent="0.25">
      <c r="A7176" s="94" t="s">
        <v>12725</v>
      </c>
      <c r="B7176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7176" s="95" t="str">
        <f>IFERROR(VLOOKUP("UD",'Informacion '!P:Q,2,FALSE),"")</f>
        <v>Unidad</v>
      </c>
      <c r="D7176" s="94">
        <v>50</v>
      </c>
      <c r="E7176" s="84">
        <v>317.95</v>
      </c>
      <c r="F7176" s="83">
        <f t="shared" ca="1" si="290"/>
        <v>15897.5</v>
      </c>
    </row>
    <row r="7177" spans="1:6" ht="14.1" customHeight="1" x14ac:dyDescent="0.25">
      <c r="A7177" s="94" t="s">
        <v>9743</v>
      </c>
      <c r="B7177" s="82" t="str">
        <f ca="1">IFERROR(INDEX(UNSPSCDes,MATCH(INDIRECT(ADDRESS(ROW(),COLUMN()-1,4)),UNSPSCCode,0)),IF(INDIRECT(ADDRESS(ROW(),COLUMN()-1,4))="42312109","Anillos de bolsa para ostomía",""))</f>
        <v>Anillos de bolsa para ostomía</v>
      </c>
      <c r="C7177" s="95" t="str">
        <f>IFERROR(VLOOKUP("UD",'Informacion '!P:Q,2,FALSE),"")</f>
        <v>Unidad</v>
      </c>
      <c r="D7177" s="94">
        <v>43</v>
      </c>
      <c r="E7177" s="84">
        <v>317.20999999999998</v>
      </c>
      <c r="F7177" s="83">
        <f t="shared" ca="1" si="290"/>
        <v>13640.029999999999</v>
      </c>
    </row>
    <row r="7178" spans="1:6" ht="14.1" customHeight="1" x14ac:dyDescent="0.25">
      <c r="A7178" s="94" t="s">
        <v>12107</v>
      </c>
      <c r="B7178" s="82" t="str">
        <f ca="1">IFERROR(INDEX(UNSPSCDes,MATCH(INDIRECT(ADDRESS(ROW(),COLUMN()-1,4)),UNSPSCCode,0)),IF(INDIRECT(ADDRESS(ROW(),COLUMN()-1,4))="27112105","Pinzas",""))</f>
        <v>Pinzas</v>
      </c>
      <c r="C7178" s="95" t="str">
        <f>IFERROR(VLOOKUP("UD",'Informacion '!P:Q,2,FALSE),"")</f>
        <v>Unidad</v>
      </c>
      <c r="D7178" s="94">
        <v>1</v>
      </c>
      <c r="E7178" s="84">
        <v>95.71</v>
      </c>
      <c r="F7178" s="83">
        <f t="shared" ca="1" si="290"/>
        <v>95.71</v>
      </c>
    </row>
    <row r="7179" spans="1:6" ht="14.1" customHeight="1" x14ac:dyDescent="0.25">
      <c r="A7179" s="94" t="s">
        <v>3228</v>
      </c>
      <c r="B7179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179" s="95" t="str">
        <f>IFERROR(VLOOKUP("UD",'Informacion '!P:Q,2,FALSE),"")</f>
        <v>Unidad</v>
      </c>
      <c r="D7179" s="94">
        <v>2</v>
      </c>
      <c r="E7179" s="84">
        <v>19900.7</v>
      </c>
      <c r="F7179" s="83">
        <f t="shared" ca="1" si="290"/>
        <v>39801.4</v>
      </c>
    </row>
    <row r="7180" spans="1:6" ht="14.1" customHeight="1" x14ac:dyDescent="0.25">
      <c r="A7180" s="94" t="s">
        <v>3228</v>
      </c>
      <c r="B7180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180" s="95" t="str">
        <f>IFERROR(VLOOKUP("UD",'Informacion '!P:Q,2,FALSE),"")</f>
        <v>Unidad</v>
      </c>
      <c r="D7180" s="94">
        <v>1</v>
      </c>
      <c r="E7180" s="84">
        <v>19900.7</v>
      </c>
      <c r="F7180" s="83">
        <f t="shared" ca="1" si="290"/>
        <v>19900.7</v>
      </c>
    </row>
    <row r="7181" spans="1:6" ht="14.1" customHeight="1" x14ac:dyDescent="0.25">
      <c r="A7181" s="94" t="s">
        <v>2946</v>
      </c>
      <c r="B7181" s="82" t="str">
        <f ca="1">IFERROR(INDEX(UNSPSCDes,MATCH(INDIRECT(ADDRESS(ROW(),COLUMN()-1,4)),UNSPSCCode,0)),IF(INDIRECT(ADDRESS(ROW(),COLUMN()-1,4))="14121812","Papel de fotografía",""))</f>
        <v>Papel de fotografía</v>
      </c>
      <c r="C7181" s="95" t="str">
        <f>IFERROR(VLOOKUP("UD",'Informacion '!P:Q,2,FALSE),"")</f>
        <v>Unidad</v>
      </c>
      <c r="D7181" s="94">
        <v>5</v>
      </c>
      <c r="E7181" s="84">
        <v>9333.02</v>
      </c>
      <c r="F7181" s="83">
        <f t="shared" ca="1" si="290"/>
        <v>46665.100000000006</v>
      </c>
    </row>
    <row r="7182" spans="1:6" ht="14.1" customHeight="1" x14ac:dyDescent="0.25">
      <c r="A7182" s="94" t="s">
        <v>1279</v>
      </c>
      <c r="B7182" s="82" t="str">
        <f ca="1">IFERROR(INDEX(UNSPSCDes,MATCH(INDIRECT(ADDRESS(ROW(),COLUMN()-1,4)),UNSPSCCode,0)),IF(INDIRECT(ADDRESS(ROW(),COLUMN()-1,4))="42231701","Tubos nasogástricos",""))</f>
        <v>Tubos nasogástricos</v>
      </c>
      <c r="C7182" s="95" t="str">
        <f>IFERROR(VLOOKUP("UD",'Informacion '!P:Q,2,FALSE),"")</f>
        <v>Unidad</v>
      </c>
      <c r="D7182" s="94">
        <v>5</v>
      </c>
      <c r="E7182" s="84">
        <v>9.7899999999999991</v>
      </c>
      <c r="F7182" s="83">
        <f t="shared" ca="1" si="290"/>
        <v>48.949999999999996</v>
      </c>
    </row>
    <row r="7183" spans="1:6" ht="14.1" customHeight="1" x14ac:dyDescent="0.25">
      <c r="A7183" s="94" t="s">
        <v>8919</v>
      </c>
      <c r="B7183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7183" s="95" t="str">
        <f>IFERROR(VLOOKUP("UD",'Informacion '!P:Q,2,FALSE),"")</f>
        <v>Unidad</v>
      </c>
      <c r="D7183" s="94">
        <v>607</v>
      </c>
      <c r="E7183" s="84">
        <v>0.57999999999999996</v>
      </c>
      <c r="F7183" s="83">
        <f t="shared" ca="1" si="290"/>
        <v>352.06</v>
      </c>
    </row>
    <row r="7184" spans="1:6" ht="14.1" customHeight="1" x14ac:dyDescent="0.25">
      <c r="A7184" s="94" t="s">
        <v>10483</v>
      </c>
      <c r="B718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184" s="95" t="str">
        <f>IFERROR(VLOOKUP("UD",'Informacion '!P:Q,2,FALSE),"")</f>
        <v>Unidad</v>
      </c>
      <c r="D7184" s="94">
        <v>18</v>
      </c>
      <c r="E7184" s="84">
        <v>290</v>
      </c>
      <c r="F7184" s="83">
        <f t="shared" ca="1" si="290"/>
        <v>5220</v>
      </c>
    </row>
    <row r="7185" spans="1:6" ht="14.1" customHeight="1" x14ac:dyDescent="0.25">
      <c r="A7185" s="94" t="s">
        <v>5212</v>
      </c>
      <c r="B7185" s="82" t="str">
        <f ca="1">IFERROR(INDEX(UNSPSCDes,MATCH(INDIRECT(ADDRESS(ROW(),COLUMN()-1,4)),UNSPSCCode,0)),IF(INDIRECT(ADDRESS(ROW(),COLUMN()-1,4))="23153035","Placa",""))</f>
        <v>Placa</v>
      </c>
      <c r="C7185" s="95" t="str">
        <f>IFERROR(VLOOKUP("UD",'Informacion '!P:Q,2,FALSE),"")</f>
        <v>Unidad</v>
      </c>
      <c r="D7185" s="94">
        <v>2</v>
      </c>
      <c r="E7185" s="84">
        <v>152.96</v>
      </c>
      <c r="F7185" s="83">
        <f t="shared" ca="1" si="290"/>
        <v>305.92</v>
      </c>
    </row>
    <row r="7186" spans="1:6" ht="14.1" customHeight="1" x14ac:dyDescent="0.25">
      <c r="A7186" s="94" t="s">
        <v>7820</v>
      </c>
      <c r="B7186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186" s="95" t="str">
        <f>IFERROR(VLOOKUP("UD",'Informacion '!P:Q,2,FALSE),"")</f>
        <v>Unidad</v>
      </c>
      <c r="D7186" s="94">
        <v>39</v>
      </c>
      <c r="E7186" s="84">
        <v>129.80000000000001</v>
      </c>
      <c r="F7186" s="83">
        <f t="shared" ca="1" si="290"/>
        <v>5062.2000000000007</v>
      </c>
    </row>
    <row r="7187" spans="1:6" ht="14.1" customHeight="1" x14ac:dyDescent="0.25">
      <c r="A7187" s="94" t="s">
        <v>4306</v>
      </c>
      <c r="B7187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187" s="95" t="str">
        <f>IFERROR(VLOOKUP("UD",'Informacion '!P:Q,2,FALSE),"")</f>
        <v>Unidad</v>
      </c>
      <c r="D7187" s="94">
        <v>2</v>
      </c>
      <c r="E7187" s="84">
        <v>940</v>
      </c>
      <c r="F7187" s="83">
        <f t="shared" ca="1" si="290"/>
        <v>1880</v>
      </c>
    </row>
    <row r="7188" spans="1:6" ht="14.1" customHeight="1" x14ac:dyDescent="0.25">
      <c r="A7188" s="94" t="s">
        <v>4298</v>
      </c>
      <c r="B7188" s="82" t="str">
        <f ca="1">IFERROR(INDEX(UNSPSCDes,MATCH(INDIRECT(ADDRESS(ROW(),COLUMN()-1,4)),UNSPSCCode,0)),IF(INDIRECT(ADDRESS(ROW(),COLUMN()-1,4))="39121436","Electrodos",""))</f>
        <v>Electrodos</v>
      </c>
      <c r="C7188" s="95" t="str">
        <f>IFERROR(VLOOKUP("UD",'Informacion '!P:Q,2,FALSE),"")</f>
        <v>Unidad</v>
      </c>
      <c r="D7188" s="94">
        <v>7</v>
      </c>
      <c r="E7188" s="84">
        <v>649.99</v>
      </c>
      <c r="F7188" s="83">
        <f t="shared" ca="1" si="290"/>
        <v>4549.93</v>
      </c>
    </row>
    <row r="7189" spans="1:6" ht="14.1" customHeight="1" x14ac:dyDescent="0.25">
      <c r="A7189" s="94" t="s">
        <v>16391</v>
      </c>
      <c r="B7189" s="82" t="str">
        <f ca="1">IFERROR(INDEX(UNSPSCDes,MATCH(INDIRECT(ADDRESS(ROW(),COLUMN()-1,4)),UNSPSCCode,0)),IF(INDIRECT(ADDRESS(ROW(),COLUMN()-1,4))="42142615","Accesorios para jeringas",""))</f>
        <v>Accesorios para jeringas</v>
      </c>
      <c r="C7189" s="95" t="str">
        <f>IFERROR(VLOOKUP("UD",'Informacion '!P:Q,2,FALSE),"")</f>
        <v>Unidad</v>
      </c>
      <c r="D7189" s="94">
        <v>160</v>
      </c>
      <c r="E7189" s="84">
        <v>1.43</v>
      </c>
      <c r="F7189" s="83">
        <f t="shared" ref="F7189:F7220" ca="1" si="291">INDIRECT(ADDRESS(ROW(),COLUMN()-2,4))*INDIRECT(ADDRESS(ROW(),COLUMN()-1,4))</f>
        <v>228.79999999999998</v>
      </c>
    </row>
    <row r="7190" spans="1:6" ht="14.1" customHeight="1" x14ac:dyDescent="0.25">
      <c r="A7190" s="94" t="s">
        <v>4298</v>
      </c>
      <c r="B7190" s="82" t="str">
        <f ca="1">IFERROR(INDEX(UNSPSCDes,MATCH(INDIRECT(ADDRESS(ROW(),COLUMN()-1,4)),UNSPSCCode,0)),IF(INDIRECT(ADDRESS(ROW(),COLUMN()-1,4))="39121436","Electrodos",""))</f>
        <v>Electrodos</v>
      </c>
      <c r="C7190" s="95" t="str">
        <f>IFERROR(VLOOKUP("UD",'Informacion '!P:Q,2,FALSE),"")</f>
        <v>Unidad</v>
      </c>
      <c r="D7190" s="94">
        <v>183</v>
      </c>
      <c r="E7190" s="84">
        <v>5.19</v>
      </c>
      <c r="F7190" s="83">
        <f t="shared" ca="1" si="291"/>
        <v>949.7700000000001</v>
      </c>
    </row>
    <row r="7191" spans="1:6" ht="14.1" customHeight="1" x14ac:dyDescent="0.25">
      <c r="A7191" s="94" t="s">
        <v>435</v>
      </c>
      <c r="B719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191" s="95" t="str">
        <f>IFERROR(VLOOKUP("UD",'Informacion '!P:Q,2,FALSE),"")</f>
        <v>Unidad</v>
      </c>
      <c r="D7191" s="94">
        <v>47</v>
      </c>
      <c r="E7191" s="84">
        <v>17.940000000000001</v>
      </c>
      <c r="F7191" s="83">
        <f t="shared" ca="1" si="291"/>
        <v>843.18000000000006</v>
      </c>
    </row>
    <row r="7192" spans="1:6" ht="14.1" customHeight="1" x14ac:dyDescent="0.25">
      <c r="A7192" s="94" t="s">
        <v>16379</v>
      </c>
      <c r="B7192" s="82" t="str">
        <f ca="1">IFERROR(INDEX(UNSPSCDes,MATCH(INDIRECT(ADDRESS(ROW(),COLUMN()-1,4)),UNSPSCCode,0)),IF(INDIRECT(ADDRESS(ROW(),COLUMN()-1,4))="53131608","Jabones",""))</f>
        <v>Jabones</v>
      </c>
      <c r="C7192" s="95" t="str">
        <f>IFERROR(VLOOKUP("UD",'Informacion '!P:Q,2,FALSE),"")</f>
        <v>Unidad</v>
      </c>
      <c r="D7192" s="94">
        <v>13</v>
      </c>
      <c r="E7192" s="84">
        <v>1986.63</v>
      </c>
      <c r="F7192" s="83">
        <f t="shared" ca="1" si="291"/>
        <v>25826.190000000002</v>
      </c>
    </row>
    <row r="7193" spans="1:6" ht="14.1" customHeight="1" x14ac:dyDescent="0.25">
      <c r="A7193" s="94" t="s">
        <v>5557</v>
      </c>
      <c r="B7193" s="82" t="str">
        <f ca="1">IFERROR(INDEX(UNSPSCDes,MATCH(INDIRECT(ADDRESS(ROW(),COLUMN()-1,4)),UNSPSCCode,0)),IF(INDIRECT(ADDRESS(ROW(),COLUMN()-1,4))="51211615","Azul de metileno",""))</f>
        <v>Azul de metileno</v>
      </c>
      <c r="C7193" s="95" t="str">
        <f>IFERROR(VLOOKUP("UD",'Informacion '!P:Q,2,FALSE),"")</f>
        <v>Unidad</v>
      </c>
      <c r="D7193" s="94">
        <v>2</v>
      </c>
      <c r="E7193" s="84">
        <v>21.53</v>
      </c>
      <c r="F7193" s="83">
        <f t="shared" ca="1" si="291"/>
        <v>43.06</v>
      </c>
    </row>
    <row r="7194" spans="1:6" ht="14.1" customHeight="1" x14ac:dyDescent="0.25">
      <c r="A7194" s="94" t="s">
        <v>18840</v>
      </c>
      <c r="B7194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7194" s="95" t="str">
        <f>IFERROR(VLOOKUP("UD",'Informacion '!P:Q,2,FALSE),"")</f>
        <v>Unidad</v>
      </c>
      <c r="D7194" s="94">
        <v>34</v>
      </c>
      <c r="E7194" s="84">
        <v>135.94</v>
      </c>
      <c r="F7194" s="83">
        <f t="shared" ca="1" si="291"/>
        <v>4621.96</v>
      </c>
    </row>
    <row r="7195" spans="1:6" ht="14.1" customHeight="1" x14ac:dyDescent="0.25">
      <c r="A7195" s="94" t="s">
        <v>2726</v>
      </c>
      <c r="B7195" s="82" t="str">
        <f ca="1">IFERROR(INDEX(UNSPSCDes,MATCH(INDIRECT(ADDRESS(ROW(),COLUMN()-1,4)),UNSPSCCode,0)),IF(INDIRECT(ADDRESS(ROW(),COLUMN()-1,4))="24112602","Frascos",""))</f>
        <v>Frascos</v>
      </c>
      <c r="C7195" s="95" t="str">
        <f>IFERROR(VLOOKUP("UD",'Informacion '!P:Q,2,FALSE),"")</f>
        <v>Unidad</v>
      </c>
      <c r="D7195" s="94">
        <v>180</v>
      </c>
      <c r="E7195" s="84">
        <v>8.74</v>
      </c>
      <c r="F7195" s="83">
        <f t="shared" ca="1" si="291"/>
        <v>1573.2</v>
      </c>
    </row>
    <row r="7196" spans="1:6" ht="14.1" customHeight="1" x14ac:dyDescent="0.25">
      <c r="A7196" s="94" t="s">
        <v>2726</v>
      </c>
      <c r="B7196" s="82" t="str">
        <f ca="1">IFERROR(INDEX(UNSPSCDes,MATCH(INDIRECT(ADDRESS(ROW(),COLUMN()-1,4)),UNSPSCCode,0)),IF(INDIRECT(ADDRESS(ROW(),COLUMN()-1,4))="24112602","Frascos",""))</f>
        <v>Frascos</v>
      </c>
      <c r="C7196" s="95" t="str">
        <f>IFERROR(VLOOKUP("UD",'Informacion '!P:Q,2,FALSE),"")</f>
        <v>Unidad</v>
      </c>
      <c r="D7196" s="94">
        <v>7</v>
      </c>
      <c r="E7196" s="84">
        <v>323.01</v>
      </c>
      <c r="F7196" s="83">
        <f t="shared" ca="1" si="291"/>
        <v>2261.0699999999997</v>
      </c>
    </row>
    <row r="7197" spans="1:6" ht="14.1" customHeight="1" x14ac:dyDescent="0.25">
      <c r="A7197" s="94" t="s">
        <v>2726</v>
      </c>
      <c r="B7197" s="82" t="str">
        <f ca="1">IFERROR(INDEX(UNSPSCDes,MATCH(INDIRECT(ADDRESS(ROW(),COLUMN()-1,4)),UNSPSCCode,0)),IF(INDIRECT(ADDRESS(ROW(),COLUMN()-1,4))="24112602","Frascos",""))</f>
        <v>Frascos</v>
      </c>
      <c r="C7197" s="95" t="str">
        <f>IFERROR(VLOOKUP("UD",'Informacion '!P:Q,2,FALSE),"")</f>
        <v>Unidad</v>
      </c>
      <c r="D7197" s="94">
        <v>21</v>
      </c>
      <c r="E7197" s="84">
        <v>44.63</v>
      </c>
      <c r="F7197" s="83">
        <f t="shared" ca="1" si="291"/>
        <v>937.23</v>
      </c>
    </row>
    <row r="7198" spans="1:6" ht="14.1" customHeight="1" x14ac:dyDescent="0.25">
      <c r="A7198" s="94" t="s">
        <v>9323</v>
      </c>
      <c r="B7198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198" s="95" t="str">
        <f>IFERROR(VLOOKUP("UD",'Informacion '!P:Q,2,FALSE),"")</f>
        <v>Unidad</v>
      </c>
      <c r="D7198" s="94">
        <v>2</v>
      </c>
      <c r="E7198" s="84">
        <v>2478</v>
      </c>
      <c r="F7198" s="83">
        <f t="shared" ca="1" si="291"/>
        <v>4956</v>
      </c>
    </row>
    <row r="7199" spans="1:6" ht="14.1" customHeight="1" x14ac:dyDescent="0.25">
      <c r="A7199" s="94" t="s">
        <v>9323</v>
      </c>
      <c r="B7199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199" s="95" t="str">
        <f>IFERROR(VLOOKUP("UD",'Informacion '!P:Q,2,FALSE),"")</f>
        <v>Unidad</v>
      </c>
      <c r="D7199" s="94">
        <v>2</v>
      </c>
      <c r="E7199" s="84">
        <v>1382.29</v>
      </c>
      <c r="F7199" s="83">
        <f t="shared" ca="1" si="291"/>
        <v>2764.58</v>
      </c>
    </row>
    <row r="7200" spans="1:6" ht="14.1" customHeight="1" x14ac:dyDescent="0.25">
      <c r="A7200" s="94" t="s">
        <v>3552</v>
      </c>
      <c r="B7200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200" s="95" t="str">
        <f>IFERROR(VLOOKUP("UD",'Informacion '!P:Q,2,FALSE),"")</f>
        <v>Unidad</v>
      </c>
      <c r="D7200" s="94">
        <v>1011</v>
      </c>
      <c r="E7200" s="84">
        <v>2.13</v>
      </c>
      <c r="F7200" s="83">
        <f t="shared" ca="1" si="291"/>
        <v>2153.4299999999998</v>
      </c>
    </row>
    <row r="7201" spans="1:6" ht="14.1" customHeight="1" x14ac:dyDescent="0.25">
      <c r="A7201" s="94" t="s">
        <v>8400</v>
      </c>
      <c r="B7201" s="82" t="str">
        <f ca="1">IFERROR(INDEX(UNSPSCDes,MATCH(INDIRECT(ADDRESS(ROW(),COLUMN()-1,4)),UNSPSCCode,0)),IF(INDIRECT(ADDRESS(ROW(),COLUMN()-1,4))="12171703","Tintas",""))</f>
        <v>Tintas</v>
      </c>
      <c r="C7201" s="95" t="str">
        <f>IFERROR(VLOOKUP("UD",'Informacion '!P:Q,2,FALSE),"")</f>
        <v>Unidad</v>
      </c>
      <c r="D7201" s="94">
        <v>1</v>
      </c>
      <c r="E7201" s="84">
        <v>346.92</v>
      </c>
      <c r="F7201" s="83">
        <f t="shared" ca="1" si="291"/>
        <v>346.92</v>
      </c>
    </row>
    <row r="7202" spans="1:6" ht="14.1" customHeight="1" x14ac:dyDescent="0.25">
      <c r="A7202" s="94" t="s">
        <v>5557</v>
      </c>
      <c r="B7202" s="82" t="str">
        <f ca="1">IFERROR(INDEX(UNSPSCDes,MATCH(INDIRECT(ADDRESS(ROW(),COLUMN()-1,4)),UNSPSCCode,0)),IF(INDIRECT(ADDRESS(ROW(),COLUMN()-1,4))="51211615","Azul de metileno",""))</f>
        <v>Azul de metileno</v>
      </c>
      <c r="C7202" s="95" t="str">
        <f>IFERROR(VLOOKUP("UD",'Informacion '!P:Q,2,FALSE),"")</f>
        <v>Unidad</v>
      </c>
      <c r="D7202" s="94">
        <v>1</v>
      </c>
      <c r="E7202" s="84">
        <v>3374.8</v>
      </c>
      <c r="F7202" s="83">
        <f t="shared" ca="1" si="291"/>
        <v>3374.8</v>
      </c>
    </row>
    <row r="7203" spans="1:6" ht="14.1" customHeight="1" x14ac:dyDescent="0.25">
      <c r="A7203" s="94" t="s">
        <v>7820</v>
      </c>
      <c r="B7203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203" s="95" t="str">
        <f>IFERROR(VLOOKUP("UD",'Informacion '!P:Q,2,FALSE),"")</f>
        <v>Unidad</v>
      </c>
      <c r="D7203" s="94">
        <v>3</v>
      </c>
      <c r="E7203" s="84">
        <v>174.14</v>
      </c>
      <c r="F7203" s="83">
        <f t="shared" ca="1" si="291"/>
        <v>522.41999999999996</v>
      </c>
    </row>
    <row r="7204" spans="1:6" ht="14.1" customHeight="1" x14ac:dyDescent="0.25">
      <c r="A7204" s="94" t="s">
        <v>12824</v>
      </c>
      <c r="B720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204" s="95" t="str">
        <f>IFERROR(VLOOKUP("UD",'Informacion '!P:Q,2,FALSE),"")</f>
        <v>Unidad</v>
      </c>
      <c r="D7204" s="94">
        <v>2</v>
      </c>
      <c r="E7204" s="84">
        <v>730.89</v>
      </c>
      <c r="F7204" s="83">
        <f t="shared" ca="1" si="291"/>
        <v>1461.78</v>
      </c>
    </row>
    <row r="7205" spans="1:6" ht="14.1" customHeight="1" x14ac:dyDescent="0.25">
      <c r="A7205" s="94" t="s">
        <v>5706</v>
      </c>
      <c r="B7205" s="82" t="str">
        <f ca="1">IFERROR(INDEX(UNSPSCDes,MATCH(INDIRECT(ADDRESS(ROW(),COLUMN()-1,4)),UNSPSCCode,0)),IF(INDIRECT(ADDRESS(ROW(),COLUMN()-1,4))="41104014","Aplicadores de muestras",""))</f>
        <v>Aplicadores de muestras</v>
      </c>
      <c r="C7205" s="95" t="str">
        <f>IFERROR(VLOOKUP("UD",'Informacion '!P:Q,2,FALSE),"")</f>
        <v>Unidad</v>
      </c>
      <c r="D7205" s="94">
        <v>842</v>
      </c>
      <c r="E7205" s="84">
        <v>7.45</v>
      </c>
      <c r="F7205" s="83">
        <f t="shared" ca="1" si="291"/>
        <v>6272.9000000000005</v>
      </c>
    </row>
    <row r="7206" spans="1:6" ht="14.1" customHeight="1" x14ac:dyDescent="0.25">
      <c r="A7206" s="94" t="s">
        <v>6591</v>
      </c>
      <c r="B7206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7206" s="95" t="str">
        <f>IFERROR(VLOOKUP("UD",'Informacion '!P:Q,2,FALSE),"")</f>
        <v>Unidad</v>
      </c>
      <c r="D7206" s="94">
        <v>102</v>
      </c>
      <c r="E7206" s="84">
        <v>2.74</v>
      </c>
      <c r="F7206" s="83">
        <f t="shared" ca="1" si="291"/>
        <v>279.48</v>
      </c>
    </row>
    <row r="7207" spans="1:6" ht="14.1" customHeight="1" x14ac:dyDescent="0.25">
      <c r="A7207" s="94" t="s">
        <v>5965</v>
      </c>
      <c r="B7207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7207" s="95" t="str">
        <f>IFERROR(VLOOKUP("UD",'Informacion '!P:Q,2,FALSE),"")</f>
        <v>Unidad</v>
      </c>
      <c r="D7207" s="94">
        <v>20</v>
      </c>
      <c r="E7207" s="84">
        <v>612.13</v>
      </c>
      <c r="F7207" s="83">
        <f t="shared" ca="1" si="291"/>
        <v>12242.6</v>
      </c>
    </row>
    <row r="7208" spans="1:6" ht="14.1" customHeight="1" x14ac:dyDescent="0.25">
      <c r="A7208" s="94" t="s">
        <v>6081</v>
      </c>
      <c r="B7208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7208" s="95" t="str">
        <f>IFERROR(VLOOKUP("UD",'Informacion '!P:Q,2,FALSE),"")</f>
        <v>Unidad</v>
      </c>
      <c r="D7208" s="94">
        <v>514</v>
      </c>
      <c r="E7208" s="84">
        <v>26.73</v>
      </c>
      <c r="F7208" s="83">
        <f t="shared" ca="1" si="291"/>
        <v>13739.22</v>
      </c>
    </row>
    <row r="7209" spans="1:6" ht="14.1" customHeight="1" x14ac:dyDescent="0.25">
      <c r="A7209" s="94" t="s">
        <v>16391</v>
      </c>
      <c r="B7209" s="82" t="str">
        <f ca="1">IFERROR(INDEX(UNSPSCDes,MATCH(INDIRECT(ADDRESS(ROW(),COLUMN()-1,4)),UNSPSCCode,0)),IF(INDIRECT(ADDRESS(ROW(),COLUMN()-1,4))="42142615","Accesorios para jeringas",""))</f>
        <v>Accesorios para jeringas</v>
      </c>
      <c r="C7209" s="95" t="str">
        <f>IFERROR(VLOOKUP("UD",'Informacion '!P:Q,2,FALSE),"")</f>
        <v>Unidad</v>
      </c>
      <c r="D7209" s="94">
        <v>46</v>
      </c>
      <c r="E7209" s="84">
        <v>8.68</v>
      </c>
      <c r="F7209" s="83">
        <f t="shared" ca="1" si="291"/>
        <v>399.28</v>
      </c>
    </row>
    <row r="7210" spans="1:6" ht="14.1" customHeight="1" x14ac:dyDescent="0.25">
      <c r="A7210" s="94" t="s">
        <v>2591</v>
      </c>
      <c r="B7210" s="82" t="str">
        <f ca="1">IFERROR(INDEX(UNSPSCDes,MATCH(INDIRECT(ADDRESS(ROW(),COLUMN()-1,4)),UNSPSCCode,0)),IF(INDIRECT(ADDRESS(ROW(),COLUMN()-1,4))="42142504","Agujas para biopsia",""))</f>
        <v>Agujas para biopsia</v>
      </c>
      <c r="C7210" s="95" t="str">
        <f>IFERROR(VLOOKUP("UD",'Informacion '!P:Q,2,FALSE),"")</f>
        <v>Unidad</v>
      </c>
      <c r="D7210" s="94">
        <v>66</v>
      </c>
      <c r="E7210" s="84">
        <v>1545.07</v>
      </c>
      <c r="F7210" s="83">
        <f t="shared" ca="1" si="291"/>
        <v>101974.62</v>
      </c>
    </row>
    <row r="7211" spans="1:6" ht="14.1" customHeight="1" x14ac:dyDescent="0.25">
      <c r="A7211" s="94" t="s">
        <v>3685</v>
      </c>
      <c r="B7211" s="82" t="str">
        <f ca="1">IFERROR(INDEX(UNSPSCDes,MATCH(INDIRECT(ADDRESS(ROW(),COLUMN()-1,4)),UNSPSCCode,0)),IF(INDIRECT(ADDRESS(ROW(),COLUMN()-1,4))="12191601","Solventes de alcohol",""))</f>
        <v>Solventes de alcohol</v>
      </c>
      <c r="C7211" s="95" t="str">
        <f>IFERROR(VLOOKUP("UD",'Informacion '!P:Q,2,FALSE),"")</f>
        <v>Unidad</v>
      </c>
      <c r="D7211" s="94">
        <v>2</v>
      </c>
      <c r="E7211" s="84">
        <v>2029.75</v>
      </c>
      <c r="F7211" s="83">
        <f t="shared" ca="1" si="291"/>
        <v>4059.5</v>
      </c>
    </row>
    <row r="7212" spans="1:6" ht="14.1" customHeight="1" x14ac:dyDescent="0.25">
      <c r="A7212" s="94" t="s">
        <v>16391</v>
      </c>
      <c r="B7212" s="82" t="str">
        <f ca="1">IFERROR(INDEX(UNSPSCDes,MATCH(INDIRECT(ADDRESS(ROW(),COLUMN()-1,4)),UNSPSCCode,0)),IF(INDIRECT(ADDRESS(ROW(),COLUMN()-1,4))="42142615","Accesorios para jeringas",""))</f>
        <v>Accesorios para jeringas</v>
      </c>
      <c r="C7212" s="95" t="str">
        <f>IFERROR(VLOOKUP("UD",'Informacion '!P:Q,2,FALSE),"")</f>
        <v>Unidad</v>
      </c>
      <c r="D7212" s="94">
        <v>9828</v>
      </c>
      <c r="E7212" s="84">
        <v>2.15</v>
      </c>
      <c r="F7212" s="83">
        <f t="shared" ca="1" si="291"/>
        <v>21130.2</v>
      </c>
    </row>
    <row r="7213" spans="1:6" ht="14.1" customHeight="1" x14ac:dyDescent="0.25">
      <c r="A7213" s="94" t="s">
        <v>16391</v>
      </c>
      <c r="B7213" s="82" t="str">
        <f ca="1">IFERROR(INDEX(UNSPSCDes,MATCH(INDIRECT(ADDRESS(ROW(),COLUMN()-1,4)),UNSPSCCode,0)),IF(INDIRECT(ADDRESS(ROW(),COLUMN()-1,4))="42142615","Accesorios para jeringas",""))</f>
        <v>Accesorios para jeringas</v>
      </c>
      <c r="C7213" s="95" t="str">
        <f>IFERROR(VLOOKUP("UD",'Informacion '!P:Q,2,FALSE),"")</f>
        <v>Unidad</v>
      </c>
      <c r="D7213" s="94">
        <v>3051</v>
      </c>
      <c r="E7213" s="84">
        <v>3.26</v>
      </c>
      <c r="F7213" s="83">
        <f t="shared" ca="1" si="291"/>
        <v>9946.26</v>
      </c>
    </row>
    <row r="7214" spans="1:6" ht="14.1" customHeight="1" x14ac:dyDescent="0.25">
      <c r="A7214" s="94" t="s">
        <v>3169</v>
      </c>
      <c r="B7214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7214" s="95" t="str">
        <f>IFERROR(VLOOKUP("UD",'Informacion '!P:Q,2,FALSE),"")</f>
        <v>Unidad</v>
      </c>
      <c r="D7214" s="94">
        <v>768</v>
      </c>
      <c r="E7214" s="84">
        <v>11.3</v>
      </c>
      <c r="F7214" s="83">
        <f t="shared" ca="1" si="291"/>
        <v>8678.4000000000015</v>
      </c>
    </row>
    <row r="7215" spans="1:6" ht="14.1" customHeight="1" x14ac:dyDescent="0.25">
      <c r="A7215" s="94" t="s">
        <v>6591</v>
      </c>
      <c r="B7215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7215" s="95" t="str">
        <f>IFERROR(VLOOKUP("UD",'Informacion '!P:Q,2,FALSE),"")</f>
        <v>Unidad</v>
      </c>
      <c r="D7215" s="94">
        <v>217</v>
      </c>
      <c r="E7215" s="84">
        <v>2.74</v>
      </c>
      <c r="F7215" s="83">
        <f t="shared" ca="1" si="291"/>
        <v>594.58000000000004</v>
      </c>
    </row>
    <row r="7216" spans="1:6" ht="14.1" customHeight="1" x14ac:dyDescent="0.25">
      <c r="A7216" s="94" t="s">
        <v>1865</v>
      </c>
      <c r="B7216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216" s="95" t="str">
        <f>IFERROR(VLOOKUP("UD",'Informacion '!P:Q,2,FALSE),"")</f>
        <v>Unidad</v>
      </c>
      <c r="D7216" s="94">
        <v>60</v>
      </c>
      <c r="E7216" s="84">
        <v>10.36</v>
      </c>
      <c r="F7216" s="83">
        <f t="shared" ca="1" si="291"/>
        <v>621.59999999999991</v>
      </c>
    </row>
    <row r="7217" spans="1:6" ht="14.1" customHeight="1" x14ac:dyDescent="0.25">
      <c r="A7217" s="94" t="s">
        <v>10483</v>
      </c>
      <c r="B721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217" s="95" t="str">
        <f>IFERROR(VLOOKUP("UD",'Informacion '!P:Q,2,FALSE),"")</f>
        <v>Unidad</v>
      </c>
      <c r="D7217" s="94">
        <v>1</v>
      </c>
      <c r="E7217" s="84">
        <v>2048.34</v>
      </c>
      <c r="F7217" s="83">
        <f t="shared" ca="1" si="291"/>
        <v>2048.34</v>
      </c>
    </row>
    <row r="7218" spans="1:6" ht="14.1" customHeight="1" x14ac:dyDescent="0.25">
      <c r="A7218" s="94" t="s">
        <v>11575</v>
      </c>
      <c r="B7218" s="82" t="str">
        <f ca="1">IFERROR(INDEX(UNSPSCDes,MATCH(INDIRECT(ADDRESS(ROW(),COLUMN()-1,4)),UNSPSCCode,0)),IF(INDIRECT(ADDRESS(ROW(),COLUMN()-1,4))="12352104","Alcoholes o sus sustitutos",""))</f>
        <v>Alcoholes o sus sustitutos</v>
      </c>
      <c r="C7218" s="95" t="str">
        <f>IFERROR(VLOOKUP("UD",'Informacion '!P:Q,2,FALSE),"")</f>
        <v>Unidad</v>
      </c>
      <c r="D7218" s="94">
        <v>56</v>
      </c>
      <c r="E7218" s="84">
        <v>985.53</v>
      </c>
      <c r="F7218" s="83">
        <f t="shared" ca="1" si="291"/>
        <v>55189.68</v>
      </c>
    </row>
    <row r="7219" spans="1:6" ht="14.1" customHeight="1" x14ac:dyDescent="0.25">
      <c r="A7219" s="94" t="s">
        <v>3593</v>
      </c>
      <c r="B7219" s="82" t="str">
        <f ca="1">IFERROR(INDEX(UNSPSCDes,MATCH(INDIRECT(ADDRESS(ROW(),COLUMN()-1,4)),UNSPSCCode,0)),IF(INDIRECT(ADDRESS(ROW(),COLUMN()-1,4))="51181506","Insulina",""))</f>
        <v>Insulina</v>
      </c>
      <c r="C7219" s="95" t="str">
        <f>IFERROR(VLOOKUP("UD",'Informacion '!P:Q,2,FALSE),"")</f>
        <v>Unidad</v>
      </c>
      <c r="D7219" s="94">
        <v>258</v>
      </c>
      <c r="E7219" s="84">
        <v>20.77</v>
      </c>
      <c r="F7219" s="83">
        <f t="shared" ca="1" si="291"/>
        <v>5358.66</v>
      </c>
    </row>
    <row r="7220" spans="1:6" ht="14.1" customHeight="1" x14ac:dyDescent="0.25">
      <c r="A7220" s="94" t="s">
        <v>4298</v>
      </c>
      <c r="B7220" s="82" t="str">
        <f ca="1">IFERROR(INDEX(UNSPSCDes,MATCH(INDIRECT(ADDRESS(ROW(),COLUMN()-1,4)),UNSPSCCode,0)),IF(INDIRECT(ADDRESS(ROW(),COLUMN()-1,4))="39121436","Electrodos",""))</f>
        <v>Electrodos</v>
      </c>
      <c r="C7220" s="95" t="str">
        <f>IFERROR(VLOOKUP("UD",'Informacion '!P:Q,2,FALSE),"")</f>
        <v>Unidad</v>
      </c>
      <c r="D7220" s="94">
        <v>3</v>
      </c>
      <c r="E7220" s="84">
        <v>1097.5999999999999</v>
      </c>
      <c r="F7220" s="83">
        <f t="shared" ca="1" si="291"/>
        <v>3292.7999999999997</v>
      </c>
    </row>
    <row r="7221" spans="1:6" ht="14.1" customHeight="1" x14ac:dyDescent="0.25">
      <c r="A7221" s="94" t="s">
        <v>16391</v>
      </c>
      <c r="B7221" s="82" t="str">
        <f ca="1">IFERROR(INDEX(UNSPSCDes,MATCH(INDIRECT(ADDRESS(ROW(),COLUMN()-1,4)),UNSPSCCode,0)),IF(INDIRECT(ADDRESS(ROW(),COLUMN()-1,4))="42142615","Accesorios para jeringas",""))</f>
        <v>Accesorios para jeringas</v>
      </c>
      <c r="C7221" s="95" t="str">
        <f>IFERROR(VLOOKUP("UD",'Informacion '!P:Q,2,FALSE),"")</f>
        <v>Unidad</v>
      </c>
      <c r="D7221" s="94">
        <v>4</v>
      </c>
      <c r="E7221" s="84">
        <v>8.59</v>
      </c>
      <c r="F7221" s="83">
        <f t="shared" ref="F7221:F7235" ca="1" si="292">INDIRECT(ADDRESS(ROW(),COLUMN()-2,4))*INDIRECT(ADDRESS(ROW(),COLUMN()-1,4))</f>
        <v>34.36</v>
      </c>
    </row>
    <row r="7222" spans="1:6" ht="14.1" customHeight="1" x14ac:dyDescent="0.25">
      <c r="A7222" s="94" t="s">
        <v>18707</v>
      </c>
      <c r="B7222" s="82" t="str">
        <f ca="1">IFERROR(INDEX(UNSPSCDes,MATCH(INDIRECT(ADDRESS(ROW(),COLUMN()-1,4)),UNSPSCCode,0)),IF(INDIRECT(ADDRESS(ROW(),COLUMN()-1,4))="40101903","Humidificadores",""))</f>
        <v>Humidificadores</v>
      </c>
      <c r="C7222" s="95" t="str">
        <f>IFERROR(VLOOKUP("UD",'Informacion '!P:Q,2,FALSE),"")</f>
        <v>Unidad</v>
      </c>
      <c r="D7222" s="94">
        <v>55</v>
      </c>
      <c r="E7222" s="84">
        <v>112.1</v>
      </c>
      <c r="F7222" s="83">
        <f t="shared" ca="1" si="292"/>
        <v>6165.5</v>
      </c>
    </row>
    <row r="7223" spans="1:6" ht="14.1" customHeight="1" x14ac:dyDescent="0.25">
      <c r="A7223" s="94" t="s">
        <v>6266</v>
      </c>
      <c r="B7223" s="82" t="str">
        <f ca="1">IFERROR(INDEX(UNSPSCDes,MATCH(INDIRECT(ADDRESS(ROW(),COLUMN()-1,4)),UNSPSCCode,0)),IF(INDIRECT(ADDRESS(ROW(),COLUMN()-1,4))="30151701","Boquillas de bajantes",""))</f>
        <v>Boquillas de bajantes</v>
      </c>
      <c r="C7223" s="95" t="str">
        <f>IFERROR(VLOOKUP("UD",'Informacion '!P:Q,2,FALSE),"")</f>
        <v>Unidad</v>
      </c>
      <c r="D7223" s="94">
        <v>122</v>
      </c>
      <c r="E7223" s="84">
        <v>14.16</v>
      </c>
      <c r="F7223" s="83">
        <f t="shared" ca="1" si="292"/>
        <v>1727.52</v>
      </c>
    </row>
    <row r="7224" spans="1:6" ht="14.1" customHeight="1" x14ac:dyDescent="0.25">
      <c r="A7224" s="94" t="s">
        <v>9554</v>
      </c>
      <c r="B7224" s="82" t="str">
        <f ca="1">IFERROR(INDEX(UNSPSCDes,MATCH(INDIRECT(ADDRESS(ROW(),COLUMN()-1,4)),UNSPSCCode,0)),IF(INDIRECT(ADDRESS(ROW(),COLUMN()-1,4))="31241501","Lentes",""))</f>
        <v>Lentes</v>
      </c>
      <c r="C7224" s="95" t="str">
        <f>IFERROR(VLOOKUP("UD",'Informacion '!P:Q,2,FALSE),"")</f>
        <v>Unidad</v>
      </c>
      <c r="D7224" s="94">
        <v>1</v>
      </c>
      <c r="E7224" s="84">
        <v>177</v>
      </c>
      <c r="F7224" s="83">
        <f t="shared" ca="1" si="292"/>
        <v>177</v>
      </c>
    </row>
    <row r="7225" spans="1:6" ht="14.1" customHeight="1" x14ac:dyDescent="0.25">
      <c r="A7225" s="94" t="s">
        <v>11857</v>
      </c>
      <c r="B7225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225" s="95" t="str">
        <f>IFERROR(VLOOKUP("UD",'Informacion '!P:Q,2,FALSE),"")</f>
        <v>Unidad</v>
      </c>
      <c r="D7225" s="94">
        <v>96</v>
      </c>
      <c r="E7225" s="84">
        <v>1.81</v>
      </c>
      <c r="F7225" s="83">
        <f t="shared" ca="1" si="292"/>
        <v>173.76</v>
      </c>
    </row>
    <row r="7226" spans="1:6" ht="14.1" customHeight="1" x14ac:dyDescent="0.25">
      <c r="A7226" s="94" t="s">
        <v>435</v>
      </c>
      <c r="B7226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226" s="95" t="str">
        <f>IFERROR(VLOOKUP("UD",'Informacion '!P:Q,2,FALSE),"")</f>
        <v>Unidad</v>
      </c>
      <c r="D7226" s="94">
        <v>22</v>
      </c>
      <c r="E7226" s="84">
        <v>708</v>
      </c>
      <c r="F7226" s="83">
        <f t="shared" ca="1" si="292"/>
        <v>15576</v>
      </c>
    </row>
    <row r="7227" spans="1:6" ht="14.1" customHeight="1" x14ac:dyDescent="0.25">
      <c r="A7227" s="94" t="s">
        <v>2064</v>
      </c>
      <c r="B7227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227" s="95" t="str">
        <f>IFERROR(VLOOKUP("UD",'Informacion '!P:Q,2,FALSE),"")</f>
        <v>Unidad</v>
      </c>
      <c r="D7227" s="94">
        <v>2</v>
      </c>
      <c r="E7227" s="84">
        <v>1805.4</v>
      </c>
      <c r="F7227" s="83">
        <f t="shared" ca="1" si="292"/>
        <v>3610.8</v>
      </c>
    </row>
    <row r="7228" spans="1:6" ht="14.1" customHeight="1" x14ac:dyDescent="0.25">
      <c r="A7228" s="94" t="s">
        <v>18956</v>
      </c>
      <c r="B7228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228" s="95" t="str">
        <f>IFERROR(VLOOKUP("UD",'Informacion '!P:Q,2,FALSE),"")</f>
        <v>Unidad</v>
      </c>
      <c r="D7228" s="94">
        <v>708</v>
      </c>
      <c r="E7228" s="84">
        <v>3.62</v>
      </c>
      <c r="F7228" s="83">
        <f t="shared" ca="1" si="292"/>
        <v>2562.96</v>
      </c>
    </row>
    <row r="7229" spans="1:6" ht="14.1" customHeight="1" x14ac:dyDescent="0.25">
      <c r="A7229" s="94" t="s">
        <v>14958</v>
      </c>
      <c r="B7229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7229" s="95" t="str">
        <f>IFERROR(VLOOKUP("UD",'Informacion '!P:Q,2,FALSE),"")</f>
        <v>Unidad</v>
      </c>
      <c r="D7229" s="94">
        <v>578</v>
      </c>
      <c r="E7229" s="84">
        <v>11.8</v>
      </c>
      <c r="F7229" s="83">
        <f t="shared" ca="1" si="292"/>
        <v>6820.4000000000005</v>
      </c>
    </row>
    <row r="7230" spans="1:6" ht="14.1" customHeight="1" x14ac:dyDescent="0.25">
      <c r="A7230" s="94" t="s">
        <v>3216</v>
      </c>
      <c r="B7230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230" s="95" t="str">
        <f>IFERROR(VLOOKUP("UD",'Informacion '!P:Q,2,FALSE),"")</f>
        <v>Unidad</v>
      </c>
      <c r="D7230" s="94">
        <v>2</v>
      </c>
      <c r="E7230" s="84">
        <v>94.4</v>
      </c>
      <c r="F7230" s="83">
        <f t="shared" ca="1" si="292"/>
        <v>188.8</v>
      </c>
    </row>
    <row r="7231" spans="1:6" ht="14.1" customHeight="1" x14ac:dyDescent="0.25">
      <c r="A7231" s="94" t="s">
        <v>4298</v>
      </c>
      <c r="B7231" s="82" t="str">
        <f ca="1">IFERROR(INDEX(UNSPSCDes,MATCH(INDIRECT(ADDRESS(ROW(),COLUMN()-1,4)),UNSPSCCode,0)),IF(INDIRECT(ADDRESS(ROW(),COLUMN()-1,4))="39121436","Electrodos",""))</f>
        <v>Electrodos</v>
      </c>
      <c r="C7231" s="95" t="str">
        <f>IFERROR(VLOOKUP("UD",'Informacion '!P:Q,2,FALSE),"")</f>
        <v>Unidad</v>
      </c>
      <c r="D7231" s="94">
        <v>289</v>
      </c>
      <c r="E7231" s="84">
        <v>12.92</v>
      </c>
      <c r="F7231" s="83">
        <f t="shared" ca="1" si="292"/>
        <v>3733.88</v>
      </c>
    </row>
    <row r="7232" spans="1:6" ht="14.1" customHeight="1" x14ac:dyDescent="0.25">
      <c r="A7232" s="94" t="s">
        <v>4162</v>
      </c>
      <c r="B7232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7232" s="95" t="str">
        <f>IFERROR(VLOOKUP("UD",'Informacion '!P:Q,2,FALSE),"")</f>
        <v>Unidad</v>
      </c>
      <c r="D7232" s="94">
        <v>3</v>
      </c>
      <c r="E7232" s="84">
        <v>1845.46</v>
      </c>
      <c r="F7232" s="83">
        <f t="shared" ca="1" si="292"/>
        <v>5536.38</v>
      </c>
    </row>
    <row r="7233" spans="1:10" ht="14.1" customHeight="1" x14ac:dyDescent="0.25">
      <c r="A7233" s="94" t="s">
        <v>11071</v>
      </c>
      <c r="B7233" s="82" t="str">
        <f ca="1">IFERROR(INDEX(UNSPSCDes,MATCH(INDIRECT(ADDRESS(ROW(),COLUMN()-1,4)),UNSPSCCode,0)),IF(INDIRECT(ADDRESS(ROW(),COLUMN()-1,4))="42142523","Agujas hipodérmicas",""))</f>
        <v>Agujas hipodérmicas</v>
      </c>
      <c r="C7233" s="95" t="str">
        <f>IFERROR(VLOOKUP("UD",'Informacion '!P:Q,2,FALSE),"")</f>
        <v>Unidad</v>
      </c>
      <c r="D7233" s="94">
        <v>3160</v>
      </c>
      <c r="E7233" s="84">
        <v>1.24</v>
      </c>
      <c r="F7233" s="83">
        <f t="shared" ca="1" si="292"/>
        <v>3918.4</v>
      </c>
    </row>
    <row r="7234" spans="1:10" ht="14.1" customHeight="1" x14ac:dyDescent="0.25">
      <c r="A7234" s="94" t="s">
        <v>5706</v>
      </c>
      <c r="B7234" s="82" t="str">
        <f ca="1">IFERROR(INDEX(UNSPSCDes,MATCH(INDIRECT(ADDRESS(ROW(),COLUMN()-1,4)),UNSPSCCode,0)),IF(INDIRECT(ADDRESS(ROW(),COLUMN()-1,4))="41104014","Aplicadores de muestras",""))</f>
        <v>Aplicadores de muestras</v>
      </c>
      <c r="C7234" s="95" t="str">
        <f>IFERROR(VLOOKUP("UD",'Informacion '!P:Q,2,FALSE),"")</f>
        <v>Unidad</v>
      </c>
      <c r="D7234" s="94">
        <v>26</v>
      </c>
      <c r="E7234" s="84">
        <v>2.36</v>
      </c>
      <c r="F7234" s="83">
        <f t="shared" ca="1" si="292"/>
        <v>61.36</v>
      </c>
    </row>
    <row r="7235" spans="1:10" ht="14.1" customHeight="1" x14ac:dyDescent="0.25">
      <c r="A7235" s="94" t="s">
        <v>4298</v>
      </c>
      <c r="B7235" s="82" t="str">
        <f ca="1">IFERROR(INDEX(UNSPSCDes,MATCH(INDIRECT(ADDRESS(ROW(),COLUMN()-1,4)),UNSPSCCode,0)),IF(INDIRECT(ADDRESS(ROW(),COLUMN()-1,4))="39121436","Electrodos",""))</f>
        <v>Electrodos</v>
      </c>
      <c r="C7235" s="95" t="str">
        <f>IFERROR(VLOOKUP("UD",'Informacion '!P:Q,2,FALSE),"")</f>
        <v>Unidad</v>
      </c>
      <c r="D7235" s="94">
        <v>419</v>
      </c>
      <c r="E7235" s="84">
        <v>12.92</v>
      </c>
      <c r="F7235" s="83">
        <f t="shared" ca="1" si="292"/>
        <v>5413.48</v>
      </c>
    </row>
    <row r="7236" spans="1:10" ht="14.1" customHeight="1" x14ac:dyDescent="0.25">
      <c r="E7236" s="96" t="s">
        <v>7213</v>
      </c>
      <c r="F7236" s="87">
        <f ca="1">SUM(Table199[MONTO TOTAL ESTIMADO])</f>
        <v>586698.45000000019</v>
      </c>
      <c r="H7236" s="39" t="str">
        <f>C7150</f>
        <v>Bienes</v>
      </c>
      <c r="I7236" s="39" t="str">
        <f>E7150</f>
        <v>No</v>
      </c>
      <c r="J7236" s="39" t="str">
        <f>D7150</f>
        <v>Comparacion de Precios</v>
      </c>
    </row>
    <row r="7238" spans="1:10" ht="33.950000000000003" customHeight="1" x14ac:dyDescent="0.25">
      <c r="A7238" s="77" t="s">
        <v>17233</v>
      </c>
      <c r="B7238" s="77" t="s">
        <v>4237</v>
      </c>
      <c r="C7238" s="77" t="s">
        <v>4743</v>
      </c>
      <c r="D7238" s="77" t="s">
        <v>9891</v>
      </c>
      <c r="E7238" s="77" t="s">
        <v>3089</v>
      </c>
      <c r="F7238" s="77" t="s">
        <v>18141</v>
      </c>
    </row>
    <row r="7239" spans="1:10" ht="14.1" customHeight="1" x14ac:dyDescent="0.25">
      <c r="A7239" s="79" t="s">
        <v>6589</v>
      </c>
      <c r="B7239" s="79" t="s">
        <v>2182</v>
      </c>
      <c r="C7239" s="79" t="s">
        <v>17215</v>
      </c>
      <c r="D7239" s="79" t="s">
        <v>15249</v>
      </c>
      <c r="E7239" s="79" t="s">
        <v>18247</v>
      </c>
      <c r="F7239" s="79"/>
    </row>
    <row r="7240" spans="1:10" ht="14.1" customHeight="1" x14ac:dyDescent="0.25">
      <c r="A7240" s="2" t="s">
        <v>6643</v>
      </c>
      <c r="B7240" s="80" t="s">
        <v>1046</v>
      </c>
      <c r="C7240" s="90">
        <v>43739</v>
      </c>
      <c r="D7240" s="2" t="s">
        <v>59</v>
      </c>
      <c r="E7240" s="92" t="s">
        <v>20066</v>
      </c>
      <c r="F7240" s="93" t="s">
        <v>5684</v>
      </c>
    </row>
    <row r="7241" spans="1:10" ht="14.1" customHeight="1" x14ac:dyDescent="0.25">
      <c r="A7241" s="1"/>
      <c r="B7241" s="80" t="s">
        <v>10788</v>
      </c>
      <c r="C7241" s="91">
        <f>IF(C7240="","",IF(AND(MONTH(C7240)&gt;=1,MONTH(C7240)&lt;=3),1,IF(AND(MONTH(C7240)&gt;=4,MONTH(C7240)&lt;=6),2,IF(AND(MONTH(C7240)&gt;=7,MONTH(C7240)&lt;=9),3,4))))</f>
        <v>4</v>
      </c>
      <c r="D7241" s="1"/>
      <c r="E7241" s="92" t="s">
        <v>14822</v>
      </c>
      <c r="F7241" s="93"/>
    </row>
    <row r="7242" spans="1:10" ht="14.1" customHeight="1" x14ac:dyDescent="0.25">
      <c r="A7242" s="1"/>
      <c r="B7242" s="80" t="s">
        <v>13758</v>
      </c>
      <c r="C7242" s="90">
        <v>43830</v>
      </c>
      <c r="D7242" s="1"/>
      <c r="E7242" s="92" t="s">
        <v>18636</v>
      </c>
      <c r="F7242" s="93"/>
    </row>
    <row r="7243" spans="1:10" ht="14.1" customHeight="1" x14ac:dyDescent="0.25">
      <c r="A7243" s="1"/>
      <c r="B7243" s="80" t="s">
        <v>10788</v>
      </c>
      <c r="C7243" s="91">
        <f>IF(C7242="","",IF(AND(MONTH(C7242)&gt;=1,MONTH(C7242)&lt;=3),1,IF(AND(MONTH(C7242)&gt;=4,MONTH(C7242)&lt;=6),2,IF(AND(MONTH(C7242)&gt;=7,MONTH(C7242)&lt;=9),3,4))))</f>
        <v>4</v>
      </c>
      <c r="D7243" s="1"/>
      <c r="E7243" s="92" t="s">
        <v>15990</v>
      </c>
      <c r="F7243" s="93"/>
    </row>
    <row r="7245" spans="1:10" ht="14.1" customHeight="1" x14ac:dyDescent="0.25">
      <c r="A7245" s="85" t="s">
        <v>15474</v>
      </c>
      <c r="B7245" s="85" t="s">
        <v>5027</v>
      </c>
      <c r="C7245" s="85" t="s">
        <v>17461</v>
      </c>
      <c r="D7245" s="85" t="s">
        <v>3935</v>
      </c>
      <c r="E7245" s="85" t="s">
        <v>10722</v>
      </c>
      <c r="F7245" s="85" t="s">
        <v>18237</v>
      </c>
    </row>
    <row r="7246" spans="1:10" ht="14.1" customHeight="1" x14ac:dyDescent="0.25">
      <c r="A7246" s="94" t="s">
        <v>435</v>
      </c>
      <c r="B7246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246" s="95" t="str">
        <f>IFERROR(VLOOKUP("UD",'Informacion '!P:Q,2,FALSE),"")</f>
        <v>Unidad</v>
      </c>
      <c r="D7246" s="94">
        <v>7953</v>
      </c>
      <c r="E7246" s="84">
        <v>6.58</v>
      </c>
      <c r="F7246" s="83">
        <f t="shared" ref="F7246:F7272" ca="1" si="293">INDIRECT(ADDRESS(ROW(),COLUMN()-2,4))*INDIRECT(ADDRESS(ROW(),COLUMN()-1,4))</f>
        <v>52330.74</v>
      </c>
    </row>
    <row r="7247" spans="1:10" ht="14.1" customHeight="1" x14ac:dyDescent="0.25">
      <c r="A7247" s="94" t="s">
        <v>8061</v>
      </c>
      <c r="B7247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7247" s="95" t="str">
        <f>IFERROR(VLOOKUP("UD",'Informacion '!P:Q,2,FALSE),"")</f>
        <v>Unidad</v>
      </c>
      <c r="D7247" s="94">
        <v>17</v>
      </c>
      <c r="E7247" s="84">
        <v>3551.27</v>
      </c>
      <c r="F7247" s="83">
        <f t="shared" ca="1" si="293"/>
        <v>60371.59</v>
      </c>
    </row>
    <row r="7248" spans="1:10" ht="14.1" customHeight="1" x14ac:dyDescent="0.25">
      <c r="A7248" s="94" t="s">
        <v>8061</v>
      </c>
      <c r="B7248" s="82" t="str">
        <f ca="1">IFERROR(INDEX(UNSPSCDes,MATCH(INDIRECT(ADDRESS(ROW(),COLUMN()-1,4)),UNSPSCCode,0)),IF(INDIRECT(ADDRESS(ROW(),COLUMN()-1,4))="20141007","Accesorios de boca de pozo o flujo de superficie de boca de pozo",""))</f>
        <v>Accesorios de boca de pozo o flujo de superficie de boca de pozo</v>
      </c>
      <c r="C7248" s="95" t="str">
        <f>IFERROR(VLOOKUP("UD",'Informacion '!P:Q,2,FALSE),"")</f>
        <v>Unidad</v>
      </c>
      <c r="D7248" s="94">
        <v>6</v>
      </c>
      <c r="E7248" s="84">
        <v>7143.5</v>
      </c>
      <c r="F7248" s="83">
        <f t="shared" ca="1" si="293"/>
        <v>42861</v>
      </c>
    </row>
    <row r="7249" spans="1:6" ht="14.1" customHeight="1" x14ac:dyDescent="0.25">
      <c r="A7249" s="94" t="s">
        <v>2626</v>
      </c>
      <c r="B7249" s="82" t="str">
        <f ca="1">IFERROR(INDEX(UNSPSCDes,MATCH(INDIRECT(ADDRESS(ROW(),COLUMN()-1,4)),UNSPSCCode,0)),IF(INDIRECT(ADDRESS(ROW(),COLUMN()-1,4))="42281904","Bolsas de esterilización",""))</f>
        <v>Bolsas de esterilización</v>
      </c>
      <c r="C7249" s="95" t="str">
        <f>IFERROR(VLOOKUP("UD",'Informacion '!P:Q,2,FALSE),"")</f>
        <v>Unidad</v>
      </c>
      <c r="D7249" s="94">
        <v>9000</v>
      </c>
      <c r="E7249" s="84">
        <v>14.16</v>
      </c>
      <c r="F7249" s="83">
        <f t="shared" ca="1" si="293"/>
        <v>127440</v>
      </c>
    </row>
    <row r="7250" spans="1:6" ht="14.1" customHeight="1" x14ac:dyDescent="0.25">
      <c r="A7250" s="94" t="s">
        <v>18956</v>
      </c>
      <c r="B7250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250" s="95" t="str">
        <f>IFERROR(VLOOKUP("UD",'Informacion '!P:Q,2,FALSE),"")</f>
        <v>Unidad</v>
      </c>
      <c r="D7250" s="94">
        <v>397</v>
      </c>
      <c r="E7250" s="84">
        <v>3.19</v>
      </c>
      <c r="F7250" s="83">
        <f t="shared" ca="1" si="293"/>
        <v>1266.43</v>
      </c>
    </row>
    <row r="7251" spans="1:6" ht="14.1" customHeight="1" x14ac:dyDescent="0.25">
      <c r="A7251" s="94" t="s">
        <v>14138</v>
      </c>
      <c r="B7251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251" s="95" t="str">
        <f>IFERROR(VLOOKUP("UD",'Informacion '!P:Q,2,FALSE),"")</f>
        <v>Unidad</v>
      </c>
      <c r="D7251" s="94">
        <v>20</v>
      </c>
      <c r="E7251" s="84">
        <v>376.24</v>
      </c>
      <c r="F7251" s="83">
        <f t="shared" ca="1" si="293"/>
        <v>7524.8</v>
      </c>
    </row>
    <row r="7252" spans="1:6" ht="14.1" customHeight="1" x14ac:dyDescent="0.25">
      <c r="A7252" s="94" t="s">
        <v>2064</v>
      </c>
      <c r="B7252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252" s="95" t="str">
        <f>IFERROR(VLOOKUP("UD",'Informacion '!P:Q,2,FALSE),"")</f>
        <v>Unidad</v>
      </c>
      <c r="D7252" s="94">
        <v>7</v>
      </c>
      <c r="E7252" s="84">
        <v>950</v>
      </c>
      <c r="F7252" s="83">
        <f t="shared" ca="1" si="293"/>
        <v>6650</v>
      </c>
    </row>
    <row r="7253" spans="1:6" ht="14.1" customHeight="1" x14ac:dyDescent="0.25">
      <c r="A7253" s="94" t="s">
        <v>16379</v>
      </c>
      <c r="B7253" s="82" t="str">
        <f ca="1">IFERROR(INDEX(UNSPSCDes,MATCH(INDIRECT(ADDRESS(ROW(),COLUMN()-1,4)),UNSPSCCode,0)),IF(INDIRECT(ADDRESS(ROW(),COLUMN()-1,4))="53131608","Jabones",""))</f>
        <v>Jabones</v>
      </c>
      <c r="C7253" s="95" t="str">
        <f>IFERROR(VLOOKUP("UD",'Informacion '!P:Q,2,FALSE),"")</f>
        <v>Unidad</v>
      </c>
      <c r="D7253" s="94">
        <v>4</v>
      </c>
      <c r="E7253" s="84">
        <v>770.68</v>
      </c>
      <c r="F7253" s="83">
        <f t="shared" ca="1" si="293"/>
        <v>3082.72</v>
      </c>
    </row>
    <row r="7254" spans="1:6" ht="14.1" customHeight="1" x14ac:dyDescent="0.25">
      <c r="A7254" s="94" t="s">
        <v>2499</v>
      </c>
      <c r="B7254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7254" s="95" t="str">
        <f>IFERROR(VLOOKUP("UD",'Informacion '!P:Q,2,FALSE),"")</f>
        <v>Unidad</v>
      </c>
      <c r="D7254" s="94">
        <v>6</v>
      </c>
      <c r="E7254" s="84">
        <v>583.33000000000004</v>
      </c>
      <c r="F7254" s="83">
        <f t="shared" ca="1" si="293"/>
        <v>3499.9800000000005</v>
      </c>
    </row>
    <row r="7255" spans="1:6" ht="14.1" customHeight="1" x14ac:dyDescent="0.25">
      <c r="A7255" s="94" t="s">
        <v>4298</v>
      </c>
      <c r="B7255" s="82" t="str">
        <f ca="1">IFERROR(INDEX(UNSPSCDes,MATCH(INDIRECT(ADDRESS(ROW(),COLUMN()-1,4)),UNSPSCCode,0)),IF(INDIRECT(ADDRESS(ROW(),COLUMN()-1,4))="39121436","Electrodos",""))</f>
        <v>Electrodos</v>
      </c>
      <c r="C7255" s="95" t="str">
        <f>IFERROR(VLOOKUP("UD",'Informacion '!P:Q,2,FALSE),"")</f>
        <v>Unidad</v>
      </c>
      <c r="D7255" s="94">
        <v>10</v>
      </c>
      <c r="E7255" s="84">
        <v>650</v>
      </c>
      <c r="F7255" s="83">
        <f t="shared" ca="1" si="293"/>
        <v>6500</v>
      </c>
    </row>
    <row r="7256" spans="1:6" ht="14.1" customHeight="1" x14ac:dyDescent="0.25">
      <c r="A7256" s="94" t="s">
        <v>4298</v>
      </c>
      <c r="B7256" s="82" t="str">
        <f ca="1">IFERROR(INDEX(UNSPSCDes,MATCH(INDIRECT(ADDRESS(ROW(),COLUMN()-1,4)),UNSPSCCode,0)),IF(INDIRECT(ADDRESS(ROW(),COLUMN()-1,4))="39121436","Electrodos",""))</f>
        <v>Electrodos</v>
      </c>
      <c r="C7256" s="95" t="str">
        <f>IFERROR(VLOOKUP("UD",'Informacion '!P:Q,2,FALSE),"")</f>
        <v>Unidad</v>
      </c>
      <c r="D7256" s="94">
        <v>14</v>
      </c>
      <c r="E7256" s="84">
        <v>649.99</v>
      </c>
      <c r="F7256" s="83">
        <f t="shared" ca="1" si="293"/>
        <v>9099.86</v>
      </c>
    </row>
    <row r="7257" spans="1:6" ht="14.1" customHeight="1" x14ac:dyDescent="0.25">
      <c r="A7257" s="94" t="s">
        <v>4298</v>
      </c>
      <c r="B7257" s="82" t="str">
        <f ca="1">IFERROR(INDEX(UNSPSCDes,MATCH(INDIRECT(ADDRESS(ROW(),COLUMN()-1,4)),UNSPSCCode,0)),IF(INDIRECT(ADDRESS(ROW(),COLUMN()-1,4))="39121436","Electrodos",""))</f>
        <v>Electrodos</v>
      </c>
      <c r="C7257" s="95" t="str">
        <f>IFERROR(VLOOKUP("UD",'Informacion '!P:Q,2,FALSE),"")</f>
        <v>Unidad</v>
      </c>
      <c r="D7257" s="94">
        <v>5</v>
      </c>
      <c r="E7257" s="84">
        <v>650</v>
      </c>
      <c r="F7257" s="83">
        <f t="shared" ca="1" si="293"/>
        <v>3250</v>
      </c>
    </row>
    <row r="7258" spans="1:6" ht="14.1" customHeight="1" x14ac:dyDescent="0.25">
      <c r="A7258" s="94" t="s">
        <v>7589</v>
      </c>
      <c r="B7258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258" s="95" t="str">
        <f>IFERROR(VLOOKUP("UD",'Informacion '!P:Q,2,FALSE),"")</f>
        <v>Unidad</v>
      </c>
      <c r="D7258" s="94">
        <v>28</v>
      </c>
      <c r="E7258" s="84">
        <v>344.81</v>
      </c>
      <c r="F7258" s="83">
        <f t="shared" ca="1" si="293"/>
        <v>9654.68</v>
      </c>
    </row>
    <row r="7259" spans="1:6" ht="14.1" customHeight="1" x14ac:dyDescent="0.25">
      <c r="A7259" s="94" t="s">
        <v>7175</v>
      </c>
      <c r="B7259" s="82" t="str">
        <f ca="1">IFERROR(INDEX(UNSPSCDes,MATCH(INDIRECT(ADDRESS(ROW(),COLUMN()-1,4)),UNSPSCCode,0)),IF(INDIRECT(ADDRESS(ROW(),COLUMN()-1,4))="42272214","Conectores o adaptadores o válvulas de circuitos",""))</f>
        <v>Conectores o adaptadores o válvulas de circuitos</v>
      </c>
      <c r="C7259" s="95" t="str">
        <f>IFERROR(VLOOKUP("UD",'Informacion '!P:Q,2,FALSE),"")</f>
        <v>Unidad</v>
      </c>
      <c r="D7259" s="94">
        <v>652</v>
      </c>
      <c r="E7259" s="84">
        <v>70.78</v>
      </c>
      <c r="F7259" s="83">
        <f t="shared" ca="1" si="293"/>
        <v>46148.56</v>
      </c>
    </row>
    <row r="7260" spans="1:6" ht="14.1" customHeight="1" x14ac:dyDescent="0.25">
      <c r="A7260" s="94" t="s">
        <v>13351</v>
      </c>
      <c r="B7260" s="82" t="str">
        <f ca="1">IFERROR(INDEX(UNSPSCDes,MATCH(INDIRECT(ADDRESS(ROW(),COLUMN()-1,4)),UNSPSCCode,0)),IF(INDIRECT(ADDRESS(ROW(),COLUMN()-1,4))="47131603","Esponjas",""))</f>
        <v>Esponjas</v>
      </c>
      <c r="C7260" s="95" t="str">
        <f>IFERROR(VLOOKUP("UD",'Informacion '!P:Q,2,FALSE),"")</f>
        <v>Unidad</v>
      </c>
      <c r="D7260" s="94">
        <v>29</v>
      </c>
      <c r="E7260" s="84">
        <v>341.03</v>
      </c>
      <c r="F7260" s="83">
        <f t="shared" ca="1" si="293"/>
        <v>9889.869999999999</v>
      </c>
    </row>
    <row r="7261" spans="1:6" ht="14.1" customHeight="1" x14ac:dyDescent="0.25">
      <c r="A7261" s="94" t="s">
        <v>4298</v>
      </c>
      <c r="B7261" s="82" t="str">
        <f ca="1">IFERROR(INDEX(UNSPSCDes,MATCH(INDIRECT(ADDRESS(ROW(),COLUMN()-1,4)),UNSPSCCode,0)),IF(INDIRECT(ADDRESS(ROW(),COLUMN()-1,4))="39121436","Electrodos",""))</f>
        <v>Electrodos</v>
      </c>
      <c r="C7261" s="95" t="str">
        <f>IFERROR(VLOOKUP("UD",'Informacion '!P:Q,2,FALSE),"")</f>
        <v>Unidad</v>
      </c>
      <c r="D7261" s="94">
        <v>468</v>
      </c>
      <c r="E7261" s="84">
        <v>5.31</v>
      </c>
      <c r="F7261" s="83">
        <f t="shared" ca="1" si="293"/>
        <v>2485.08</v>
      </c>
    </row>
    <row r="7262" spans="1:6" ht="14.1" customHeight="1" x14ac:dyDescent="0.25">
      <c r="A7262" s="94" t="s">
        <v>1279</v>
      </c>
      <c r="B7262" s="82" t="str">
        <f ca="1">IFERROR(INDEX(UNSPSCDes,MATCH(INDIRECT(ADDRESS(ROW(),COLUMN()-1,4)),UNSPSCCode,0)),IF(INDIRECT(ADDRESS(ROW(),COLUMN()-1,4))="42231701","Tubos nasogástricos",""))</f>
        <v>Tubos nasogástricos</v>
      </c>
      <c r="C7262" s="95" t="str">
        <f>IFERROR(VLOOKUP("UD",'Informacion '!P:Q,2,FALSE),"")</f>
        <v>Unidad</v>
      </c>
      <c r="D7262" s="94">
        <v>24</v>
      </c>
      <c r="E7262" s="84">
        <v>1091.0999999999999</v>
      </c>
      <c r="F7262" s="83">
        <f t="shared" ca="1" si="293"/>
        <v>26186.399999999998</v>
      </c>
    </row>
    <row r="7263" spans="1:6" ht="14.1" customHeight="1" x14ac:dyDescent="0.25">
      <c r="A7263" s="94" t="s">
        <v>10944</v>
      </c>
      <c r="B7263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263" s="95" t="str">
        <f>IFERROR(VLOOKUP("UD",'Informacion '!P:Q,2,FALSE),"")</f>
        <v>Unidad</v>
      </c>
      <c r="D7263" s="94">
        <v>1586</v>
      </c>
      <c r="E7263" s="84">
        <v>19.489999999999998</v>
      </c>
      <c r="F7263" s="83">
        <f t="shared" ca="1" si="293"/>
        <v>30911.139999999996</v>
      </c>
    </row>
    <row r="7264" spans="1:6" ht="14.1" customHeight="1" x14ac:dyDescent="0.25">
      <c r="A7264" s="94" t="s">
        <v>7220</v>
      </c>
      <c r="B7264" s="82" t="str">
        <f ca="1">IFERROR(INDEX(UNSPSCDes,MATCH(INDIRECT(ADDRESS(ROW(),COLUMN()-1,4)),UNSPSCCode,0)),IF(INDIRECT(ADDRESS(ROW(),COLUMN()-1,4))="42142502","Agujas para anestesia",""))</f>
        <v>Agujas para anestesia</v>
      </c>
      <c r="C7264" s="95" t="str">
        <f>IFERROR(VLOOKUP("UD",'Informacion '!P:Q,2,FALSE),"")</f>
        <v>Unidad</v>
      </c>
      <c r="D7264" s="94">
        <v>14</v>
      </c>
      <c r="E7264" s="84">
        <v>23.75</v>
      </c>
      <c r="F7264" s="83">
        <f t="shared" ca="1" si="293"/>
        <v>332.5</v>
      </c>
    </row>
    <row r="7265" spans="1:10" ht="14.1" customHeight="1" x14ac:dyDescent="0.25">
      <c r="A7265" s="94" t="s">
        <v>9323</v>
      </c>
      <c r="B7265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265" s="95" t="str">
        <f>IFERROR(VLOOKUP("UD",'Informacion '!P:Q,2,FALSE),"")</f>
        <v>Unidad</v>
      </c>
      <c r="D7265" s="94">
        <v>5</v>
      </c>
      <c r="E7265" s="84">
        <v>2000</v>
      </c>
      <c r="F7265" s="83">
        <f t="shared" ca="1" si="293"/>
        <v>10000</v>
      </c>
    </row>
    <row r="7266" spans="1:10" ht="14.1" customHeight="1" x14ac:dyDescent="0.25">
      <c r="A7266" s="94" t="s">
        <v>12909</v>
      </c>
      <c r="B7266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266" s="95" t="str">
        <f>IFERROR(VLOOKUP("UD",'Informacion '!P:Q,2,FALSE),"")</f>
        <v>Unidad</v>
      </c>
      <c r="D7266" s="94">
        <v>1355</v>
      </c>
      <c r="E7266" s="84">
        <v>2.08</v>
      </c>
      <c r="F7266" s="83">
        <f t="shared" ca="1" si="293"/>
        <v>2818.4</v>
      </c>
    </row>
    <row r="7267" spans="1:10" ht="14.1" customHeight="1" x14ac:dyDescent="0.25">
      <c r="A7267" s="94" t="s">
        <v>12909</v>
      </c>
      <c r="B7267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267" s="95" t="str">
        <f>IFERROR(VLOOKUP("UD",'Informacion '!P:Q,2,FALSE),"")</f>
        <v>Unidad</v>
      </c>
      <c r="D7267" s="94">
        <v>16</v>
      </c>
      <c r="E7267" s="84">
        <v>2</v>
      </c>
      <c r="F7267" s="83">
        <f t="shared" ca="1" si="293"/>
        <v>32</v>
      </c>
    </row>
    <row r="7268" spans="1:10" ht="14.1" customHeight="1" x14ac:dyDescent="0.25">
      <c r="A7268" s="94" t="s">
        <v>6120</v>
      </c>
      <c r="B7268" s="82" t="str">
        <f ca="1">IFERROR(INDEX(UNSPSCDes,MATCH(INDIRECT(ADDRESS(ROW(),COLUMN()-1,4)),UNSPSCCode,0)),IF(INDIRECT(ADDRESS(ROW(),COLUMN()-1,4))="44121634","Rollos adhesivos",""))</f>
        <v>Rollos adhesivos</v>
      </c>
      <c r="C7268" s="95" t="str">
        <f>IFERROR(VLOOKUP("UD",'Informacion '!P:Q,2,FALSE),"")</f>
        <v>Unidad</v>
      </c>
      <c r="D7268" s="94">
        <v>8</v>
      </c>
      <c r="E7268" s="84">
        <v>80</v>
      </c>
      <c r="F7268" s="83">
        <f t="shared" ca="1" si="293"/>
        <v>640</v>
      </c>
    </row>
    <row r="7269" spans="1:10" ht="14.1" customHeight="1" x14ac:dyDescent="0.25">
      <c r="A7269" s="94" t="s">
        <v>9323</v>
      </c>
      <c r="B7269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269" s="95" t="str">
        <f>IFERROR(VLOOKUP("UD",'Informacion '!P:Q,2,FALSE),"")</f>
        <v>Unidad</v>
      </c>
      <c r="D7269" s="94">
        <v>4</v>
      </c>
      <c r="E7269" s="84">
        <v>2000</v>
      </c>
      <c r="F7269" s="83">
        <f t="shared" ca="1" si="293"/>
        <v>8000</v>
      </c>
    </row>
    <row r="7270" spans="1:10" ht="14.1" customHeight="1" x14ac:dyDescent="0.25">
      <c r="A7270" s="94" t="s">
        <v>7589</v>
      </c>
      <c r="B7270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270" s="95" t="str">
        <f>IFERROR(VLOOKUP("UD",'Informacion '!P:Q,2,FALSE),"")</f>
        <v>Unidad</v>
      </c>
      <c r="D7270" s="94">
        <v>57</v>
      </c>
      <c r="E7270" s="84">
        <v>5.88</v>
      </c>
      <c r="F7270" s="83">
        <f t="shared" ca="1" si="293"/>
        <v>335.15999999999997</v>
      </c>
    </row>
    <row r="7271" spans="1:10" ht="14.1" customHeight="1" x14ac:dyDescent="0.25">
      <c r="A7271" s="94" t="s">
        <v>15520</v>
      </c>
      <c r="B7271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7271" s="95" t="str">
        <f>IFERROR(VLOOKUP("UD",'Informacion '!P:Q,2,FALSE),"")</f>
        <v>Unidad</v>
      </c>
      <c r="D7271" s="94">
        <v>2598</v>
      </c>
      <c r="E7271" s="84">
        <v>5.68</v>
      </c>
      <c r="F7271" s="83">
        <f t="shared" ca="1" si="293"/>
        <v>14756.64</v>
      </c>
    </row>
    <row r="7272" spans="1:10" ht="14.1" customHeight="1" x14ac:dyDescent="0.25">
      <c r="A7272" s="94" t="s">
        <v>16391</v>
      </c>
      <c r="B7272" s="82" t="str">
        <f ca="1">IFERROR(INDEX(UNSPSCDes,MATCH(INDIRECT(ADDRESS(ROW(),COLUMN()-1,4)),UNSPSCCode,0)),IF(INDIRECT(ADDRESS(ROW(),COLUMN()-1,4))="42142615","Accesorios para jeringas",""))</f>
        <v>Accesorios para jeringas</v>
      </c>
      <c r="C7272" s="95" t="str">
        <f>IFERROR(VLOOKUP("UD",'Informacion '!P:Q,2,FALSE),"")</f>
        <v>Unidad</v>
      </c>
      <c r="D7272" s="94">
        <v>14</v>
      </c>
      <c r="E7272" s="84">
        <v>8.4499999999999993</v>
      </c>
      <c r="F7272" s="83">
        <f t="shared" ca="1" si="293"/>
        <v>118.29999999999998</v>
      </c>
    </row>
    <row r="7273" spans="1:10" ht="14.1" customHeight="1" x14ac:dyDescent="0.25">
      <c r="E7273" s="96" t="s">
        <v>7213</v>
      </c>
      <c r="F7273" s="87">
        <f ca="1">SUM(Table200[MONTO TOTAL ESTIMADO])</f>
        <v>486185.84999999992</v>
      </c>
      <c r="H7273" s="39" t="str">
        <f>C7239</f>
        <v>Bienes</v>
      </c>
      <c r="I7273" s="39" t="str">
        <f>E7239</f>
        <v>No</v>
      </c>
      <c r="J7273" s="39" t="str">
        <f>D7239</f>
        <v>Comparacion de Precios</v>
      </c>
    </row>
    <row r="7275" spans="1:10" ht="33.950000000000003" customHeight="1" x14ac:dyDescent="0.25">
      <c r="A7275" s="77" t="s">
        <v>17233</v>
      </c>
      <c r="B7275" s="77" t="s">
        <v>4237</v>
      </c>
      <c r="C7275" s="77" t="s">
        <v>4743</v>
      </c>
      <c r="D7275" s="77" t="s">
        <v>9891</v>
      </c>
      <c r="E7275" s="77" t="s">
        <v>3089</v>
      </c>
      <c r="F7275" s="77" t="s">
        <v>18141</v>
      </c>
    </row>
    <row r="7276" spans="1:10" ht="14.1" customHeight="1" x14ac:dyDescent="0.25">
      <c r="A7276" s="79" t="s">
        <v>18753</v>
      </c>
      <c r="B7276" s="79" t="s">
        <v>2182</v>
      </c>
      <c r="C7276" s="79" t="s">
        <v>17215</v>
      </c>
      <c r="D7276" s="79" t="s">
        <v>17798</v>
      </c>
      <c r="E7276" s="79" t="s">
        <v>18247</v>
      </c>
      <c r="F7276" s="79"/>
    </row>
    <row r="7277" spans="1:10" ht="14.1" customHeight="1" x14ac:dyDescent="0.25">
      <c r="A7277" s="2" t="s">
        <v>6643</v>
      </c>
      <c r="B7277" s="80" t="s">
        <v>1046</v>
      </c>
      <c r="C7277" s="90">
        <v>43475</v>
      </c>
      <c r="D7277" s="2" t="s">
        <v>59</v>
      </c>
      <c r="E7277" s="92" t="s">
        <v>20066</v>
      </c>
      <c r="F7277" s="93" t="s">
        <v>5684</v>
      </c>
    </row>
    <row r="7278" spans="1:10" ht="14.1" customHeight="1" x14ac:dyDescent="0.25">
      <c r="A7278" s="1"/>
      <c r="B7278" s="80" t="s">
        <v>10788</v>
      </c>
      <c r="C7278" s="91">
        <f>IF(C7277="","",IF(AND(MONTH(C7277)&gt;=1,MONTH(C7277)&lt;=3),1,IF(AND(MONTH(C7277)&gt;=4,MONTH(C7277)&lt;=6),2,IF(AND(MONTH(C7277)&gt;=7,MONTH(C7277)&lt;=9),3,4))))</f>
        <v>1</v>
      </c>
      <c r="D7278" s="1"/>
      <c r="E7278" s="92" t="s">
        <v>14822</v>
      </c>
      <c r="F7278" s="93"/>
    </row>
    <row r="7279" spans="1:10" ht="14.1" customHeight="1" x14ac:dyDescent="0.25">
      <c r="A7279" s="1"/>
      <c r="B7279" s="80" t="s">
        <v>13758</v>
      </c>
      <c r="C7279" s="90">
        <v>43554</v>
      </c>
      <c r="D7279" s="1"/>
      <c r="E7279" s="92" t="s">
        <v>18636</v>
      </c>
      <c r="F7279" s="93"/>
    </row>
    <row r="7280" spans="1:10" ht="14.1" customHeight="1" x14ac:dyDescent="0.25">
      <c r="A7280" s="1"/>
      <c r="B7280" s="80" t="s">
        <v>10788</v>
      </c>
      <c r="C7280" s="91">
        <f>IF(C7279="","",IF(AND(MONTH(C7279)&gt;=1,MONTH(C7279)&lt;=3),1,IF(AND(MONTH(C7279)&gt;=4,MONTH(C7279)&lt;=6),2,IF(AND(MONTH(C7279)&gt;=7,MONTH(C7279)&lt;=9),3,4))))</f>
        <v>1</v>
      </c>
      <c r="D7280" s="1"/>
      <c r="E7280" s="92" t="s">
        <v>15990</v>
      </c>
      <c r="F7280" s="93"/>
    </row>
    <row r="7282" spans="1:6" ht="14.1" customHeight="1" x14ac:dyDescent="0.25">
      <c r="A7282" s="85" t="s">
        <v>15474</v>
      </c>
      <c r="B7282" s="85" t="s">
        <v>5027</v>
      </c>
      <c r="C7282" s="85" t="s">
        <v>17461</v>
      </c>
      <c r="D7282" s="85" t="s">
        <v>3935</v>
      </c>
      <c r="E7282" s="85" t="s">
        <v>10722</v>
      </c>
      <c r="F7282" s="85" t="s">
        <v>18237</v>
      </c>
    </row>
    <row r="7283" spans="1:6" ht="14.1" customHeight="1" x14ac:dyDescent="0.25">
      <c r="A7283" s="94" t="s">
        <v>14660</v>
      </c>
      <c r="B7283" s="82" t="str">
        <f ca="1">IFERROR(INDEX(UNSPSCDes,MATCH(INDIRECT(ADDRESS(ROW(),COLUMN()-1,4)),UNSPSCCode,0)),IF(INDIRECT(ADDRESS(ROW(),COLUMN()-1,4))="42311526","Vendajes de",""))</f>
        <v>Vendajes de</v>
      </c>
      <c r="C7283" s="95" t="str">
        <f>IFERROR(VLOOKUP("UD",'Informacion '!P:Q,2,FALSE),"")</f>
        <v>Unidad</v>
      </c>
      <c r="D7283" s="94">
        <v>4</v>
      </c>
      <c r="E7283" s="84">
        <v>27</v>
      </c>
      <c r="F7283" s="83">
        <f t="shared" ref="F7283:F7319" ca="1" si="294">INDIRECT(ADDRESS(ROW(),COLUMN()-2,4))*INDIRECT(ADDRESS(ROW(),COLUMN()-1,4))</f>
        <v>108</v>
      </c>
    </row>
    <row r="7284" spans="1:6" ht="14.1" customHeight="1" x14ac:dyDescent="0.25">
      <c r="A7284" s="94" t="s">
        <v>14138</v>
      </c>
      <c r="B7284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284" s="95" t="str">
        <f>IFERROR(VLOOKUP("UD",'Informacion '!P:Q,2,FALSE),"")</f>
        <v>Unidad</v>
      </c>
      <c r="D7284" s="94">
        <v>523</v>
      </c>
      <c r="E7284" s="84">
        <v>13.87</v>
      </c>
      <c r="F7284" s="83">
        <f t="shared" ca="1" si="294"/>
        <v>7254.0099999999993</v>
      </c>
    </row>
    <row r="7285" spans="1:6" ht="14.1" customHeight="1" x14ac:dyDescent="0.25">
      <c r="A7285" s="94" t="s">
        <v>12909</v>
      </c>
      <c r="B728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285" s="95" t="str">
        <f>IFERROR(VLOOKUP("UD",'Informacion '!P:Q,2,FALSE),"")</f>
        <v>Unidad</v>
      </c>
      <c r="D7285" s="94">
        <v>599</v>
      </c>
      <c r="E7285" s="84">
        <v>0.51</v>
      </c>
      <c r="F7285" s="83">
        <f t="shared" ca="1" si="294"/>
        <v>305.49</v>
      </c>
    </row>
    <row r="7286" spans="1:6" ht="14.1" customHeight="1" x14ac:dyDescent="0.25">
      <c r="A7286" s="94" t="s">
        <v>6120</v>
      </c>
      <c r="B7286" s="82" t="str">
        <f ca="1">IFERROR(INDEX(UNSPSCDes,MATCH(INDIRECT(ADDRESS(ROW(),COLUMN()-1,4)),UNSPSCCode,0)),IF(INDIRECT(ADDRESS(ROW(),COLUMN()-1,4))="44121634","Rollos adhesivos",""))</f>
        <v>Rollos adhesivos</v>
      </c>
      <c r="C7286" s="95" t="str">
        <f>IFERROR(VLOOKUP("UD",'Informacion '!P:Q,2,FALSE),"")</f>
        <v>Unidad</v>
      </c>
      <c r="D7286" s="94">
        <v>348</v>
      </c>
      <c r="E7286" s="84">
        <v>61.7</v>
      </c>
      <c r="F7286" s="83">
        <f t="shared" ca="1" si="294"/>
        <v>21471.600000000002</v>
      </c>
    </row>
    <row r="7287" spans="1:6" ht="14.1" customHeight="1" x14ac:dyDescent="0.25">
      <c r="A7287" s="94" t="s">
        <v>8742</v>
      </c>
      <c r="B7287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7287" s="95" t="str">
        <f>IFERROR(VLOOKUP("UD",'Informacion '!P:Q,2,FALSE),"")</f>
        <v>Unidad</v>
      </c>
      <c r="D7287" s="94">
        <v>5</v>
      </c>
      <c r="E7287" s="84">
        <v>138.06</v>
      </c>
      <c r="F7287" s="83">
        <f t="shared" ca="1" si="294"/>
        <v>690.3</v>
      </c>
    </row>
    <row r="7288" spans="1:6" ht="14.1" customHeight="1" x14ac:dyDescent="0.25">
      <c r="A7288" s="94" t="s">
        <v>865</v>
      </c>
      <c r="B7288" s="82" t="str">
        <f ca="1">IFERROR(INDEX(UNSPSCDes,MATCH(INDIRECT(ADDRESS(ROW(),COLUMN()-1,4)),UNSPSCCode,0)),IF(INDIRECT(ADDRESS(ROW(),COLUMN()-1,4))="24122006","Aplicador",""))</f>
        <v>Aplicador</v>
      </c>
      <c r="C7288" s="95" t="str">
        <f>IFERROR(VLOOKUP("UD",'Informacion '!P:Q,2,FALSE),"")</f>
        <v>Unidad</v>
      </c>
      <c r="D7288" s="94">
        <v>6</v>
      </c>
      <c r="E7288" s="84">
        <v>6.64</v>
      </c>
      <c r="F7288" s="83">
        <f t="shared" ca="1" si="294"/>
        <v>39.839999999999996</v>
      </c>
    </row>
    <row r="7289" spans="1:6" ht="14.1" customHeight="1" x14ac:dyDescent="0.25">
      <c r="A7289" s="94" t="s">
        <v>16195</v>
      </c>
      <c r="B7289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7289" s="95" t="str">
        <f>IFERROR(VLOOKUP("UD",'Informacion '!P:Q,2,FALSE),"")</f>
        <v>Unidad</v>
      </c>
      <c r="D7289" s="94">
        <v>16573</v>
      </c>
      <c r="E7289" s="84">
        <v>0.21</v>
      </c>
      <c r="F7289" s="83">
        <f t="shared" ca="1" si="294"/>
        <v>3480.33</v>
      </c>
    </row>
    <row r="7290" spans="1:6" ht="14.1" customHeight="1" x14ac:dyDescent="0.25">
      <c r="A7290" s="94" t="s">
        <v>12654</v>
      </c>
      <c r="B7290" s="82" t="str">
        <f ca="1">IFERROR(INDEX(UNSPSCDes,MATCH(INDIRECT(ADDRESS(ROW(),COLUMN()-1,4)),UNSPSCCode,0)),IF(INDIRECT(ADDRESS(ROW(),COLUMN()-1,4))="42241811","Faja para hernias",""))</f>
        <v>Faja para hernias</v>
      </c>
      <c r="C7290" s="95" t="str">
        <f>IFERROR(VLOOKUP("UD",'Informacion '!P:Q,2,FALSE),"")</f>
        <v>Unidad</v>
      </c>
      <c r="D7290" s="94">
        <v>1</v>
      </c>
      <c r="E7290" s="84">
        <v>500.12</v>
      </c>
      <c r="F7290" s="83">
        <f t="shared" ca="1" si="294"/>
        <v>500.12</v>
      </c>
    </row>
    <row r="7291" spans="1:6" ht="14.1" customHeight="1" x14ac:dyDescent="0.25">
      <c r="A7291" s="94" t="s">
        <v>12724</v>
      </c>
      <c r="B7291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7291" s="95" t="str">
        <f>IFERROR(VLOOKUP("UD",'Informacion '!P:Q,2,FALSE),"")</f>
        <v>Unidad</v>
      </c>
      <c r="D7291" s="94">
        <v>1</v>
      </c>
      <c r="E7291" s="84">
        <v>643.65</v>
      </c>
      <c r="F7291" s="83">
        <f t="shared" ca="1" si="294"/>
        <v>643.65</v>
      </c>
    </row>
    <row r="7292" spans="1:6" ht="14.1" customHeight="1" x14ac:dyDescent="0.25">
      <c r="A7292" s="94" t="s">
        <v>10944</v>
      </c>
      <c r="B7292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292" s="95" t="str">
        <f>IFERROR(VLOOKUP("UD",'Informacion '!P:Q,2,FALSE),"")</f>
        <v>Unidad</v>
      </c>
      <c r="D7292" s="94">
        <v>4</v>
      </c>
      <c r="E7292" s="84">
        <v>18.78</v>
      </c>
      <c r="F7292" s="83">
        <f t="shared" ca="1" si="294"/>
        <v>75.12</v>
      </c>
    </row>
    <row r="7293" spans="1:6" ht="14.1" customHeight="1" x14ac:dyDescent="0.25">
      <c r="A7293" s="94" t="s">
        <v>435</v>
      </c>
      <c r="B729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293" s="95" t="str">
        <f>IFERROR(VLOOKUP("UD",'Informacion '!P:Q,2,FALSE),"")</f>
        <v>Unidad</v>
      </c>
      <c r="D7293" s="94">
        <v>9</v>
      </c>
      <c r="E7293" s="84">
        <v>448.8</v>
      </c>
      <c r="F7293" s="83">
        <f t="shared" ca="1" si="294"/>
        <v>4039.2000000000003</v>
      </c>
    </row>
    <row r="7294" spans="1:6" ht="14.1" customHeight="1" x14ac:dyDescent="0.25">
      <c r="A7294" s="94" t="s">
        <v>7362</v>
      </c>
      <c r="B7294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294" s="95" t="str">
        <f>IFERROR(VLOOKUP("UD",'Informacion '!P:Q,2,FALSE),"")</f>
        <v>Unidad</v>
      </c>
      <c r="D7294" s="94">
        <v>2286</v>
      </c>
      <c r="E7294" s="84">
        <v>1.29</v>
      </c>
      <c r="F7294" s="83">
        <f t="shared" ca="1" si="294"/>
        <v>2948.94</v>
      </c>
    </row>
    <row r="7295" spans="1:6" ht="14.1" customHeight="1" x14ac:dyDescent="0.25">
      <c r="A7295" s="94" t="s">
        <v>3604</v>
      </c>
      <c r="B7295" s="82" t="str">
        <f ca="1">IFERROR(INDEX(UNSPSCDes,MATCH(INDIRECT(ADDRESS(ROW(),COLUMN()-1,4)),UNSPSCCode,0)),IF(INDIRECT(ADDRESS(ROW(),COLUMN()-1,4))="12352501","Formaldehidos",""))</f>
        <v>Formaldehidos</v>
      </c>
      <c r="C7295" s="95" t="str">
        <f>IFERROR(VLOOKUP("UD",'Informacion '!P:Q,2,FALSE),"")</f>
        <v>Unidad</v>
      </c>
      <c r="D7295" s="94">
        <v>8</v>
      </c>
      <c r="E7295" s="84">
        <v>425</v>
      </c>
      <c r="F7295" s="83">
        <f t="shared" ca="1" si="294"/>
        <v>3400</v>
      </c>
    </row>
    <row r="7296" spans="1:6" ht="14.1" customHeight="1" x14ac:dyDescent="0.25">
      <c r="A7296" s="94" t="s">
        <v>18162</v>
      </c>
      <c r="B7296" s="82" t="str">
        <f ca="1">IFERROR(INDEX(UNSPSCDes,MATCH(INDIRECT(ADDRESS(ROW(),COLUMN()-1,4)),UNSPSCCode,0)),IF(INDIRECT(ADDRESS(ROW(),COLUMN()-1,4))="30101617","Barras de madera",""))</f>
        <v>Barras de madera</v>
      </c>
      <c r="C7296" s="95" t="str">
        <f>IFERROR(VLOOKUP("UD",'Informacion '!P:Q,2,FALSE),"")</f>
        <v>Unidad</v>
      </c>
      <c r="D7296" s="94">
        <v>153</v>
      </c>
      <c r="E7296" s="84">
        <v>1.06</v>
      </c>
      <c r="F7296" s="83">
        <f t="shared" ca="1" si="294"/>
        <v>162.18</v>
      </c>
    </row>
    <row r="7297" spans="1:6" ht="14.1" customHeight="1" x14ac:dyDescent="0.25">
      <c r="A7297" s="94" t="s">
        <v>3552</v>
      </c>
      <c r="B7297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297" s="95" t="str">
        <f>IFERROR(VLOOKUP("UD",'Informacion '!P:Q,2,FALSE),"")</f>
        <v>Unidad</v>
      </c>
      <c r="D7297" s="94">
        <v>1417</v>
      </c>
      <c r="E7297" s="84">
        <v>2.6</v>
      </c>
      <c r="F7297" s="83">
        <f t="shared" ca="1" si="294"/>
        <v>3684.2000000000003</v>
      </c>
    </row>
    <row r="7298" spans="1:6" ht="14.1" customHeight="1" x14ac:dyDescent="0.25">
      <c r="A7298" s="94" t="s">
        <v>3552</v>
      </c>
      <c r="B7298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298" s="95" t="str">
        <f>IFERROR(VLOOKUP("UD",'Informacion '!P:Q,2,FALSE),"")</f>
        <v>Unidad</v>
      </c>
      <c r="D7298" s="94">
        <v>1726</v>
      </c>
      <c r="E7298" s="84">
        <v>2.76</v>
      </c>
      <c r="F7298" s="83">
        <f t="shared" ca="1" si="294"/>
        <v>4763.7599999999993</v>
      </c>
    </row>
    <row r="7299" spans="1:6" ht="14.1" customHeight="1" x14ac:dyDescent="0.25">
      <c r="A7299" s="94" t="s">
        <v>1829</v>
      </c>
      <c r="B7299" s="82" t="str">
        <f ca="1">IFERROR(INDEX(UNSPSCDes,MATCH(INDIRECT(ADDRESS(ROW(),COLUMN()-1,4)),UNSPSCCode,0)),IF(INDIRECT(ADDRESS(ROW(),COLUMN()-1,4))="42222304","Tubos para administración o transfusión de sangre",""))</f>
        <v>Tubos para administración o transfusión de sangre</v>
      </c>
      <c r="C7299" s="95" t="str">
        <f>IFERROR(VLOOKUP("UD",'Informacion '!P:Q,2,FALSE),"")</f>
        <v>Unidad</v>
      </c>
      <c r="D7299" s="94">
        <v>1</v>
      </c>
      <c r="E7299" s="84">
        <v>9.1999999999999993</v>
      </c>
      <c r="F7299" s="83">
        <f t="shared" ca="1" si="294"/>
        <v>9.1999999999999993</v>
      </c>
    </row>
    <row r="7300" spans="1:6" ht="14.1" customHeight="1" x14ac:dyDescent="0.25">
      <c r="A7300" s="94" t="s">
        <v>15989</v>
      </c>
      <c r="B7300" s="82" t="str">
        <f ca="1">IFERROR(INDEX(UNSPSCDes,MATCH(INDIRECT(ADDRESS(ROW(),COLUMN()-1,4)),UNSPSCCode,0)),IF(INDIRECT(ADDRESS(ROW(),COLUMN()-1,4))="42272504","Sets o kits de anestesia",""))</f>
        <v>Sets o kits de anestesia</v>
      </c>
      <c r="C7300" s="95" t="str">
        <f>IFERROR(VLOOKUP("UD",'Informacion '!P:Q,2,FALSE),"")</f>
        <v>Unidad</v>
      </c>
      <c r="D7300" s="94">
        <v>6</v>
      </c>
      <c r="E7300" s="84">
        <v>232.34</v>
      </c>
      <c r="F7300" s="83">
        <f t="shared" ca="1" si="294"/>
        <v>1394.04</v>
      </c>
    </row>
    <row r="7301" spans="1:6" ht="14.1" customHeight="1" x14ac:dyDescent="0.25">
      <c r="A7301" s="94" t="s">
        <v>15989</v>
      </c>
      <c r="B7301" s="82" t="str">
        <f ca="1">IFERROR(INDEX(UNSPSCDes,MATCH(INDIRECT(ADDRESS(ROW(),COLUMN()-1,4)),UNSPSCCode,0)),IF(INDIRECT(ADDRESS(ROW(),COLUMN()-1,4))="42272504","Sets o kits de anestesia",""))</f>
        <v>Sets o kits de anestesia</v>
      </c>
      <c r="C7301" s="95" t="str">
        <f>IFERROR(VLOOKUP("UD",'Informacion '!P:Q,2,FALSE),"")</f>
        <v>Unidad</v>
      </c>
      <c r="D7301" s="94">
        <v>1</v>
      </c>
      <c r="E7301" s="84">
        <v>649</v>
      </c>
      <c r="F7301" s="83">
        <f t="shared" ca="1" si="294"/>
        <v>649</v>
      </c>
    </row>
    <row r="7302" spans="1:6" ht="14.1" customHeight="1" x14ac:dyDescent="0.25">
      <c r="A7302" s="94" t="s">
        <v>15989</v>
      </c>
      <c r="B7302" s="82" t="str">
        <f ca="1">IFERROR(INDEX(UNSPSCDes,MATCH(INDIRECT(ADDRESS(ROW(),COLUMN()-1,4)),UNSPSCCode,0)),IF(INDIRECT(ADDRESS(ROW(),COLUMN()-1,4))="42272504","Sets o kits de anestesia",""))</f>
        <v>Sets o kits de anestesia</v>
      </c>
      <c r="C7302" s="95" t="str">
        <f>IFERROR(VLOOKUP("UD",'Informacion '!P:Q,2,FALSE),"")</f>
        <v>Unidad</v>
      </c>
      <c r="D7302" s="94">
        <v>14</v>
      </c>
      <c r="E7302" s="84">
        <v>643.1</v>
      </c>
      <c r="F7302" s="83">
        <f t="shared" ca="1" si="294"/>
        <v>9003.4</v>
      </c>
    </row>
    <row r="7303" spans="1:6" ht="14.1" customHeight="1" x14ac:dyDescent="0.25">
      <c r="A7303" s="94" t="s">
        <v>4298</v>
      </c>
      <c r="B7303" s="82" t="str">
        <f ca="1">IFERROR(INDEX(UNSPSCDes,MATCH(INDIRECT(ADDRESS(ROW(),COLUMN()-1,4)),UNSPSCCode,0)),IF(INDIRECT(ADDRESS(ROW(),COLUMN()-1,4))="39121436","Electrodos",""))</f>
        <v>Electrodos</v>
      </c>
      <c r="C7303" s="95" t="str">
        <f>IFERROR(VLOOKUP("UD",'Informacion '!P:Q,2,FALSE),"")</f>
        <v>Unidad</v>
      </c>
      <c r="D7303" s="94">
        <v>60</v>
      </c>
      <c r="E7303" s="84">
        <v>17.7</v>
      </c>
      <c r="F7303" s="83">
        <f t="shared" ca="1" si="294"/>
        <v>1062</v>
      </c>
    </row>
    <row r="7304" spans="1:6" ht="14.1" customHeight="1" x14ac:dyDescent="0.25">
      <c r="A7304" s="94" t="s">
        <v>6081</v>
      </c>
      <c r="B7304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7304" s="95" t="str">
        <f>IFERROR(VLOOKUP("UD",'Informacion '!P:Q,2,FALSE),"")</f>
        <v>Unidad</v>
      </c>
      <c r="D7304" s="94">
        <v>18</v>
      </c>
      <c r="E7304" s="84">
        <v>42</v>
      </c>
      <c r="F7304" s="83">
        <f t="shared" ca="1" si="294"/>
        <v>756</v>
      </c>
    </row>
    <row r="7305" spans="1:6" ht="14.1" customHeight="1" x14ac:dyDescent="0.25">
      <c r="A7305" s="94" t="s">
        <v>15091</v>
      </c>
      <c r="B7305" s="82" t="str">
        <f ca="1">IFERROR(INDEX(UNSPSCDes,MATCH(INDIRECT(ADDRESS(ROW(),COLUMN()-1,4)),UNSPSCCode,0)),IF(INDIRECT(ADDRESS(ROW(),COLUMN()-1,4))="42161702","Bolsas de recolección de hemofiltración",""))</f>
        <v>Bolsas de recolección de hemofiltración</v>
      </c>
      <c r="C7305" s="95" t="str">
        <f>IFERROR(VLOOKUP("UD",'Informacion '!P:Q,2,FALSE),"")</f>
        <v>Unidad</v>
      </c>
      <c r="D7305" s="94">
        <v>135</v>
      </c>
      <c r="E7305" s="84">
        <v>249.74</v>
      </c>
      <c r="F7305" s="83">
        <f t="shared" ca="1" si="294"/>
        <v>33714.9</v>
      </c>
    </row>
    <row r="7306" spans="1:6" ht="14.1" customHeight="1" x14ac:dyDescent="0.25">
      <c r="A7306" s="94" t="s">
        <v>507</v>
      </c>
      <c r="B7306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7306" s="95" t="str">
        <f>IFERROR(VLOOKUP("UD",'Informacion '!P:Q,2,FALSE),"")</f>
        <v>Unidad</v>
      </c>
      <c r="D7306" s="94">
        <v>3</v>
      </c>
      <c r="E7306" s="84">
        <v>108.17</v>
      </c>
      <c r="F7306" s="83">
        <f t="shared" ca="1" si="294"/>
        <v>324.51</v>
      </c>
    </row>
    <row r="7307" spans="1:6" ht="14.1" customHeight="1" x14ac:dyDescent="0.25">
      <c r="A7307" s="94" t="s">
        <v>4852</v>
      </c>
      <c r="B7307" s="82" t="str">
        <f ca="1">IFERROR(INDEX(UNSPSCDes,MATCH(INDIRECT(ADDRESS(ROW(),COLUMN()-1,4)),UNSPSCCode,0)),IF(INDIRECT(ADDRESS(ROW(),COLUMN()-1,4))="42295303","Catéteres o conectores o accesorios de uso quirúrgico",""))</f>
        <v>Catéteres o conectores o accesorios de uso quirúrgico</v>
      </c>
      <c r="C7307" s="95" t="str">
        <f>IFERROR(VLOOKUP("UD",'Informacion '!P:Q,2,FALSE),"")</f>
        <v>Unidad</v>
      </c>
      <c r="D7307" s="94">
        <v>3</v>
      </c>
      <c r="E7307" s="84">
        <v>137.18</v>
      </c>
      <c r="F7307" s="83">
        <f t="shared" ca="1" si="294"/>
        <v>411.54</v>
      </c>
    </row>
    <row r="7308" spans="1:6" ht="14.1" customHeight="1" x14ac:dyDescent="0.25">
      <c r="A7308" s="94" t="s">
        <v>16391</v>
      </c>
      <c r="B7308" s="82" t="str">
        <f ca="1">IFERROR(INDEX(UNSPSCDes,MATCH(INDIRECT(ADDRESS(ROW(),COLUMN()-1,4)),UNSPSCCode,0)),IF(INDIRECT(ADDRESS(ROW(),COLUMN()-1,4))="42142615","Accesorios para jeringas",""))</f>
        <v>Accesorios para jeringas</v>
      </c>
      <c r="C7308" s="95" t="str">
        <f>IFERROR(VLOOKUP("UD",'Informacion '!P:Q,2,FALSE),"")</f>
        <v>Unidad</v>
      </c>
      <c r="D7308" s="94">
        <v>4</v>
      </c>
      <c r="E7308" s="84">
        <v>12.97</v>
      </c>
      <c r="F7308" s="83">
        <f t="shared" ca="1" si="294"/>
        <v>51.88</v>
      </c>
    </row>
    <row r="7309" spans="1:6" ht="14.1" customHeight="1" x14ac:dyDescent="0.25">
      <c r="A7309" s="94" t="s">
        <v>7698</v>
      </c>
      <c r="B7309" s="82" t="str">
        <f ca="1">IFERROR(INDEX(UNSPSCDes,MATCH(INDIRECT(ADDRESS(ROW(),COLUMN()-1,4)),UNSPSCCode,0)),IF(INDIRECT(ADDRESS(ROW(),COLUMN()-1,4))="44121708","Marcadores",""))</f>
        <v>Marcadores</v>
      </c>
      <c r="C7309" s="95" t="str">
        <f>IFERROR(VLOOKUP("UD",'Informacion '!P:Q,2,FALSE),"")</f>
        <v>Unidad</v>
      </c>
      <c r="D7309" s="94">
        <v>3</v>
      </c>
      <c r="E7309" s="84">
        <v>341.23</v>
      </c>
      <c r="F7309" s="83">
        <f t="shared" ca="1" si="294"/>
        <v>1023.69</v>
      </c>
    </row>
    <row r="7310" spans="1:6" ht="14.1" customHeight="1" x14ac:dyDescent="0.25">
      <c r="A7310" s="94" t="s">
        <v>6481</v>
      </c>
      <c r="B7310" s="82" t="str">
        <f ca="1">IFERROR(INDEX(UNSPSCDes,MATCH(INDIRECT(ADDRESS(ROW(),COLUMN()-1,4)),UNSPSCCode,0)),IF(INDIRECT(ADDRESS(ROW(),COLUMN()-1,4))="42293603","Sondas para uso quirúrgico",""))</f>
        <v>Sondas para uso quirúrgico</v>
      </c>
      <c r="C7310" s="95" t="str">
        <f>IFERROR(VLOOKUP("UD",'Informacion '!P:Q,2,FALSE),"")</f>
        <v>Unidad</v>
      </c>
      <c r="D7310" s="94">
        <v>4</v>
      </c>
      <c r="E7310" s="84">
        <v>22.42</v>
      </c>
      <c r="F7310" s="83">
        <f t="shared" ca="1" si="294"/>
        <v>89.68</v>
      </c>
    </row>
    <row r="7311" spans="1:6" ht="14.1" customHeight="1" x14ac:dyDescent="0.25">
      <c r="A7311" s="94" t="s">
        <v>2059</v>
      </c>
      <c r="B7311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311" s="95" t="str">
        <f>IFERROR(VLOOKUP("UD",'Informacion '!P:Q,2,FALSE),"")</f>
        <v>Unidad</v>
      </c>
      <c r="D7311" s="94">
        <v>7</v>
      </c>
      <c r="E7311" s="84">
        <v>5782</v>
      </c>
      <c r="F7311" s="83">
        <f t="shared" ca="1" si="294"/>
        <v>40474</v>
      </c>
    </row>
    <row r="7312" spans="1:6" ht="14.1" customHeight="1" x14ac:dyDescent="0.25">
      <c r="A7312" s="94" t="s">
        <v>7362</v>
      </c>
      <c r="B7312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312" s="95" t="str">
        <f>IFERROR(VLOOKUP("UD",'Informacion '!P:Q,2,FALSE),"")</f>
        <v>Unidad</v>
      </c>
      <c r="D7312" s="94">
        <v>26</v>
      </c>
      <c r="E7312" s="84">
        <v>2.5499999999999998</v>
      </c>
      <c r="F7312" s="83">
        <f t="shared" ca="1" si="294"/>
        <v>66.3</v>
      </c>
    </row>
    <row r="7313" spans="1:10" ht="14.1" customHeight="1" x14ac:dyDescent="0.25">
      <c r="A7313" s="94" t="s">
        <v>14286</v>
      </c>
      <c r="B7313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313" s="95" t="str">
        <f>IFERROR(VLOOKUP("UD",'Informacion '!P:Q,2,FALSE),"")</f>
        <v>Unidad</v>
      </c>
      <c r="D7313" s="94">
        <v>15</v>
      </c>
      <c r="E7313" s="84">
        <v>310.47000000000003</v>
      </c>
      <c r="F7313" s="83">
        <f t="shared" ca="1" si="294"/>
        <v>4657.05</v>
      </c>
    </row>
    <row r="7314" spans="1:10" ht="14.1" customHeight="1" x14ac:dyDescent="0.25">
      <c r="A7314" s="94" t="s">
        <v>14286</v>
      </c>
      <c r="B7314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314" s="95" t="str">
        <f>IFERROR(VLOOKUP("UD",'Informacion '!P:Q,2,FALSE),"")</f>
        <v>Unidad</v>
      </c>
      <c r="D7314" s="94">
        <v>39</v>
      </c>
      <c r="E7314" s="84">
        <v>670.89</v>
      </c>
      <c r="F7314" s="83">
        <f t="shared" ca="1" si="294"/>
        <v>26164.71</v>
      </c>
    </row>
    <row r="7315" spans="1:10" ht="14.1" customHeight="1" x14ac:dyDescent="0.25">
      <c r="A7315" s="94" t="s">
        <v>4949</v>
      </c>
      <c r="B7315" s="82" t="str">
        <f ca="1">IFERROR(INDEX(UNSPSCDes,MATCH(INDIRECT(ADDRESS(ROW(),COLUMN()-1,4)),UNSPSCCode,0)),IF(INDIRECT(ADDRESS(ROW(),COLUMN()-1,4))="42295421","Lavado de preparación o soluciones de pintura para uso quirúrgico",""))</f>
        <v>Lavado de preparación o soluciones de pintura para uso quirúrgico</v>
      </c>
      <c r="C7315" s="95" t="str">
        <f>IFERROR(VLOOKUP("UD",'Informacion '!P:Q,2,FALSE),"")</f>
        <v>Unidad</v>
      </c>
      <c r="D7315" s="94">
        <v>18</v>
      </c>
      <c r="E7315" s="84">
        <v>2355.38</v>
      </c>
      <c r="F7315" s="83">
        <f t="shared" ca="1" si="294"/>
        <v>42396.840000000004</v>
      </c>
    </row>
    <row r="7316" spans="1:10" ht="14.1" customHeight="1" x14ac:dyDescent="0.25">
      <c r="A7316" s="94" t="s">
        <v>11092</v>
      </c>
      <c r="B7316" s="82" t="str">
        <f ca="1">IFERROR(INDEX(UNSPSCDes,MATCH(INDIRECT(ADDRESS(ROW(),COLUMN()-1,4)),UNSPSCCode,0)),IF(INDIRECT(ADDRESS(ROW(),COLUMN()-1,4))="51241117","Isopropil unoprostone",""))</f>
        <v>Isopropil unoprostone</v>
      </c>
      <c r="C7316" s="95" t="str">
        <f>IFERROR(VLOOKUP("UD",'Informacion '!P:Q,2,FALSE),"")</f>
        <v>Unidad</v>
      </c>
      <c r="D7316" s="94">
        <v>18</v>
      </c>
      <c r="E7316" s="84">
        <v>650.85</v>
      </c>
      <c r="F7316" s="83">
        <f t="shared" ca="1" si="294"/>
        <v>11715.300000000001</v>
      </c>
    </row>
    <row r="7317" spans="1:10" ht="14.1" customHeight="1" x14ac:dyDescent="0.25">
      <c r="A7317" s="94" t="s">
        <v>2064</v>
      </c>
      <c r="B7317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317" s="95" t="str">
        <f>IFERROR(VLOOKUP("UD",'Informacion '!P:Q,2,FALSE),"")</f>
        <v>Unidad</v>
      </c>
      <c r="D7317" s="94">
        <v>9</v>
      </c>
      <c r="E7317" s="84">
        <v>2087.27</v>
      </c>
      <c r="F7317" s="83">
        <f t="shared" ca="1" si="294"/>
        <v>18785.43</v>
      </c>
    </row>
    <row r="7318" spans="1:10" ht="14.1" customHeight="1" x14ac:dyDescent="0.25">
      <c r="A7318" s="94" t="s">
        <v>14213</v>
      </c>
      <c r="B7318" s="82" t="str">
        <f ca="1">IFERROR(INDEX(UNSPSCDes,MATCH(INDIRECT(ADDRESS(ROW(),COLUMN()-1,4)),UNSPSCCode,0)),IF(INDIRECT(ADDRESS(ROW(),COLUMN()-1,4))="42281801","Tiras de prueba de desinfección",""))</f>
        <v>Tiras de prueba de desinfección</v>
      </c>
      <c r="C7318" s="95" t="str">
        <f>IFERROR(VLOOKUP("UD",'Informacion '!P:Q,2,FALSE),"")</f>
        <v>Unidad</v>
      </c>
      <c r="D7318" s="94">
        <v>30</v>
      </c>
      <c r="E7318" s="84">
        <v>141.83000000000001</v>
      </c>
      <c r="F7318" s="83">
        <f t="shared" ca="1" si="294"/>
        <v>4254.9000000000005</v>
      </c>
    </row>
    <row r="7319" spans="1:10" ht="14.1" customHeight="1" x14ac:dyDescent="0.25">
      <c r="A7319" s="94" t="s">
        <v>6302</v>
      </c>
      <c r="B7319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7319" s="95" t="str">
        <f>IFERROR(VLOOKUP("UD",'Informacion '!P:Q,2,FALSE),"")</f>
        <v>Unidad</v>
      </c>
      <c r="D7319" s="94">
        <v>101</v>
      </c>
      <c r="E7319" s="84">
        <v>18.52</v>
      </c>
      <c r="F7319" s="83">
        <f t="shared" ca="1" si="294"/>
        <v>1870.52</v>
      </c>
    </row>
    <row r="7320" spans="1:10" ht="14.1" customHeight="1" x14ac:dyDescent="0.25">
      <c r="E7320" s="96" t="s">
        <v>7213</v>
      </c>
      <c r="F7320" s="87">
        <f ca="1">SUM(Table201[MONTO TOTAL ESTIMADO])</f>
        <v>252441.62999999992</v>
      </c>
      <c r="H7320" s="39" t="str">
        <f>C7276</f>
        <v>Bienes</v>
      </c>
      <c r="I7320" s="39" t="str">
        <f>E7276</f>
        <v>No</v>
      </c>
      <c r="J7320" s="39" t="str">
        <f>D7276</f>
        <v>Compras Menores</v>
      </c>
    </row>
    <row r="7322" spans="1:10" ht="33.950000000000003" customHeight="1" x14ac:dyDescent="0.25">
      <c r="A7322" s="77" t="s">
        <v>17233</v>
      </c>
      <c r="B7322" s="77" t="s">
        <v>4237</v>
      </c>
      <c r="C7322" s="77" t="s">
        <v>4743</v>
      </c>
      <c r="D7322" s="77" t="s">
        <v>9891</v>
      </c>
      <c r="E7322" s="77" t="s">
        <v>3089</v>
      </c>
      <c r="F7322" s="77" t="s">
        <v>18141</v>
      </c>
    </row>
    <row r="7323" spans="1:10" ht="14.1" customHeight="1" x14ac:dyDescent="0.25">
      <c r="A7323" s="79" t="s">
        <v>19087</v>
      </c>
      <c r="B7323" s="79" t="s">
        <v>2182</v>
      </c>
      <c r="C7323" s="79" t="s">
        <v>17215</v>
      </c>
      <c r="D7323" s="79" t="s">
        <v>17798</v>
      </c>
      <c r="E7323" s="79" t="s">
        <v>18247</v>
      </c>
      <c r="F7323" s="79"/>
    </row>
    <row r="7324" spans="1:10" ht="14.1" customHeight="1" x14ac:dyDescent="0.25">
      <c r="A7324" s="2" t="s">
        <v>6643</v>
      </c>
      <c r="B7324" s="80" t="s">
        <v>1046</v>
      </c>
      <c r="C7324" s="90">
        <v>43556</v>
      </c>
      <c r="D7324" s="2" t="s">
        <v>59</v>
      </c>
      <c r="E7324" s="92" t="s">
        <v>20066</v>
      </c>
      <c r="F7324" s="93" t="s">
        <v>5684</v>
      </c>
    </row>
    <row r="7325" spans="1:10" ht="14.1" customHeight="1" x14ac:dyDescent="0.25">
      <c r="A7325" s="1"/>
      <c r="B7325" s="80" t="s">
        <v>10788</v>
      </c>
      <c r="C7325" s="91">
        <f>IF(C7324="","",IF(AND(MONTH(C7324)&gt;=1,MONTH(C7324)&lt;=3),1,IF(AND(MONTH(C7324)&gt;=4,MONTH(C7324)&lt;=6),2,IF(AND(MONTH(C7324)&gt;=7,MONTH(C7324)&lt;=9),3,4))))</f>
        <v>2</v>
      </c>
      <c r="D7325" s="1"/>
      <c r="E7325" s="92" t="s">
        <v>14822</v>
      </c>
      <c r="F7325" s="93"/>
    </row>
    <row r="7326" spans="1:10" ht="14.1" customHeight="1" x14ac:dyDescent="0.25">
      <c r="A7326" s="1"/>
      <c r="B7326" s="80" t="s">
        <v>13758</v>
      </c>
      <c r="C7326" s="90">
        <v>43645</v>
      </c>
      <c r="D7326" s="1"/>
      <c r="E7326" s="92" t="s">
        <v>18636</v>
      </c>
      <c r="F7326" s="93"/>
    </row>
    <row r="7327" spans="1:10" ht="14.1" customHeight="1" x14ac:dyDescent="0.25">
      <c r="A7327" s="1"/>
      <c r="B7327" s="80" t="s">
        <v>10788</v>
      </c>
      <c r="C7327" s="91">
        <f>IF(C7326="","",IF(AND(MONTH(C7326)&gt;=1,MONTH(C7326)&lt;=3),1,IF(AND(MONTH(C7326)&gt;=4,MONTH(C7326)&lt;=6),2,IF(AND(MONTH(C7326)&gt;=7,MONTH(C7326)&lt;=9),3,4))))</f>
        <v>2</v>
      </c>
      <c r="D7327" s="1"/>
      <c r="E7327" s="92" t="s">
        <v>15990</v>
      </c>
      <c r="F7327" s="93"/>
    </row>
    <row r="7329" spans="1:6" ht="14.1" customHeight="1" x14ac:dyDescent="0.25">
      <c r="A7329" s="85" t="s">
        <v>15474</v>
      </c>
      <c r="B7329" s="85" t="s">
        <v>5027</v>
      </c>
      <c r="C7329" s="85" t="s">
        <v>17461</v>
      </c>
      <c r="D7329" s="85" t="s">
        <v>3935</v>
      </c>
      <c r="E7329" s="85" t="s">
        <v>10722</v>
      </c>
      <c r="F7329" s="85" t="s">
        <v>18237</v>
      </c>
    </row>
    <row r="7330" spans="1:6" ht="14.1" customHeight="1" x14ac:dyDescent="0.25">
      <c r="A7330" s="94" t="s">
        <v>14660</v>
      </c>
      <c r="B7330" s="82" t="str">
        <f ca="1">IFERROR(INDEX(UNSPSCDes,MATCH(INDIRECT(ADDRESS(ROW(),COLUMN()-1,4)),UNSPSCCode,0)),IF(INDIRECT(ADDRESS(ROW(),COLUMN()-1,4))="42311526","Vendajes de",""))</f>
        <v>Vendajes de</v>
      </c>
      <c r="C7330" s="95" t="str">
        <f>IFERROR(VLOOKUP("UD",'Informacion '!P:Q,2,FALSE),"")</f>
        <v>Unidad</v>
      </c>
      <c r="D7330" s="94">
        <v>5</v>
      </c>
      <c r="E7330" s="84">
        <v>27</v>
      </c>
      <c r="F7330" s="83">
        <f t="shared" ref="F7330:F7366" ca="1" si="295">INDIRECT(ADDRESS(ROW(),COLUMN()-2,4))*INDIRECT(ADDRESS(ROW(),COLUMN()-1,4))</f>
        <v>135</v>
      </c>
    </row>
    <row r="7331" spans="1:6" ht="14.1" customHeight="1" x14ac:dyDescent="0.25">
      <c r="A7331" s="94" t="s">
        <v>14138</v>
      </c>
      <c r="B7331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331" s="95" t="str">
        <f>IFERROR(VLOOKUP("UD",'Informacion '!P:Q,2,FALSE),"")</f>
        <v>Unidad</v>
      </c>
      <c r="D7331" s="94">
        <v>534</v>
      </c>
      <c r="E7331" s="84">
        <v>13.87</v>
      </c>
      <c r="F7331" s="83">
        <f t="shared" ca="1" si="295"/>
        <v>7406.58</v>
      </c>
    </row>
    <row r="7332" spans="1:6" ht="14.1" customHeight="1" x14ac:dyDescent="0.25">
      <c r="A7332" s="94" t="s">
        <v>12909</v>
      </c>
      <c r="B7332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332" s="95" t="str">
        <f>IFERROR(VLOOKUP("UD",'Informacion '!P:Q,2,FALSE),"")</f>
        <v>Unidad</v>
      </c>
      <c r="D7332" s="94">
        <v>611</v>
      </c>
      <c r="E7332" s="84">
        <v>0.51</v>
      </c>
      <c r="F7332" s="83">
        <f t="shared" ca="1" si="295"/>
        <v>311.61</v>
      </c>
    </row>
    <row r="7333" spans="1:6" ht="14.1" customHeight="1" x14ac:dyDescent="0.25">
      <c r="A7333" s="94" t="s">
        <v>6120</v>
      </c>
      <c r="B7333" s="82" t="str">
        <f ca="1">IFERROR(INDEX(UNSPSCDes,MATCH(INDIRECT(ADDRESS(ROW(),COLUMN()-1,4)),UNSPSCCode,0)),IF(INDIRECT(ADDRESS(ROW(),COLUMN()-1,4))="44121634","Rollos adhesivos",""))</f>
        <v>Rollos adhesivos</v>
      </c>
      <c r="C7333" s="95" t="str">
        <f>IFERROR(VLOOKUP("UD",'Informacion '!P:Q,2,FALSE),"")</f>
        <v>Unidad</v>
      </c>
      <c r="D7333" s="94">
        <v>360</v>
      </c>
      <c r="E7333" s="84">
        <v>61.7</v>
      </c>
      <c r="F7333" s="83">
        <f t="shared" ca="1" si="295"/>
        <v>22212</v>
      </c>
    </row>
    <row r="7334" spans="1:6" ht="14.1" customHeight="1" x14ac:dyDescent="0.25">
      <c r="A7334" s="94" t="s">
        <v>8742</v>
      </c>
      <c r="B7334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7334" s="95" t="str">
        <f>IFERROR(VLOOKUP("UD",'Informacion '!P:Q,2,FALSE),"")</f>
        <v>Unidad</v>
      </c>
      <c r="D7334" s="94">
        <v>6</v>
      </c>
      <c r="E7334" s="84">
        <v>138.06</v>
      </c>
      <c r="F7334" s="83">
        <f t="shared" ca="1" si="295"/>
        <v>828.36</v>
      </c>
    </row>
    <row r="7335" spans="1:6" ht="14.1" customHeight="1" x14ac:dyDescent="0.25">
      <c r="A7335" s="94" t="s">
        <v>865</v>
      </c>
      <c r="B7335" s="82" t="str">
        <f ca="1">IFERROR(INDEX(UNSPSCDes,MATCH(INDIRECT(ADDRESS(ROW(),COLUMN()-1,4)),UNSPSCCode,0)),IF(INDIRECT(ADDRESS(ROW(),COLUMN()-1,4))="24122006","Aplicador",""))</f>
        <v>Aplicador</v>
      </c>
      <c r="C7335" s="95" t="str">
        <f>IFERROR(VLOOKUP("UD",'Informacion '!P:Q,2,FALSE),"")</f>
        <v>Unidad</v>
      </c>
      <c r="D7335" s="94">
        <v>7</v>
      </c>
      <c r="E7335" s="84">
        <v>6.64</v>
      </c>
      <c r="F7335" s="83">
        <f t="shared" ca="1" si="295"/>
        <v>46.48</v>
      </c>
    </row>
    <row r="7336" spans="1:6" ht="14.1" customHeight="1" x14ac:dyDescent="0.25">
      <c r="A7336" s="94" t="s">
        <v>16195</v>
      </c>
      <c r="B7336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7336" s="95" t="str">
        <f>IFERROR(VLOOKUP("UD",'Informacion '!P:Q,2,FALSE),"")</f>
        <v>Unidad</v>
      </c>
      <c r="D7336" s="94">
        <v>16905</v>
      </c>
      <c r="E7336" s="84">
        <v>0.21</v>
      </c>
      <c r="F7336" s="83">
        <f t="shared" ca="1" si="295"/>
        <v>3550.0499999999997</v>
      </c>
    </row>
    <row r="7337" spans="1:6" ht="14.1" customHeight="1" x14ac:dyDescent="0.25">
      <c r="A7337" s="94" t="s">
        <v>12654</v>
      </c>
      <c r="B7337" s="82" t="str">
        <f ca="1">IFERROR(INDEX(UNSPSCDes,MATCH(INDIRECT(ADDRESS(ROW(),COLUMN()-1,4)),UNSPSCCode,0)),IF(INDIRECT(ADDRESS(ROW(),COLUMN()-1,4))="42241811","Faja para hernias",""))</f>
        <v>Faja para hernias</v>
      </c>
      <c r="C7337" s="95" t="str">
        <f>IFERROR(VLOOKUP("UD",'Informacion '!P:Q,2,FALSE),"")</f>
        <v>Unidad</v>
      </c>
      <c r="D7337" s="94">
        <v>2</v>
      </c>
      <c r="E7337" s="84">
        <v>500.12</v>
      </c>
      <c r="F7337" s="83">
        <f t="shared" ca="1" si="295"/>
        <v>1000.24</v>
      </c>
    </row>
    <row r="7338" spans="1:6" ht="14.1" customHeight="1" x14ac:dyDescent="0.25">
      <c r="A7338" s="94" t="s">
        <v>12724</v>
      </c>
      <c r="B7338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7338" s="95" t="str">
        <f>IFERROR(VLOOKUP("UD",'Informacion '!P:Q,2,FALSE),"")</f>
        <v>Unidad</v>
      </c>
      <c r="D7338" s="94">
        <v>2</v>
      </c>
      <c r="E7338" s="84">
        <v>643.65</v>
      </c>
      <c r="F7338" s="83">
        <f t="shared" ca="1" si="295"/>
        <v>1287.3</v>
      </c>
    </row>
    <row r="7339" spans="1:6" ht="14.1" customHeight="1" x14ac:dyDescent="0.25">
      <c r="A7339" s="94" t="s">
        <v>10944</v>
      </c>
      <c r="B7339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339" s="95" t="str">
        <f>IFERROR(VLOOKUP("UD",'Informacion '!P:Q,2,FALSE),"")</f>
        <v>Unidad</v>
      </c>
      <c r="D7339" s="94">
        <v>5</v>
      </c>
      <c r="E7339" s="84">
        <v>18.78</v>
      </c>
      <c r="F7339" s="83">
        <f t="shared" ca="1" si="295"/>
        <v>93.9</v>
      </c>
    </row>
    <row r="7340" spans="1:6" ht="14.1" customHeight="1" x14ac:dyDescent="0.25">
      <c r="A7340" s="94" t="s">
        <v>435</v>
      </c>
      <c r="B7340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340" s="95" t="str">
        <f>IFERROR(VLOOKUP("UD",'Informacion '!P:Q,2,FALSE),"")</f>
        <v>Unidad</v>
      </c>
      <c r="D7340" s="94">
        <v>10</v>
      </c>
      <c r="E7340" s="84">
        <v>448.8</v>
      </c>
      <c r="F7340" s="83">
        <f t="shared" ca="1" si="295"/>
        <v>4488</v>
      </c>
    </row>
    <row r="7341" spans="1:6" ht="14.1" customHeight="1" x14ac:dyDescent="0.25">
      <c r="A7341" s="94" t="s">
        <v>7362</v>
      </c>
      <c r="B7341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341" s="95" t="str">
        <f>IFERROR(VLOOKUP("UD",'Informacion '!P:Q,2,FALSE),"")</f>
        <v>Unidad</v>
      </c>
      <c r="D7341" s="94">
        <v>2332</v>
      </c>
      <c r="E7341" s="84">
        <v>1.29</v>
      </c>
      <c r="F7341" s="83">
        <f t="shared" ca="1" si="295"/>
        <v>3008.28</v>
      </c>
    </row>
    <row r="7342" spans="1:6" ht="14.1" customHeight="1" x14ac:dyDescent="0.25">
      <c r="A7342" s="94" t="s">
        <v>3604</v>
      </c>
      <c r="B7342" s="82" t="str">
        <f ca="1">IFERROR(INDEX(UNSPSCDes,MATCH(INDIRECT(ADDRESS(ROW(),COLUMN()-1,4)),UNSPSCCode,0)),IF(INDIRECT(ADDRESS(ROW(),COLUMN()-1,4))="12352501","Formaldehidos",""))</f>
        <v>Formaldehidos</v>
      </c>
      <c r="C7342" s="95" t="str">
        <f>IFERROR(VLOOKUP("UD",'Informacion '!P:Q,2,FALSE),"")</f>
        <v>Unidad</v>
      </c>
      <c r="D7342" s="94">
        <v>9</v>
      </c>
      <c r="E7342" s="84">
        <v>425</v>
      </c>
      <c r="F7342" s="83">
        <f t="shared" ca="1" si="295"/>
        <v>3825</v>
      </c>
    </row>
    <row r="7343" spans="1:6" ht="14.1" customHeight="1" x14ac:dyDescent="0.25">
      <c r="A7343" s="94" t="s">
        <v>18162</v>
      </c>
      <c r="B7343" s="82" t="str">
        <f ca="1">IFERROR(INDEX(UNSPSCDes,MATCH(INDIRECT(ADDRESS(ROW(),COLUMN()-1,4)),UNSPSCCode,0)),IF(INDIRECT(ADDRESS(ROW(),COLUMN()-1,4))="30101617","Barras de madera",""))</f>
        <v>Barras de madera</v>
      </c>
      <c r="C7343" s="95" t="str">
        <f>IFERROR(VLOOKUP("UD",'Informacion '!P:Q,2,FALSE),"")</f>
        <v>Unidad</v>
      </c>
      <c r="D7343" s="94">
        <v>157</v>
      </c>
      <c r="E7343" s="84">
        <v>1.06</v>
      </c>
      <c r="F7343" s="83">
        <f t="shared" ca="1" si="295"/>
        <v>166.42000000000002</v>
      </c>
    </row>
    <row r="7344" spans="1:6" ht="14.1" customHeight="1" x14ac:dyDescent="0.25">
      <c r="A7344" s="94" t="s">
        <v>3552</v>
      </c>
      <c r="B7344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344" s="95" t="str">
        <f>IFERROR(VLOOKUP("UD",'Informacion '!P:Q,2,FALSE),"")</f>
        <v>Unidad</v>
      </c>
      <c r="D7344" s="94">
        <v>1447</v>
      </c>
      <c r="E7344" s="84">
        <v>2.6</v>
      </c>
      <c r="F7344" s="83">
        <f t="shared" ca="1" si="295"/>
        <v>3762.2000000000003</v>
      </c>
    </row>
    <row r="7345" spans="1:6" ht="14.1" customHeight="1" x14ac:dyDescent="0.25">
      <c r="A7345" s="94" t="s">
        <v>3552</v>
      </c>
      <c r="B7345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345" s="95" t="str">
        <f>IFERROR(VLOOKUP("UD",'Informacion '!P:Q,2,FALSE),"")</f>
        <v>Unidad</v>
      </c>
      <c r="D7345" s="94">
        <v>1761</v>
      </c>
      <c r="E7345" s="84">
        <v>2.76</v>
      </c>
      <c r="F7345" s="83">
        <f t="shared" ca="1" si="295"/>
        <v>4860.3599999999997</v>
      </c>
    </row>
    <row r="7346" spans="1:6" ht="14.1" customHeight="1" x14ac:dyDescent="0.25">
      <c r="A7346" s="94" t="s">
        <v>1829</v>
      </c>
      <c r="B7346" s="82" t="str">
        <f ca="1">IFERROR(INDEX(UNSPSCDes,MATCH(INDIRECT(ADDRESS(ROW(),COLUMN()-1,4)),UNSPSCCode,0)),IF(INDIRECT(ADDRESS(ROW(),COLUMN()-1,4))="42222304","Tubos para administración o transfusión de sangre",""))</f>
        <v>Tubos para administración o transfusión de sangre</v>
      </c>
      <c r="C7346" s="95" t="str">
        <f>IFERROR(VLOOKUP("UD",'Informacion '!P:Q,2,FALSE),"")</f>
        <v>Unidad</v>
      </c>
      <c r="D7346" s="94">
        <v>2</v>
      </c>
      <c r="E7346" s="84">
        <v>9.1999999999999993</v>
      </c>
      <c r="F7346" s="83">
        <f t="shared" ca="1" si="295"/>
        <v>18.399999999999999</v>
      </c>
    </row>
    <row r="7347" spans="1:6" ht="14.1" customHeight="1" x14ac:dyDescent="0.25">
      <c r="A7347" s="94" t="s">
        <v>15989</v>
      </c>
      <c r="B7347" s="82" t="str">
        <f ca="1">IFERROR(INDEX(UNSPSCDes,MATCH(INDIRECT(ADDRESS(ROW(),COLUMN()-1,4)),UNSPSCCode,0)),IF(INDIRECT(ADDRESS(ROW(),COLUMN()-1,4))="42272504","Sets o kits de anestesia",""))</f>
        <v>Sets o kits de anestesia</v>
      </c>
      <c r="C7347" s="95" t="str">
        <f>IFERROR(VLOOKUP("UD",'Informacion '!P:Q,2,FALSE),"")</f>
        <v>Unidad</v>
      </c>
      <c r="D7347" s="94">
        <v>7</v>
      </c>
      <c r="E7347" s="84">
        <v>232.34</v>
      </c>
      <c r="F7347" s="83">
        <f t="shared" ca="1" si="295"/>
        <v>1626.38</v>
      </c>
    </row>
    <row r="7348" spans="1:6" ht="14.1" customHeight="1" x14ac:dyDescent="0.25">
      <c r="A7348" s="94" t="s">
        <v>15989</v>
      </c>
      <c r="B7348" s="82" t="str">
        <f ca="1">IFERROR(INDEX(UNSPSCDes,MATCH(INDIRECT(ADDRESS(ROW(),COLUMN()-1,4)),UNSPSCCode,0)),IF(INDIRECT(ADDRESS(ROW(),COLUMN()-1,4))="42272504","Sets o kits de anestesia",""))</f>
        <v>Sets o kits de anestesia</v>
      </c>
      <c r="C7348" s="95" t="str">
        <f>IFERROR(VLOOKUP("UD",'Informacion '!P:Q,2,FALSE),"")</f>
        <v>Unidad</v>
      </c>
      <c r="D7348" s="94">
        <v>2</v>
      </c>
      <c r="E7348" s="84">
        <v>649</v>
      </c>
      <c r="F7348" s="83">
        <f t="shared" ca="1" si="295"/>
        <v>1298</v>
      </c>
    </row>
    <row r="7349" spans="1:6" ht="14.1" customHeight="1" x14ac:dyDescent="0.25">
      <c r="A7349" s="94" t="s">
        <v>15989</v>
      </c>
      <c r="B7349" s="82" t="str">
        <f ca="1">IFERROR(INDEX(UNSPSCDes,MATCH(INDIRECT(ADDRESS(ROW(),COLUMN()-1,4)),UNSPSCCode,0)),IF(INDIRECT(ADDRESS(ROW(),COLUMN()-1,4))="42272504","Sets o kits de anestesia",""))</f>
        <v>Sets o kits de anestesia</v>
      </c>
      <c r="C7349" s="95" t="str">
        <f>IFERROR(VLOOKUP("UD",'Informacion '!P:Q,2,FALSE),"")</f>
        <v>Unidad</v>
      </c>
      <c r="D7349" s="94">
        <v>15</v>
      </c>
      <c r="E7349" s="84">
        <v>643.1</v>
      </c>
      <c r="F7349" s="83">
        <f t="shared" ca="1" si="295"/>
        <v>9646.5</v>
      </c>
    </row>
    <row r="7350" spans="1:6" ht="14.1" customHeight="1" x14ac:dyDescent="0.25">
      <c r="A7350" s="94" t="s">
        <v>4298</v>
      </c>
      <c r="B7350" s="82" t="str">
        <f ca="1">IFERROR(INDEX(UNSPSCDes,MATCH(INDIRECT(ADDRESS(ROW(),COLUMN()-1,4)),UNSPSCCode,0)),IF(INDIRECT(ADDRESS(ROW(),COLUMN()-1,4))="39121436","Electrodos",""))</f>
        <v>Electrodos</v>
      </c>
      <c r="C7350" s="95" t="str">
        <f>IFERROR(VLOOKUP("UD",'Informacion '!P:Q,2,FALSE),"")</f>
        <v>Unidad</v>
      </c>
      <c r="D7350" s="94">
        <v>90</v>
      </c>
      <c r="E7350" s="84">
        <v>17.7</v>
      </c>
      <c r="F7350" s="83">
        <f t="shared" ca="1" si="295"/>
        <v>1593</v>
      </c>
    </row>
    <row r="7351" spans="1:6" ht="14.1" customHeight="1" x14ac:dyDescent="0.25">
      <c r="A7351" s="94" t="s">
        <v>6081</v>
      </c>
      <c r="B7351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7351" s="95" t="str">
        <f>IFERROR(VLOOKUP("UD",'Informacion '!P:Q,2,FALSE),"")</f>
        <v>Unidad</v>
      </c>
      <c r="D7351" s="94">
        <v>19</v>
      </c>
      <c r="E7351" s="84">
        <v>42</v>
      </c>
      <c r="F7351" s="83">
        <f t="shared" ca="1" si="295"/>
        <v>798</v>
      </c>
    </row>
    <row r="7352" spans="1:6" ht="14.1" customHeight="1" x14ac:dyDescent="0.25">
      <c r="A7352" s="94" t="s">
        <v>15091</v>
      </c>
      <c r="B7352" s="82" t="str">
        <f ca="1">IFERROR(INDEX(UNSPSCDes,MATCH(INDIRECT(ADDRESS(ROW(),COLUMN()-1,4)),UNSPSCCode,0)),IF(INDIRECT(ADDRESS(ROW(),COLUMN()-1,4))="42161702","Bolsas de recolección de hemofiltración",""))</f>
        <v>Bolsas de recolección de hemofiltración</v>
      </c>
      <c r="C7352" s="95" t="str">
        <f>IFERROR(VLOOKUP("UD",'Informacion '!P:Q,2,FALSE),"")</f>
        <v>Unidad</v>
      </c>
      <c r="D7352" s="94">
        <v>144</v>
      </c>
      <c r="E7352" s="84">
        <v>249.74</v>
      </c>
      <c r="F7352" s="83">
        <f t="shared" ca="1" si="295"/>
        <v>35962.559999999998</v>
      </c>
    </row>
    <row r="7353" spans="1:6" ht="14.1" customHeight="1" x14ac:dyDescent="0.25">
      <c r="A7353" s="94" t="s">
        <v>507</v>
      </c>
      <c r="B7353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7353" s="95" t="str">
        <f>IFERROR(VLOOKUP("UD",'Informacion '!P:Q,2,FALSE),"")</f>
        <v>Unidad</v>
      </c>
      <c r="D7353" s="94">
        <v>4</v>
      </c>
      <c r="E7353" s="84">
        <v>108.17</v>
      </c>
      <c r="F7353" s="83">
        <f t="shared" ca="1" si="295"/>
        <v>432.68</v>
      </c>
    </row>
    <row r="7354" spans="1:6" ht="14.1" customHeight="1" x14ac:dyDescent="0.25">
      <c r="A7354" s="94" t="s">
        <v>4852</v>
      </c>
      <c r="B7354" s="82" t="str">
        <f ca="1">IFERROR(INDEX(UNSPSCDes,MATCH(INDIRECT(ADDRESS(ROW(),COLUMN()-1,4)),UNSPSCCode,0)),IF(INDIRECT(ADDRESS(ROW(),COLUMN()-1,4))="42295303","Catéteres o conectores o accesorios de uso quirúrgico",""))</f>
        <v>Catéteres o conectores o accesorios de uso quirúrgico</v>
      </c>
      <c r="C7354" s="95" t="str">
        <f>IFERROR(VLOOKUP("UD",'Informacion '!P:Q,2,FALSE),"")</f>
        <v>Unidad</v>
      </c>
      <c r="D7354" s="94">
        <v>4</v>
      </c>
      <c r="E7354" s="84">
        <v>137.18</v>
      </c>
      <c r="F7354" s="83">
        <f t="shared" ca="1" si="295"/>
        <v>548.72</v>
      </c>
    </row>
    <row r="7355" spans="1:6" ht="14.1" customHeight="1" x14ac:dyDescent="0.25">
      <c r="A7355" s="94" t="s">
        <v>16391</v>
      </c>
      <c r="B7355" s="82" t="str">
        <f ca="1">IFERROR(INDEX(UNSPSCDes,MATCH(INDIRECT(ADDRESS(ROW(),COLUMN()-1,4)),UNSPSCCode,0)),IF(INDIRECT(ADDRESS(ROW(),COLUMN()-1,4))="42142615","Accesorios para jeringas",""))</f>
        <v>Accesorios para jeringas</v>
      </c>
      <c r="C7355" s="95" t="str">
        <f>IFERROR(VLOOKUP("UD",'Informacion '!P:Q,2,FALSE),"")</f>
        <v>Unidad</v>
      </c>
      <c r="D7355" s="94">
        <v>5</v>
      </c>
      <c r="E7355" s="84">
        <v>12.97</v>
      </c>
      <c r="F7355" s="83">
        <f t="shared" ca="1" si="295"/>
        <v>64.850000000000009</v>
      </c>
    </row>
    <row r="7356" spans="1:6" ht="14.1" customHeight="1" x14ac:dyDescent="0.25">
      <c r="A7356" s="94" t="s">
        <v>7698</v>
      </c>
      <c r="B7356" s="82" t="str">
        <f ca="1">IFERROR(INDEX(UNSPSCDes,MATCH(INDIRECT(ADDRESS(ROW(),COLUMN()-1,4)),UNSPSCCode,0)),IF(INDIRECT(ADDRESS(ROW(),COLUMN()-1,4))="44121708","Marcadores",""))</f>
        <v>Marcadores</v>
      </c>
      <c r="C7356" s="95" t="str">
        <f>IFERROR(VLOOKUP("UD",'Informacion '!P:Q,2,FALSE),"")</f>
        <v>Unidad</v>
      </c>
      <c r="D7356" s="94">
        <v>4</v>
      </c>
      <c r="E7356" s="84">
        <v>341.23</v>
      </c>
      <c r="F7356" s="83">
        <f t="shared" ca="1" si="295"/>
        <v>1364.92</v>
      </c>
    </row>
    <row r="7357" spans="1:6" ht="14.1" customHeight="1" x14ac:dyDescent="0.25">
      <c r="A7357" s="94" t="s">
        <v>6481</v>
      </c>
      <c r="B7357" s="82" t="str">
        <f ca="1">IFERROR(INDEX(UNSPSCDes,MATCH(INDIRECT(ADDRESS(ROW(),COLUMN()-1,4)),UNSPSCCode,0)),IF(INDIRECT(ADDRESS(ROW(),COLUMN()-1,4))="42293603","Sondas para uso quirúrgico",""))</f>
        <v>Sondas para uso quirúrgico</v>
      </c>
      <c r="C7357" s="95" t="str">
        <f>IFERROR(VLOOKUP("UD",'Informacion '!P:Q,2,FALSE),"")</f>
        <v>Unidad</v>
      </c>
      <c r="D7357" s="94">
        <v>6</v>
      </c>
      <c r="E7357" s="84">
        <v>22.42</v>
      </c>
      <c r="F7357" s="83">
        <f t="shared" ca="1" si="295"/>
        <v>134.52000000000001</v>
      </c>
    </row>
    <row r="7358" spans="1:6" ht="14.1" customHeight="1" x14ac:dyDescent="0.25">
      <c r="A7358" s="94" t="s">
        <v>2059</v>
      </c>
      <c r="B7358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358" s="95" t="str">
        <f>IFERROR(VLOOKUP("UD",'Informacion '!P:Q,2,FALSE),"")</f>
        <v>Unidad</v>
      </c>
      <c r="D7358" s="94">
        <v>8</v>
      </c>
      <c r="E7358" s="84">
        <v>5782</v>
      </c>
      <c r="F7358" s="83">
        <f t="shared" ca="1" si="295"/>
        <v>46256</v>
      </c>
    </row>
    <row r="7359" spans="1:6" ht="14.1" customHeight="1" x14ac:dyDescent="0.25">
      <c r="A7359" s="94" t="s">
        <v>7362</v>
      </c>
      <c r="B7359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359" s="95" t="str">
        <f>IFERROR(VLOOKUP("UD",'Informacion '!P:Q,2,FALSE),"")</f>
        <v>Unidad</v>
      </c>
      <c r="D7359" s="94">
        <v>27</v>
      </c>
      <c r="E7359" s="84">
        <v>2.5499999999999998</v>
      </c>
      <c r="F7359" s="83">
        <f t="shared" ca="1" si="295"/>
        <v>68.849999999999994</v>
      </c>
    </row>
    <row r="7360" spans="1:6" ht="14.1" customHeight="1" x14ac:dyDescent="0.25">
      <c r="A7360" s="94" t="s">
        <v>14286</v>
      </c>
      <c r="B7360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360" s="95" t="str">
        <f>IFERROR(VLOOKUP("UD",'Informacion '!P:Q,2,FALSE),"")</f>
        <v>Unidad</v>
      </c>
      <c r="D7360" s="94">
        <v>16</v>
      </c>
      <c r="E7360" s="84">
        <v>310.47000000000003</v>
      </c>
      <c r="F7360" s="83">
        <f t="shared" ca="1" si="295"/>
        <v>4967.5200000000004</v>
      </c>
    </row>
    <row r="7361" spans="1:10" ht="14.1" customHeight="1" x14ac:dyDescent="0.25">
      <c r="A7361" s="94" t="s">
        <v>14286</v>
      </c>
      <c r="B7361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361" s="95" t="str">
        <f>IFERROR(VLOOKUP("UD",'Informacion '!P:Q,2,FALSE),"")</f>
        <v>Unidad</v>
      </c>
      <c r="D7361" s="94">
        <v>40</v>
      </c>
      <c r="E7361" s="84">
        <v>670.89</v>
      </c>
      <c r="F7361" s="83">
        <f t="shared" ca="1" si="295"/>
        <v>26835.599999999999</v>
      </c>
    </row>
    <row r="7362" spans="1:10" ht="14.1" customHeight="1" x14ac:dyDescent="0.25">
      <c r="A7362" s="94" t="s">
        <v>4949</v>
      </c>
      <c r="B7362" s="82" t="str">
        <f ca="1">IFERROR(INDEX(UNSPSCDes,MATCH(INDIRECT(ADDRESS(ROW(),COLUMN()-1,4)),UNSPSCCode,0)),IF(INDIRECT(ADDRESS(ROW(),COLUMN()-1,4))="42295421","Lavado de preparación o soluciones de pintura para uso quirúrgico",""))</f>
        <v>Lavado de preparación o soluciones de pintura para uso quirúrgico</v>
      </c>
      <c r="C7362" s="95" t="str">
        <f>IFERROR(VLOOKUP("UD",'Informacion '!P:Q,2,FALSE),"")</f>
        <v>Unidad</v>
      </c>
      <c r="D7362" s="94">
        <v>19</v>
      </c>
      <c r="E7362" s="84">
        <v>2355.38</v>
      </c>
      <c r="F7362" s="83">
        <f t="shared" ca="1" si="295"/>
        <v>44752.22</v>
      </c>
    </row>
    <row r="7363" spans="1:10" ht="14.1" customHeight="1" x14ac:dyDescent="0.25">
      <c r="A7363" s="94" t="s">
        <v>11092</v>
      </c>
      <c r="B7363" s="82" t="str">
        <f ca="1">IFERROR(INDEX(UNSPSCDes,MATCH(INDIRECT(ADDRESS(ROW(),COLUMN()-1,4)),UNSPSCCode,0)),IF(INDIRECT(ADDRESS(ROW(),COLUMN()-1,4))="51241117","Isopropil unoprostone",""))</f>
        <v>Isopropil unoprostone</v>
      </c>
      <c r="C7363" s="95" t="str">
        <f>IFERROR(VLOOKUP("UD",'Informacion '!P:Q,2,FALSE),"")</f>
        <v>Unidad</v>
      </c>
      <c r="D7363" s="94">
        <v>19</v>
      </c>
      <c r="E7363" s="84">
        <v>650.85</v>
      </c>
      <c r="F7363" s="83">
        <f t="shared" ca="1" si="295"/>
        <v>12366.15</v>
      </c>
    </row>
    <row r="7364" spans="1:10" ht="14.1" customHeight="1" x14ac:dyDescent="0.25">
      <c r="A7364" s="94" t="s">
        <v>2064</v>
      </c>
      <c r="B7364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364" s="95" t="str">
        <f>IFERROR(VLOOKUP("UD",'Informacion '!P:Q,2,FALSE),"")</f>
        <v>Unidad</v>
      </c>
      <c r="D7364" s="94">
        <v>10</v>
      </c>
      <c r="E7364" s="84">
        <v>2087.27</v>
      </c>
      <c r="F7364" s="83">
        <f t="shared" ca="1" si="295"/>
        <v>20872.7</v>
      </c>
    </row>
    <row r="7365" spans="1:10" ht="14.1" customHeight="1" x14ac:dyDescent="0.25">
      <c r="A7365" s="94" t="s">
        <v>14213</v>
      </c>
      <c r="B7365" s="82" t="str">
        <f ca="1">IFERROR(INDEX(UNSPSCDes,MATCH(INDIRECT(ADDRESS(ROW(),COLUMN()-1,4)),UNSPSCCode,0)),IF(INDIRECT(ADDRESS(ROW(),COLUMN()-1,4))="42281801","Tiras de prueba de desinfección",""))</f>
        <v>Tiras de prueba de desinfección</v>
      </c>
      <c r="C7365" s="95" t="str">
        <f>IFERROR(VLOOKUP("UD",'Informacion '!P:Q,2,FALSE),"")</f>
        <v>Unidad</v>
      </c>
      <c r="D7365" s="94">
        <v>60</v>
      </c>
      <c r="E7365" s="84">
        <v>141.83000000000001</v>
      </c>
      <c r="F7365" s="83">
        <f t="shared" ca="1" si="295"/>
        <v>8509.8000000000011</v>
      </c>
    </row>
    <row r="7366" spans="1:10" ht="14.1" customHeight="1" x14ac:dyDescent="0.25">
      <c r="A7366" s="94" t="s">
        <v>6302</v>
      </c>
      <c r="B7366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7366" s="95" t="str">
        <f>IFERROR(VLOOKUP("UD",'Informacion '!P:Q,2,FALSE),"")</f>
        <v>Unidad</v>
      </c>
      <c r="D7366" s="94">
        <v>104</v>
      </c>
      <c r="E7366" s="84">
        <v>18.52</v>
      </c>
      <c r="F7366" s="83">
        <f t="shared" ca="1" si="295"/>
        <v>1926.08</v>
      </c>
    </row>
    <row r="7367" spans="1:10" ht="14.1" customHeight="1" x14ac:dyDescent="0.25">
      <c r="E7367" s="96" t="s">
        <v>7213</v>
      </c>
      <c r="F7367" s="87">
        <f ca="1">SUM(Table202[MONTO TOTAL ESTIMADO])</f>
        <v>277025.23</v>
      </c>
      <c r="H7367" s="39" t="str">
        <f>C7323</f>
        <v>Bienes</v>
      </c>
      <c r="I7367" s="39" t="str">
        <f>E7323</f>
        <v>No</v>
      </c>
      <c r="J7367" s="39" t="str">
        <f>D7323</f>
        <v>Compras Menores</v>
      </c>
    </row>
    <row r="7369" spans="1:10" ht="33.950000000000003" customHeight="1" x14ac:dyDescent="0.25">
      <c r="A7369" s="77" t="s">
        <v>17233</v>
      </c>
      <c r="B7369" s="77" t="s">
        <v>4237</v>
      </c>
      <c r="C7369" s="77" t="s">
        <v>4743</v>
      </c>
      <c r="D7369" s="77" t="s">
        <v>9891</v>
      </c>
      <c r="E7369" s="77" t="s">
        <v>3089</v>
      </c>
      <c r="F7369" s="77" t="s">
        <v>18141</v>
      </c>
    </row>
    <row r="7370" spans="1:10" ht="14.1" customHeight="1" x14ac:dyDescent="0.25">
      <c r="A7370" s="79" t="s">
        <v>19900</v>
      </c>
      <c r="B7370" s="79" t="s">
        <v>7535</v>
      </c>
      <c r="C7370" s="79" t="s">
        <v>17215</v>
      </c>
      <c r="D7370" s="79" t="s">
        <v>15249</v>
      </c>
      <c r="E7370" s="79" t="s">
        <v>18247</v>
      </c>
      <c r="F7370" s="79"/>
    </row>
    <row r="7371" spans="1:10" ht="14.1" customHeight="1" x14ac:dyDescent="0.25">
      <c r="A7371" s="2" t="s">
        <v>6643</v>
      </c>
      <c r="B7371" s="80" t="s">
        <v>1046</v>
      </c>
      <c r="C7371" s="90">
        <v>43475</v>
      </c>
      <c r="D7371" s="2" t="s">
        <v>59</v>
      </c>
      <c r="E7371" s="92" t="s">
        <v>20066</v>
      </c>
      <c r="F7371" s="93" t="s">
        <v>5684</v>
      </c>
    </row>
    <row r="7372" spans="1:10" ht="14.1" customHeight="1" x14ac:dyDescent="0.25">
      <c r="A7372" s="1"/>
      <c r="B7372" s="80" t="s">
        <v>10788</v>
      </c>
      <c r="C7372" s="91">
        <f>IF(C7371="","",IF(AND(MONTH(C7371)&gt;=1,MONTH(C7371)&lt;=3),1,IF(AND(MONTH(C7371)&gt;=4,MONTH(C7371)&lt;=6),2,IF(AND(MONTH(C7371)&gt;=7,MONTH(C7371)&lt;=9),3,4))))</f>
        <v>1</v>
      </c>
      <c r="D7372" s="1"/>
      <c r="E7372" s="92" t="s">
        <v>14822</v>
      </c>
      <c r="F7372" s="93"/>
    </row>
    <row r="7373" spans="1:10" ht="14.1" customHeight="1" x14ac:dyDescent="0.25">
      <c r="A7373" s="1"/>
      <c r="B7373" s="80" t="s">
        <v>13758</v>
      </c>
      <c r="C7373" s="90">
        <v>43554</v>
      </c>
      <c r="D7373" s="1"/>
      <c r="E7373" s="92" t="s">
        <v>18636</v>
      </c>
      <c r="F7373" s="93"/>
    </row>
    <row r="7374" spans="1:10" ht="14.1" customHeight="1" x14ac:dyDescent="0.25">
      <c r="A7374" s="1"/>
      <c r="B7374" s="80" t="s">
        <v>10788</v>
      </c>
      <c r="C7374" s="91">
        <f>IF(C7373="","",IF(AND(MONTH(C7373)&gt;=1,MONTH(C7373)&lt;=3),1,IF(AND(MONTH(C7373)&gt;=4,MONTH(C7373)&lt;=6),2,IF(AND(MONTH(C7373)&gt;=7,MONTH(C7373)&lt;=9),3,4))))</f>
        <v>1</v>
      </c>
      <c r="D7374" s="1"/>
      <c r="E7374" s="92" t="s">
        <v>15990</v>
      </c>
      <c r="F7374" s="93"/>
    </row>
    <row r="7376" spans="1:10" ht="14.1" customHeight="1" x14ac:dyDescent="0.25">
      <c r="A7376" s="85" t="s">
        <v>15474</v>
      </c>
      <c r="B7376" s="85" t="s">
        <v>5027</v>
      </c>
      <c r="C7376" s="85" t="s">
        <v>17461</v>
      </c>
      <c r="D7376" s="85" t="s">
        <v>3935</v>
      </c>
      <c r="E7376" s="85" t="s">
        <v>10722</v>
      </c>
      <c r="F7376" s="85" t="s">
        <v>18237</v>
      </c>
    </row>
    <row r="7377" spans="1:6" ht="14.1" customHeight="1" x14ac:dyDescent="0.25">
      <c r="A7377" s="94" t="s">
        <v>16391</v>
      </c>
      <c r="B7377" s="82" t="str">
        <f ca="1">IFERROR(INDEX(UNSPSCDes,MATCH(INDIRECT(ADDRESS(ROW(),COLUMN()-1,4)),UNSPSCCode,0)),IF(INDIRECT(ADDRESS(ROW(),COLUMN()-1,4))="42142615","Accesorios para jeringas",""))</f>
        <v>Accesorios para jeringas</v>
      </c>
      <c r="C7377" s="95" t="str">
        <f>IFERROR(VLOOKUP("UD",'Informacion '!P:Q,2,FALSE),"")</f>
        <v>Unidad</v>
      </c>
      <c r="D7377" s="94">
        <v>719</v>
      </c>
      <c r="E7377" s="84">
        <v>2.04</v>
      </c>
      <c r="F7377" s="83">
        <f t="shared" ref="F7377:F7422" ca="1" si="296">INDIRECT(ADDRESS(ROW(),COLUMN()-2,4))*INDIRECT(ADDRESS(ROW(),COLUMN()-1,4))</f>
        <v>1466.76</v>
      </c>
    </row>
    <row r="7378" spans="1:6" ht="14.1" customHeight="1" x14ac:dyDescent="0.25">
      <c r="A7378" s="94" t="s">
        <v>16391</v>
      </c>
      <c r="B7378" s="82" t="str">
        <f ca="1">IFERROR(INDEX(UNSPSCDes,MATCH(INDIRECT(ADDRESS(ROW(),COLUMN()-1,4)),UNSPSCCode,0)),IF(INDIRECT(ADDRESS(ROW(),COLUMN()-1,4))="42142615","Accesorios para jeringas",""))</f>
        <v>Accesorios para jeringas</v>
      </c>
      <c r="C7378" s="95" t="str">
        <f>IFERROR(VLOOKUP("UD",'Informacion '!P:Q,2,FALSE),"")</f>
        <v>Unidad</v>
      </c>
      <c r="D7378" s="94">
        <v>17</v>
      </c>
      <c r="E7378" s="84">
        <v>2.66</v>
      </c>
      <c r="F7378" s="83">
        <f t="shared" ca="1" si="296"/>
        <v>45.22</v>
      </c>
    </row>
    <row r="7379" spans="1:6" ht="14.1" customHeight="1" x14ac:dyDescent="0.25">
      <c r="A7379" s="94" t="s">
        <v>16391</v>
      </c>
      <c r="B7379" s="82" t="str">
        <f ca="1">IFERROR(INDEX(UNSPSCDes,MATCH(INDIRECT(ADDRESS(ROW(),COLUMN()-1,4)),UNSPSCCode,0)),IF(INDIRECT(ADDRESS(ROW(),COLUMN()-1,4))="42142615","Accesorios para jeringas",""))</f>
        <v>Accesorios para jeringas</v>
      </c>
      <c r="C7379" s="95" t="str">
        <f>IFERROR(VLOOKUP("UD",'Informacion '!P:Q,2,FALSE),"")</f>
        <v>Unidad</v>
      </c>
      <c r="D7379" s="94">
        <v>263</v>
      </c>
      <c r="E7379" s="84">
        <v>1.81</v>
      </c>
      <c r="F7379" s="83">
        <f t="shared" ca="1" si="296"/>
        <v>476.03000000000003</v>
      </c>
    </row>
    <row r="7380" spans="1:6" ht="14.1" customHeight="1" x14ac:dyDescent="0.25">
      <c r="A7380" s="94" t="s">
        <v>1867</v>
      </c>
      <c r="B7380" s="82" t="str">
        <f ca="1">IFERROR(INDEX(UNSPSCDes,MATCH(INDIRECT(ADDRESS(ROW(),COLUMN()-1,4)),UNSPSCCode,0)),IF(INDIRECT(ADDRESS(ROW(),COLUMN()-1,4))="42222008","Kits o accesorios de bombas de infusión",""))</f>
        <v>Kits o accesorios de bombas de infusión</v>
      </c>
      <c r="C7380" s="95" t="str">
        <f>IFERROR(VLOOKUP("UD",'Informacion '!P:Q,2,FALSE),"")</f>
        <v>Unidad</v>
      </c>
      <c r="D7380" s="94">
        <v>2</v>
      </c>
      <c r="E7380" s="84">
        <v>919.23</v>
      </c>
      <c r="F7380" s="83">
        <f t="shared" ca="1" si="296"/>
        <v>1838.46</v>
      </c>
    </row>
    <row r="7381" spans="1:6" ht="14.1" customHeight="1" x14ac:dyDescent="0.25">
      <c r="A7381" s="94" t="s">
        <v>16391</v>
      </c>
      <c r="B7381" s="82" t="str">
        <f ca="1">IFERROR(INDEX(UNSPSCDes,MATCH(INDIRECT(ADDRESS(ROW(),COLUMN()-1,4)),UNSPSCCode,0)),IF(INDIRECT(ADDRESS(ROW(),COLUMN()-1,4))="42142615","Accesorios para jeringas",""))</f>
        <v>Accesorios para jeringas</v>
      </c>
      <c r="C7381" s="95" t="str">
        <f>IFERROR(VLOOKUP("UD",'Informacion '!P:Q,2,FALSE),"")</f>
        <v>Unidad</v>
      </c>
      <c r="D7381" s="94">
        <v>1255</v>
      </c>
      <c r="E7381" s="84">
        <v>2.2999999999999998</v>
      </c>
      <c r="F7381" s="83">
        <f t="shared" ca="1" si="296"/>
        <v>2886.5</v>
      </c>
    </row>
    <row r="7382" spans="1:6" ht="14.1" customHeight="1" x14ac:dyDescent="0.25">
      <c r="A7382" s="94" t="s">
        <v>10112</v>
      </c>
      <c r="B7382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7382" s="95" t="str">
        <f>IFERROR(VLOOKUP("UD",'Informacion '!P:Q,2,FALSE),"")</f>
        <v>Unidad</v>
      </c>
      <c r="D7382" s="94">
        <v>192</v>
      </c>
      <c r="E7382" s="84">
        <v>84.35</v>
      </c>
      <c r="F7382" s="83">
        <f t="shared" ca="1" si="296"/>
        <v>16195.199999999999</v>
      </c>
    </row>
    <row r="7383" spans="1:6" ht="14.1" customHeight="1" x14ac:dyDescent="0.25">
      <c r="A7383" s="94" t="s">
        <v>6266</v>
      </c>
      <c r="B7383" s="82" t="str">
        <f ca="1">IFERROR(INDEX(UNSPSCDes,MATCH(INDIRECT(ADDRESS(ROW(),COLUMN()-1,4)),UNSPSCCode,0)),IF(INDIRECT(ADDRESS(ROW(),COLUMN()-1,4))="30151701","Boquillas de bajantes",""))</f>
        <v>Boquillas de bajantes</v>
      </c>
      <c r="C7383" s="95" t="str">
        <f>IFERROR(VLOOKUP("UD",'Informacion '!P:Q,2,FALSE),"")</f>
        <v>Unidad</v>
      </c>
      <c r="D7383" s="94">
        <v>11</v>
      </c>
      <c r="E7383" s="84">
        <v>120.24</v>
      </c>
      <c r="F7383" s="83">
        <f t="shared" ca="1" si="296"/>
        <v>1322.6399999999999</v>
      </c>
    </row>
    <row r="7384" spans="1:6" ht="14.1" customHeight="1" x14ac:dyDescent="0.25">
      <c r="A7384" s="94" t="s">
        <v>6481</v>
      </c>
      <c r="B7384" s="82" t="str">
        <f ca="1">IFERROR(INDEX(UNSPSCDes,MATCH(INDIRECT(ADDRESS(ROW(),COLUMN()-1,4)),UNSPSCCode,0)),IF(INDIRECT(ADDRESS(ROW(),COLUMN()-1,4))="42293603","Sondas para uso quirúrgico",""))</f>
        <v>Sondas para uso quirúrgico</v>
      </c>
      <c r="C7384" s="95" t="str">
        <f>IFERROR(VLOOKUP("UD",'Informacion '!P:Q,2,FALSE),"")</f>
        <v>Unidad</v>
      </c>
      <c r="D7384" s="94">
        <v>40</v>
      </c>
      <c r="E7384" s="84">
        <v>33.35</v>
      </c>
      <c r="F7384" s="83">
        <f t="shared" ca="1" si="296"/>
        <v>1334</v>
      </c>
    </row>
    <row r="7385" spans="1:6" ht="14.1" customHeight="1" x14ac:dyDescent="0.25">
      <c r="A7385" s="94" t="s">
        <v>6481</v>
      </c>
      <c r="B7385" s="82" t="str">
        <f ca="1">IFERROR(INDEX(UNSPSCDes,MATCH(INDIRECT(ADDRESS(ROW(),COLUMN()-1,4)),UNSPSCCode,0)),IF(INDIRECT(ADDRESS(ROW(),COLUMN()-1,4))="42293603","Sondas para uso quirúrgico",""))</f>
        <v>Sondas para uso quirúrgico</v>
      </c>
      <c r="C7385" s="95" t="str">
        <f>IFERROR(VLOOKUP("UD",'Informacion '!P:Q,2,FALSE),"")</f>
        <v>Unidad</v>
      </c>
      <c r="D7385" s="94">
        <v>29</v>
      </c>
      <c r="E7385" s="84">
        <v>33.35</v>
      </c>
      <c r="F7385" s="83">
        <f t="shared" ca="1" si="296"/>
        <v>967.15000000000009</v>
      </c>
    </row>
    <row r="7386" spans="1:6" ht="14.1" customHeight="1" x14ac:dyDescent="0.25">
      <c r="A7386" s="94" t="s">
        <v>16379</v>
      </c>
      <c r="B7386" s="82" t="str">
        <f ca="1">IFERROR(INDEX(UNSPSCDes,MATCH(INDIRECT(ADDRESS(ROW(),COLUMN()-1,4)),UNSPSCCode,0)),IF(INDIRECT(ADDRESS(ROW(),COLUMN()-1,4))="53131608","Jabones",""))</f>
        <v>Jabones</v>
      </c>
      <c r="C7386" s="95" t="str">
        <f>IFERROR(VLOOKUP("UD",'Informacion '!P:Q,2,FALSE),"")</f>
        <v>Unidad</v>
      </c>
      <c r="D7386" s="94">
        <v>2</v>
      </c>
      <c r="E7386" s="84">
        <v>719.5</v>
      </c>
      <c r="F7386" s="83">
        <f t="shared" ca="1" si="296"/>
        <v>1439</v>
      </c>
    </row>
    <row r="7387" spans="1:6" ht="14.1" customHeight="1" x14ac:dyDescent="0.25">
      <c r="A7387" s="94" t="s">
        <v>18202</v>
      </c>
      <c r="B7387" s="82" t="str">
        <f ca="1">IFERROR(INDEX(UNSPSCDes,MATCH(INDIRECT(ADDRESS(ROW(),COLUMN()-1,4)),UNSPSCCode,0)),IF(INDIRECT(ADDRESS(ROW(),COLUMN()-1,4))="14111609","Papel de cubierta",""))</f>
        <v>Papel de cubierta</v>
      </c>
      <c r="C7387" s="95" t="str">
        <f>IFERROR(VLOOKUP("UD",'Informacion '!P:Q,2,FALSE),"")</f>
        <v>Unidad</v>
      </c>
      <c r="D7387" s="94">
        <v>528</v>
      </c>
      <c r="E7387" s="84">
        <v>120.36</v>
      </c>
      <c r="F7387" s="83">
        <f t="shared" ca="1" si="296"/>
        <v>63550.080000000002</v>
      </c>
    </row>
    <row r="7388" spans="1:6" ht="14.1" customHeight="1" x14ac:dyDescent="0.25">
      <c r="A7388" s="94" t="s">
        <v>10248</v>
      </c>
      <c r="B7388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7388" s="95" t="str">
        <f>IFERROR(VLOOKUP("UD",'Informacion '!P:Q,2,FALSE),"")</f>
        <v>Unidad</v>
      </c>
      <c r="D7388" s="94">
        <v>90</v>
      </c>
      <c r="E7388" s="84">
        <v>1294.8499999999999</v>
      </c>
      <c r="F7388" s="83">
        <f t="shared" ca="1" si="296"/>
        <v>116536.49999999999</v>
      </c>
    </row>
    <row r="7389" spans="1:6" ht="14.1" customHeight="1" x14ac:dyDescent="0.25">
      <c r="A7389" s="94" t="s">
        <v>16391</v>
      </c>
      <c r="B7389" s="82" t="str">
        <f ca="1">IFERROR(INDEX(UNSPSCDes,MATCH(INDIRECT(ADDRESS(ROW(),COLUMN()-1,4)),UNSPSCCode,0)),IF(INDIRECT(ADDRESS(ROW(),COLUMN()-1,4))="42142615","Accesorios para jeringas",""))</f>
        <v>Accesorios para jeringas</v>
      </c>
      <c r="C7389" s="95" t="str">
        <f>IFERROR(VLOOKUP("UD",'Informacion '!P:Q,2,FALSE),"")</f>
        <v>Unidad</v>
      </c>
      <c r="D7389" s="94">
        <v>136</v>
      </c>
      <c r="E7389" s="84">
        <v>6.62</v>
      </c>
      <c r="F7389" s="83">
        <f t="shared" ca="1" si="296"/>
        <v>900.32</v>
      </c>
    </row>
    <row r="7390" spans="1:6" ht="14.1" customHeight="1" x14ac:dyDescent="0.25">
      <c r="A7390" s="94" t="s">
        <v>12909</v>
      </c>
      <c r="B7390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390" s="95" t="str">
        <f>IFERROR(VLOOKUP("UD",'Informacion '!P:Q,2,FALSE),"")</f>
        <v>Unidad</v>
      </c>
      <c r="D7390" s="94">
        <v>10960</v>
      </c>
      <c r="E7390" s="84">
        <v>0.56999999999999995</v>
      </c>
      <c r="F7390" s="83">
        <f t="shared" ca="1" si="296"/>
        <v>6247.2</v>
      </c>
    </row>
    <row r="7391" spans="1:6" ht="14.1" customHeight="1" x14ac:dyDescent="0.25">
      <c r="A7391" s="94" t="s">
        <v>14958</v>
      </c>
      <c r="B7391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7391" s="95" t="str">
        <f>IFERROR(VLOOKUP("UD",'Informacion '!P:Q,2,FALSE),"")</f>
        <v>Unidad</v>
      </c>
      <c r="D7391" s="94">
        <v>1219</v>
      </c>
      <c r="E7391" s="84">
        <v>11.92</v>
      </c>
      <c r="F7391" s="83">
        <f t="shared" ca="1" si="296"/>
        <v>14530.48</v>
      </c>
    </row>
    <row r="7392" spans="1:6" ht="14.1" customHeight="1" x14ac:dyDescent="0.25">
      <c r="A7392" s="94" t="s">
        <v>16391</v>
      </c>
      <c r="B7392" s="82" t="str">
        <f ca="1">IFERROR(INDEX(UNSPSCDes,MATCH(INDIRECT(ADDRESS(ROW(),COLUMN()-1,4)),UNSPSCCode,0)),IF(INDIRECT(ADDRESS(ROW(),COLUMN()-1,4))="42142615","Accesorios para jeringas",""))</f>
        <v>Accesorios para jeringas</v>
      </c>
      <c r="C7392" s="95" t="str">
        <f>IFERROR(VLOOKUP("UD",'Informacion '!P:Q,2,FALSE),"")</f>
        <v>Unidad</v>
      </c>
      <c r="D7392" s="94">
        <v>173</v>
      </c>
      <c r="E7392" s="84">
        <v>1.88</v>
      </c>
      <c r="F7392" s="83">
        <f t="shared" ca="1" si="296"/>
        <v>325.24</v>
      </c>
    </row>
    <row r="7393" spans="1:6" ht="14.1" customHeight="1" x14ac:dyDescent="0.25">
      <c r="A7393" s="94" t="s">
        <v>3216</v>
      </c>
      <c r="B7393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393" s="95" t="str">
        <f>IFERROR(VLOOKUP("UD",'Informacion '!P:Q,2,FALSE),"")</f>
        <v>Unidad</v>
      </c>
      <c r="D7393" s="94">
        <v>4</v>
      </c>
      <c r="E7393" s="84">
        <v>60.77</v>
      </c>
      <c r="F7393" s="83">
        <f t="shared" ca="1" si="296"/>
        <v>243.08</v>
      </c>
    </row>
    <row r="7394" spans="1:6" ht="14.1" customHeight="1" x14ac:dyDescent="0.25">
      <c r="A7394" s="94" t="s">
        <v>6481</v>
      </c>
      <c r="B7394" s="82" t="str">
        <f ca="1">IFERROR(INDEX(UNSPSCDes,MATCH(INDIRECT(ADDRESS(ROW(),COLUMN()-1,4)),UNSPSCCode,0)),IF(INDIRECT(ADDRESS(ROW(),COLUMN()-1,4))="42293603","Sondas para uso quirúrgico",""))</f>
        <v>Sondas para uso quirúrgico</v>
      </c>
      <c r="C7394" s="95" t="str">
        <f>IFERROR(VLOOKUP("UD",'Informacion '!P:Q,2,FALSE),"")</f>
        <v>Unidad</v>
      </c>
      <c r="D7394" s="94">
        <v>3</v>
      </c>
      <c r="E7394" s="84">
        <v>25.38</v>
      </c>
      <c r="F7394" s="83">
        <f t="shared" ca="1" si="296"/>
        <v>76.14</v>
      </c>
    </row>
    <row r="7395" spans="1:6" ht="14.1" customHeight="1" x14ac:dyDescent="0.25">
      <c r="A7395" s="94" t="s">
        <v>3782</v>
      </c>
      <c r="B7395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7395" s="95" t="str">
        <f>IFERROR(VLOOKUP("UD",'Informacion '!P:Q,2,FALSE),"")</f>
        <v>Unidad</v>
      </c>
      <c r="D7395" s="94">
        <v>26</v>
      </c>
      <c r="E7395" s="84">
        <v>426.62</v>
      </c>
      <c r="F7395" s="83">
        <f t="shared" ca="1" si="296"/>
        <v>11092.12</v>
      </c>
    </row>
    <row r="7396" spans="1:6" ht="14.1" customHeight="1" x14ac:dyDescent="0.25">
      <c r="A7396" s="94" t="s">
        <v>16391</v>
      </c>
      <c r="B7396" s="82" t="str">
        <f ca="1">IFERROR(INDEX(UNSPSCDes,MATCH(INDIRECT(ADDRESS(ROW(),COLUMN()-1,4)),UNSPSCCode,0)),IF(INDIRECT(ADDRESS(ROW(),COLUMN()-1,4))="42142615","Accesorios para jeringas",""))</f>
        <v>Accesorios para jeringas</v>
      </c>
      <c r="C7396" s="95" t="str">
        <f>IFERROR(VLOOKUP("UD",'Informacion '!P:Q,2,FALSE),"")</f>
        <v>Unidad</v>
      </c>
      <c r="D7396" s="94">
        <v>19</v>
      </c>
      <c r="E7396" s="84">
        <v>5.31</v>
      </c>
      <c r="F7396" s="83">
        <f t="shared" ca="1" si="296"/>
        <v>100.88999999999999</v>
      </c>
    </row>
    <row r="7397" spans="1:6" ht="14.1" customHeight="1" x14ac:dyDescent="0.25">
      <c r="A7397" s="94" t="s">
        <v>6481</v>
      </c>
      <c r="B7397" s="82" t="str">
        <f ca="1">IFERROR(INDEX(UNSPSCDes,MATCH(INDIRECT(ADDRESS(ROW(),COLUMN()-1,4)),UNSPSCCode,0)),IF(INDIRECT(ADDRESS(ROW(),COLUMN()-1,4))="42293603","Sondas para uso quirúrgico",""))</f>
        <v>Sondas para uso quirúrgico</v>
      </c>
      <c r="C7397" s="95" t="str">
        <f>IFERROR(VLOOKUP("UD",'Informacion '!P:Q,2,FALSE),"")</f>
        <v>Unidad</v>
      </c>
      <c r="D7397" s="94">
        <v>7</v>
      </c>
      <c r="E7397" s="84">
        <v>30.68</v>
      </c>
      <c r="F7397" s="83">
        <f t="shared" ca="1" si="296"/>
        <v>214.76</v>
      </c>
    </row>
    <row r="7398" spans="1:6" ht="14.1" customHeight="1" x14ac:dyDescent="0.25">
      <c r="A7398" s="94" t="s">
        <v>14138</v>
      </c>
      <c r="B739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398" s="95" t="str">
        <f>IFERROR(VLOOKUP("UD",'Informacion '!P:Q,2,FALSE),"")</f>
        <v>Unidad</v>
      </c>
      <c r="D7398" s="94">
        <v>1</v>
      </c>
      <c r="E7398" s="84">
        <v>9.15</v>
      </c>
      <c r="F7398" s="83">
        <f t="shared" ca="1" si="296"/>
        <v>9.15</v>
      </c>
    </row>
    <row r="7399" spans="1:6" ht="14.1" customHeight="1" x14ac:dyDescent="0.25">
      <c r="A7399" s="94" t="s">
        <v>2726</v>
      </c>
      <c r="B7399" s="82" t="str">
        <f ca="1">IFERROR(INDEX(UNSPSCDes,MATCH(INDIRECT(ADDRESS(ROW(),COLUMN()-1,4)),UNSPSCCode,0)),IF(INDIRECT(ADDRESS(ROW(),COLUMN()-1,4))="24112602","Frascos",""))</f>
        <v>Frascos</v>
      </c>
      <c r="C7399" s="95" t="str">
        <f>IFERROR(VLOOKUP("UD",'Informacion '!P:Q,2,FALSE),"")</f>
        <v>Unidad</v>
      </c>
      <c r="D7399" s="94">
        <v>18</v>
      </c>
      <c r="E7399" s="84">
        <v>96.16</v>
      </c>
      <c r="F7399" s="83">
        <f t="shared" ca="1" si="296"/>
        <v>1730.8799999999999</v>
      </c>
    </row>
    <row r="7400" spans="1:6" ht="14.1" customHeight="1" x14ac:dyDescent="0.25">
      <c r="A7400" s="94" t="s">
        <v>7820</v>
      </c>
      <c r="B7400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400" s="95" t="str">
        <f>IFERROR(VLOOKUP("UD",'Informacion '!P:Q,2,FALSE),"")</f>
        <v>Unidad</v>
      </c>
      <c r="D7400" s="94">
        <v>5</v>
      </c>
      <c r="E7400" s="84">
        <v>95</v>
      </c>
      <c r="F7400" s="83">
        <f t="shared" ca="1" si="296"/>
        <v>475</v>
      </c>
    </row>
    <row r="7401" spans="1:6" ht="14.1" customHeight="1" x14ac:dyDescent="0.25">
      <c r="A7401" s="94" t="s">
        <v>6729</v>
      </c>
      <c r="B7401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7401" s="95" t="str">
        <f>IFERROR(VLOOKUP("UD",'Informacion '!P:Q,2,FALSE),"")</f>
        <v>Unidad</v>
      </c>
      <c r="D7401" s="94">
        <v>3</v>
      </c>
      <c r="E7401" s="84">
        <v>253.28</v>
      </c>
      <c r="F7401" s="83">
        <f t="shared" ca="1" si="296"/>
        <v>759.84</v>
      </c>
    </row>
    <row r="7402" spans="1:6" ht="14.1" customHeight="1" x14ac:dyDescent="0.25">
      <c r="A7402" s="94" t="s">
        <v>6729</v>
      </c>
      <c r="B7402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7402" s="95" t="str">
        <f>IFERROR(VLOOKUP("UD",'Informacion '!P:Q,2,FALSE),"")</f>
        <v>Unidad</v>
      </c>
      <c r="D7402" s="94">
        <v>2</v>
      </c>
      <c r="E7402" s="84">
        <v>252.8</v>
      </c>
      <c r="F7402" s="83">
        <f t="shared" ca="1" si="296"/>
        <v>505.6</v>
      </c>
    </row>
    <row r="7403" spans="1:6" ht="14.1" customHeight="1" x14ac:dyDescent="0.25">
      <c r="A7403" s="94" t="s">
        <v>6481</v>
      </c>
      <c r="B7403" s="82" t="str">
        <f ca="1">IFERROR(INDEX(UNSPSCDes,MATCH(INDIRECT(ADDRESS(ROW(),COLUMN()-1,4)),UNSPSCCode,0)),IF(INDIRECT(ADDRESS(ROW(),COLUMN()-1,4))="42293603","Sondas para uso quirúrgico",""))</f>
        <v>Sondas para uso quirúrgico</v>
      </c>
      <c r="C7403" s="95" t="str">
        <f>IFERROR(VLOOKUP("UD",'Informacion '!P:Q,2,FALSE),"")</f>
        <v>Unidad</v>
      </c>
      <c r="D7403" s="94">
        <v>1</v>
      </c>
      <c r="E7403" s="84">
        <v>21.79</v>
      </c>
      <c r="F7403" s="83">
        <f t="shared" ca="1" si="296"/>
        <v>21.79</v>
      </c>
    </row>
    <row r="7404" spans="1:6" ht="14.1" customHeight="1" x14ac:dyDescent="0.25">
      <c r="A7404" s="94" t="s">
        <v>12909</v>
      </c>
      <c r="B7404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404" s="95" t="str">
        <f>IFERROR(VLOOKUP("UD",'Informacion '!P:Q,2,FALSE),"")</f>
        <v>Unidad</v>
      </c>
      <c r="D7404" s="94">
        <v>2</v>
      </c>
      <c r="E7404" s="84">
        <v>99.33</v>
      </c>
      <c r="F7404" s="83">
        <f t="shared" ca="1" si="296"/>
        <v>198.66</v>
      </c>
    </row>
    <row r="7405" spans="1:6" ht="14.1" customHeight="1" x14ac:dyDescent="0.25">
      <c r="A7405" s="94" t="s">
        <v>6266</v>
      </c>
      <c r="B7405" s="82" t="str">
        <f ca="1">IFERROR(INDEX(UNSPSCDes,MATCH(INDIRECT(ADDRESS(ROW(),COLUMN()-1,4)),UNSPSCCode,0)),IF(INDIRECT(ADDRESS(ROW(),COLUMN()-1,4))="30151701","Boquillas de bajantes",""))</f>
        <v>Boquillas de bajantes</v>
      </c>
      <c r="C7405" s="95" t="str">
        <f>IFERROR(VLOOKUP("UD",'Informacion '!P:Q,2,FALSE),"")</f>
        <v>Unidad</v>
      </c>
      <c r="D7405" s="94">
        <v>1879</v>
      </c>
      <c r="E7405" s="84">
        <v>7.76</v>
      </c>
      <c r="F7405" s="83">
        <f t="shared" ca="1" si="296"/>
        <v>14581.039999999999</v>
      </c>
    </row>
    <row r="7406" spans="1:6" ht="14.1" customHeight="1" x14ac:dyDescent="0.25">
      <c r="A7406" s="94" t="s">
        <v>6481</v>
      </c>
      <c r="B7406" s="82" t="str">
        <f ca="1">IFERROR(INDEX(UNSPSCDes,MATCH(INDIRECT(ADDRESS(ROW(),COLUMN()-1,4)),UNSPSCCode,0)),IF(INDIRECT(ADDRESS(ROW(),COLUMN()-1,4))="42293603","Sondas para uso quirúrgico",""))</f>
        <v>Sondas para uso quirúrgico</v>
      </c>
      <c r="C7406" s="95" t="str">
        <f>IFERROR(VLOOKUP("UD",'Informacion '!P:Q,2,FALSE),"")</f>
        <v>Unidad</v>
      </c>
      <c r="D7406" s="94">
        <v>2</v>
      </c>
      <c r="E7406" s="84">
        <v>17.34</v>
      </c>
      <c r="F7406" s="83">
        <f t="shared" ca="1" si="296"/>
        <v>34.68</v>
      </c>
    </row>
    <row r="7407" spans="1:6" ht="14.1" customHeight="1" x14ac:dyDescent="0.25">
      <c r="A7407" s="94" t="s">
        <v>16002</v>
      </c>
      <c r="B7407" s="82" t="str">
        <f ca="1">IFERROR(INDEX(UNSPSCDes,MATCH(INDIRECT(ADDRESS(ROW(),COLUMN()-1,4)),UNSPSCCode,0)),IF(INDIRECT(ADDRESS(ROW(),COLUMN()-1,4))="46181810","Lavadores de ojos o estaciones para lavado de ojos",""))</f>
        <v>Lavadores de ojos o estaciones para lavado de ojos</v>
      </c>
      <c r="C7407" s="95" t="str">
        <f>IFERROR(VLOOKUP("UD",'Informacion '!P:Q,2,FALSE),"")</f>
        <v>Unidad</v>
      </c>
      <c r="D7407" s="94">
        <v>1</v>
      </c>
      <c r="E7407" s="84">
        <v>2312.8000000000002</v>
      </c>
      <c r="F7407" s="83">
        <f t="shared" ca="1" si="296"/>
        <v>2312.8000000000002</v>
      </c>
    </row>
    <row r="7408" spans="1:6" ht="14.1" customHeight="1" x14ac:dyDescent="0.25">
      <c r="A7408" s="94" t="s">
        <v>11071</v>
      </c>
      <c r="B7408" s="82" t="str">
        <f ca="1">IFERROR(INDEX(UNSPSCDes,MATCH(INDIRECT(ADDRESS(ROW(),COLUMN()-1,4)),UNSPSCCode,0)),IF(INDIRECT(ADDRESS(ROW(),COLUMN()-1,4))="42142523","Agujas hipodérmicas",""))</f>
        <v>Agujas hipodérmicas</v>
      </c>
      <c r="C7408" s="95" t="str">
        <f>IFERROR(VLOOKUP("UD",'Informacion '!P:Q,2,FALSE),"")</f>
        <v>Unidad</v>
      </c>
      <c r="D7408" s="94">
        <v>21</v>
      </c>
      <c r="E7408" s="84">
        <v>1.06</v>
      </c>
      <c r="F7408" s="83">
        <f t="shared" ca="1" si="296"/>
        <v>22.26</v>
      </c>
    </row>
    <row r="7409" spans="1:10" ht="14.1" customHeight="1" x14ac:dyDescent="0.25">
      <c r="A7409" s="94" t="s">
        <v>14138</v>
      </c>
      <c r="B7409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409" s="95" t="str">
        <f>IFERROR(VLOOKUP("UD",'Informacion '!P:Q,2,FALSE),"")</f>
        <v>Unidad</v>
      </c>
      <c r="D7409" s="94">
        <v>2</v>
      </c>
      <c r="E7409" s="84">
        <v>55.05</v>
      </c>
      <c r="F7409" s="83">
        <f t="shared" ca="1" si="296"/>
        <v>110.1</v>
      </c>
    </row>
    <row r="7410" spans="1:10" ht="14.1" customHeight="1" x14ac:dyDescent="0.25">
      <c r="A7410" s="94" t="s">
        <v>16197</v>
      </c>
      <c r="B7410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7410" s="95" t="str">
        <f>IFERROR(VLOOKUP("UD",'Informacion '!P:Q,2,FALSE),"")</f>
        <v>Unidad</v>
      </c>
      <c r="D7410" s="94">
        <v>1</v>
      </c>
      <c r="E7410" s="84">
        <v>6088.51</v>
      </c>
      <c r="F7410" s="83">
        <f t="shared" ca="1" si="296"/>
        <v>6088.51</v>
      </c>
    </row>
    <row r="7411" spans="1:10" ht="14.1" customHeight="1" x14ac:dyDescent="0.25">
      <c r="A7411" s="94" t="s">
        <v>435</v>
      </c>
      <c r="B741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411" s="95" t="str">
        <f>IFERROR(VLOOKUP("UD",'Informacion '!P:Q,2,FALSE),"")</f>
        <v>Unidad</v>
      </c>
      <c r="D7411" s="94">
        <v>7</v>
      </c>
      <c r="E7411" s="84">
        <v>1106.25</v>
      </c>
      <c r="F7411" s="83">
        <f t="shared" ca="1" si="296"/>
        <v>7743.75</v>
      </c>
    </row>
    <row r="7412" spans="1:10" ht="14.1" customHeight="1" x14ac:dyDescent="0.25">
      <c r="A7412" s="94" t="s">
        <v>14286</v>
      </c>
      <c r="B7412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412" s="95" t="str">
        <f>IFERROR(VLOOKUP("UD",'Informacion '!P:Q,2,FALSE),"")</f>
        <v>Unidad</v>
      </c>
      <c r="D7412" s="94">
        <v>1</v>
      </c>
      <c r="E7412" s="84">
        <v>264.77</v>
      </c>
      <c r="F7412" s="83">
        <f t="shared" ca="1" si="296"/>
        <v>264.77</v>
      </c>
    </row>
    <row r="7413" spans="1:10" ht="14.1" customHeight="1" x14ac:dyDescent="0.25">
      <c r="A7413" s="94" t="s">
        <v>7589</v>
      </c>
      <c r="B7413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413" s="95" t="str">
        <f>IFERROR(VLOOKUP("UD",'Informacion '!P:Q,2,FALSE),"")</f>
        <v>Unidad</v>
      </c>
      <c r="D7413" s="94">
        <v>20</v>
      </c>
      <c r="E7413" s="84">
        <v>630.84</v>
      </c>
      <c r="F7413" s="83">
        <f t="shared" ca="1" si="296"/>
        <v>12616.800000000001</v>
      </c>
    </row>
    <row r="7414" spans="1:10" ht="14.1" customHeight="1" x14ac:dyDescent="0.25">
      <c r="A7414" s="94" t="s">
        <v>1865</v>
      </c>
      <c r="B7414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414" s="95" t="str">
        <f>IFERROR(VLOOKUP("UD",'Informacion '!P:Q,2,FALSE),"")</f>
        <v>Unidad</v>
      </c>
      <c r="D7414" s="94">
        <v>102</v>
      </c>
      <c r="E7414" s="84">
        <v>15.34</v>
      </c>
      <c r="F7414" s="83">
        <f t="shared" ca="1" si="296"/>
        <v>1564.68</v>
      </c>
    </row>
    <row r="7415" spans="1:10" ht="14.1" customHeight="1" x14ac:dyDescent="0.25">
      <c r="A7415" s="94" t="s">
        <v>16391</v>
      </c>
      <c r="B7415" s="82" t="str">
        <f ca="1">IFERROR(INDEX(UNSPSCDes,MATCH(INDIRECT(ADDRESS(ROW(),COLUMN()-1,4)),UNSPSCCode,0)),IF(INDIRECT(ADDRESS(ROW(),COLUMN()-1,4))="42142615","Accesorios para jeringas",""))</f>
        <v>Accesorios para jeringas</v>
      </c>
      <c r="C7415" s="95" t="str">
        <f>IFERROR(VLOOKUP("UD",'Informacion '!P:Q,2,FALSE),"")</f>
        <v>Unidad</v>
      </c>
      <c r="D7415" s="94">
        <v>143</v>
      </c>
      <c r="E7415" s="84">
        <v>3.54</v>
      </c>
      <c r="F7415" s="83">
        <f t="shared" ca="1" si="296"/>
        <v>506.22</v>
      </c>
    </row>
    <row r="7416" spans="1:10" ht="14.1" customHeight="1" x14ac:dyDescent="0.25">
      <c r="A7416" s="94" t="s">
        <v>19401</v>
      </c>
      <c r="B7416" s="82" t="str">
        <f ca="1">IFERROR(INDEX(UNSPSCDes,MATCH(INDIRECT(ADDRESS(ROW(),COLUMN()-1,4)),UNSPSCCode,0)),IF(INDIRECT(ADDRESS(ROW(),COLUMN()-1,4))="42312311","Kits de desinfectantes",""))</f>
        <v>Kits de desinfectantes</v>
      </c>
      <c r="C7416" s="95" t="str">
        <f>IFERROR(VLOOKUP("UD",'Informacion '!P:Q,2,FALSE),"")</f>
        <v>Unidad</v>
      </c>
      <c r="D7416" s="94">
        <v>21</v>
      </c>
      <c r="E7416" s="84">
        <v>701.98</v>
      </c>
      <c r="F7416" s="83">
        <f t="shared" ca="1" si="296"/>
        <v>14741.58</v>
      </c>
    </row>
    <row r="7417" spans="1:10" ht="14.1" customHeight="1" x14ac:dyDescent="0.25">
      <c r="A7417" s="94" t="s">
        <v>6481</v>
      </c>
      <c r="B7417" s="82" t="str">
        <f ca="1">IFERROR(INDEX(UNSPSCDes,MATCH(INDIRECT(ADDRESS(ROW(),COLUMN()-1,4)),UNSPSCCode,0)),IF(INDIRECT(ADDRESS(ROW(),COLUMN()-1,4))="42293603","Sondas para uso quirúrgico",""))</f>
        <v>Sondas para uso quirúrgico</v>
      </c>
      <c r="C7417" s="95" t="str">
        <f>IFERROR(VLOOKUP("UD",'Informacion '!P:Q,2,FALSE),"")</f>
        <v>Unidad</v>
      </c>
      <c r="D7417" s="94">
        <v>100</v>
      </c>
      <c r="E7417" s="84">
        <v>27.1</v>
      </c>
      <c r="F7417" s="83">
        <f t="shared" ca="1" si="296"/>
        <v>2710</v>
      </c>
    </row>
    <row r="7418" spans="1:10" ht="14.1" customHeight="1" x14ac:dyDescent="0.25">
      <c r="A7418" s="94" t="s">
        <v>7820</v>
      </c>
      <c r="B741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418" s="95" t="str">
        <f>IFERROR(VLOOKUP("UD",'Informacion '!P:Q,2,FALSE),"")</f>
        <v>Unidad</v>
      </c>
      <c r="D7418" s="94">
        <v>113</v>
      </c>
      <c r="E7418" s="84">
        <v>100.89</v>
      </c>
      <c r="F7418" s="83">
        <f t="shared" ca="1" si="296"/>
        <v>11400.57</v>
      </c>
    </row>
    <row r="7419" spans="1:10" ht="14.1" customHeight="1" x14ac:dyDescent="0.25">
      <c r="A7419" s="94" t="s">
        <v>16391</v>
      </c>
      <c r="B7419" s="82" t="str">
        <f ca="1">IFERROR(INDEX(UNSPSCDes,MATCH(INDIRECT(ADDRESS(ROW(),COLUMN()-1,4)),UNSPSCCode,0)),IF(INDIRECT(ADDRESS(ROW(),COLUMN()-1,4))="42142615","Accesorios para jeringas",""))</f>
        <v>Accesorios para jeringas</v>
      </c>
      <c r="C7419" s="95" t="str">
        <f>IFERROR(VLOOKUP("UD",'Informacion '!P:Q,2,FALSE),"")</f>
        <v>Unidad</v>
      </c>
      <c r="D7419" s="94">
        <v>37</v>
      </c>
      <c r="E7419" s="84">
        <v>17.11</v>
      </c>
      <c r="F7419" s="83">
        <f t="shared" ca="1" si="296"/>
        <v>633.06999999999994</v>
      </c>
    </row>
    <row r="7420" spans="1:10" ht="14.1" customHeight="1" x14ac:dyDescent="0.25">
      <c r="A7420" s="94" t="s">
        <v>12107</v>
      </c>
      <c r="B7420" s="82" t="str">
        <f ca="1">IFERROR(INDEX(UNSPSCDes,MATCH(INDIRECT(ADDRESS(ROW(),COLUMN()-1,4)),UNSPSCCode,0)),IF(INDIRECT(ADDRESS(ROW(),COLUMN()-1,4))="27112105","Pinzas",""))</f>
        <v>Pinzas</v>
      </c>
      <c r="C7420" s="95" t="str">
        <f>IFERROR(VLOOKUP("UD",'Informacion '!P:Q,2,FALSE),"")</f>
        <v>Unidad</v>
      </c>
      <c r="D7420" s="94">
        <v>1</v>
      </c>
      <c r="E7420" s="84">
        <v>1888</v>
      </c>
      <c r="F7420" s="83">
        <f t="shared" ca="1" si="296"/>
        <v>1888</v>
      </c>
    </row>
    <row r="7421" spans="1:10" ht="14.1" customHeight="1" x14ac:dyDescent="0.25">
      <c r="A7421" s="94" t="s">
        <v>8223</v>
      </c>
      <c r="B7421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7421" s="95" t="str">
        <f>IFERROR(VLOOKUP("UD",'Informacion '!P:Q,2,FALSE),"")</f>
        <v>Unidad</v>
      </c>
      <c r="D7421" s="94">
        <v>40018</v>
      </c>
      <c r="E7421" s="84">
        <v>0.16</v>
      </c>
      <c r="F7421" s="83">
        <f t="shared" ca="1" si="296"/>
        <v>6402.88</v>
      </c>
    </row>
    <row r="7422" spans="1:10" ht="14.1" customHeight="1" x14ac:dyDescent="0.25">
      <c r="A7422" s="94" t="s">
        <v>7589</v>
      </c>
      <c r="B7422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422" s="95" t="str">
        <f>IFERROR(VLOOKUP("UD",'Informacion '!P:Q,2,FALSE),"")</f>
        <v>Unidad</v>
      </c>
      <c r="D7422" s="94">
        <v>1</v>
      </c>
      <c r="E7422" s="84">
        <v>802.4</v>
      </c>
      <c r="F7422" s="83">
        <f t="shared" ca="1" si="296"/>
        <v>802.4</v>
      </c>
    </row>
    <row r="7423" spans="1:10" ht="14.1" customHeight="1" x14ac:dyDescent="0.25">
      <c r="E7423" s="96" t="s">
        <v>7213</v>
      </c>
      <c r="F7423" s="87">
        <f ca="1">SUM(Table203[MONTO TOTAL ESTIMADO])</f>
        <v>329912.80000000005</v>
      </c>
      <c r="H7423" s="39" t="str">
        <f>C7370</f>
        <v>Bienes</v>
      </c>
      <c r="I7423" s="39" t="str">
        <f>E7370</f>
        <v>No</v>
      </c>
      <c r="J7423" s="39" t="str">
        <f>D7370</f>
        <v>Comparacion de Precios</v>
      </c>
    </row>
    <row r="7425" spans="1:6" ht="33.950000000000003" customHeight="1" x14ac:dyDescent="0.25">
      <c r="A7425" s="77" t="s">
        <v>17233</v>
      </c>
      <c r="B7425" s="77" t="s">
        <v>4237</v>
      </c>
      <c r="C7425" s="77" t="s">
        <v>4743</v>
      </c>
      <c r="D7425" s="77" t="s">
        <v>9891</v>
      </c>
      <c r="E7425" s="77" t="s">
        <v>3089</v>
      </c>
      <c r="F7425" s="77" t="s">
        <v>18141</v>
      </c>
    </row>
    <row r="7426" spans="1:6" ht="14.1" customHeight="1" x14ac:dyDescent="0.25">
      <c r="A7426" s="79" t="s">
        <v>11031</v>
      </c>
      <c r="B7426" s="79" t="s">
        <v>2182</v>
      </c>
      <c r="C7426" s="79" t="s">
        <v>17215</v>
      </c>
      <c r="D7426" s="79" t="s">
        <v>17798</v>
      </c>
      <c r="E7426" s="79" t="s">
        <v>18247</v>
      </c>
      <c r="F7426" s="79"/>
    </row>
    <row r="7427" spans="1:6" ht="14.1" customHeight="1" x14ac:dyDescent="0.25">
      <c r="A7427" s="2" t="s">
        <v>6643</v>
      </c>
      <c r="B7427" s="80" t="s">
        <v>1046</v>
      </c>
      <c r="C7427" s="90">
        <v>43647</v>
      </c>
      <c r="D7427" s="2" t="s">
        <v>59</v>
      </c>
      <c r="E7427" s="92" t="s">
        <v>20066</v>
      </c>
      <c r="F7427" s="93" t="s">
        <v>5684</v>
      </c>
    </row>
    <row r="7428" spans="1:6" ht="14.1" customHeight="1" x14ac:dyDescent="0.25">
      <c r="A7428" s="1"/>
      <c r="B7428" s="80" t="s">
        <v>10788</v>
      </c>
      <c r="C7428" s="91">
        <f>IF(C7427="","",IF(AND(MONTH(C7427)&gt;=1,MONTH(C7427)&lt;=3),1,IF(AND(MONTH(C7427)&gt;=4,MONTH(C7427)&lt;=6),2,IF(AND(MONTH(C7427)&gt;=7,MONTH(C7427)&lt;=9),3,4))))</f>
        <v>3</v>
      </c>
      <c r="D7428" s="1"/>
      <c r="E7428" s="92" t="s">
        <v>14822</v>
      </c>
      <c r="F7428" s="93"/>
    </row>
    <row r="7429" spans="1:6" ht="14.1" customHeight="1" x14ac:dyDescent="0.25">
      <c r="A7429" s="1"/>
      <c r="B7429" s="80" t="s">
        <v>13758</v>
      </c>
      <c r="C7429" s="90">
        <v>43709</v>
      </c>
      <c r="D7429" s="1"/>
      <c r="E7429" s="92" t="s">
        <v>18636</v>
      </c>
      <c r="F7429" s="93"/>
    </row>
    <row r="7430" spans="1:6" ht="14.1" customHeight="1" x14ac:dyDescent="0.25">
      <c r="A7430" s="1"/>
      <c r="B7430" s="80" t="s">
        <v>10788</v>
      </c>
      <c r="C7430" s="91">
        <f>IF(C7429="","",IF(AND(MONTH(C7429)&gt;=1,MONTH(C7429)&lt;=3),1,IF(AND(MONTH(C7429)&gt;=4,MONTH(C7429)&lt;=6),2,IF(AND(MONTH(C7429)&gt;=7,MONTH(C7429)&lt;=9),3,4))))</f>
        <v>3</v>
      </c>
      <c r="D7430" s="1"/>
      <c r="E7430" s="92" t="s">
        <v>15990</v>
      </c>
      <c r="F7430" s="93"/>
    </row>
    <row r="7432" spans="1:6" ht="14.1" customHeight="1" x14ac:dyDescent="0.25">
      <c r="A7432" s="85" t="s">
        <v>15474</v>
      </c>
      <c r="B7432" s="85" t="s">
        <v>5027</v>
      </c>
      <c r="C7432" s="85" t="s">
        <v>17461</v>
      </c>
      <c r="D7432" s="85" t="s">
        <v>3935</v>
      </c>
      <c r="E7432" s="85" t="s">
        <v>10722</v>
      </c>
      <c r="F7432" s="85" t="s">
        <v>18237</v>
      </c>
    </row>
    <row r="7433" spans="1:6" ht="14.1" customHeight="1" x14ac:dyDescent="0.25">
      <c r="A7433" s="94" t="s">
        <v>14660</v>
      </c>
      <c r="B7433" s="82" t="str">
        <f ca="1">IFERROR(INDEX(UNSPSCDes,MATCH(INDIRECT(ADDRESS(ROW(),COLUMN()-1,4)),UNSPSCCode,0)),IF(INDIRECT(ADDRESS(ROW(),COLUMN()-1,4))="42311526","Vendajes de",""))</f>
        <v>Vendajes de</v>
      </c>
      <c r="C7433" s="95" t="str">
        <f>IFERROR(VLOOKUP("UD",'Informacion '!P:Q,2,FALSE),"")</f>
        <v>Unidad</v>
      </c>
      <c r="D7433" s="94">
        <v>6</v>
      </c>
      <c r="E7433" s="84">
        <v>27</v>
      </c>
      <c r="F7433" s="83">
        <f t="shared" ref="F7433:F7469" ca="1" si="297">INDIRECT(ADDRESS(ROW(),COLUMN()-2,4))*INDIRECT(ADDRESS(ROW(),COLUMN()-1,4))</f>
        <v>162</v>
      </c>
    </row>
    <row r="7434" spans="1:6" ht="14.1" customHeight="1" x14ac:dyDescent="0.25">
      <c r="A7434" s="94" t="s">
        <v>14138</v>
      </c>
      <c r="B7434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434" s="95" t="str">
        <f>IFERROR(VLOOKUP("UD",'Informacion '!P:Q,2,FALSE),"")</f>
        <v>Unidad</v>
      </c>
      <c r="D7434" s="94">
        <v>545</v>
      </c>
      <c r="E7434" s="84">
        <v>13.87</v>
      </c>
      <c r="F7434" s="83">
        <f t="shared" ca="1" si="297"/>
        <v>7559.15</v>
      </c>
    </row>
    <row r="7435" spans="1:6" ht="14.1" customHeight="1" x14ac:dyDescent="0.25">
      <c r="A7435" s="94" t="s">
        <v>12909</v>
      </c>
      <c r="B743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435" s="95" t="str">
        <f>IFERROR(VLOOKUP("UD",'Informacion '!P:Q,2,FALSE),"")</f>
        <v>Unidad</v>
      </c>
      <c r="D7435" s="94">
        <v>624</v>
      </c>
      <c r="E7435" s="84">
        <v>0.51</v>
      </c>
      <c r="F7435" s="83">
        <f t="shared" ca="1" si="297"/>
        <v>318.24</v>
      </c>
    </row>
    <row r="7436" spans="1:6" ht="14.1" customHeight="1" x14ac:dyDescent="0.25">
      <c r="A7436" s="94" t="s">
        <v>6120</v>
      </c>
      <c r="B7436" s="82" t="str">
        <f ca="1">IFERROR(INDEX(UNSPSCDes,MATCH(INDIRECT(ADDRESS(ROW(),COLUMN()-1,4)),UNSPSCCode,0)),IF(INDIRECT(ADDRESS(ROW(),COLUMN()-1,4))="44121634","Rollos adhesivos",""))</f>
        <v>Rollos adhesivos</v>
      </c>
      <c r="C7436" s="95" t="str">
        <f>IFERROR(VLOOKUP("UD",'Informacion '!P:Q,2,FALSE),"")</f>
        <v>Unidad</v>
      </c>
      <c r="D7436" s="94">
        <v>372</v>
      </c>
      <c r="E7436" s="84">
        <v>61.7</v>
      </c>
      <c r="F7436" s="83">
        <f t="shared" ca="1" si="297"/>
        <v>22952.400000000001</v>
      </c>
    </row>
    <row r="7437" spans="1:6" ht="14.1" customHeight="1" x14ac:dyDescent="0.25">
      <c r="A7437" s="94" t="s">
        <v>8742</v>
      </c>
      <c r="B7437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7437" s="95" t="str">
        <f>IFERROR(VLOOKUP("UD",'Informacion '!P:Q,2,FALSE),"")</f>
        <v>Unidad</v>
      </c>
      <c r="D7437" s="94">
        <v>7</v>
      </c>
      <c r="E7437" s="84">
        <v>138.06</v>
      </c>
      <c r="F7437" s="83">
        <f t="shared" ca="1" si="297"/>
        <v>966.42000000000007</v>
      </c>
    </row>
    <row r="7438" spans="1:6" ht="14.1" customHeight="1" x14ac:dyDescent="0.25">
      <c r="A7438" s="94" t="s">
        <v>865</v>
      </c>
      <c r="B7438" s="82" t="str">
        <f ca="1">IFERROR(INDEX(UNSPSCDes,MATCH(INDIRECT(ADDRESS(ROW(),COLUMN()-1,4)),UNSPSCCode,0)),IF(INDIRECT(ADDRESS(ROW(),COLUMN()-1,4))="24122006","Aplicador",""))</f>
        <v>Aplicador</v>
      </c>
      <c r="C7438" s="95" t="str">
        <f>IFERROR(VLOOKUP("UD",'Informacion '!P:Q,2,FALSE),"")</f>
        <v>Unidad</v>
      </c>
      <c r="D7438" s="94">
        <v>8</v>
      </c>
      <c r="E7438" s="84">
        <v>6.64</v>
      </c>
      <c r="F7438" s="83">
        <f t="shared" ca="1" si="297"/>
        <v>53.12</v>
      </c>
    </row>
    <row r="7439" spans="1:6" ht="14.1" customHeight="1" x14ac:dyDescent="0.25">
      <c r="A7439" s="94" t="s">
        <v>16195</v>
      </c>
      <c r="B7439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7439" s="95" t="str">
        <f>IFERROR(VLOOKUP("UD",'Informacion '!P:Q,2,FALSE),"")</f>
        <v>Unidad</v>
      </c>
      <c r="D7439" s="94">
        <v>17244</v>
      </c>
      <c r="E7439" s="84">
        <v>0.21</v>
      </c>
      <c r="F7439" s="83">
        <f t="shared" ca="1" si="297"/>
        <v>3621.24</v>
      </c>
    </row>
    <row r="7440" spans="1:6" ht="14.1" customHeight="1" x14ac:dyDescent="0.25">
      <c r="A7440" s="94" t="s">
        <v>12654</v>
      </c>
      <c r="B7440" s="82" t="str">
        <f ca="1">IFERROR(INDEX(UNSPSCDes,MATCH(INDIRECT(ADDRESS(ROW(),COLUMN()-1,4)),UNSPSCCode,0)),IF(INDIRECT(ADDRESS(ROW(),COLUMN()-1,4))="42241811","Faja para hernias",""))</f>
        <v>Faja para hernias</v>
      </c>
      <c r="C7440" s="95" t="str">
        <f>IFERROR(VLOOKUP("UD",'Informacion '!P:Q,2,FALSE),"")</f>
        <v>Unidad</v>
      </c>
      <c r="D7440" s="94">
        <v>3</v>
      </c>
      <c r="E7440" s="84">
        <v>500.12</v>
      </c>
      <c r="F7440" s="83">
        <f t="shared" ca="1" si="297"/>
        <v>1500.3600000000001</v>
      </c>
    </row>
    <row r="7441" spans="1:6" ht="14.1" customHeight="1" x14ac:dyDescent="0.25">
      <c r="A7441" s="94" t="s">
        <v>12724</v>
      </c>
      <c r="B7441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7441" s="95" t="str">
        <f>IFERROR(VLOOKUP("UD",'Informacion '!P:Q,2,FALSE),"")</f>
        <v>Unidad</v>
      </c>
      <c r="D7441" s="94">
        <v>3</v>
      </c>
      <c r="E7441" s="84">
        <v>643.65</v>
      </c>
      <c r="F7441" s="83">
        <f t="shared" ca="1" si="297"/>
        <v>1930.9499999999998</v>
      </c>
    </row>
    <row r="7442" spans="1:6" ht="14.1" customHeight="1" x14ac:dyDescent="0.25">
      <c r="A7442" s="94" t="s">
        <v>10944</v>
      </c>
      <c r="B7442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442" s="95" t="str">
        <f>IFERROR(VLOOKUP("UD",'Informacion '!P:Q,2,FALSE),"")</f>
        <v>Unidad</v>
      </c>
      <c r="D7442" s="94">
        <v>6</v>
      </c>
      <c r="E7442" s="84">
        <v>18.78</v>
      </c>
      <c r="F7442" s="83">
        <f t="shared" ca="1" si="297"/>
        <v>112.68</v>
      </c>
    </row>
    <row r="7443" spans="1:6" ht="14.1" customHeight="1" x14ac:dyDescent="0.25">
      <c r="A7443" s="94" t="s">
        <v>435</v>
      </c>
      <c r="B744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443" s="95" t="str">
        <f>IFERROR(VLOOKUP("UD",'Informacion '!P:Q,2,FALSE),"")</f>
        <v>Unidad</v>
      </c>
      <c r="D7443" s="94">
        <v>11</v>
      </c>
      <c r="E7443" s="84">
        <v>448.8</v>
      </c>
      <c r="F7443" s="83">
        <f t="shared" ca="1" si="297"/>
        <v>4936.8</v>
      </c>
    </row>
    <row r="7444" spans="1:6" ht="14.1" customHeight="1" x14ac:dyDescent="0.25">
      <c r="A7444" s="94" t="s">
        <v>7362</v>
      </c>
      <c r="B7444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444" s="95" t="str">
        <f>IFERROR(VLOOKUP("UD",'Informacion '!P:Q,2,FALSE),"")</f>
        <v>Unidad</v>
      </c>
      <c r="D7444" s="94">
        <v>2379</v>
      </c>
      <c r="E7444" s="84">
        <v>1.29</v>
      </c>
      <c r="F7444" s="83">
        <f t="shared" ca="1" si="297"/>
        <v>3068.9100000000003</v>
      </c>
    </row>
    <row r="7445" spans="1:6" ht="14.1" customHeight="1" x14ac:dyDescent="0.25">
      <c r="A7445" s="94" t="s">
        <v>3604</v>
      </c>
      <c r="B7445" s="82" t="str">
        <f ca="1">IFERROR(INDEX(UNSPSCDes,MATCH(INDIRECT(ADDRESS(ROW(),COLUMN()-1,4)),UNSPSCCode,0)),IF(INDIRECT(ADDRESS(ROW(),COLUMN()-1,4))="12352501","Formaldehidos",""))</f>
        <v>Formaldehidos</v>
      </c>
      <c r="C7445" s="95" t="str">
        <f>IFERROR(VLOOKUP("UD",'Informacion '!P:Q,2,FALSE),"")</f>
        <v>Unidad</v>
      </c>
      <c r="D7445" s="94">
        <v>10</v>
      </c>
      <c r="E7445" s="84">
        <v>425</v>
      </c>
      <c r="F7445" s="83">
        <f t="shared" ca="1" si="297"/>
        <v>4250</v>
      </c>
    </row>
    <row r="7446" spans="1:6" ht="14.1" customHeight="1" x14ac:dyDescent="0.25">
      <c r="A7446" s="94" t="s">
        <v>18162</v>
      </c>
      <c r="B7446" s="82" t="str">
        <f ca="1">IFERROR(INDEX(UNSPSCDes,MATCH(INDIRECT(ADDRESS(ROW(),COLUMN()-1,4)),UNSPSCCode,0)),IF(INDIRECT(ADDRESS(ROW(),COLUMN()-1,4))="30101617","Barras de madera",""))</f>
        <v>Barras de madera</v>
      </c>
      <c r="C7446" s="95" t="str">
        <f>IFERROR(VLOOKUP("UD",'Informacion '!P:Q,2,FALSE),"")</f>
        <v>Unidad</v>
      </c>
      <c r="D7446" s="94">
        <v>161</v>
      </c>
      <c r="E7446" s="84">
        <v>1.06</v>
      </c>
      <c r="F7446" s="83">
        <f t="shared" ca="1" si="297"/>
        <v>170.66</v>
      </c>
    </row>
    <row r="7447" spans="1:6" ht="14.1" customHeight="1" x14ac:dyDescent="0.25">
      <c r="A7447" s="94" t="s">
        <v>3552</v>
      </c>
      <c r="B7447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447" s="95" t="str">
        <f>IFERROR(VLOOKUP("UD",'Informacion '!P:Q,2,FALSE),"")</f>
        <v>Unidad</v>
      </c>
      <c r="D7447" s="94">
        <v>1478</v>
      </c>
      <c r="E7447" s="84">
        <v>2.6</v>
      </c>
      <c r="F7447" s="83">
        <f t="shared" ca="1" si="297"/>
        <v>3842.8</v>
      </c>
    </row>
    <row r="7448" spans="1:6" ht="14.1" customHeight="1" x14ac:dyDescent="0.25">
      <c r="A7448" s="94" t="s">
        <v>3552</v>
      </c>
      <c r="B7448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448" s="95" t="str">
        <f>IFERROR(VLOOKUP("UD",'Informacion '!P:Q,2,FALSE),"")</f>
        <v>Unidad</v>
      </c>
      <c r="D7448" s="94">
        <v>1797</v>
      </c>
      <c r="E7448" s="84">
        <v>2.76</v>
      </c>
      <c r="F7448" s="83">
        <f t="shared" ca="1" si="297"/>
        <v>4959.7199999999993</v>
      </c>
    </row>
    <row r="7449" spans="1:6" ht="14.1" customHeight="1" x14ac:dyDescent="0.25">
      <c r="A7449" s="94" t="s">
        <v>1829</v>
      </c>
      <c r="B7449" s="82" t="str">
        <f ca="1">IFERROR(INDEX(UNSPSCDes,MATCH(INDIRECT(ADDRESS(ROW(),COLUMN()-1,4)),UNSPSCCode,0)),IF(INDIRECT(ADDRESS(ROW(),COLUMN()-1,4))="42222304","Tubos para administración o transfusión de sangre",""))</f>
        <v>Tubos para administración o transfusión de sangre</v>
      </c>
      <c r="C7449" s="95" t="str">
        <f>IFERROR(VLOOKUP("UD",'Informacion '!P:Q,2,FALSE),"")</f>
        <v>Unidad</v>
      </c>
      <c r="D7449" s="94">
        <v>3</v>
      </c>
      <c r="E7449" s="84">
        <v>9.1999999999999993</v>
      </c>
      <c r="F7449" s="83">
        <f t="shared" ca="1" si="297"/>
        <v>27.599999999999998</v>
      </c>
    </row>
    <row r="7450" spans="1:6" ht="14.1" customHeight="1" x14ac:dyDescent="0.25">
      <c r="A7450" s="94" t="s">
        <v>15989</v>
      </c>
      <c r="B7450" s="82" t="str">
        <f ca="1">IFERROR(INDEX(UNSPSCDes,MATCH(INDIRECT(ADDRESS(ROW(),COLUMN()-1,4)),UNSPSCCode,0)),IF(INDIRECT(ADDRESS(ROW(),COLUMN()-1,4))="42272504","Sets o kits de anestesia",""))</f>
        <v>Sets o kits de anestesia</v>
      </c>
      <c r="C7450" s="95" t="str">
        <f>IFERROR(VLOOKUP("UD",'Informacion '!P:Q,2,FALSE),"")</f>
        <v>Unidad</v>
      </c>
      <c r="D7450" s="94">
        <v>8</v>
      </c>
      <c r="E7450" s="84">
        <v>232.34</v>
      </c>
      <c r="F7450" s="83">
        <f t="shared" ca="1" si="297"/>
        <v>1858.72</v>
      </c>
    </row>
    <row r="7451" spans="1:6" ht="14.1" customHeight="1" x14ac:dyDescent="0.25">
      <c r="A7451" s="94" t="s">
        <v>15989</v>
      </c>
      <c r="B7451" s="82" t="str">
        <f ca="1">IFERROR(INDEX(UNSPSCDes,MATCH(INDIRECT(ADDRESS(ROW(),COLUMN()-1,4)),UNSPSCCode,0)),IF(INDIRECT(ADDRESS(ROW(),COLUMN()-1,4))="42272504","Sets o kits de anestesia",""))</f>
        <v>Sets o kits de anestesia</v>
      </c>
      <c r="C7451" s="95" t="str">
        <f>IFERROR(VLOOKUP("UD",'Informacion '!P:Q,2,FALSE),"")</f>
        <v>Unidad</v>
      </c>
      <c r="D7451" s="94">
        <v>3</v>
      </c>
      <c r="E7451" s="84">
        <v>649</v>
      </c>
      <c r="F7451" s="83">
        <f t="shared" ca="1" si="297"/>
        <v>1947</v>
      </c>
    </row>
    <row r="7452" spans="1:6" ht="14.1" customHeight="1" x14ac:dyDescent="0.25">
      <c r="A7452" s="94" t="s">
        <v>15989</v>
      </c>
      <c r="B7452" s="82" t="str">
        <f ca="1">IFERROR(INDEX(UNSPSCDes,MATCH(INDIRECT(ADDRESS(ROW(),COLUMN()-1,4)),UNSPSCCode,0)),IF(INDIRECT(ADDRESS(ROW(),COLUMN()-1,4))="42272504","Sets o kits de anestesia",""))</f>
        <v>Sets o kits de anestesia</v>
      </c>
      <c r="C7452" s="95" t="str">
        <f>IFERROR(VLOOKUP("UD",'Informacion '!P:Q,2,FALSE),"")</f>
        <v>Unidad</v>
      </c>
      <c r="D7452" s="94">
        <v>16</v>
      </c>
      <c r="E7452" s="84">
        <v>643.1</v>
      </c>
      <c r="F7452" s="83">
        <f t="shared" ca="1" si="297"/>
        <v>10289.6</v>
      </c>
    </row>
    <row r="7453" spans="1:6" ht="14.1" customHeight="1" x14ac:dyDescent="0.25">
      <c r="A7453" s="94" t="s">
        <v>4298</v>
      </c>
      <c r="B7453" s="82" t="str">
        <f ca="1">IFERROR(INDEX(UNSPSCDes,MATCH(INDIRECT(ADDRESS(ROW(),COLUMN()-1,4)),UNSPSCCode,0)),IF(INDIRECT(ADDRESS(ROW(),COLUMN()-1,4))="39121436","Electrodos",""))</f>
        <v>Electrodos</v>
      </c>
      <c r="C7453" s="95" t="str">
        <f>IFERROR(VLOOKUP("UD",'Informacion '!P:Q,2,FALSE),"")</f>
        <v>Unidad</v>
      </c>
      <c r="D7453" s="94">
        <v>120</v>
      </c>
      <c r="E7453" s="84">
        <v>17.7</v>
      </c>
      <c r="F7453" s="83">
        <f t="shared" ca="1" si="297"/>
        <v>2124</v>
      </c>
    </row>
    <row r="7454" spans="1:6" ht="14.1" customHeight="1" x14ac:dyDescent="0.25">
      <c r="A7454" s="94" t="s">
        <v>6081</v>
      </c>
      <c r="B7454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7454" s="95" t="str">
        <f>IFERROR(VLOOKUP("UD",'Informacion '!P:Q,2,FALSE),"")</f>
        <v>Unidad</v>
      </c>
      <c r="D7454" s="94">
        <v>20</v>
      </c>
      <c r="E7454" s="84">
        <v>42</v>
      </c>
      <c r="F7454" s="83">
        <f t="shared" ca="1" si="297"/>
        <v>840</v>
      </c>
    </row>
    <row r="7455" spans="1:6" ht="14.1" customHeight="1" x14ac:dyDescent="0.25">
      <c r="A7455" s="94" t="s">
        <v>15091</v>
      </c>
      <c r="B7455" s="82" t="str">
        <f ca="1">IFERROR(INDEX(UNSPSCDes,MATCH(INDIRECT(ADDRESS(ROW(),COLUMN()-1,4)),UNSPSCCode,0)),IF(INDIRECT(ADDRESS(ROW(),COLUMN()-1,4))="42161702","Bolsas de recolección de hemofiltración",""))</f>
        <v>Bolsas de recolección de hemofiltración</v>
      </c>
      <c r="C7455" s="95" t="str">
        <f>IFERROR(VLOOKUP("UD",'Informacion '!P:Q,2,FALSE),"")</f>
        <v>Unidad</v>
      </c>
      <c r="D7455" s="94">
        <v>153</v>
      </c>
      <c r="E7455" s="84">
        <v>249.74</v>
      </c>
      <c r="F7455" s="83">
        <f t="shared" ca="1" si="297"/>
        <v>38210.22</v>
      </c>
    </row>
    <row r="7456" spans="1:6" ht="14.1" customHeight="1" x14ac:dyDescent="0.25">
      <c r="A7456" s="94" t="s">
        <v>507</v>
      </c>
      <c r="B7456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7456" s="95" t="str">
        <f>IFERROR(VLOOKUP("UD",'Informacion '!P:Q,2,FALSE),"")</f>
        <v>Unidad</v>
      </c>
      <c r="D7456" s="94">
        <v>5</v>
      </c>
      <c r="E7456" s="84">
        <v>108.17</v>
      </c>
      <c r="F7456" s="83">
        <f t="shared" ca="1" si="297"/>
        <v>540.85</v>
      </c>
    </row>
    <row r="7457" spans="1:10" ht="14.1" customHeight="1" x14ac:dyDescent="0.25">
      <c r="A7457" s="94" t="s">
        <v>4852</v>
      </c>
      <c r="B7457" s="82" t="str">
        <f ca="1">IFERROR(INDEX(UNSPSCDes,MATCH(INDIRECT(ADDRESS(ROW(),COLUMN()-1,4)),UNSPSCCode,0)),IF(INDIRECT(ADDRESS(ROW(),COLUMN()-1,4))="42295303","Catéteres o conectores o accesorios de uso quirúrgico",""))</f>
        <v>Catéteres o conectores o accesorios de uso quirúrgico</v>
      </c>
      <c r="C7457" s="95" t="str">
        <f>IFERROR(VLOOKUP("UD",'Informacion '!P:Q,2,FALSE),"")</f>
        <v>Unidad</v>
      </c>
      <c r="D7457" s="94">
        <v>5</v>
      </c>
      <c r="E7457" s="84">
        <v>137.18</v>
      </c>
      <c r="F7457" s="83">
        <f t="shared" ca="1" si="297"/>
        <v>685.90000000000009</v>
      </c>
    </row>
    <row r="7458" spans="1:10" ht="14.1" customHeight="1" x14ac:dyDescent="0.25">
      <c r="A7458" s="94" t="s">
        <v>16391</v>
      </c>
      <c r="B7458" s="82" t="str">
        <f ca="1">IFERROR(INDEX(UNSPSCDes,MATCH(INDIRECT(ADDRESS(ROW(),COLUMN()-1,4)),UNSPSCCode,0)),IF(INDIRECT(ADDRESS(ROW(),COLUMN()-1,4))="42142615","Accesorios para jeringas",""))</f>
        <v>Accesorios para jeringas</v>
      </c>
      <c r="C7458" s="95" t="str">
        <f>IFERROR(VLOOKUP("UD",'Informacion '!P:Q,2,FALSE),"")</f>
        <v>Unidad</v>
      </c>
      <c r="D7458" s="94">
        <v>6</v>
      </c>
      <c r="E7458" s="84">
        <v>12.97</v>
      </c>
      <c r="F7458" s="83">
        <f t="shared" ca="1" si="297"/>
        <v>77.820000000000007</v>
      </c>
    </row>
    <row r="7459" spans="1:10" ht="14.1" customHeight="1" x14ac:dyDescent="0.25">
      <c r="A7459" s="94" t="s">
        <v>7698</v>
      </c>
      <c r="B7459" s="82" t="str">
        <f ca="1">IFERROR(INDEX(UNSPSCDes,MATCH(INDIRECT(ADDRESS(ROW(),COLUMN()-1,4)),UNSPSCCode,0)),IF(INDIRECT(ADDRESS(ROW(),COLUMN()-1,4))="44121708","Marcadores",""))</f>
        <v>Marcadores</v>
      </c>
      <c r="C7459" s="95" t="str">
        <f>IFERROR(VLOOKUP("UD",'Informacion '!P:Q,2,FALSE),"")</f>
        <v>Unidad</v>
      </c>
      <c r="D7459" s="94">
        <v>5</v>
      </c>
      <c r="E7459" s="84">
        <v>341.23</v>
      </c>
      <c r="F7459" s="83">
        <f t="shared" ca="1" si="297"/>
        <v>1706.15</v>
      </c>
    </row>
    <row r="7460" spans="1:10" ht="14.1" customHeight="1" x14ac:dyDescent="0.25">
      <c r="A7460" s="94" t="s">
        <v>6481</v>
      </c>
      <c r="B7460" s="82" t="str">
        <f ca="1">IFERROR(INDEX(UNSPSCDes,MATCH(INDIRECT(ADDRESS(ROW(),COLUMN()-1,4)),UNSPSCCode,0)),IF(INDIRECT(ADDRESS(ROW(),COLUMN()-1,4))="42293603","Sondas para uso quirúrgico",""))</f>
        <v>Sondas para uso quirúrgico</v>
      </c>
      <c r="C7460" s="95" t="str">
        <f>IFERROR(VLOOKUP("UD",'Informacion '!P:Q,2,FALSE),"")</f>
        <v>Unidad</v>
      </c>
      <c r="D7460" s="94">
        <v>8</v>
      </c>
      <c r="E7460" s="84">
        <v>22.42</v>
      </c>
      <c r="F7460" s="83">
        <f t="shared" ca="1" si="297"/>
        <v>179.36</v>
      </c>
    </row>
    <row r="7461" spans="1:10" ht="14.1" customHeight="1" x14ac:dyDescent="0.25">
      <c r="A7461" s="94" t="s">
        <v>2059</v>
      </c>
      <c r="B7461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461" s="95" t="str">
        <f>IFERROR(VLOOKUP("UD",'Informacion '!P:Q,2,FALSE),"")</f>
        <v>Unidad</v>
      </c>
      <c r="D7461" s="94">
        <v>9</v>
      </c>
      <c r="E7461" s="84">
        <v>5782</v>
      </c>
      <c r="F7461" s="83">
        <f t="shared" ca="1" si="297"/>
        <v>52038</v>
      </c>
    </row>
    <row r="7462" spans="1:10" ht="14.1" customHeight="1" x14ac:dyDescent="0.25">
      <c r="A7462" s="94" t="s">
        <v>7362</v>
      </c>
      <c r="B7462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462" s="95" t="str">
        <f>IFERROR(VLOOKUP("UD",'Informacion '!P:Q,2,FALSE),"")</f>
        <v>Unidad</v>
      </c>
      <c r="D7462" s="94">
        <v>28</v>
      </c>
      <c r="E7462" s="84">
        <v>2.5499999999999998</v>
      </c>
      <c r="F7462" s="83">
        <f t="shared" ca="1" si="297"/>
        <v>71.399999999999991</v>
      </c>
    </row>
    <row r="7463" spans="1:10" ht="14.1" customHeight="1" x14ac:dyDescent="0.25">
      <c r="A7463" s="94" t="s">
        <v>14286</v>
      </c>
      <c r="B7463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463" s="95" t="str">
        <f>IFERROR(VLOOKUP("UD",'Informacion '!P:Q,2,FALSE),"")</f>
        <v>Unidad</v>
      </c>
      <c r="D7463" s="94">
        <v>17</v>
      </c>
      <c r="E7463" s="84">
        <v>310.47000000000003</v>
      </c>
      <c r="F7463" s="83">
        <f t="shared" ca="1" si="297"/>
        <v>5277.9900000000007</v>
      </c>
    </row>
    <row r="7464" spans="1:10" ht="14.1" customHeight="1" x14ac:dyDescent="0.25">
      <c r="A7464" s="94" t="s">
        <v>14286</v>
      </c>
      <c r="B7464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464" s="95" t="str">
        <f>IFERROR(VLOOKUP("UD",'Informacion '!P:Q,2,FALSE),"")</f>
        <v>Unidad</v>
      </c>
      <c r="D7464" s="94">
        <v>41</v>
      </c>
      <c r="E7464" s="84">
        <v>670.89</v>
      </c>
      <c r="F7464" s="83">
        <f t="shared" ca="1" si="297"/>
        <v>27506.489999999998</v>
      </c>
    </row>
    <row r="7465" spans="1:10" ht="14.1" customHeight="1" x14ac:dyDescent="0.25">
      <c r="A7465" s="94" t="s">
        <v>4949</v>
      </c>
      <c r="B7465" s="82" t="str">
        <f ca="1">IFERROR(INDEX(UNSPSCDes,MATCH(INDIRECT(ADDRESS(ROW(),COLUMN()-1,4)),UNSPSCCode,0)),IF(INDIRECT(ADDRESS(ROW(),COLUMN()-1,4))="42295421","Lavado de preparación o soluciones de pintura para uso quirúrgico",""))</f>
        <v>Lavado de preparación o soluciones de pintura para uso quirúrgico</v>
      </c>
      <c r="C7465" s="95" t="str">
        <f>IFERROR(VLOOKUP("UD",'Informacion '!P:Q,2,FALSE),"")</f>
        <v>Unidad</v>
      </c>
      <c r="D7465" s="94">
        <v>20</v>
      </c>
      <c r="E7465" s="84">
        <v>2355.38</v>
      </c>
      <c r="F7465" s="83">
        <f t="shared" ca="1" si="297"/>
        <v>47107.600000000006</v>
      </c>
    </row>
    <row r="7466" spans="1:10" ht="14.1" customHeight="1" x14ac:dyDescent="0.25">
      <c r="A7466" s="94" t="s">
        <v>11092</v>
      </c>
      <c r="B7466" s="82" t="str">
        <f ca="1">IFERROR(INDEX(UNSPSCDes,MATCH(INDIRECT(ADDRESS(ROW(),COLUMN()-1,4)),UNSPSCCode,0)),IF(INDIRECT(ADDRESS(ROW(),COLUMN()-1,4))="51241117","Isopropil unoprostone",""))</f>
        <v>Isopropil unoprostone</v>
      </c>
      <c r="C7466" s="95" t="str">
        <f>IFERROR(VLOOKUP("UD",'Informacion '!P:Q,2,FALSE),"")</f>
        <v>Unidad</v>
      </c>
      <c r="D7466" s="94">
        <v>20</v>
      </c>
      <c r="E7466" s="84">
        <v>650.85</v>
      </c>
      <c r="F7466" s="83">
        <f t="shared" ca="1" si="297"/>
        <v>13017</v>
      </c>
    </row>
    <row r="7467" spans="1:10" ht="14.1" customHeight="1" x14ac:dyDescent="0.25">
      <c r="A7467" s="94" t="s">
        <v>2064</v>
      </c>
      <c r="B7467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467" s="95" t="str">
        <f>IFERROR(VLOOKUP("UD",'Informacion '!P:Q,2,FALSE),"")</f>
        <v>Unidad</v>
      </c>
      <c r="D7467" s="94">
        <v>11</v>
      </c>
      <c r="E7467" s="84">
        <v>2087.27</v>
      </c>
      <c r="F7467" s="83">
        <f t="shared" ca="1" si="297"/>
        <v>22959.97</v>
      </c>
    </row>
    <row r="7468" spans="1:10" ht="14.1" customHeight="1" x14ac:dyDescent="0.25">
      <c r="A7468" s="94" t="s">
        <v>14213</v>
      </c>
      <c r="B7468" s="82" t="str">
        <f ca="1">IFERROR(INDEX(UNSPSCDes,MATCH(INDIRECT(ADDRESS(ROW(),COLUMN()-1,4)),UNSPSCCode,0)),IF(INDIRECT(ADDRESS(ROW(),COLUMN()-1,4))="42281801","Tiras de prueba de desinfección",""))</f>
        <v>Tiras de prueba de desinfección</v>
      </c>
      <c r="C7468" s="95" t="str">
        <f>IFERROR(VLOOKUP("UD",'Informacion '!P:Q,2,FALSE),"")</f>
        <v>Unidad</v>
      </c>
      <c r="D7468" s="94">
        <v>90</v>
      </c>
      <c r="E7468" s="84">
        <v>141.83000000000001</v>
      </c>
      <c r="F7468" s="83">
        <f t="shared" ca="1" si="297"/>
        <v>12764.7</v>
      </c>
    </row>
    <row r="7469" spans="1:10" ht="14.1" customHeight="1" x14ac:dyDescent="0.25">
      <c r="A7469" s="94" t="s">
        <v>6302</v>
      </c>
      <c r="B7469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7469" s="95" t="str">
        <f>IFERROR(VLOOKUP("UD",'Informacion '!P:Q,2,FALSE),"")</f>
        <v>Unidad</v>
      </c>
      <c r="D7469" s="94">
        <v>107</v>
      </c>
      <c r="E7469" s="84">
        <v>18.52</v>
      </c>
      <c r="F7469" s="83">
        <f t="shared" ca="1" si="297"/>
        <v>1981.6399999999999</v>
      </c>
    </row>
    <row r="7470" spans="1:10" ht="14.1" customHeight="1" x14ac:dyDescent="0.25">
      <c r="E7470" s="96" t="s">
        <v>7213</v>
      </c>
      <c r="F7470" s="87">
        <f ca="1">SUM(Table204[MONTO TOTAL ESTIMADO])</f>
        <v>301617.46000000002</v>
      </c>
      <c r="H7470" s="39" t="str">
        <f>C7426</f>
        <v>Bienes</v>
      </c>
      <c r="I7470" s="39" t="str">
        <f>E7426</f>
        <v>No</v>
      </c>
      <c r="J7470" s="39" t="str">
        <f>D7426</f>
        <v>Compras Menores</v>
      </c>
    </row>
    <row r="7472" spans="1:10" ht="33.950000000000003" customHeight="1" x14ac:dyDescent="0.25">
      <c r="A7472" s="77" t="s">
        <v>17233</v>
      </c>
      <c r="B7472" s="77" t="s">
        <v>4237</v>
      </c>
      <c r="C7472" s="77" t="s">
        <v>4743</v>
      </c>
      <c r="D7472" s="77" t="s">
        <v>9891</v>
      </c>
      <c r="E7472" s="77" t="s">
        <v>3089</v>
      </c>
      <c r="F7472" s="77" t="s">
        <v>18141</v>
      </c>
    </row>
    <row r="7473" spans="1:6" ht="14.1" customHeight="1" x14ac:dyDescent="0.25">
      <c r="A7473" s="79" t="s">
        <v>17127</v>
      </c>
      <c r="B7473" s="79" t="s">
        <v>2182</v>
      </c>
      <c r="C7473" s="79" t="s">
        <v>17215</v>
      </c>
      <c r="D7473" s="79" t="s">
        <v>15249</v>
      </c>
      <c r="E7473" s="79" t="s">
        <v>18247</v>
      </c>
      <c r="F7473" s="79"/>
    </row>
    <row r="7474" spans="1:6" ht="14.1" customHeight="1" x14ac:dyDescent="0.25">
      <c r="A7474" s="2" t="s">
        <v>6643</v>
      </c>
      <c r="B7474" s="80" t="s">
        <v>1046</v>
      </c>
      <c r="C7474" s="90">
        <v>43556</v>
      </c>
      <c r="D7474" s="2" t="s">
        <v>59</v>
      </c>
      <c r="E7474" s="92" t="s">
        <v>20066</v>
      </c>
      <c r="F7474" s="93" t="s">
        <v>5684</v>
      </c>
    </row>
    <row r="7475" spans="1:6" ht="14.1" customHeight="1" x14ac:dyDescent="0.25">
      <c r="A7475" s="1"/>
      <c r="B7475" s="80" t="s">
        <v>10788</v>
      </c>
      <c r="C7475" s="91">
        <f>IF(C7474="","",IF(AND(MONTH(C7474)&gt;=1,MONTH(C7474)&lt;=3),1,IF(AND(MONTH(C7474)&gt;=4,MONTH(C7474)&lt;=6),2,IF(AND(MONTH(C7474)&gt;=7,MONTH(C7474)&lt;=9),3,4))))</f>
        <v>2</v>
      </c>
      <c r="D7475" s="1"/>
      <c r="E7475" s="92" t="s">
        <v>14822</v>
      </c>
      <c r="F7475" s="93"/>
    </row>
    <row r="7476" spans="1:6" ht="14.1" customHeight="1" x14ac:dyDescent="0.25">
      <c r="A7476" s="1"/>
      <c r="B7476" s="80" t="s">
        <v>13758</v>
      </c>
      <c r="C7476" s="90">
        <v>43645</v>
      </c>
      <c r="D7476" s="1"/>
      <c r="E7476" s="92" t="s">
        <v>18636</v>
      </c>
      <c r="F7476" s="93"/>
    </row>
    <row r="7477" spans="1:6" ht="14.1" customHeight="1" x14ac:dyDescent="0.25">
      <c r="A7477" s="1"/>
      <c r="B7477" s="80" t="s">
        <v>10788</v>
      </c>
      <c r="C7477" s="91">
        <f>IF(C7476="","",IF(AND(MONTH(C7476)&gt;=1,MONTH(C7476)&lt;=3),1,IF(AND(MONTH(C7476)&gt;=4,MONTH(C7476)&lt;=6),2,IF(AND(MONTH(C7476)&gt;=7,MONTH(C7476)&lt;=9),3,4))))</f>
        <v>2</v>
      </c>
      <c r="D7477" s="1"/>
      <c r="E7477" s="92" t="s">
        <v>15990</v>
      </c>
      <c r="F7477" s="93"/>
    </row>
    <row r="7479" spans="1:6" ht="14.1" customHeight="1" x14ac:dyDescent="0.25">
      <c r="A7479" s="85" t="s">
        <v>15474</v>
      </c>
      <c r="B7479" s="85" t="s">
        <v>5027</v>
      </c>
      <c r="C7479" s="85" t="s">
        <v>17461</v>
      </c>
      <c r="D7479" s="85" t="s">
        <v>3935</v>
      </c>
      <c r="E7479" s="85" t="s">
        <v>10722</v>
      </c>
      <c r="F7479" s="85" t="s">
        <v>18237</v>
      </c>
    </row>
    <row r="7480" spans="1:6" ht="14.1" customHeight="1" x14ac:dyDescent="0.25">
      <c r="A7480" s="94" t="s">
        <v>2064</v>
      </c>
      <c r="B7480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480" s="95" t="str">
        <f>IFERROR(VLOOKUP("UD",'Informacion '!P:Q,2,FALSE),"")</f>
        <v>Unidad</v>
      </c>
      <c r="D7480" s="94">
        <v>4</v>
      </c>
      <c r="E7480" s="84">
        <v>826.44</v>
      </c>
      <c r="F7480" s="83">
        <f t="shared" ref="F7480:F7511" ca="1" si="298">INDIRECT(ADDRESS(ROW(),COLUMN()-2,4))*INDIRECT(ADDRESS(ROW(),COLUMN()-1,4))</f>
        <v>3305.76</v>
      </c>
    </row>
    <row r="7481" spans="1:6" ht="14.1" customHeight="1" x14ac:dyDescent="0.25">
      <c r="A7481" s="94" t="s">
        <v>6266</v>
      </c>
      <c r="B7481" s="82" t="str">
        <f ca="1">IFERROR(INDEX(UNSPSCDes,MATCH(INDIRECT(ADDRESS(ROW(),COLUMN()-1,4)),UNSPSCCode,0)),IF(INDIRECT(ADDRESS(ROW(),COLUMN()-1,4))="30151701","Boquillas de bajantes",""))</f>
        <v>Boquillas de bajantes</v>
      </c>
      <c r="C7481" s="95" t="str">
        <f>IFERROR(VLOOKUP("UD",'Informacion '!P:Q,2,FALSE),"")</f>
        <v>Unidad</v>
      </c>
      <c r="D7481" s="94">
        <v>90</v>
      </c>
      <c r="E7481" s="84">
        <v>6.45</v>
      </c>
      <c r="F7481" s="83">
        <f t="shared" ca="1" si="298"/>
        <v>580.5</v>
      </c>
    </row>
    <row r="7482" spans="1:6" ht="14.1" customHeight="1" x14ac:dyDescent="0.25">
      <c r="A7482" s="94" t="s">
        <v>3216</v>
      </c>
      <c r="B7482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482" s="95" t="str">
        <f>IFERROR(VLOOKUP("UD",'Informacion '!P:Q,2,FALSE),"")</f>
        <v>Unidad</v>
      </c>
      <c r="D7482" s="94">
        <v>6</v>
      </c>
      <c r="E7482" s="84">
        <v>17.8</v>
      </c>
      <c r="F7482" s="83">
        <f t="shared" ca="1" si="298"/>
        <v>106.80000000000001</v>
      </c>
    </row>
    <row r="7483" spans="1:6" ht="14.1" customHeight="1" x14ac:dyDescent="0.25">
      <c r="A7483" s="94" t="s">
        <v>4298</v>
      </c>
      <c r="B7483" s="82" t="str">
        <f ca="1">IFERROR(INDEX(UNSPSCDes,MATCH(INDIRECT(ADDRESS(ROW(),COLUMN()-1,4)),UNSPSCCode,0)),IF(INDIRECT(ADDRESS(ROW(),COLUMN()-1,4))="39121436","Electrodos",""))</f>
        <v>Electrodos</v>
      </c>
      <c r="C7483" s="95" t="str">
        <f>IFERROR(VLOOKUP("UD",'Informacion '!P:Q,2,FALSE),"")</f>
        <v>Unidad</v>
      </c>
      <c r="D7483" s="94">
        <v>64</v>
      </c>
      <c r="E7483" s="84">
        <v>5.95</v>
      </c>
      <c r="F7483" s="83">
        <f t="shared" ca="1" si="298"/>
        <v>380.8</v>
      </c>
    </row>
    <row r="7484" spans="1:6" ht="14.1" customHeight="1" x14ac:dyDescent="0.25">
      <c r="A7484" s="94" t="s">
        <v>4298</v>
      </c>
      <c r="B7484" s="82" t="str">
        <f ca="1">IFERROR(INDEX(UNSPSCDes,MATCH(INDIRECT(ADDRESS(ROW(),COLUMN()-1,4)),UNSPSCCode,0)),IF(INDIRECT(ADDRESS(ROW(),COLUMN()-1,4))="39121436","Electrodos",""))</f>
        <v>Electrodos</v>
      </c>
      <c r="C7484" s="95" t="str">
        <f>IFERROR(VLOOKUP("UD",'Informacion '!P:Q,2,FALSE),"")</f>
        <v>Unidad</v>
      </c>
      <c r="D7484" s="94">
        <v>4</v>
      </c>
      <c r="E7484" s="84">
        <v>462.09</v>
      </c>
      <c r="F7484" s="83">
        <f t="shared" ca="1" si="298"/>
        <v>1848.36</v>
      </c>
    </row>
    <row r="7485" spans="1:6" ht="14.1" customHeight="1" x14ac:dyDescent="0.25">
      <c r="A7485" s="94" t="s">
        <v>4298</v>
      </c>
      <c r="B7485" s="82" t="str">
        <f ca="1">IFERROR(INDEX(UNSPSCDes,MATCH(INDIRECT(ADDRESS(ROW(),COLUMN()-1,4)),UNSPSCCode,0)),IF(INDIRECT(ADDRESS(ROW(),COLUMN()-1,4))="39121436","Electrodos",""))</f>
        <v>Electrodos</v>
      </c>
      <c r="C7485" s="95" t="str">
        <f>IFERROR(VLOOKUP("UD",'Informacion '!P:Q,2,FALSE),"")</f>
        <v>Unidad</v>
      </c>
      <c r="D7485" s="94">
        <v>4</v>
      </c>
      <c r="E7485" s="84">
        <v>462.09</v>
      </c>
      <c r="F7485" s="83">
        <f t="shared" ca="1" si="298"/>
        <v>1848.36</v>
      </c>
    </row>
    <row r="7486" spans="1:6" ht="14.1" customHeight="1" x14ac:dyDescent="0.25">
      <c r="A7486" s="94" t="s">
        <v>4298</v>
      </c>
      <c r="B7486" s="82" t="str">
        <f ca="1">IFERROR(INDEX(UNSPSCDes,MATCH(INDIRECT(ADDRESS(ROW(),COLUMN()-1,4)),UNSPSCCode,0)),IF(INDIRECT(ADDRESS(ROW(),COLUMN()-1,4))="39121436","Electrodos",""))</f>
        <v>Electrodos</v>
      </c>
      <c r="C7486" s="95" t="str">
        <f>IFERROR(VLOOKUP("UD",'Informacion '!P:Q,2,FALSE),"")</f>
        <v>Unidad</v>
      </c>
      <c r="D7486" s="94">
        <v>4</v>
      </c>
      <c r="E7486" s="84">
        <v>462.09</v>
      </c>
      <c r="F7486" s="83">
        <f t="shared" ca="1" si="298"/>
        <v>1848.36</v>
      </c>
    </row>
    <row r="7487" spans="1:6" ht="14.1" customHeight="1" x14ac:dyDescent="0.25">
      <c r="A7487" s="94" t="s">
        <v>4298</v>
      </c>
      <c r="B7487" s="82" t="str">
        <f ca="1">IFERROR(INDEX(UNSPSCDes,MATCH(INDIRECT(ADDRESS(ROW(),COLUMN()-1,4)),UNSPSCCode,0)),IF(INDIRECT(ADDRESS(ROW(),COLUMN()-1,4))="39121436","Electrodos",""))</f>
        <v>Electrodos</v>
      </c>
      <c r="C7487" s="95" t="str">
        <f>IFERROR(VLOOKUP("UD",'Informacion '!P:Q,2,FALSE),"")</f>
        <v>Unidad</v>
      </c>
      <c r="D7487" s="94">
        <v>4</v>
      </c>
      <c r="E7487" s="84">
        <v>432.36</v>
      </c>
      <c r="F7487" s="83">
        <f t="shared" ca="1" si="298"/>
        <v>1729.44</v>
      </c>
    </row>
    <row r="7488" spans="1:6" ht="14.1" customHeight="1" x14ac:dyDescent="0.25">
      <c r="A7488" s="94" t="s">
        <v>7220</v>
      </c>
      <c r="B7488" s="82" t="str">
        <f ca="1">IFERROR(INDEX(UNSPSCDes,MATCH(INDIRECT(ADDRESS(ROW(),COLUMN()-1,4)),UNSPSCCode,0)),IF(INDIRECT(ADDRESS(ROW(),COLUMN()-1,4))="42142502","Agujas para anestesia",""))</f>
        <v>Agujas para anestesia</v>
      </c>
      <c r="C7488" s="95" t="str">
        <f>IFERROR(VLOOKUP("UD",'Informacion '!P:Q,2,FALSE),"")</f>
        <v>Unidad</v>
      </c>
      <c r="D7488" s="94">
        <v>87</v>
      </c>
      <c r="E7488" s="84">
        <v>70.8</v>
      </c>
      <c r="F7488" s="83">
        <f t="shared" ca="1" si="298"/>
        <v>6159.5999999999995</v>
      </c>
    </row>
    <row r="7489" spans="1:6" ht="14.1" customHeight="1" x14ac:dyDescent="0.25">
      <c r="A7489" s="94" t="s">
        <v>502</v>
      </c>
      <c r="B7489" s="82" t="str">
        <f ca="1">IFERROR(INDEX(UNSPSCDes,MATCH(INDIRECT(ADDRESS(ROW(),COLUMN()-1,4)),UNSPSCCode,0)),IF(INDIRECT(ADDRESS(ROW(),COLUMN()-1,4))="12161503","Kits de reactivos",""))</f>
        <v>Kits de reactivos</v>
      </c>
      <c r="C7489" s="95" t="str">
        <f>IFERROR(VLOOKUP("UD",'Informacion '!P:Q,2,FALSE),"")</f>
        <v>Unidad</v>
      </c>
      <c r="D7489" s="94">
        <v>10</v>
      </c>
      <c r="E7489" s="84">
        <v>2244.91</v>
      </c>
      <c r="F7489" s="83">
        <f t="shared" ca="1" si="298"/>
        <v>22449.1</v>
      </c>
    </row>
    <row r="7490" spans="1:6" ht="14.1" customHeight="1" x14ac:dyDescent="0.25">
      <c r="A7490" s="94" t="s">
        <v>19048</v>
      </c>
      <c r="B7490" s="82" t="str">
        <f ca="1">IFERROR(INDEX(UNSPSCDes,MATCH(INDIRECT(ADDRESS(ROW(),COLUMN()-1,4)),UNSPSCCode,0)),IF(INDIRECT(ADDRESS(ROW(),COLUMN()-1,4))="23191202","Cuchillas de mezcladora",""))</f>
        <v>Cuchillas de mezcladora</v>
      </c>
      <c r="C7490" s="95" t="str">
        <f>IFERROR(VLOOKUP("UD",'Informacion '!P:Q,2,FALSE),"")</f>
        <v>Unidad</v>
      </c>
      <c r="D7490" s="94">
        <v>105</v>
      </c>
      <c r="E7490" s="84">
        <v>115.64</v>
      </c>
      <c r="F7490" s="83">
        <f t="shared" ca="1" si="298"/>
        <v>12142.2</v>
      </c>
    </row>
    <row r="7491" spans="1:6" ht="14.1" customHeight="1" x14ac:dyDescent="0.25">
      <c r="A7491" s="94" t="s">
        <v>19048</v>
      </c>
      <c r="B7491" s="82" t="str">
        <f ca="1">IFERROR(INDEX(UNSPSCDes,MATCH(INDIRECT(ADDRESS(ROW(),COLUMN()-1,4)),UNSPSCCode,0)),IF(INDIRECT(ADDRESS(ROW(),COLUMN()-1,4))="23191202","Cuchillas de mezcladora",""))</f>
        <v>Cuchillas de mezcladora</v>
      </c>
      <c r="C7491" s="95" t="str">
        <f>IFERROR(VLOOKUP("UD",'Informacion '!P:Q,2,FALSE),"")</f>
        <v>Unidad</v>
      </c>
      <c r="D7491" s="94">
        <v>40</v>
      </c>
      <c r="E7491" s="84">
        <v>113.42</v>
      </c>
      <c r="F7491" s="83">
        <f t="shared" ca="1" si="298"/>
        <v>4536.8</v>
      </c>
    </row>
    <row r="7492" spans="1:6" ht="14.1" customHeight="1" x14ac:dyDescent="0.25">
      <c r="A7492" s="94" t="s">
        <v>11857</v>
      </c>
      <c r="B7492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492" s="95" t="str">
        <f>IFERROR(VLOOKUP("UD",'Informacion '!P:Q,2,FALSE),"")</f>
        <v>Unidad</v>
      </c>
      <c r="D7492" s="94">
        <v>125</v>
      </c>
      <c r="E7492" s="84">
        <v>1.7</v>
      </c>
      <c r="F7492" s="83">
        <f t="shared" ca="1" si="298"/>
        <v>212.5</v>
      </c>
    </row>
    <row r="7493" spans="1:6" ht="14.1" customHeight="1" x14ac:dyDescent="0.25">
      <c r="A7493" s="94" t="s">
        <v>4829</v>
      </c>
      <c r="B7493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493" s="95" t="str">
        <f>IFERROR(VLOOKUP("UD",'Informacion '!P:Q,2,FALSE),"")</f>
        <v>Unidad</v>
      </c>
      <c r="D7493" s="94">
        <v>105</v>
      </c>
      <c r="E7493" s="84">
        <v>11.13</v>
      </c>
      <c r="F7493" s="83">
        <f t="shared" ca="1" si="298"/>
        <v>1168.6500000000001</v>
      </c>
    </row>
    <row r="7494" spans="1:6" ht="14.1" customHeight="1" x14ac:dyDescent="0.25">
      <c r="A7494" s="94" t="s">
        <v>4829</v>
      </c>
      <c r="B7494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494" s="95" t="str">
        <f>IFERROR(VLOOKUP("UD",'Informacion '!P:Q,2,FALSE),"")</f>
        <v>Unidad</v>
      </c>
      <c r="D7494" s="94">
        <v>3</v>
      </c>
      <c r="E7494" s="84">
        <v>637.20000000000005</v>
      </c>
      <c r="F7494" s="83">
        <f t="shared" ca="1" si="298"/>
        <v>1911.6000000000001</v>
      </c>
    </row>
    <row r="7495" spans="1:6" ht="14.1" customHeight="1" x14ac:dyDescent="0.25">
      <c r="A7495" s="94" t="s">
        <v>7030</v>
      </c>
      <c r="B7495" s="82" t="str">
        <f ca="1">IFERROR(INDEX(UNSPSCDes,MATCH(INDIRECT(ADDRESS(ROW(),COLUMN()-1,4)),UNSPSCCode,0)),IF(INDIRECT(ADDRESS(ROW(),COLUMN()-1,4))="42272220","Accesorios para ventiladores",""))</f>
        <v>Accesorios para ventiladores</v>
      </c>
      <c r="C7495" s="95" t="str">
        <f>IFERROR(VLOOKUP("UD",'Informacion '!P:Q,2,FALSE),"")</f>
        <v>Unidad</v>
      </c>
      <c r="D7495" s="94">
        <v>42</v>
      </c>
      <c r="E7495" s="84">
        <v>351.05</v>
      </c>
      <c r="F7495" s="83">
        <f t="shared" ca="1" si="298"/>
        <v>14744.1</v>
      </c>
    </row>
    <row r="7496" spans="1:6" ht="14.1" customHeight="1" x14ac:dyDescent="0.25">
      <c r="A7496" s="94" t="s">
        <v>7820</v>
      </c>
      <c r="B7496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496" s="95" t="str">
        <f>IFERROR(VLOOKUP("UD",'Informacion '!P:Q,2,FALSE),"")</f>
        <v>Unidad</v>
      </c>
      <c r="D7496" s="94">
        <v>74</v>
      </c>
      <c r="E7496" s="84">
        <v>127.44</v>
      </c>
      <c r="F7496" s="83">
        <f t="shared" ca="1" si="298"/>
        <v>9430.56</v>
      </c>
    </row>
    <row r="7497" spans="1:6" ht="14.1" customHeight="1" x14ac:dyDescent="0.25">
      <c r="A7497" s="94" t="s">
        <v>5706</v>
      </c>
      <c r="B7497" s="82" t="str">
        <f ca="1">IFERROR(INDEX(UNSPSCDes,MATCH(INDIRECT(ADDRESS(ROW(),COLUMN()-1,4)),UNSPSCCode,0)),IF(INDIRECT(ADDRESS(ROW(),COLUMN()-1,4))="41104014","Aplicadores de muestras",""))</f>
        <v>Aplicadores de muestras</v>
      </c>
      <c r="C7497" s="95" t="str">
        <f>IFERROR(VLOOKUP("UD",'Informacion '!P:Q,2,FALSE),"")</f>
        <v>Unidad</v>
      </c>
      <c r="D7497" s="94">
        <v>1754</v>
      </c>
      <c r="E7497" s="84">
        <v>0.45</v>
      </c>
      <c r="F7497" s="83">
        <f t="shared" ca="1" si="298"/>
        <v>789.30000000000007</v>
      </c>
    </row>
    <row r="7498" spans="1:6" ht="14.1" customHeight="1" x14ac:dyDescent="0.25">
      <c r="A7498" s="94" t="s">
        <v>5112</v>
      </c>
      <c r="B7498" s="82" t="str">
        <f ca="1">IFERROR(INDEX(UNSPSCDes,MATCH(INDIRECT(ADDRESS(ROW(),COLUMN()-1,4)),UNSPSCCode,0)),IF(INDIRECT(ADDRESS(ROW(),COLUMN()-1,4))="42294101","Lazos de tracción o bucles de tracción o productos relacionados para uso quirúrgico",""))</f>
        <v>Lazos de tracción o bucles de tracción o productos relacionados para uso quirúrgico</v>
      </c>
      <c r="C7498" s="95" t="str">
        <f>IFERROR(VLOOKUP("UD",'Informacion '!P:Q,2,FALSE),"")</f>
        <v>Unidad</v>
      </c>
      <c r="D7498" s="94">
        <v>2</v>
      </c>
      <c r="E7498" s="84">
        <v>548.69000000000005</v>
      </c>
      <c r="F7498" s="83">
        <f t="shared" ca="1" si="298"/>
        <v>1097.3800000000001</v>
      </c>
    </row>
    <row r="7499" spans="1:6" ht="14.1" customHeight="1" x14ac:dyDescent="0.25">
      <c r="A7499" s="94" t="s">
        <v>12725</v>
      </c>
      <c r="B7499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7499" s="95" t="str">
        <f>IFERROR(VLOOKUP("UD",'Informacion '!P:Q,2,FALSE),"")</f>
        <v>Unidad</v>
      </c>
      <c r="D7499" s="94">
        <v>51</v>
      </c>
      <c r="E7499" s="84">
        <v>317.95</v>
      </c>
      <c r="F7499" s="83">
        <f t="shared" ca="1" si="298"/>
        <v>16215.449999999999</v>
      </c>
    </row>
    <row r="7500" spans="1:6" ht="14.1" customHeight="1" x14ac:dyDescent="0.25">
      <c r="A7500" s="94" t="s">
        <v>9743</v>
      </c>
      <c r="B7500" s="82" t="str">
        <f ca="1">IFERROR(INDEX(UNSPSCDes,MATCH(INDIRECT(ADDRESS(ROW(),COLUMN()-1,4)),UNSPSCCode,0)),IF(INDIRECT(ADDRESS(ROW(),COLUMN()-1,4))="42312109","Anillos de bolsa para ostomía",""))</f>
        <v>Anillos de bolsa para ostomía</v>
      </c>
      <c r="C7500" s="95" t="str">
        <f>IFERROR(VLOOKUP("UD",'Informacion '!P:Q,2,FALSE),"")</f>
        <v>Unidad</v>
      </c>
      <c r="D7500" s="94">
        <v>44</v>
      </c>
      <c r="E7500" s="84">
        <v>317.20999999999998</v>
      </c>
      <c r="F7500" s="83">
        <f t="shared" ca="1" si="298"/>
        <v>13957.24</v>
      </c>
    </row>
    <row r="7501" spans="1:6" ht="14.1" customHeight="1" x14ac:dyDescent="0.25">
      <c r="A7501" s="94" t="s">
        <v>12107</v>
      </c>
      <c r="B7501" s="82" t="str">
        <f ca="1">IFERROR(INDEX(UNSPSCDes,MATCH(INDIRECT(ADDRESS(ROW(),COLUMN()-1,4)),UNSPSCCode,0)),IF(INDIRECT(ADDRESS(ROW(),COLUMN()-1,4))="27112105","Pinzas",""))</f>
        <v>Pinzas</v>
      </c>
      <c r="C7501" s="95" t="str">
        <f>IFERROR(VLOOKUP("UD",'Informacion '!P:Q,2,FALSE),"")</f>
        <v>Unidad</v>
      </c>
      <c r="D7501" s="94">
        <v>2</v>
      </c>
      <c r="E7501" s="84">
        <v>95.71</v>
      </c>
      <c r="F7501" s="83">
        <f t="shared" ca="1" si="298"/>
        <v>191.42</v>
      </c>
    </row>
    <row r="7502" spans="1:6" ht="14.1" customHeight="1" x14ac:dyDescent="0.25">
      <c r="A7502" s="94" t="s">
        <v>3228</v>
      </c>
      <c r="B7502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502" s="95" t="str">
        <f>IFERROR(VLOOKUP("UD",'Informacion '!P:Q,2,FALSE),"")</f>
        <v>Unidad</v>
      </c>
      <c r="D7502" s="94">
        <v>3</v>
      </c>
      <c r="E7502" s="84">
        <v>19900.7</v>
      </c>
      <c r="F7502" s="83">
        <f t="shared" ca="1" si="298"/>
        <v>59702.100000000006</v>
      </c>
    </row>
    <row r="7503" spans="1:6" ht="14.1" customHeight="1" x14ac:dyDescent="0.25">
      <c r="A7503" s="94" t="s">
        <v>3228</v>
      </c>
      <c r="B7503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503" s="95" t="str">
        <f>IFERROR(VLOOKUP("UD",'Informacion '!P:Q,2,FALSE),"")</f>
        <v>Unidad</v>
      </c>
      <c r="D7503" s="94">
        <v>2</v>
      </c>
      <c r="E7503" s="84">
        <v>19900.7</v>
      </c>
      <c r="F7503" s="83">
        <f t="shared" ca="1" si="298"/>
        <v>39801.4</v>
      </c>
    </row>
    <row r="7504" spans="1:6" ht="14.1" customHeight="1" x14ac:dyDescent="0.25">
      <c r="A7504" s="94" t="s">
        <v>2946</v>
      </c>
      <c r="B7504" s="82" t="str">
        <f ca="1">IFERROR(INDEX(UNSPSCDes,MATCH(INDIRECT(ADDRESS(ROW(),COLUMN()-1,4)),UNSPSCCode,0)),IF(INDIRECT(ADDRESS(ROW(),COLUMN()-1,4))="14121812","Papel de fotografía",""))</f>
        <v>Papel de fotografía</v>
      </c>
      <c r="C7504" s="95" t="str">
        <f>IFERROR(VLOOKUP("UD",'Informacion '!P:Q,2,FALSE),"")</f>
        <v>Unidad</v>
      </c>
      <c r="D7504" s="94">
        <v>6</v>
      </c>
      <c r="E7504" s="84">
        <v>9333.02</v>
      </c>
      <c r="F7504" s="83">
        <f t="shared" ca="1" si="298"/>
        <v>55998.12</v>
      </c>
    </row>
    <row r="7505" spans="1:6" ht="14.1" customHeight="1" x14ac:dyDescent="0.25">
      <c r="A7505" s="94" t="s">
        <v>1279</v>
      </c>
      <c r="B7505" s="82" t="str">
        <f ca="1">IFERROR(INDEX(UNSPSCDes,MATCH(INDIRECT(ADDRESS(ROW(),COLUMN()-1,4)),UNSPSCCode,0)),IF(INDIRECT(ADDRESS(ROW(),COLUMN()-1,4))="42231701","Tubos nasogástricos",""))</f>
        <v>Tubos nasogástricos</v>
      </c>
      <c r="C7505" s="95" t="str">
        <f>IFERROR(VLOOKUP("UD",'Informacion '!P:Q,2,FALSE),"")</f>
        <v>Unidad</v>
      </c>
      <c r="D7505" s="94">
        <v>7</v>
      </c>
      <c r="E7505" s="84">
        <v>9.7899999999999991</v>
      </c>
      <c r="F7505" s="83">
        <f t="shared" ca="1" si="298"/>
        <v>68.53</v>
      </c>
    </row>
    <row r="7506" spans="1:6" ht="14.1" customHeight="1" x14ac:dyDescent="0.25">
      <c r="A7506" s="94" t="s">
        <v>8919</v>
      </c>
      <c r="B7506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7506" s="95" t="str">
        <f>IFERROR(VLOOKUP("UD",'Informacion '!P:Q,2,FALSE),"")</f>
        <v>Unidad</v>
      </c>
      <c r="D7506" s="94">
        <v>620</v>
      </c>
      <c r="E7506" s="84">
        <v>0.57999999999999996</v>
      </c>
      <c r="F7506" s="83">
        <f t="shared" ca="1" si="298"/>
        <v>359.59999999999997</v>
      </c>
    </row>
    <row r="7507" spans="1:6" ht="14.1" customHeight="1" x14ac:dyDescent="0.25">
      <c r="A7507" s="94" t="s">
        <v>10483</v>
      </c>
      <c r="B750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507" s="95" t="str">
        <f>IFERROR(VLOOKUP("UD",'Informacion '!P:Q,2,FALSE),"")</f>
        <v>Unidad</v>
      </c>
      <c r="D7507" s="94">
        <v>19</v>
      </c>
      <c r="E7507" s="84">
        <v>290</v>
      </c>
      <c r="F7507" s="83">
        <f t="shared" ca="1" si="298"/>
        <v>5510</v>
      </c>
    </row>
    <row r="7508" spans="1:6" ht="14.1" customHeight="1" x14ac:dyDescent="0.25">
      <c r="A7508" s="94" t="s">
        <v>5212</v>
      </c>
      <c r="B7508" s="82" t="str">
        <f ca="1">IFERROR(INDEX(UNSPSCDes,MATCH(INDIRECT(ADDRESS(ROW(),COLUMN()-1,4)),UNSPSCCode,0)),IF(INDIRECT(ADDRESS(ROW(),COLUMN()-1,4))="23153035","Placa",""))</f>
        <v>Placa</v>
      </c>
      <c r="C7508" s="95" t="str">
        <f>IFERROR(VLOOKUP("UD",'Informacion '!P:Q,2,FALSE),"")</f>
        <v>Unidad</v>
      </c>
      <c r="D7508" s="94">
        <v>3</v>
      </c>
      <c r="E7508" s="84">
        <v>152.96</v>
      </c>
      <c r="F7508" s="83">
        <f t="shared" ca="1" si="298"/>
        <v>458.88</v>
      </c>
    </row>
    <row r="7509" spans="1:6" ht="14.1" customHeight="1" x14ac:dyDescent="0.25">
      <c r="A7509" s="94" t="s">
        <v>7820</v>
      </c>
      <c r="B7509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509" s="95" t="str">
        <f>IFERROR(VLOOKUP("UD",'Informacion '!P:Q,2,FALSE),"")</f>
        <v>Unidad</v>
      </c>
      <c r="D7509" s="94">
        <v>40</v>
      </c>
      <c r="E7509" s="84">
        <v>129.80000000000001</v>
      </c>
      <c r="F7509" s="83">
        <f t="shared" ca="1" si="298"/>
        <v>5192</v>
      </c>
    </row>
    <row r="7510" spans="1:6" ht="14.1" customHeight="1" x14ac:dyDescent="0.25">
      <c r="A7510" s="94" t="s">
        <v>4306</v>
      </c>
      <c r="B7510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510" s="95" t="str">
        <f>IFERROR(VLOOKUP("UD",'Informacion '!P:Q,2,FALSE),"")</f>
        <v>Unidad</v>
      </c>
      <c r="D7510" s="94">
        <v>3</v>
      </c>
      <c r="E7510" s="84">
        <v>940</v>
      </c>
      <c r="F7510" s="83">
        <f t="shared" ca="1" si="298"/>
        <v>2820</v>
      </c>
    </row>
    <row r="7511" spans="1:6" ht="14.1" customHeight="1" x14ac:dyDescent="0.25">
      <c r="A7511" s="94" t="s">
        <v>4298</v>
      </c>
      <c r="B7511" s="82" t="str">
        <f ca="1">IFERROR(INDEX(UNSPSCDes,MATCH(INDIRECT(ADDRESS(ROW(),COLUMN()-1,4)),UNSPSCCode,0)),IF(INDIRECT(ADDRESS(ROW(),COLUMN()-1,4))="39121436","Electrodos",""))</f>
        <v>Electrodos</v>
      </c>
      <c r="C7511" s="95" t="str">
        <f>IFERROR(VLOOKUP("UD",'Informacion '!P:Q,2,FALSE),"")</f>
        <v>Unidad</v>
      </c>
      <c r="D7511" s="94">
        <v>8</v>
      </c>
      <c r="E7511" s="84">
        <v>649.99</v>
      </c>
      <c r="F7511" s="83">
        <f t="shared" ca="1" si="298"/>
        <v>5199.92</v>
      </c>
    </row>
    <row r="7512" spans="1:6" ht="14.1" customHeight="1" x14ac:dyDescent="0.25">
      <c r="A7512" s="94" t="s">
        <v>16391</v>
      </c>
      <c r="B7512" s="82" t="str">
        <f ca="1">IFERROR(INDEX(UNSPSCDes,MATCH(INDIRECT(ADDRESS(ROW(),COLUMN()-1,4)),UNSPSCCode,0)),IF(INDIRECT(ADDRESS(ROW(),COLUMN()-1,4))="42142615","Accesorios para jeringas",""))</f>
        <v>Accesorios para jeringas</v>
      </c>
      <c r="C7512" s="95" t="str">
        <f>IFERROR(VLOOKUP("UD",'Informacion '!P:Q,2,FALSE),"")</f>
        <v>Unidad</v>
      </c>
      <c r="D7512" s="94">
        <v>167</v>
      </c>
      <c r="E7512" s="84">
        <v>1.43</v>
      </c>
      <c r="F7512" s="83">
        <f t="shared" ref="F7512:F7543" ca="1" si="299">INDIRECT(ADDRESS(ROW(),COLUMN()-2,4))*INDIRECT(ADDRESS(ROW(),COLUMN()-1,4))</f>
        <v>238.81</v>
      </c>
    </row>
    <row r="7513" spans="1:6" ht="14.1" customHeight="1" x14ac:dyDescent="0.25">
      <c r="A7513" s="94" t="s">
        <v>4298</v>
      </c>
      <c r="B7513" s="82" t="str">
        <f ca="1">IFERROR(INDEX(UNSPSCDes,MATCH(INDIRECT(ADDRESS(ROW(),COLUMN()-1,4)),UNSPSCCode,0)),IF(INDIRECT(ADDRESS(ROW(),COLUMN()-1,4))="39121436","Electrodos",""))</f>
        <v>Electrodos</v>
      </c>
      <c r="C7513" s="95" t="str">
        <f>IFERROR(VLOOKUP("UD",'Informacion '!P:Q,2,FALSE),"")</f>
        <v>Unidad</v>
      </c>
      <c r="D7513" s="94">
        <v>187</v>
      </c>
      <c r="E7513" s="84">
        <v>5.19</v>
      </c>
      <c r="F7513" s="83">
        <f t="shared" ca="1" si="299"/>
        <v>970.53000000000009</v>
      </c>
    </row>
    <row r="7514" spans="1:6" ht="14.1" customHeight="1" x14ac:dyDescent="0.25">
      <c r="A7514" s="94" t="s">
        <v>435</v>
      </c>
      <c r="B751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514" s="95" t="str">
        <f>IFERROR(VLOOKUP("UD",'Informacion '!P:Q,2,FALSE),"")</f>
        <v>Unidad</v>
      </c>
      <c r="D7514" s="94">
        <v>48</v>
      </c>
      <c r="E7514" s="84">
        <v>17.940000000000001</v>
      </c>
      <c r="F7514" s="83">
        <f t="shared" ca="1" si="299"/>
        <v>861.12000000000012</v>
      </c>
    </row>
    <row r="7515" spans="1:6" ht="14.1" customHeight="1" x14ac:dyDescent="0.25">
      <c r="A7515" s="94" t="s">
        <v>16379</v>
      </c>
      <c r="B7515" s="82" t="str">
        <f ca="1">IFERROR(INDEX(UNSPSCDes,MATCH(INDIRECT(ADDRESS(ROW(),COLUMN()-1,4)),UNSPSCCode,0)),IF(INDIRECT(ADDRESS(ROW(),COLUMN()-1,4))="53131608","Jabones",""))</f>
        <v>Jabones</v>
      </c>
      <c r="C7515" s="95" t="str">
        <f>IFERROR(VLOOKUP("UD",'Informacion '!P:Q,2,FALSE),"")</f>
        <v>Unidad</v>
      </c>
      <c r="D7515" s="94">
        <v>15</v>
      </c>
      <c r="E7515" s="84">
        <v>1986.63</v>
      </c>
      <c r="F7515" s="83">
        <f t="shared" ca="1" si="299"/>
        <v>29799.45</v>
      </c>
    </row>
    <row r="7516" spans="1:6" ht="14.1" customHeight="1" x14ac:dyDescent="0.25">
      <c r="A7516" s="94" t="s">
        <v>5557</v>
      </c>
      <c r="B7516" s="82" t="str">
        <f ca="1">IFERROR(INDEX(UNSPSCDes,MATCH(INDIRECT(ADDRESS(ROW(),COLUMN()-1,4)),UNSPSCCode,0)),IF(INDIRECT(ADDRESS(ROW(),COLUMN()-1,4))="51211615","Azul de metileno",""))</f>
        <v>Azul de metileno</v>
      </c>
      <c r="C7516" s="95" t="str">
        <f>IFERROR(VLOOKUP("UD",'Informacion '!P:Q,2,FALSE),"")</f>
        <v>Unidad</v>
      </c>
      <c r="D7516" s="94">
        <v>3</v>
      </c>
      <c r="E7516" s="84">
        <v>21.53</v>
      </c>
      <c r="F7516" s="83">
        <f t="shared" ca="1" si="299"/>
        <v>64.59</v>
      </c>
    </row>
    <row r="7517" spans="1:6" ht="14.1" customHeight="1" x14ac:dyDescent="0.25">
      <c r="A7517" s="94" t="s">
        <v>18840</v>
      </c>
      <c r="B7517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7517" s="95" t="str">
        <f>IFERROR(VLOOKUP("UD",'Informacion '!P:Q,2,FALSE),"")</f>
        <v>Unidad</v>
      </c>
      <c r="D7517" s="94">
        <v>35</v>
      </c>
      <c r="E7517" s="84">
        <v>135.94</v>
      </c>
      <c r="F7517" s="83">
        <f t="shared" ca="1" si="299"/>
        <v>4757.8999999999996</v>
      </c>
    </row>
    <row r="7518" spans="1:6" ht="14.1" customHeight="1" x14ac:dyDescent="0.25">
      <c r="A7518" s="94" t="s">
        <v>2726</v>
      </c>
      <c r="B7518" s="82" t="str">
        <f ca="1">IFERROR(INDEX(UNSPSCDes,MATCH(INDIRECT(ADDRESS(ROW(),COLUMN()-1,4)),UNSPSCCode,0)),IF(INDIRECT(ADDRESS(ROW(),COLUMN()-1,4))="24112602","Frascos",""))</f>
        <v>Frascos</v>
      </c>
      <c r="C7518" s="95" t="str">
        <f>IFERROR(VLOOKUP("UD",'Informacion '!P:Q,2,FALSE),"")</f>
        <v>Unidad</v>
      </c>
      <c r="D7518" s="94">
        <v>184</v>
      </c>
      <c r="E7518" s="84">
        <v>8.74</v>
      </c>
      <c r="F7518" s="83">
        <f t="shared" ca="1" si="299"/>
        <v>1608.16</v>
      </c>
    </row>
    <row r="7519" spans="1:6" ht="14.1" customHeight="1" x14ac:dyDescent="0.25">
      <c r="A7519" s="94" t="s">
        <v>2726</v>
      </c>
      <c r="B7519" s="82" t="str">
        <f ca="1">IFERROR(INDEX(UNSPSCDes,MATCH(INDIRECT(ADDRESS(ROW(),COLUMN()-1,4)),UNSPSCCode,0)),IF(INDIRECT(ADDRESS(ROW(),COLUMN()-1,4))="24112602","Frascos",""))</f>
        <v>Frascos</v>
      </c>
      <c r="C7519" s="95" t="str">
        <f>IFERROR(VLOOKUP("UD",'Informacion '!P:Q,2,FALSE),"")</f>
        <v>Unidad</v>
      </c>
      <c r="D7519" s="94">
        <v>8</v>
      </c>
      <c r="E7519" s="84">
        <v>323.01</v>
      </c>
      <c r="F7519" s="83">
        <f t="shared" ca="1" si="299"/>
        <v>2584.08</v>
      </c>
    </row>
    <row r="7520" spans="1:6" ht="14.1" customHeight="1" x14ac:dyDescent="0.25">
      <c r="A7520" s="94" t="s">
        <v>2726</v>
      </c>
      <c r="B7520" s="82" t="str">
        <f ca="1">IFERROR(INDEX(UNSPSCDes,MATCH(INDIRECT(ADDRESS(ROW(),COLUMN()-1,4)),UNSPSCCode,0)),IF(INDIRECT(ADDRESS(ROW(),COLUMN()-1,4))="24112602","Frascos",""))</f>
        <v>Frascos</v>
      </c>
      <c r="C7520" s="95" t="str">
        <f>IFERROR(VLOOKUP("UD",'Informacion '!P:Q,2,FALSE),"")</f>
        <v>Unidad</v>
      </c>
      <c r="D7520" s="94">
        <v>22</v>
      </c>
      <c r="E7520" s="84">
        <v>44.63</v>
      </c>
      <c r="F7520" s="83">
        <f t="shared" ca="1" si="299"/>
        <v>981.86</v>
      </c>
    </row>
    <row r="7521" spans="1:6" ht="14.1" customHeight="1" x14ac:dyDescent="0.25">
      <c r="A7521" s="94" t="s">
        <v>9323</v>
      </c>
      <c r="B7521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521" s="95" t="str">
        <f>IFERROR(VLOOKUP("UD",'Informacion '!P:Q,2,FALSE),"")</f>
        <v>Unidad</v>
      </c>
      <c r="D7521" s="94">
        <v>3</v>
      </c>
      <c r="E7521" s="84">
        <v>2478</v>
      </c>
      <c r="F7521" s="83">
        <f t="shared" ca="1" si="299"/>
        <v>7434</v>
      </c>
    </row>
    <row r="7522" spans="1:6" ht="14.1" customHeight="1" x14ac:dyDescent="0.25">
      <c r="A7522" s="94" t="s">
        <v>9323</v>
      </c>
      <c r="B7522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522" s="95" t="str">
        <f>IFERROR(VLOOKUP("UD",'Informacion '!P:Q,2,FALSE),"")</f>
        <v>Unidad</v>
      </c>
      <c r="D7522" s="94">
        <v>3</v>
      </c>
      <c r="E7522" s="84">
        <v>1382.09</v>
      </c>
      <c r="F7522" s="83">
        <f t="shared" ca="1" si="299"/>
        <v>4146.2699999999995</v>
      </c>
    </row>
    <row r="7523" spans="1:6" ht="14.1" customHeight="1" x14ac:dyDescent="0.25">
      <c r="A7523" s="94" t="s">
        <v>3552</v>
      </c>
      <c r="B7523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523" s="95" t="str">
        <f>IFERROR(VLOOKUP("UD",'Informacion '!P:Q,2,FALSE),"")</f>
        <v>Unidad</v>
      </c>
      <c r="D7523" s="94">
        <v>1032</v>
      </c>
      <c r="E7523" s="84">
        <v>2.13</v>
      </c>
      <c r="F7523" s="83">
        <f t="shared" ca="1" si="299"/>
        <v>2198.16</v>
      </c>
    </row>
    <row r="7524" spans="1:6" ht="14.1" customHeight="1" x14ac:dyDescent="0.25">
      <c r="A7524" s="94" t="s">
        <v>8400</v>
      </c>
      <c r="B7524" s="82" t="str">
        <f ca="1">IFERROR(INDEX(UNSPSCDes,MATCH(INDIRECT(ADDRESS(ROW(),COLUMN()-1,4)),UNSPSCCode,0)),IF(INDIRECT(ADDRESS(ROW(),COLUMN()-1,4))="12171703","Tintas",""))</f>
        <v>Tintas</v>
      </c>
      <c r="C7524" s="95" t="str">
        <f>IFERROR(VLOOKUP("UD",'Informacion '!P:Q,2,FALSE),"")</f>
        <v>Unidad</v>
      </c>
      <c r="D7524" s="94">
        <v>2</v>
      </c>
      <c r="E7524" s="84">
        <v>346.92</v>
      </c>
      <c r="F7524" s="83">
        <f t="shared" ca="1" si="299"/>
        <v>693.84</v>
      </c>
    </row>
    <row r="7525" spans="1:6" ht="14.1" customHeight="1" x14ac:dyDescent="0.25">
      <c r="A7525" s="94" t="s">
        <v>5557</v>
      </c>
      <c r="B7525" s="82" t="str">
        <f ca="1">IFERROR(INDEX(UNSPSCDes,MATCH(INDIRECT(ADDRESS(ROW(),COLUMN()-1,4)),UNSPSCCode,0)),IF(INDIRECT(ADDRESS(ROW(),COLUMN()-1,4))="51211615","Azul de metileno",""))</f>
        <v>Azul de metileno</v>
      </c>
      <c r="C7525" s="95" t="str">
        <f>IFERROR(VLOOKUP("UD",'Informacion '!P:Q,2,FALSE),"")</f>
        <v>Unidad</v>
      </c>
      <c r="D7525" s="94">
        <v>2</v>
      </c>
      <c r="E7525" s="84">
        <v>3374.8</v>
      </c>
      <c r="F7525" s="83">
        <f t="shared" ca="1" si="299"/>
        <v>6749.6</v>
      </c>
    </row>
    <row r="7526" spans="1:6" ht="14.1" customHeight="1" x14ac:dyDescent="0.25">
      <c r="A7526" s="94" t="s">
        <v>7820</v>
      </c>
      <c r="B7526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526" s="95" t="str">
        <f>IFERROR(VLOOKUP("UD",'Informacion '!P:Q,2,FALSE),"")</f>
        <v>Unidad</v>
      </c>
      <c r="D7526" s="94">
        <v>4</v>
      </c>
      <c r="E7526" s="84">
        <v>174.14</v>
      </c>
      <c r="F7526" s="83">
        <f t="shared" ca="1" si="299"/>
        <v>696.56</v>
      </c>
    </row>
    <row r="7527" spans="1:6" ht="14.1" customHeight="1" x14ac:dyDescent="0.25">
      <c r="A7527" s="94" t="s">
        <v>12824</v>
      </c>
      <c r="B752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527" s="95" t="str">
        <f>IFERROR(VLOOKUP("UD",'Informacion '!P:Q,2,FALSE),"")</f>
        <v>Unidad</v>
      </c>
      <c r="D7527" s="94">
        <v>3</v>
      </c>
      <c r="E7527" s="84">
        <v>730.89</v>
      </c>
      <c r="F7527" s="83">
        <f t="shared" ca="1" si="299"/>
        <v>2192.67</v>
      </c>
    </row>
    <row r="7528" spans="1:6" ht="14.1" customHeight="1" x14ac:dyDescent="0.25">
      <c r="A7528" s="94" t="s">
        <v>5706</v>
      </c>
      <c r="B7528" s="82" t="str">
        <f ca="1">IFERROR(INDEX(UNSPSCDes,MATCH(INDIRECT(ADDRESS(ROW(),COLUMN()-1,4)),UNSPSCCode,0)),IF(INDIRECT(ADDRESS(ROW(),COLUMN()-1,4))="41104014","Aplicadores de muestras",""))</f>
        <v>Aplicadores de muestras</v>
      </c>
      <c r="C7528" s="95" t="str">
        <f>IFERROR(VLOOKUP("UD",'Informacion '!P:Q,2,FALSE),"")</f>
        <v>Unidad</v>
      </c>
      <c r="D7528" s="94">
        <v>859</v>
      </c>
      <c r="E7528" s="84">
        <v>7.45</v>
      </c>
      <c r="F7528" s="83">
        <f t="shared" ca="1" si="299"/>
        <v>6399.55</v>
      </c>
    </row>
    <row r="7529" spans="1:6" ht="14.1" customHeight="1" x14ac:dyDescent="0.25">
      <c r="A7529" s="94" t="s">
        <v>6591</v>
      </c>
      <c r="B7529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7529" s="95" t="str">
        <f>IFERROR(VLOOKUP("UD",'Informacion '!P:Q,2,FALSE),"")</f>
        <v>Unidad</v>
      </c>
      <c r="D7529" s="94">
        <v>105</v>
      </c>
      <c r="E7529" s="84">
        <v>2.74</v>
      </c>
      <c r="F7529" s="83">
        <f t="shared" ca="1" si="299"/>
        <v>287.70000000000005</v>
      </c>
    </row>
    <row r="7530" spans="1:6" ht="14.1" customHeight="1" x14ac:dyDescent="0.25">
      <c r="A7530" s="94" t="s">
        <v>5965</v>
      </c>
      <c r="B7530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7530" s="95" t="str">
        <f>IFERROR(VLOOKUP("UD",'Informacion '!P:Q,2,FALSE),"")</f>
        <v>Unidad</v>
      </c>
      <c r="D7530" s="94">
        <v>21</v>
      </c>
      <c r="E7530" s="84">
        <v>612.13</v>
      </c>
      <c r="F7530" s="83">
        <f t="shared" ca="1" si="299"/>
        <v>12854.73</v>
      </c>
    </row>
    <row r="7531" spans="1:6" ht="14.1" customHeight="1" x14ac:dyDescent="0.25">
      <c r="A7531" s="94" t="s">
        <v>6081</v>
      </c>
      <c r="B7531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7531" s="95" t="str">
        <f>IFERROR(VLOOKUP("UD",'Informacion '!P:Q,2,FALSE),"")</f>
        <v>Unidad</v>
      </c>
      <c r="D7531" s="94">
        <v>525</v>
      </c>
      <c r="E7531" s="84">
        <v>26.73</v>
      </c>
      <c r="F7531" s="83">
        <f t="shared" ca="1" si="299"/>
        <v>14033.25</v>
      </c>
    </row>
    <row r="7532" spans="1:6" ht="14.1" customHeight="1" x14ac:dyDescent="0.25">
      <c r="A7532" s="94" t="s">
        <v>16391</v>
      </c>
      <c r="B7532" s="82" t="str">
        <f ca="1">IFERROR(INDEX(UNSPSCDes,MATCH(INDIRECT(ADDRESS(ROW(),COLUMN()-1,4)),UNSPSCCode,0)),IF(INDIRECT(ADDRESS(ROW(),COLUMN()-1,4))="42142615","Accesorios para jeringas",""))</f>
        <v>Accesorios para jeringas</v>
      </c>
      <c r="C7532" s="95" t="str">
        <f>IFERROR(VLOOKUP("UD",'Informacion '!P:Q,2,FALSE),"")</f>
        <v>Unidad</v>
      </c>
      <c r="D7532" s="94">
        <v>49</v>
      </c>
      <c r="E7532" s="84">
        <v>8.68</v>
      </c>
      <c r="F7532" s="83">
        <f t="shared" ca="1" si="299"/>
        <v>425.32</v>
      </c>
    </row>
    <row r="7533" spans="1:6" ht="14.1" customHeight="1" x14ac:dyDescent="0.25">
      <c r="A7533" s="94" t="s">
        <v>2591</v>
      </c>
      <c r="B7533" s="82" t="str">
        <f ca="1">IFERROR(INDEX(UNSPSCDes,MATCH(INDIRECT(ADDRESS(ROW(),COLUMN()-1,4)),UNSPSCCode,0)),IF(INDIRECT(ADDRESS(ROW(),COLUMN()-1,4))="42142504","Agujas para biopsia",""))</f>
        <v>Agujas para biopsia</v>
      </c>
      <c r="C7533" s="95" t="str">
        <f>IFERROR(VLOOKUP("UD",'Informacion '!P:Q,2,FALSE),"")</f>
        <v>Unidad</v>
      </c>
      <c r="D7533" s="94">
        <v>68</v>
      </c>
      <c r="E7533" s="84">
        <v>1545.07</v>
      </c>
      <c r="F7533" s="83">
        <f t="shared" ca="1" si="299"/>
        <v>105064.76</v>
      </c>
    </row>
    <row r="7534" spans="1:6" ht="14.1" customHeight="1" x14ac:dyDescent="0.25">
      <c r="A7534" s="94" t="s">
        <v>3685</v>
      </c>
      <c r="B7534" s="82" t="str">
        <f ca="1">IFERROR(INDEX(UNSPSCDes,MATCH(INDIRECT(ADDRESS(ROW(),COLUMN()-1,4)),UNSPSCCode,0)),IF(INDIRECT(ADDRESS(ROW(),COLUMN()-1,4))="12191601","Solventes de alcohol",""))</f>
        <v>Solventes de alcohol</v>
      </c>
      <c r="C7534" s="95" t="str">
        <f>IFERROR(VLOOKUP("UD",'Informacion '!P:Q,2,FALSE),"")</f>
        <v>Unidad</v>
      </c>
      <c r="D7534" s="94">
        <v>3</v>
      </c>
      <c r="E7534" s="84">
        <v>2029.75</v>
      </c>
      <c r="F7534" s="83">
        <f t="shared" ca="1" si="299"/>
        <v>6089.25</v>
      </c>
    </row>
    <row r="7535" spans="1:6" ht="14.1" customHeight="1" x14ac:dyDescent="0.25">
      <c r="A7535" s="94" t="s">
        <v>16391</v>
      </c>
      <c r="B7535" s="82" t="str">
        <f ca="1">IFERROR(INDEX(UNSPSCDes,MATCH(INDIRECT(ADDRESS(ROW(),COLUMN()-1,4)),UNSPSCCode,0)),IF(INDIRECT(ADDRESS(ROW(),COLUMN()-1,4))="42142615","Accesorios para jeringas",""))</f>
        <v>Accesorios para jeringas</v>
      </c>
      <c r="C7535" s="95" t="str">
        <f>IFERROR(VLOOKUP("UD",'Informacion '!P:Q,2,FALSE),"")</f>
        <v>Unidad</v>
      </c>
      <c r="D7535" s="94">
        <v>10032</v>
      </c>
      <c r="E7535" s="84">
        <v>2.15</v>
      </c>
      <c r="F7535" s="83">
        <f t="shared" ca="1" si="299"/>
        <v>21568.799999999999</v>
      </c>
    </row>
    <row r="7536" spans="1:6" ht="14.1" customHeight="1" x14ac:dyDescent="0.25">
      <c r="A7536" s="94" t="s">
        <v>16391</v>
      </c>
      <c r="B7536" s="82" t="str">
        <f ca="1">IFERROR(INDEX(UNSPSCDes,MATCH(INDIRECT(ADDRESS(ROW(),COLUMN()-1,4)),UNSPSCCode,0)),IF(INDIRECT(ADDRESS(ROW(),COLUMN()-1,4))="42142615","Accesorios para jeringas",""))</f>
        <v>Accesorios para jeringas</v>
      </c>
      <c r="C7536" s="95" t="str">
        <f>IFERROR(VLOOKUP("UD",'Informacion '!P:Q,2,FALSE),"")</f>
        <v>Unidad</v>
      </c>
      <c r="D7536" s="94">
        <v>3119</v>
      </c>
      <c r="E7536" s="84">
        <v>3.26</v>
      </c>
      <c r="F7536" s="83">
        <f t="shared" ca="1" si="299"/>
        <v>10167.939999999999</v>
      </c>
    </row>
    <row r="7537" spans="1:6" ht="14.1" customHeight="1" x14ac:dyDescent="0.25">
      <c r="A7537" s="94" t="s">
        <v>3169</v>
      </c>
      <c r="B7537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7537" s="95" t="str">
        <f>IFERROR(VLOOKUP("UD",'Informacion '!P:Q,2,FALSE),"")</f>
        <v>Unidad</v>
      </c>
      <c r="D7537" s="94">
        <v>784</v>
      </c>
      <c r="E7537" s="84">
        <v>11.3</v>
      </c>
      <c r="F7537" s="83">
        <f t="shared" ca="1" si="299"/>
        <v>8859.2000000000007</v>
      </c>
    </row>
    <row r="7538" spans="1:6" ht="14.1" customHeight="1" x14ac:dyDescent="0.25">
      <c r="A7538" s="94" t="s">
        <v>6591</v>
      </c>
      <c r="B7538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7538" s="95" t="str">
        <f>IFERROR(VLOOKUP("UD",'Informacion '!P:Q,2,FALSE),"")</f>
        <v>Unidad</v>
      </c>
      <c r="D7538" s="94">
        <v>222</v>
      </c>
      <c r="E7538" s="84">
        <v>2.74</v>
      </c>
      <c r="F7538" s="83">
        <f t="shared" ca="1" si="299"/>
        <v>608.28000000000009</v>
      </c>
    </row>
    <row r="7539" spans="1:6" ht="14.1" customHeight="1" x14ac:dyDescent="0.25">
      <c r="A7539" s="94" t="s">
        <v>1865</v>
      </c>
      <c r="B7539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539" s="95" t="str">
        <f>IFERROR(VLOOKUP("UD",'Informacion '!P:Q,2,FALSE),"")</f>
        <v>Unidad</v>
      </c>
      <c r="D7539" s="94">
        <v>62</v>
      </c>
      <c r="E7539" s="84">
        <v>10.36</v>
      </c>
      <c r="F7539" s="83">
        <f t="shared" ca="1" si="299"/>
        <v>642.31999999999994</v>
      </c>
    </row>
    <row r="7540" spans="1:6" ht="14.1" customHeight="1" x14ac:dyDescent="0.25">
      <c r="A7540" s="94" t="s">
        <v>10483</v>
      </c>
      <c r="B7540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540" s="95" t="str">
        <f>IFERROR(VLOOKUP("UD",'Informacion '!P:Q,2,FALSE),"")</f>
        <v>Unidad</v>
      </c>
      <c r="D7540" s="94">
        <v>2</v>
      </c>
      <c r="E7540" s="84">
        <v>2048.34</v>
      </c>
      <c r="F7540" s="83">
        <f t="shared" ca="1" si="299"/>
        <v>4096.68</v>
      </c>
    </row>
    <row r="7541" spans="1:6" ht="14.1" customHeight="1" x14ac:dyDescent="0.25">
      <c r="A7541" s="94" t="s">
        <v>11575</v>
      </c>
      <c r="B7541" s="82" t="str">
        <f ca="1">IFERROR(INDEX(UNSPSCDes,MATCH(INDIRECT(ADDRESS(ROW(),COLUMN()-1,4)),UNSPSCCode,0)),IF(INDIRECT(ADDRESS(ROW(),COLUMN()-1,4))="12352104","Alcoholes o sus sustitutos",""))</f>
        <v>Alcoholes o sus sustitutos</v>
      </c>
      <c r="C7541" s="95" t="str">
        <f>IFERROR(VLOOKUP("UD",'Informacion '!P:Q,2,FALSE),"")</f>
        <v>Unidad</v>
      </c>
      <c r="D7541" s="94">
        <v>58</v>
      </c>
      <c r="E7541" s="84">
        <v>985.53</v>
      </c>
      <c r="F7541" s="83">
        <f t="shared" ca="1" si="299"/>
        <v>57160.74</v>
      </c>
    </row>
    <row r="7542" spans="1:6" ht="14.1" customHeight="1" x14ac:dyDescent="0.25">
      <c r="A7542" s="94" t="s">
        <v>3593</v>
      </c>
      <c r="B7542" s="82" t="str">
        <f ca="1">IFERROR(INDEX(UNSPSCDes,MATCH(INDIRECT(ADDRESS(ROW(),COLUMN()-1,4)),UNSPSCCode,0)),IF(INDIRECT(ADDRESS(ROW(),COLUMN()-1,4))="51181506","Insulina",""))</f>
        <v>Insulina</v>
      </c>
      <c r="C7542" s="95" t="str">
        <f>IFERROR(VLOOKUP("UD",'Informacion '!P:Q,2,FALSE),"")</f>
        <v>Unidad</v>
      </c>
      <c r="D7542" s="94">
        <v>264</v>
      </c>
      <c r="E7542" s="84">
        <v>20.77</v>
      </c>
      <c r="F7542" s="83">
        <f t="shared" ca="1" si="299"/>
        <v>5483.28</v>
      </c>
    </row>
    <row r="7543" spans="1:6" ht="14.1" customHeight="1" x14ac:dyDescent="0.25">
      <c r="A7543" s="94" t="s">
        <v>4298</v>
      </c>
      <c r="B7543" s="82" t="str">
        <f ca="1">IFERROR(INDEX(UNSPSCDes,MATCH(INDIRECT(ADDRESS(ROW(),COLUMN()-1,4)),UNSPSCCode,0)),IF(INDIRECT(ADDRESS(ROW(),COLUMN()-1,4))="39121436","Electrodos",""))</f>
        <v>Electrodos</v>
      </c>
      <c r="C7543" s="95" t="str">
        <f>IFERROR(VLOOKUP("UD",'Informacion '!P:Q,2,FALSE),"")</f>
        <v>Unidad</v>
      </c>
      <c r="D7543" s="94">
        <v>4</v>
      </c>
      <c r="E7543" s="84">
        <v>1097.5999999999999</v>
      </c>
      <c r="F7543" s="83">
        <f t="shared" ca="1" si="299"/>
        <v>4390.3999999999996</v>
      </c>
    </row>
    <row r="7544" spans="1:6" ht="14.1" customHeight="1" x14ac:dyDescent="0.25">
      <c r="A7544" s="94" t="s">
        <v>16391</v>
      </c>
      <c r="B7544" s="82" t="str">
        <f ca="1">IFERROR(INDEX(UNSPSCDes,MATCH(INDIRECT(ADDRESS(ROW(),COLUMN()-1,4)),UNSPSCCode,0)),IF(INDIRECT(ADDRESS(ROW(),COLUMN()-1,4))="42142615","Accesorios para jeringas",""))</f>
        <v>Accesorios para jeringas</v>
      </c>
      <c r="C7544" s="95" t="str">
        <f>IFERROR(VLOOKUP("UD",'Informacion '!P:Q,2,FALSE),"")</f>
        <v>Unidad</v>
      </c>
      <c r="D7544" s="94">
        <v>6</v>
      </c>
      <c r="E7544" s="84">
        <v>8.9</v>
      </c>
      <c r="F7544" s="83">
        <f t="shared" ref="F7544:F7558" ca="1" si="300">INDIRECT(ADDRESS(ROW(),COLUMN()-2,4))*INDIRECT(ADDRESS(ROW(),COLUMN()-1,4))</f>
        <v>53.400000000000006</v>
      </c>
    </row>
    <row r="7545" spans="1:6" ht="14.1" customHeight="1" x14ac:dyDescent="0.25">
      <c r="A7545" s="94" t="s">
        <v>18707</v>
      </c>
      <c r="B7545" s="82" t="str">
        <f ca="1">IFERROR(INDEX(UNSPSCDes,MATCH(INDIRECT(ADDRESS(ROW(),COLUMN()-1,4)),UNSPSCCode,0)),IF(INDIRECT(ADDRESS(ROW(),COLUMN()-1,4))="40101903","Humidificadores",""))</f>
        <v>Humidificadores</v>
      </c>
      <c r="C7545" s="95" t="str">
        <f>IFERROR(VLOOKUP("UD",'Informacion '!P:Q,2,FALSE),"")</f>
        <v>Unidad</v>
      </c>
      <c r="D7545" s="94">
        <v>57</v>
      </c>
      <c r="E7545" s="84">
        <v>112.1</v>
      </c>
      <c r="F7545" s="83">
        <f t="shared" ca="1" si="300"/>
        <v>6389.7</v>
      </c>
    </row>
    <row r="7546" spans="1:6" ht="14.1" customHeight="1" x14ac:dyDescent="0.25">
      <c r="A7546" s="94" t="s">
        <v>6266</v>
      </c>
      <c r="B7546" s="82" t="str">
        <f ca="1">IFERROR(INDEX(UNSPSCDes,MATCH(INDIRECT(ADDRESS(ROW(),COLUMN()-1,4)),UNSPSCCode,0)),IF(INDIRECT(ADDRESS(ROW(),COLUMN()-1,4))="30151701","Boquillas de bajantes",""))</f>
        <v>Boquillas de bajantes</v>
      </c>
      <c r="C7546" s="95" t="str">
        <f>IFERROR(VLOOKUP("UD",'Informacion '!P:Q,2,FALSE),"")</f>
        <v>Unidad</v>
      </c>
      <c r="D7546" s="94">
        <v>125</v>
      </c>
      <c r="E7546" s="84">
        <v>14.16</v>
      </c>
      <c r="F7546" s="83">
        <f t="shared" ca="1" si="300"/>
        <v>1770</v>
      </c>
    </row>
    <row r="7547" spans="1:6" ht="14.1" customHeight="1" x14ac:dyDescent="0.25">
      <c r="A7547" s="94" t="s">
        <v>9554</v>
      </c>
      <c r="B7547" s="82" t="str">
        <f ca="1">IFERROR(INDEX(UNSPSCDes,MATCH(INDIRECT(ADDRESS(ROW(),COLUMN()-1,4)),UNSPSCCode,0)),IF(INDIRECT(ADDRESS(ROW(),COLUMN()-1,4))="31241501","Lentes",""))</f>
        <v>Lentes</v>
      </c>
      <c r="C7547" s="95" t="str">
        <f>IFERROR(VLOOKUP("UD",'Informacion '!P:Q,2,FALSE),"")</f>
        <v>Unidad</v>
      </c>
      <c r="D7547" s="94">
        <v>2</v>
      </c>
      <c r="E7547" s="84">
        <v>177</v>
      </c>
      <c r="F7547" s="83">
        <f t="shared" ca="1" si="300"/>
        <v>354</v>
      </c>
    </row>
    <row r="7548" spans="1:6" ht="14.1" customHeight="1" x14ac:dyDescent="0.25">
      <c r="A7548" s="94" t="s">
        <v>11857</v>
      </c>
      <c r="B7548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548" s="95" t="str">
        <f>IFERROR(VLOOKUP("UD",'Informacion '!P:Q,2,FALSE),"")</f>
        <v>Unidad</v>
      </c>
      <c r="D7548" s="94">
        <v>98</v>
      </c>
      <c r="E7548" s="84">
        <v>1.81</v>
      </c>
      <c r="F7548" s="83">
        <f t="shared" ca="1" si="300"/>
        <v>177.38</v>
      </c>
    </row>
    <row r="7549" spans="1:6" ht="14.1" customHeight="1" x14ac:dyDescent="0.25">
      <c r="A7549" s="94" t="s">
        <v>435</v>
      </c>
      <c r="B7549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549" s="95" t="str">
        <f>IFERROR(VLOOKUP("UD",'Informacion '!P:Q,2,FALSE),"")</f>
        <v>Unidad</v>
      </c>
      <c r="D7549" s="94">
        <v>23</v>
      </c>
      <c r="E7549" s="84">
        <v>708</v>
      </c>
      <c r="F7549" s="83">
        <f t="shared" ca="1" si="300"/>
        <v>16284</v>
      </c>
    </row>
    <row r="7550" spans="1:6" ht="14.1" customHeight="1" x14ac:dyDescent="0.25">
      <c r="A7550" s="94" t="s">
        <v>2064</v>
      </c>
      <c r="B7550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550" s="95" t="str">
        <f>IFERROR(VLOOKUP("UD",'Informacion '!P:Q,2,FALSE),"")</f>
        <v>Unidad</v>
      </c>
      <c r="D7550" s="94">
        <v>3</v>
      </c>
      <c r="E7550" s="84">
        <v>1805.4</v>
      </c>
      <c r="F7550" s="83">
        <f t="shared" ca="1" si="300"/>
        <v>5416.2000000000007</v>
      </c>
    </row>
    <row r="7551" spans="1:6" ht="14.1" customHeight="1" x14ac:dyDescent="0.25">
      <c r="A7551" s="94" t="s">
        <v>18956</v>
      </c>
      <c r="B7551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551" s="95" t="str">
        <f>IFERROR(VLOOKUP("UD",'Informacion '!P:Q,2,FALSE),"")</f>
        <v>Unidad</v>
      </c>
      <c r="D7551" s="94">
        <v>723</v>
      </c>
      <c r="E7551" s="84">
        <v>3.62</v>
      </c>
      <c r="F7551" s="83">
        <f t="shared" ca="1" si="300"/>
        <v>2617.2600000000002</v>
      </c>
    </row>
    <row r="7552" spans="1:6" ht="14.1" customHeight="1" x14ac:dyDescent="0.25">
      <c r="A7552" s="94" t="s">
        <v>14958</v>
      </c>
      <c r="B7552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7552" s="95" t="str">
        <f>IFERROR(VLOOKUP("UD",'Informacion '!P:Q,2,FALSE),"")</f>
        <v>Unidad</v>
      </c>
      <c r="D7552" s="94">
        <v>590</v>
      </c>
      <c r="E7552" s="84">
        <v>11.8</v>
      </c>
      <c r="F7552" s="83">
        <f t="shared" ca="1" si="300"/>
        <v>6962</v>
      </c>
    </row>
    <row r="7553" spans="1:10" ht="14.1" customHeight="1" x14ac:dyDescent="0.25">
      <c r="A7553" s="94" t="s">
        <v>3216</v>
      </c>
      <c r="B7553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553" s="95" t="str">
        <f>IFERROR(VLOOKUP("UD",'Informacion '!P:Q,2,FALSE),"")</f>
        <v>Unidad</v>
      </c>
      <c r="D7553" s="94">
        <v>4</v>
      </c>
      <c r="E7553" s="84">
        <v>94.4</v>
      </c>
      <c r="F7553" s="83">
        <f t="shared" ca="1" si="300"/>
        <v>377.6</v>
      </c>
    </row>
    <row r="7554" spans="1:10" ht="14.1" customHeight="1" x14ac:dyDescent="0.25">
      <c r="A7554" s="94" t="s">
        <v>4298</v>
      </c>
      <c r="B7554" s="82" t="str">
        <f ca="1">IFERROR(INDEX(UNSPSCDes,MATCH(INDIRECT(ADDRESS(ROW(),COLUMN()-1,4)),UNSPSCCode,0)),IF(INDIRECT(ADDRESS(ROW(),COLUMN()-1,4))="39121436","Electrodos",""))</f>
        <v>Electrodos</v>
      </c>
      <c r="C7554" s="95" t="str">
        <f>IFERROR(VLOOKUP("UD",'Informacion '!P:Q,2,FALSE),"")</f>
        <v>Unidad</v>
      </c>
      <c r="D7554" s="94">
        <v>295</v>
      </c>
      <c r="E7554" s="84">
        <v>94.4</v>
      </c>
      <c r="F7554" s="83">
        <f t="shared" ca="1" si="300"/>
        <v>27848</v>
      </c>
    </row>
    <row r="7555" spans="1:10" ht="14.1" customHeight="1" x14ac:dyDescent="0.25">
      <c r="A7555" s="94" t="s">
        <v>4162</v>
      </c>
      <c r="B7555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7555" s="95" t="str">
        <f>IFERROR(VLOOKUP("UD",'Informacion '!P:Q,2,FALSE),"")</f>
        <v>Unidad</v>
      </c>
      <c r="D7555" s="94">
        <v>4</v>
      </c>
      <c r="E7555" s="84">
        <v>1845.46</v>
      </c>
      <c r="F7555" s="83">
        <f t="shared" ca="1" si="300"/>
        <v>7381.84</v>
      </c>
    </row>
    <row r="7556" spans="1:10" ht="14.1" customHeight="1" x14ac:dyDescent="0.25">
      <c r="A7556" s="94" t="s">
        <v>11071</v>
      </c>
      <c r="B7556" s="82" t="str">
        <f ca="1">IFERROR(INDEX(UNSPSCDes,MATCH(INDIRECT(ADDRESS(ROW(),COLUMN()-1,4)),UNSPSCCode,0)),IF(INDIRECT(ADDRESS(ROW(),COLUMN()-1,4))="42142523","Agujas hipodérmicas",""))</f>
        <v>Agujas hipodérmicas</v>
      </c>
      <c r="C7556" s="95" t="str">
        <f>IFERROR(VLOOKUP("UD",'Informacion '!P:Q,2,FALSE),"")</f>
        <v>Unidad</v>
      </c>
      <c r="D7556" s="94">
        <v>3224</v>
      </c>
      <c r="E7556" s="84">
        <v>1.24</v>
      </c>
      <c r="F7556" s="83">
        <f t="shared" ca="1" si="300"/>
        <v>3997.7599999999998</v>
      </c>
    </row>
    <row r="7557" spans="1:10" ht="14.1" customHeight="1" x14ac:dyDescent="0.25">
      <c r="A7557" s="94" t="s">
        <v>5706</v>
      </c>
      <c r="B7557" s="82" t="str">
        <f ca="1">IFERROR(INDEX(UNSPSCDes,MATCH(INDIRECT(ADDRESS(ROW(),COLUMN()-1,4)),UNSPSCCode,0)),IF(INDIRECT(ADDRESS(ROW(),COLUMN()-1,4))="41104014","Aplicadores de muestras",""))</f>
        <v>Aplicadores de muestras</v>
      </c>
      <c r="C7557" s="95" t="str">
        <f>IFERROR(VLOOKUP("UD",'Informacion '!P:Q,2,FALSE),"")</f>
        <v>Unidad</v>
      </c>
      <c r="D7557" s="94">
        <v>27</v>
      </c>
      <c r="E7557" s="84">
        <v>2.63</v>
      </c>
      <c r="F7557" s="83">
        <f t="shared" ca="1" si="300"/>
        <v>71.009999999999991</v>
      </c>
    </row>
    <row r="7558" spans="1:10" ht="14.1" customHeight="1" x14ac:dyDescent="0.25">
      <c r="A7558" s="94" t="s">
        <v>4298</v>
      </c>
      <c r="B7558" s="82" t="str">
        <f ca="1">IFERROR(INDEX(UNSPSCDes,MATCH(INDIRECT(ADDRESS(ROW(),COLUMN()-1,4)),UNSPSCCode,0)),IF(INDIRECT(ADDRESS(ROW(),COLUMN()-1,4))="39121436","Electrodos",""))</f>
        <v>Electrodos</v>
      </c>
      <c r="C7558" s="95" t="str">
        <f>IFERROR(VLOOKUP("UD",'Informacion '!P:Q,2,FALSE),"")</f>
        <v>Unidad</v>
      </c>
      <c r="D7558" s="94">
        <v>428</v>
      </c>
      <c r="E7558" s="84">
        <v>12.92</v>
      </c>
      <c r="F7558" s="83">
        <f t="shared" ca="1" si="300"/>
        <v>5529.76</v>
      </c>
    </row>
    <row r="7559" spans="1:10" ht="14.1" customHeight="1" x14ac:dyDescent="0.25">
      <c r="E7559" s="96" t="s">
        <v>7213</v>
      </c>
      <c r="F7559" s="87">
        <f ca="1">SUM(Table205[MONTO TOTAL ESTIMADO])</f>
        <v>701104.53999999992</v>
      </c>
      <c r="H7559" s="39" t="str">
        <f>C7473</f>
        <v>Bienes</v>
      </c>
      <c r="I7559" s="39" t="str">
        <f>E7473</f>
        <v>No</v>
      </c>
      <c r="J7559" s="39" t="str">
        <f>D7473</f>
        <v>Comparacion de Precios</v>
      </c>
    </row>
    <row r="7561" spans="1:10" ht="33.950000000000003" customHeight="1" x14ac:dyDescent="0.25">
      <c r="A7561" s="77" t="s">
        <v>17233</v>
      </c>
      <c r="B7561" s="77" t="s">
        <v>4237</v>
      </c>
      <c r="C7561" s="77" t="s">
        <v>4743</v>
      </c>
      <c r="D7561" s="77" t="s">
        <v>9891</v>
      </c>
      <c r="E7561" s="77" t="s">
        <v>3089</v>
      </c>
      <c r="F7561" s="77" t="s">
        <v>18141</v>
      </c>
    </row>
    <row r="7562" spans="1:10" ht="14.1" customHeight="1" x14ac:dyDescent="0.25">
      <c r="A7562" s="79" t="s">
        <v>17618</v>
      </c>
      <c r="B7562" s="79" t="s">
        <v>2182</v>
      </c>
      <c r="C7562" s="79" t="s">
        <v>17215</v>
      </c>
      <c r="D7562" s="79" t="s">
        <v>15249</v>
      </c>
      <c r="E7562" s="79" t="s">
        <v>18247</v>
      </c>
      <c r="F7562" s="79"/>
    </row>
    <row r="7563" spans="1:10" ht="14.1" customHeight="1" x14ac:dyDescent="0.25">
      <c r="A7563" s="2" t="s">
        <v>6643</v>
      </c>
      <c r="B7563" s="80" t="s">
        <v>1046</v>
      </c>
      <c r="C7563" s="90">
        <v>43647</v>
      </c>
      <c r="D7563" s="2" t="s">
        <v>59</v>
      </c>
      <c r="E7563" s="92" t="s">
        <v>20066</v>
      </c>
      <c r="F7563" s="93" t="s">
        <v>5684</v>
      </c>
    </row>
    <row r="7564" spans="1:10" ht="14.1" customHeight="1" x14ac:dyDescent="0.25">
      <c r="A7564" s="1"/>
      <c r="B7564" s="80" t="s">
        <v>10788</v>
      </c>
      <c r="C7564" s="91">
        <f>IF(C7563="","",IF(AND(MONTH(C7563)&gt;=1,MONTH(C7563)&lt;=3),1,IF(AND(MONTH(C7563)&gt;=4,MONTH(C7563)&lt;=6),2,IF(AND(MONTH(C7563)&gt;=7,MONTH(C7563)&lt;=9),3,4))))</f>
        <v>3</v>
      </c>
      <c r="D7564" s="1"/>
      <c r="E7564" s="92" t="s">
        <v>14822</v>
      </c>
      <c r="F7564" s="93"/>
    </row>
    <row r="7565" spans="1:10" ht="14.1" customHeight="1" x14ac:dyDescent="0.25">
      <c r="A7565" s="1"/>
      <c r="B7565" s="80" t="s">
        <v>13758</v>
      </c>
      <c r="C7565" s="90">
        <v>43738</v>
      </c>
      <c r="D7565" s="1"/>
      <c r="E7565" s="92" t="s">
        <v>18636</v>
      </c>
      <c r="F7565" s="93"/>
    </row>
    <row r="7566" spans="1:10" ht="14.1" customHeight="1" x14ac:dyDescent="0.25">
      <c r="A7566" s="1"/>
      <c r="B7566" s="80" t="s">
        <v>10788</v>
      </c>
      <c r="C7566" s="91">
        <f>IF(C7565="","",IF(AND(MONTH(C7565)&gt;=1,MONTH(C7565)&lt;=3),1,IF(AND(MONTH(C7565)&gt;=4,MONTH(C7565)&lt;=6),2,IF(AND(MONTH(C7565)&gt;=7,MONTH(C7565)&lt;=9),3,4))))</f>
        <v>3</v>
      </c>
      <c r="D7566" s="1"/>
      <c r="E7566" s="92" t="s">
        <v>15990</v>
      </c>
      <c r="F7566" s="93"/>
    </row>
    <row r="7568" spans="1:10" ht="14.1" customHeight="1" x14ac:dyDescent="0.25">
      <c r="A7568" s="85" t="s">
        <v>15474</v>
      </c>
      <c r="B7568" s="85" t="s">
        <v>5027</v>
      </c>
      <c r="C7568" s="85" t="s">
        <v>17461</v>
      </c>
      <c r="D7568" s="85" t="s">
        <v>3935</v>
      </c>
      <c r="E7568" s="85" t="s">
        <v>10722</v>
      </c>
      <c r="F7568" s="85" t="s">
        <v>18237</v>
      </c>
    </row>
    <row r="7569" spans="1:6" ht="14.1" customHeight="1" x14ac:dyDescent="0.25">
      <c r="A7569" s="94" t="s">
        <v>2064</v>
      </c>
      <c r="B7569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569" s="95" t="str">
        <f>IFERROR(VLOOKUP("UD",'Informacion '!P:Q,2,FALSE),"")</f>
        <v>Unidad</v>
      </c>
      <c r="D7569" s="94">
        <v>5</v>
      </c>
      <c r="E7569" s="84">
        <v>826.44</v>
      </c>
      <c r="F7569" s="83">
        <f t="shared" ref="F7569:F7600" ca="1" si="301">INDIRECT(ADDRESS(ROW(),COLUMN()-2,4))*INDIRECT(ADDRESS(ROW(),COLUMN()-1,4))</f>
        <v>4132.2000000000007</v>
      </c>
    </row>
    <row r="7570" spans="1:6" ht="14.1" customHeight="1" x14ac:dyDescent="0.25">
      <c r="A7570" s="94" t="s">
        <v>6266</v>
      </c>
      <c r="B7570" s="82" t="str">
        <f ca="1">IFERROR(INDEX(UNSPSCDes,MATCH(INDIRECT(ADDRESS(ROW(),COLUMN()-1,4)),UNSPSCCode,0)),IF(INDIRECT(ADDRESS(ROW(),COLUMN()-1,4))="30151701","Boquillas de bajantes",""))</f>
        <v>Boquillas de bajantes</v>
      </c>
      <c r="C7570" s="95" t="str">
        <f>IFERROR(VLOOKUP("UD",'Informacion '!P:Q,2,FALSE),"")</f>
        <v>Unidad</v>
      </c>
      <c r="D7570" s="94">
        <v>92</v>
      </c>
      <c r="E7570" s="84">
        <v>6.45</v>
      </c>
      <c r="F7570" s="83">
        <f t="shared" ca="1" si="301"/>
        <v>593.4</v>
      </c>
    </row>
    <row r="7571" spans="1:6" ht="14.1" customHeight="1" x14ac:dyDescent="0.25">
      <c r="A7571" s="94" t="s">
        <v>3216</v>
      </c>
      <c r="B7571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571" s="95" t="str">
        <f>IFERROR(VLOOKUP("UD",'Informacion '!P:Q,2,FALSE),"")</f>
        <v>Unidad</v>
      </c>
      <c r="D7571" s="94">
        <v>8</v>
      </c>
      <c r="E7571" s="84">
        <v>17.8</v>
      </c>
      <c r="F7571" s="83">
        <f t="shared" ca="1" si="301"/>
        <v>142.4</v>
      </c>
    </row>
    <row r="7572" spans="1:6" ht="14.1" customHeight="1" x14ac:dyDescent="0.25">
      <c r="A7572" s="94" t="s">
        <v>4298</v>
      </c>
      <c r="B7572" s="82" t="str">
        <f ca="1">IFERROR(INDEX(UNSPSCDes,MATCH(INDIRECT(ADDRESS(ROW(),COLUMN()-1,4)),UNSPSCCode,0)),IF(INDIRECT(ADDRESS(ROW(),COLUMN()-1,4))="39121436","Electrodos",""))</f>
        <v>Electrodos</v>
      </c>
      <c r="C7572" s="95" t="str">
        <f>IFERROR(VLOOKUP("UD",'Informacion '!P:Q,2,FALSE),"")</f>
        <v>Unidad</v>
      </c>
      <c r="D7572" s="94">
        <v>67</v>
      </c>
      <c r="E7572" s="84">
        <v>5.95</v>
      </c>
      <c r="F7572" s="83">
        <f t="shared" ca="1" si="301"/>
        <v>398.65000000000003</v>
      </c>
    </row>
    <row r="7573" spans="1:6" ht="14.1" customHeight="1" x14ac:dyDescent="0.25">
      <c r="A7573" s="94" t="s">
        <v>4298</v>
      </c>
      <c r="B7573" s="82" t="str">
        <f ca="1">IFERROR(INDEX(UNSPSCDes,MATCH(INDIRECT(ADDRESS(ROW(),COLUMN()-1,4)),UNSPSCCode,0)),IF(INDIRECT(ADDRESS(ROW(),COLUMN()-1,4))="39121436","Electrodos",""))</f>
        <v>Electrodos</v>
      </c>
      <c r="C7573" s="95" t="str">
        <f>IFERROR(VLOOKUP("UD",'Informacion '!P:Q,2,FALSE),"")</f>
        <v>Unidad</v>
      </c>
      <c r="D7573" s="94">
        <v>5</v>
      </c>
      <c r="E7573" s="84">
        <v>462.09</v>
      </c>
      <c r="F7573" s="83">
        <f t="shared" ca="1" si="301"/>
        <v>2310.4499999999998</v>
      </c>
    </row>
    <row r="7574" spans="1:6" ht="14.1" customHeight="1" x14ac:dyDescent="0.25">
      <c r="A7574" s="94" t="s">
        <v>4298</v>
      </c>
      <c r="B7574" s="82" t="str">
        <f ca="1">IFERROR(INDEX(UNSPSCDes,MATCH(INDIRECT(ADDRESS(ROW(),COLUMN()-1,4)),UNSPSCCode,0)),IF(INDIRECT(ADDRESS(ROW(),COLUMN()-1,4))="39121436","Electrodos",""))</f>
        <v>Electrodos</v>
      </c>
      <c r="C7574" s="95" t="str">
        <f>IFERROR(VLOOKUP("UD",'Informacion '!P:Q,2,FALSE),"")</f>
        <v>Unidad</v>
      </c>
      <c r="D7574" s="94">
        <v>5</v>
      </c>
      <c r="E7574" s="84">
        <v>462.09</v>
      </c>
      <c r="F7574" s="83">
        <f t="shared" ca="1" si="301"/>
        <v>2310.4499999999998</v>
      </c>
    </row>
    <row r="7575" spans="1:6" ht="14.1" customHeight="1" x14ac:dyDescent="0.25">
      <c r="A7575" s="94" t="s">
        <v>4298</v>
      </c>
      <c r="B7575" s="82" t="str">
        <f ca="1">IFERROR(INDEX(UNSPSCDes,MATCH(INDIRECT(ADDRESS(ROW(),COLUMN()-1,4)),UNSPSCCode,0)),IF(INDIRECT(ADDRESS(ROW(),COLUMN()-1,4))="39121436","Electrodos",""))</f>
        <v>Electrodos</v>
      </c>
      <c r="C7575" s="95" t="str">
        <f>IFERROR(VLOOKUP("UD",'Informacion '!P:Q,2,FALSE),"")</f>
        <v>Unidad</v>
      </c>
      <c r="D7575" s="94">
        <v>5</v>
      </c>
      <c r="E7575" s="84">
        <v>462.09</v>
      </c>
      <c r="F7575" s="83">
        <f t="shared" ca="1" si="301"/>
        <v>2310.4499999999998</v>
      </c>
    </row>
    <row r="7576" spans="1:6" ht="14.1" customHeight="1" x14ac:dyDescent="0.25">
      <c r="A7576" s="94" t="s">
        <v>4298</v>
      </c>
      <c r="B7576" s="82" t="str">
        <f ca="1">IFERROR(INDEX(UNSPSCDes,MATCH(INDIRECT(ADDRESS(ROW(),COLUMN()-1,4)),UNSPSCCode,0)),IF(INDIRECT(ADDRESS(ROW(),COLUMN()-1,4))="39121436","Electrodos",""))</f>
        <v>Electrodos</v>
      </c>
      <c r="C7576" s="95" t="str">
        <f>IFERROR(VLOOKUP("UD",'Informacion '!P:Q,2,FALSE),"")</f>
        <v>Unidad</v>
      </c>
      <c r="D7576" s="94">
        <v>5</v>
      </c>
      <c r="E7576" s="84">
        <v>432.36</v>
      </c>
      <c r="F7576" s="83">
        <f t="shared" ca="1" si="301"/>
        <v>2161.8000000000002</v>
      </c>
    </row>
    <row r="7577" spans="1:6" ht="14.1" customHeight="1" x14ac:dyDescent="0.25">
      <c r="A7577" s="94" t="s">
        <v>7220</v>
      </c>
      <c r="B7577" s="82" t="str">
        <f ca="1">IFERROR(INDEX(UNSPSCDes,MATCH(INDIRECT(ADDRESS(ROW(),COLUMN()-1,4)),UNSPSCCode,0)),IF(INDIRECT(ADDRESS(ROW(),COLUMN()-1,4))="42142502","Agujas para anestesia",""))</f>
        <v>Agujas para anestesia</v>
      </c>
      <c r="C7577" s="95" t="str">
        <f>IFERROR(VLOOKUP("UD",'Informacion '!P:Q,2,FALSE),"")</f>
        <v>Unidad</v>
      </c>
      <c r="D7577" s="94">
        <v>89</v>
      </c>
      <c r="E7577" s="84">
        <v>70.8</v>
      </c>
      <c r="F7577" s="83">
        <f t="shared" ca="1" si="301"/>
        <v>6301.2</v>
      </c>
    </row>
    <row r="7578" spans="1:6" ht="14.1" customHeight="1" x14ac:dyDescent="0.25">
      <c r="A7578" s="94" t="s">
        <v>502</v>
      </c>
      <c r="B7578" s="82" t="str">
        <f ca="1">IFERROR(INDEX(UNSPSCDes,MATCH(INDIRECT(ADDRESS(ROW(),COLUMN()-1,4)),UNSPSCCode,0)),IF(INDIRECT(ADDRESS(ROW(),COLUMN()-1,4))="12161503","Kits de reactivos",""))</f>
        <v>Kits de reactivos</v>
      </c>
      <c r="C7578" s="95" t="str">
        <f>IFERROR(VLOOKUP("UD",'Informacion '!P:Q,2,FALSE),"")</f>
        <v>Unidad</v>
      </c>
      <c r="D7578" s="94">
        <v>11</v>
      </c>
      <c r="E7578" s="84">
        <v>2244.91</v>
      </c>
      <c r="F7578" s="83">
        <f t="shared" ca="1" si="301"/>
        <v>24694.01</v>
      </c>
    </row>
    <row r="7579" spans="1:6" ht="14.1" customHeight="1" x14ac:dyDescent="0.25">
      <c r="A7579" s="94" t="s">
        <v>19048</v>
      </c>
      <c r="B7579" s="82" t="str">
        <f ca="1">IFERROR(INDEX(UNSPSCDes,MATCH(INDIRECT(ADDRESS(ROW(),COLUMN()-1,4)),UNSPSCCode,0)),IF(INDIRECT(ADDRESS(ROW(),COLUMN()-1,4))="23191202","Cuchillas de mezcladora",""))</f>
        <v>Cuchillas de mezcladora</v>
      </c>
      <c r="C7579" s="95" t="str">
        <f>IFERROR(VLOOKUP("UD",'Informacion '!P:Q,2,FALSE),"")</f>
        <v>Unidad</v>
      </c>
      <c r="D7579" s="94">
        <v>108</v>
      </c>
      <c r="E7579" s="84">
        <v>115.64</v>
      </c>
      <c r="F7579" s="83">
        <f t="shared" ca="1" si="301"/>
        <v>12489.12</v>
      </c>
    </row>
    <row r="7580" spans="1:6" ht="14.1" customHeight="1" x14ac:dyDescent="0.25">
      <c r="A7580" s="94" t="s">
        <v>19048</v>
      </c>
      <c r="B7580" s="82" t="str">
        <f ca="1">IFERROR(INDEX(UNSPSCDes,MATCH(INDIRECT(ADDRESS(ROW(),COLUMN()-1,4)),UNSPSCCode,0)),IF(INDIRECT(ADDRESS(ROW(),COLUMN()-1,4))="23191202","Cuchillas de mezcladora",""))</f>
        <v>Cuchillas de mezcladora</v>
      </c>
      <c r="C7580" s="95" t="str">
        <f>IFERROR(VLOOKUP("UD",'Informacion '!P:Q,2,FALSE),"")</f>
        <v>Unidad</v>
      </c>
      <c r="D7580" s="94">
        <v>41</v>
      </c>
      <c r="E7580" s="84">
        <v>113.42</v>
      </c>
      <c r="F7580" s="83">
        <f t="shared" ca="1" si="301"/>
        <v>4650.22</v>
      </c>
    </row>
    <row r="7581" spans="1:6" ht="14.1" customHeight="1" x14ac:dyDescent="0.25">
      <c r="A7581" s="94" t="s">
        <v>11857</v>
      </c>
      <c r="B7581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581" s="95" t="str">
        <f>IFERROR(VLOOKUP("UD",'Informacion '!P:Q,2,FALSE),"")</f>
        <v>Unidad</v>
      </c>
      <c r="D7581" s="94">
        <v>128</v>
      </c>
      <c r="E7581" s="84">
        <v>1.7</v>
      </c>
      <c r="F7581" s="83">
        <f t="shared" ca="1" si="301"/>
        <v>217.6</v>
      </c>
    </row>
    <row r="7582" spans="1:6" ht="14.1" customHeight="1" x14ac:dyDescent="0.25">
      <c r="A7582" s="94" t="s">
        <v>4829</v>
      </c>
      <c r="B7582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582" s="95" t="str">
        <f>IFERROR(VLOOKUP("UD",'Informacion '!P:Q,2,FALSE),"")</f>
        <v>Unidad</v>
      </c>
      <c r="D7582" s="94">
        <v>108</v>
      </c>
      <c r="E7582" s="84">
        <v>11.13</v>
      </c>
      <c r="F7582" s="83">
        <f t="shared" ca="1" si="301"/>
        <v>1202.0400000000002</v>
      </c>
    </row>
    <row r="7583" spans="1:6" ht="14.1" customHeight="1" x14ac:dyDescent="0.25">
      <c r="A7583" s="94" t="s">
        <v>4829</v>
      </c>
      <c r="B7583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583" s="95" t="str">
        <f>IFERROR(VLOOKUP("UD",'Informacion '!P:Q,2,FALSE),"")</f>
        <v>Unidad</v>
      </c>
      <c r="D7583" s="94">
        <v>4</v>
      </c>
      <c r="E7583" s="84">
        <v>637.29999999999995</v>
      </c>
      <c r="F7583" s="83">
        <f t="shared" ca="1" si="301"/>
        <v>2549.1999999999998</v>
      </c>
    </row>
    <row r="7584" spans="1:6" ht="14.1" customHeight="1" x14ac:dyDescent="0.25">
      <c r="A7584" s="94" t="s">
        <v>7030</v>
      </c>
      <c r="B7584" s="82" t="str">
        <f ca="1">IFERROR(INDEX(UNSPSCDes,MATCH(INDIRECT(ADDRESS(ROW(),COLUMN()-1,4)),UNSPSCCode,0)),IF(INDIRECT(ADDRESS(ROW(),COLUMN()-1,4))="42272220","Accesorios para ventiladores",""))</f>
        <v>Accesorios para ventiladores</v>
      </c>
      <c r="C7584" s="95" t="str">
        <f>IFERROR(VLOOKUP("UD",'Informacion '!P:Q,2,FALSE),"")</f>
        <v>Unidad</v>
      </c>
      <c r="D7584" s="94">
        <v>43</v>
      </c>
      <c r="E7584" s="84">
        <v>351.05</v>
      </c>
      <c r="F7584" s="83">
        <f t="shared" ca="1" si="301"/>
        <v>15095.15</v>
      </c>
    </row>
    <row r="7585" spans="1:6" ht="14.1" customHeight="1" x14ac:dyDescent="0.25">
      <c r="A7585" s="94" t="s">
        <v>7820</v>
      </c>
      <c r="B7585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585" s="95" t="str">
        <f>IFERROR(VLOOKUP("UD",'Informacion '!P:Q,2,FALSE),"")</f>
        <v>Unidad</v>
      </c>
      <c r="D7585" s="94">
        <v>76</v>
      </c>
      <c r="E7585" s="84">
        <v>127.44</v>
      </c>
      <c r="F7585" s="83">
        <f t="shared" ca="1" si="301"/>
        <v>9685.44</v>
      </c>
    </row>
    <row r="7586" spans="1:6" ht="14.1" customHeight="1" x14ac:dyDescent="0.25">
      <c r="A7586" s="94" t="s">
        <v>5706</v>
      </c>
      <c r="B7586" s="82" t="str">
        <f ca="1">IFERROR(INDEX(UNSPSCDes,MATCH(INDIRECT(ADDRESS(ROW(),COLUMN()-1,4)),UNSPSCCode,0)),IF(INDIRECT(ADDRESS(ROW(),COLUMN()-1,4))="41104014","Aplicadores de muestras",""))</f>
        <v>Aplicadores de muestras</v>
      </c>
      <c r="C7586" s="95" t="str">
        <f>IFERROR(VLOOKUP("UD",'Informacion '!P:Q,2,FALSE),"")</f>
        <v>Unidad</v>
      </c>
      <c r="D7586" s="94">
        <v>1790</v>
      </c>
      <c r="E7586" s="84">
        <v>0.45</v>
      </c>
      <c r="F7586" s="83">
        <f t="shared" ca="1" si="301"/>
        <v>805.5</v>
      </c>
    </row>
    <row r="7587" spans="1:6" ht="14.1" customHeight="1" x14ac:dyDescent="0.25">
      <c r="A7587" s="94" t="s">
        <v>5112</v>
      </c>
      <c r="B7587" s="82" t="str">
        <f ca="1">IFERROR(INDEX(UNSPSCDes,MATCH(INDIRECT(ADDRESS(ROW(),COLUMN()-1,4)),UNSPSCCode,0)),IF(INDIRECT(ADDRESS(ROW(),COLUMN()-1,4))="42294101","Lazos de tracción o bucles de tracción o productos relacionados para uso quirúrgico",""))</f>
        <v>Lazos de tracción o bucles de tracción o productos relacionados para uso quirúrgico</v>
      </c>
      <c r="C7587" s="95" t="str">
        <f>IFERROR(VLOOKUP("UD",'Informacion '!P:Q,2,FALSE),"")</f>
        <v>Unidad</v>
      </c>
      <c r="D7587" s="94">
        <v>3</v>
      </c>
      <c r="E7587" s="84">
        <v>548.69000000000005</v>
      </c>
      <c r="F7587" s="83">
        <f t="shared" ca="1" si="301"/>
        <v>1646.0700000000002</v>
      </c>
    </row>
    <row r="7588" spans="1:6" ht="14.1" customHeight="1" x14ac:dyDescent="0.25">
      <c r="A7588" s="94" t="s">
        <v>12725</v>
      </c>
      <c r="B7588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7588" s="95" t="str">
        <f>IFERROR(VLOOKUP("UD",'Informacion '!P:Q,2,FALSE),"")</f>
        <v>Unidad</v>
      </c>
      <c r="D7588" s="94">
        <v>53</v>
      </c>
      <c r="E7588" s="84">
        <v>317.95</v>
      </c>
      <c r="F7588" s="83">
        <f t="shared" ca="1" si="301"/>
        <v>16851.349999999999</v>
      </c>
    </row>
    <row r="7589" spans="1:6" ht="14.1" customHeight="1" x14ac:dyDescent="0.25">
      <c r="A7589" s="94" t="s">
        <v>9743</v>
      </c>
      <c r="B7589" s="82" t="str">
        <f ca="1">IFERROR(INDEX(UNSPSCDes,MATCH(INDIRECT(ADDRESS(ROW(),COLUMN()-1,4)),UNSPSCCode,0)),IF(INDIRECT(ADDRESS(ROW(),COLUMN()-1,4))="42312109","Anillos de bolsa para ostomía",""))</f>
        <v>Anillos de bolsa para ostomía</v>
      </c>
      <c r="C7589" s="95" t="str">
        <f>IFERROR(VLOOKUP("UD",'Informacion '!P:Q,2,FALSE),"")</f>
        <v>Unidad</v>
      </c>
      <c r="D7589" s="94">
        <v>45</v>
      </c>
      <c r="E7589" s="84">
        <v>317.20999999999998</v>
      </c>
      <c r="F7589" s="83">
        <f t="shared" ca="1" si="301"/>
        <v>14274.449999999999</v>
      </c>
    </row>
    <row r="7590" spans="1:6" ht="14.1" customHeight="1" x14ac:dyDescent="0.25">
      <c r="A7590" s="94" t="s">
        <v>12107</v>
      </c>
      <c r="B7590" s="82" t="str">
        <f ca="1">IFERROR(INDEX(UNSPSCDes,MATCH(INDIRECT(ADDRESS(ROW(),COLUMN()-1,4)),UNSPSCCode,0)),IF(INDIRECT(ADDRESS(ROW(),COLUMN()-1,4))="27112105","Pinzas",""))</f>
        <v>Pinzas</v>
      </c>
      <c r="C7590" s="95" t="str">
        <f>IFERROR(VLOOKUP("UD",'Informacion '!P:Q,2,FALSE),"")</f>
        <v>Unidad</v>
      </c>
      <c r="D7590" s="94">
        <v>3</v>
      </c>
      <c r="E7590" s="84">
        <v>95.71</v>
      </c>
      <c r="F7590" s="83">
        <f t="shared" ca="1" si="301"/>
        <v>287.13</v>
      </c>
    </row>
    <row r="7591" spans="1:6" ht="14.1" customHeight="1" x14ac:dyDescent="0.25">
      <c r="A7591" s="94" t="s">
        <v>3228</v>
      </c>
      <c r="B7591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591" s="95" t="str">
        <f>IFERROR(VLOOKUP("UD",'Informacion '!P:Q,2,FALSE),"")</f>
        <v>Unidad</v>
      </c>
      <c r="D7591" s="94">
        <v>4</v>
      </c>
      <c r="E7591" s="84">
        <v>19900.7</v>
      </c>
      <c r="F7591" s="83">
        <f t="shared" ca="1" si="301"/>
        <v>79602.8</v>
      </c>
    </row>
    <row r="7592" spans="1:6" ht="14.1" customHeight="1" x14ac:dyDescent="0.25">
      <c r="A7592" s="94" t="s">
        <v>3228</v>
      </c>
      <c r="B7592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592" s="95" t="str">
        <f>IFERROR(VLOOKUP("UD",'Informacion '!P:Q,2,FALSE),"")</f>
        <v>Unidad</v>
      </c>
      <c r="D7592" s="94">
        <v>3</v>
      </c>
      <c r="E7592" s="84">
        <v>19900.7</v>
      </c>
      <c r="F7592" s="83">
        <f t="shared" ca="1" si="301"/>
        <v>59702.100000000006</v>
      </c>
    </row>
    <row r="7593" spans="1:6" ht="14.1" customHeight="1" x14ac:dyDescent="0.25">
      <c r="A7593" s="94" t="s">
        <v>2946</v>
      </c>
      <c r="B7593" s="82" t="str">
        <f ca="1">IFERROR(INDEX(UNSPSCDes,MATCH(INDIRECT(ADDRESS(ROW(),COLUMN()-1,4)),UNSPSCCode,0)),IF(INDIRECT(ADDRESS(ROW(),COLUMN()-1,4))="14121812","Papel de fotografía",""))</f>
        <v>Papel de fotografía</v>
      </c>
      <c r="C7593" s="95" t="str">
        <f>IFERROR(VLOOKUP("UD",'Informacion '!P:Q,2,FALSE),"")</f>
        <v>Unidad</v>
      </c>
      <c r="D7593" s="94">
        <v>7</v>
      </c>
      <c r="E7593" s="84">
        <v>9333.02</v>
      </c>
      <c r="F7593" s="83">
        <f t="shared" ca="1" si="301"/>
        <v>65331.14</v>
      </c>
    </row>
    <row r="7594" spans="1:6" ht="14.1" customHeight="1" x14ac:dyDescent="0.25">
      <c r="A7594" s="94" t="s">
        <v>1279</v>
      </c>
      <c r="B7594" s="82" t="str">
        <f ca="1">IFERROR(INDEX(UNSPSCDes,MATCH(INDIRECT(ADDRESS(ROW(),COLUMN()-1,4)),UNSPSCCode,0)),IF(INDIRECT(ADDRESS(ROW(),COLUMN()-1,4))="42231701","Tubos nasogástricos",""))</f>
        <v>Tubos nasogástricos</v>
      </c>
      <c r="C7594" s="95" t="str">
        <f>IFERROR(VLOOKUP("UD",'Informacion '!P:Q,2,FALSE),"")</f>
        <v>Unidad</v>
      </c>
      <c r="D7594" s="94">
        <v>9</v>
      </c>
      <c r="E7594" s="84">
        <v>9.7899999999999991</v>
      </c>
      <c r="F7594" s="83">
        <f t="shared" ca="1" si="301"/>
        <v>88.109999999999985</v>
      </c>
    </row>
    <row r="7595" spans="1:6" ht="14.1" customHeight="1" x14ac:dyDescent="0.25">
      <c r="A7595" s="94" t="s">
        <v>8919</v>
      </c>
      <c r="B7595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7595" s="95" t="str">
        <f>IFERROR(VLOOKUP("UD",'Informacion '!P:Q,2,FALSE),"")</f>
        <v>Unidad</v>
      </c>
      <c r="D7595" s="94">
        <v>633</v>
      </c>
      <c r="E7595" s="84">
        <v>0.57999999999999996</v>
      </c>
      <c r="F7595" s="83">
        <f t="shared" ca="1" si="301"/>
        <v>367.14</v>
      </c>
    </row>
    <row r="7596" spans="1:6" ht="14.1" customHeight="1" x14ac:dyDescent="0.25">
      <c r="A7596" s="94" t="s">
        <v>10483</v>
      </c>
      <c r="B7596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596" s="95" t="str">
        <f>IFERROR(VLOOKUP("UD",'Informacion '!P:Q,2,FALSE),"")</f>
        <v>Unidad</v>
      </c>
      <c r="D7596" s="94">
        <v>20</v>
      </c>
      <c r="E7596" s="84">
        <v>290</v>
      </c>
      <c r="F7596" s="83">
        <f t="shared" ca="1" si="301"/>
        <v>5800</v>
      </c>
    </row>
    <row r="7597" spans="1:6" ht="14.1" customHeight="1" x14ac:dyDescent="0.25">
      <c r="A7597" s="94" t="s">
        <v>5212</v>
      </c>
      <c r="B7597" s="82" t="str">
        <f ca="1">IFERROR(INDEX(UNSPSCDes,MATCH(INDIRECT(ADDRESS(ROW(),COLUMN()-1,4)),UNSPSCCode,0)),IF(INDIRECT(ADDRESS(ROW(),COLUMN()-1,4))="23153035","Placa",""))</f>
        <v>Placa</v>
      </c>
      <c r="C7597" s="95" t="str">
        <f>IFERROR(VLOOKUP("UD",'Informacion '!P:Q,2,FALSE),"")</f>
        <v>Unidad</v>
      </c>
      <c r="D7597" s="94">
        <v>4</v>
      </c>
      <c r="E7597" s="84">
        <v>152.96</v>
      </c>
      <c r="F7597" s="83">
        <f t="shared" ca="1" si="301"/>
        <v>611.84</v>
      </c>
    </row>
    <row r="7598" spans="1:6" ht="14.1" customHeight="1" x14ac:dyDescent="0.25">
      <c r="A7598" s="94" t="s">
        <v>7820</v>
      </c>
      <c r="B759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598" s="95" t="str">
        <f>IFERROR(VLOOKUP("UD",'Informacion '!P:Q,2,FALSE),"")</f>
        <v>Unidad</v>
      </c>
      <c r="D7598" s="94">
        <v>41</v>
      </c>
      <c r="E7598" s="84">
        <v>129.80000000000001</v>
      </c>
      <c r="F7598" s="83">
        <f t="shared" ca="1" si="301"/>
        <v>5321.8</v>
      </c>
    </row>
    <row r="7599" spans="1:6" ht="14.1" customHeight="1" x14ac:dyDescent="0.25">
      <c r="A7599" s="94" t="s">
        <v>4306</v>
      </c>
      <c r="B7599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599" s="95" t="str">
        <f>IFERROR(VLOOKUP("UD",'Informacion '!P:Q,2,FALSE),"")</f>
        <v>Unidad</v>
      </c>
      <c r="D7599" s="94">
        <v>4</v>
      </c>
      <c r="E7599" s="84">
        <v>940</v>
      </c>
      <c r="F7599" s="83">
        <f t="shared" ca="1" si="301"/>
        <v>3760</v>
      </c>
    </row>
    <row r="7600" spans="1:6" ht="14.1" customHeight="1" x14ac:dyDescent="0.25">
      <c r="A7600" s="94" t="s">
        <v>4298</v>
      </c>
      <c r="B7600" s="82" t="str">
        <f ca="1">IFERROR(INDEX(UNSPSCDes,MATCH(INDIRECT(ADDRESS(ROW(),COLUMN()-1,4)),UNSPSCCode,0)),IF(INDIRECT(ADDRESS(ROW(),COLUMN()-1,4))="39121436","Electrodos",""))</f>
        <v>Electrodos</v>
      </c>
      <c r="C7600" s="95" t="str">
        <f>IFERROR(VLOOKUP("UD",'Informacion '!P:Q,2,FALSE),"")</f>
        <v>Unidad</v>
      </c>
      <c r="D7600" s="94">
        <v>6</v>
      </c>
      <c r="E7600" s="84">
        <v>64.989999999999995</v>
      </c>
      <c r="F7600" s="83">
        <f t="shared" ca="1" si="301"/>
        <v>389.93999999999994</v>
      </c>
    </row>
    <row r="7601" spans="1:6" ht="14.1" customHeight="1" x14ac:dyDescent="0.25">
      <c r="A7601" s="94" t="s">
        <v>16391</v>
      </c>
      <c r="B7601" s="82" t="str">
        <f ca="1">IFERROR(INDEX(UNSPSCDes,MATCH(INDIRECT(ADDRESS(ROW(),COLUMN()-1,4)),UNSPSCCode,0)),IF(INDIRECT(ADDRESS(ROW(),COLUMN()-1,4))="42142615","Accesorios para jeringas",""))</f>
        <v>Accesorios para jeringas</v>
      </c>
      <c r="C7601" s="95" t="str">
        <f>IFERROR(VLOOKUP("UD",'Informacion '!P:Q,2,FALSE),"")</f>
        <v>Unidad</v>
      </c>
      <c r="D7601" s="94">
        <v>174</v>
      </c>
      <c r="E7601" s="84">
        <v>1.43</v>
      </c>
      <c r="F7601" s="83">
        <f t="shared" ref="F7601:F7632" ca="1" si="302">INDIRECT(ADDRESS(ROW(),COLUMN()-2,4))*INDIRECT(ADDRESS(ROW(),COLUMN()-1,4))</f>
        <v>248.82</v>
      </c>
    </row>
    <row r="7602" spans="1:6" ht="14.1" customHeight="1" x14ac:dyDescent="0.25">
      <c r="A7602" s="94" t="s">
        <v>4298</v>
      </c>
      <c r="B7602" s="82" t="str">
        <f ca="1">IFERROR(INDEX(UNSPSCDes,MATCH(INDIRECT(ADDRESS(ROW(),COLUMN()-1,4)),UNSPSCCode,0)),IF(INDIRECT(ADDRESS(ROW(),COLUMN()-1,4))="39121436","Electrodos",""))</f>
        <v>Electrodos</v>
      </c>
      <c r="C7602" s="95" t="str">
        <f>IFERROR(VLOOKUP("UD",'Informacion '!P:Q,2,FALSE),"")</f>
        <v>Unidad</v>
      </c>
      <c r="D7602" s="94">
        <v>191</v>
      </c>
      <c r="E7602" s="84">
        <v>5.19</v>
      </c>
      <c r="F7602" s="83">
        <f t="shared" ca="1" si="302"/>
        <v>991.29000000000008</v>
      </c>
    </row>
    <row r="7603" spans="1:6" ht="14.1" customHeight="1" x14ac:dyDescent="0.25">
      <c r="A7603" s="94" t="s">
        <v>435</v>
      </c>
      <c r="B760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603" s="95" t="str">
        <f>IFERROR(VLOOKUP("UD",'Informacion '!P:Q,2,FALSE),"")</f>
        <v>Unidad</v>
      </c>
      <c r="D7603" s="94">
        <v>49</v>
      </c>
      <c r="E7603" s="84">
        <v>17.940000000000001</v>
      </c>
      <c r="F7603" s="83">
        <f t="shared" ca="1" si="302"/>
        <v>879.06000000000006</v>
      </c>
    </row>
    <row r="7604" spans="1:6" ht="14.1" customHeight="1" x14ac:dyDescent="0.25">
      <c r="A7604" s="94" t="s">
        <v>16379</v>
      </c>
      <c r="B7604" s="82" t="str">
        <f ca="1">IFERROR(INDEX(UNSPSCDes,MATCH(INDIRECT(ADDRESS(ROW(),COLUMN()-1,4)),UNSPSCCode,0)),IF(INDIRECT(ADDRESS(ROW(),COLUMN()-1,4))="53131608","Jabones",""))</f>
        <v>Jabones</v>
      </c>
      <c r="C7604" s="95" t="str">
        <f>IFERROR(VLOOKUP("UD",'Informacion '!P:Q,2,FALSE),"")</f>
        <v>Unidad</v>
      </c>
      <c r="D7604" s="94">
        <v>17</v>
      </c>
      <c r="E7604" s="84">
        <v>1986.63</v>
      </c>
      <c r="F7604" s="83">
        <f t="shared" ca="1" si="302"/>
        <v>33772.71</v>
      </c>
    </row>
    <row r="7605" spans="1:6" ht="14.1" customHeight="1" x14ac:dyDescent="0.25">
      <c r="A7605" s="94" t="s">
        <v>5557</v>
      </c>
      <c r="B7605" s="82" t="str">
        <f ca="1">IFERROR(INDEX(UNSPSCDes,MATCH(INDIRECT(ADDRESS(ROW(),COLUMN()-1,4)),UNSPSCCode,0)),IF(INDIRECT(ADDRESS(ROW(),COLUMN()-1,4))="51211615","Azul de metileno",""))</f>
        <v>Azul de metileno</v>
      </c>
      <c r="C7605" s="95" t="str">
        <f>IFERROR(VLOOKUP("UD",'Informacion '!P:Q,2,FALSE),"")</f>
        <v>Unidad</v>
      </c>
      <c r="D7605" s="94">
        <v>4</v>
      </c>
      <c r="E7605" s="84">
        <v>21.53</v>
      </c>
      <c r="F7605" s="83">
        <f t="shared" ca="1" si="302"/>
        <v>86.12</v>
      </c>
    </row>
    <row r="7606" spans="1:6" ht="14.1" customHeight="1" x14ac:dyDescent="0.25">
      <c r="A7606" s="94" t="s">
        <v>18840</v>
      </c>
      <c r="B7606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7606" s="95" t="str">
        <f>IFERROR(VLOOKUP("UD",'Informacion '!P:Q,2,FALSE),"")</f>
        <v>Unidad</v>
      </c>
      <c r="D7606" s="94">
        <v>36</v>
      </c>
      <c r="E7606" s="84">
        <v>135.94</v>
      </c>
      <c r="F7606" s="83">
        <f t="shared" ca="1" si="302"/>
        <v>4893.84</v>
      </c>
    </row>
    <row r="7607" spans="1:6" ht="14.1" customHeight="1" x14ac:dyDescent="0.25">
      <c r="A7607" s="94" t="s">
        <v>2726</v>
      </c>
      <c r="B7607" s="82" t="str">
        <f ca="1">IFERROR(INDEX(UNSPSCDes,MATCH(INDIRECT(ADDRESS(ROW(),COLUMN()-1,4)),UNSPSCCode,0)),IF(INDIRECT(ADDRESS(ROW(),COLUMN()-1,4))="24112602","Frascos",""))</f>
        <v>Frascos</v>
      </c>
      <c r="C7607" s="95" t="str">
        <f>IFERROR(VLOOKUP("UD",'Informacion '!P:Q,2,FALSE),"")</f>
        <v>Unidad</v>
      </c>
      <c r="D7607" s="94">
        <v>188</v>
      </c>
      <c r="E7607" s="84">
        <v>8.74</v>
      </c>
      <c r="F7607" s="83">
        <f t="shared" ca="1" si="302"/>
        <v>1643.1200000000001</v>
      </c>
    </row>
    <row r="7608" spans="1:6" ht="14.1" customHeight="1" x14ac:dyDescent="0.25">
      <c r="A7608" s="94" t="s">
        <v>2726</v>
      </c>
      <c r="B7608" s="82" t="str">
        <f ca="1">IFERROR(INDEX(UNSPSCDes,MATCH(INDIRECT(ADDRESS(ROW(),COLUMN()-1,4)),UNSPSCCode,0)),IF(INDIRECT(ADDRESS(ROW(),COLUMN()-1,4))="24112602","Frascos",""))</f>
        <v>Frascos</v>
      </c>
      <c r="C7608" s="95" t="str">
        <f>IFERROR(VLOOKUP("UD",'Informacion '!P:Q,2,FALSE),"")</f>
        <v>Unidad</v>
      </c>
      <c r="D7608" s="94">
        <v>9</v>
      </c>
      <c r="E7608" s="84">
        <v>323.01</v>
      </c>
      <c r="F7608" s="83">
        <f t="shared" ca="1" si="302"/>
        <v>2907.09</v>
      </c>
    </row>
    <row r="7609" spans="1:6" ht="14.1" customHeight="1" x14ac:dyDescent="0.25">
      <c r="A7609" s="94" t="s">
        <v>2726</v>
      </c>
      <c r="B7609" s="82" t="str">
        <f ca="1">IFERROR(INDEX(UNSPSCDes,MATCH(INDIRECT(ADDRESS(ROW(),COLUMN()-1,4)),UNSPSCCode,0)),IF(INDIRECT(ADDRESS(ROW(),COLUMN()-1,4))="24112602","Frascos",""))</f>
        <v>Frascos</v>
      </c>
      <c r="C7609" s="95" t="str">
        <f>IFERROR(VLOOKUP("UD",'Informacion '!P:Q,2,FALSE),"")</f>
        <v>Unidad</v>
      </c>
      <c r="D7609" s="94">
        <v>23</v>
      </c>
      <c r="E7609" s="84">
        <v>44.63</v>
      </c>
      <c r="F7609" s="83">
        <f t="shared" ca="1" si="302"/>
        <v>1026.49</v>
      </c>
    </row>
    <row r="7610" spans="1:6" ht="14.1" customHeight="1" x14ac:dyDescent="0.25">
      <c r="A7610" s="94" t="s">
        <v>9323</v>
      </c>
      <c r="B7610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610" s="95" t="str">
        <f>IFERROR(VLOOKUP("UD",'Informacion '!P:Q,2,FALSE),"")</f>
        <v>Unidad</v>
      </c>
      <c r="D7610" s="94">
        <v>4</v>
      </c>
      <c r="E7610" s="84">
        <v>2478</v>
      </c>
      <c r="F7610" s="83">
        <f t="shared" ca="1" si="302"/>
        <v>9912</v>
      </c>
    </row>
    <row r="7611" spans="1:6" ht="14.1" customHeight="1" x14ac:dyDescent="0.25">
      <c r="A7611" s="94" t="s">
        <v>9323</v>
      </c>
      <c r="B7611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611" s="95" t="str">
        <f>IFERROR(VLOOKUP("UD",'Informacion '!P:Q,2,FALSE),"")</f>
        <v>Unidad</v>
      </c>
      <c r="D7611" s="94">
        <v>4</v>
      </c>
      <c r="E7611" s="84">
        <v>1382.29</v>
      </c>
      <c r="F7611" s="83">
        <f t="shared" ca="1" si="302"/>
        <v>5529.16</v>
      </c>
    </row>
    <row r="7612" spans="1:6" ht="14.1" customHeight="1" x14ac:dyDescent="0.25">
      <c r="A7612" s="94" t="s">
        <v>3552</v>
      </c>
      <c r="B761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612" s="95" t="str">
        <f>IFERROR(VLOOKUP("UD",'Informacion '!P:Q,2,FALSE),"")</f>
        <v>Unidad</v>
      </c>
      <c r="D7612" s="94">
        <v>1053</v>
      </c>
      <c r="E7612" s="84">
        <v>2.13</v>
      </c>
      <c r="F7612" s="83">
        <f t="shared" ca="1" si="302"/>
        <v>2242.89</v>
      </c>
    </row>
    <row r="7613" spans="1:6" ht="14.1" customHeight="1" x14ac:dyDescent="0.25">
      <c r="A7613" s="94" t="s">
        <v>8400</v>
      </c>
      <c r="B7613" s="82" t="str">
        <f ca="1">IFERROR(INDEX(UNSPSCDes,MATCH(INDIRECT(ADDRESS(ROW(),COLUMN()-1,4)),UNSPSCCode,0)),IF(INDIRECT(ADDRESS(ROW(),COLUMN()-1,4))="12171703","Tintas",""))</f>
        <v>Tintas</v>
      </c>
      <c r="C7613" s="95" t="str">
        <f>IFERROR(VLOOKUP("UD",'Informacion '!P:Q,2,FALSE),"")</f>
        <v>Unidad</v>
      </c>
      <c r="D7613" s="94">
        <v>3</v>
      </c>
      <c r="E7613" s="84">
        <v>346.92</v>
      </c>
      <c r="F7613" s="83">
        <f t="shared" ca="1" si="302"/>
        <v>1040.76</v>
      </c>
    </row>
    <row r="7614" spans="1:6" ht="14.1" customHeight="1" x14ac:dyDescent="0.25">
      <c r="A7614" s="94" t="s">
        <v>5557</v>
      </c>
      <c r="B7614" s="82" t="str">
        <f ca="1">IFERROR(INDEX(UNSPSCDes,MATCH(INDIRECT(ADDRESS(ROW(),COLUMN()-1,4)),UNSPSCCode,0)),IF(INDIRECT(ADDRESS(ROW(),COLUMN()-1,4))="51211615","Azul de metileno",""))</f>
        <v>Azul de metileno</v>
      </c>
      <c r="C7614" s="95" t="str">
        <f>IFERROR(VLOOKUP("UD",'Informacion '!P:Q,2,FALSE),"")</f>
        <v>Unidad</v>
      </c>
      <c r="D7614" s="94">
        <v>3</v>
      </c>
      <c r="E7614" s="84">
        <v>3374.8</v>
      </c>
      <c r="F7614" s="83">
        <f t="shared" ca="1" si="302"/>
        <v>10124.400000000001</v>
      </c>
    </row>
    <row r="7615" spans="1:6" ht="14.1" customHeight="1" x14ac:dyDescent="0.25">
      <c r="A7615" s="94" t="s">
        <v>7820</v>
      </c>
      <c r="B7615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615" s="95" t="str">
        <f>IFERROR(VLOOKUP("UD",'Informacion '!P:Q,2,FALSE),"")</f>
        <v>Unidad</v>
      </c>
      <c r="D7615" s="94">
        <v>5</v>
      </c>
      <c r="E7615" s="84">
        <v>174.14</v>
      </c>
      <c r="F7615" s="83">
        <f t="shared" ca="1" si="302"/>
        <v>870.69999999999993</v>
      </c>
    </row>
    <row r="7616" spans="1:6" ht="14.1" customHeight="1" x14ac:dyDescent="0.25">
      <c r="A7616" s="94" t="s">
        <v>12824</v>
      </c>
      <c r="B761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616" s="95" t="str">
        <f>IFERROR(VLOOKUP("UD",'Informacion '!P:Q,2,FALSE),"")</f>
        <v>Unidad</v>
      </c>
      <c r="D7616" s="94">
        <v>4</v>
      </c>
      <c r="E7616" s="84">
        <v>730.89</v>
      </c>
      <c r="F7616" s="83">
        <f t="shared" ca="1" si="302"/>
        <v>2923.56</v>
      </c>
    </row>
    <row r="7617" spans="1:6" ht="14.1" customHeight="1" x14ac:dyDescent="0.25">
      <c r="A7617" s="94" t="s">
        <v>5706</v>
      </c>
      <c r="B7617" s="82" t="str">
        <f ca="1">IFERROR(INDEX(UNSPSCDes,MATCH(INDIRECT(ADDRESS(ROW(),COLUMN()-1,4)),UNSPSCCode,0)),IF(INDIRECT(ADDRESS(ROW(),COLUMN()-1,4))="41104014","Aplicadores de muestras",""))</f>
        <v>Aplicadores de muestras</v>
      </c>
      <c r="C7617" s="95" t="str">
        <f>IFERROR(VLOOKUP("UD",'Informacion '!P:Q,2,FALSE),"")</f>
        <v>Unidad</v>
      </c>
      <c r="D7617" s="94">
        <v>877</v>
      </c>
      <c r="E7617" s="84">
        <v>7.45</v>
      </c>
      <c r="F7617" s="83">
        <f t="shared" ca="1" si="302"/>
        <v>6533.6500000000005</v>
      </c>
    </row>
    <row r="7618" spans="1:6" ht="14.1" customHeight="1" x14ac:dyDescent="0.25">
      <c r="A7618" s="94" t="s">
        <v>6591</v>
      </c>
      <c r="B7618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7618" s="95" t="str">
        <f>IFERROR(VLOOKUP("UD",'Informacion '!P:Q,2,FALSE),"")</f>
        <v>Unidad</v>
      </c>
      <c r="D7618" s="94">
        <v>108</v>
      </c>
      <c r="E7618" s="84">
        <v>2.74</v>
      </c>
      <c r="F7618" s="83">
        <f t="shared" ca="1" si="302"/>
        <v>295.92</v>
      </c>
    </row>
    <row r="7619" spans="1:6" ht="14.1" customHeight="1" x14ac:dyDescent="0.25">
      <c r="A7619" s="94" t="s">
        <v>5965</v>
      </c>
      <c r="B7619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7619" s="95" t="str">
        <f>IFERROR(VLOOKUP("UD",'Informacion '!P:Q,2,FALSE),"")</f>
        <v>Unidad</v>
      </c>
      <c r="D7619" s="94">
        <v>22</v>
      </c>
      <c r="E7619" s="84">
        <v>612.13</v>
      </c>
      <c r="F7619" s="83">
        <f t="shared" ca="1" si="302"/>
        <v>13466.86</v>
      </c>
    </row>
    <row r="7620" spans="1:6" ht="14.1" customHeight="1" x14ac:dyDescent="0.25">
      <c r="A7620" s="94" t="s">
        <v>6081</v>
      </c>
      <c r="B7620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7620" s="95" t="str">
        <f>IFERROR(VLOOKUP("UD",'Informacion '!P:Q,2,FALSE),"")</f>
        <v>Unidad</v>
      </c>
      <c r="D7620" s="94">
        <v>536</v>
      </c>
      <c r="E7620" s="84">
        <v>26.73</v>
      </c>
      <c r="F7620" s="83">
        <f t="shared" ca="1" si="302"/>
        <v>14327.28</v>
      </c>
    </row>
    <row r="7621" spans="1:6" ht="14.1" customHeight="1" x14ac:dyDescent="0.25">
      <c r="A7621" s="94" t="s">
        <v>16391</v>
      </c>
      <c r="B7621" s="82" t="str">
        <f ca="1">IFERROR(INDEX(UNSPSCDes,MATCH(INDIRECT(ADDRESS(ROW(),COLUMN()-1,4)),UNSPSCCode,0)),IF(INDIRECT(ADDRESS(ROW(),COLUMN()-1,4))="42142615","Accesorios para jeringas",""))</f>
        <v>Accesorios para jeringas</v>
      </c>
      <c r="C7621" s="95" t="str">
        <f>IFERROR(VLOOKUP("UD",'Informacion '!P:Q,2,FALSE),"")</f>
        <v>Unidad</v>
      </c>
      <c r="D7621" s="94">
        <v>52</v>
      </c>
      <c r="E7621" s="84">
        <v>8.68</v>
      </c>
      <c r="F7621" s="83">
        <f t="shared" ca="1" si="302"/>
        <v>451.36</v>
      </c>
    </row>
    <row r="7622" spans="1:6" ht="14.1" customHeight="1" x14ac:dyDescent="0.25">
      <c r="A7622" s="94" t="s">
        <v>2591</v>
      </c>
      <c r="B7622" s="82" t="str">
        <f ca="1">IFERROR(INDEX(UNSPSCDes,MATCH(INDIRECT(ADDRESS(ROW(),COLUMN()-1,4)),UNSPSCCode,0)),IF(INDIRECT(ADDRESS(ROW(),COLUMN()-1,4))="42142504","Agujas para biopsia",""))</f>
        <v>Agujas para biopsia</v>
      </c>
      <c r="C7622" s="95" t="str">
        <f>IFERROR(VLOOKUP("UD",'Informacion '!P:Q,2,FALSE),"")</f>
        <v>Unidad</v>
      </c>
      <c r="D7622" s="94">
        <v>70</v>
      </c>
      <c r="E7622" s="84">
        <v>1545.07</v>
      </c>
      <c r="F7622" s="83">
        <f t="shared" ca="1" si="302"/>
        <v>108154.9</v>
      </c>
    </row>
    <row r="7623" spans="1:6" ht="14.1" customHeight="1" x14ac:dyDescent="0.25">
      <c r="A7623" s="94" t="s">
        <v>3685</v>
      </c>
      <c r="B7623" s="82" t="str">
        <f ca="1">IFERROR(INDEX(UNSPSCDes,MATCH(INDIRECT(ADDRESS(ROW(),COLUMN()-1,4)),UNSPSCCode,0)),IF(INDIRECT(ADDRESS(ROW(),COLUMN()-1,4))="12191601","Solventes de alcohol",""))</f>
        <v>Solventes de alcohol</v>
      </c>
      <c r="C7623" s="95" t="str">
        <f>IFERROR(VLOOKUP("UD",'Informacion '!P:Q,2,FALSE),"")</f>
        <v>Unidad</v>
      </c>
      <c r="D7623" s="94">
        <v>4</v>
      </c>
      <c r="E7623" s="84">
        <v>2029.75</v>
      </c>
      <c r="F7623" s="83">
        <f t="shared" ca="1" si="302"/>
        <v>8119</v>
      </c>
    </row>
    <row r="7624" spans="1:6" ht="14.1" customHeight="1" x14ac:dyDescent="0.25">
      <c r="A7624" s="94" t="s">
        <v>16391</v>
      </c>
      <c r="B7624" s="82" t="str">
        <f ca="1">IFERROR(INDEX(UNSPSCDes,MATCH(INDIRECT(ADDRESS(ROW(),COLUMN()-1,4)),UNSPSCCode,0)),IF(INDIRECT(ADDRESS(ROW(),COLUMN()-1,4))="42142615","Accesorios para jeringas",""))</f>
        <v>Accesorios para jeringas</v>
      </c>
      <c r="C7624" s="95" t="str">
        <f>IFERROR(VLOOKUP("UD",'Informacion '!P:Q,2,FALSE),"")</f>
        <v>Unidad</v>
      </c>
      <c r="D7624" s="94">
        <v>10240</v>
      </c>
      <c r="E7624" s="84">
        <v>2.15</v>
      </c>
      <c r="F7624" s="83">
        <f t="shared" ca="1" si="302"/>
        <v>22016</v>
      </c>
    </row>
    <row r="7625" spans="1:6" ht="14.1" customHeight="1" x14ac:dyDescent="0.25">
      <c r="A7625" s="94" t="s">
        <v>16391</v>
      </c>
      <c r="B7625" s="82" t="str">
        <f ca="1">IFERROR(INDEX(UNSPSCDes,MATCH(INDIRECT(ADDRESS(ROW(),COLUMN()-1,4)),UNSPSCCode,0)),IF(INDIRECT(ADDRESS(ROW(),COLUMN()-1,4))="42142615","Accesorios para jeringas",""))</f>
        <v>Accesorios para jeringas</v>
      </c>
      <c r="C7625" s="95" t="str">
        <f>IFERROR(VLOOKUP("UD",'Informacion '!P:Q,2,FALSE),"")</f>
        <v>Unidad</v>
      </c>
      <c r="D7625" s="94">
        <v>3187</v>
      </c>
      <c r="E7625" s="84">
        <v>3.26</v>
      </c>
      <c r="F7625" s="83">
        <f t="shared" ca="1" si="302"/>
        <v>10389.619999999999</v>
      </c>
    </row>
    <row r="7626" spans="1:6" ht="14.1" customHeight="1" x14ac:dyDescent="0.25">
      <c r="A7626" s="94" t="s">
        <v>3169</v>
      </c>
      <c r="B7626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7626" s="95" t="str">
        <f>IFERROR(VLOOKUP("UD",'Informacion '!P:Q,2,FALSE),"")</f>
        <v>Unidad</v>
      </c>
      <c r="D7626" s="94">
        <v>800</v>
      </c>
      <c r="E7626" s="84">
        <v>11.3</v>
      </c>
      <c r="F7626" s="83">
        <f t="shared" ca="1" si="302"/>
        <v>9040</v>
      </c>
    </row>
    <row r="7627" spans="1:6" ht="14.1" customHeight="1" x14ac:dyDescent="0.25">
      <c r="A7627" s="94" t="s">
        <v>6591</v>
      </c>
      <c r="B7627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7627" s="95" t="str">
        <f>IFERROR(VLOOKUP("UD",'Informacion '!P:Q,2,FALSE),"")</f>
        <v>Unidad</v>
      </c>
      <c r="D7627" s="94">
        <v>227</v>
      </c>
      <c r="E7627" s="84">
        <v>2.74</v>
      </c>
      <c r="F7627" s="83">
        <f t="shared" ca="1" si="302"/>
        <v>621.98</v>
      </c>
    </row>
    <row r="7628" spans="1:6" ht="14.1" customHeight="1" x14ac:dyDescent="0.25">
      <c r="A7628" s="94" t="s">
        <v>1865</v>
      </c>
      <c r="B7628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628" s="95" t="str">
        <f>IFERROR(VLOOKUP("UD",'Informacion '!P:Q,2,FALSE),"")</f>
        <v>Unidad</v>
      </c>
      <c r="D7628" s="94">
        <v>64</v>
      </c>
      <c r="E7628" s="84">
        <v>10.36</v>
      </c>
      <c r="F7628" s="83">
        <f t="shared" ca="1" si="302"/>
        <v>663.04</v>
      </c>
    </row>
    <row r="7629" spans="1:6" ht="14.1" customHeight="1" x14ac:dyDescent="0.25">
      <c r="A7629" s="94" t="s">
        <v>10483</v>
      </c>
      <c r="B7629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629" s="95" t="str">
        <f>IFERROR(VLOOKUP("UD",'Informacion '!P:Q,2,FALSE),"")</f>
        <v>Unidad</v>
      </c>
      <c r="D7629" s="94">
        <v>3</v>
      </c>
      <c r="E7629" s="84">
        <v>2048.34</v>
      </c>
      <c r="F7629" s="83">
        <f t="shared" ca="1" si="302"/>
        <v>6145.02</v>
      </c>
    </row>
    <row r="7630" spans="1:6" ht="14.1" customHeight="1" x14ac:dyDescent="0.25">
      <c r="A7630" s="94" t="s">
        <v>11575</v>
      </c>
      <c r="B7630" s="82" t="str">
        <f ca="1">IFERROR(INDEX(UNSPSCDes,MATCH(INDIRECT(ADDRESS(ROW(),COLUMN()-1,4)),UNSPSCCode,0)),IF(INDIRECT(ADDRESS(ROW(),COLUMN()-1,4))="12352104","Alcoholes o sus sustitutos",""))</f>
        <v>Alcoholes o sus sustitutos</v>
      </c>
      <c r="C7630" s="95" t="str">
        <f>IFERROR(VLOOKUP("UD",'Informacion '!P:Q,2,FALSE),"")</f>
        <v>Unidad</v>
      </c>
      <c r="D7630" s="94">
        <v>60</v>
      </c>
      <c r="E7630" s="84">
        <v>985.53</v>
      </c>
      <c r="F7630" s="83">
        <f t="shared" ca="1" si="302"/>
        <v>59131.799999999996</v>
      </c>
    </row>
    <row r="7631" spans="1:6" ht="14.1" customHeight="1" x14ac:dyDescent="0.25">
      <c r="A7631" s="94" t="s">
        <v>3593</v>
      </c>
      <c r="B7631" s="82" t="str">
        <f ca="1">IFERROR(INDEX(UNSPSCDes,MATCH(INDIRECT(ADDRESS(ROW(),COLUMN()-1,4)),UNSPSCCode,0)),IF(INDIRECT(ADDRESS(ROW(),COLUMN()-1,4))="51181506","Insulina",""))</f>
        <v>Insulina</v>
      </c>
      <c r="C7631" s="95" t="str">
        <f>IFERROR(VLOOKUP("UD",'Informacion '!P:Q,2,FALSE),"")</f>
        <v>Unidad</v>
      </c>
      <c r="D7631" s="94">
        <v>270</v>
      </c>
      <c r="E7631" s="84">
        <v>20.77</v>
      </c>
      <c r="F7631" s="83">
        <f t="shared" ca="1" si="302"/>
        <v>5607.9</v>
      </c>
    </row>
    <row r="7632" spans="1:6" ht="14.1" customHeight="1" x14ac:dyDescent="0.25">
      <c r="A7632" s="94" t="s">
        <v>4298</v>
      </c>
      <c r="B7632" s="82" t="str">
        <f ca="1">IFERROR(INDEX(UNSPSCDes,MATCH(INDIRECT(ADDRESS(ROW(),COLUMN()-1,4)),UNSPSCCode,0)),IF(INDIRECT(ADDRESS(ROW(),COLUMN()-1,4))="39121436","Electrodos",""))</f>
        <v>Electrodos</v>
      </c>
      <c r="C7632" s="95" t="str">
        <f>IFERROR(VLOOKUP("UD",'Informacion '!P:Q,2,FALSE),"")</f>
        <v>Unidad</v>
      </c>
      <c r="D7632" s="94">
        <v>5</v>
      </c>
      <c r="E7632" s="84">
        <v>1097.5999999999999</v>
      </c>
      <c r="F7632" s="83">
        <f t="shared" ca="1" si="302"/>
        <v>5488</v>
      </c>
    </row>
    <row r="7633" spans="1:10" ht="14.1" customHeight="1" x14ac:dyDescent="0.25">
      <c r="A7633" s="94" t="s">
        <v>16391</v>
      </c>
      <c r="B7633" s="82" t="str">
        <f ca="1">IFERROR(INDEX(UNSPSCDes,MATCH(INDIRECT(ADDRESS(ROW(),COLUMN()-1,4)),UNSPSCCode,0)),IF(INDIRECT(ADDRESS(ROW(),COLUMN()-1,4))="42142615","Accesorios para jeringas",""))</f>
        <v>Accesorios para jeringas</v>
      </c>
      <c r="C7633" s="95" t="str">
        <f>IFERROR(VLOOKUP("UD",'Informacion '!P:Q,2,FALSE),"")</f>
        <v>Unidad</v>
      </c>
      <c r="D7633" s="94">
        <v>8</v>
      </c>
      <c r="E7633" s="84">
        <v>8.59</v>
      </c>
      <c r="F7633" s="83">
        <f t="shared" ref="F7633:F7647" ca="1" si="303">INDIRECT(ADDRESS(ROW(),COLUMN()-2,4))*INDIRECT(ADDRESS(ROW(),COLUMN()-1,4))</f>
        <v>68.72</v>
      </c>
    </row>
    <row r="7634" spans="1:10" ht="14.1" customHeight="1" x14ac:dyDescent="0.25">
      <c r="A7634" s="94" t="s">
        <v>18707</v>
      </c>
      <c r="B7634" s="82" t="str">
        <f ca="1">IFERROR(INDEX(UNSPSCDes,MATCH(INDIRECT(ADDRESS(ROW(),COLUMN()-1,4)),UNSPSCCode,0)),IF(INDIRECT(ADDRESS(ROW(),COLUMN()-1,4))="40101903","Humidificadores",""))</f>
        <v>Humidificadores</v>
      </c>
      <c r="C7634" s="95" t="str">
        <f>IFERROR(VLOOKUP("UD",'Informacion '!P:Q,2,FALSE),"")</f>
        <v>Unidad</v>
      </c>
      <c r="D7634" s="94">
        <v>59</v>
      </c>
      <c r="E7634" s="84">
        <v>112.1</v>
      </c>
      <c r="F7634" s="83">
        <f t="shared" ca="1" si="303"/>
        <v>6613.9</v>
      </c>
    </row>
    <row r="7635" spans="1:10" ht="14.1" customHeight="1" x14ac:dyDescent="0.25">
      <c r="A7635" s="94" t="s">
        <v>6266</v>
      </c>
      <c r="B7635" s="82" t="str">
        <f ca="1">IFERROR(INDEX(UNSPSCDes,MATCH(INDIRECT(ADDRESS(ROW(),COLUMN()-1,4)),UNSPSCCode,0)),IF(INDIRECT(ADDRESS(ROW(),COLUMN()-1,4))="30151701","Boquillas de bajantes",""))</f>
        <v>Boquillas de bajantes</v>
      </c>
      <c r="C7635" s="95" t="str">
        <f>IFERROR(VLOOKUP("UD",'Informacion '!P:Q,2,FALSE),"")</f>
        <v>Unidad</v>
      </c>
      <c r="D7635" s="94">
        <v>128</v>
      </c>
      <c r="E7635" s="84">
        <v>14.16</v>
      </c>
      <c r="F7635" s="83">
        <f t="shared" ca="1" si="303"/>
        <v>1812.48</v>
      </c>
    </row>
    <row r="7636" spans="1:10" ht="14.1" customHeight="1" x14ac:dyDescent="0.25">
      <c r="A7636" s="94" t="s">
        <v>9554</v>
      </c>
      <c r="B7636" s="82" t="str">
        <f ca="1">IFERROR(INDEX(UNSPSCDes,MATCH(INDIRECT(ADDRESS(ROW(),COLUMN()-1,4)),UNSPSCCode,0)),IF(INDIRECT(ADDRESS(ROW(),COLUMN()-1,4))="31241501","Lentes",""))</f>
        <v>Lentes</v>
      </c>
      <c r="C7636" s="95" t="str">
        <f>IFERROR(VLOOKUP("UD",'Informacion '!P:Q,2,FALSE),"")</f>
        <v>Unidad</v>
      </c>
      <c r="D7636" s="94">
        <v>3</v>
      </c>
      <c r="E7636" s="84">
        <v>177</v>
      </c>
      <c r="F7636" s="83">
        <f t="shared" ca="1" si="303"/>
        <v>531</v>
      </c>
    </row>
    <row r="7637" spans="1:10" ht="14.1" customHeight="1" x14ac:dyDescent="0.25">
      <c r="A7637" s="94" t="s">
        <v>11857</v>
      </c>
      <c r="B7637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637" s="95" t="str">
        <f>IFERROR(VLOOKUP("UD",'Informacion '!P:Q,2,FALSE),"")</f>
        <v>Unidad</v>
      </c>
      <c r="D7637" s="94">
        <v>100</v>
      </c>
      <c r="E7637" s="84">
        <v>1.81</v>
      </c>
      <c r="F7637" s="83">
        <f t="shared" ca="1" si="303"/>
        <v>181</v>
      </c>
    </row>
    <row r="7638" spans="1:10" ht="14.1" customHeight="1" x14ac:dyDescent="0.25">
      <c r="A7638" s="94" t="s">
        <v>435</v>
      </c>
      <c r="B7638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638" s="95" t="str">
        <f>IFERROR(VLOOKUP("UD",'Informacion '!P:Q,2,FALSE),"")</f>
        <v>Unidad</v>
      </c>
      <c r="D7638" s="94">
        <v>24</v>
      </c>
      <c r="E7638" s="84">
        <v>708</v>
      </c>
      <c r="F7638" s="83">
        <f t="shared" ca="1" si="303"/>
        <v>16992</v>
      </c>
    </row>
    <row r="7639" spans="1:10" ht="14.1" customHeight="1" x14ac:dyDescent="0.25">
      <c r="A7639" s="94" t="s">
        <v>2064</v>
      </c>
      <c r="B7639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639" s="95" t="str">
        <f>IFERROR(VLOOKUP("UD",'Informacion '!P:Q,2,FALSE),"")</f>
        <v>Unidad</v>
      </c>
      <c r="D7639" s="94">
        <v>4</v>
      </c>
      <c r="E7639" s="84">
        <v>1805.4</v>
      </c>
      <c r="F7639" s="83">
        <f t="shared" ca="1" si="303"/>
        <v>7221.6</v>
      </c>
    </row>
    <row r="7640" spans="1:10" ht="14.1" customHeight="1" x14ac:dyDescent="0.25">
      <c r="A7640" s="94" t="s">
        <v>18956</v>
      </c>
      <c r="B7640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640" s="95" t="str">
        <f>IFERROR(VLOOKUP("UD",'Informacion '!P:Q,2,FALSE),"")</f>
        <v>Unidad</v>
      </c>
      <c r="D7640" s="94">
        <v>738</v>
      </c>
      <c r="E7640" s="84">
        <v>3.62</v>
      </c>
      <c r="F7640" s="83">
        <f t="shared" ca="1" si="303"/>
        <v>2671.56</v>
      </c>
    </row>
    <row r="7641" spans="1:10" ht="14.1" customHeight="1" x14ac:dyDescent="0.25">
      <c r="A7641" s="94" t="s">
        <v>14958</v>
      </c>
      <c r="B7641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7641" s="95" t="str">
        <f>IFERROR(VLOOKUP("UD",'Informacion '!P:Q,2,FALSE),"")</f>
        <v>Unidad</v>
      </c>
      <c r="D7641" s="94">
        <v>602</v>
      </c>
      <c r="E7641" s="84">
        <v>11.8</v>
      </c>
      <c r="F7641" s="83">
        <f t="shared" ca="1" si="303"/>
        <v>7103.6</v>
      </c>
    </row>
    <row r="7642" spans="1:10" ht="14.1" customHeight="1" x14ac:dyDescent="0.25">
      <c r="A7642" s="94" t="s">
        <v>3216</v>
      </c>
      <c r="B7642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642" s="95" t="str">
        <f>IFERROR(VLOOKUP("UD",'Informacion '!P:Q,2,FALSE),"")</f>
        <v>Unidad</v>
      </c>
      <c r="D7642" s="94">
        <v>6</v>
      </c>
      <c r="E7642" s="84">
        <v>94.4</v>
      </c>
      <c r="F7642" s="83">
        <f t="shared" ca="1" si="303"/>
        <v>566.40000000000009</v>
      </c>
    </row>
    <row r="7643" spans="1:10" ht="14.1" customHeight="1" x14ac:dyDescent="0.25">
      <c r="A7643" s="94" t="s">
        <v>4298</v>
      </c>
      <c r="B7643" s="82" t="str">
        <f ca="1">IFERROR(INDEX(UNSPSCDes,MATCH(INDIRECT(ADDRESS(ROW(),COLUMN()-1,4)),UNSPSCCode,0)),IF(INDIRECT(ADDRESS(ROW(),COLUMN()-1,4))="39121436","Electrodos",""))</f>
        <v>Electrodos</v>
      </c>
      <c r="C7643" s="95" t="str">
        <f>IFERROR(VLOOKUP("UD",'Informacion '!P:Q,2,FALSE),"")</f>
        <v>Unidad</v>
      </c>
      <c r="D7643" s="94">
        <v>301</v>
      </c>
      <c r="E7643" s="84">
        <v>12.92</v>
      </c>
      <c r="F7643" s="83">
        <f t="shared" ca="1" si="303"/>
        <v>3888.92</v>
      </c>
    </row>
    <row r="7644" spans="1:10" ht="14.1" customHeight="1" x14ac:dyDescent="0.25">
      <c r="A7644" s="94" t="s">
        <v>4162</v>
      </c>
      <c r="B7644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7644" s="95" t="str">
        <f>IFERROR(VLOOKUP("UD",'Informacion '!P:Q,2,FALSE),"")</f>
        <v>Unidad</v>
      </c>
      <c r="D7644" s="94">
        <v>5</v>
      </c>
      <c r="E7644" s="84">
        <v>1845.46</v>
      </c>
      <c r="F7644" s="83">
        <f t="shared" ca="1" si="303"/>
        <v>9227.2999999999993</v>
      </c>
    </row>
    <row r="7645" spans="1:10" ht="14.1" customHeight="1" x14ac:dyDescent="0.25">
      <c r="A7645" s="94" t="s">
        <v>11071</v>
      </c>
      <c r="B7645" s="82" t="str">
        <f ca="1">IFERROR(INDEX(UNSPSCDes,MATCH(INDIRECT(ADDRESS(ROW(),COLUMN()-1,4)),UNSPSCCode,0)),IF(INDIRECT(ADDRESS(ROW(),COLUMN()-1,4))="42142523","Agujas hipodérmicas",""))</f>
        <v>Agujas hipodérmicas</v>
      </c>
      <c r="C7645" s="95" t="str">
        <f>IFERROR(VLOOKUP("UD",'Informacion '!P:Q,2,FALSE),"")</f>
        <v>Unidad</v>
      </c>
      <c r="D7645" s="94">
        <v>3355</v>
      </c>
      <c r="E7645" s="84">
        <v>1.24</v>
      </c>
      <c r="F7645" s="83">
        <f t="shared" ca="1" si="303"/>
        <v>4160.2</v>
      </c>
    </row>
    <row r="7646" spans="1:10" ht="14.1" customHeight="1" x14ac:dyDescent="0.25">
      <c r="A7646" s="94" t="s">
        <v>5706</v>
      </c>
      <c r="B7646" s="82" t="str">
        <f ca="1">IFERROR(INDEX(UNSPSCDes,MATCH(INDIRECT(ADDRESS(ROW(),COLUMN()-1,4)),UNSPSCCode,0)),IF(INDIRECT(ADDRESS(ROW(),COLUMN()-1,4))="41104014","Aplicadores de muestras",""))</f>
        <v>Aplicadores de muestras</v>
      </c>
      <c r="C7646" s="95" t="str">
        <f>IFERROR(VLOOKUP("UD",'Informacion '!P:Q,2,FALSE),"")</f>
        <v>Unidad</v>
      </c>
      <c r="D7646" s="94">
        <v>28</v>
      </c>
      <c r="E7646" s="84">
        <v>2.63</v>
      </c>
      <c r="F7646" s="83">
        <f t="shared" ca="1" si="303"/>
        <v>73.64</v>
      </c>
    </row>
    <row r="7647" spans="1:10" ht="14.1" customHeight="1" x14ac:dyDescent="0.25">
      <c r="A7647" s="94" t="s">
        <v>4298</v>
      </c>
      <c r="B7647" s="82" t="str">
        <f ca="1">IFERROR(INDEX(UNSPSCDes,MATCH(INDIRECT(ADDRESS(ROW(),COLUMN()-1,4)),UNSPSCCode,0)),IF(INDIRECT(ADDRESS(ROW(),COLUMN()-1,4))="39121436","Electrodos",""))</f>
        <v>Electrodos</v>
      </c>
      <c r="C7647" s="95" t="str">
        <f>IFERROR(VLOOKUP("UD",'Informacion '!P:Q,2,FALSE),"")</f>
        <v>Unidad</v>
      </c>
      <c r="D7647" s="94">
        <v>437</v>
      </c>
      <c r="E7647" s="84">
        <v>12.92</v>
      </c>
      <c r="F7647" s="83">
        <f t="shared" ca="1" si="303"/>
        <v>5646.04</v>
      </c>
    </row>
    <row r="7648" spans="1:10" ht="14.1" customHeight="1" x14ac:dyDescent="0.25">
      <c r="E7648" s="96" t="s">
        <v>7213</v>
      </c>
      <c r="F7648" s="87">
        <f ca="1">SUM(Table206[MONTO TOTAL ESTIMADO])</f>
        <v>762385.85000000033</v>
      </c>
      <c r="H7648" s="39" t="str">
        <f>C7562</f>
        <v>Bienes</v>
      </c>
      <c r="I7648" s="39" t="str">
        <f>E7562</f>
        <v>No</v>
      </c>
      <c r="J7648" s="39" t="str">
        <f>D7562</f>
        <v>Comparacion de Precios</v>
      </c>
    </row>
    <row r="7650" spans="1:6" ht="33.950000000000003" customHeight="1" x14ac:dyDescent="0.25">
      <c r="A7650" s="77" t="s">
        <v>17233</v>
      </c>
      <c r="B7650" s="77" t="s">
        <v>4237</v>
      </c>
      <c r="C7650" s="77" t="s">
        <v>4743</v>
      </c>
      <c r="D7650" s="77" t="s">
        <v>9891</v>
      </c>
      <c r="E7650" s="77" t="s">
        <v>3089</v>
      </c>
      <c r="F7650" s="77" t="s">
        <v>18141</v>
      </c>
    </row>
    <row r="7651" spans="1:6" ht="14.1" customHeight="1" x14ac:dyDescent="0.25">
      <c r="A7651" s="79" t="s">
        <v>5323</v>
      </c>
      <c r="B7651" s="79" t="s">
        <v>2182</v>
      </c>
      <c r="C7651" s="79" t="s">
        <v>17215</v>
      </c>
      <c r="D7651" s="79" t="s">
        <v>15249</v>
      </c>
      <c r="E7651" s="79" t="s">
        <v>18247</v>
      </c>
      <c r="F7651" s="79"/>
    </row>
    <row r="7652" spans="1:6" ht="14.1" customHeight="1" x14ac:dyDescent="0.25">
      <c r="A7652" s="2" t="s">
        <v>6643</v>
      </c>
      <c r="B7652" s="80" t="s">
        <v>1046</v>
      </c>
      <c r="C7652" s="90">
        <v>43739</v>
      </c>
      <c r="D7652" s="2" t="s">
        <v>59</v>
      </c>
      <c r="E7652" s="92" t="s">
        <v>20066</v>
      </c>
      <c r="F7652" s="93" t="s">
        <v>5684</v>
      </c>
    </row>
    <row r="7653" spans="1:6" ht="14.1" customHeight="1" x14ac:dyDescent="0.25">
      <c r="A7653" s="1"/>
      <c r="B7653" s="80" t="s">
        <v>10788</v>
      </c>
      <c r="C7653" s="91">
        <f>IF(C7652="","",IF(AND(MONTH(C7652)&gt;=1,MONTH(C7652)&lt;=3),1,IF(AND(MONTH(C7652)&gt;=4,MONTH(C7652)&lt;=6),2,IF(AND(MONTH(C7652)&gt;=7,MONTH(C7652)&lt;=9),3,4))))</f>
        <v>4</v>
      </c>
      <c r="D7653" s="1"/>
      <c r="E7653" s="92" t="s">
        <v>14822</v>
      </c>
      <c r="F7653" s="93"/>
    </row>
    <row r="7654" spans="1:6" ht="14.1" customHeight="1" x14ac:dyDescent="0.25">
      <c r="A7654" s="1"/>
      <c r="B7654" s="80" t="s">
        <v>13758</v>
      </c>
      <c r="C7654" s="90">
        <v>43830</v>
      </c>
      <c r="D7654" s="1"/>
      <c r="E7654" s="92" t="s">
        <v>18636</v>
      </c>
      <c r="F7654" s="93"/>
    </row>
    <row r="7655" spans="1:6" ht="14.1" customHeight="1" x14ac:dyDescent="0.25">
      <c r="A7655" s="1"/>
      <c r="B7655" s="80" t="s">
        <v>10788</v>
      </c>
      <c r="C7655" s="91">
        <f>IF(C7654="","",IF(AND(MONTH(C7654)&gt;=1,MONTH(C7654)&lt;=3),1,IF(AND(MONTH(C7654)&gt;=4,MONTH(C7654)&lt;=6),2,IF(AND(MONTH(C7654)&gt;=7,MONTH(C7654)&lt;=9),3,4))))</f>
        <v>4</v>
      </c>
      <c r="D7655" s="1"/>
      <c r="E7655" s="92" t="s">
        <v>15990</v>
      </c>
      <c r="F7655" s="93"/>
    </row>
    <row r="7657" spans="1:6" ht="14.1" customHeight="1" x14ac:dyDescent="0.25">
      <c r="A7657" s="85" t="s">
        <v>15474</v>
      </c>
      <c r="B7657" s="85" t="s">
        <v>5027</v>
      </c>
      <c r="C7657" s="85" t="s">
        <v>17461</v>
      </c>
      <c r="D7657" s="85" t="s">
        <v>3935</v>
      </c>
      <c r="E7657" s="85" t="s">
        <v>10722</v>
      </c>
      <c r="F7657" s="85" t="s">
        <v>18237</v>
      </c>
    </row>
    <row r="7658" spans="1:6" ht="14.1" customHeight="1" x14ac:dyDescent="0.25">
      <c r="A7658" s="94" t="s">
        <v>2064</v>
      </c>
      <c r="B7658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658" s="95" t="str">
        <f>IFERROR(VLOOKUP("UD",'Informacion '!P:Q,2,FALSE),"")</f>
        <v>Unidad</v>
      </c>
      <c r="D7658" s="94">
        <v>6</v>
      </c>
      <c r="E7658" s="84">
        <v>826.44</v>
      </c>
      <c r="F7658" s="83">
        <f t="shared" ref="F7658:F7689" ca="1" si="304">INDIRECT(ADDRESS(ROW(),COLUMN()-2,4))*INDIRECT(ADDRESS(ROW(),COLUMN()-1,4))</f>
        <v>4958.6400000000003</v>
      </c>
    </row>
    <row r="7659" spans="1:6" ht="14.1" customHeight="1" x14ac:dyDescent="0.25">
      <c r="A7659" s="94" t="s">
        <v>6266</v>
      </c>
      <c r="B7659" s="82" t="str">
        <f ca="1">IFERROR(INDEX(UNSPSCDes,MATCH(INDIRECT(ADDRESS(ROW(),COLUMN()-1,4)),UNSPSCCode,0)),IF(INDIRECT(ADDRESS(ROW(),COLUMN()-1,4))="30151701","Boquillas de bajantes",""))</f>
        <v>Boquillas de bajantes</v>
      </c>
      <c r="C7659" s="95" t="str">
        <f>IFERROR(VLOOKUP("UD",'Informacion '!P:Q,2,FALSE),"")</f>
        <v>Unidad</v>
      </c>
      <c r="D7659" s="94">
        <v>94</v>
      </c>
      <c r="E7659" s="84">
        <v>6.45</v>
      </c>
      <c r="F7659" s="83">
        <f t="shared" ca="1" si="304"/>
        <v>606.30000000000007</v>
      </c>
    </row>
    <row r="7660" spans="1:6" ht="14.1" customHeight="1" x14ac:dyDescent="0.25">
      <c r="A7660" s="94" t="s">
        <v>3216</v>
      </c>
      <c r="B7660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660" s="95" t="str">
        <f>IFERROR(VLOOKUP("UD",'Informacion '!P:Q,2,FALSE),"")</f>
        <v>Unidad</v>
      </c>
      <c r="D7660" s="94">
        <v>10</v>
      </c>
      <c r="E7660" s="84">
        <v>17.8</v>
      </c>
      <c r="F7660" s="83">
        <f t="shared" ca="1" si="304"/>
        <v>178</v>
      </c>
    </row>
    <row r="7661" spans="1:6" ht="14.1" customHeight="1" x14ac:dyDescent="0.25">
      <c r="A7661" s="94" t="s">
        <v>4298</v>
      </c>
      <c r="B7661" s="82" t="str">
        <f ca="1">IFERROR(INDEX(UNSPSCDes,MATCH(INDIRECT(ADDRESS(ROW(),COLUMN()-1,4)),UNSPSCCode,0)),IF(INDIRECT(ADDRESS(ROW(),COLUMN()-1,4))="39121436","Electrodos",""))</f>
        <v>Electrodos</v>
      </c>
      <c r="C7661" s="95" t="str">
        <f>IFERROR(VLOOKUP("UD",'Informacion '!P:Q,2,FALSE),"")</f>
        <v>Unidad</v>
      </c>
      <c r="D7661" s="94">
        <v>70</v>
      </c>
      <c r="E7661" s="84">
        <v>5.95</v>
      </c>
      <c r="F7661" s="83">
        <f t="shared" ca="1" si="304"/>
        <v>416.5</v>
      </c>
    </row>
    <row r="7662" spans="1:6" ht="14.1" customHeight="1" x14ac:dyDescent="0.25">
      <c r="A7662" s="94" t="s">
        <v>4298</v>
      </c>
      <c r="B7662" s="82" t="str">
        <f ca="1">IFERROR(INDEX(UNSPSCDes,MATCH(INDIRECT(ADDRESS(ROW(),COLUMN()-1,4)),UNSPSCCode,0)),IF(INDIRECT(ADDRESS(ROW(),COLUMN()-1,4))="39121436","Electrodos",""))</f>
        <v>Electrodos</v>
      </c>
      <c r="C7662" s="95" t="str">
        <f>IFERROR(VLOOKUP("UD",'Informacion '!P:Q,2,FALSE),"")</f>
        <v>Unidad</v>
      </c>
      <c r="D7662" s="94">
        <v>6</v>
      </c>
      <c r="E7662" s="84">
        <v>462.09</v>
      </c>
      <c r="F7662" s="83">
        <f t="shared" ca="1" si="304"/>
        <v>2772.54</v>
      </c>
    </row>
    <row r="7663" spans="1:6" ht="14.1" customHeight="1" x14ac:dyDescent="0.25">
      <c r="A7663" s="94" t="s">
        <v>4298</v>
      </c>
      <c r="B7663" s="82" t="str">
        <f ca="1">IFERROR(INDEX(UNSPSCDes,MATCH(INDIRECT(ADDRESS(ROW(),COLUMN()-1,4)),UNSPSCCode,0)),IF(INDIRECT(ADDRESS(ROW(),COLUMN()-1,4))="39121436","Electrodos",""))</f>
        <v>Electrodos</v>
      </c>
      <c r="C7663" s="95" t="str">
        <f>IFERROR(VLOOKUP("UD",'Informacion '!P:Q,2,FALSE),"")</f>
        <v>Unidad</v>
      </c>
      <c r="D7663" s="94">
        <v>6</v>
      </c>
      <c r="E7663" s="84">
        <v>462.09</v>
      </c>
      <c r="F7663" s="83">
        <f t="shared" ca="1" si="304"/>
        <v>2772.54</v>
      </c>
    </row>
    <row r="7664" spans="1:6" ht="14.1" customHeight="1" x14ac:dyDescent="0.25">
      <c r="A7664" s="94" t="s">
        <v>4298</v>
      </c>
      <c r="B7664" s="82" t="str">
        <f ca="1">IFERROR(INDEX(UNSPSCDes,MATCH(INDIRECT(ADDRESS(ROW(),COLUMN()-1,4)),UNSPSCCode,0)),IF(INDIRECT(ADDRESS(ROW(),COLUMN()-1,4))="39121436","Electrodos",""))</f>
        <v>Electrodos</v>
      </c>
      <c r="C7664" s="95" t="str">
        <f>IFERROR(VLOOKUP("UD",'Informacion '!P:Q,2,FALSE),"")</f>
        <v>Unidad</v>
      </c>
      <c r="D7664" s="94">
        <v>6</v>
      </c>
      <c r="E7664" s="84">
        <v>462.09</v>
      </c>
      <c r="F7664" s="83">
        <f t="shared" ca="1" si="304"/>
        <v>2772.54</v>
      </c>
    </row>
    <row r="7665" spans="1:6" ht="14.1" customHeight="1" x14ac:dyDescent="0.25">
      <c r="A7665" s="94" t="s">
        <v>4298</v>
      </c>
      <c r="B7665" s="82" t="str">
        <f ca="1">IFERROR(INDEX(UNSPSCDes,MATCH(INDIRECT(ADDRESS(ROW(),COLUMN()-1,4)),UNSPSCCode,0)),IF(INDIRECT(ADDRESS(ROW(),COLUMN()-1,4))="39121436","Electrodos",""))</f>
        <v>Electrodos</v>
      </c>
      <c r="C7665" s="95" t="str">
        <f>IFERROR(VLOOKUP("UD",'Informacion '!P:Q,2,FALSE),"")</f>
        <v>Unidad</v>
      </c>
      <c r="D7665" s="94">
        <v>6</v>
      </c>
      <c r="E7665" s="84">
        <v>432.06</v>
      </c>
      <c r="F7665" s="83">
        <f t="shared" ca="1" si="304"/>
        <v>2592.36</v>
      </c>
    </row>
    <row r="7666" spans="1:6" ht="14.1" customHeight="1" x14ac:dyDescent="0.25">
      <c r="A7666" s="94" t="s">
        <v>7220</v>
      </c>
      <c r="B7666" s="82" t="str">
        <f ca="1">IFERROR(INDEX(UNSPSCDes,MATCH(INDIRECT(ADDRESS(ROW(),COLUMN()-1,4)),UNSPSCCode,0)),IF(INDIRECT(ADDRESS(ROW(),COLUMN()-1,4))="42142502","Agujas para anestesia",""))</f>
        <v>Agujas para anestesia</v>
      </c>
      <c r="C7666" s="95" t="str">
        <f>IFERROR(VLOOKUP("UD",'Informacion '!P:Q,2,FALSE),"")</f>
        <v>Unidad</v>
      </c>
      <c r="D7666" s="94">
        <v>91</v>
      </c>
      <c r="E7666" s="84">
        <v>70.8</v>
      </c>
      <c r="F7666" s="83">
        <f t="shared" ca="1" si="304"/>
        <v>6442.8</v>
      </c>
    </row>
    <row r="7667" spans="1:6" ht="14.1" customHeight="1" x14ac:dyDescent="0.25">
      <c r="A7667" s="94" t="s">
        <v>502</v>
      </c>
      <c r="B7667" s="82" t="str">
        <f ca="1">IFERROR(INDEX(UNSPSCDes,MATCH(INDIRECT(ADDRESS(ROW(),COLUMN()-1,4)),UNSPSCCode,0)),IF(INDIRECT(ADDRESS(ROW(),COLUMN()-1,4))="12161503","Kits de reactivos",""))</f>
        <v>Kits de reactivos</v>
      </c>
      <c r="C7667" s="95" t="str">
        <f>IFERROR(VLOOKUP("UD",'Informacion '!P:Q,2,FALSE),"")</f>
        <v>Unidad</v>
      </c>
      <c r="D7667" s="94">
        <v>12</v>
      </c>
      <c r="E7667" s="84">
        <v>2244.91</v>
      </c>
      <c r="F7667" s="83">
        <f t="shared" ca="1" si="304"/>
        <v>26938.92</v>
      </c>
    </row>
    <row r="7668" spans="1:6" ht="14.1" customHeight="1" x14ac:dyDescent="0.25">
      <c r="A7668" s="94" t="s">
        <v>19048</v>
      </c>
      <c r="B7668" s="82" t="str">
        <f ca="1">IFERROR(INDEX(UNSPSCDes,MATCH(INDIRECT(ADDRESS(ROW(),COLUMN()-1,4)),UNSPSCCode,0)),IF(INDIRECT(ADDRESS(ROW(),COLUMN()-1,4))="23191202","Cuchillas de mezcladora",""))</f>
        <v>Cuchillas de mezcladora</v>
      </c>
      <c r="C7668" s="95" t="str">
        <f>IFERROR(VLOOKUP("UD",'Informacion '!P:Q,2,FALSE),"")</f>
        <v>Unidad</v>
      </c>
      <c r="D7668" s="94">
        <v>111</v>
      </c>
      <c r="E7668" s="84">
        <v>115.64</v>
      </c>
      <c r="F7668" s="83">
        <f t="shared" ca="1" si="304"/>
        <v>12836.04</v>
      </c>
    </row>
    <row r="7669" spans="1:6" ht="14.1" customHeight="1" x14ac:dyDescent="0.25">
      <c r="A7669" s="94" t="s">
        <v>19048</v>
      </c>
      <c r="B7669" s="82" t="str">
        <f ca="1">IFERROR(INDEX(UNSPSCDes,MATCH(INDIRECT(ADDRESS(ROW(),COLUMN()-1,4)),UNSPSCCode,0)),IF(INDIRECT(ADDRESS(ROW(),COLUMN()-1,4))="23191202","Cuchillas de mezcladora",""))</f>
        <v>Cuchillas de mezcladora</v>
      </c>
      <c r="C7669" s="95" t="str">
        <f>IFERROR(VLOOKUP("UD",'Informacion '!P:Q,2,FALSE),"")</f>
        <v>Unidad</v>
      </c>
      <c r="D7669" s="94">
        <v>42</v>
      </c>
      <c r="E7669" s="84">
        <v>113.42</v>
      </c>
      <c r="F7669" s="83">
        <f t="shared" ca="1" si="304"/>
        <v>4763.6400000000003</v>
      </c>
    </row>
    <row r="7670" spans="1:6" ht="14.1" customHeight="1" x14ac:dyDescent="0.25">
      <c r="A7670" s="94" t="s">
        <v>11857</v>
      </c>
      <c r="B7670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670" s="95" t="str">
        <f>IFERROR(VLOOKUP("UD",'Informacion '!P:Q,2,FALSE),"")</f>
        <v>Unidad</v>
      </c>
      <c r="D7670" s="94">
        <v>131</v>
      </c>
      <c r="E7670" s="84">
        <v>1.7</v>
      </c>
      <c r="F7670" s="83">
        <f t="shared" ca="1" si="304"/>
        <v>222.7</v>
      </c>
    </row>
    <row r="7671" spans="1:6" ht="14.1" customHeight="1" x14ac:dyDescent="0.25">
      <c r="A7671" s="94" t="s">
        <v>4829</v>
      </c>
      <c r="B7671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671" s="95" t="str">
        <f>IFERROR(VLOOKUP("UD",'Informacion '!P:Q,2,FALSE),"")</f>
        <v>Unidad</v>
      </c>
      <c r="D7671" s="94">
        <v>111</v>
      </c>
      <c r="E7671" s="84">
        <v>11.13</v>
      </c>
      <c r="F7671" s="83">
        <f t="shared" ca="1" si="304"/>
        <v>1235.43</v>
      </c>
    </row>
    <row r="7672" spans="1:6" ht="14.1" customHeight="1" x14ac:dyDescent="0.25">
      <c r="A7672" s="94" t="s">
        <v>4829</v>
      </c>
      <c r="B7672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7672" s="95" t="str">
        <f>IFERROR(VLOOKUP("UD",'Informacion '!P:Q,2,FALSE),"")</f>
        <v>Unidad</v>
      </c>
      <c r="D7672" s="94">
        <v>5</v>
      </c>
      <c r="E7672" s="84">
        <v>637.20000000000005</v>
      </c>
      <c r="F7672" s="83">
        <f t="shared" ca="1" si="304"/>
        <v>3186</v>
      </c>
    </row>
    <row r="7673" spans="1:6" ht="14.1" customHeight="1" x14ac:dyDescent="0.25">
      <c r="A7673" s="94" t="s">
        <v>7030</v>
      </c>
      <c r="B7673" s="82" t="str">
        <f ca="1">IFERROR(INDEX(UNSPSCDes,MATCH(INDIRECT(ADDRESS(ROW(),COLUMN()-1,4)),UNSPSCCode,0)),IF(INDIRECT(ADDRESS(ROW(),COLUMN()-1,4))="42272220","Accesorios para ventiladores",""))</f>
        <v>Accesorios para ventiladores</v>
      </c>
      <c r="C7673" s="95" t="str">
        <f>IFERROR(VLOOKUP("UD",'Informacion '!P:Q,2,FALSE),"")</f>
        <v>Unidad</v>
      </c>
      <c r="D7673" s="94">
        <v>44</v>
      </c>
      <c r="E7673" s="84">
        <v>351.05</v>
      </c>
      <c r="F7673" s="83">
        <f t="shared" ca="1" si="304"/>
        <v>15446.2</v>
      </c>
    </row>
    <row r="7674" spans="1:6" ht="14.1" customHeight="1" x14ac:dyDescent="0.25">
      <c r="A7674" s="94" t="s">
        <v>7820</v>
      </c>
      <c r="B7674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674" s="95" t="str">
        <f>IFERROR(VLOOKUP("UD",'Informacion '!P:Q,2,FALSE),"")</f>
        <v>Unidad</v>
      </c>
      <c r="D7674" s="94">
        <v>78</v>
      </c>
      <c r="E7674" s="84">
        <v>127.44</v>
      </c>
      <c r="F7674" s="83">
        <f t="shared" ca="1" si="304"/>
        <v>9940.32</v>
      </c>
    </row>
    <row r="7675" spans="1:6" ht="14.1" customHeight="1" x14ac:dyDescent="0.25">
      <c r="A7675" s="94" t="s">
        <v>5706</v>
      </c>
      <c r="B7675" s="82" t="str">
        <f ca="1">IFERROR(INDEX(UNSPSCDes,MATCH(INDIRECT(ADDRESS(ROW(),COLUMN()-1,4)),UNSPSCCode,0)),IF(INDIRECT(ADDRESS(ROW(),COLUMN()-1,4))="41104014","Aplicadores de muestras",""))</f>
        <v>Aplicadores de muestras</v>
      </c>
      <c r="C7675" s="95" t="str">
        <f>IFERROR(VLOOKUP("UD",'Informacion '!P:Q,2,FALSE),"")</f>
        <v>Unidad</v>
      </c>
      <c r="D7675" s="94">
        <v>1826</v>
      </c>
      <c r="E7675" s="84">
        <v>0.45</v>
      </c>
      <c r="F7675" s="83">
        <f t="shared" ca="1" si="304"/>
        <v>821.7</v>
      </c>
    </row>
    <row r="7676" spans="1:6" ht="14.1" customHeight="1" x14ac:dyDescent="0.25">
      <c r="A7676" s="94" t="s">
        <v>5112</v>
      </c>
      <c r="B7676" s="82" t="str">
        <f ca="1">IFERROR(INDEX(UNSPSCDes,MATCH(INDIRECT(ADDRESS(ROW(),COLUMN()-1,4)),UNSPSCCode,0)),IF(INDIRECT(ADDRESS(ROW(),COLUMN()-1,4))="42294101","Lazos de tracción o bucles de tracción o productos relacionados para uso quirúrgico",""))</f>
        <v>Lazos de tracción o bucles de tracción o productos relacionados para uso quirúrgico</v>
      </c>
      <c r="C7676" s="95" t="str">
        <f>IFERROR(VLOOKUP("UD",'Informacion '!P:Q,2,FALSE),"")</f>
        <v>Unidad</v>
      </c>
      <c r="D7676" s="94">
        <v>4</v>
      </c>
      <c r="E7676" s="84">
        <v>548.69000000000005</v>
      </c>
      <c r="F7676" s="83">
        <f t="shared" ca="1" si="304"/>
        <v>2194.7600000000002</v>
      </c>
    </row>
    <row r="7677" spans="1:6" ht="14.1" customHeight="1" x14ac:dyDescent="0.25">
      <c r="A7677" s="94" t="s">
        <v>12725</v>
      </c>
      <c r="B7677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7677" s="95" t="str">
        <f>IFERROR(VLOOKUP("UD",'Informacion '!P:Q,2,FALSE),"")</f>
        <v>Unidad</v>
      </c>
      <c r="D7677" s="94">
        <v>55</v>
      </c>
      <c r="E7677" s="84">
        <v>317.95</v>
      </c>
      <c r="F7677" s="83">
        <f t="shared" ca="1" si="304"/>
        <v>17487.25</v>
      </c>
    </row>
    <row r="7678" spans="1:6" ht="14.1" customHeight="1" x14ac:dyDescent="0.25">
      <c r="A7678" s="94" t="s">
        <v>9743</v>
      </c>
      <c r="B7678" s="82" t="str">
        <f ca="1">IFERROR(INDEX(UNSPSCDes,MATCH(INDIRECT(ADDRESS(ROW(),COLUMN()-1,4)),UNSPSCCode,0)),IF(INDIRECT(ADDRESS(ROW(),COLUMN()-1,4))="42312109","Anillos de bolsa para ostomía",""))</f>
        <v>Anillos de bolsa para ostomía</v>
      </c>
      <c r="C7678" s="95" t="str">
        <f>IFERROR(VLOOKUP("UD",'Informacion '!P:Q,2,FALSE),"")</f>
        <v>Unidad</v>
      </c>
      <c r="D7678" s="94">
        <v>45</v>
      </c>
      <c r="E7678" s="84">
        <v>317.20999999999998</v>
      </c>
      <c r="F7678" s="83">
        <f t="shared" ca="1" si="304"/>
        <v>14274.449999999999</v>
      </c>
    </row>
    <row r="7679" spans="1:6" ht="14.1" customHeight="1" x14ac:dyDescent="0.25">
      <c r="A7679" s="94" t="s">
        <v>12107</v>
      </c>
      <c r="B7679" s="82" t="str">
        <f ca="1">IFERROR(INDEX(UNSPSCDes,MATCH(INDIRECT(ADDRESS(ROW(),COLUMN()-1,4)),UNSPSCCode,0)),IF(INDIRECT(ADDRESS(ROW(),COLUMN()-1,4))="27112105","Pinzas",""))</f>
        <v>Pinzas</v>
      </c>
      <c r="C7679" s="95" t="str">
        <f>IFERROR(VLOOKUP("UD",'Informacion '!P:Q,2,FALSE),"")</f>
        <v>Unidad</v>
      </c>
      <c r="D7679" s="94">
        <v>4</v>
      </c>
      <c r="E7679" s="84">
        <v>95.71</v>
      </c>
      <c r="F7679" s="83">
        <f t="shared" ca="1" si="304"/>
        <v>382.84</v>
      </c>
    </row>
    <row r="7680" spans="1:6" ht="14.1" customHeight="1" x14ac:dyDescent="0.25">
      <c r="A7680" s="94" t="s">
        <v>3228</v>
      </c>
      <c r="B7680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680" s="95" t="str">
        <f>IFERROR(VLOOKUP("UD",'Informacion '!P:Q,2,FALSE),"")</f>
        <v>Unidad</v>
      </c>
      <c r="D7680" s="94">
        <v>5</v>
      </c>
      <c r="E7680" s="84">
        <v>19900.7</v>
      </c>
      <c r="F7680" s="83">
        <f t="shared" ca="1" si="304"/>
        <v>99503.5</v>
      </c>
    </row>
    <row r="7681" spans="1:6" ht="14.1" customHeight="1" x14ac:dyDescent="0.25">
      <c r="A7681" s="94" t="s">
        <v>3228</v>
      </c>
      <c r="B7681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681" s="95" t="str">
        <f>IFERROR(VLOOKUP("UD",'Informacion '!P:Q,2,FALSE),"")</f>
        <v>Unidad</v>
      </c>
      <c r="D7681" s="94">
        <v>4</v>
      </c>
      <c r="E7681" s="84">
        <v>19900.7</v>
      </c>
      <c r="F7681" s="83">
        <f t="shared" ca="1" si="304"/>
        <v>79602.8</v>
      </c>
    </row>
    <row r="7682" spans="1:6" ht="14.1" customHeight="1" x14ac:dyDescent="0.25">
      <c r="A7682" s="94" t="s">
        <v>2946</v>
      </c>
      <c r="B7682" s="82" t="str">
        <f ca="1">IFERROR(INDEX(UNSPSCDes,MATCH(INDIRECT(ADDRESS(ROW(),COLUMN()-1,4)),UNSPSCCode,0)),IF(INDIRECT(ADDRESS(ROW(),COLUMN()-1,4))="14121812","Papel de fotografía",""))</f>
        <v>Papel de fotografía</v>
      </c>
      <c r="C7682" s="95" t="str">
        <f>IFERROR(VLOOKUP("UD",'Informacion '!P:Q,2,FALSE),"")</f>
        <v>Unidad</v>
      </c>
      <c r="D7682" s="94">
        <v>8</v>
      </c>
      <c r="E7682" s="84">
        <v>9333.02</v>
      </c>
      <c r="F7682" s="83">
        <f t="shared" ca="1" si="304"/>
        <v>74664.160000000003</v>
      </c>
    </row>
    <row r="7683" spans="1:6" ht="14.1" customHeight="1" x14ac:dyDescent="0.25">
      <c r="A7683" s="94" t="s">
        <v>1279</v>
      </c>
      <c r="B7683" s="82" t="str">
        <f ca="1">IFERROR(INDEX(UNSPSCDes,MATCH(INDIRECT(ADDRESS(ROW(),COLUMN()-1,4)),UNSPSCCode,0)),IF(INDIRECT(ADDRESS(ROW(),COLUMN()-1,4))="42231701","Tubos nasogástricos",""))</f>
        <v>Tubos nasogástricos</v>
      </c>
      <c r="C7683" s="95" t="str">
        <f>IFERROR(VLOOKUP("UD",'Informacion '!P:Q,2,FALSE),"")</f>
        <v>Unidad</v>
      </c>
      <c r="D7683" s="94">
        <v>11</v>
      </c>
      <c r="E7683" s="84">
        <v>9.7899999999999991</v>
      </c>
      <c r="F7683" s="83">
        <f t="shared" ca="1" si="304"/>
        <v>107.69</v>
      </c>
    </row>
    <row r="7684" spans="1:6" ht="14.1" customHeight="1" x14ac:dyDescent="0.25">
      <c r="A7684" s="94" t="s">
        <v>8919</v>
      </c>
      <c r="B7684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7684" s="95" t="str">
        <f>IFERROR(VLOOKUP("UD",'Informacion '!P:Q,2,FALSE),"")</f>
        <v>Unidad</v>
      </c>
      <c r="D7684" s="94">
        <v>646</v>
      </c>
      <c r="E7684" s="84">
        <v>0.57999999999999996</v>
      </c>
      <c r="F7684" s="83">
        <f t="shared" ca="1" si="304"/>
        <v>374.67999999999995</v>
      </c>
    </row>
    <row r="7685" spans="1:6" ht="14.1" customHeight="1" x14ac:dyDescent="0.25">
      <c r="A7685" s="94" t="s">
        <v>10483</v>
      </c>
      <c r="B7685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685" s="95" t="str">
        <f>IFERROR(VLOOKUP("UD",'Informacion '!P:Q,2,FALSE),"")</f>
        <v>Unidad</v>
      </c>
      <c r="D7685" s="94">
        <v>21</v>
      </c>
      <c r="E7685" s="84">
        <v>290</v>
      </c>
      <c r="F7685" s="83">
        <f t="shared" ca="1" si="304"/>
        <v>6090</v>
      </c>
    </row>
    <row r="7686" spans="1:6" ht="14.1" customHeight="1" x14ac:dyDescent="0.25">
      <c r="A7686" s="94" t="s">
        <v>5212</v>
      </c>
      <c r="B7686" s="82" t="str">
        <f ca="1">IFERROR(INDEX(UNSPSCDes,MATCH(INDIRECT(ADDRESS(ROW(),COLUMN()-1,4)),UNSPSCCode,0)),IF(INDIRECT(ADDRESS(ROW(),COLUMN()-1,4))="23153035","Placa",""))</f>
        <v>Placa</v>
      </c>
      <c r="C7686" s="95" t="str">
        <f>IFERROR(VLOOKUP("UD",'Informacion '!P:Q,2,FALSE),"")</f>
        <v>Unidad</v>
      </c>
      <c r="D7686" s="94">
        <v>5</v>
      </c>
      <c r="E7686" s="84">
        <v>152.96</v>
      </c>
      <c r="F7686" s="83">
        <f t="shared" ca="1" si="304"/>
        <v>764.80000000000007</v>
      </c>
    </row>
    <row r="7687" spans="1:6" ht="14.1" customHeight="1" x14ac:dyDescent="0.25">
      <c r="A7687" s="94" t="s">
        <v>7820</v>
      </c>
      <c r="B7687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687" s="95" t="str">
        <f>IFERROR(VLOOKUP("UD",'Informacion '!P:Q,2,FALSE),"")</f>
        <v>Unidad</v>
      </c>
      <c r="D7687" s="94">
        <v>42</v>
      </c>
      <c r="E7687" s="84">
        <v>129.80000000000001</v>
      </c>
      <c r="F7687" s="83">
        <f t="shared" ca="1" si="304"/>
        <v>5451.6</v>
      </c>
    </row>
    <row r="7688" spans="1:6" ht="14.1" customHeight="1" x14ac:dyDescent="0.25">
      <c r="A7688" s="94" t="s">
        <v>4306</v>
      </c>
      <c r="B7688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688" s="95" t="str">
        <f>IFERROR(VLOOKUP("UD",'Informacion '!P:Q,2,FALSE),"")</f>
        <v>Unidad</v>
      </c>
      <c r="D7688" s="94">
        <v>5</v>
      </c>
      <c r="E7688" s="84">
        <v>940</v>
      </c>
      <c r="F7688" s="83">
        <f t="shared" ca="1" si="304"/>
        <v>4700</v>
      </c>
    </row>
    <row r="7689" spans="1:6" ht="14.1" customHeight="1" x14ac:dyDescent="0.25">
      <c r="A7689" s="94" t="s">
        <v>4298</v>
      </c>
      <c r="B7689" s="82" t="str">
        <f ca="1">IFERROR(INDEX(UNSPSCDes,MATCH(INDIRECT(ADDRESS(ROW(),COLUMN()-1,4)),UNSPSCCode,0)),IF(INDIRECT(ADDRESS(ROW(),COLUMN()-1,4))="39121436","Electrodos",""))</f>
        <v>Electrodos</v>
      </c>
      <c r="C7689" s="95" t="str">
        <f>IFERROR(VLOOKUP("UD",'Informacion '!P:Q,2,FALSE),"")</f>
        <v>Unidad</v>
      </c>
      <c r="D7689" s="94">
        <v>10</v>
      </c>
      <c r="E7689" s="84">
        <v>649.99</v>
      </c>
      <c r="F7689" s="83">
        <f t="shared" ca="1" si="304"/>
        <v>6499.9</v>
      </c>
    </row>
    <row r="7690" spans="1:6" ht="14.1" customHeight="1" x14ac:dyDescent="0.25">
      <c r="A7690" s="94" t="s">
        <v>16391</v>
      </c>
      <c r="B7690" s="82" t="str">
        <f ca="1">IFERROR(INDEX(UNSPSCDes,MATCH(INDIRECT(ADDRESS(ROW(),COLUMN()-1,4)),UNSPSCCode,0)),IF(INDIRECT(ADDRESS(ROW(),COLUMN()-1,4))="42142615","Accesorios para jeringas",""))</f>
        <v>Accesorios para jeringas</v>
      </c>
      <c r="C7690" s="95" t="str">
        <f>IFERROR(VLOOKUP("UD",'Informacion '!P:Q,2,FALSE),"")</f>
        <v>Unidad</v>
      </c>
      <c r="D7690" s="94">
        <v>181</v>
      </c>
      <c r="E7690" s="84">
        <v>1.43</v>
      </c>
      <c r="F7690" s="83">
        <f t="shared" ref="F7690:F7721" ca="1" si="305">INDIRECT(ADDRESS(ROW(),COLUMN()-2,4))*INDIRECT(ADDRESS(ROW(),COLUMN()-1,4))</f>
        <v>258.83</v>
      </c>
    </row>
    <row r="7691" spans="1:6" ht="14.1" customHeight="1" x14ac:dyDescent="0.25">
      <c r="A7691" s="94" t="s">
        <v>4298</v>
      </c>
      <c r="B7691" s="82" t="str">
        <f ca="1">IFERROR(INDEX(UNSPSCDes,MATCH(INDIRECT(ADDRESS(ROW(),COLUMN()-1,4)),UNSPSCCode,0)),IF(INDIRECT(ADDRESS(ROW(),COLUMN()-1,4))="39121436","Electrodos",""))</f>
        <v>Electrodos</v>
      </c>
      <c r="C7691" s="95" t="str">
        <f>IFERROR(VLOOKUP("UD",'Informacion '!P:Q,2,FALSE),"")</f>
        <v>Unidad</v>
      </c>
      <c r="D7691" s="94">
        <v>195</v>
      </c>
      <c r="E7691" s="84">
        <v>5.19</v>
      </c>
      <c r="F7691" s="83">
        <f t="shared" ca="1" si="305"/>
        <v>1012.0500000000001</v>
      </c>
    </row>
    <row r="7692" spans="1:6" ht="14.1" customHeight="1" x14ac:dyDescent="0.25">
      <c r="A7692" s="94" t="s">
        <v>435</v>
      </c>
      <c r="B7692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692" s="95" t="str">
        <f>IFERROR(VLOOKUP("UD",'Informacion '!P:Q,2,FALSE),"")</f>
        <v>Unidad</v>
      </c>
      <c r="D7692" s="94">
        <v>50</v>
      </c>
      <c r="E7692" s="84">
        <v>17.940000000000001</v>
      </c>
      <c r="F7692" s="83">
        <f t="shared" ca="1" si="305"/>
        <v>897.00000000000011</v>
      </c>
    </row>
    <row r="7693" spans="1:6" ht="14.1" customHeight="1" x14ac:dyDescent="0.25">
      <c r="A7693" s="94" t="s">
        <v>16379</v>
      </c>
      <c r="B7693" s="82" t="str">
        <f ca="1">IFERROR(INDEX(UNSPSCDes,MATCH(INDIRECT(ADDRESS(ROW(),COLUMN()-1,4)),UNSPSCCode,0)),IF(INDIRECT(ADDRESS(ROW(),COLUMN()-1,4))="53131608","Jabones",""))</f>
        <v>Jabones</v>
      </c>
      <c r="C7693" s="95" t="str">
        <f>IFERROR(VLOOKUP("UD",'Informacion '!P:Q,2,FALSE),"")</f>
        <v>Unidad</v>
      </c>
      <c r="D7693" s="94">
        <v>19</v>
      </c>
      <c r="E7693" s="84">
        <v>1986.63</v>
      </c>
      <c r="F7693" s="83">
        <f t="shared" ca="1" si="305"/>
        <v>37745.97</v>
      </c>
    </row>
    <row r="7694" spans="1:6" ht="14.1" customHeight="1" x14ac:dyDescent="0.25">
      <c r="A7694" s="94" t="s">
        <v>5557</v>
      </c>
      <c r="B7694" s="82" t="str">
        <f ca="1">IFERROR(INDEX(UNSPSCDes,MATCH(INDIRECT(ADDRESS(ROW(),COLUMN()-1,4)),UNSPSCCode,0)),IF(INDIRECT(ADDRESS(ROW(),COLUMN()-1,4))="51211615","Azul de metileno",""))</f>
        <v>Azul de metileno</v>
      </c>
      <c r="C7694" s="95" t="str">
        <f>IFERROR(VLOOKUP("UD",'Informacion '!P:Q,2,FALSE),"")</f>
        <v>Unidad</v>
      </c>
      <c r="D7694" s="94">
        <v>5</v>
      </c>
      <c r="E7694" s="84">
        <v>21.53</v>
      </c>
      <c r="F7694" s="83">
        <f t="shared" ca="1" si="305"/>
        <v>107.65</v>
      </c>
    </row>
    <row r="7695" spans="1:6" ht="14.1" customHeight="1" x14ac:dyDescent="0.25">
      <c r="A7695" s="94" t="s">
        <v>18840</v>
      </c>
      <c r="B7695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7695" s="95" t="str">
        <f>IFERROR(VLOOKUP("UD",'Informacion '!P:Q,2,FALSE),"")</f>
        <v>Unidad</v>
      </c>
      <c r="D7695" s="94">
        <v>37</v>
      </c>
      <c r="E7695" s="84">
        <v>135.94</v>
      </c>
      <c r="F7695" s="83">
        <f t="shared" ca="1" si="305"/>
        <v>5029.78</v>
      </c>
    </row>
    <row r="7696" spans="1:6" ht="14.1" customHeight="1" x14ac:dyDescent="0.25">
      <c r="A7696" s="94" t="s">
        <v>2726</v>
      </c>
      <c r="B7696" s="82" t="str">
        <f ca="1">IFERROR(INDEX(UNSPSCDes,MATCH(INDIRECT(ADDRESS(ROW(),COLUMN()-1,4)),UNSPSCCode,0)),IF(INDIRECT(ADDRESS(ROW(),COLUMN()-1,4))="24112602","Frascos",""))</f>
        <v>Frascos</v>
      </c>
      <c r="C7696" s="95" t="str">
        <f>IFERROR(VLOOKUP("UD",'Informacion '!P:Q,2,FALSE),"")</f>
        <v>Unidad</v>
      </c>
      <c r="D7696" s="94">
        <v>192</v>
      </c>
      <c r="E7696" s="84">
        <v>8.74</v>
      </c>
      <c r="F7696" s="83">
        <f t="shared" ca="1" si="305"/>
        <v>1678.08</v>
      </c>
    </row>
    <row r="7697" spans="1:6" ht="14.1" customHeight="1" x14ac:dyDescent="0.25">
      <c r="A7697" s="94" t="s">
        <v>2726</v>
      </c>
      <c r="B7697" s="82" t="str">
        <f ca="1">IFERROR(INDEX(UNSPSCDes,MATCH(INDIRECT(ADDRESS(ROW(),COLUMN()-1,4)),UNSPSCCode,0)),IF(INDIRECT(ADDRESS(ROW(),COLUMN()-1,4))="24112602","Frascos",""))</f>
        <v>Frascos</v>
      </c>
      <c r="C7697" s="95" t="str">
        <f>IFERROR(VLOOKUP("UD",'Informacion '!P:Q,2,FALSE),"")</f>
        <v>Unidad</v>
      </c>
      <c r="D7697" s="94">
        <v>10</v>
      </c>
      <c r="E7697" s="84">
        <v>323.01</v>
      </c>
      <c r="F7697" s="83">
        <f t="shared" ca="1" si="305"/>
        <v>3230.1</v>
      </c>
    </row>
    <row r="7698" spans="1:6" ht="14.1" customHeight="1" x14ac:dyDescent="0.25">
      <c r="A7698" s="94" t="s">
        <v>2726</v>
      </c>
      <c r="B7698" s="82" t="str">
        <f ca="1">IFERROR(INDEX(UNSPSCDes,MATCH(INDIRECT(ADDRESS(ROW(),COLUMN()-1,4)),UNSPSCCode,0)),IF(INDIRECT(ADDRESS(ROW(),COLUMN()-1,4))="24112602","Frascos",""))</f>
        <v>Frascos</v>
      </c>
      <c r="C7698" s="95" t="str">
        <f>IFERROR(VLOOKUP("UD",'Informacion '!P:Q,2,FALSE),"")</f>
        <v>Unidad</v>
      </c>
      <c r="D7698" s="94">
        <v>24</v>
      </c>
      <c r="E7698" s="84">
        <v>44.63</v>
      </c>
      <c r="F7698" s="83">
        <f t="shared" ca="1" si="305"/>
        <v>1071.1200000000001</v>
      </c>
    </row>
    <row r="7699" spans="1:6" ht="14.1" customHeight="1" x14ac:dyDescent="0.25">
      <c r="A7699" s="94" t="s">
        <v>9323</v>
      </c>
      <c r="B7699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699" s="95" t="str">
        <f>IFERROR(VLOOKUP("UD",'Informacion '!P:Q,2,FALSE),"")</f>
        <v>Unidad</v>
      </c>
      <c r="D7699" s="94">
        <v>5</v>
      </c>
      <c r="E7699" s="84">
        <v>2478</v>
      </c>
      <c r="F7699" s="83">
        <f t="shared" ca="1" si="305"/>
        <v>12390</v>
      </c>
    </row>
    <row r="7700" spans="1:6" ht="14.1" customHeight="1" x14ac:dyDescent="0.25">
      <c r="A7700" s="94" t="s">
        <v>9323</v>
      </c>
      <c r="B7700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700" s="95" t="str">
        <f>IFERROR(VLOOKUP("UD",'Informacion '!P:Q,2,FALSE),"")</f>
        <v>Unidad</v>
      </c>
      <c r="D7700" s="94">
        <v>5</v>
      </c>
      <c r="E7700" s="84">
        <v>1382.29</v>
      </c>
      <c r="F7700" s="83">
        <f t="shared" ca="1" si="305"/>
        <v>6911.45</v>
      </c>
    </row>
    <row r="7701" spans="1:6" ht="14.1" customHeight="1" x14ac:dyDescent="0.25">
      <c r="A7701" s="94" t="s">
        <v>3552</v>
      </c>
      <c r="B7701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701" s="95" t="str">
        <f>IFERROR(VLOOKUP("UD",'Informacion '!P:Q,2,FALSE),"")</f>
        <v>Unidad</v>
      </c>
      <c r="D7701" s="94">
        <v>1075</v>
      </c>
      <c r="E7701" s="84">
        <v>2.13</v>
      </c>
      <c r="F7701" s="83">
        <f t="shared" ca="1" si="305"/>
        <v>2289.75</v>
      </c>
    </row>
    <row r="7702" spans="1:6" ht="14.1" customHeight="1" x14ac:dyDescent="0.25">
      <c r="A7702" s="94" t="s">
        <v>8400</v>
      </c>
      <c r="B7702" s="82" t="str">
        <f ca="1">IFERROR(INDEX(UNSPSCDes,MATCH(INDIRECT(ADDRESS(ROW(),COLUMN()-1,4)),UNSPSCCode,0)),IF(INDIRECT(ADDRESS(ROW(),COLUMN()-1,4))="12171703","Tintas",""))</f>
        <v>Tintas</v>
      </c>
      <c r="C7702" s="95" t="str">
        <f>IFERROR(VLOOKUP("UD",'Informacion '!P:Q,2,FALSE),"")</f>
        <v>Unidad</v>
      </c>
      <c r="D7702" s="94">
        <v>4</v>
      </c>
      <c r="E7702" s="84">
        <v>346.92</v>
      </c>
      <c r="F7702" s="83">
        <f t="shared" ca="1" si="305"/>
        <v>1387.68</v>
      </c>
    </row>
    <row r="7703" spans="1:6" ht="14.1" customHeight="1" x14ac:dyDescent="0.25">
      <c r="A7703" s="94" t="s">
        <v>5557</v>
      </c>
      <c r="B7703" s="82" t="str">
        <f ca="1">IFERROR(INDEX(UNSPSCDes,MATCH(INDIRECT(ADDRESS(ROW(),COLUMN()-1,4)),UNSPSCCode,0)),IF(INDIRECT(ADDRESS(ROW(),COLUMN()-1,4))="51211615","Azul de metileno",""))</f>
        <v>Azul de metileno</v>
      </c>
      <c r="C7703" s="95" t="str">
        <f>IFERROR(VLOOKUP("UD",'Informacion '!P:Q,2,FALSE),"")</f>
        <v>Unidad</v>
      </c>
      <c r="D7703" s="94">
        <v>4</v>
      </c>
      <c r="E7703" s="84">
        <v>3374.8</v>
      </c>
      <c r="F7703" s="83">
        <f t="shared" ca="1" si="305"/>
        <v>13499.2</v>
      </c>
    </row>
    <row r="7704" spans="1:6" ht="14.1" customHeight="1" x14ac:dyDescent="0.25">
      <c r="A7704" s="94" t="s">
        <v>7820</v>
      </c>
      <c r="B7704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704" s="95" t="str">
        <f>IFERROR(VLOOKUP("UD",'Informacion '!P:Q,2,FALSE),"")</f>
        <v>Unidad</v>
      </c>
      <c r="D7704" s="94">
        <v>6</v>
      </c>
      <c r="E7704" s="84">
        <v>174.14</v>
      </c>
      <c r="F7704" s="83">
        <f t="shared" ca="1" si="305"/>
        <v>1044.8399999999999</v>
      </c>
    </row>
    <row r="7705" spans="1:6" ht="14.1" customHeight="1" x14ac:dyDescent="0.25">
      <c r="A7705" s="94" t="s">
        <v>12824</v>
      </c>
      <c r="B770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705" s="95" t="str">
        <f>IFERROR(VLOOKUP("UD",'Informacion '!P:Q,2,FALSE),"")</f>
        <v>Unidad</v>
      </c>
      <c r="D7705" s="94">
        <v>5</v>
      </c>
      <c r="E7705" s="84">
        <v>730.89</v>
      </c>
      <c r="F7705" s="83">
        <f t="shared" ca="1" si="305"/>
        <v>3654.45</v>
      </c>
    </row>
    <row r="7706" spans="1:6" ht="14.1" customHeight="1" x14ac:dyDescent="0.25">
      <c r="A7706" s="94" t="s">
        <v>5706</v>
      </c>
      <c r="B7706" s="82" t="str">
        <f ca="1">IFERROR(INDEX(UNSPSCDes,MATCH(INDIRECT(ADDRESS(ROW(),COLUMN()-1,4)),UNSPSCCode,0)),IF(INDIRECT(ADDRESS(ROW(),COLUMN()-1,4))="41104014","Aplicadores de muestras",""))</f>
        <v>Aplicadores de muestras</v>
      </c>
      <c r="C7706" s="95" t="str">
        <f>IFERROR(VLOOKUP("UD",'Informacion '!P:Q,2,FALSE),"")</f>
        <v>Unidad</v>
      </c>
      <c r="D7706" s="94">
        <v>895</v>
      </c>
      <c r="E7706" s="84">
        <v>7.45</v>
      </c>
      <c r="F7706" s="83">
        <f t="shared" ca="1" si="305"/>
        <v>6667.75</v>
      </c>
    </row>
    <row r="7707" spans="1:6" ht="14.1" customHeight="1" x14ac:dyDescent="0.25">
      <c r="A7707" s="94" t="s">
        <v>6591</v>
      </c>
      <c r="B7707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7707" s="95" t="str">
        <f>IFERROR(VLOOKUP("UD",'Informacion '!P:Q,2,FALSE),"")</f>
        <v>Unidad</v>
      </c>
      <c r="D7707" s="94">
        <v>111</v>
      </c>
      <c r="E7707" s="84">
        <v>2.74</v>
      </c>
      <c r="F7707" s="83">
        <f t="shared" ca="1" si="305"/>
        <v>304.14000000000004</v>
      </c>
    </row>
    <row r="7708" spans="1:6" ht="14.1" customHeight="1" x14ac:dyDescent="0.25">
      <c r="A7708" s="94" t="s">
        <v>5965</v>
      </c>
      <c r="B7708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7708" s="95" t="str">
        <f>IFERROR(VLOOKUP("UD",'Informacion '!P:Q,2,FALSE),"")</f>
        <v>Unidad</v>
      </c>
      <c r="D7708" s="94">
        <v>23</v>
      </c>
      <c r="E7708" s="84">
        <v>612.13</v>
      </c>
      <c r="F7708" s="83">
        <f t="shared" ca="1" si="305"/>
        <v>14078.99</v>
      </c>
    </row>
    <row r="7709" spans="1:6" ht="14.1" customHeight="1" x14ac:dyDescent="0.25">
      <c r="A7709" s="94" t="s">
        <v>6081</v>
      </c>
      <c r="B7709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7709" s="95" t="str">
        <f>IFERROR(VLOOKUP("UD",'Informacion '!P:Q,2,FALSE),"")</f>
        <v>Unidad</v>
      </c>
      <c r="D7709" s="94">
        <v>547</v>
      </c>
      <c r="E7709" s="84">
        <v>26.73</v>
      </c>
      <c r="F7709" s="83">
        <f t="shared" ca="1" si="305"/>
        <v>14621.31</v>
      </c>
    </row>
    <row r="7710" spans="1:6" ht="14.1" customHeight="1" x14ac:dyDescent="0.25">
      <c r="A7710" s="94" t="s">
        <v>16391</v>
      </c>
      <c r="B7710" s="82" t="str">
        <f ca="1">IFERROR(INDEX(UNSPSCDes,MATCH(INDIRECT(ADDRESS(ROW(),COLUMN()-1,4)),UNSPSCCode,0)),IF(INDIRECT(ADDRESS(ROW(),COLUMN()-1,4))="42142615","Accesorios para jeringas",""))</f>
        <v>Accesorios para jeringas</v>
      </c>
      <c r="C7710" s="95" t="str">
        <f>IFERROR(VLOOKUP("UD",'Informacion '!P:Q,2,FALSE),"")</f>
        <v>Unidad</v>
      </c>
      <c r="D7710" s="94">
        <v>55</v>
      </c>
      <c r="E7710" s="84">
        <v>8.68</v>
      </c>
      <c r="F7710" s="83">
        <f t="shared" ca="1" si="305"/>
        <v>477.4</v>
      </c>
    </row>
    <row r="7711" spans="1:6" ht="14.1" customHeight="1" x14ac:dyDescent="0.25">
      <c r="A7711" s="94" t="s">
        <v>2591</v>
      </c>
      <c r="B7711" s="82" t="str">
        <f ca="1">IFERROR(INDEX(UNSPSCDes,MATCH(INDIRECT(ADDRESS(ROW(),COLUMN()-1,4)),UNSPSCCode,0)),IF(INDIRECT(ADDRESS(ROW(),COLUMN()-1,4))="42142504","Agujas para biopsia",""))</f>
        <v>Agujas para biopsia</v>
      </c>
      <c r="C7711" s="95" t="str">
        <f>IFERROR(VLOOKUP("UD",'Informacion '!P:Q,2,FALSE),"")</f>
        <v>Unidad</v>
      </c>
      <c r="D7711" s="94">
        <v>72</v>
      </c>
      <c r="E7711" s="84">
        <v>1545.07</v>
      </c>
      <c r="F7711" s="83">
        <f t="shared" ca="1" si="305"/>
        <v>111245.04</v>
      </c>
    </row>
    <row r="7712" spans="1:6" ht="14.1" customHeight="1" x14ac:dyDescent="0.25">
      <c r="A7712" s="94" t="s">
        <v>3685</v>
      </c>
      <c r="B7712" s="82" t="str">
        <f ca="1">IFERROR(INDEX(UNSPSCDes,MATCH(INDIRECT(ADDRESS(ROW(),COLUMN()-1,4)),UNSPSCCode,0)),IF(INDIRECT(ADDRESS(ROW(),COLUMN()-1,4))="12191601","Solventes de alcohol",""))</f>
        <v>Solventes de alcohol</v>
      </c>
      <c r="C7712" s="95" t="str">
        <f>IFERROR(VLOOKUP("UD",'Informacion '!P:Q,2,FALSE),"")</f>
        <v>Unidad</v>
      </c>
      <c r="D7712" s="94">
        <v>5</v>
      </c>
      <c r="E7712" s="84">
        <v>2029.75</v>
      </c>
      <c r="F7712" s="83">
        <f t="shared" ca="1" si="305"/>
        <v>10148.75</v>
      </c>
    </row>
    <row r="7713" spans="1:6" ht="14.1" customHeight="1" x14ac:dyDescent="0.25">
      <c r="A7713" s="94" t="s">
        <v>16391</v>
      </c>
      <c r="B7713" s="82" t="str">
        <f ca="1">IFERROR(INDEX(UNSPSCDes,MATCH(INDIRECT(ADDRESS(ROW(),COLUMN()-1,4)),UNSPSCCode,0)),IF(INDIRECT(ADDRESS(ROW(),COLUMN()-1,4))="42142615","Accesorios para jeringas",""))</f>
        <v>Accesorios para jeringas</v>
      </c>
      <c r="C7713" s="95" t="str">
        <f>IFERROR(VLOOKUP("UD",'Informacion '!P:Q,2,FALSE),"")</f>
        <v>Unidad</v>
      </c>
      <c r="D7713" s="94">
        <v>10452</v>
      </c>
      <c r="E7713" s="84">
        <v>2.15</v>
      </c>
      <c r="F7713" s="83">
        <f t="shared" ca="1" si="305"/>
        <v>22471.8</v>
      </c>
    </row>
    <row r="7714" spans="1:6" ht="14.1" customHeight="1" x14ac:dyDescent="0.25">
      <c r="A7714" s="94" t="s">
        <v>16391</v>
      </c>
      <c r="B7714" s="82" t="str">
        <f ca="1">IFERROR(INDEX(UNSPSCDes,MATCH(INDIRECT(ADDRESS(ROW(),COLUMN()-1,4)),UNSPSCCode,0)),IF(INDIRECT(ADDRESS(ROW(),COLUMN()-1,4))="42142615","Accesorios para jeringas",""))</f>
        <v>Accesorios para jeringas</v>
      </c>
      <c r="C7714" s="95" t="str">
        <f>IFERROR(VLOOKUP("UD",'Informacion '!P:Q,2,FALSE),"")</f>
        <v>Unidad</v>
      </c>
      <c r="D7714" s="94">
        <v>3257</v>
      </c>
      <c r="E7714" s="84">
        <v>3.26</v>
      </c>
      <c r="F7714" s="83">
        <f t="shared" ca="1" si="305"/>
        <v>10617.82</v>
      </c>
    </row>
    <row r="7715" spans="1:6" ht="14.1" customHeight="1" x14ac:dyDescent="0.25">
      <c r="A7715" s="94" t="s">
        <v>3169</v>
      </c>
      <c r="B7715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7715" s="95" t="str">
        <f>IFERROR(VLOOKUP("UD",'Informacion '!P:Q,2,FALSE),"")</f>
        <v>Unidad</v>
      </c>
      <c r="D7715" s="94">
        <v>816</v>
      </c>
      <c r="E7715" s="84">
        <v>11.3</v>
      </c>
      <c r="F7715" s="83">
        <f t="shared" ca="1" si="305"/>
        <v>9220.8000000000011</v>
      </c>
    </row>
    <row r="7716" spans="1:6" ht="14.1" customHeight="1" x14ac:dyDescent="0.25">
      <c r="A7716" s="94" t="s">
        <v>6591</v>
      </c>
      <c r="B7716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7716" s="95" t="str">
        <f>IFERROR(VLOOKUP("UD",'Informacion '!P:Q,2,FALSE),"")</f>
        <v>Unidad</v>
      </c>
      <c r="D7716" s="94">
        <v>232</v>
      </c>
      <c r="E7716" s="84">
        <v>2.74</v>
      </c>
      <c r="F7716" s="83">
        <f t="shared" ca="1" si="305"/>
        <v>635.68000000000006</v>
      </c>
    </row>
    <row r="7717" spans="1:6" ht="14.1" customHeight="1" x14ac:dyDescent="0.25">
      <c r="A7717" s="94" t="s">
        <v>1865</v>
      </c>
      <c r="B7717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717" s="95" t="str">
        <f>IFERROR(VLOOKUP("UD",'Informacion '!P:Q,2,FALSE),"")</f>
        <v>Unidad</v>
      </c>
      <c r="D7717" s="94">
        <v>66</v>
      </c>
      <c r="E7717" s="84">
        <v>10.36</v>
      </c>
      <c r="F7717" s="83">
        <f t="shared" ca="1" si="305"/>
        <v>683.76</v>
      </c>
    </row>
    <row r="7718" spans="1:6" ht="14.1" customHeight="1" x14ac:dyDescent="0.25">
      <c r="A7718" s="94" t="s">
        <v>10483</v>
      </c>
      <c r="B7718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718" s="95" t="str">
        <f>IFERROR(VLOOKUP("UD",'Informacion '!P:Q,2,FALSE),"")</f>
        <v>Unidad</v>
      </c>
      <c r="D7718" s="94">
        <v>4</v>
      </c>
      <c r="E7718" s="84">
        <v>2048.34</v>
      </c>
      <c r="F7718" s="83">
        <f t="shared" ca="1" si="305"/>
        <v>8193.36</v>
      </c>
    </row>
    <row r="7719" spans="1:6" ht="14.1" customHeight="1" x14ac:dyDescent="0.25">
      <c r="A7719" s="94" t="s">
        <v>11575</v>
      </c>
      <c r="B7719" s="82" t="str">
        <f ca="1">IFERROR(INDEX(UNSPSCDes,MATCH(INDIRECT(ADDRESS(ROW(),COLUMN()-1,4)),UNSPSCCode,0)),IF(INDIRECT(ADDRESS(ROW(),COLUMN()-1,4))="12352104","Alcoholes o sus sustitutos",""))</f>
        <v>Alcoholes o sus sustitutos</v>
      </c>
      <c r="C7719" s="95" t="str">
        <f>IFERROR(VLOOKUP("UD",'Informacion '!P:Q,2,FALSE),"")</f>
        <v>Unidad</v>
      </c>
      <c r="D7719" s="94">
        <v>62</v>
      </c>
      <c r="E7719" s="84">
        <v>985.53</v>
      </c>
      <c r="F7719" s="83">
        <f t="shared" ca="1" si="305"/>
        <v>61102.86</v>
      </c>
    </row>
    <row r="7720" spans="1:6" ht="14.1" customHeight="1" x14ac:dyDescent="0.25">
      <c r="A7720" s="94" t="s">
        <v>3593</v>
      </c>
      <c r="B7720" s="82" t="str">
        <f ca="1">IFERROR(INDEX(UNSPSCDes,MATCH(INDIRECT(ADDRESS(ROW(),COLUMN()-1,4)),UNSPSCCode,0)),IF(INDIRECT(ADDRESS(ROW(),COLUMN()-1,4))="51181506","Insulina",""))</f>
        <v>Insulina</v>
      </c>
      <c r="C7720" s="95" t="str">
        <f>IFERROR(VLOOKUP("UD",'Informacion '!P:Q,2,FALSE),"")</f>
        <v>Unidad</v>
      </c>
      <c r="D7720" s="94">
        <v>276</v>
      </c>
      <c r="E7720" s="84">
        <v>20.77</v>
      </c>
      <c r="F7720" s="83">
        <f t="shared" ca="1" si="305"/>
        <v>5732.5199999999995</v>
      </c>
    </row>
    <row r="7721" spans="1:6" ht="14.1" customHeight="1" x14ac:dyDescent="0.25">
      <c r="A7721" s="94" t="s">
        <v>4298</v>
      </c>
      <c r="B7721" s="82" t="str">
        <f ca="1">IFERROR(INDEX(UNSPSCDes,MATCH(INDIRECT(ADDRESS(ROW(),COLUMN()-1,4)),UNSPSCCode,0)),IF(INDIRECT(ADDRESS(ROW(),COLUMN()-1,4))="39121436","Electrodos",""))</f>
        <v>Electrodos</v>
      </c>
      <c r="C7721" s="95" t="str">
        <f>IFERROR(VLOOKUP("UD",'Informacion '!P:Q,2,FALSE),"")</f>
        <v>Unidad</v>
      </c>
      <c r="D7721" s="94">
        <v>6</v>
      </c>
      <c r="E7721" s="84">
        <v>1097.5999999999999</v>
      </c>
      <c r="F7721" s="83">
        <f t="shared" ca="1" si="305"/>
        <v>6585.5999999999995</v>
      </c>
    </row>
    <row r="7722" spans="1:6" ht="14.1" customHeight="1" x14ac:dyDescent="0.25">
      <c r="A7722" s="94" t="s">
        <v>16391</v>
      </c>
      <c r="B7722" s="82" t="str">
        <f ca="1">IFERROR(INDEX(UNSPSCDes,MATCH(INDIRECT(ADDRESS(ROW(),COLUMN()-1,4)),UNSPSCCode,0)),IF(INDIRECT(ADDRESS(ROW(),COLUMN()-1,4))="42142615","Accesorios para jeringas",""))</f>
        <v>Accesorios para jeringas</v>
      </c>
      <c r="C7722" s="95" t="str">
        <f>IFERROR(VLOOKUP("UD",'Informacion '!P:Q,2,FALSE),"")</f>
        <v>Unidad</v>
      </c>
      <c r="D7722" s="94">
        <v>10</v>
      </c>
      <c r="E7722" s="84">
        <v>8.59</v>
      </c>
      <c r="F7722" s="83">
        <f t="shared" ref="F7722:F7753" ca="1" si="306">INDIRECT(ADDRESS(ROW(),COLUMN()-2,4))*INDIRECT(ADDRESS(ROW(),COLUMN()-1,4))</f>
        <v>85.9</v>
      </c>
    </row>
    <row r="7723" spans="1:6" ht="14.1" customHeight="1" x14ac:dyDescent="0.25">
      <c r="A7723" s="94" t="s">
        <v>18707</v>
      </c>
      <c r="B7723" s="82" t="str">
        <f ca="1">IFERROR(INDEX(UNSPSCDes,MATCH(INDIRECT(ADDRESS(ROW(),COLUMN()-1,4)),UNSPSCCode,0)),IF(INDIRECT(ADDRESS(ROW(),COLUMN()-1,4))="40101903","Humidificadores",""))</f>
        <v>Humidificadores</v>
      </c>
      <c r="C7723" s="95" t="str">
        <f>IFERROR(VLOOKUP("UD",'Informacion '!P:Q,2,FALSE),"")</f>
        <v>Unidad</v>
      </c>
      <c r="D7723" s="94">
        <v>61</v>
      </c>
      <c r="E7723" s="84">
        <v>112.1</v>
      </c>
      <c r="F7723" s="83">
        <f t="shared" ca="1" si="306"/>
        <v>6838.0999999999995</v>
      </c>
    </row>
    <row r="7724" spans="1:6" ht="14.1" customHeight="1" x14ac:dyDescent="0.25">
      <c r="A7724" s="94" t="s">
        <v>6266</v>
      </c>
      <c r="B7724" s="82" t="str">
        <f ca="1">IFERROR(INDEX(UNSPSCDes,MATCH(INDIRECT(ADDRESS(ROW(),COLUMN()-1,4)),UNSPSCCode,0)),IF(INDIRECT(ADDRESS(ROW(),COLUMN()-1,4))="30151701","Boquillas de bajantes",""))</f>
        <v>Boquillas de bajantes</v>
      </c>
      <c r="C7724" s="95" t="str">
        <f>IFERROR(VLOOKUP("UD",'Informacion '!P:Q,2,FALSE),"")</f>
        <v>Unidad</v>
      </c>
      <c r="D7724" s="94">
        <v>131</v>
      </c>
      <c r="E7724" s="84">
        <v>14.16</v>
      </c>
      <c r="F7724" s="83">
        <f t="shared" ca="1" si="306"/>
        <v>1854.96</v>
      </c>
    </row>
    <row r="7725" spans="1:6" ht="14.1" customHeight="1" x14ac:dyDescent="0.25">
      <c r="A7725" s="94" t="s">
        <v>9554</v>
      </c>
      <c r="B7725" s="82" t="str">
        <f ca="1">IFERROR(INDEX(UNSPSCDes,MATCH(INDIRECT(ADDRESS(ROW(),COLUMN()-1,4)),UNSPSCCode,0)),IF(INDIRECT(ADDRESS(ROW(),COLUMN()-1,4))="31241501","Lentes",""))</f>
        <v>Lentes</v>
      </c>
      <c r="C7725" s="95" t="str">
        <f>IFERROR(VLOOKUP("UD",'Informacion '!P:Q,2,FALSE),"")</f>
        <v>Unidad</v>
      </c>
      <c r="D7725" s="94">
        <v>4</v>
      </c>
      <c r="E7725" s="84">
        <v>177</v>
      </c>
      <c r="F7725" s="83">
        <f t="shared" ca="1" si="306"/>
        <v>708</v>
      </c>
    </row>
    <row r="7726" spans="1:6" ht="14.1" customHeight="1" x14ac:dyDescent="0.25">
      <c r="A7726" s="94" t="s">
        <v>11857</v>
      </c>
      <c r="B7726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726" s="95" t="str">
        <f>IFERROR(VLOOKUP("UD",'Informacion '!P:Q,2,FALSE),"")</f>
        <v>Unidad</v>
      </c>
      <c r="D7726" s="94">
        <v>102</v>
      </c>
      <c r="E7726" s="84">
        <v>1.81</v>
      </c>
      <c r="F7726" s="83">
        <f t="shared" ca="1" si="306"/>
        <v>184.62</v>
      </c>
    </row>
    <row r="7727" spans="1:6" ht="14.1" customHeight="1" x14ac:dyDescent="0.25">
      <c r="A7727" s="94" t="s">
        <v>435</v>
      </c>
      <c r="B7727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727" s="95" t="str">
        <f>IFERROR(VLOOKUP("UD",'Informacion '!P:Q,2,FALSE),"")</f>
        <v>Unidad</v>
      </c>
      <c r="D7727" s="94">
        <v>25</v>
      </c>
      <c r="E7727" s="84">
        <v>708</v>
      </c>
      <c r="F7727" s="83">
        <f t="shared" ca="1" si="306"/>
        <v>17700</v>
      </c>
    </row>
    <row r="7728" spans="1:6" ht="14.1" customHeight="1" x14ac:dyDescent="0.25">
      <c r="A7728" s="94" t="s">
        <v>2064</v>
      </c>
      <c r="B7728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728" s="95" t="str">
        <f>IFERROR(VLOOKUP("UD",'Informacion '!P:Q,2,FALSE),"")</f>
        <v>Unidad</v>
      </c>
      <c r="D7728" s="94">
        <v>21</v>
      </c>
      <c r="E7728" s="84">
        <v>1805.4</v>
      </c>
      <c r="F7728" s="83">
        <f t="shared" ca="1" si="306"/>
        <v>37913.4</v>
      </c>
    </row>
    <row r="7729" spans="1:6" ht="14.1" customHeight="1" x14ac:dyDescent="0.25">
      <c r="A7729" s="94" t="s">
        <v>18956</v>
      </c>
      <c r="B7729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729" s="95" t="str">
        <f>IFERROR(VLOOKUP("UD",'Informacion '!P:Q,2,FALSE),"")</f>
        <v>Unidad</v>
      </c>
      <c r="D7729" s="94">
        <v>789</v>
      </c>
      <c r="E7729" s="84">
        <v>3.19</v>
      </c>
      <c r="F7729" s="83">
        <f t="shared" ca="1" si="306"/>
        <v>2516.91</v>
      </c>
    </row>
    <row r="7730" spans="1:6" ht="14.1" customHeight="1" x14ac:dyDescent="0.25">
      <c r="A7730" s="94" t="s">
        <v>14958</v>
      </c>
      <c r="B7730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7730" s="95" t="str">
        <f>IFERROR(VLOOKUP("UD",'Informacion '!P:Q,2,FALSE),"")</f>
        <v>Unidad</v>
      </c>
      <c r="D7730" s="94">
        <v>759</v>
      </c>
      <c r="E7730" s="84">
        <v>1.48</v>
      </c>
      <c r="F7730" s="83">
        <f t="shared" ca="1" si="306"/>
        <v>1123.32</v>
      </c>
    </row>
    <row r="7731" spans="1:6" ht="14.1" customHeight="1" x14ac:dyDescent="0.25">
      <c r="A7731" s="94" t="s">
        <v>3216</v>
      </c>
      <c r="B7731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731" s="95" t="str">
        <f>IFERROR(VLOOKUP("UD",'Informacion '!P:Q,2,FALSE),"")</f>
        <v>Unidad</v>
      </c>
      <c r="D7731" s="94">
        <v>8</v>
      </c>
      <c r="E7731" s="84">
        <v>94.4</v>
      </c>
      <c r="F7731" s="83">
        <f t="shared" ca="1" si="306"/>
        <v>755.2</v>
      </c>
    </row>
    <row r="7732" spans="1:6" ht="14.1" customHeight="1" x14ac:dyDescent="0.25">
      <c r="A7732" s="94" t="s">
        <v>4298</v>
      </c>
      <c r="B7732" s="82" t="str">
        <f ca="1">IFERROR(INDEX(UNSPSCDes,MATCH(INDIRECT(ADDRESS(ROW(),COLUMN()-1,4)),UNSPSCCode,0)),IF(INDIRECT(ADDRESS(ROW(),COLUMN()-1,4))="39121436","Electrodos",""))</f>
        <v>Electrodos</v>
      </c>
      <c r="C7732" s="95" t="str">
        <f>IFERROR(VLOOKUP("UD",'Informacion '!P:Q,2,FALSE),"")</f>
        <v>Unidad</v>
      </c>
      <c r="D7732" s="94">
        <v>308</v>
      </c>
      <c r="E7732" s="84">
        <v>12.92</v>
      </c>
      <c r="F7732" s="83">
        <f t="shared" ca="1" si="306"/>
        <v>3979.36</v>
      </c>
    </row>
    <row r="7733" spans="1:6" ht="14.1" customHeight="1" x14ac:dyDescent="0.25">
      <c r="A7733" s="94" t="s">
        <v>4162</v>
      </c>
      <c r="B7733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7733" s="95" t="str">
        <f>IFERROR(VLOOKUP("UD",'Informacion '!P:Q,2,FALSE),"")</f>
        <v>Unidad</v>
      </c>
      <c r="D7733" s="94">
        <v>6</v>
      </c>
      <c r="E7733" s="84">
        <v>1845.46</v>
      </c>
      <c r="F7733" s="83">
        <f t="shared" ca="1" si="306"/>
        <v>11072.76</v>
      </c>
    </row>
    <row r="7734" spans="1:6" ht="14.1" customHeight="1" x14ac:dyDescent="0.25">
      <c r="A7734" s="94" t="s">
        <v>11071</v>
      </c>
      <c r="B7734" s="82" t="str">
        <f ca="1">IFERROR(INDEX(UNSPSCDes,MATCH(INDIRECT(ADDRESS(ROW(),COLUMN()-1,4)),UNSPSCCode,0)),IF(INDIRECT(ADDRESS(ROW(),COLUMN()-1,4))="42142523","Agujas hipodérmicas",""))</f>
        <v>Agujas hipodérmicas</v>
      </c>
      <c r="C7734" s="95" t="str">
        <f>IFERROR(VLOOKUP("UD",'Informacion '!P:Q,2,FALSE),"")</f>
        <v>Unidad</v>
      </c>
      <c r="D7734" s="94">
        <v>3355</v>
      </c>
      <c r="E7734" s="84">
        <v>1.24</v>
      </c>
      <c r="F7734" s="83">
        <f t="shared" ca="1" si="306"/>
        <v>4160.2</v>
      </c>
    </row>
    <row r="7735" spans="1:6" ht="14.1" customHeight="1" x14ac:dyDescent="0.25">
      <c r="A7735" s="94" t="s">
        <v>5706</v>
      </c>
      <c r="B7735" s="82" t="str">
        <f ca="1">IFERROR(INDEX(UNSPSCDes,MATCH(INDIRECT(ADDRESS(ROW(),COLUMN()-1,4)),UNSPSCCode,0)),IF(INDIRECT(ADDRESS(ROW(),COLUMN()-1,4))="41104014","Aplicadores de muestras",""))</f>
        <v>Aplicadores de muestras</v>
      </c>
      <c r="C7735" s="95" t="str">
        <f>IFERROR(VLOOKUP("UD",'Informacion '!P:Q,2,FALSE),"")</f>
        <v>Unidad</v>
      </c>
      <c r="D7735" s="94">
        <v>29</v>
      </c>
      <c r="E7735" s="84">
        <v>2.63</v>
      </c>
      <c r="F7735" s="83">
        <f t="shared" ca="1" si="306"/>
        <v>76.27</v>
      </c>
    </row>
    <row r="7736" spans="1:6" ht="14.1" customHeight="1" x14ac:dyDescent="0.25">
      <c r="A7736" s="94" t="s">
        <v>4298</v>
      </c>
      <c r="B7736" s="82" t="str">
        <f ca="1">IFERROR(INDEX(UNSPSCDes,MATCH(INDIRECT(ADDRESS(ROW(),COLUMN()-1,4)),UNSPSCCode,0)),IF(INDIRECT(ADDRESS(ROW(),COLUMN()-1,4))="39121436","Electrodos",""))</f>
        <v>Electrodos</v>
      </c>
      <c r="C7736" s="95" t="str">
        <f>IFERROR(VLOOKUP("UD",'Informacion '!P:Q,2,FALSE),"")</f>
        <v>Unidad</v>
      </c>
      <c r="D7736" s="94">
        <v>446</v>
      </c>
      <c r="E7736" s="84">
        <v>12.92</v>
      </c>
      <c r="F7736" s="83">
        <f t="shared" ca="1" si="306"/>
        <v>5762.32</v>
      </c>
    </row>
    <row r="7737" spans="1:6" ht="14.1" customHeight="1" x14ac:dyDescent="0.25">
      <c r="A7737" s="94" t="s">
        <v>10944</v>
      </c>
      <c r="B7737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737" s="95" t="str">
        <f>IFERROR(VLOOKUP("UD",'Informacion '!P:Q,2,FALSE),"")</f>
        <v>Unidad</v>
      </c>
      <c r="D7737" s="94">
        <v>8</v>
      </c>
      <c r="E7737" s="84">
        <v>95</v>
      </c>
      <c r="F7737" s="83">
        <f t="shared" ca="1" si="306"/>
        <v>760</v>
      </c>
    </row>
    <row r="7738" spans="1:6" ht="14.1" customHeight="1" x14ac:dyDescent="0.25">
      <c r="A7738" s="94" t="s">
        <v>18114</v>
      </c>
      <c r="B7738" s="82" t="str">
        <f ca="1">IFERROR(INDEX(UNSPSCDes,MATCH(INDIRECT(ADDRESS(ROW(),COLUMN()-1,4)),UNSPSCCode,0)),IF(INDIRECT(ADDRESS(ROW(),COLUMN()-1,4))="31201503","Cinta de enmascarar",""))</f>
        <v>Cinta de enmascarar</v>
      </c>
      <c r="C7738" s="95" t="str">
        <f>IFERROR(VLOOKUP("UD",'Informacion '!P:Q,2,FALSE),"")</f>
        <v>Unidad</v>
      </c>
      <c r="D7738" s="94">
        <v>2</v>
      </c>
      <c r="E7738" s="84">
        <v>344.07</v>
      </c>
      <c r="F7738" s="83">
        <f t="shared" ca="1" si="306"/>
        <v>688.14</v>
      </c>
    </row>
    <row r="7739" spans="1:6" ht="14.1" customHeight="1" x14ac:dyDescent="0.25">
      <c r="A7739" s="94" t="s">
        <v>18114</v>
      </c>
      <c r="B7739" s="82" t="str">
        <f ca="1">IFERROR(INDEX(UNSPSCDes,MATCH(INDIRECT(ADDRESS(ROW(),COLUMN()-1,4)),UNSPSCCode,0)),IF(INDIRECT(ADDRESS(ROW(),COLUMN()-1,4))="31201503","Cinta de enmascarar",""))</f>
        <v>Cinta de enmascarar</v>
      </c>
      <c r="C7739" s="95" t="str">
        <f>IFERROR(VLOOKUP("UD",'Informacion '!P:Q,2,FALSE),"")</f>
        <v>Unidad</v>
      </c>
      <c r="D7739" s="94">
        <v>18</v>
      </c>
      <c r="E7739" s="84">
        <v>490.07</v>
      </c>
      <c r="F7739" s="83">
        <f t="shared" ca="1" si="306"/>
        <v>8821.26</v>
      </c>
    </row>
    <row r="7740" spans="1:6" ht="14.1" customHeight="1" x14ac:dyDescent="0.25">
      <c r="A7740" s="94" t="s">
        <v>3581</v>
      </c>
      <c r="B7740" s="82" t="str">
        <f ca="1">IFERROR(INDEX(UNSPSCDes,MATCH(INDIRECT(ADDRESS(ROW(),COLUMN()-1,4)),UNSPSCCode,0)),IF(INDIRECT(ADDRESS(ROW(),COLUMN()-1,4))="42132104","Almohadas antimicrobianas para hospital",""))</f>
        <v>Almohadas antimicrobianas para hospital</v>
      </c>
      <c r="C7740" s="95" t="str">
        <f>IFERROR(VLOOKUP("UD",'Informacion '!P:Q,2,FALSE),"")</f>
        <v>Unidad</v>
      </c>
      <c r="D7740" s="94">
        <v>10</v>
      </c>
      <c r="E7740" s="84">
        <v>40</v>
      </c>
      <c r="F7740" s="83">
        <f t="shared" ca="1" si="306"/>
        <v>400</v>
      </c>
    </row>
    <row r="7741" spans="1:6" ht="14.1" customHeight="1" x14ac:dyDescent="0.25">
      <c r="A7741" s="94" t="s">
        <v>7175</v>
      </c>
      <c r="B7741" s="82" t="str">
        <f ca="1">IFERROR(INDEX(UNSPSCDes,MATCH(INDIRECT(ADDRESS(ROW(),COLUMN()-1,4)),UNSPSCCode,0)),IF(INDIRECT(ADDRESS(ROW(),COLUMN()-1,4))="42272214","Conectores o adaptadores o válvulas de circuitos",""))</f>
        <v>Conectores o adaptadores o válvulas de circuitos</v>
      </c>
      <c r="C7741" s="95" t="str">
        <f>IFERROR(VLOOKUP("UD",'Informacion '!P:Q,2,FALSE),"")</f>
        <v>Unidad</v>
      </c>
      <c r="D7741" s="94">
        <v>1</v>
      </c>
      <c r="E7741" s="84">
        <v>70.78</v>
      </c>
      <c r="F7741" s="83">
        <f t="shared" ca="1" si="306"/>
        <v>70.78</v>
      </c>
    </row>
    <row r="7742" spans="1:6" ht="14.1" customHeight="1" x14ac:dyDescent="0.25">
      <c r="A7742" s="94" t="s">
        <v>10944</v>
      </c>
      <c r="B7742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742" s="95" t="str">
        <f>IFERROR(VLOOKUP("UD",'Informacion '!P:Q,2,FALSE),"")</f>
        <v>Unidad</v>
      </c>
      <c r="D7742" s="94">
        <v>13</v>
      </c>
      <c r="E7742" s="84">
        <v>19.489999999999998</v>
      </c>
      <c r="F7742" s="83">
        <f t="shared" ca="1" si="306"/>
        <v>253.36999999999998</v>
      </c>
    </row>
    <row r="7743" spans="1:6" ht="14.1" customHeight="1" x14ac:dyDescent="0.25">
      <c r="A7743" s="94" t="s">
        <v>12909</v>
      </c>
      <c r="B7743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743" s="95" t="str">
        <f>IFERROR(VLOOKUP("UD",'Informacion '!P:Q,2,FALSE),"")</f>
        <v>Unidad</v>
      </c>
      <c r="D7743" s="94">
        <v>19</v>
      </c>
      <c r="E7743" s="84">
        <v>2.08</v>
      </c>
      <c r="F7743" s="83">
        <f t="shared" ca="1" si="306"/>
        <v>39.520000000000003</v>
      </c>
    </row>
    <row r="7744" spans="1:6" ht="14.1" customHeight="1" x14ac:dyDescent="0.25">
      <c r="A7744" s="94" t="s">
        <v>6120</v>
      </c>
      <c r="B7744" s="82" t="str">
        <f ca="1">IFERROR(INDEX(UNSPSCDes,MATCH(INDIRECT(ADDRESS(ROW(),COLUMN()-1,4)),UNSPSCCode,0)),IF(INDIRECT(ADDRESS(ROW(),COLUMN()-1,4))="44121634","Rollos adhesivos",""))</f>
        <v>Rollos adhesivos</v>
      </c>
      <c r="C7744" s="95" t="str">
        <f>IFERROR(VLOOKUP("UD",'Informacion '!P:Q,2,FALSE),"")</f>
        <v>Unidad</v>
      </c>
      <c r="D7744" s="94">
        <v>6</v>
      </c>
      <c r="E7744" s="84">
        <v>80</v>
      </c>
      <c r="F7744" s="83">
        <f t="shared" ca="1" si="306"/>
        <v>480</v>
      </c>
    </row>
    <row r="7745" spans="1:6" ht="14.1" customHeight="1" x14ac:dyDescent="0.25">
      <c r="A7745" s="94" t="s">
        <v>15520</v>
      </c>
      <c r="B7745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7745" s="95" t="str">
        <f>IFERROR(VLOOKUP("UD",'Informacion '!P:Q,2,FALSE),"")</f>
        <v>Unidad</v>
      </c>
      <c r="D7745" s="94">
        <v>222</v>
      </c>
      <c r="E7745" s="84">
        <v>5.68</v>
      </c>
      <c r="F7745" s="83">
        <f t="shared" ca="1" si="306"/>
        <v>1260.96</v>
      </c>
    </row>
    <row r="7746" spans="1:6" ht="14.1" customHeight="1" x14ac:dyDescent="0.25">
      <c r="A7746" s="94" t="s">
        <v>14660</v>
      </c>
      <c r="B7746" s="82" t="str">
        <f ca="1">IFERROR(INDEX(UNSPSCDes,MATCH(INDIRECT(ADDRESS(ROW(),COLUMN()-1,4)),UNSPSCCode,0)),IF(INDIRECT(ADDRESS(ROW(),COLUMN()-1,4))="42311526","Vendajes de",""))</f>
        <v>Vendajes de</v>
      </c>
      <c r="C7746" s="95" t="str">
        <f>IFERROR(VLOOKUP("UD",'Informacion '!P:Q,2,FALSE),"")</f>
        <v>Unidad</v>
      </c>
      <c r="D7746" s="94">
        <v>6</v>
      </c>
      <c r="E7746" s="84">
        <v>27</v>
      </c>
      <c r="F7746" s="83">
        <f t="shared" ca="1" si="306"/>
        <v>162</v>
      </c>
    </row>
    <row r="7747" spans="1:6" ht="14.1" customHeight="1" x14ac:dyDescent="0.25">
      <c r="A7747" s="94" t="s">
        <v>14138</v>
      </c>
      <c r="B7747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747" s="95" t="str">
        <f>IFERROR(VLOOKUP("UD",'Informacion '!P:Q,2,FALSE),"")</f>
        <v>Unidad</v>
      </c>
      <c r="D7747" s="94">
        <v>27</v>
      </c>
      <c r="E7747" s="84">
        <v>13.87</v>
      </c>
      <c r="F7747" s="83">
        <f t="shared" ca="1" si="306"/>
        <v>374.48999999999995</v>
      </c>
    </row>
    <row r="7748" spans="1:6" ht="14.1" customHeight="1" x14ac:dyDescent="0.25">
      <c r="A7748" s="94" t="s">
        <v>6120</v>
      </c>
      <c r="B7748" s="82" t="str">
        <f ca="1">IFERROR(INDEX(UNSPSCDes,MATCH(INDIRECT(ADDRESS(ROW(),COLUMN()-1,4)),UNSPSCCode,0)),IF(INDIRECT(ADDRESS(ROW(),COLUMN()-1,4))="44121634","Rollos adhesivos",""))</f>
        <v>Rollos adhesivos</v>
      </c>
      <c r="C7748" s="95" t="str">
        <f>IFERROR(VLOOKUP("UD",'Informacion '!P:Q,2,FALSE),"")</f>
        <v>Unidad</v>
      </c>
      <c r="D7748" s="94">
        <v>26</v>
      </c>
      <c r="E7748" s="84">
        <v>61.7</v>
      </c>
      <c r="F7748" s="83">
        <f t="shared" ca="1" si="306"/>
        <v>1604.2</v>
      </c>
    </row>
    <row r="7749" spans="1:6" ht="14.1" customHeight="1" x14ac:dyDescent="0.25">
      <c r="A7749" s="94" t="s">
        <v>10944</v>
      </c>
      <c r="B7749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749" s="95" t="str">
        <f>IFERROR(VLOOKUP("UD",'Informacion '!P:Q,2,FALSE),"")</f>
        <v>Unidad</v>
      </c>
      <c r="D7749" s="94">
        <v>10</v>
      </c>
      <c r="E7749" s="84">
        <v>18.78</v>
      </c>
      <c r="F7749" s="83">
        <f t="shared" ca="1" si="306"/>
        <v>187.8</v>
      </c>
    </row>
    <row r="7750" spans="1:6" ht="14.1" customHeight="1" x14ac:dyDescent="0.25">
      <c r="A7750" s="94" t="s">
        <v>435</v>
      </c>
      <c r="B7750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750" s="95" t="str">
        <f>IFERROR(VLOOKUP("UD",'Informacion '!P:Q,2,FALSE),"")</f>
        <v>Unidad</v>
      </c>
      <c r="D7750" s="94">
        <v>18</v>
      </c>
      <c r="E7750" s="84">
        <v>448.8</v>
      </c>
      <c r="F7750" s="83">
        <f t="shared" ca="1" si="306"/>
        <v>8078.4000000000005</v>
      </c>
    </row>
    <row r="7751" spans="1:6" ht="14.1" customHeight="1" x14ac:dyDescent="0.25">
      <c r="A7751" s="94" t="s">
        <v>3552</v>
      </c>
      <c r="B7751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751" s="95" t="str">
        <f>IFERROR(VLOOKUP("UD",'Informacion '!P:Q,2,FALSE),"")</f>
        <v>Unidad</v>
      </c>
      <c r="D7751" s="94">
        <v>8</v>
      </c>
      <c r="E7751" s="84">
        <v>2.76</v>
      </c>
      <c r="F7751" s="83">
        <f t="shared" ca="1" si="306"/>
        <v>22.08</v>
      </c>
    </row>
    <row r="7752" spans="1:6" ht="14.1" customHeight="1" x14ac:dyDescent="0.25">
      <c r="A7752" s="94" t="s">
        <v>15989</v>
      </c>
      <c r="B7752" s="82" t="str">
        <f ca="1">IFERROR(INDEX(UNSPSCDes,MATCH(INDIRECT(ADDRESS(ROW(),COLUMN()-1,4)),UNSPSCCode,0)),IF(INDIRECT(ADDRESS(ROW(),COLUMN()-1,4))="42272504","Sets o kits de anestesia",""))</f>
        <v>Sets o kits de anestesia</v>
      </c>
      <c r="C7752" s="95" t="str">
        <f>IFERROR(VLOOKUP("UD",'Informacion '!P:Q,2,FALSE),"")</f>
        <v>Unidad</v>
      </c>
      <c r="D7752" s="94">
        <v>10</v>
      </c>
      <c r="E7752" s="84">
        <v>232.34</v>
      </c>
      <c r="F7752" s="83">
        <f t="shared" ca="1" si="306"/>
        <v>2323.4</v>
      </c>
    </row>
    <row r="7753" spans="1:6" ht="14.1" customHeight="1" x14ac:dyDescent="0.25">
      <c r="A7753" s="94" t="s">
        <v>14286</v>
      </c>
      <c r="B7753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753" s="95" t="str">
        <f>IFERROR(VLOOKUP("UD",'Informacion '!P:Q,2,FALSE),"")</f>
        <v>Unidad</v>
      </c>
      <c r="D7753" s="94">
        <v>50</v>
      </c>
      <c r="E7753" s="84">
        <v>310.47000000000003</v>
      </c>
      <c r="F7753" s="83">
        <f t="shared" ca="1" si="306"/>
        <v>15523.500000000002</v>
      </c>
    </row>
    <row r="7754" spans="1:6" ht="14.1" customHeight="1" x14ac:dyDescent="0.25">
      <c r="A7754" s="94" t="s">
        <v>4949</v>
      </c>
      <c r="B7754" s="82" t="str">
        <f ca="1">IFERROR(INDEX(UNSPSCDes,MATCH(INDIRECT(ADDRESS(ROW(),COLUMN()-1,4)),UNSPSCCode,0)),IF(INDIRECT(ADDRESS(ROW(),COLUMN()-1,4))="42295421","Lavado de preparación o soluciones de pintura para uso quirúrgico",""))</f>
        <v>Lavado de preparación o soluciones de pintura para uso quirúrgico</v>
      </c>
      <c r="C7754" s="95" t="str">
        <f>IFERROR(VLOOKUP("UD",'Informacion '!P:Q,2,FALSE),"")</f>
        <v>Unidad</v>
      </c>
      <c r="D7754" s="94">
        <v>6</v>
      </c>
      <c r="E7754" s="84">
        <v>2355.38</v>
      </c>
      <c r="F7754" s="83">
        <f t="shared" ref="F7754:F7767" ca="1" si="307">INDIRECT(ADDRESS(ROW(),COLUMN()-2,4))*INDIRECT(ADDRESS(ROW(),COLUMN()-1,4))</f>
        <v>14132.28</v>
      </c>
    </row>
    <row r="7755" spans="1:6" ht="14.1" customHeight="1" x14ac:dyDescent="0.25">
      <c r="A7755" s="94" t="s">
        <v>6302</v>
      </c>
      <c r="B7755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7755" s="95" t="str">
        <f>IFERROR(VLOOKUP("UD",'Informacion '!P:Q,2,FALSE),"")</f>
        <v>Unidad</v>
      </c>
      <c r="D7755" s="94">
        <v>20</v>
      </c>
      <c r="E7755" s="84">
        <v>18.52</v>
      </c>
      <c r="F7755" s="83">
        <f t="shared" ca="1" si="307"/>
        <v>370.4</v>
      </c>
    </row>
    <row r="7756" spans="1:6" ht="14.1" customHeight="1" x14ac:dyDescent="0.25">
      <c r="A7756" s="94" t="s">
        <v>6266</v>
      </c>
      <c r="B7756" s="82" t="str">
        <f ca="1">IFERROR(INDEX(UNSPSCDes,MATCH(INDIRECT(ADDRESS(ROW(),COLUMN()-1,4)),UNSPSCCode,0)),IF(INDIRECT(ADDRESS(ROW(),COLUMN()-1,4))="30151701","Boquillas de bajantes",""))</f>
        <v>Boquillas de bajantes</v>
      </c>
      <c r="C7756" s="95" t="str">
        <f>IFERROR(VLOOKUP("UD",'Informacion '!P:Q,2,FALSE),"")</f>
        <v>Unidad</v>
      </c>
      <c r="D7756" s="94">
        <v>52</v>
      </c>
      <c r="E7756" s="84">
        <v>6.45</v>
      </c>
      <c r="F7756" s="83">
        <f t="shared" ca="1" si="307"/>
        <v>335.40000000000003</v>
      </c>
    </row>
    <row r="7757" spans="1:6" ht="14.1" customHeight="1" x14ac:dyDescent="0.25">
      <c r="A7757" s="94" t="s">
        <v>4298</v>
      </c>
      <c r="B7757" s="82" t="str">
        <f ca="1">IFERROR(INDEX(UNSPSCDes,MATCH(INDIRECT(ADDRESS(ROW(),COLUMN()-1,4)),UNSPSCCode,0)),IF(INDIRECT(ADDRESS(ROW(),COLUMN()-1,4))="39121436","Electrodos",""))</f>
        <v>Electrodos</v>
      </c>
      <c r="C7757" s="95" t="str">
        <f>IFERROR(VLOOKUP("UD",'Informacion '!P:Q,2,FALSE),"")</f>
        <v>Unidad</v>
      </c>
      <c r="D7757" s="94">
        <v>18</v>
      </c>
      <c r="E7757" s="84">
        <v>317</v>
      </c>
      <c r="F7757" s="83">
        <f t="shared" ca="1" si="307"/>
        <v>5706</v>
      </c>
    </row>
    <row r="7758" spans="1:6" ht="14.1" customHeight="1" x14ac:dyDescent="0.25">
      <c r="A7758" s="94" t="s">
        <v>7820</v>
      </c>
      <c r="B775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758" s="95" t="str">
        <f>IFERROR(VLOOKUP("UD",'Informacion '!P:Q,2,FALSE),"")</f>
        <v>Unidad</v>
      </c>
      <c r="D7758" s="94">
        <v>20</v>
      </c>
      <c r="E7758" s="84">
        <v>129.80000000000001</v>
      </c>
      <c r="F7758" s="83">
        <f t="shared" ca="1" si="307"/>
        <v>2596</v>
      </c>
    </row>
    <row r="7759" spans="1:6" ht="14.1" customHeight="1" x14ac:dyDescent="0.25">
      <c r="A7759" s="94" t="s">
        <v>435</v>
      </c>
      <c r="B7759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759" s="95" t="str">
        <f>IFERROR(VLOOKUP("UD",'Informacion '!P:Q,2,FALSE),"")</f>
        <v>Unidad</v>
      </c>
      <c r="D7759" s="94">
        <v>10</v>
      </c>
      <c r="E7759" s="84">
        <v>17.940000000000001</v>
      </c>
      <c r="F7759" s="83">
        <f t="shared" ca="1" si="307"/>
        <v>179.4</v>
      </c>
    </row>
    <row r="7760" spans="1:6" ht="14.1" customHeight="1" x14ac:dyDescent="0.25">
      <c r="A7760" s="94" t="s">
        <v>16391</v>
      </c>
      <c r="B7760" s="82" t="str">
        <f ca="1">IFERROR(INDEX(UNSPSCDes,MATCH(INDIRECT(ADDRESS(ROW(),COLUMN()-1,4)),UNSPSCCode,0)),IF(INDIRECT(ADDRESS(ROW(),COLUMN()-1,4))="42142615","Accesorios para jeringas",""))</f>
        <v>Accesorios para jeringas</v>
      </c>
      <c r="C7760" s="95" t="str">
        <f>IFERROR(VLOOKUP("UD",'Informacion '!P:Q,2,FALSE),"")</f>
        <v>Unidad</v>
      </c>
      <c r="D7760" s="94">
        <v>4391</v>
      </c>
      <c r="E7760" s="84">
        <v>3.26</v>
      </c>
      <c r="F7760" s="83">
        <f t="shared" ca="1" si="307"/>
        <v>14314.66</v>
      </c>
    </row>
    <row r="7761" spans="1:10" ht="14.1" customHeight="1" x14ac:dyDescent="0.25">
      <c r="A7761" s="94" t="s">
        <v>3593</v>
      </c>
      <c r="B7761" s="82" t="str">
        <f ca="1">IFERROR(INDEX(UNSPSCDes,MATCH(INDIRECT(ADDRESS(ROW(),COLUMN()-1,4)),UNSPSCCode,0)),IF(INDIRECT(ADDRESS(ROW(),COLUMN()-1,4))="51181506","Insulina",""))</f>
        <v>Insulina</v>
      </c>
      <c r="C7761" s="95" t="str">
        <f>IFERROR(VLOOKUP("UD",'Informacion '!P:Q,2,FALSE),"")</f>
        <v>Unidad</v>
      </c>
      <c r="D7761" s="94">
        <v>20</v>
      </c>
      <c r="E7761" s="84">
        <v>20.77</v>
      </c>
      <c r="F7761" s="83">
        <f t="shared" ca="1" si="307"/>
        <v>415.4</v>
      </c>
    </row>
    <row r="7762" spans="1:10" ht="14.1" customHeight="1" x14ac:dyDescent="0.25">
      <c r="A7762" s="94" t="s">
        <v>6266</v>
      </c>
      <c r="B7762" s="82" t="str">
        <f ca="1">IFERROR(INDEX(UNSPSCDes,MATCH(INDIRECT(ADDRESS(ROW(),COLUMN()-1,4)),UNSPSCCode,0)),IF(INDIRECT(ADDRESS(ROW(),COLUMN()-1,4))="30151701","Boquillas de bajantes",""))</f>
        <v>Boquillas de bajantes</v>
      </c>
      <c r="C7762" s="95" t="str">
        <f>IFERROR(VLOOKUP("UD",'Informacion '!P:Q,2,FALSE),"")</f>
        <v>Unidad</v>
      </c>
      <c r="D7762" s="94">
        <v>20</v>
      </c>
      <c r="E7762" s="84">
        <v>14.16</v>
      </c>
      <c r="F7762" s="83">
        <f t="shared" ca="1" si="307"/>
        <v>283.2</v>
      </c>
    </row>
    <row r="7763" spans="1:10" ht="14.1" customHeight="1" x14ac:dyDescent="0.25">
      <c r="A7763" s="94" t="s">
        <v>18956</v>
      </c>
      <c r="B7763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763" s="95" t="str">
        <f>IFERROR(VLOOKUP("UD",'Informacion '!P:Q,2,FALSE),"")</f>
        <v>Unidad</v>
      </c>
      <c r="D7763" s="94">
        <v>7</v>
      </c>
      <c r="E7763" s="84">
        <v>3.62</v>
      </c>
      <c r="F7763" s="83">
        <f t="shared" ca="1" si="307"/>
        <v>25.34</v>
      </c>
    </row>
    <row r="7764" spans="1:10" ht="14.1" customHeight="1" x14ac:dyDescent="0.25">
      <c r="A7764" s="94" t="s">
        <v>14958</v>
      </c>
      <c r="B7764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7764" s="95" t="str">
        <f>IFERROR(VLOOKUP("UD",'Informacion '!P:Q,2,FALSE),"")</f>
        <v>Unidad</v>
      </c>
      <c r="D7764" s="94">
        <v>25</v>
      </c>
      <c r="E7764" s="84">
        <v>11.8</v>
      </c>
      <c r="F7764" s="83">
        <f t="shared" ca="1" si="307"/>
        <v>295</v>
      </c>
    </row>
    <row r="7765" spans="1:10" ht="14.1" customHeight="1" x14ac:dyDescent="0.25">
      <c r="A7765" s="94" t="s">
        <v>4298</v>
      </c>
      <c r="B7765" s="82" t="str">
        <f ca="1">IFERROR(INDEX(UNSPSCDes,MATCH(INDIRECT(ADDRESS(ROW(),COLUMN()-1,4)),UNSPSCCode,0)),IF(INDIRECT(ADDRESS(ROW(),COLUMN()-1,4))="39121436","Electrodos",""))</f>
        <v>Electrodos</v>
      </c>
      <c r="C7765" s="95" t="str">
        <f>IFERROR(VLOOKUP("UD",'Informacion '!P:Q,2,FALSE),"")</f>
        <v>Unidad</v>
      </c>
      <c r="D7765" s="94">
        <v>5</v>
      </c>
      <c r="E7765" s="84">
        <v>12.92</v>
      </c>
      <c r="F7765" s="83">
        <f t="shared" ca="1" si="307"/>
        <v>64.599999999999994</v>
      </c>
    </row>
    <row r="7766" spans="1:10" ht="14.1" customHeight="1" x14ac:dyDescent="0.25">
      <c r="A7766" s="94" t="s">
        <v>4298</v>
      </c>
      <c r="B7766" s="82" t="str">
        <f ca="1">IFERROR(INDEX(UNSPSCDes,MATCH(INDIRECT(ADDRESS(ROW(),COLUMN()-1,4)),UNSPSCCode,0)),IF(INDIRECT(ADDRESS(ROW(),COLUMN()-1,4))="39121436","Electrodos",""))</f>
        <v>Electrodos</v>
      </c>
      <c r="C7766" s="95" t="str">
        <f>IFERROR(VLOOKUP("UD",'Informacion '!P:Q,2,FALSE),"")</f>
        <v>Unidad</v>
      </c>
      <c r="D7766" s="94">
        <v>10</v>
      </c>
      <c r="E7766" s="84">
        <v>12.92</v>
      </c>
      <c r="F7766" s="83">
        <f t="shared" ca="1" si="307"/>
        <v>129.19999999999999</v>
      </c>
    </row>
    <row r="7767" spans="1:10" ht="14.1" customHeight="1" x14ac:dyDescent="0.25">
      <c r="A7767" s="94" t="s">
        <v>4298</v>
      </c>
      <c r="B7767" s="82" t="str">
        <f ca="1">IFERROR(INDEX(UNSPSCDes,MATCH(INDIRECT(ADDRESS(ROW(),COLUMN()-1,4)),UNSPSCCode,0)),IF(INDIRECT(ADDRESS(ROW(),COLUMN()-1,4))="39121436","Electrodos",""))</f>
        <v>Electrodos</v>
      </c>
      <c r="C7767" s="95" t="str">
        <f>IFERROR(VLOOKUP("UD",'Informacion '!P:Q,2,FALSE),"")</f>
        <v>Unidad</v>
      </c>
      <c r="D7767" s="94">
        <v>4</v>
      </c>
      <c r="E7767" s="84">
        <v>6242.16</v>
      </c>
      <c r="F7767" s="83">
        <f t="shared" ca="1" si="307"/>
        <v>24968.639999999999</v>
      </c>
    </row>
    <row r="7768" spans="1:10" ht="14.1" customHeight="1" x14ac:dyDescent="0.25">
      <c r="E7768" s="96" t="s">
        <v>7213</v>
      </c>
      <c r="F7768" s="87">
        <f ca="1">SUM(Table207[MONTO TOTAL ESTIMADO])</f>
        <v>985593.87000000023</v>
      </c>
      <c r="H7768" s="39" t="str">
        <f>C7651</f>
        <v>Bienes</v>
      </c>
      <c r="I7768" s="39" t="str">
        <f>E7651</f>
        <v>No</v>
      </c>
      <c r="J7768" s="39" t="str">
        <f>D7651</f>
        <v>Comparacion de Precios</v>
      </c>
    </row>
    <row r="7770" spans="1:10" ht="33.950000000000003" customHeight="1" x14ac:dyDescent="0.25">
      <c r="A7770" s="77" t="s">
        <v>17233</v>
      </c>
      <c r="B7770" s="77" t="s">
        <v>4237</v>
      </c>
      <c r="C7770" s="77" t="s">
        <v>4743</v>
      </c>
      <c r="D7770" s="77" t="s">
        <v>9891</v>
      </c>
      <c r="E7770" s="77" t="s">
        <v>3089</v>
      </c>
      <c r="F7770" s="77" t="s">
        <v>18141</v>
      </c>
    </row>
    <row r="7771" spans="1:10" ht="14.1" customHeight="1" x14ac:dyDescent="0.25">
      <c r="A7771" s="79" t="s">
        <v>1823</v>
      </c>
      <c r="B7771" s="79" t="s">
        <v>2182</v>
      </c>
      <c r="C7771" s="79" t="s">
        <v>17215</v>
      </c>
      <c r="D7771" s="79" t="s">
        <v>15249</v>
      </c>
      <c r="E7771" s="79" t="s">
        <v>18247</v>
      </c>
      <c r="F7771" s="79"/>
    </row>
    <row r="7772" spans="1:10" ht="14.1" customHeight="1" x14ac:dyDescent="0.25">
      <c r="A7772" s="2" t="s">
        <v>6643</v>
      </c>
      <c r="B7772" s="80" t="s">
        <v>1046</v>
      </c>
      <c r="C7772" s="90">
        <v>43477</v>
      </c>
      <c r="D7772" s="2" t="s">
        <v>59</v>
      </c>
      <c r="E7772" s="92" t="s">
        <v>20066</v>
      </c>
      <c r="F7772" s="93" t="s">
        <v>5684</v>
      </c>
    </row>
    <row r="7773" spans="1:10" ht="14.1" customHeight="1" x14ac:dyDescent="0.25">
      <c r="A7773" s="1"/>
      <c r="B7773" s="80" t="s">
        <v>10788</v>
      </c>
      <c r="C7773" s="91">
        <f>IF(C7772="","",IF(AND(MONTH(C7772)&gt;=1,MONTH(C7772)&lt;=3),1,IF(AND(MONTH(C7772)&gt;=4,MONTH(C7772)&lt;=6),2,IF(AND(MONTH(C7772)&gt;=7,MONTH(C7772)&lt;=9),3,4))))</f>
        <v>1</v>
      </c>
      <c r="D7773" s="1"/>
      <c r="E7773" s="92" t="s">
        <v>14822</v>
      </c>
      <c r="F7773" s="93"/>
    </row>
    <row r="7774" spans="1:10" ht="14.1" customHeight="1" x14ac:dyDescent="0.25">
      <c r="A7774" s="1"/>
      <c r="B7774" s="80" t="s">
        <v>13758</v>
      </c>
      <c r="C7774" s="90">
        <v>43554</v>
      </c>
      <c r="D7774" s="1"/>
      <c r="E7774" s="92" t="s">
        <v>18636</v>
      </c>
      <c r="F7774" s="93"/>
    </row>
    <row r="7775" spans="1:10" ht="14.1" customHeight="1" x14ac:dyDescent="0.25">
      <c r="A7775" s="1"/>
      <c r="B7775" s="80" t="s">
        <v>10788</v>
      </c>
      <c r="C7775" s="91">
        <f>IF(C7774="","",IF(AND(MONTH(C7774)&gt;=1,MONTH(C7774)&lt;=3),1,IF(AND(MONTH(C7774)&gt;=4,MONTH(C7774)&lt;=6),2,IF(AND(MONTH(C7774)&gt;=7,MONTH(C7774)&lt;=9),3,4))))</f>
        <v>1</v>
      </c>
      <c r="D7775" s="1"/>
      <c r="E7775" s="92" t="s">
        <v>15990</v>
      </c>
      <c r="F7775" s="93"/>
    </row>
    <row r="7777" spans="1:6" ht="14.1" customHeight="1" x14ac:dyDescent="0.25">
      <c r="A7777" s="85" t="s">
        <v>15474</v>
      </c>
      <c r="B7777" s="85" t="s">
        <v>5027</v>
      </c>
      <c r="C7777" s="85" t="s">
        <v>17461</v>
      </c>
      <c r="D7777" s="85" t="s">
        <v>3935</v>
      </c>
      <c r="E7777" s="85" t="s">
        <v>10722</v>
      </c>
      <c r="F7777" s="85" t="s">
        <v>18237</v>
      </c>
    </row>
    <row r="7778" spans="1:6" ht="14.1" customHeight="1" x14ac:dyDescent="0.25">
      <c r="A7778" s="94" t="s">
        <v>6266</v>
      </c>
      <c r="B7778" s="82" t="str">
        <f ca="1">IFERROR(INDEX(UNSPSCDes,MATCH(INDIRECT(ADDRESS(ROW(),COLUMN()-1,4)),UNSPSCCode,0)),IF(INDIRECT(ADDRESS(ROW(),COLUMN()-1,4))="30151701","Boquillas de bajantes",""))</f>
        <v>Boquillas de bajantes</v>
      </c>
      <c r="C7778" s="95" t="str">
        <f>IFERROR(VLOOKUP("UD",'Informacion '!P:Q,2,FALSE),"")</f>
        <v>Unidad</v>
      </c>
      <c r="D7778" s="94">
        <v>49</v>
      </c>
      <c r="E7778" s="84">
        <v>36</v>
      </c>
      <c r="F7778" s="83">
        <f t="shared" ref="F7778:F7809" ca="1" si="308">INDIRECT(ADDRESS(ROW(),COLUMN()-2,4))*INDIRECT(ADDRESS(ROW(),COLUMN()-1,4))</f>
        <v>1764</v>
      </c>
    </row>
    <row r="7779" spans="1:6" ht="14.1" customHeight="1" x14ac:dyDescent="0.25">
      <c r="A7779" s="94" t="s">
        <v>2647</v>
      </c>
      <c r="B7779" s="82" t="str">
        <f ca="1">IFERROR(INDEX(UNSPSCDes,MATCH(INDIRECT(ADDRESS(ROW(),COLUMN()-1,4)),UNSPSCCode,0)),IF(INDIRECT(ADDRESS(ROW(),COLUMN()-1,4))="44122116","Clips de bolsas",""))</f>
        <v>Clips de bolsas</v>
      </c>
      <c r="C7779" s="95" t="str">
        <f>IFERROR(VLOOKUP("UD",'Informacion '!P:Q,2,FALSE),"")</f>
        <v>Unidad</v>
      </c>
      <c r="D7779" s="94">
        <v>6</v>
      </c>
      <c r="E7779" s="84">
        <v>64</v>
      </c>
      <c r="F7779" s="83">
        <f t="shared" ca="1" si="308"/>
        <v>384</v>
      </c>
    </row>
    <row r="7780" spans="1:6" ht="14.1" customHeight="1" x14ac:dyDescent="0.25">
      <c r="A7780" s="94" t="s">
        <v>14138</v>
      </c>
      <c r="B7780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780" s="95" t="str">
        <f>IFERROR(VLOOKUP("UD",'Informacion '!P:Q,2,FALSE),"")</f>
        <v>Unidad</v>
      </c>
      <c r="D7780" s="94">
        <v>3</v>
      </c>
      <c r="E7780" s="84">
        <v>14.7</v>
      </c>
      <c r="F7780" s="83">
        <f t="shared" ca="1" si="308"/>
        <v>44.099999999999994</v>
      </c>
    </row>
    <row r="7781" spans="1:6" ht="14.1" customHeight="1" x14ac:dyDescent="0.25">
      <c r="A7781" s="94" t="s">
        <v>1865</v>
      </c>
      <c r="B7781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781" s="95" t="str">
        <f>IFERROR(VLOOKUP("UD",'Informacion '!P:Q,2,FALSE),"")</f>
        <v>Unidad</v>
      </c>
      <c r="D7781" s="94">
        <v>1</v>
      </c>
      <c r="E7781" s="84">
        <v>27.71</v>
      </c>
      <c r="F7781" s="83">
        <f t="shared" ca="1" si="308"/>
        <v>27.71</v>
      </c>
    </row>
    <row r="7782" spans="1:6" ht="14.1" customHeight="1" x14ac:dyDescent="0.25">
      <c r="A7782" s="94" t="s">
        <v>2637</v>
      </c>
      <c r="B7782" s="82" t="str">
        <f ca="1">IFERROR(INDEX(UNSPSCDes,MATCH(INDIRECT(ADDRESS(ROW(),COLUMN()-1,4)),UNSPSCCode,0)),IF(INDIRECT(ADDRESS(ROW(),COLUMN()-1,4))="46182002","Respiradores",""))</f>
        <v>Respiradores</v>
      </c>
      <c r="C7782" s="95" t="str">
        <f>IFERROR(VLOOKUP("UD",'Informacion '!P:Q,2,FALSE),"")</f>
        <v>Unidad</v>
      </c>
      <c r="D7782" s="94">
        <v>19</v>
      </c>
      <c r="E7782" s="84">
        <v>150.29</v>
      </c>
      <c r="F7782" s="83">
        <f t="shared" ca="1" si="308"/>
        <v>2855.5099999999998</v>
      </c>
    </row>
    <row r="7783" spans="1:6" ht="14.1" customHeight="1" x14ac:dyDescent="0.25">
      <c r="A7783" s="94" t="s">
        <v>7589</v>
      </c>
      <c r="B7783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783" s="95" t="str">
        <f>IFERROR(VLOOKUP("UD",'Informacion '!P:Q,2,FALSE),"")</f>
        <v>Unidad</v>
      </c>
      <c r="D7783" s="94">
        <v>3</v>
      </c>
      <c r="E7783" s="84">
        <v>371.97</v>
      </c>
      <c r="F7783" s="83">
        <f t="shared" ca="1" si="308"/>
        <v>1115.9100000000001</v>
      </c>
    </row>
    <row r="7784" spans="1:6" ht="14.1" customHeight="1" x14ac:dyDescent="0.25">
      <c r="A7784" s="94" t="s">
        <v>435</v>
      </c>
      <c r="B778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784" s="95" t="str">
        <f>IFERROR(VLOOKUP("UD",'Informacion '!P:Q,2,FALSE),"")</f>
        <v>Unidad</v>
      </c>
      <c r="D7784" s="94">
        <v>2</v>
      </c>
      <c r="E7784" s="84">
        <v>2.92</v>
      </c>
      <c r="F7784" s="83">
        <f t="shared" ca="1" si="308"/>
        <v>5.84</v>
      </c>
    </row>
    <row r="7785" spans="1:6" ht="14.1" customHeight="1" x14ac:dyDescent="0.25">
      <c r="A7785" s="94" t="s">
        <v>4306</v>
      </c>
      <c r="B7785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785" s="95" t="str">
        <f>IFERROR(VLOOKUP("UD",'Informacion '!P:Q,2,FALSE),"")</f>
        <v>Unidad</v>
      </c>
      <c r="D7785" s="94">
        <v>73</v>
      </c>
      <c r="E7785" s="84">
        <v>81.66</v>
      </c>
      <c r="F7785" s="83">
        <f t="shared" ca="1" si="308"/>
        <v>5961.1799999999994</v>
      </c>
    </row>
    <row r="7786" spans="1:6" ht="14.1" customHeight="1" x14ac:dyDescent="0.25">
      <c r="A7786" s="94" t="s">
        <v>10248</v>
      </c>
      <c r="B778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7786" s="95" t="str">
        <f>IFERROR(VLOOKUP("UD",'Informacion '!P:Q,2,FALSE),"")</f>
        <v>Unidad</v>
      </c>
      <c r="D7786" s="94">
        <v>1</v>
      </c>
      <c r="E7786" s="84">
        <v>450</v>
      </c>
      <c r="F7786" s="83">
        <f t="shared" ca="1" si="308"/>
        <v>450</v>
      </c>
    </row>
    <row r="7787" spans="1:6" ht="14.1" customHeight="1" x14ac:dyDescent="0.25">
      <c r="A7787" s="94" t="s">
        <v>16391</v>
      </c>
      <c r="B7787" s="82" t="str">
        <f ca="1">IFERROR(INDEX(UNSPSCDes,MATCH(INDIRECT(ADDRESS(ROW(),COLUMN()-1,4)),UNSPSCCode,0)),IF(INDIRECT(ADDRESS(ROW(),COLUMN()-1,4))="42142615","Accesorios para jeringas",""))</f>
        <v>Accesorios para jeringas</v>
      </c>
      <c r="C7787" s="95" t="str">
        <f>IFERROR(VLOOKUP("UD",'Informacion '!P:Q,2,FALSE),"")</f>
        <v>Unidad</v>
      </c>
      <c r="D7787" s="94">
        <v>335</v>
      </c>
      <c r="E7787" s="84">
        <v>1.43</v>
      </c>
      <c r="F7787" s="83">
        <f t="shared" ca="1" si="308"/>
        <v>479.04999999999995</v>
      </c>
    </row>
    <row r="7788" spans="1:6" ht="14.1" customHeight="1" x14ac:dyDescent="0.25">
      <c r="A7788" s="94" t="s">
        <v>16391</v>
      </c>
      <c r="B7788" s="82" t="str">
        <f ca="1">IFERROR(INDEX(UNSPSCDes,MATCH(INDIRECT(ADDRESS(ROW(),COLUMN()-1,4)),UNSPSCCode,0)),IF(INDIRECT(ADDRESS(ROW(),COLUMN()-1,4))="42142615","Accesorios para jeringas",""))</f>
        <v>Accesorios para jeringas</v>
      </c>
      <c r="C7788" s="95" t="str">
        <f>IFERROR(VLOOKUP("UD",'Informacion '!P:Q,2,FALSE),"")</f>
        <v>Unidad</v>
      </c>
      <c r="D7788" s="94">
        <v>368</v>
      </c>
      <c r="E7788" s="84">
        <v>2.2999999999999998</v>
      </c>
      <c r="F7788" s="83">
        <f t="shared" ca="1" si="308"/>
        <v>846.4</v>
      </c>
    </row>
    <row r="7789" spans="1:6" ht="14.1" customHeight="1" x14ac:dyDescent="0.25">
      <c r="A7789" s="94" t="s">
        <v>6729</v>
      </c>
      <c r="B7789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7789" s="95" t="str">
        <f>IFERROR(VLOOKUP("UD",'Informacion '!P:Q,2,FALSE),"")</f>
        <v>Unidad</v>
      </c>
      <c r="D7789" s="94">
        <v>6</v>
      </c>
      <c r="E7789" s="84">
        <v>283.89</v>
      </c>
      <c r="F7789" s="83">
        <f t="shared" ca="1" si="308"/>
        <v>1703.34</v>
      </c>
    </row>
    <row r="7790" spans="1:6" ht="14.1" customHeight="1" x14ac:dyDescent="0.25">
      <c r="A7790" s="94" t="s">
        <v>6729</v>
      </c>
      <c r="B7790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7790" s="95" t="str">
        <f>IFERROR(VLOOKUP("UD",'Informacion '!P:Q,2,FALSE),"")</f>
        <v>Unidad</v>
      </c>
      <c r="D7790" s="94">
        <v>5</v>
      </c>
      <c r="E7790" s="84">
        <v>306.8</v>
      </c>
      <c r="F7790" s="83">
        <f t="shared" ca="1" si="308"/>
        <v>1534</v>
      </c>
    </row>
    <row r="7791" spans="1:6" ht="14.1" customHeight="1" x14ac:dyDescent="0.25">
      <c r="A7791" s="94" t="s">
        <v>1279</v>
      </c>
      <c r="B7791" s="82" t="str">
        <f ca="1">IFERROR(INDEX(UNSPSCDes,MATCH(INDIRECT(ADDRESS(ROW(),COLUMN()-1,4)),UNSPSCCode,0)),IF(INDIRECT(ADDRESS(ROW(),COLUMN()-1,4))="42231701","Tubos nasogástricos",""))</f>
        <v>Tubos nasogástricos</v>
      </c>
      <c r="C7791" s="95" t="str">
        <f>IFERROR(VLOOKUP("UD",'Informacion '!P:Q,2,FALSE),"")</f>
        <v>Unidad</v>
      </c>
      <c r="D7791" s="94">
        <v>2</v>
      </c>
      <c r="E7791" s="84">
        <v>11.39</v>
      </c>
      <c r="F7791" s="83">
        <f t="shared" ca="1" si="308"/>
        <v>22.78</v>
      </c>
    </row>
    <row r="7792" spans="1:6" ht="14.1" customHeight="1" x14ac:dyDescent="0.25">
      <c r="A7792" s="94" t="s">
        <v>1279</v>
      </c>
      <c r="B7792" s="82" t="str">
        <f ca="1">IFERROR(INDEX(UNSPSCDes,MATCH(INDIRECT(ADDRESS(ROW(),COLUMN()-1,4)),UNSPSCCode,0)),IF(INDIRECT(ADDRESS(ROW(),COLUMN()-1,4))="42231701","Tubos nasogástricos",""))</f>
        <v>Tubos nasogástricos</v>
      </c>
      <c r="C7792" s="95" t="str">
        <f>IFERROR(VLOOKUP("UD",'Informacion '!P:Q,2,FALSE),"")</f>
        <v>Unidad</v>
      </c>
      <c r="D7792" s="94">
        <v>11</v>
      </c>
      <c r="E7792" s="84">
        <v>39.28</v>
      </c>
      <c r="F7792" s="83">
        <f t="shared" ca="1" si="308"/>
        <v>432.08000000000004</v>
      </c>
    </row>
    <row r="7793" spans="1:6" ht="14.1" customHeight="1" x14ac:dyDescent="0.25">
      <c r="A7793" s="94" t="s">
        <v>1279</v>
      </c>
      <c r="B7793" s="82" t="str">
        <f ca="1">IFERROR(INDEX(UNSPSCDes,MATCH(INDIRECT(ADDRESS(ROW(),COLUMN()-1,4)),UNSPSCCode,0)),IF(INDIRECT(ADDRESS(ROW(),COLUMN()-1,4))="42231701","Tubos nasogástricos",""))</f>
        <v>Tubos nasogástricos</v>
      </c>
      <c r="C7793" s="95" t="str">
        <f>IFERROR(VLOOKUP("UD",'Informacion '!P:Q,2,FALSE),"")</f>
        <v>Unidad</v>
      </c>
      <c r="D7793" s="94">
        <v>1</v>
      </c>
      <c r="E7793" s="84">
        <v>37.409999999999997</v>
      </c>
      <c r="F7793" s="83">
        <f t="shared" ca="1" si="308"/>
        <v>37.409999999999997</v>
      </c>
    </row>
    <row r="7794" spans="1:6" ht="14.1" customHeight="1" x14ac:dyDescent="0.25">
      <c r="A7794" s="94" t="s">
        <v>12940</v>
      </c>
      <c r="B7794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7794" s="95" t="str">
        <f>IFERROR(VLOOKUP("UD",'Informacion '!P:Q,2,FALSE),"")</f>
        <v>Unidad</v>
      </c>
      <c r="D7794" s="94">
        <v>15</v>
      </c>
      <c r="E7794" s="84">
        <v>16</v>
      </c>
      <c r="F7794" s="83">
        <f t="shared" ca="1" si="308"/>
        <v>240</v>
      </c>
    </row>
    <row r="7795" spans="1:6" ht="14.1" customHeight="1" x14ac:dyDescent="0.25">
      <c r="A7795" s="94" t="s">
        <v>12940</v>
      </c>
      <c r="B7795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7795" s="95" t="str">
        <f>IFERROR(VLOOKUP("UD",'Informacion '!P:Q,2,FALSE),"")</f>
        <v>Unidad</v>
      </c>
      <c r="D7795" s="94">
        <v>3</v>
      </c>
      <c r="E7795" s="84">
        <v>16</v>
      </c>
      <c r="F7795" s="83">
        <f t="shared" ca="1" si="308"/>
        <v>48</v>
      </c>
    </row>
    <row r="7796" spans="1:6" ht="14.1" customHeight="1" x14ac:dyDescent="0.25">
      <c r="A7796" s="94" t="s">
        <v>12940</v>
      </c>
      <c r="B7796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7796" s="95" t="str">
        <f>IFERROR(VLOOKUP("UD",'Informacion '!P:Q,2,FALSE),"")</f>
        <v>Unidad</v>
      </c>
      <c r="D7796" s="94">
        <v>1</v>
      </c>
      <c r="E7796" s="84">
        <v>59.91</v>
      </c>
      <c r="F7796" s="83">
        <f t="shared" ca="1" si="308"/>
        <v>59.91</v>
      </c>
    </row>
    <row r="7797" spans="1:6" ht="14.1" customHeight="1" x14ac:dyDescent="0.25">
      <c r="A7797" s="94" t="s">
        <v>18364</v>
      </c>
      <c r="B7797" s="82" t="str">
        <f ca="1">IFERROR(INDEX(UNSPSCDes,MATCH(INDIRECT(ADDRESS(ROW(),COLUMN()-1,4)),UNSPSCCode,0)),IF(INDIRECT(ADDRESS(ROW(),COLUMN()-1,4))="42171612","Camillas o accesorios redondas",""))</f>
        <v>Camillas o accesorios redondas</v>
      </c>
      <c r="C7797" s="95" t="str">
        <f>IFERROR(VLOOKUP("UD",'Informacion '!P:Q,2,FALSE),"")</f>
        <v>Unidad</v>
      </c>
      <c r="D7797" s="94">
        <v>77</v>
      </c>
      <c r="E7797" s="84">
        <v>123.9</v>
      </c>
      <c r="F7797" s="83">
        <f t="shared" ca="1" si="308"/>
        <v>9540.3000000000011</v>
      </c>
    </row>
    <row r="7798" spans="1:6" ht="14.1" customHeight="1" x14ac:dyDescent="0.25">
      <c r="A7798" s="94" t="s">
        <v>10483</v>
      </c>
      <c r="B7798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798" s="95" t="str">
        <f>IFERROR(VLOOKUP("UD",'Informacion '!P:Q,2,FALSE),"")</f>
        <v>Unidad</v>
      </c>
      <c r="D7798" s="94">
        <v>3</v>
      </c>
      <c r="E7798" s="84">
        <v>2029.7</v>
      </c>
      <c r="F7798" s="83">
        <f t="shared" ca="1" si="308"/>
        <v>6089.1</v>
      </c>
    </row>
    <row r="7799" spans="1:6" ht="14.1" customHeight="1" x14ac:dyDescent="0.25">
      <c r="A7799" s="94" t="s">
        <v>6481</v>
      </c>
      <c r="B7799" s="82" t="str">
        <f ca="1">IFERROR(INDEX(UNSPSCDes,MATCH(INDIRECT(ADDRESS(ROW(),COLUMN()-1,4)),UNSPSCCode,0)),IF(INDIRECT(ADDRESS(ROW(),COLUMN()-1,4))="42293603","Sondas para uso quirúrgico",""))</f>
        <v>Sondas para uso quirúrgico</v>
      </c>
      <c r="C7799" s="95" t="str">
        <f>IFERROR(VLOOKUP("UD",'Informacion '!P:Q,2,FALSE),"")</f>
        <v>Unidad</v>
      </c>
      <c r="D7799" s="94">
        <v>5</v>
      </c>
      <c r="E7799" s="84">
        <v>49.36</v>
      </c>
      <c r="F7799" s="83">
        <f t="shared" ca="1" si="308"/>
        <v>246.8</v>
      </c>
    </row>
    <row r="7800" spans="1:6" ht="14.1" customHeight="1" x14ac:dyDescent="0.25">
      <c r="A7800" s="94" t="s">
        <v>6481</v>
      </c>
      <c r="B7800" s="82" t="str">
        <f ca="1">IFERROR(INDEX(UNSPSCDes,MATCH(INDIRECT(ADDRESS(ROW(),COLUMN()-1,4)),UNSPSCCode,0)),IF(INDIRECT(ADDRESS(ROW(),COLUMN()-1,4))="42293603","Sondas para uso quirúrgico",""))</f>
        <v>Sondas para uso quirúrgico</v>
      </c>
      <c r="C7800" s="95" t="str">
        <f>IFERROR(VLOOKUP("UD",'Informacion '!P:Q,2,FALSE),"")</f>
        <v>Unidad</v>
      </c>
      <c r="D7800" s="94">
        <v>2</v>
      </c>
      <c r="E7800" s="84">
        <v>65.849999999999994</v>
      </c>
      <c r="F7800" s="83">
        <f t="shared" ca="1" si="308"/>
        <v>131.69999999999999</v>
      </c>
    </row>
    <row r="7801" spans="1:6" ht="14.1" customHeight="1" x14ac:dyDescent="0.25">
      <c r="A7801" s="94" t="s">
        <v>6481</v>
      </c>
      <c r="B7801" s="82" t="str">
        <f ca="1">IFERROR(INDEX(UNSPSCDes,MATCH(INDIRECT(ADDRESS(ROW(),COLUMN()-1,4)),UNSPSCCode,0)),IF(INDIRECT(ADDRESS(ROW(),COLUMN()-1,4))="42293603","Sondas para uso quirúrgico",""))</f>
        <v>Sondas para uso quirúrgico</v>
      </c>
      <c r="C7801" s="95" t="str">
        <f>IFERROR(VLOOKUP("UD",'Informacion '!P:Q,2,FALSE),"")</f>
        <v>Unidad</v>
      </c>
      <c r="D7801" s="94">
        <v>1</v>
      </c>
      <c r="E7801" s="84">
        <v>31.17</v>
      </c>
      <c r="F7801" s="83">
        <f t="shared" ca="1" si="308"/>
        <v>31.17</v>
      </c>
    </row>
    <row r="7802" spans="1:6" ht="14.1" customHeight="1" x14ac:dyDescent="0.25">
      <c r="A7802" s="94" t="s">
        <v>6481</v>
      </c>
      <c r="B7802" s="82" t="str">
        <f ca="1">IFERROR(INDEX(UNSPSCDes,MATCH(INDIRECT(ADDRESS(ROW(),COLUMN()-1,4)),UNSPSCCode,0)),IF(INDIRECT(ADDRESS(ROW(),COLUMN()-1,4))="42293603","Sondas para uso quirúrgico",""))</f>
        <v>Sondas para uso quirúrgico</v>
      </c>
      <c r="C7802" s="95" t="str">
        <f>IFERROR(VLOOKUP("UD",'Informacion '!P:Q,2,FALSE),"")</f>
        <v>Unidad</v>
      </c>
      <c r="D7802" s="94">
        <v>2</v>
      </c>
      <c r="E7802" s="84">
        <v>43.69</v>
      </c>
      <c r="F7802" s="83">
        <f t="shared" ca="1" si="308"/>
        <v>87.38</v>
      </c>
    </row>
    <row r="7803" spans="1:6" ht="14.1" customHeight="1" x14ac:dyDescent="0.25">
      <c r="A7803" s="94" t="s">
        <v>6481</v>
      </c>
      <c r="B7803" s="82" t="str">
        <f ca="1">IFERROR(INDEX(UNSPSCDes,MATCH(INDIRECT(ADDRESS(ROW(),COLUMN()-1,4)),UNSPSCCode,0)),IF(INDIRECT(ADDRESS(ROW(),COLUMN()-1,4))="42293603","Sondas para uso quirúrgico",""))</f>
        <v>Sondas para uso quirúrgico</v>
      </c>
      <c r="C7803" s="95" t="str">
        <f>IFERROR(VLOOKUP("UD",'Informacion '!P:Q,2,FALSE),"")</f>
        <v>Unidad</v>
      </c>
      <c r="D7803" s="94">
        <v>16</v>
      </c>
      <c r="E7803" s="84">
        <v>65.849999999999994</v>
      </c>
      <c r="F7803" s="83">
        <f t="shared" ca="1" si="308"/>
        <v>1053.5999999999999</v>
      </c>
    </row>
    <row r="7804" spans="1:6" ht="14.1" customHeight="1" x14ac:dyDescent="0.25">
      <c r="A7804" s="94" t="s">
        <v>12909</v>
      </c>
      <c r="B7804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804" s="95" t="str">
        <f>IFERROR(VLOOKUP("UD",'Informacion '!P:Q,2,FALSE),"")</f>
        <v>Unidad</v>
      </c>
      <c r="D7804" s="94">
        <v>10</v>
      </c>
      <c r="E7804" s="84">
        <v>95.29</v>
      </c>
      <c r="F7804" s="83">
        <f t="shared" ca="1" si="308"/>
        <v>952.90000000000009</v>
      </c>
    </row>
    <row r="7805" spans="1:6" ht="14.1" customHeight="1" x14ac:dyDescent="0.25">
      <c r="A7805" s="94" t="s">
        <v>12909</v>
      </c>
      <c r="B780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805" s="95" t="str">
        <f>IFERROR(VLOOKUP("UD",'Informacion '!P:Q,2,FALSE),"")</f>
        <v>Unidad</v>
      </c>
      <c r="D7805" s="94">
        <v>63</v>
      </c>
      <c r="E7805" s="84">
        <v>335.94</v>
      </c>
      <c r="F7805" s="83">
        <f t="shared" ca="1" si="308"/>
        <v>21164.22</v>
      </c>
    </row>
    <row r="7806" spans="1:6" ht="14.1" customHeight="1" x14ac:dyDescent="0.25">
      <c r="A7806" s="94" t="s">
        <v>3216</v>
      </c>
      <c r="B7806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806" s="95" t="str">
        <f>IFERROR(VLOOKUP("UD",'Informacion '!P:Q,2,FALSE),"")</f>
        <v>Unidad</v>
      </c>
      <c r="D7806" s="94">
        <v>4</v>
      </c>
      <c r="E7806" s="84">
        <v>22.5</v>
      </c>
      <c r="F7806" s="83">
        <f t="shared" ca="1" si="308"/>
        <v>90</v>
      </c>
    </row>
    <row r="7807" spans="1:6" ht="14.1" customHeight="1" x14ac:dyDescent="0.25">
      <c r="A7807" s="94" t="s">
        <v>3593</v>
      </c>
      <c r="B7807" s="82" t="str">
        <f ca="1">IFERROR(INDEX(UNSPSCDes,MATCH(INDIRECT(ADDRESS(ROW(),COLUMN()-1,4)),UNSPSCCode,0)),IF(INDIRECT(ADDRESS(ROW(),COLUMN()-1,4))="51181506","Insulina",""))</f>
        <v>Insulina</v>
      </c>
      <c r="C7807" s="95" t="str">
        <f>IFERROR(VLOOKUP("UD",'Informacion '!P:Q,2,FALSE),"")</f>
        <v>Unidad</v>
      </c>
      <c r="D7807" s="94">
        <v>6</v>
      </c>
      <c r="E7807" s="84">
        <v>17.29</v>
      </c>
      <c r="F7807" s="83">
        <f t="shared" ca="1" si="308"/>
        <v>103.74</v>
      </c>
    </row>
    <row r="7808" spans="1:6" ht="14.1" customHeight="1" x14ac:dyDescent="0.25">
      <c r="A7808" s="94" t="s">
        <v>14660</v>
      </c>
      <c r="B7808" s="82" t="str">
        <f ca="1">IFERROR(INDEX(UNSPSCDes,MATCH(INDIRECT(ADDRESS(ROW(),COLUMN()-1,4)),UNSPSCCode,0)),IF(INDIRECT(ADDRESS(ROW(),COLUMN()-1,4))="42311526","Vendajes de",""))</f>
        <v>Vendajes de</v>
      </c>
      <c r="C7808" s="95" t="str">
        <f>IFERROR(VLOOKUP("UD",'Informacion '!P:Q,2,FALSE),"")</f>
        <v>Unidad</v>
      </c>
      <c r="D7808" s="94">
        <v>50</v>
      </c>
      <c r="E7808" s="84">
        <v>52</v>
      </c>
      <c r="F7808" s="83">
        <f t="shared" ca="1" si="308"/>
        <v>2600</v>
      </c>
    </row>
    <row r="7809" spans="1:6" ht="14.1" customHeight="1" x14ac:dyDescent="0.25">
      <c r="A7809" s="94" t="s">
        <v>1279</v>
      </c>
      <c r="B7809" s="82" t="str">
        <f ca="1">IFERROR(INDEX(UNSPSCDes,MATCH(INDIRECT(ADDRESS(ROW(),COLUMN()-1,4)),UNSPSCCode,0)),IF(INDIRECT(ADDRESS(ROW(),COLUMN()-1,4))="42231701","Tubos nasogástricos",""))</f>
        <v>Tubos nasogástricos</v>
      </c>
      <c r="C7809" s="95" t="str">
        <f>IFERROR(VLOOKUP("UD",'Informacion '!P:Q,2,FALSE),"")</f>
        <v>Unidad</v>
      </c>
      <c r="D7809" s="94">
        <v>2</v>
      </c>
      <c r="E7809" s="84">
        <v>8.9700000000000006</v>
      </c>
      <c r="F7809" s="83">
        <f t="shared" ca="1" si="308"/>
        <v>17.940000000000001</v>
      </c>
    </row>
    <row r="7810" spans="1:6" ht="14.1" customHeight="1" x14ac:dyDescent="0.25">
      <c r="A7810" s="94" t="s">
        <v>7820</v>
      </c>
      <c r="B7810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810" s="95" t="str">
        <f>IFERROR(VLOOKUP("UD",'Informacion '!P:Q,2,FALSE),"")</f>
        <v>Unidad</v>
      </c>
      <c r="D7810" s="94">
        <v>3</v>
      </c>
      <c r="E7810" s="84">
        <v>152.91999999999999</v>
      </c>
      <c r="F7810" s="83">
        <f t="shared" ref="F7810:F7841" ca="1" si="309">INDIRECT(ADDRESS(ROW(),COLUMN()-2,4))*INDIRECT(ADDRESS(ROW(),COLUMN()-1,4))</f>
        <v>458.76</v>
      </c>
    </row>
    <row r="7811" spans="1:6" ht="14.1" customHeight="1" x14ac:dyDescent="0.25">
      <c r="A7811" s="94" t="s">
        <v>12940</v>
      </c>
      <c r="B7811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7811" s="95" t="str">
        <f>IFERROR(VLOOKUP("UD",'Informacion '!P:Q,2,FALSE),"")</f>
        <v>Unidad</v>
      </c>
      <c r="D7811" s="94">
        <v>2</v>
      </c>
      <c r="E7811" s="84">
        <v>16</v>
      </c>
      <c r="F7811" s="83">
        <f t="shared" ca="1" si="309"/>
        <v>32</v>
      </c>
    </row>
    <row r="7812" spans="1:6" ht="14.1" customHeight="1" x14ac:dyDescent="0.25">
      <c r="A7812" s="94" t="s">
        <v>16391</v>
      </c>
      <c r="B7812" s="82" t="str">
        <f ca="1">IFERROR(INDEX(UNSPSCDes,MATCH(INDIRECT(ADDRESS(ROW(),COLUMN()-1,4)),UNSPSCCode,0)),IF(INDIRECT(ADDRESS(ROW(),COLUMN()-1,4))="42142615","Accesorios para jeringas",""))</f>
        <v>Accesorios para jeringas</v>
      </c>
      <c r="C7812" s="95" t="str">
        <f>IFERROR(VLOOKUP("UD",'Informacion '!P:Q,2,FALSE),"")</f>
        <v>Unidad</v>
      </c>
      <c r="D7812" s="94">
        <v>5</v>
      </c>
      <c r="E7812" s="84">
        <v>2.7</v>
      </c>
      <c r="F7812" s="83">
        <f t="shared" ca="1" si="309"/>
        <v>13.5</v>
      </c>
    </row>
    <row r="7813" spans="1:6" ht="14.1" customHeight="1" x14ac:dyDescent="0.25">
      <c r="A7813" s="94" t="s">
        <v>1279</v>
      </c>
      <c r="B7813" s="82" t="str">
        <f ca="1">IFERROR(INDEX(UNSPSCDes,MATCH(INDIRECT(ADDRESS(ROW(),COLUMN()-1,4)),UNSPSCCode,0)),IF(INDIRECT(ADDRESS(ROW(),COLUMN()-1,4))="42231701","Tubos nasogástricos",""))</f>
        <v>Tubos nasogástricos</v>
      </c>
      <c r="C7813" s="95" t="str">
        <f>IFERROR(VLOOKUP("UD",'Informacion '!P:Q,2,FALSE),"")</f>
        <v>Unidad</v>
      </c>
      <c r="D7813" s="94">
        <v>1</v>
      </c>
      <c r="E7813" s="84">
        <v>4.5</v>
      </c>
      <c r="F7813" s="83">
        <f t="shared" ca="1" si="309"/>
        <v>4.5</v>
      </c>
    </row>
    <row r="7814" spans="1:6" ht="14.1" customHeight="1" x14ac:dyDescent="0.25">
      <c r="A7814" s="94" t="s">
        <v>1279</v>
      </c>
      <c r="B7814" s="82" t="str">
        <f ca="1">IFERROR(INDEX(UNSPSCDes,MATCH(INDIRECT(ADDRESS(ROW(),COLUMN()-1,4)),UNSPSCCode,0)),IF(INDIRECT(ADDRESS(ROW(),COLUMN()-1,4))="42231701","Tubos nasogástricos",""))</f>
        <v>Tubos nasogástricos</v>
      </c>
      <c r="C7814" s="95" t="str">
        <f>IFERROR(VLOOKUP("UD",'Informacion '!P:Q,2,FALSE),"")</f>
        <v>Unidad</v>
      </c>
      <c r="D7814" s="94">
        <v>1</v>
      </c>
      <c r="E7814" s="84">
        <v>10.62</v>
      </c>
      <c r="F7814" s="83">
        <f t="shared" ca="1" si="309"/>
        <v>10.62</v>
      </c>
    </row>
    <row r="7815" spans="1:6" ht="14.1" customHeight="1" x14ac:dyDescent="0.25">
      <c r="A7815" s="94" t="s">
        <v>1279</v>
      </c>
      <c r="B7815" s="82" t="str">
        <f ca="1">IFERROR(INDEX(UNSPSCDes,MATCH(INDIRECT(ADDRESS(ROW(),COLUMN()-1,4)),UNSPSCCode,0)),IF(INDIRECT(ADDRESS(ROW(),COLUMN()-1,4))="42231701","Tubos nasogástricos",""))</f>
        <v>Tubos nasogástricos</v>
      </c>
      <c r="C7815" s="95" t="str">
        <f>IFERROR(VLOOKUP("UD",'Informacion '!P:Q,2,FALSE),"")</f>
        <v>Unidad</v>
      </c>
      <c r="D7815" s="94">
        <v>1</v>
      </c>
      <c r="E7815" s="84">
        <v>46</v>
      </c>
      <c r="F7815" s="83">
        <f t="shared" ca="1" si="309"/>
        <v>46</v>
      </c>
    </row>
    <row r="7816" spans="1:6" ht="14.1" customHeight="1" x14ac:dyDescent="0.25">
      <c r="A7816" s="94" t="s">
        <v>12909</v>
      </c>
      <c r="B7816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816" s="95" t="str">
        <f>IFERROR(VLOOKUP("UD",'Informacion '!P:Q,2,FALSE),"")</f>
        <v>Unidad</v>
      </c>
      <c r="D7816" s="94">
        <v>34</v>
      </c>
      <c r="E7816" s="84">
        <v>126.69</v>
      </c>
      <c r="F7816" s="83">
        <f t="shared" ca="1" si="309"/>
        <v>4307.46</v>
      </c>
    </row>
    <row r="7817" spans="1:6" ht="14.1" customHeight="1" x14ac:dyDescent="0.25">
      <c r="A7817" s="94" t="s">
        <v>16391</v>
      </c>
      <c r="B7817" s="82" t="str">
        <f ca="1">IFERROR(INDEX(UNSPSCDes,MATCH(INDIRECT(ADDRESS(ROW(),COLUMN()-1,4)),UNSPSCCode,0)),IF(INDIRECT(ADDRESS(ROW(),COLUMN()-1,4))="42142615","Accesorios para jeringas",""))</f>
        <v>Accesorios para jeringas</v>
      </c>
      <c r="C7817" s="95" t="str">
        <f>IFERROR(VLOOKUP("UD",'Informacion '!P:Q,2,FALSE),"")</f>
        <v>Unidad</v>
      </c>
      <c r="D7817" s="94">
        <v>22</v>
      </c>
      <c r="E7817" s="84">
        <v>16.54</v>
      </c>
      <c r="F7817" s="83">
        <f t="shared" ca="1" si="309"/>
        <v>363.88</v>
      </c>
    </row>
    <row r="7818" spans="1:6" ht="14.1" customHeight="1" x14ac:dyDescent="0.25">
      <c r="A7818" s="94" t="s">
        <v>6481</v>
      </c>
      <c r="B7818" s="82" t="str">
        <f ca="1">IFERROR(INDEX(UNSPSCDes,MATCH(INDIRECT(ADDRESS(ROW(),COLUMN()-1,4)),UNSPSCCode,0)),IF(INDIRECT(ADDRESS(ROW(),COLUMN()-1,4))="42293603","Sondas para uso quirúrgico",""))</f>
        <v>Sondas para uso quirúrgico</v>
      </c>
      <c r="C7818" s="95" t="str">
        <f>IFERROR(VLOOKUP("UD",'Informacion '!P:Q,2,FALSE),"")</f>
        <v>Unidad</v>
      </c>
      <c r="D7818" s="94">
        <v>5</v>
      </c>
      <c r="E7818" s="84">
        <v>60.5</v>
      </c>
      <c r="F7818" s="83">
        <f t="shared" ca="1" si="309"/>
        <v>302.5</v>
      </c>
    </row>
    <row r="7819" spans="1:6" ht="14.1" customHeight="1" x14ac:dyDescent="0.25">
      <c r="A7819" s="94" t="s">
        <v>1279</v>
      </c>
      <c r="B7819" s="82" t="str">
        <f ca="1">IFERROR(INDEX(UNSPSCDes,MATCH(INDIRECT(ADDRESS(ROW(),COLUMN()-1,4)),UNSPSCCode,0)),IF(INDIRECT(ADDRESS(ROW(),COLUMN()-1,4))="42231701","Tubos nasogástricos",""))</f>
        <v>Tubos nasogástricos</v>
      </c>
      <c r="C7819" s="95" t="str">
        <f>IFERROR(VLOOKUP("UD",'Informacion '!P:Q,2,FALSE),"")</f>
        <v>Unidad</v>
      </c>
      <c r="D7819" s="94">
        <v>4</v>
      </c>
      <c r="E7819" s="84">
        <v>20.059999999999999</v>
      </c>
      <c r="F7819" s="83">
        <f t="shared" ca="1" si="309"/>
        <v>80.239999999999995</v>
      </c>
    </row>
    <row r="7820" spans="1:6" ht="14.1" customHeight="1" x14ac:dyDescent="0.25">
      <c r="A7820" s="94" t="s">
        <v>1279</v>
      </c>
      <c r="B7820" s="82" t="str">
        <f ca="1">IFERROR(INDEX(UNSPSCDes,MATCH(INDIRECT(ADDRESS(ROW(),COLUMN()-1,4)),UNSPSCCode,0)),IF(INDIRECT(ADDRESS(ROW(),COLUMN()-1,4))="42231701","Tubos nasogástricos",""))</f>
        <v>Tubos nasogástricos</v>
      </c>
      <c r="C7820" s="95" t="str">
        <f>IFERROR(VLOOKUP("UD",'Informacion '!P:Q,2,FALSE),"")</f>
        <v>Unidad</v>
      </c>
      <c r="D7820" s="94">
        <v>11</v>
      </c>
      <c r="E7820" s="84">
        <v>14.89</v>
      </c>
      <c r="F7820" s="83">
        <f t="shared" ca="1" si="309"/>
        <v>163.79000000000002</v>
      </c>
    </row>
    <row r="7821" spans="1:6" ht="14.1" customHeight="1" x14ac:dyDescent="0.25">
      <c r="A7821" s="94" t="s">
        <v>6481</v>
      </c>
      <c r="B7821" s="82" t="str">
        <f ca="1">IFERROR(INDEX(UNSPSCDes,MATCH(INDIRECT(ADDRESS(ROW(),COLUMN()-1,4)),UNSPSCCode,0)),IF(INDIRECT(ADDRESS(ROW(),COLUMN()-1,4))="42293603","Sondas para uso quirúrgico",""))</f>
        <v>Sondas para uso quirúrgico</v>
      </c>
      <c r="C7821" s="95" t="str">
        <f>IFERROR(VLOOKUP("UD",'Informacion '!P:Q,2,FALSE),"")</f>
        <v>Unidad</v>
      </c>
      <c r="D7821" s="94">
        <v>1</v>
      </c>
      <c r="E7821" s="84">
        <v>4.57</v>
      </c>
      <c r="F7821" s="83">
        <f t="shared" ca="1" si="309"/>
        <v>4.57</v>
      </c>
    </row>
    <row r="7822" spans="1:6" ht="14.1" customHeight="1" x14ac:dyDescent="0.25">
      <c r="A7822" s="94" t="s">
        <v>6481</v>
      </c>
      <c r="B7822" s="82" t="str">
        <f ca="1">IFERROR(INDEX(UNSPSCDes,MATCH(INDIRECT(ADDRESS(ROW(),COLUMN()-1,4)),UNSPSCCode,0)),IF(INDIRECT(ADDRESS(ROW(),COLUMN()-1,4))="42293603","Sondas para uso quirúrgico",""))</f>
        <v>Sondas para uso quirúrgico</v>
      </c>
      <c r="C7822" s="95" t="str">
        <f>IFERROR(VLOOKUP("UD",'Informacion '!P:Q,2,FALSE),"")</f>
        <v>Unidad</v>
      </c>
      <c r="D7822" s="94">
        <v>1</v>
      </c>
      <c r="E7822" s="84">
        <v>9.23</v>
      </c>
      <c r="F7822" s="83">
        <f t="shared" ca="1" si="309"/>
        <v>9.23</v>
      </c>
    </row>
    <row r="7823" spans="1:6" ht="14.1" customHeight="1" x14ac:dyDescent="0.25">
      <c r="A7823" s="94" t="s">
        <v>6481</v>
      </c>
      <c r="B7823" s="82" t="str">
        <f ca="1">IFERROR(INDEX(UNSPSCDes,MATCH(INDIRECT(ADDRESS(ROW(),COLUMN()-1,4)),UNSPSCCode,0)),IF(INDIRECT(ADDRESS(ROW(),COLUMN()-1,4))="42293603","Sondas para uso quirúrgico",""))</f>
        <v>Sondas para uso quirúrgico</v>
      </c>
      <c r="C7823" s="95" t="str">
        <f>IFERROR(VLOOKUP("UD",'Informacion '!P:Q,2,FALSE),"")</f>
        <v>Unidad</v>
      </c>
      <c r="D7823" s="94">
        <v>3</v>
      </c>
      <c r="E7823" s="84">
        <v>9.08</v>
      </c>
      <c r="F7823" s="83">
        <f t="shared" ca="1" si="309"/>
        <v>27.240000000000002</v>
      </c>
    </row>
    <row r="7824" spans="1:6" ht="14.1" customHeight="1" x14ac:dyDescent="0.25">
      <c r="A7824" s="94" t="s">
        <v>7820</v>
      </c>
      <c r="B7824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824" s="95" t="str">
        <f>IFERROR(VLOOKUP("UD",'Informacion '!P:Q,2,FALSE),"")</f>
        <v>Unidad</v>
      </c>
      <c r="D7824" s="94">
        <v>39</v>
      </c>
      <c r="E7824" s="84">
        <v>185.6</v>
      </c>
      <c r="F7824" s="83">
        <f t="shared" ca="1" si="309"/>
        <v>7238.4</v>
      </c>
    </row>
    <row r="7825" spans="1:6" ht="14.1" customHeight="1" x14ac:dyDescent="0.25">
      <c r="A7825" s="94" t="s">
        <v>10494</v>
      </c>
      <c r="B7825" s="82" t="str">
        <f ca="1">IFERROR(INDEX(UNSPSCDes,MATCH(INDIRECT(ADDRESS(ROW(),COLUMN()-1,4)),UNSPSCCode,0)),IF(INDIRECT(ADDRESS(ROW(),COLUMN()-1,4))="56101533","Descansa brazos",""))</f>
        <v>Descansa brazos</v>
      </c>
      <c r="C7825" s="95" t="str">
        <f>IFERROR(VLOOKUP("UD",'Informacion '!P:Q,2,FALSE),"")</f>
        <v>Unidad</v>
      </c>
      <c r="D7825" s="94">
        <v>1</v>
      </c>
      <c r="E7825" s="84">
        <v>32.75</v>
      </c>
      <c r="F7825" s="83">
        <f t="shared" ca="1" si="309"/>
        <v>32.75</v>
      </c>
    </row>
    <row r="7826" spans="1:6" ht="14.1" customHeight="1" x14ac:dyDescent="0.25">
      <c r="A7826" s="94" t="s">
        <v>6120</v>
      </c>
      <c r="B7826" s="82" t="str">
        <f ca="1">IFERROR(INDEX(UNSPSCDes,MATCH(INDIRECT(ADDRESS(ROW(),COLUMN()-1,4)),UNSPSCCode,0)),IF(INDIRECT(ADDRESS(ROW(),COLUMN()-1,4))="44121634","Rollos adhesivos",""))</f>
        <v>Rollos adhesivos</v>
      </c>
      <c r="C7826" s="95" t="str">
        <f>IFERROR(VLOOKUP("UD",'Informacion '!P:Q,2,FALSE),"")</f>
        <v>Unidad</v>
      </c>
      <c r="D7826" s="94">
        <v>40</v>
      </c>
      <c r="E7826" s="84">
        <v>80</v>
      </c>
      <c r="F7826" s="83">
        <f t="shared" ca="1" si="309"/>
        <v>3200</v>
      </c>
    </row>
    <row r="7827" spans="1:6" ht="14.1" customHeight="1" x14ac:dyDescent="0.25">
      <c r="A7827" s="94" t="s">
        <v>7589</v>
      </c>
      <c r="B7827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827" s="95" t="str">
        <f>IFERROR(VLOOKUP("UD",'Informacion '!P:Q,2,FALSE),"")</f>
        <v>Unidad</v>
      </c>
      <c r="D7827" s="94">
        <v>8</v>
      </c>
      <c r="E7827" s="84">
        <v>496.29</v>
      </c>
      <c r="F7827" s="83">
        <f t="shared" ca="1" si="309"/>
        <v>3970.32</v>
      </c>
    </row>
    <row r="7828" spans="1:6" ht="14.1" customHeight="1" x14ac:dyDescent="0.25">
      <c r="A7828" s="94" t="s">
        <v>7589</v>
      </c>
      <c r="B7828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828" s="95" t="str">
        <f>IFERROR(VLOOKUP("UD",'Informacion '!P:Q,2,FALSE),"")</f>
        <v>Unidad</v>
      </c>
      <c r="D7828" s="94">
        <v>2</v>
      </c>
      <c r="E7828" s="84">
        <v>388.72</v>
      </c>
      <c r="F7828" s="83">
        <f t="shared" ca="1" si="309"/>
        <v>777.44</v>
      </c>
    </row>
    <row r="7829" spans="1:6" ht="14.1" customHeight="1" x14ac:dyDescent="0.25">
      <c r="A7829" s="94" t="s">
        <v>1279</v>
      </c>
      <c r="B7829" s="82" t="str">
        <f ca="1">IFERROR(INDEX(UNSPSCDes,MATCH(INDIRECT(ADDRESS(ROW(),COLUMN()-1,4)),UNSPSCCode,0)),IF(INDIRECT(ADDRESS(ROW(),COLUMN()-1,4))="42231701","Tubos nasogástricos",""))</f>
        <v>Tubos nasogástricos</v>
      </c>
      <c r="C7829" s="95" t="str">
        <f>IFERROR(VLOOKUP("UD",'Informacion '!P:Q,2,FALSE),"")</f>
        <v>Unidad</v>
      </c>
      <c r="D7829" s="94">
        <v>10</v>
      </c>
      <c r="E7829" s="84">
        <v>8.4600000000000009</v>
      </c>
      <c r="F7829" s="83">
        <f t="shared" ca="1" si="309"/>
        <v>84.600000000000009</v>
      </c>
    </row>
    <row r="7830" spans="1:6" ht="14.1" customHeight="1" x14ac:dyDescent="0.25">
      <c r="A7830" s="94" t="s">
        <v>16391</v>
      </c>
      <c r="B7830" s="82" t="str">
        <f ca="1">IFERROR(INDEX(UNSPSCDes,MATCH(INDIRECT(ADDRESS(ROW(),COLUMN()-1,4)),UNSPSCCode,0)),IF(INDIRECT(ADDRESS(ROW(),COLUMN()-1,4))="42142615","Accesorios para jeringas",""))</f>
        <v>Accesorios para jeringas</v>
      </c>
      <c r="C7830" s="95" t="str">
        <f>IFERROR(VLOOKUP("UD",'Informacion '!P:Q,2,FALSE),"")</f>
        <v>Unidad</v>
      </c>
      <c r="D7830" s="94">
        <v>2</v>
      </c>
      <c r="E7830" s="84">
        <v>24</v>
      </c>
      <c r="F7830" s="83">
        <f t="shared" ca="1" si="309"/>
        <v>48</v>
      </c>
    </row>
    <row r="7831" spans="1:6" ht="14.1" customHeight="1" x14ac:dyDescent="0.25">
      <c r="A7831" s="94" t="s">
        <v>7595</v>
      </c>
      <c r="B7831" s="82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7831" s="95" t="str">
        <f>IFERROR(VLOOKUP("UD",'Informacion '!P:Q,2,FALSE),"")</f>
        <v>Unidad</v>
      </c>
      <c r="D7831" s="94">
        <v>8</v>
      </c>
      <c r="E7831" s="84">
        <v>1595.75</v>
      </c>
      <c r="F7831" s="83">
        <f t="shared" ca="1" si="309"/>
        <v>12766</v>
      </c>
    </row>
    <row r="7832" spans="1:6" ht="14.1" customHeight="1" x14ac:dyDescent="0.25">
      <c r="A7832" s="94" t="s">
        <v>435</v>
      </c>
      <c r="B7832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832" s="95" t="str">
        <f>IFERROR(VLOOKUP("UD",'Informacion '!P:Q,2,FALSE),"")</f>
        <v>Unidad</v>
      </c>
      <c r="D7832" s="94">
        <v>131</v>
      </c>
      <c r="E7832" s="84">
        <v>3</v>
      </c>
      <c r="F7832" s="83">
        <f t="shared" ca="1" si="309"/>
        <v>393</v>
      </c>
    </row>
    <row r="7833" spans="1:6" ht="14.1" customHeight="1" x14ac:dyDescent="0.25">
      <c r="A7833" s="94" t="s">
        <v>12909</v>
      </c>
      <c r="B7833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833" s="95" t="str">
        <f>IFERROR(VLOOKUP("UD",'Informacion '!P:Q,2,FALSE),"")</f>
        <v>Unidad</v>
      </c>
      <c r="D7833" s="94">
        <v>9</v>
      </c>
      <c r="E7833" s="84">
        <v>358.74</v>
      </c>
      <c r="F7833" s="83">
        <f t="shared" ca="1" si="309"/>
        <v>3228.66</v>
      </c>
    </row>
    <row r="7834" spans="1:6" ht="14.1" customHeight="1" x14ac:dyDescent="0.25">
      <c r="A7834" s="94" t="s">
        <v>16391</v>
      </c>
      <c r="B7834" s="82" t="str">
        <f ca="1">IFERROR(INDEX(UNSPSCDes,MATCH(INDIRECT(ADDRESS(ROW(),COLUMN()-1,4)),UNSPSCCode,0)),IF(INDIRECT(ADDRESS(ROW(),COLUMN()-1,4))="42142615","Accesorios para jeringas",""))</f>
        <v>Accesorios para jeringas</v>
      </c>
      <c r="C7834" s="95" t="str">
        <f>IFERROR(VLOOKUP("UD",'Informacion '!P:Q,2,FALSE),"")</f>
        <v>Unidad</v>
      </c>
      <c r="D7834" s="94">
        <v>4</v>
      </c>
      <c r="E7834" s="84">
        <v>2.7</v>
      </c>
      <c r="F7834" s="83">
        <f t="shared" ca="1" si="309"/>
        <v>10.8</v>
      </c>
    </row>
    <row r="7835" spans="1:6" ht="14.1" customHeight="1" x14ac:dyDescent="0.25">
      <c r="A7835" s="94" t="s">
        <v>16391</v>
      </c>
      <c r="B7835" s="82" t="str">
        <f ca="1">IFERROR(INDEX(UNSPSCDes,MATCH(INDIRECT(ADDRESS(ROW(),COLUMN()-1,4)),UNSPSCCode,0)),IF(INDIRECT(ADDRESS(ROW(),COLUMN()-1,4))="42142615","Accesorios para jeringas",""))</f>
        <v>Accesorios para jeringas</v>
      </c>
      <c r="C7835" s="95" t="str">
        <f>IFERROR(VLOOKUP("UD",'Informacion '!P:Q,2,FALSE),"")</f>
        <v>Unidad</v>
      </c>
      <c r="D7835" s="94">
        <v>2084</v>
      </c>
      <c r="E7835" s="84">
        <v>1.5</v>
      </c>
      <c r="F7835" s="83">
        <f t="shared" ca="1" si="309"/>
        <v>3126</v>
      </c>
    </row>
    <row r="7836" spans="1:6" ht="14.1" customHeight="1" x14ac:dyDescent="0.25">
      <c r="A7836" s="94" t="s">
        <v>1865</v>
      </c>
      <c r="B7836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836" s="95" t="str">
        <f>IFERROR(VLOOKUP("UD",'Informacion '!P:Q,2,FALSE),"")</f>
        <v>Unidad</v>
      </c>
      <c r="D7836" s="94">
        <v>1045</v>
      </c>
      <c r="E7836" s="84">
        <v>14</v>
      </c>
      <c r="F7836" s="83">
        <f t="shared" ca="1" si="309"/>
        <v>14630</v>
      </c>
    </row>
    <row r="7837" spans="1:6" ht="14.1" customHeight="1" x14ac:dyDescent="0.25">
      <c r="A7837" s="94" t="s">
        <v>16391</v>
      </c>
      <c r="B7837" s="82" t="str">
        <f ca="1">IFERROR(INDEX(UNSPSCDes,MATCH(INDIRECT(ADDRESS(ROW(),COLUMN()-1,4)),UNSPSCCode,0)),IF(INDIRECT(ADDRESS(ROW(),COLUMN()-1,4))="42142615","Accesorios para jeringas",""))</f>
        <v>Accesorios para jeringas</v>
      </c>
      <c r="C7837" s="95" t="str">
        <f>IFERROR(VLOOKUP("UD",'Informacion '!P:Q,2,FALSE),"")</f>
        <v>Unidad</v>
      </c>
      <c r="D7837" s="94">
        <v>62</v>
      </c>
      <c r="E7837" s="84">
        <v>2.88</v>
      </c>
      <c r="F7837" s="83">
        <f t="shared" ca="1" si="309"/>
        <v>178.56</v>
      </c>
    </row>
    <row r="7838" spans="1:6" ht="14.1" customHeight="1" x14ac:dyDescent="0.25">
      <c r="A7838" s="94" t="s">
        <v>9447</v>
      </c>
      <c r="B7838" s="82" t="str">
        <f ca="1">IFERROR(INDEX(UNSPSCDes,MATCH(INDIRECT(ADDRESS(ROW(),COLUMN()-1,4)),UNSPSCCode,0)),IF(INDIRECT(ADDRESS(ROW(),COLUMN()-1,4))="42221614","Kits de administración de tubos intravenosos con catéter",""))</f>
        <v>Kits de administración de tubos intravenosos con catéter</v>
      </c>
      <c r="C7838" s="95" t="str">
        <f>IFERROR(VLOOKUP("UD",'Informacion '!P:Q,2,FALSE),"")</f>
        <v>Unidad</v>
      </c>
      <c r="D7838" s="94">
        <v>2</v>
      </c>
      <c r="E7838" s="84">
        <v>118.93</v>
      </c>
      <c r="F7838" s="83">
        <f t="shared" ca="1" si="309"/>
        <v>237.86</v>
      </c>
    </row>
    <row r="7839" spans="1:6" ht="14.1" customHeight="1" x14ac:dyDescent="0.25">
      <c r="A7839" s="94" t="s">
        <v>3642</v>
      </c>
      <c r="B7839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7839" s="95" t="str">
        <f>IFERROR(VLOOKUP("UD",'Informacion '!P:Q,2,FALSE),"")</f>
        <v>Unidad</v>
      </c>
      <c r="D7839" s="94">
        <v>127</v>
      </c>
      <c r="E7839" s="84">
        <v>108.92</v>
      </c>
      <c r="F7839" s="83">
        <f t="shared" ca="1" si="309"/>
        <v>13832.84</v>
      </c>
    </row>
    <row r="7840" spans="1:6" ht="14.1" customHeight="1" x14ac:dyDescent="0.25">
      <c r="A7840" s="94" t="s">
        <v>16391</v>
      </c>
      <c r="B7840" s="82" t="str">
        <f ca="1">IFERROR(INDEX(UNSPSCDes,MATCH(INDIRECT(ADDRESS(ROW(),COLUMN()-1,4)),UNSPSCCode,0)),IF(INDIRECT(ADDRESS(ROW(),COLUMN()-1,4))="42142615","Accesorios para jeringas",""))</f>
        <v>Accesorios para jeringas</v>
      </c>
      <c r="C7840" s="95" t="str">
        <f>IFERROR(VLOOKUP("UD",'Informacion '!P:Q,2,FALSE),"")</f>
        <v>Unidad</v>
      </c>
      <c r="D7840" s="94">
        <v>337</v>
      </c>
      <c r="E7840" s="84">
        <v>15.37</v>
      </c>
      <c r="F7840" s="83">
        <f t="shared" ca="1" si="309"/>
        <v>5179.6899999999996</v>
      </c>
    </row>
    <row r="7841" spans="1:6" ht="14.1" customHeight="1" x14ac:dyDescent="0.25">
      <c r="A7841" s="94" t="s">
        <v>4852</v>
      </c>
      <c r="B7841" s="82" t="str">
        <f ca="1">IFERROR(INDEX(UNSPSCDes,MATCH(INDIRECT(ADDRESS(ROW(),COLUMN()-1,4)),UNSPSCCode,0)),IF(INDIRECT(ADDRESS(ROW(),COLUMN()-1,4))="42295303","Catéteres o conectores o accesorios de uso quirúrgico",""))</f>
        <v>Catéteres o conectores o accesorios de uso quirúrgico</v>
      </c>
      <c r="C7841" s="95" t="str">
        <f>IFERROR(VLOOKUP("UD",'Informacion '!P:Q,2,FALSE),"")</f>
        <v>Unidad</v>
      </c>
      <c r="D7841" s="94">
        <v>2</v>
      </c>
      <c r="E7841" s="84">
        <v>162.80000000000001</v>
      </c>
      <c r="F7841" s="83">
        <f t="shared" ca="1" si="309"/>
        <v>325.60000000000002</v>
      </c>
    </row>
    <row r="7842" spans="1:6" ht="14.1" customHeight="1" x14ac:dyDescent="0.25">
      <c r="A7842" s="94" t="s">
        <v>6266</v>
      </c>
      <c r="B7842" s="82" t="str">
        <f ca="1">IFERROR(INDEX(UNSPSCDes,MATCH(INDIRECT(ADDRESS(ROW(),COLUMN()-1,4)),UNSPSCCode,0)),IF(INDIRECT(ADDRESS(ROW(),COLUMN()-1,4))="30151701","Boquillas de bajantes",""))</f>
        <v>Boquillas de bajantes</v>
      </c>
      <c r="C7842" s="95" t="str">
        <f>IFERROR(VLOOKUP("UD",'Informacion '!P:Q,2,FALSE),"")</f>
        <v>Unidad</v>
      </c>
      <c r="D7842" s="94">
        <v>721</v>
      </c>
      <c r="E7842" s="84">
        <v>10.75</v>
      </c>
      <c r="F7842" s="83">
        <f t="shared" ref="F7842:F7868" ca="1" si="310">INDIRECT(ADDRESS(ROW(),COLUMN()-2,4))*INDIRECT(ADDRESS(ROW(),COLUMN()-1,4))</f>
        <v>7750.75</v>
      </c>
    </row>
    <row r="7843" spans="1:6" ht="14.1" customHeight="1" x14ac:dyDescent="0.25">
      <c r="A7843" s="94" t="s">
        <v>18202</v>
      </c>
      <c r="B7843" s="82" t="str">
        <f ca="1">IFERROR(INDEX(UNSPSCDes,MATCH(INDIRECT(ADDRESS(ROW(),COLUMN()-1,4)),UNSPSCCode,0)),IF(INDIRECT(ADDRESS(ROW(),COLUMN()-1,4))="14111609","Papel de cubierta",""))</f>
        <v>Papel de cubierta</v>
      </c>
      <c r="C7843" s="95" t="str">
        <f>IFERROR(VLOOKUP("UD",'Informacion '!P:Q,2,FALSE),"")</f>
        <v>Unidad</v>
      </c>
      <c r="D7843" s="94">
        <v>18</v>
      </c>
      <c r="E7843" s="84">
        <v>146.32</v>
      </c>
      <c r="F7843" s="83">
        <f t="shared" ca="1" si="310"/>
        <v>2633.7599999999998</v>
      </c>
    </row>
    <row r="7844" spans="1:6" ht="14.1" customHeight="1" x14ac:dyDescent="0.25">
      <c r="A7844" s="94" t="s">
        <v>18707</v>
      </c>
      <c r="B7844" s="82" t="str">
        <f ca="1">IFERROR(INDEX(UNSPSCDes,MATCH(INDIRECT(ADDRESS(ROW(),COLUMN()-1,4)),UNSPSCCode,0)),IF(INDIRECT(ADDRESS(ROW(),COLUMN()-1,4))="40101903","Humidificadores",""))</f>
        <v>Humidificadores</v>
      </c>
      <c r="C7844" s="95" t="str">
        <f>IFERROR(VLOOKUP("UD",'Informacion '!P:Q,2,FALSE),"")</f>
        <v>Unidad</v>
      </c>
      <c r="D7844" s="94">
        <v>11</v>
      </c>
      <c r="E7844" s="84">
        <v>108.29</v>
      </c>
      <c r="F7844" s="83">
        <f t="shared" ca="1" si="310"/>
        <v>1191.19</v>
      </c>
    </row>
    <row r="7845" spans="1:6" ht="14.1" customHeight="1" x14ac:dyDescent="0.25">
      <c r="A7845" s="94" t="s">
        <v>16391</v>
      </c>
      <c r="B7845" s="82" t="str">
        <f ca="1">IFERROR(INDEX(UNSPSCDes,MATCH(INDIRECT(ADDRESS(ROW(),COLUMN()-1,4)),UNSPSCCode,0)),IF(INDIRECT(ADDRESS(ROW(),COLUMN()-1,4))="42142615","Accesorios para jeringas",""))</f>
        <v>Accesorios para jeringas</v>
      </c>
      <c r="C7845" s="95" t="str">
        <f>IFERROR(VLOOKUP("UD",'Informacion '!P:Q,2,FALSE),"")</f>
        <v>Unidad</v>
      </c>
      <c r="D7845" s="94">
        <v>1</v>
      </c>
      <c r="E7845" s="84">
        <v>7.24</v>
      </c>
      <c r="F7845" s="83">
        <f t="shared" ca="1" si="310"/>
        <v>7.24</v>
      </c>
    </row>
    <row r="7846" spans="1:6" ht="14.1" customHeight="1" x14ac:dyDescent="0.25">
      <c r="A7846" s="94" t="s">
        <v>16391</v>
      </c>
      <c r="B7846" s="82" t="str">
        <f ca="1">IFERROR(INDEX(UNSPSCDes,MATCH(INDIRECT(ADDRESS(ROW(),COLUMN()-1,4)),UNSPSCCode,0)),IF(INDIRECT(ADDRESS(ROW(),COLUMN()-1,4))="42142615","Accesorios para jeringas",""))</f>
        <v>Accesorios para jeringas</v>
      </c>
      <c r="C7846" s="95" t="str">
        <f>IFERROR(VLOOKUP("UD",'Informacion '!P:Q,2,FALSE),"")</f>
        <v>Unidad</v>
      </c>
      <c r="D7846" s="94">
        <v>9</v>
      </c>
      <c r="E7846" s="84">
        <v>12.78</v>
      </c>
      <c r="F7846" s="83">
        <f t="shared" ca="1" si="310"/>
        <v>115.02</v>
      </c>
    </row>
    <row r="7847" spans="1:6" ht="14.1" customHeight="1" x14ac:dyDescent="0.25">
      <c r="A7847" s="94" t="s">
        <v>14660</v>
      </c>
      <c r="B7847" s="82" t="str">
        <f ca="1">IFERROR(INDEX(UNSPSCDes,MATCH(INDIRECT(ADDRESS(ROW(),COLUMN()-1,4)),UNSPSCCode,0)),IF(INDIRECT(ADDRESS(ROW(),COLUMN()-1,4))="42311526","Vendajes de",""))</f>
        <v>Vendajes de</v>
      </c>
      <c r="C7847" s="95" t="str">
        <f>IFERROR(VLOOKUP("UD",'Informacion '!P:Q,2,FALSE),"")</f>
        <v>Unidad</v>
      </c>
      <c r="D7847" s="94">
        <v>6</v>
      </c>
      <c r="E7847" s="84">
        <v>53</v>
      </c>
      <c r="F7847" s="83">
        <f t="shared" ca="1" si="310"/>
        <v>318</v>
      </c>
    </row>
    <row r="7848" spans="1:6" ht="14.1" customHeight="1" x14ac:dyDescent="0.25">
      <c r="A7848" s="94" t="s">
        <v>18202</v>
      </c>
      <c r="B7848" s="82" t="str">
        <f ca="1">IFERROR(INDEX(UNSPSCDes,MATCH(INDIRECT(ADDRESS(ROW(),COLUMN()-1,4)),UNSPSCCode,0)),IF(INDIRECT(ADDRESS(ROW(),COLUMN()-1,4))="14111609","Papel de cubierta",""))</f>
        <v>Papel de cubierta</v>
      </c>
      <c r="C7848" s="95" t="str">
        <f>IFERROR(VLOOKUP("UD",'Informacion '!P:Q,2,FALSE),"")</f>
        <v>Unidad</v>
      </c>
      <c r="D7848" s="94">
        <v>12</v>
      </c>
      <c r="E7848" s="84">
        <v>123.9</v>
      </c>
      <c r="F7848" s="83">
        <f t="shared" ca="1" si="310"/>
        <v>1486.8000000000002</v>
      </c>
    </row>
    <row r="7849" spans="1:6" ht="14.1" customHeight="1" x14ac:dyDescent="0.25">
      <c r="A7849" s="94" t="s">
        <v>17236</v>
      </c>
      <c r="B7849" s="82" t="str">
        <f ca="1">IFERROR(INDEX(UNSPSCDes,MATCH(INDIRECT(ADDRESS(ROW(),COLUMN()-1,4)),UNSPSCCode,0)),IF(INDIRECT(ADDRESS(ROW(),COLUMN()-1,4))="41115715","Inyectores",""))</f>
        <v>Inyectores</v>
      </c>
      <c r="C7849" s="95" t="str">
        <f>IFERROR(VLOOKUP("UD",'Informacion '!P:Q,2,FALSE),"")</f>
        <v>Unidad</v>
      </c>
      <c r="D7849" s="94">
        <v>1</v>
      </c>
      <c r="E7849" s="84">
        <v>2124</v>
      </c>
      <c r="F7849" s="83">
        <f t="shared" ca="1" si="310"/>
        <v>2124</v>
      </c>
    </row>
    <row r="7850" spans="1:6" ht="14.1" customHeight="1" x14ac:dyDescent="0.25">
      <c r="A7850" s="94" t="s">
        <v>4226</v>
      </c>
      <c r="B7850" s="82" t="str">
        <f ca="1">IFERROR(INDEX(UNSPSCDes,MATCH(INDIRECT(ADDRESS(ROW(),COLUMN()-1,4)),UNSPSCCode,0)),IF(INDIRECT(ADDRESS(ROW(),COLUMN()-1,4))="10141609","Sujetadores",""))</f>
        <v>Sujetadores</v>
      </c>
      <c r="C7850" s="95" t="str">
        <f>IFERROR(VLOOKUP("UD",'Informacion '!P:Q,2,FALSE),"")</f>
        <v>Unidad</v>
      </c>
      <c r="D7850" s="94">
        <v>2</v>
      </c>
      <c r="E7850" s="84">
        <v>590</v>
      </c>
      <c r="F7850" s="83">
        <f t="shared" ca="1" si="310"/>
        <v>1180</v>
      </c>
    </row>
    <row r="7851" spans="1:6" ht="14.1" customHeight="1" x14ac:dyDescent="0.25">
      <c r="A7851" s="94" t="s">
        <v>14356</v>
      </c>
      <c r="B7851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7851" s="95" t="str">
        <f>IFERROR(VLOOKUP("UD",'Informacion '!P:Q,2,FALSE),"")</f>
        <v>Unidad</v>
      </c>
      <c r="D7851" s="94">
        <v>3</v>
      </c>
      <c r="E7851" s="84">
        <v>27447.26</v>
      </c>
      <c r="F7851" s="83">
        <f t="shared" ca="1" si="310"/>
        <v>82341.78</v>
      </c>
    </row>
    <row r="7852" spans="1:6" ht="14.1" customHeight="1" x14ac:dyDescent="0.25">
      <c r="A7852" s="94" t="s">
        <v>6120</v>
      </c>
      <c r="B7852" s="82" t="str">
        <f ca="1">IFERROR(INDEX(UNSPSCDes,MATCH(INDIRECT(ADDRESS(ROW(),COLUMN()-1,4)),UNSPSCCode,0)),IF(INDIRECT(ADDRESS(ROW(),COLUMN()-1,4))="44121634","Rollos adhesivos",""))</f>
        <v>Rollos adhesivos</v>
      </c>
      <c r="C7852" s="95" t="str">
        <f>IFERROR(VLOOKUP("UD",'Informacion '!P:Q,2,FALSE),"")</f>
        <v>Unidad</v>
      </c>
      <c r="D7852" s="94">
        <v>765</v>
      </c>
      <c r="E7852" s="84">
        <v>98.87</v>
      </c>
      <c r="F7852" s="83">
        <f t="shared" ca="1" si="310"/>
        <v>75635.55</v>
      </c>
    </row>
    <row r="7853" spans="1:6" ht="14.1" customHeight="1" x14ac:dyDescent="0.25">
      <c r="A7853" s="94" t="s">
        <v>1279</v>
      </c>
      <c r="B7853" s="82" t="str">
        <f ca="1">IFERROR(INDEX(UNSPSCDes,MATCH(INDIRECT(ADDRESS(ROW(),COLUMN()-1,4)),UNSPSCCode,0)),IF(INDIRECT(ADDRESS(ROW(),COLUMN()-1,4))="42231701","Tubos nasogástricos",""))</f>
        <v>Tubos nasogástricos</v>
      </c>
      <c r="C7853" s="95" t="str">
        <f>IFERROR(VLOOKUP("UD",'Informacion '!P:Q,2,FALSE),"")</f>
        <v>Unidad</v>
      </c>
      <c r="D7853" s="94">
        <v>2</v>
      </c>
      <c r="E7853" s="84">
        <v>4763.7299999999996</v>
      </c>
      <c r="F7853" s="83">
        <f t="shared" ca="1" si="310"/>
        <v>9527.4599999999991</v>
      </c>
    </row>
    <row r="7854" spans="1:6" ht="14.1" customHeight="1" x14ac:dyDescent="0.25">
      <c r="A7854" s="94" t="s">
        <v>6481</v>
      </c>
      <c r="B7854" s="82" t="str">
        <f ca="1">IFERROR(INDEX(UNSPSCDes,MATCH(INDIRECT(ADDRESS(ROW(),COLUMN()-1,4)),UNSPSCCode,0)),IF(INDIRECT(ADDRESS(ROW(),COLUMN()-1,4))="42293603","Sondas para uso quirúrgico",""))</f>
        <v>Sondas para uso quirúrgico</v>
      </c>
      <c r="C7854" s="95" t="str">
        <f>IFERROR(VLOOKUP("UD",'Informacion '!P:Q,2,FALSE),"")</f>
        <v>Unidad</v>
      </c>
      <c r="D7854" s="94">
        <v>1</v>
      </c>
      <c r="E7854" s="84">
        <v>27.2</v>
      </c>
      <c r="F7854" s="83">
        <f t="shared" ca="1" si="310"/>
        <v>27.2</v>
      </c>
    </row>
    <row r="7855" spans="1:6" ht="14.1" customHeight="1" x14ac:dyDescent="0.25">
      <c r="A7855" s="94" t="s">
        <v>7820</v>
      </c>
      <c r="B7855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855" s="95" t="str">
        <f>IFERROR(VLOOKUP("UD",'Informacion '!P:Q,2,FALSE),"")</f>
        <v>Unidad</v>
      </c>
      <c r="D7855" s="94">
        <v>41</v>
      </c>
      <c r="E7855" s="84">
        <v>68.87</v>
      </c>
      <c r="F7855" s="83">
        <f t="shared" ca="1" si="310"/>
        <v>2823.67</v>
      </c>
    </row>
    <row r="7856" spans="1:6" ht="14.1" customHeight="1" x14ac:dyDescent="0.25">
      <c r="A7856" s="94" t="s">
        <v>16391</v>
      </c>
      <c r="B7856" s="82" t="str">
        <f ca="1">IFERROR(INDEX(UNSPSCDes,MATCH(INDIRECT(ADDRESS(ROW(),COLUMN()-1,4)),UNSPSCCode,0)),IF(INDIRECT(ADDRESS(ROW(),COLUMN()-1,4))="42142615","Accesorios para jeringas",""))</f>
        <v>Accesorios para jeringas</v>
      </c>
      <c r="C7856" s="95" t="str">
        <f>IFERROR(VLOOKUP("UD",'Informacion '!P:Q,2,FALSE),"")</f>
        <v>Unidad</v>
      </c>
      <c r="D7856" s="94">
        <v>6368</v>
      </c>
      <c r="E7856" s="84">
        <v>3.18</v>
      </c>
      <c r="F7856" s="83">
        <f t="shared" ca="1" si="310"/>
        <v>20250.240000000002</v>
      </c>
    </row>
    <row r="7857" spans="1:10" ht="14.1" customHeight="1" x14ac:dyDescent="0.25">
      <c r="A7857" s="94" t="s">
        <v>16697</v>
      </c>
      <c r="B7857" s="82" t="str">
        <f ca="1">IFERROR(INDEX(UNSPSCDes,MATCH(INDIRECT(ADDRESS(ROW(),COLUMN()-1,4)),UNSPSCCode,0)),IF(INDIRECT(ADDRESS(ROW(),COLUMN()-1,4))="11121802","Algodón",""))</f>
        <v>Algodón</v>
      </c>
      <c r="C7857" s="95" t="str">
        <f>IFERROR(VLOOKUP("UD",'Informacion '!P:Q,2,FALSE),"")</f>
        <v>Unidad</v>
      </c>
      <c r="D7857" s="94">
        <v>210</v>
      </c>
      <c r="E7857" s="84">
        <v>69.569999999999993</v>
      </c>
      <c r="F7857" s="83">
        <f t="shared" ca="1" si="310"/>
        <v>14609.699999999999</v>
      </c>
    </row>
    <row r="7858" spans="1:10" ht="14.1" customHeight="1" x14ac:dyDescent="0.25">
      <c r="A7858" s="94" t="s">
        <v>6481</v>
      </c>
      <c r="B7858" s="82" t="str">
        <f ca="1">IFERROR(INDEX(UNSPSCDes,MATCH(INDIRECT(ADDRESS(ROW(),COLUMN()-1,4)),UNSPSCCode,0)),IF(INDIRECT(ADDRESS(ROW(),COLUMN()-1,4))="42293603","Sondas para uso quirúrgico",""))</f>
        <v>Sondas para uso quirúrgico</v>
      </c>
      <c r="C7858" s="95" t="str">
        <f>IFERROR(VLOOKUP("UD",'Informacion '!P:Q,2,FALSE),"")</f>
        <v>Unidad</v>
      </c>
      <c r="D7858" s="94">
        <v>1</v>
      </c>
      <c r="E7858" s="84">
        <v>19.87</v>
      </c>
      <c r="F7858" s="83">
        <f t="shared" ca="1" si="310"/>
        <v>19.87</v>
      </c>
    </row>
    <row r="7859" spans="1:10" ht="14.1" customHeight="1" x14ac:dyDescent="0.25">
      <c r="A7859" s="94" t="s">
        <v>16391</v>
      </c>
      <c r="B7859" s="82" t="str">
        <f ca="1">IFERROR(INDEX(UNSPSCDes,MATCH(INDIRECT(ADDRESS(ROW(),COLUMN()-1,4)),UNSPSCCode,0)),IF(INDIRECT(ADDRESS(ROW(),COLUMN()-1,4))="42142615","Accesorios para jeringas",""))</f>
        <v>Accesorios para jeringas</v>
      </c>
      <c r="C7859" s="95" t="str">
        <f>IFERROR(VLOOKUP("UD",'Informacion '!P:Q,2,FALSE),"")</f>
        <v>Unidad</v>
      </c>
      <c r="D7859" s="94">
        <v>303</v>
      </c>
      <c r="E7859" s="84">
        <v>3.16</v>
      </c>
      <c r="F7859" s="83">
        <f t="shared" ca="1" si="310"/>
        <v>957.48</v>
      </c>
    </row>
    <row r="7860" spans="1:10" ht="14.1" customHeight="1" x14ac:dyDescent="0.25">
      <c r="A7860" s="94" t="s">
        <v>16391</v>
      </c>
      <c r="B7860" s="82" t="str">
        <f ca="1">IFERROR(INDEX(UNSPSCDes,MATCH(INDIRECT(ADDRESS(ROW(),COLUMN()-1,4)),UNSPSCCode,0)),IF(INDIRECT(ADDRESS(ROW(),COLUMN()-1,4))="42142615","Accesorios para jeringas",""))</f>
        <v>Accesorios para jeringas</v>
      </c>
      <c r="C7860" s="95" t="str">
        <f>IFERROR(VLOOKUP("UD",'Informacion '!P:Q,2,FALSE),"")</f>
        <v>Unidad</v>
      </c>
      <c r="D7860" s="94">
        <v>1</v>
      </c>
      <c r="E7860" s="84">
        <v>4.43</v>
      </c>
      <c r="F7860" s="83">
        <f t="shared" ca="1" si="310"/>
        <v>4.43</v>
      </c>
    </row>
    <row r="7861" spans="1:10" ht="14.1" customHeight="1" x14ac:dyDescent="0.25">
      <c r="A7861" s="94" t="s">
        <v>16391</v>
      </c>
      <c r="B7861" s="82" t="str">
        <f ca="1">IFERROR(INDEX(UNSPSCDes,MATCH(INDIRECT(ADDRESS(ROW(),COLUMN()-1,4)),UNSPSCCode,0)),IF(INDIRECT(ADDRESS(ROW(),COLUMN()-1,4))="42142615","Accesorios para jeringas",""))</f>
        <v>Accesorios para jeringas</v>
      </c>
      <c r="C7861" s="95" t="str">
        <f>IFERROR(VLOOKUP("UD",'Informacion '!P:Q,2,FALSE),"")</f>
        <v>Unidad</v>
      </c>
      <c r="D7861" s="94">
        <v>22</v>
      </c>
      <c r="E7861" s="84">
        <v>24.95</v>
      </c>
      <c r="F7861" s="83">
        <f t="shared" ca="1" si="310"/>
        <v>548.9</v>
      </c>
    </row>
    <row r="7862" spans="1:10" ht="14.1" customHeight="1" x14ac:dyDescent="0.25">
      <c r="A7862" s="94" t="s">
        <v>6481</v>
      </c>
      <c r="B7862" s="82" t="str">
        <f ca="1">IFERROR(INDEX(UNSPSCDes,MATCH(INDIRECT(ADDRESS(ROW(),COLUMN()-1,4)),UNSPSCCode,0)),IF(INDIRECT(ADDRESS(ROW(),COLUMN()-1,4))="42293603","Sondas para uso quirúrgico",""))</f>
        <v>Sondas para uso quirúrgico</v>
      </c>
      <c r="C7862" s="95" t="str">
        <f>IFERROR(VLOOKUP("UD",'Informacion '!P:Q,2,FALSE),"")</f>
        <v>Unidad</v>
      </c>
      <c r="D7862" s="94">
        <v>7</v>
      </c>
      <c r="E7862" s="84">
        <v>28.64</v>
      </c>
      <c r="F7862" s="83">
        <f t="shared" ca="1" si="310"/>
        <v>200.48000000000002</v>
      </c>
    </row>
    <row r="7863" spans="1:10" ht="14.1" customHeight="1" x14ac:dyDescent="0.25">
      <c r="A7863" s="94" t="s">
        <v>6481</v>
      </c>
      <c r="B7863" s="82" t="str">
        <f ca="1">IFERROR(INDEX(UNSPSCDes,MATCH(INDIRECT(ADDRESS(ROW(),COLUMN()-1,4)),UNSPSCCode,0)),IF(INDIRECT(ADDRESS(ROW(),COLUMN()-1,4))="42293603","Sondas para uso quirúrgico",""))</f>
        <v>Sondas para uso quirúrgico</v>
      </c>
      <c r="C7863" s="95" t="str">
        <f>IFERROR(VLOOKUP("UD",'Informacion '!P:Q,2,FALSE),"")</f>
        <v>Unidad</v>
      </c>
      <c r="D7863" s="94">
        <v>7</v>
      </c>
      <c r="E7863" s="84">
        <v>21.79</v>
      </c>
      <c r="F7863" s="83">
        <f t="shared" ca="1" si="310"/>
        <v>152.53</v>
      </c>
    </row>
    <row r="7864" spans="1:10" ht="14.1" customHeight="1" x14ac:dyDescent="0.25">
      <c r="A7864" s="94" t="s">
        <v>6481</v>
      </c>
      <c r="B7864" s="82" t="str">
        <f ca="1">IFERROR(INDEX(UNSPSCDes,MATCH(INDIRECT(ADDRESS(ROW(),COLUMN()-1,4)),UNSPSCCode,0)),IF(INDIRECT(ADDRESS(ROW(),COLUMN()-1,4))="42293603","Sondas para uso quirúrgico",""))</f>
        <v>Sondas para uso quirúrgico</v>
      </c>
      <c r="C7864" s="95" t="str">
        <f>IFERROR(VLOOKUP("UD",'Informacion '!P:Q,2,FALSE),"")</f>
        <v>Unidad</v>
      </c>
      <c r="D7864" s="94">
        <v>1</v>
      </c>
      <c r="E7864" s="84">
        <v>25.38</v>
      </c>
      <c r="F7864" s="83">
        <f t="shared" ca="1" si="310"/>
        <v>25.38</v>
      </c>
    </row>
    <row r="7865" spans="1:10" ht="14.1" customHeight="1" x14ac:dyDescent="0.25">
      <c r="A7865" s="94" t="s">
        <v>16391</v>
      </c>
      <c r="B7865" s="82" t="str">
        <f ca="1">IFERROR(INDEX(UNSPSCDes,MATCH(INDIRECT(ADDRESS(ROW(),COLUMN()-1,4)),UNSPSCCode,0)),IF(INDIRECT(ADDRESS(ROW(),COLUMN()-1,4))="42142615","Accesorios para jeringas",""))</f>
        <v>Accesorios para jeringas</v>
      </c>
      <c r="C7865" s="95" t="str">
        <f>IFERROR(VLOOKUP("UD",'Informacion '!P:Q,2,FALSE),"")</f>
        <v>Unidad</v>
      </c>
      <c r="D7865" s="94">
        <v>198</v>
      </c>
      <c r="E7865" s="84">
        <v>4.9000000000000004</v>
      </c>
      <c r="F7865" s="83">
        <f t="shared" ca="1" si="310"/>
        <v>970.2</v>
      </c>
    </row>
    <row r="7866" spans="1:10" ht="14.1" customHeight="1" x14ac:dyDescent="0.25">
      <c r="A7866" s="94" t="s">
        <v>14138</v>
      </c>
      <c r="B7866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866" s="95" t="str">
        <f>IFERROR(VLOOKUP("UD",'Informacion '!P:Q,2,FALSE),"")</f>
        <v>Unidad</v>
      </c>
      <c r="D7866" s="94">
        <v>4</v>
      </c>
      <c r="E7866" s="84">
        <v>9.15</v>
      </c>
      <c r="F7866" s="83">
        <f t="shared" ca="1" si="310"/>
        <v>36.6</v>
      </c>
    </row>
    <row r="7867" spans="1:10" ht="14.1" customHeight="1" x14ac:dyDescent="0.25">
      <c r="A7867" s="94" t="s">
        <v>6481</v>
      </c>
      <c r="B7867" s="82" t="str">
        <f ca="1">IFERROR(INDEX(UNSPSCDes,MATCH(INDIRECT(ADDRESS(ROW(),COLUMN()-1,4)),UNSPSCCode,0)),IF(INDIRECT(ADDRESS(ROW(),COLUMN()-1,4))="42293603","Sondas para uso quirúrgico",""))</f>
        <v>Sondas para uso quirúrgico</v>
      </c>
      <c r="C7867" s="95" t="str">
        <f>IFERROR(VLOOKUP("UD",'Informacion '!P:Q,2,FALSE),"")</f>
        <v>Unidad</v>
      </c>
      <c r="D7867" s="94">
        <v>48</v>
      </c>
      <c r="E7867" s="84">
        <v>175.05</v>
      </c>
      <c r="F7867" s="83">
        <f t="shared" ca="1" si="310"/>
        <v>8402.4000000000015</v>
      </c>
    </row>
    <row r="7868" spans="1:10" ht="14.1" customHeight="1" x14ac:dyDescent="0.25">
      <c r="A7868" s="94" t="s">
        <v>16391</v>
      </c>
      <c r="B7868" s="82" t="str">
        <f ca="1">IFERROR(INDEX(UNSPSCDes,MATCH(INDIRECT(ADDRESS(ROW(),COLUMN()-1,4)),UNSPSCCode,0)),IF(INDIRECT(ADDRESS(ROW(),COLUMN()-1,4))="42142615","Accesorios para jeringas",""))</f>
        <v>Accesorios para jeringas</v>
      </c>
      <c r="C7868" s="95" t="str">
        <f>IFERROR(VLOOKUP("UD",'Informacion '!P:Q,2,FALSE),"")</f>
        <v>Unidad</v>
      </c>
      <c r="D7868" s="94">
        <v>333</v>
      </c>
      <c r="E7868" s="84">
        <v>2.2999999999999998</v>
      </c>
      <c r="F7868" s="83">
        <f t="shared" ca="1" si="310"/>
        <v>765.9</v>
      </c>
    </row>
    <row r="7869" spans="1:10" ht="14.1" customHeight="1" x14ac:dyDescent="0.25">
      <c r="E7869" s="96" t="s">
        <v>7213</v>
      </c>
      <c r="F7869" s="87">
        <f ca="1">SUM(Table208[MONTO TOTAL ESTIMADO])</f>
        <v>369311.41000000009</v>
      </c>
      <c r="H7869" s="39" t="str">
        <f>C7771</f>
        <v>Bienes</v>
      </c>
      <c r="I7869" s="39" t="str">
        <f>E7771</f>
        <v>No</v>
      </c>
      <c r="J7869" s="39" t="str">
        <f>D7771</f>
        <v>Comparacion de Precios</v>
      </c>
    </row>
    <row r="7871" spans="1:10" ht="33.950000000000003" customHeight="1" x14ac:dyDescent="0.25">
      <c r="A7871" s="77" t="s">
        <v>17233</v>
      </c>
      <c r="B7871" s="77" t="s">
        <v>4237</v>
      </c>
      <c r="C7871" s="77" t="s">
        <v>4743</v>
      </c>
      <c r="D7871" s="77" t="s">
        <v>9891</v>
      </c>
      <c r="E7871" s="77" t="s">
        <v>3089</v>
      </c>
      <c r="F7871" s="77" t="s">
        <v>18141</v>
      </c>
    </row>
    <row r="7872" spans="1:10" ht="14.1" customHeight="1" x14ac:dyDescent="0.25">
      <c r="A7872" s="79" t="s">
        <v>6527</v>
      </c>
      <c r="B7872" s="79" t="s">
        <v>2182</v>
      </c>
      <c r="C7872" s="79" t="s">
        <v>17215</v>
      </c>
      <c r="D7872" s="79" t="s">
        <v>15249</v>
      </c>
      <c r="E7872" s="79" t="s">
        <v>18247</v>
      </c>
      <c r="F7872" s="79"/>
    </row>
    <row r="7873" spans="1:6" ht="14.1" customHeight="1" x14ac:dyDescent="0.25">
      <c r="A7873" s="2" t="s">
        <v>6643</v>
      </c>
      <c r="B7873" s="80" t="s">
        <v>1046</v>
      </c>
      <c r="C7873" s="90">
        <v>43556</v>
      </c>
      <c r="D7873" s="2" t="s">
        <v>59</v>
      </c>
      <c r="E7873" s="92" t="s">
        <v>20066</v>
      </c>
      <c r="F7873" s="93" t="s">
        <v>5684</v>
      </c>
    </row>
    <row r="7874" spans="1:6" ht="14.1" customHeight="1" x14ac:dyDescent="0.25">
      <c r="A7874" s="1"/>
      <c r="B7874" s="80" t="s">
        <v>10788</v>
      </c>
      <c r="C7874" s="91">
        <f>IF(C7873="","",IF(AND(MONTH(C7873)&gt;=1,MONTH(C7873)&lt;=3),1,IF(AND(MONTH(C7873)&gt;=4,MONTH(C7873)&lt;=6),2,IF(AND(MONTH(C7873)&gt;=7,MONTH(C7873)&lt;=9),3,4))))</f>
        <v>2</v>
      </c>
      <c r="D7874" s="1"/>
      <c r="E7874" s="92" t="s">
        <v>14822</v>
      </c>
      <c r="F7874" s="93"/>
    </row>
    <row r="7875" spans="1:6" ht="14.1" customHeight="1" x14ac:dyDescent="0.25">
      <c r="A7875" s="1"/>
      <c r="B7875" s="80" t="s">
        <v>13758</v>
      </c>
      <c r="C7875" s="90">
        <v>43645</v>
      </c>
      <c r="D7875" s="1"/>
      <c r="E7875" s="92" t="s">
        <v>18636</v>
      </c>
      <c r="F7875" s="93"/>
    </row>
    <row r="7876" spans="1:6" ht="14.1" customHeight="1" x14ac:dyDescent="0.25">
      <c r="A7876" s="1"/>
      <c r="B7876" s="80" t="s">
        <v>10788</v>
      </c>
      <c r="C7876" s="91">
        <f>IF(C7875="","",IF(AND(MONTH(C7875)&gt;=1,MONTH(C7875)&lt;=3),1,IF(AND(MONTH(C7875)&gt;=4,MONTH(C7875)&lt;=6),2,IF(AND(MONTH(C7875)&gt;=7,MONTH(C7875)&lt;=9),3,4))))</f>
        <v>2</v>
      </c>
      <c r="D7876" s="1"/>
      <c r="E7876" s="92" t="s">
        <v>15990</v>
      </c>
      <c r="F7876" s="93"/>
    </row>
    <row r="7878" spans="1:6" ht="14.1" customHeight="1" x14ac:dyDescent="0.25">
      <c r="A7878" s="85" t="s">
        <v>15474</v>
      </c>
      <c r="B7878" s="85" t="s">
        <v>5027</v>
      </c>
      <c r="C7878" s="85" t="s">
        <v>17461</v>
      </c>
      <c r="D7878" s="85" t="s">
        <v>3935</v>
      </c>
      <c r="E7878" s="85" t="s">
        <v>10722</v>
      </c>
      <c r="F7878" s="85" t="s">
        <v>18237</v>
      </c>
    </row>
    <row r="7879" spans="1:6" ht="14.1" customHeight="1" x14ac:dyDescent="0.25">
      <c r="A7879" s="94" t="s">
        <v>6266</v>
      </c>
      <c r="B7879" s="82" t="str">
        <f ca="1">IFERROR(INDEX(UNSPSCDes,MATCH(INDIRECT(ADDRESS(ROW(),COLUMN()-1,4)),UNSPSCCode,0)),IF(INDIRECT(ADDRESS(ROW(),COLUMN()-1,4))="30151701","Boquillas de bajantes",""))</f>
        <v>Boquillas de bajantes</v>
      </c>
      <c r="C7879" s="95" t="str">
        <f>IFERROR(VLOOKUP("UD",'Informacion '!P:Q,2,FALSE),"")</f>
        <v>Unidad</v>
      </c>
      <c r="D7879" s="94">
        <v>50</v>
      </c>
      <c r="E7879" s="84">
        <v>36</v>
      </c>
      <c r="F7879" s="83">
        <f t="shared" ref="F7879:F7910" ca="1" si="311">INDIRECT(ADDRESS(ROW(),COLUMN()-2,4))*INDIRECT(ADDRESS(ROW(),COLUMN()-1,4))</f>
        <v>1800</v>
      </c>
    </row>
    <row r="7880" spans="1:6" ht="14.1" customHeight="1" x14ac:dyDescent="0.25">
      <c r="A7880" s="94" t="s">
        <v>2647</v>
      </c>
      <c r="B7880" s="82" t="str">
        <f ca="1">IFERROR(INDEX(UNSPSCDes,MATCH(INDIRECT(ADDRESS(ROW(),COLUMN()-1,4)),UNSPSCCode,0)),IF(INDIRECT(ADDRESS(ROW(),COLUMN()-1,4))="44122116","Clips de bolsas",""))</f>
        <v>Clips de bolsas</v>
      </c>
      <c r="C7880" s="95" t="str">
        <f>IFERROR(VLOOKUP("UD",'Informacion '!P:Q,2,FALSE),"")</f>
        <v>Unidad</v>
      </c>
      <c r="D7880" s="94">
        <v>7</v>
      </c>
      <c r="E7880" s="84">
        <v>64</v>
      </c>
      <c r="F7880" s="83">
        <f t="shared" ca="1" si="311"/>
        <v>448</v>
      </c>
    </row>
    <row r="7881" spans="1:6" ht="14.1" customHeight="1" x14ac:dyDescent="0.25">
      <c r="A7881" s="94" t="s">
        <v>14138</v>
      </c>
      <c r="B7881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881" s="95" t="str">
        <f>IFERROR(VLOOKUP("UD",'Informacion '!P:Q,2,FALSE),"")</f>
        <v>Unidad</v>
      </c>
      <c r="D7881" s="94">
        <v>4</v>
      </c>
      <c r="E7881" s="84">
        <v>14.7</v>
      </c>
      <c r="F7881" s="83">
        <f t="shared" ca="1" si="311"/>
        <v>58.8</v>
      </c>
    </row>
    <row r="7882" spans="1:6" ht="14.1" customHeight="1" x14ac:dyDescent="0.25">
      <c r="A7882" s="94" t="s">
        <v>1865</v>
      </c>
      <c r="B7882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882" s="95" t="str">
        <f>IFERROR(VLOOKUP("UD",'Informacion '!P:Q,2,FALSE),"")</f>
        <v>Unidad</v>
      </c>
      <c r="D7882" s="94">
        <v>2</v>
      </c>
      <c r="E7882" s="84">
        <v>27.71</v>
      </c>
      <c r="F7882" s="83">
        <f t="shared" ca="1" si="311"/>
        <v>55.42</v>
      </c>
    </row>
    <row r="7883" spans="1:6" ht="14.1" customHeight="1" x14ac:dyDescent="0.25">
      <c r="A7883" s="94" t="s">
        <v>2637</v>
      </c>
      <c r="B7883" s="82" t="str">
        <f ca="1">IFERROR(INDEX(UNSPSCDes,MATCH(INDIRECT(ADDRESS(ROW(),COLUMN()-1,4)),UNSPSCCode,0)),IF(INDIRECT(ADDRESS(ROW(),COLUMN()-1,4))="46182002","Respiradores",""))</f>
        <v>Respiradores</v>
      </c>
      <c r="C7883" s="95" t="str">
        <f>IFERROR(VLOOKUP("UD",'Informacion '!P:Q,2,FALSE),"")</f>
        <v>Unidad</v>
      </c>
      <c r="D7883" s="94">
        <v>20</v>
      </c>
      <c r="E7883" s="84">
        <v>150.29</v>
      </c>
      <c r="F7883" s="83">
        <f t="shared" ca="1" si="311"/>
        <v>3005.7999999999997</v>
      </c>
    </row>
    <row r="7884" spans="1:6" ht="14.1" customHeight="1" x14ac:dyDescent="0.25">
      <c r="A7884" s="94" t="s">
        <v>7589</v>
      </c>
      <c r="B7884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884" s="95" t="str">
        <f>IFERROR(VLOOKUP("UD",'Informacion '!P:Q,2,FALSE),"")</f>
        <v>Unidad</v>
      </c>
      <c r="D7884" s="94">
        <v>4</v>
      </c>
      <c r="E7884" s="84">
        <v>371.97</v>
      </c>
      <c r="F7884" s="83">
        <f t="shared" ca="1" si="311"/>
        <v>1487.88</v>
      </c>
    </row>
    <row r="7885" spans="1:6" ht="14.1" customHeight="1" x14ac:dyDescent="0.25">
      <c r="A7885" s="94" t="s">
        <v>435</v>
      </c>
      <c r="B7885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885" s="95" t="str">
        <f>IFERROR(VLOOKUP("UD",'Informacion '!P:Q,2,FALSE),"")</f>
        <v>Unidad</v>
      </c>
      <c r="D7885" s="94">
        <v>3</v>
      </c>
      <c r="E7885" s="84">
        <v>2.92</v>
      </c>
      <c r="F7885" s="83">
        <f t="shared" ca="1" si="311"/>
        <v>8.76</v>
      </c>
    </row>
    <row r="7886" spans="1:6" ht="14.1" customHeight="1" x14ac:dyDescent="0.25">
      <c r="A7886" s="94" t="s">
        <v>4306</v>
      </c>
      <c r="B7886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886" s="95" t="str">
        <f>IFERROR(VLOOKUP("UD",'Informacion '!P:Q,2,FALSE),"")</f>
        <v>Unidad</v>
      </c>
      <c r="D7886" s="94">
        <v>75</v>
      </c>
      <c r="E7886" s="84">
        <v>81.66</v>
      </c>
      <c r="F7886" s="83">
        <f t="shared" ca="1" si="311"/>
        <v>6124.5</v>
      </c>
    </row>
    <row r="7887" spans="1:6" ht="14.1" customHeight="1" x14ac:dyDescent="0.25">
      <c r="A7887" s="94" t="s">
        <v>10248</v>
      </c>
      <c r="B7887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7887" s="95" t="str">
        <f>IFERROR(VLOOKUP("UD",'Informacion '!P:Q,2,FALSE),"")</f>
        <v>Unidad</v>
      </c>
      <c r="D7887" s="94">
        <v>2</v>
      </c>
      <c r="E7887" s="84">
        <v>450</v>
      </c>
      <c r="F7887" s="83">
        <f t="shared" ca="1" si="311"/>
        <v>900</v>
      </c>
    </row>
    <row r="7888" spans="1:6" ht="14.1" customHeight="1" x14ac:dyDescent="0.25">
      <c r="A7888" s="94" t="s">
        <v>16391</v>
      </c>
      <c r="B7888" s="82" t="str">
        <f ca="1">IFERROR(INDEX(UNSPSCDes,MATCH(INDIRECT(ADDRESS(ROW(),COLUMN()-1,4)),UNSPSCCode,0)),IF(INDIRECT(ADDRESS(ROW(),COLUMN()-1,4))="42142615","Accesorios para jeringas",""))</f>
        <v>Accesorios para jeringas</v>
      </c>
      <c r="C7888" s="95" t="str">
        <f>IFERROR(VLOOKUP("UD",'Informacion '!P:Q,2,FALSE),"")</f>
        <v>Unidad</v>
      </c>
      <c r="D7888" s="94">
        <v>345</v>
      </c>
      <c r="E7888" s="84">
        <v>1.43</v>
      </c>
      <c r="F7888" s="83">
        <f t="shared" ca="1" si="311"/>
        <v>493.34999999999997</v>
      </c>
    </row>
    <row r="7889" spans="1:6" ht="14.1" customHeight="1" x14ac:dyDescent="0.25">
      <c r="A7889" s="94" t="s">
        <v>16391</v>
      </c>
      <c r="B7889" s="82" t="str">
        <f ca="1">IFERROR(INDEX(UNSPSCDes,MATCH(INDIRECT(ADDRESS(ROW(),COLUMN()-1,4)),UNSPSCCode,0)),IF(INDIRECT(ADDRESS(ROW(),COLUMN()-1,4))="42142615","Accesorios para jeringas",""))</f>
        <v>Accesorios para jeringas</v>
      </c>
      <c r="C7889" s="95" t="str">
        <f>IFERROR(VLOOKUP("UD",'Informacion '!P:Q,2,FALSE),"")</f>
        <v>Unidad</v>
      </c>
      <c r="D7889" s="94">
        <v>380</v>
      </c>
      <c r="E7889" s="84">
        <v>2.2999999999999998</v>
      </c>
      <c r="F7889" s="83">
        <f t="shared" ca="1" si="311"/>
        <v>873.99999999999989</v>
      </c>
    </row>
    <row r="7890" spans="1:6" ht="14.1" customHeight="1" x14ac:dyDescent="0.25">
      <c r="A7890" s="94" t="s">
        <v>6729</v>
      </c>
      <c r="B7890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7890" s="95" t="str">
        <f>IFERROR(VLOOKUP("UD",'Informacion '!P:Q,2,FALSE),"")</f>
        <v>Unidad</v>
      </c>
      <c r="D7890" s="94">
        <v>8</v>
      </c>
      <c r="E7890" s="84">
        <v>283.89</v>
      </c>
      <c r="F7890" s="83">
        <f t="shared" ca="1" si="311"/>
        <v>2271.12</v>
      </c>
    </row>
    <row r="7891" spans="1:6" ht="14.1" customHeight="1" x14ac:dyDescent="0.25">
      <c r="A7891" s="94" t="s">
        <v>6729</v>
      </c>
      <c r="B7891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7891" s="95" t="str">
        <f>IFERROR(VLOOKUP("UD",'Informacion '!P:Q,2,FALSE),"")</f>
        <v>Unidad</v>
      </c>
      <c r="D7891" s="94">
        <v>7</v>
      </c>
      <c r="E7891" s="84">
        <v>306.8</v>
      </c>
      <c r="F7891" s="83">
        <f t="shared" ca="1" si="311"/>
        <v>2147.6</v>
      </c>
    </row>
    <row r="7892" spans="1:6" ht="14.1" customHeight="1" x14ac:dyDescent="0.25">
      <c r="A7892" s="94" t="s">
        <v>1279</v>
      </c>
      <c r="B7892" s="82" t="str">
        <f ca="1">IFERROR(INDEX(UNSPSCDes,MATCH(INDIRECT(ADDRESS(ROW(),COLUMN()-1,4)),UNSPSCCode,0)),IF(INDIRECT(ADDRESS(ROW(),COLUMN()-1,4))="42231701","Tubos nasogástricos",""))</f>
        <v>Tubos nasogástricos</v>
      </c>
      <c r="C7892" s="95" t="str">
        <f>IFERROR(VLOOKUP("UD",'Informacion '!P:Q,2,FALSE),"")</f>
        <v>Unidad</v>
      </c>
      <c r="D7892" s="94">
        <v>3</v>
      </c>
      <c r="E7892" s="84">
        <v>11.39</v>
      </c>
      <c r="F7892" s="83">
        <f t="shared" ca="1" si="311"/>
        <v>34.17</v>
      </c>
    </row>
    <row r="7893" spans="1:6" ht="14.1" customHeight="1" x14ac:dyDescent="0.25">
      <c r="A7893" s="94" t="s">
        <v>1279</v>
      </c>
      <c r="B7893" s="82" t="str">
        <f ca="1">IFERROR(INDEX(UNSPSCDes,MATCH(INDIRECT(ADDRESS(ROW(),COLUMN()-1,4)),UNSPSCCode,0)),IF(INDIRECT(ADDRESS(ROW(),COLUMN()-1,4))="42231701","Tubos nasogástricos",""))</f>
        <v>Tubos nasogástricos</v>
      </c>
      <c r="C7893" s="95" t="str">
        <f>IFERROR(VLOOKUP("UD",'Informacion '!P:Q,2,FALSE),"")</f>
        <v>Unidad</v>
      </c>
      <c r="D7893" s="94">
        <v>13</v>
      </c>
      <c r="E7893" s="84">
        <v>39.28</v>
      </c>
      <c r="F7893" s="83">
        <f t="shared" ca="1" si="311"/>
        <v>510.64</v>
      </c>
    </row>
    <row r="7894" spans="1:6" ht="14.1" customHeight="1" x14ac:dyDescent="0.25">
      <c r="A7894" s="94" t="s">
        <v>1279</v>
      </c>
      <c r="B7894" s="82" t="str">
        <f ca="1">IFERROR(INDEX(UNSPSCDes,MATCH(INDIRECT(ADDRESS(ROW(),COLUMN()-1,4)),UNSPSCCode,0)),IF(INDIRECT(ADDRESS(ROW(),COLUMN()-1,4))="42231701","Tubos nasogástricos",""))</f>
        <v>Tubos nasogástricos</v>
      </c>
      <c r="C7894" s="95" t="str">
        <f>IFERROR(VLOOKUP("UD",'Informacion '!P:Q,2,FALSE),"")</f>
        <v>Unidad</v>
      </c>
      <c r="D7894" s="94">
        <v>2</v>
      </c>
      <c r="E7894" s="84">
        <v>37.409999999999997</v>
      </c>
      <c r="F7894" s="83">
        <f t="shared" ca="1" si="311"/>
        <v>74.819999999999993</v>
      </c>
    </row>
    <row r="7895" spans="1:6" ht="14.1" customHeight="1" x14ac:dyDescent="0.25">
      <c r="A7895" s="94" t="s">
        <v>12940</v>
      </c>
      <c r="B7895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7895" s="95" t="str">
        <f>IFERROR(VLOOKUP("UD",'Informacion '!P:Q,2,FALSE),"")</f>
        <v>Unidad</v>
      </c>
      <c r="D7895" s="94">
        <v>18</v>
      </c>
      <c r="E7895" s="84">
        <v>16</v>
      </c>
      <c r="F7895" s="83">
        <f t="shared" ca="1" si="311"/>
        <v>288</v>
      </c>
    </row>
    <row r="7896" spans="1:6" ht="14.1" customHeight="1" x14ac:dyDescent="0.25">
      <c r="A7896" s="94" t="s">
        <v>12940</v>
      </c>
      <c r="B7896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7896" s="95" t="str">
        <f>IFERROR(VLOOKUP("UD",'Informacion '!P:Q,2,FALSE),"")</f>
        <v>Unidad</v>
      </c>
      <c r="D7896" s="94">
        <v>6</v>
      </c>
      <c r="E7896" s="84">
        <v>16</v>
      </c>
      <c r="F7896" s="83">
        <f t="shared" ca="1" si="311"/>
        <v>96</v>
      </c>
    </row>
    <row r="7897" spans="1:6" ht="14.1" customHeight="1" x14ac:dyDescent="0.25">
      <c r="A7897" s="94" t="s">
        <v>14138</v>
      </c>
      <c r="B7897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897" s="95" t="str">
        <f>IFERROR(VLOOKUP("UD",'Informacion '!P:Q,2,FALSE),"")</f>
        <v>Unidad</v>
      </c>
      <c r="D7897" s="94">
        <v>2</v>
      </c>
      <c r="E7897" s="84">
        <v>59.91</v>
      </c>
      <c r="F7897" s="83">
        <f t="shared" ca="1" si="311"/>
        <v>119.82</v>
      </c>
    </row>
    <row r="7898" spans="1:6" ht="14.1" customHeight="1" x14ac:dyDescent="0.25">
      <c r="A7898" s="94" t="s">
        <v>18364</v>
      </c>
      <c r="B7898" s="82" t="str">
        <f ca="1">IFERROR(INDEX(UNSPSCDes,MATCH(INDIRECT(ADDRESS(ROW(),COLUMN()-1,4)),UNSPSCCode,0)),IF(INDIRECT(ADDRESS(ROW(),COLUMN()-1,4))="42171612","Camillas o accesorios redondas",""))</f>
        <v>Camillas o accesorios redondas</v>
      </c>
      <c r="C7898" s="95" t="str">
        <f>IFERROR(VLOOKUP("UD",'Informacion '!P:Q,2,FALSE),"")</f>
        <v>Unidad</v>
      </c>
      <c r="D7898" s="94">
        <v>86</v>
      </c>
      <c r="E7898" s="84">
        <v>123.9</v>
      </c>
      <c r="F7898" s="83">
        <f t="shared" ca="1" si="311"/>
        <v>10655.4</v>
      </c>
    </row>
    <row r="7899" spans="1:6" ht="14.1" customHeight="1" x14ac:dyDescent="0.25">
      <c r="A7899" s="94" t="s">
        <v>10483</v>
      </c>
      <c r="B7899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899" s="95" t="str">
        <f>IFERROR(VLOOKUP("UD",'Informacion '!P:Q,2,FALSE),"")</f>
        <v>Unidad</v>
      </c>
      <c r="D7899" s="94">
        <v>5</v>
      </c>
      <c r="E7899" s="84">
        <v>2029.7</v>
      </c>
      <c r="F7899" s="83">
        <f t="shared" ca="1" si="311"/>
        <v>10148.5</v>
      </c>
    </row>
    <row r="7900" spans="1:6" ht="14.1" customHeight="1" x14ac:dyDescent="0.25">
      <c r="A7900" s="94" t="s">
        <v>6481</v>
      </c>
      <c r="B7900" s="82" t="str">
        <f ca="1">IFERROR(INDEX(UNSPSCDes,MATCH(INDIRECT(ADDRESS(ROW(),COLUMN()-1,4)),UNSPSCCode,0)),IF(INDIRECT(ADDRESS(ROW(),COLUMN()-1,4))="42293603","Sondas para uso quirúrgico",""))</f>
        <v>Sondas para uso quirúrgico</v>
      </c>
      <c r="C7900" s="95" t="str">
        <f>IFERROR(VLOOKUP("UD",'Informacion '!P:Q,2,FALSE),"")</f>
        <v>Unidad</v>
      </c>
      <c r="D7900" s="94">
        <v>7</v>
      </c>
      <c r="E7900" s="84">
        <v>49.36</v>
      </c>
      <c r="F7900" s="83">
        <f t="shared" ca="1" si="311"/>
        <v>345.52</v>
      </c>
    </row>
    <row r="7901" spans="1:6" ht="14.1" customHeight="1" x14ac:dyDescent="0.25">
      <c r="A7901" s="94" t="s">
        <v>6481</v>
      </c>
      <c r="B7901" s="82" t="str">
        <f ca="1">IFERROR(INDEX(UNSPSCDes,MATCH(INDIRECT(ADDRESS(ROW(),COLUMN()-1,4)),UNSPSCCode,0)),IF(INDIRECT(ADDRESS(ROW(),COLUMN()-1,4))="42293603","Sondas para uso quirúrgico",""))</f>
        <v>Sondas para uso quirúrgico</v>
      </c>
      <c r="C7901" s="95" t="str">
        <f>IFERROR(VLOOKUP("UD",'Informacion '!P:Q,2,FALSE),"")</f>
        <v>Unidad</v>
      </c>
      <c r="D7901" s="94">
        <v>3</v>
      </c>
      <c r="E7901" s="84">
        <v>65.849999999999994</v>
      </c>
      <c r="F7901" s="83">
        <f t="shared" ca="1" si="311"/>
        <v>197.54999999999998</v>
      </c>
    </row>
    <row r="7902" spans="1:6" ht="14.1" customHeight="1" x14ac:dyDescent="0.25">
      <c r="A7902" s="94" t="s">
        <v>6481</v>
      </c>
      <c r="B7902" s="82" t="str">
        <f ca="1">IFERROR(INDEX(UNSPSCDes,MATCH(INDIRECT(ADDRESS(ROW(),COLUMN()-1,4)),UNSPSCCode,0)),IF(INDIRECT(ADDRESS(ROW(),COLUMN()-1,4))="42293603","Sondas para uso quirúrgico",""))</f>
        <v>Sondas para uso quirúrgico</v>
      </c>
      <c r="C7902" s="95" t="str">
        <f>IFERROR(VLOOKUP("UD",'Informacion '!P:Q,2,FALSE),"")</f>
        <v>Unidad</v>
      </c>
      <c r="D7902" s="94">
        <v>2</v>
      </c>
      <c r="E7902" s="84">
        <v>37.17</v>
      </c>
      <c r="F7902" s="83">
        <f t="shared" ca="1" si="311"/>
        <v>74.34</v>
      </c>
    </row>
    <row r="7903" spans="1:6" ht="14.1" customHeight="1" x14ac:dyDescent="0.25">
      <c r="A7903" s="94" t="s">
        <v>6481</v>
      </c>
      <c r="B7903" s="82" t="str">
        <f ca="1">IFERROR(INDEX(UNSPSCDes,MATCH(INDIRECT(ADDRESS(ROW(),COLUMN()-1,4)),UNSPSCCode,0)),IF(INDIRECT(ADDRESS(ROW(),COLUMN()-1,4))="42293603","Sondas para uso quirúrgico",""))</f>
        <v>Sondas para uso quirúrgico</v>
      </c>
      <c r="C7903" s="95" t="str">
        <f>IFERROR(VLOOKUP("UD",'Informacion '!P:Q,2,FALSE),"")</f>
        <v>Unidad</v>
      </c>
      <c r="D7903" s="94">
        <v>2</v>
      </c>
      <c r="E7903" s="84">
        <v>43.69</v>
      </c>
      <c r="F7903" s="83">
        <f t="shared" ca="1" si="311"/>
        <v>87.38</v>
      </c>
    </row>
    <row r="7904" spans="1:6" ht="14.1" customHeight="1" x14ac:dyDescent="0.25">
      <c r="A7904" s="94" t="s">
        <v>6481</v>
      </c>
      <c r="B7904" s="82" t="str">
        <f ca="1">IFERROR(INDEX(UNSPSCDes,MATCH(INDIRECT(ADDRESS(ROW(),COLUMN()-1,4)),UNSPSCCode,0)),IF(INDIRECT(ADDRESS(ROW(),COLUMN()-1,4))="42293603","Sondas para uso quirúrgico",""))</f>
        <v>Sondas para uso quirúrgico</v>
      </c>
      <c r="C7904" s="95" t="str">
        <f>IFERROR(VLOOKUP("UD",'Informacion '!P:Q,2,FALSE),"")</f>
        <v>Unidad</v>
      </c>
      <c r="D7904" s="94">
        <v>19</v>
      </c>
      <c r="E7904" s="84">
        <v>65.849999999999994</v>
      </c>
      <c r="F7904" s="83">
        <f t="shared" ca="1" si="311"/>
        <v>1251.1499999999999</v>
      </c>
    </row>
    <row r="7905" spans="1:6" ht="14.1" customHeight="1" x14ac:dyDescent="0.25">
      <c r="A7905" s="94" t="s">
        <v>12909</v>
      </c>
      <c r="B790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905" s="95" t="str">
        <f>IFERROR(VLOOKUP("UD",'Informacion '!P:Q,2,FALSE),"")</f>
        <v>Unidad</v>
      </c>
      <c r="D7905" s="94">
        <v>12</v>
      </c>
      <c r="E7905" s="84">
        <v>95.29</v>
      </c>
      <c r="F7905" s="83">
        <f t="shared" ca="1" si="311"/>
        <v>1143.48</v>
      </c>
    </row>
    <row r="7906" spans="1:6" ht="14.1" customHeight="1" x14ac:dyDescent="0.25">
      <c r="A7906" s="94" t="s">
        <v>12909</v>
      </c>
      <c r="B7906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906" s="95" t="str">
        <f>IFERROR(VLOOKUP("UD",'Informacion '!P:Q,2,FALSE),"")</f>
        <v>Unidad</v>
      </c>
      <c r="D7906" s="94">
        <v>66</v>
      </c>
      <c r="E7906" s="84">
        <v>335.94</v>
      </c>
      <c r="F7906" s="83">
        <f t="shared" ca="1" si="311"/>
        <v>22172.04</v>
      </c>
    </row>
    <row r="7907" spans="1:6" ht="14.1" customHeight="1" x14ac:dyDescent="0.25">
      <c r="A7907" s="94" t="s">
        <v>3216</v>
      </c>
      <c r="B7907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907" s="95" t="str">
        <f>IFERROR(VLOOKUP("UD",'Informacion '!P:Q,2,FALSE),"")</f>
        <v>Unidad</v>
      </c>
      <c r="D7907" s="94">
        <v>6</v>
      </c>
      <c r="E7907" s="84">
        <v>22.5</v>
      </c>
      <c r="F7907" s="83">
        <f t="shared" ca="1" si="311"/>
        <v>135</v>
      </c>
    </row>
    <row r="7908" spans="1:6" ht="14.1" customHeight="1" x14ac:dyDescent="0.25">
      <c r="A7908" s="94" t="s">
        <v>3593</v>
      </c>
      <c r="B7908" s="82" t="str">
        <f ca="1">IFERROR(INDEX(UNSPSCDes,MATCH(INDIRECT(ADDRESS(ROW(),COLUMN()-1,4)),UNSPSCCode,0)),IF(INDIRECT(ADDRESS(ROW(),COLUMN()-1,4))="51181506","Insulina",""))</f>
        <v>Insulina</v>
      </c>
      <c r="C7908" s="95" t="str">
        <f>IFERROR(VLOOKUP("UD",'Informacion '!P:Q,2,FALSE),"")</f>
        <v>Unidad</v>
      </c>
      <c r="D7908" s="94">
        <v>7</v>
      </c>
      <c r="E7908" s="84">
        <v>17.29</v>
      </c>
      <c r="F7908" s="83">
        <f t="shared" ca="1" si="311"/>
        <v>121.03</v>
      </c>
    </row>
    <row r="7909" spans="1:6" ht="14.1" customHeight="1" x14ac:dyDescent="0.25">
      <c r="A7909" s="94" t="s">
        <v>14660</v>
      </c>
      <c r="B7909" s="82" t="str">
        <f ca="1">IFERROR(INDEX(UNSPSCDes,MATCH(INDIRECT(ADDRESS(ROW(),COLUMN()-1,4)),UNSPSCCode,0)),IF(INDIRECT(ADDRESS(ROW(),COLUMN()-1,4))="42311526","Vendajes de",""))</f>
        <v>Vendajes de</v>
      </c>
      <c r="C7909" s="95" t="str">
        <f>IFERROR(VLOOKUP("UD",'Informacion '!P:Q,2,FALSE),"")</f>
        <v>Unidad</v>
      </c>
      <c r="D7909" s="94">
        <v>51</v>
      </c>
      <c r="E7909" s="84">
        <v>52</v>
      </c>
      <c r="F7909" s="83">
        <f t="shared" ca="1" si="311"/>
        <v>2652</v>
      </c>
    </row>
    <row r="7910" spans="1:6" ht="14.1" customHeight="1" x14ac:dyDescent="0.25">
      <c r="A7910" s="94" t="s">
        <v>1279</v>
      </c>
      <c r="B7910" s="82" t="str">
        <f ca="1">IFERROR(INDEX(UNSPSCDes,MATCH(INDIRECT(ADDRESS(ROW(),COLUMN()-1,4)),UNSPSCCode,0)),IF(INDIRECT(ADDRESS(ROW(),COLUMN()-1,4))="42231701","Tubos nasogástricos",""))</f>
        <v>Tubos nasogástricos</v>
      </c>
      <c r="C7910" s="95" t="str">
        <f>IFERROR(VLOOKUP("UD",'Informacion '!P:Q,2,FALSE),"")</f>
        <v>Unidad</v>
      </c>
      <c r="D7910" s="94">
        <v>3</v>
      </c>
      <c r="E7910" s="84">
        <v>8.9700000000000006</v>
      </c>
      <c r="F7910" s="83">
        <f t="shared" ca="1" si="311"/>
        <v>26.910000000000004</v>
      </c>
    </row>
    <row r="7911" spans="1:6" ht="14.1" customHeight="1" x14ac:dyDescent="0.25">
      <c r="A7911" s="94" t="s">
        <v>7820</v>
      </c>
      <c r="B7911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911" s="95" t="str">
        <f>IFERROR(VLOOKUP("UD",'Informacion '!P:Q,2,FALSE),"")</f>
        <v>Unidad</v>
      </c>
      <c r="D7911" s="94">
        <v>4</v>
      </c>
      <c r="E7911" s="84">
        <v>152.91999999999999</v>
      </c>
      <c r="F7911" s="83">
        <f t="shared" ref="F7911:F7942" ca="1" si="312">INDIRECT(ADDRESS(ROW(),COLUMN()-2,4))*INDIRECT(ADDRESS(ROW(),COLUMN()-1,4))</f>
        <v>611.67999999999995</v>
      </c>
    </row>
    <row r="7912" spans="1:6" ht="14.1" customHeight="1" x14ac:dyDescent="0.25">
      <c r="A7912" s="94" t="s">
        <v>12940</v>
      </c>
      <c r="B7912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7912" s="95" t="str">
        <f>IFERROR(VLOOKUP("UD",'Informacion '!P:Q,2,FALSE),"")</f>
        <v>Unidad</v>
      </c>
      <c r="D7912" s="94">
        <v>4</v>
      </c>
      <c r="E7912" s="84">
        <v>16</v>
      </c>
      <c r="F7912" s="83">
        <f t="shared" ca="1" si="312"/>
        <v>64</v>
      </c>
    </row>
    <row r="7913" spans="1:6" ht="14.1" customHeight="1" x14ac:dyDescent="0.25">
      <c r="A7913" s="94" t="s">
        <v>16391</v>
      </c>
      <c r="B7913" s="82" t="str">
        <f ca="1">IFERROR(INDEX(UNSPSCDes,MATCH(INDIRECT(ADDRESS(ROW(),COLUMN()-1,4)),UNSPSCCode,0)),IF(INDIRECT(ADDRESS(ROW(),COLUMN()-1,4))="42142615","Accesorios para jeringas",""))</f>
        <v>Accesorios para jeringas</v>
      </c>
      <c r="C7913" s="95" t="str">
        <f>IFERROR(VLOOKUP("UD",'Informacion '!P:Q,2,FALSE),"")</f>
        <v>Unidad</v>
      </c>
      <c r="D7913" s="94">
        <v>6</v>
      </c>
      <c r="E7913" s="84">
        <v>2.7</v>
      </c>
      <c r="F7913" s="83">
        <f t="shared" ca="1" si="312"/>
        <v>16.200000000000003</v>
      </c>
    </row>
    <row r="7914" spans="1:6" ht="14.1" customHeight="1" x14ac:dyDescent="0.25">
      <c r="A7914" s="94" t="s">
        <v>1279</v>
      </c>
      <c r="B7914" s="82" t="str">
        <f ca="1">IFERROR(INDEX(UNSPSCDes,MATCH(INDIRECT(ADDRESS(ROW(),COLUMN()-1,4)),UNSPSCCode,0)),IF(INDIRECT(ADDRESS(ROW(),COLUMN()-1,4))="42231701","Tubos nasogástricos",""))</f>
        <v>Tubos nasogástricos</v>
      </c>
      <c r="C7914" s="95" t="str">
        <f>IFERROR(VLOOKUP("UD",'Informacion '!P:Q,2,FALSE),"")</f>
        <v>Unidad</v>
      </c>
      <c r="D7914" s="94">
        <v>2</v>
      </c>
      <c r="E7914" s="84">
        <v>4.5</v>
      </c>
      <c r="F7914" s="83">
        <f t="shared" ca="1" si="312"/>
        <v>9</v>
      </c>
    </row>
    <row r="7915" spans="1:6" ht="14.1" customHeight="1" x14ac:dyDescent="0.25">
      <c r="A7915" s="94" t="s">
        <v>1279</v>
      </c>
      <c r="B7915" s="82" t="str">
        <f ca="1">IFERROR(INDEX(UNSPSCDes,MATCH(INDIRECT(ADDRESS(ROW(),COLUMN()-1,4)),UNSPSCCode,0)),IF(INDIRECT(ADDRESS(ROW(),COLUMN()-1,4))="42231701","Tubos nasogástricos",""))</f>
        <v>Tubos nasogástricos</v>
      </c>
      <c r="C7915" s="95" t="str">
        <f>IFERROR(VLOOKUP("UD",'Informacion '!P:Q,2,FALSE),"")</f>
        <v>Unidad</v>
      </c>
      <c r="D7915" s="94">
        <v>2</v>
      </c>
      <c r="E7915" s="84">
        <v>10.62</v>
      </c>
      <c r="F7915" s="83">
        <f t="shared" ca="1" si="312"/>
        <v>21.24</v>
      </c>
    </row>
    <row r="7916" spans="1:6" ht="14.1" customHeight="1" x14ac:dyDescent="0.25">
      <c r="A7916" s="94" t="s">
        <v>1279</v>
      </c>
      <c r="B7916" s="82" t="str">
        <f ca="1">IFERROR(INDEX(UNSPSCDes,MATCH(INDIRECT(ADDRESS(ROW(),COLUMN()-1,4)),UNSPSCCode,0)),IF(INDIRECT(ADDRESS(ROW(),COLUMN()-1,4))="42231701","Tubos nasogástricos",""))</f>
        <v>Tubos nasogástricos</v>
      </c>
      <c r="C7916" s="95" t="str">
        <f>IFERROR(VLOOKUP("UD",'Informacion '!P:Q,2,FALSE),"")</f>
        <v>Unidad</v>
      </c>
      <c r="D7916" s="94">
        <v>2</v>
      </c>
      <c r="E7916" s="84">
        <v>46</v>
      </c>
      <c r="F7916" s="83">
        <f t="shared" ca="1" si="312"/>
        <v>92</v>
      </c>
    </row>
    <row r="7917" spans="1:6" ht="14.1" customHeight="1" x14ac:dyDescent="0.25">
      <c r="A7917" s="94" t="s">
        <v>12909</v>
      </c>
      <c r="B7917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917" s="95" t="str">
        <f>IFERROR(VLOOKUP("UD",'Informacion '!P:Q,2,FALSE),"")</f>
        <v>Unidad</v>
      </c>
      <c r="D7917" s="94">
        <v>38</v>
      </c>
      <c r="E7917" s="84">
        <v>126.69</v>
      </c>
      <c r="F7917" s="83">
        <f t="shared" ca="1" si="312"/>
        <v>4814.22</v>
      </c>
    </row>
    <row r="7918" spans="1:6" ht="14.1" customHeight="1" x14ac:dyDescent="0.25">
      <c r="A7918" s="94" t="s">
        <v>16391</v>
      </c>
      <c r="B7918" s="82" t="str">
        <f ca="1">IFERROR(INDEX(UNSPSCDes,MATCH(INDIRECT(ADDRESS(ROW(),COLUMN()-1,4)),UNSPSCCode,0)),IF(INDIRECT(ADDRESS(ROW(),COLUMN()-1,4))="42142615","Accesorios para jeringas",""))</f>
        <v>Accesorios para jeringas</v>
      </c>
      <c r="C7918" s="95" t="str">
        <f>IFERROR(VLOOKUP("UD",'Informacion '!P:Q,2,FALSE),"")</f>
        <v>Unidad</v>
      </c>
      <c r="D7918" s="94">
        <v>26</v>
      </c>
      <c r="E7918" s="84">
        <v>16.54</v>
      </c>
      <c r="F7918" s="83">
        <f t="shared" ca="1" si="312"/>
        <v>430.03999999999996</v>
      </c>
    </row>
    <row r="7919" spans="1:6" ht="14.1" customHeight="1" x14ac:dyDescent="0.25">
      <c r="A7919" s="94" t="s">
        <v>6481</v>
      </c>
      <c r="B7919" s="82" t="str">
        <f ca="1">IFERROR(INDEX(UNSPSCDes,MATCH(INDIRECT(ADDRESS(ROW(),COLUMN()-1,4)),UNSPSCCode,0)),IF(INDIRECT(ADDRESS(ROW(),COLUMN()-1,4))="42293603","Sondas para uso quirúrgico",""))</f>
        <v>Sondas para uso quirúrgico</v>
      </c>
      <c r="C7919" s="95" t="str">
        <f>IFERROR(VLOOKUP("UD",'Informacion '!P:Q,2,FALSE),"")</f>
        <v>Unidad</v>
      </c>
      <c r="D7919" s="94">
        <v>8</v>
      </c>
      <c r="E7919" s="84">
        <v>60.5</v>
      </c>
      <c r="F7919" s="83">
        <f t="shared" ca="1" si="312"/>
        <v>484</v>
      </c>
    </row>
    <row r="7920" spans="1:6" ht="14.1" customHeight="1" x14ac:dyDescent="0.25">
      <c r="A7920" s="94" t="s">
        <v>1279</v>
      </c>
      <c r="B7920" s="82" t="str">
        <f ca="1">IFERROR(INDEX(UNSPSCDes,MATCH(INDIRECT(ADDRESS(ROW(),COLUMN()-1,4)),UNSPSCCode,0)),IF(INDIRECT(ADDRESS(ROW(),COLUMN()-1,4))="42231701","Tubos nasogástricos",""))</f>
        <v>Tubos nasogástricos</v>
      </c>
      <c r="C7920" s="95" t="str">
        <f>IFERROR(VLOOKUP("UD",'Informacion '!P:Q,2,FALSE),"")</f>
        <v>Unidad</v>
      </c>
      <c r="D7920" s="94">
        <v>6</v>
      </c>
      <c r="E7920" s="84">
        <v>20.059999999999999</v>
      </c>
      <c r="F7920" s="83">
        <f t="shared" ca="1" si="312"/>
        <v>120.35999999999999</v>
      </c>
    </row>
    <row r="7921" spans="1:6" ht="14.1" customHeight="1" x14ac:dyDescent="0.25">
      <c r="A7921" s="94" t="s">
        <v>1279</v>
      </c>
      <c r="B7921" s="82" t="str">
        <f ca="1">IFERROR(INDEX(UNSPSCDes,MATCH(INDIRECT(ADDRESS(ROW(),COLUMN()-1,4)),UNSPSCCode,0)),IF(INDIRECT(ADDRESS(ROW(),COLUMN()-1,4))="42231701","Tubos nasogástricos",""))</f>
        <v>Tubos nasogástricos</v>
      </c>
      <c r="C7921" s="95" t="str">
        <f>IFERROR(VLOOKUP("UD",'Informacion '!P:Q,2,FALSE),"")</f>
        <v>Unidad</v>
      </c>
      <c r="D7921" s="94">
        <v>14</v>
      </c>
      <c r="E7921" s="84">
        <v>14.89</v>
      </c>
      <c r="F7921" s="83">
        <f t="shared" ca="1" si="312"/>
        <v>208.46</v>
      </c>
    </row>
    <row r="7922" spans="1:6" ht="14.1" customHeight="1" x14ac:dyDescent="0.25">
      <c r="A7922" s="94" t="s">
        <v>6481</v>
      </c>
      <c r="B7922" s="82" t="str">
        <f ca="1">IFERROR(INDEX(UNSPSCDes,MATCH(INDIRECT(ADDRESS(ROW(),COLUMN()-1,4)),UNSPSCCode,0)),IF(INDIRECT(ADDRESS(ROW(),COLUMN()-1,4))="42293603","Sondas para uso quirúrgico",""))</f>
        <v>Sondas para uso quirúrgico</v>
      </c>
      <c r="C7922" s="95" t="str">
        <f>IFERROR(VLOOKUP("UD",'Informacion '!P:Q,2,FALSE),"")</f>
        <v>Unidad</v>
      </c>
      <c r="D7922" s="94">
        <v>2</v>
      </c>
      <c r="E7922" s="84">
        <v>4.57</v>
      </c>
      <c r="F7922" s="83">
        <f t="shared" ca="1" si="312"/>
        <v>9.14</v>
      </c>
    </row>
    <row r="7923" spans="1:6" ht="14.1" customHeight="1" x14ac:dyDescent="0.25">
      <c r="A7923" s="94" t="s">
        <v>6481</v>
      </c>
      <c r="B7923" s="82" t="str">
        <f ca="1">IFERROR(INDEX(UNSPSCDes,MATCH(INDIRECT(ADDRESS(ROW(),COLUMN()-1,4)),UNSPSCCode,0)),IF(INDIRECT(ADDRESS(ROW(),COLUMN()-1,4))="42293603","Sondas para uso quirúrgico",""))</f>
        <v>Sondas para uso quirúrgico</v>
      </c>
      <c r="C7923" s="95" t="str">
        <f>IFERROR(VLOOKUP("UD",'Informacion '!P:Q,2,FALSE),"")</f>
        <v>Unidad</v>
      </c>
      <c r="D7923" s="94">
        <v>2</v>
      </c>
      <c r="E7923" s="84">
        <v>9.23</v>
      </c>
      <c r="F7923" s="83">
        <f t="shared" ca="1" si="312"/>
        <v>18.46</v>
      </c>
    </row>
    <row r="7924" spans="1:6" ht="14.1" customHeight="1" x14ac:dyDescent="0.25">
      <c r="A7924" s="94" t="s">
        <v>6481</v>
      </c>
      <c r="B7924" s="82" t="str">
        <f ca="1">IFERROR(INDEX(UNSPSCDes,MATCH(INDIRECT(ADDRESS(ROW(),COLUMN()-1,4)),UNSPSCCode,0)),IF(INDIRECT(ADDRESS(ROW(),COLUMN()-1,4))="42293603","Sondas para uso quirúrgico",""))</f>
        <v>Sondas para uso quirúrgico</v>
      </c>
      <c r="C7924" s="95" t="str">
        <f>IFERROR(VLOOKUP("UD",'Informacion '!P:Q,2,FALSE),"")</f>
        <v>Unidad</v>
      </c>
      <c r="D7924" s="94">
        <v>5</v>
      </c>
      <c r="E7924" s="84">
        <v>9.08</v>
      </c>
      <c r="F7924" s="83">
        <f t="shared" ca="1" si="312"/>
        <v>45.4</v>
      </c>
    </row>
    <row r="7925" spans="1:6" ht="14.1" customHeight="1" x14ac:dyDescent="0.25">
      <c r="A7925" s="94" t="s">
        <v>7820</v>
      </c>
      <c r="B7925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925" s="95" t="str">
        <f>IFERROR(VLOOKUP("UD",'Informacion '!P:Q,2,FALSE),"")</f>
        <v>Unidad</v>
      </c>
      <c r="D7925" s="94">
        <v>40</v>
      </c>
      <c r="E7925" s="84">
        <v>185.6</v>
      </c>
      <c r="F7925" s="83">
        <f t="shared" ca="1" si="312"/>
        <v>7424</v>
      </c>
    </row>
    <row r="7926" spans="1:6" ht="14.1" customHeight="1" x14ac:dyDescent="0.25">
      <c r="A7926" s="94" t="s">
        <v>10494</v>
      </c>
      <c r="B7926" s="82" t="str">
        <f ca="1">IFERROR(INDEX(UNSPSCDes,MATCH(INDIRECT(ADDRESS(ROW(),COLUMN()-1,4)),UNSPSCCode,0)),IF(INDIRECT(ADDRESS(ROW(),COLUMN()-1,4))="56101533","Descansa brazos",""))</f>
        <v>Descansa brazos</v>
      </c>
      <c r="C7926" s="95" t="str">
        <f>IFERROR(VLOOKUP("UD",'Informacion '!P:Q,2,FALSE),"")</f>
        <v>Unidad</v>
      </c>
      <c r="D7926" s="94">
        <v>2</v>
      </c>
      <c r="E7926" s="84">
        <v>327.52999999999997</v>
      </c>
      <c r="F7926" s="83">
        <f t="shared" ca="1" si="312"/>
        <v>655.05999999999995</v>
      </c>
    </row>
    <row r="7927" spans="1:6" ht="14.1" customHeight="1" x14ac:dyDescent="0.25">
      <c r="A7927" s="94" t="s">
        <v>6120</v>
      </c>
      <c r="B7927" s="82" t="str">
        <f ca="1">IFERROR(INDEX(UNSPSCDes,MATCH(INDIRECT(ADDRESS(ROW(),COLUMN()-1,4)),UNSPSCCode,0)),IF(INDIRECT(ADDRESS(ROW(),COLUMN()-1,4))="44121634","Rollos adhesivos",""))</f>
        <v>Rollos adhesivos</v>
      </c>
      <c r="C7927" s="95" t="str">
        <f>IFERROR(VLOOKUP("UD",'Informacion '!P:Q,2,FALSE),"")</f>
        <v>Unidad</v>
      </c>
      <c r="D7927" s="94">
        <v>41</v>
      </c>
      <c r="E7927" s="84">
        <v>80</v>
      </c>
      <c r="F7927" s="83">
        <f t="shared" ca="1" si="312"/>
        <v>3280</v>
      </c>
    </row>
    <row r="7928" spans="1:6" ht="14.1" customHeight="1" x14ac:dyDescent="0.25">
      <c r="A7928" s="94" t="s">
        <v>7589</v>
      </c>
      <c r="B7928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928" s="95" t="str">
        <f>IFERROR(VLOOKUP("UD",'Informacion '!P:Q,2,FALSE),"")</f>
        <v>Unidad</v>
      </c>
      <c r="D7928" s="94">
        <v>9</v>
      </c>
      <c r="E7928" s="84">
        <v>496.29</v>
      </c>
      <c r="F7928" s="83">
        <f t="shared" ca="1" si="312"/>
        <v>4466.6100000000006</v>
      </c>
    </row>
    <row r="7929" spans="1:6" ht="14.1" customHeight="1" x14ac:dyDescent="0.25">
      <c r="A7929" s="94" t="s">
        <v>7589</v>
      </c>
      <c r="B7929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929" s="95" t="str">
        <f>IFERROR(VLOOKUP("UD",'Informacion '!P:Q,2,FALSE),"")</f>
        <v>Unidad</v>
      </c>
      <c r="D7929" s="94">
        <v>3</v>
      </c>
      <c r="E7929" s="84">
        <v>388.72</v>
      </c>
      <c r="F7929" s="83">
        <f t="shared" ca="1" si="312"/>
        <v>1166.1600000000001</v>
      </c>
    </row>
    <row r="7930" spans="1:6" ht="14.1" customHeight="1" x14ac:dyDescent="0.25">
      <c r="A7930" s="94" t="s">
        <v>1279</v>
      </c>
      <c r="B7930" s="82" t="str">
        <f ca="1">IFERROR(INDEX(UNSPSCDes,MATCH(INDIRECT(ADDRESS(ROW(),COLUMN()-1,4)),UNSPSCCode,0)),IF(INDIRECT(ADDRESS(ROW(),COLUMN()-1,4))="42231701","Tubos nasogástricos",""))</f>
        <v>Tubos nasogástricos</v>
      </c>
      <c r="C7930" s="95" t="str">
        <f>IFERROR(VLOOKUP("UD",'Informacion '!P:Q,2,FALSE),"")</f>
        <v>Unidad</v>
      </c>
      <c r="D7930" s="94">
        <v>13</v>
      </c>
      <c r="E7930" s="84">
        <v>8.4600000000000009</v>
      </c>
      <c r="F7930" s="83">
        <f t="shared" ca="1" si="312"/>
        <v>109.98000000000002</v>
      </c>
    </row>
    <row r="7931" spans="1:6" ht="14.1" customHeight="1" x14ac:dyDescent="0.25">
      <c r="A7931" s="94" t="s">
        <v>16391</v>
      </c>
      <c r="B7931" s="82" t="str">
        <f ca="1">IFERROR(INDEX(UNSPSCDes,MATCH(INDIRECT(ADDRESS(ROW(),COLUMN()-1,4)),UNSPSCCode,0)),IF(INDIRECT(ADDRESS(ROW(),COLUMN()-1,4))="42142615","Accesorios para jeringas",""))</f>
        <v>Accesorios para jeringas</v>
      </c>
      <c r="C7931" s="95" t="str">
        <f>IFERROR(VLOOKUP("UD",'Informacion '!P:Q,2,FALSE),"")</f>
        <v>Unidad</v>
      </c>
      <c r="D7931" s="94">
        <v>3</v>
      </c>
      <c r="E7931" s="84">
        <v>24</v>
      </c>
      <c r="F7931" s="83">
        <f t="shared" ca="1" si="312"/>
        <v>72</v>
      </c>
    </row>
    <row r="7932" spans="1:6" ht="14.1" customHeight="1" x14ac:dyDescent="0.25">
      <c r="A7932" s="94" t="s">
        <v>7595</v>
      </c>
      <c r="B7932" s="82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7932" s="95" t="str">
        <f>IFERROR(VLOOKUP("UD",'Informacion '!P:Q,2,FALSE),"")</f>
        <v>Unidad</v>
      </c>
      <c r="D7932" s="94">
        <v>11</v>
      </c>
      <c r="E7932" s="84">
        <v>1595.75</v>
      </c>
      <c r="F7932" s="83">
        <f t="shared" ca="1" si="312"/>
        <v>17553.25</v>
      </c>
    </row>
    <row r="7933" spans="1:6" ht="14.1" customHeight="1" x14ac:dyDescent="0.25">
      <c r="A7933" s="94" t="s">
        <v>435</v>
      </c>
      <c r="B793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933" s="95" t="str">
        <f>IFERROR(VLOOKUP("UD",'Informacion '!P:Q,2,FALSE),"")</f>
        <v>Unidad</v>
      </c>
      <c r="D7933" s="94">
        <v>134</v>
      </c>
      <c r="E7933" s="84">
        <v>3</v>
      </c>
      <c r="F7933" s="83">
        <f t="shared" ca="1" si="312"/>
        <v>402</v>
      </c>
    </row>
    <row r="7934" spans="1:6" ht="14.1" customHeight="1" x14ac:dyDescent="0.25">
      <c r="A7934" s="94" t="s">
        <v>12909</v>
      </c>
      <c r="B7934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934" s="95" t="str">
        <f>IFERROR(VLOOKUP("UD",'Informacion '!P:Q,2,FALSE),"")</f>
        <v>Unidad</v>
      </c>
      <c r="D7934" s="94">
        <v>12</v>
      </c>
      <c r="E7934" s="84">
        <v>358.74</v>
      </c>
      <c r="F7934" s="83">
        <f t="shared" ca="1" si="312"/>
        <v>4304.88</v>
      </c>
    </row>
    <row r="7935" spans="1:6" ht="14.1" customHeight="1" x14ac:dyDescent="0.25">
      <c r="A7935" s="94" t="s">
        <v>16391</v>
      </c>
      <c r="B7935" s="82" t="str">
        <f ca="1">IFERROR(INDEX(UNSPSCDes,MATCH(INDIRECT(ADDRESS(ROW(),COLUMN()-1,4)),UNSPSCCode,0)),IF(INDIRECT(ADDRESS(ROW(),COLUMN()-1,4))="42142615","Accesorios para jeringas",""))</f>
        <v>Accesorios para jeringas</v>
      </c>
      <c r="C7935" s="95" t="str">
        <f>IFERROR(VLOOKUP("UD",'Informacion '!P:Q,2,FALSE),"")</f>
        <v>Unidad</v>
      </c>
      <c r="D7935" s="94">
        <v>5</v>
      </c>
      <c r="E7935" s="84">
        <v>2.7</v>
      </c>
      <c r="F7935" s="83">
        <f t="shared" ca="1" si="312"/>
        <v>13.5</v>
      </c>
    </row>
    <row r="7936" spans="1:6" ht="14.1" customHeight="1" x14ac:dyDescent="0.25">
      <c r="A7936" s="94" t="s">
        <v>16391</v>
      </c>
      <c r="B7936" s="82" t="str">
        <f ca="1">IFERROR(INDEX(UNSPSCDes,MATCH(INDIRECT(ADDRESS(ROW(),COLUMN()-1,4)),UNSPSCCode,0)),IF(INDIRECT(ADDRESS(ROW(),COLUMN()-1,4))="42142615","Accesorios para jeringas",""))</f>
        <v>Accesorios para jeringas</v>
      </c>
      <c r="C7936" s="95" t="str">
        <f>IFERROR(VLOOKUP("UD",'Informacion '!P:Q,2,FALSE),"")</f>
        <v>Unidad</v>
      </c>
      <c r="D7936" s="94">
        <v>2133</v>
      </c>
      <c r="E7936" s="84">
        <v>1.5</v>
      </c>
      <c r="F7936" s="83">
        <f t="shared" ca="1" si="312"/>
        <v>3199.5</v>
      </c>
    </row>
    <row r="7937" spans="1:6" ht="14.1" customHeight="1" x14ac:dyDescent="0.25">
      <c r="A7937" s="94" t="s">
        <v>1865</v>
      </c>
      <c r="B7937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937" s="95" t="str">
        <f>IFERROR(VLOOKUP("UD",'Informacion '!P:Q,2,FALSE),"")</f>
        <v>Unidad</v>
      </c>
      <c r="D7937" s="94">
        <v>1066</v>
      </c>
      <c r="E7937" s="84">
        <v>14</v>
      </c>
      <c r="F7937" s="83">
        <f t="shared" ca="1" si="312"/>
        <v>14924</v>
      </c>
    </row>
    <row r="7938" spans="1:6" ht="14.1" customHeight="1" x14ac:dyDescent="0.25">
      <c r="A7938" s="94" t="s">
        <v>16391</v>
      </c>
      <c r="B7938" s="82" t="str">
        <f ca="1">IFERROR(INDEX(UNSPSCDes,MATCH(INDIRECT(ADDRESS(ROW(),COLUMN()-1,4)),UNSPSCCode,0)),IF(INDIRECT(ADDRESS(ROW(),COLUMN()-1,4))="42142615","Accesorios para jeringas",""))</f>
        <v>Accesorios para jeringas</v>
      </c>
      <c r="C7938" s="95" t="str">
        <f>IFERROR(VLOOKUP("UD",'Informacion '!P:Q,2,FALSE),"")</f>
        <v>Unidad</v>
      </c>
      <c r="D7938" s="94">
        <v>65</v>
      </c>
      <c r="E7938" s="84">
        <v>2.88</v>
      </c>
      <c r="F7938" s="83">
        <f t="shared" ca="1" si="312"/>
        <v>187.2</v>
      </c>
    </row>
    <row r="7939" spans="1:6" ht="14.1" customHeight="1" x14ac:dyDescent="0.25">
      <c r="A7939" s="94" t="s">
        <v>9447</v>
      </c>
      <c r="B7939" s="82" t="str">
        <f ca="1">IFERROR(INDEX(UNSPSCDes,MATCH(INDIRECT(ADDRESS(ROW(),COLUMN()-1,4)),UNSPSCCode,0)),IF(INDIRECT(ADDRESS(ROW(),COLUMN()-1,4))="42221614","Kits de administración de tubos intravenosos con catéter",""))</f>
        <v>Kits de administración de tubos intravenosos con catéter</v>
      </c>
      <c r="C7939" s="95" t="str">
        <f>IFERROR(VLOOKUP("UD",'Informacion '!P:Q,2,FALSE),"")</f>
        <v>Unidad</v>
      </c>
      <c r="D7939" s="94">
        <v>3</v>
      </c>
      <c r="E7939" s="84">
        <v>118.93</v>
      </c>
      <c r="F7939" s="83">
        <f t="shared" ca="1" si="312"/>
        <v>356.79</v>
      </c>
    </row>
    <row r="7940" spans="1:6" ht="14.1" customHeight="1" x14ac:dyDescent="0.25">
      <c r="A7940" s="94" t="s">
        <v>3642</v>
      </c>
      <c r="B7940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7940" s="95" t="str">
        <f>IFERROR(VLOOKUP("UD",'Informacion '!P:Q,2,FALSE),"")</f>
        <v>Unidad</v>
      </c>
      <c r="D7940" s="94">
        <v>130</v>
      </c>
      <c r="E7940" s="84">
        <v>108.92</v>
      </c>
      <c r="F7940" s="83">
        <f t="shared" ca="1" si="312"/>
        <v>14159.6</v>
      </c>
    </row>
    <row r="7941" spans="1:6" ht="14.1" customHeight="1" x14ac:dyDescent="0.25">
      <c r="A7941" s="94" t="s">
        <v>16391</v>
      </c>
      <c r="B7941" s="82" t="str">
        <f ca="1">IFERROR(INDEX(UNSPSCDes,MATCH(INDIRECT(ADDRESS(ROW(),COLUMN()-1,4)),UNSPSCCode,0)),IF(INDIRECT(ADDRESS(ROW(),COLUMN()-1,4))="42142615","Accesorios para jeringas",""))</f>
        <v>Accesorios para jeringas</v>
      </c>
      <c r="C7941" s="95" t="str">
        <f>IFERROR(VLOOKUP("UD",'Informacion '!P:Q,2,FALSE),"")</f>
        <v>Unidad</v>
      </c>
      <c r="D7941" s="94">
        <v>347</v>
      </c>
      <c r="E7941" s="84">
        <v>15.37</v>
      </c>
      <c r="F7941" s="83">
        <f t="shared" ca="1" si="312"/>
        <v>5333.3899999999994</v>
      </c>
    </row>
    <row r="7942" spans="1:6" ht="14.1" customHeight="1" x14ac:dyDescent="0.25">
      <c r="A7942" s="94" t="s">
        <v>4852</v>
      </c>
      <c r="B7942" s="82" t="str">
        <f ca="1">IFERROR(INDEX(UNSPSCDes,MATCH(INDIRECT(ADDRESS(ROW(),COLUMN()-1,4)),UNSPSCCode,0)),IF(INDIRECT(ADDRESS(ROW(),COLUMN()-1,4))="42295303","Catéteres o conectores o accesorios de uso quirúrgico",""))</f>
        <v>Catéteres o conectores o accesorios de uso quirúrgico</v>
      </c>
      <c r="C7942" s="95" t="str">
        <f>IFERROR(VLOOKUP("UD",'Informacion '!P:Q,2,FALSE),"")</f>
        <v>Unidad</v>
      </c>
      <c r="D7942" s="94">
        <v>3</v>
      </c>
      <c r="E7942" s="84">
        <v>162.80000000000001</v>
      </c>
      <c r="F7942" s="83">
        <f t="shared" ca="1" si="312"/>
        <v>488.40000000000003</v>
      </c>
    </row>
    <row r="7943" spans="1:6" ht="14.1" customHeight="1" x14ac:dyDescent="0.25">
      <c r="A7943" s="94" t="s">
        <v>6266</v>
      </c>
      <c r="B7943" s="82" t="str">
        <f ca="1">IFERROR(INDEX(UNSPSCDes,MATCH(INDIRECT(ADDRESS(ROW(),COLUMN()-1,4)),UNSPSCCode,0)),IF(INDIRECT(ADDRESS(ROW(),COLUMN()-1,4))="30151701","Boquillas de bajantes",""))</f>
        <v>Boquillas de bajantes</v>
      </c>
      <c r="C7943" s="95" t="str">
        <f>IFERROR(VLOOKUP("UD",'Informacion '!P:Q,2,FALSE),"")</f>
        <v>Unidad</v>
      </c>
      <c r="D7943" s="94">
        <v>736</v>
      </c>
      <c r="E7943" s="84">
        <v>10.75</v>
      </c>
      <c r="F7943" s="83">
        <f t="shared" ref="F7943:F7969" ca="1" si="313">INDIRECT(ADDRESS(ROW(),COLUMN()-2,4))*INDIRECT(ADDRESS(ROW(),COLUMN()-1,4))</f>
        <v>7912</v>
      </c>
    </row>
    <row r="7944" spans="1:6" ht="14.1" customHeight="1" x14ac:dyDescent="0.25">
      <c r="A7944" s="94" t="s">
        <v>18202</v>
      </c>
      <c r="B7944" s="82" t="str">
        <f ca="1">IFERROR(INDEX(UNSPSCDes,MATCH(INDIRECT(ADDRESS(ROW(),COLUMN()-1,4)),UNSPSCCode,0)),IF(INDIRECT(ADDRESS(ROW(),COLUMN()-1,4))="14111609","Papel de cubierta",""))</f>
        <v>Papel de cubierta</v>
      </c>
      <c r="C7944" s="95" t="str">
        <f>IFERROR(VLOOKUP("UD",'Informacion '!P:Q,2,FALSE),"")</f>
        <v>Unidad</v>
      </c>
      <c r="D7944" s="94">
        <v>20</v>
      </c>
      <c r="E7944" s="84">
        <v>146.32</v>
      </c>
      <c r="F7944" s="83">
        <f t="shared" ca="1" si="313"/>
        <v>2926.3999999999996</v>
      </c>
    </row>
    <row r="7945" spans="1:6" ht="14.1" customHeight="1" x14ac:dyDescent="0.25">
      <c r="A7945" s="94" t="s">
        <v>18707</v>
      </c>
      <c r="B7945" s="82" t="str">
        <f ca="1">IFERROR(INDEX(UNSPSCDes,MATCH(INDIRECT(ADDRESS(ROW(),COLUMN()-1,4)),UNSPSCCode,0)),IF(INDIRECT(ADDRESS(ROW(),COLUMN()-1,4))="40101903","Humidificadores",""))</f>
        <v>Humidificadores</v>
      </c>
      <c r="C7945" s="95" t="str">
        <f>IFERROR(VLOOKUP("UD",'Informacion '!P:Q,2,FALSE),"")</f>
        <v>Unidad</v>
      </c>
      <c r="D7945" s="94">
        <v>12</v>
      </c>
      <c r="E7945" s="84">
        <v>108.29</v>
      </c>
      <c r="F7945" s="83">
        <f t="shared" ca="1" si="313"/>
        <v>1299.48</v>
      </c>
    </row>
    <row r="7946" spans="1:6" ht="14.1" customHeight="1" x14ac:dyDescent="0.25">
      <c r="A7946" s="94" t="s">
        <v>16391</v>
      </c>
      <c r="B7946" s="82" t="str">
        <f ca="1">IFERROR(INDEX(UNSPSCDes,MATCH(INDIRECT(ADDRESS(ROW(),COLUMN()-1,4)),UNSPSCCode,0)),IF(INDIRECT(ADDRESS(ROW(),COLUMN()-1,4))="42142615","Accesorios para jeringas",""))</f>
        <v>Accesorios para jeringas</v>
      </c>
      <c r="C7946" s="95" t="str">
        <f>IFERROR(VLOOKUP("UD",'Informacion '!P:Q,2,FALSE),"")</f>
        <v>Unidad</v>
      </c>
      <c r="D7946" s="94">
        <v>2</v>
      </c>
      <c r="E7946" s="84">
        <v>7.24</v>
      </c>
      <c r="F7946" s="83">
        <f t="shared" ca="1" si="313"/>
        <v>14.48</v>
      </c>
    </row>
    <row r="7947" spans="1:6" ht="14.1" customHeight="1" x14ac:dyDescent="0.25">
      <c r="A7947" s="94" t="s">
        <v>14254</v>
      </c>
      <c r="B7947" s="82" t="str">
        <f ca="1">IFERROR(INDEX(UNSPSCDes,MATCH(INDIRECT(ADDRESS(ROW(),COLUMN()-1,4)),UNSPSCCode,0)),IF(INDIRECT(ADDRESS(ROW(),COLUMN()-1,4))="42142516","Agujas de transferencia",""))</f>
        <v>Agujas de transferencia</v>
      </c>
      <c r="C7947" s="95" t="str">
        <f>IFERROR(VLOOKUP("UD",'Informacion '!P:Q,2,FALSE),"")</f>
        <v>Unidad</v>
      </c>
      <c r="D7947" s="94">
        <v>10</v>
      </c>
      <c r="E7947" s="84">
        <v>12.78</v>
      </c>
      <c r="F7947" s="83">
        <f t="shared" ca="1" si="313"/>
        <v>127.8</v>
      </c>
    </row>
    <row r="7948" spans="1:6" ht="14.1" customHeight="1" x14ac:dyDescent="0.25">
      <c r="A7948" s="94" t="s">
        <v>14660</v>
      </c>
      <c r="B7948" s="82" t="str">
        <f ca="1">IFERROR(INDEX(UNSPSCDes,MATCH(INDIRECT(ADDRESS(ROW(),COLUMN()-1,4)),UNSPSCCode,0)),IF(INDIRECT(ADDRESS(ROW(),COLUMN()-1,4))="42311526","Vendajes de",""))</f>
        <v>Vendajes de</v>
      </c>
      <c r="C7948" s="95" t="str">
        <f>IFERROR(VLOOKUP("UD",'Informacion '!P:Q,2,FALSE),"")</f>
        <v>Unidad</v>
      </c>
      <c r="D7948" s="94">
        <v>4</v>
      </c>
      <c r="E7948" s="84">
        <v>53</v>
      </c>
      <c r="F7948" s="83">
        <f t="shared" ca="1" si="313"/>
        <v>212</v>
      </c>
    </row>
    <row r="7949" spans="1:6" ht="14.1" customHeight="1" x14ac:dyDescent="0.25">
      <c r="A7949" s="94" t="s">
        <v>18202</v>
      </c>
      <c r="B7949" s="82" t="str">
        <f ca="1">IFERROR(INDEX(UNSPSCDes,MATCH(INDIRECT(ADDRESS(ROW(),COLUMN()-1,4)),UNSPSCCode,0)),IF(INDIRECT(ADDRESS(ROW(),COLUMN()-1,4))="14111609","Papel de cubierta",""))</f>
        <v>Papel de cubierta</v>
      </c>
      <c r="C7949" s="95" t="str">
        <f>IFERROR(VLOOKUP("UD",'Informacion '!P:Q,2,FALSE),"")</f>
        <v>Unidad</v>
      </c>
      <c r="D7949" s="94">
        <v>15</v>
      </c>
      <c r="E7949" s="84">
        <v>123.9</v>
      </c>
      <c r="F7949" s="83">
        <f t="shared" ca="1" si="313"/>
        <v>1858.5</v>
      </c>
    </row>
    <row r="7950" spans="1:6" ht="14.1" customHeight="1" x14ac:dyDescent="0.25">
      <c r="A7950" s="94" t="s">
        <v>17236</v>
      </c>
      <c r="B7950" s="82" t="str">
        <f ca="1">IFERROR(INDEX(UNSPSCDes,MATCH(INDIRECT(ADDRESS(ROW(),COLUMN()-1,4)),UNSPSCCode,0)),IF(INDIRECT(ADDRESS(ROW(),COLUMN()-1,4))="41115715","Inyectores",""))</f>
        <v>Inyectores</v>
      </c>
      <c r="C7950" s="95" t="str">
        <f>IFERROR(VLOOKUP("UD",'Informacion '!P:Q,2,FALSE),"")</f>
        <v>Unidad</v>
      </c>
      <c r="D7950" s="94">
        <v>2</v>
      </c>
      <c r="E7950" s="84">
        <v>2124</v>
      </c>
      <c r="F7950" s="83">
        <f t="shared" ca="1" si="313"/>
        <v>4248</v>
      </c>
    </row>
    <row r="7951" spans="1:6" ht="14.1" customHeight="1" x14ac:dyDescent="0.25">
      <c r="A7951" s="94" t="s">
        <v>4226</v>
      </c>
      <c r="B7951" s="82" t="str">
        <f ca="1">IFERROR(INDEX(UNSPSCDes,MATCH(INDIRECT(ADDRESS(ROW(),COLUMN()-1,4)),UNSPSCCode,0)),IF(INDIRECT(ADDRESS(ROW(),COLUMN()-1,4))="10141609","Sujetadores",""))</f>
        <v>Sujetadores</v>
      </c>
      <c r="C7951" s="95" t="str">
        <f>IFERROR(VLOOKUP("UD",'Informacion '!P:Q,2,FALSE),"")</f>
        <v>Unidad</v>
      </c>
      <c r="D7951" s="94">
        <v>3</v>
      </c>
      <c r="E7951" s="84">
        <v>590</v>
      </c>
      <c r="F7951" s="83">
        <f t="shared" ca="1" si="313"/>
        <v>1770</v>
      </c>
    </row>
    <row r="7952" spans="1:6" ht="14.1" customHeight="1" x14ac:dyDescent="0.25">
      <c r="A7952" s="94" t="s">
        <v>14356</v>
      </c>
      <c r="B7952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7952" s="95" t="str">
        <f>IFERROR(VLOOKUP("UD",'Informacion '!P:Q,2,FALSE),"")</f>
        <v>Unidad</v>
      </c>
      <c r="D7952" s="94">
        <v>4</v>
      </c>
      <c r="E7952" s="84">
        <v>27447.26</v>
      </c>
      <c r="F7952" s="83">
        <f t="shared" ca="1" si="313"/>
        <v>109789.04</v>
      </c>
    </row>
    <row r="7953" spans="1:6" ht="14.1" customHeight="1" x14ac:dyDescent="0.25">
      <c r="A7953" s="94" t="s">
        <v>6120</v>
      </c>
      <c r="B7953" s="82" t="str">
        <f ca="1">IFERROR(INDEX(UNSPSCDes,MATCH(INDIRECT(ADDRESS(ROW(),COLUMN()-1,4)),UNSPSCCode,0)),IF(INDIRECT(ADDRESS(ROW(),COLUMN()-1,4))="44121634","Rollos adhesivos",""))</f>
        <v>Rollos adhesivos</v>
      </c>
      <c r="C7953" s="95" t="str">
        <f>IFERROR(VLOOKUP("UD",'Informacion '!P:Q,2,FALSE),"")</f>
        <v>Unidad</v>
      </c>
      <c r="D7953" s="94">
        <v>781</v>
      </c>
      <c r="E7953" s="84">
        <v>98.87</v>
      </c>
      <c r="F7953" s="83">
        <f t="shared" ca="1" si="313"/>
        <v>77217.47</v>
      </c>
    </row>
    <row r="7954" spans="1:6" ht="14.1" customHeight="1" x14ac:dyDescent="0.25">
      <c r="A7954" s="94" t="s">
        <v>1279</v>
      </c>
      <c r="B7954" s="82" t="str">
        <f ca="1">IFERROR(INDEX(UNSPSCDes,MATCH(INDIRECT(ADDRESS(ROW(),COLUMN()-1,4)),UNSPSCCode,0)),IF(INDIRECT(ADDRESS(ROW(),COLUMN()-1,4))="42231701","Tubos nasogástricos",""))</f>
        <v>Tubos nasogástricos</v>
      </c>
      <c r="C7954" s="95" t="str">
        <f>IFERROR(VLOOKUP("UD",'Informacion '!P:Q,2,FALSE),"")</f>
        <v>Unidad</v>
      </c>
      <c r="D7954" s="94">
        <v>4</v>
      </c>
      <c r="E7954" s="84">
        <v>4763.7299999999996</v>
      </c>
      <c r="F7954" s="83">
        <f t="shared" ca="1" si="313"/>
        <v>19054.919999999998</v>
      </c>
    </row>
    <row r="7955" spans="1:6" ht="14.1" customHeight="1" x14ac:dyDescent="0.25">
      <c r="A7955" s="94" t="s">
        <v>6481</v>
      </c>
      <c r="B7955" s="82" t="str">
        <f ca="1">IFERROR(INDEX(UNSPSCDes,MATCH(INDIRECT(ADDRESS(ROW(),COLUMN()-1,4)),UNSPSCCode,0)),IF(INDIRECT(ADDRESS(ROW(),COLUMN()-1,4))="42293603","Sondas para uso quirúrgico",""))</f>
        <v>Sondas para uso quirúrgico</v>
      </c>
      <c r="C7955" s="95" t="str">
        <f>IFERROR(VLOOKUP("UD",'Informacion '!P:Q,2,FALSE),"")</f>
        <v>Unidad</v>
      </c>
      <c r="D7955" s="94">
        <v>2</v>
      </c>
      <c r="E7955" s="84">
        <v>27.2</v>
      </c>
      <c r="F7955" s="83">
        <f t="shared" ca="1" si="313"/>
        <v>54.4</v>
      </c>
    </row>
    <row r="7956" spans="1:6" ht="14.1" customHeight="1" x14ac:dyDescent="0.25">
      <c r="A7956" s="94" t="s">
        <v>7820</v>
      </c>
      <c r="B7956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956" s="95" t="str">
        <f>IFERROR(VLOOKUP("UD",'Informacion '!P:Q,2,FALSE),"")</f>
        <v>Unidad</v>
      </c>
      <c r="D7956" s="94">
        <v>42</v>
      </c>
      <c r="E7956" s="84">
        <v>68.87</v>
      </c>
      <c r="F7956" s="83">
        <f t="shared" ca="1" si="313"/>
        <v>2892.54</v>
      </c>
    </row>
    <row r="7957" spans="1:6" ht="14.1" customHeight="1" x14ac:dyDescent="0.25">
      <c r="A7957" s="94" t="s">
        <v>16391</v>
      </c>
      <c r="B7957" s="82" t="str">
        <f ca="1">IFERROR(INDEX(UNSPSCDes,MATCH(INDIRECT(ADDRESS(ROW(),COLUMN()-1,4)),UNSPSCCode,0)),IF(INDIRECT(ADDRESS(ROW(),COLUMN()-1,4))="42142615","Accesorios para jeringas",""))</f>
        <v>Accesorios para jeringas</v>
      </c>
      <c r="C7957" s="95" t="str">
        <f>IFERROR(VLOOKUP("UD",'Informacion '!P:Q,2,FALSE),"")</f>
        <v>Unidad</v>
      </c>
      <c r="D7957" s="94">
        <v>6634</v>
      </c>
      <c r="E7957" s="84">
        <v>3.18</v>
      </c>
      <c r="F7957" s="83">
        <f t="shared" ca="1" si="313"/>
        <v>21096.120000000003</v>
      </c>
    </row>
    <row r="7958" spans="1:6" ht="14.1" customHeight="1" x14ac:dyDescent="0.25">
      <c r="A7958" s="94" t="s">
        <v>16697</v>
      </c>
      <c r="B7958" s="82" t="str">
        <f ca="1">IFERROR(INDEX(UNSPSCDes,MATCH(INDIRECT(ADDRESS(ROW(),COLUMN()-1,4)),UNSPSCCode,0)),IF(INDIRECT(ADDRESS(ROW(),COLUMN()-1,4))="11121802","Algodón",""))</f>
        <v>Algodón</v>
      </c>
      <c r="C7958" s="95" t="str">
        <f>IFERROR(VLOOKUP("UD",'Informacion '!P:Q,2,FALSE),"")</f>
        <v>Unidad</v>
      </c>
      <c r="D7958" s="94">
        <v>215</v>
      </c>
      <c r="E7958" s="84">
        <v>69.569999999999993</v>
      </c>
      <c r="F7958" s="83">
        <f t="shared" ca="1" si="313"/>
        <v>14957.55</v>
      </c>
    </row>
    <row r="7959" spans="1:6" ht="14.1" customHeight="1" x14ac:dyDescent="0.25">
      <c r="A7959" s="94" t="s">
        <v>6481</v>
      </c>
      <c r="B7959" s="82" t="str">
        <f ca="1">IFERROR(INDEX(UNSPSCDes,MATCH(INDIRECT(ADDRESS(ROW(),COLUMN()-1,4)),UNSPSCCode,0)),IF(INDIRECT(ADDRESS(ROW(),COLUMN()-1,4))="42293603","Sondas para uso quirúrgico",""))</f>
        <v>Sondas para uso quirúrgico</v>
      </c>
      <c r="C7959" s="95" t="str">
        <f>IFERROR(VLOOKUP("UD",'Informacion '!P:Q,2,FALSE),"")</f>
        <v>Unidad</v>
      </c>
      <c r="D7959" s="94">
        <v>2</v>
      </c>
      <c r="E7959" s="84">
        <v>19.87</v>
      </c>
      <c r="F7959" s="83">
        <f t="shared" ca="1" si="313"/>
        <v>39.74</v>
      </c>
    </row>
    <row r="7960" spans="1:6" ht="14.1" customHeight="1" x14ac:dyDescent="0.25">
      <c r="A7960" s="94" t="s">
        <v>16391</v>
      </c>
      <c r="B7960" s="82" t="str">
        <f ca="1">IFERROR(INDEX(UNSPSCDes,MATCH(INDIRECT(ADDRESS(ROW(),COLUMN()-1,4)),UNSPSCCode,0)),IF(INDIRECT(ADDRESS(ROW(),COLUMN()-1,4))="42142615","Accesorios para jeringas",""))</f>
        <v>Accesorios para jeringas</v>
      </c>
      <c r="C7960" s="95" t="str">
        <f>IFERROR(VLOOKUP("UD",'Informacion '!P:Q,2,FALSE),"")</f>
        <v>Unidad</v>
      </c>
      <c r="D7960" s="94">
        <v>317</v>
      </c>
      <c r="E7960" s="84">
        <v>3.16</v>
      </c>
      <c r="F7960" s="83">
        <f t="shared" ca="1" si="313"/>
        <v>1001.72</v>
      </c>
    </row>
    <row r="7961" spans="1:6" ht="14.1" customHeight="1" x14ac:dyDescent="0.25">
      <c r="A7961" s="94" t="s">
        <v>16391</v>
      </c>
      <c r="B7961" s="82" t="str">
        <f ca="1">IFERROR(INDEX(UNSPSCDes,MATCH(INDIRECT(ADDRESS(ROW(),COLUMN()-1,4)),UNSPSCCode,0)),IF(INDIRECT(ADDRESS(ROW(),COLUMN()-1,4))="42142615","Accesorios para jeringas",""))</f>
        <v>Accesorios para jeringas</v>
      </c>
      <c r="C7961" s="95" t="str">
        <f>IFERROR(VLOOKUP("UD",'Informacion '!P:Q,2,FALSE),"")</f>
        <v>Unidad</v>
      </c>
      <c r="D7961" s="94">
        <v>2</v>
      </c>
      <c r="E7961" s="84">
        <v>4.43</v>
      </c>
      <c r="F7961" s="83">
        <f t="shared" ca="1" si="313"/>
        <v>8.86</v>
      </c>
    </row>
    <row r="7962" spans="1:6" ht="14.1" customHeight="1" x14ac:dyDescent="0.25">
      <c r="A7962" s="94" t="s">
        <v>16391</v>
      </c>
      <c r="B7962" s="82" t="str">
        <f ca="1">IFERROR(INDEX(UNSPSCDes,MATCH(INDIRECT(ADDRESS(ROW(),COLUMN()-1,4)),UNSPSCCode,0)),IF(INDIRECT(ADDRESS(ROW(),COLUMN()-1,4))="42142615","Accesorios para jeringas",""))</f>
        <v>Accesorios para jeringas</v>
      </c>
      <c r="C7962" s="95" t="str">
        <f>IFERROR(VLOOKUP("UD",'Informacion '!P:Q,2,FALSE),"")</f>
        <v>Unidad</v>
      </c>
      <c r="D7962" s="94">
        <v>24</v>
      </c>
      <c r="E7962" s="84">
        <v>24.95</v>
      </c>
      <c r="F7962" s="83">
        <f t="shared" ca="1" si="313"/>
        <v>598.79999999999995</v>
      </c>
    </row>
    <row r="7963" spans="1:6" ht="14.1" customHeight="1" x14ac:dyDescent="0.25">
      <c r="A7963" s="94" t="s">
        <v>6481</v>
      </c>
      <c r="B7963" s="82" t="str">
        <f ca="1">IFERROR(INDEX(UNSPSCDes,MATCH(INDIRECT(ADDRESS(ROW(),COLUMN()-1,4)),UNSPSCCode,0)),IF(INDIRECT(ADDRESS(ROW(),COLUMN()-1,4))="42293603","Sondas para uso quirúrgico",""))</f>
        <v>Sondas para uso quirúrgico</v>
      </c>
      <c r="C7963" s="95" t="str">
        <f>IFERROR(VLOOKUP("UD",'Informacion '!P:Q,2,FALSE),"")</f>
        <v>Unidad</v>
      </c>
      <c r="D7963" s="94">
        <v>8</v>
      </c>
      <c r="E7963" s="84">
        <v>28.64</v>
      </c>
      <c r="F7963" s="83">
        <f t="shared" ca="1" si="313"/>
        <v>229.12</v>
      </c>
    </row>
    <row r="7964" spans="1:6" ht="14.1" customHeight="1" x14ac:dyDescent="0.25">
      <c r="A7964" s="94" t="s">
        <v>6481</v>
      </c>
      <c r="B7964" s="82" t="str">
        <f ca="1">IFERROR(INDEX(UNSPSCDes,MATCH(INDIRECT(ADDRESS(ROW(),COLUMN()-1,4)),UNSPSCCode,0)),IF(INDIRECT(ADDRESS(ROW(),COLUMN()-1,4))="42293603","Sondas para uso quirúrgico",""))</f>
        <v>Sondas para uso quirúrgico</v>
      </c>
      <c r="C7964" s="95" t="str">
        <f>IFERROR(VLOOKUP("UD",'Informacion '!P:Q,2,FALSE),"")</f>
        <v>Unidad</v>
      </c>
      <c r="D7964" s="94">
        <v>9</v>
      </c>
      <c r="E7964" s="84">
        <v>21.79</v>
      </c>
      <c r="F7964" s="83">
        <f t="shared" ca="1" si="313"/>
        <v>196.10999999999999</v>
      </c>
    </row>
    <row r="7965" spans="1:6" ht="14.1" customHeight="1" x14ac:dyDescent="0.25">
      <c r="A7965" s="94" t="s">
        <v>6481</v>
      </c>
      <c r="B7965" s="82" t="str">
        <f ca="1">IFERROR(INDEX(UNSPSCDes,MATCH(INDIRECT(ADDRESS(ROW(),COLUMN()-1,4)),UNSPSCCode,0)),IF(INDIRECT(ADDRESS(ROW(),COLUMN()-1,4))="42293603","Sondas para uso quirúrgico",""))</f>
        <v>Sondas para uso quirúrgico</v>
      </c>
      <c r="C7965" s="95" t="str">
        <f>IFERROR(VLOOKUP("UD",'Informacion '!P:Q,2,FALSE),"")</f>
        <v>Unidad</v>
      </c>
      <c r="D7965" s="94">
        <v>2</v>
      </c>
      <c r="E7965" s="84">
        <v>25.38</v>
      </c>
      <c r="F7965" s="83">
        <f t="shared" ca="1" si="313"/>
        <v>50.76</v>
      </c>
    </row>
    <row r="7966" spans="1:6" ht="14.1" customHeight="1" x14ac:dyDescent="0.25">
      <c r="A7966" s="94" t="s">
        <v>16391</v>
      </c>
      <c r="B7966" s="82" t="str">
        <f ca="1">IFERROR(INDEX(UNSPSCDes,MATCH(INDIRECT(ADDRESS(ROW(),COLUMN()-1,4)),UNSPSCCode,0)),IF(INDIRECT(ADDRESS(ROW(),COLUMN()-1,4))="42142615","Accesorios para jeringas",""))</f>
        <v>Accesorios para jeringas</v>
      </c>
      <c r="C7966" s="95" t="str">
        <f>IFERROR(VLOOKUP("UD",'Informacion '!P:Q,2,FALSE),"")</f>
        <v>Unidad</v>
      </c>
      <c r="D7966" s="94">
        <v>202</v>
      </c>
      <c r="E7966" s="84">
        <v>4.9000000000000004</v>
      </c>
      <c r="F7966" s="83">
        <f t="shared" ca="1" si="313"/>
        <v>989.80000000000007</v>
      </c>
    </row>
    <row r="7967" spans="1:6" ht="14.1" customHeight="1" x14ac:dyDescent="0.25">
      <c r="A7967" s="94" t="s">
        <v>14138</v>
      </c>
      <c r="B7967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967" s="95" t="str">
        <f>IFERROR(VLOOKUP("UD",'Informacion '!P:Q,2,FALSE),"")</f>
        <v>Unidad</v>
      </c>
      <c r="D7967" s="94">
        <v>5</v>
      </c>
      <c r="E7967" s="84">
        <v>9.15</v>
      </c>
      <c r="F7967" s="83">
        <f t="shared" ca="1" si="313"/>
        <v>45.75</v>
      </c>
    </row>
    <row r="7968" spans="1:6" ht="14.1" customHeight="1" x14ac:dyDescent="0.25">
      <c r="A7968" s="94" t="s">
        <v>6481</v>
      </c>
      <c r="B7968" s="82" t="str">
        <f ca="1">IFERROR(INDEX(UNSPSCDes,MATCH(INDIRECT(ADDRESS(ROW(),COLUMN()-1,4)),UNSPSCCode,0)),IF(INDIRECT(ADDRESS(ROW(),COLUMN()-1,4))="42293603","Sondas para uso quirúrgico",""))</f>
        <v>Sondas para uso quirúrgico</v>
      </c>
      <c r="C7968" s="95" t="str">
        <f>IFERROR(VLOOKUP("UD",'Informacion '!P:Q,2,FALSE),"")</f>
        <v>Unidad</v>
      </c>
      <c r="D7968" s="94">
        <v>51</v>
      </c>
      <c r="E7968" s="84">
        <v>175.05</v>
      </c>
      <c r="F7968" s="83">
        <f t="shared" ca="1" si="313"/>
        <v>8927.5500000000011</v>
      </c>
    </row>
    <row r="7969" spans="1:10" ht="14.1" customHeight="1" x14ac:dyDescent="0.25">
      <c r="A7969" s="94" t="s">
        <v>16391</v>
      </c>
      <c r="B7969" s="82" t="str">
        <f ca="1">IFERROR(INDEX(UNSPSCDes,MATCH(INDIRECT(ADDRESS(ROW(),COLUMN()-1,4)),UNSPSCCode,0)),IF(INDIRECT(ADDRESS(ROW(),COLUMN()-1,4))="42142615","Accesorios para jeringas",""))</f>
        <v>Accesorios para jeringas</v>
      </c>
      <c r="C7969" s="95" t="str">
        <f>IFERROR(VLOOKUP("UD",'Informacion '!P:Q,2,FALSE),"")</f>
        <v>Unidad</v>
      </c>
      <c r="D7969" s="94">
        <v>342</v>
      </c>
      <c r="E7969" s="84">
        <v>2.2999999999999998</v>
      </c>
      <c r="F7969" s="83">
        <f t="shared" ca="1" si="313"/>
        <v>786.59999999999991</v>
      </c>
    </row>
    <row r="7970" spans="1:10" ht="14.1" customHeight="1" x14ac:dyDescent="0.25">
      <c r="E7970" s="96" t="s">
        <v>7213</v>
      </c>
      <c r="F7970" s="87">
        <f ca="1">SUM(Table209[MONTO TOTAL ESTIMADO])</f>
        <v>433155.00999999989</v>
      </c>
      <c r="H7970" s="39" t="str">
        <f>C7872</f>
        <v>Bienes</v>
      </c>
      <c r="I7970" s="39" t="str">
        <f>E7872</f>
        <v>No</v>
      </c>
      <c r="J7970" s="39" t="str">
        <f>D7872</f>
        <v>Comparacion de Precios</v>
      </c>
    </row>
    <row r="7972" spans="1:10" ht="33.950000000000003" customHeight="1" x14ac:dyDescent="0.25">
      <c r="A7972" s="77" t="s">
        <v>17233</v>
      </c>
      <c r="B7972" s="77" t="s">
        <v>4237</v>
      </c>
      <c r="C7972" s="77" t="s">
        <v>4743</v>
      </c>
      <c r="D7972" s="77" t="s">
        <v>9891</v>
      </c>
      <c r="E7972" s="77" t="s">
        <v>3089</v>
      </c>
      <c r="F7972" s="77" t="s">
        <v>18141</v>
      </c>
    </row>
    <row r="7973" spans="1:10" ht="14.1" customHeight="1" x14ac:dyDescent="0.25">
      <c r="A7973" s="79" t="s">
        <v>7157</v>
      </c>
      <c r="B7973" s="79" t="s">
        <v>6837</v>
      </c>
      <c r="C7973" s="79" t="s">
        <v>17215</v>
      </c>
      <c r="D7973" s="79" t="s">
        <v>15249</v>
      </c>
      <c r="E7973" s="79" t="s">
        <v>18247</v>
      </c>
      <c r="F7973" s="79"/>
    </row>
    <row r="7974" spans="1:10" ht="14.1" customHeight="1" x14ac:dyDescent="0.25">
      <c r="A7974" s="2" t="s">
        <v>6643</v>
      </c>
      <c r="B7974" s="80" t="s">
        <v>1046</v>
      </c>
      <c r="C7974" s="90">
        <v>43739</v>
      </c>
      <c r="D7974" s="2" t="s">
        <v>59</v>
      </c>
      <c r="E7974" s="92" t="s">
        <v>20066</v>
      </c>
      <c r="F7974" s="93" t="s">
        <v>5684</v>
      </c>
    </row>
    <row r="7975" spans="1:10" ht="14.1" customHeight="1" x14ac:dyDescent="0.25">
      <c r="A7975" s="1"/>
      <c r="B7975" s="80" t="s">
        <v>10788</v>
      </c>
      <c r="C7975" s="91">
        <f>IF(C7974="","",IF(AND(MONTH(C7974)&gt;=1,MONTH(C7974)&lt;=3),1,IF(AND(MONTH(C7974)&gt;=4,MONTH(C7974)&lt;=6),2,IF(AND(MONTH(C7974)&gt;=7,MONTH(C7974)&lt;=9),3,4))))</f>
        <v>4</v>
      </c>
      <c r="D7975" s="1"/>
      <c r="E7975" s="92" t="s">
        <v>14822</v>
      </c>
      <c r="F7975" s="93"/>
    </row>
    <row r="7976" spans="1:10" ht="14.1" customHeight="1" x14ac:dyDescent="0.25">
      <c r="A7976" s="1"/>
      <c r="B7976" s="80" t="s">
        <v>13758</v>
      </c>
      <c r="C7976" s="90">
        <v>43830</v>
      </c>
      <c r="D7976" s="1"/>
      <c r="E7976" s="92" t="s">
        <v>18636</v>
      </c>
      <c r="F7976" s="93"/>
    </row>
    <row r="7977" spans="1:10" ht="14.1" customHeight="1" x14ac:dyDescent="0.25">
      <c r="A7977" s="1"/>
      <c r="B7977" s="80" t="s">
        <v>10788</v>
      </c>
      <c r="C7977" s="91">
        <f>IF(C7976="","",IF(AND(MONTH(C7976)&gt;=1,MONTH(C7976)&lt;=3),1,IF(AND(MONTH(C7976)&gt;=4,MONTH(C7976)&lt;=6),2,IF(AND(MONTH(C7976)&gt;=7,MONTH(C7976)&lt;=9),3,4))))</f>
        <v>4</v>
      </c>
      <c r="D7977" s="1"/>
      <c r="E7977" s="92" t="s">
        <v>15990</v>
      </c>
      <c r="F7977" s="93"/>
    </row>
    <row r="7979" spans="1:10" ht="14.1" customHeight="1" x14ac:dyDescent="0.25">
      <c r="A7979" s="85" t="s">
        <v>15474</v>
      </c>
      <c r="B7979" s="85" t="s">
        <v>5027</v>
      </c>
      <c r="C7979" s="85" t="s">
        <v>17461</v>
      </c>
      <c r="D7979" s="85" t="s">
        <v>3935</v>
      </c>
      <c r="E7979" s="85" t="s">
        <v>10722</v>
      </c>
      <c r="F7979" s="85" t="s">
        <v>18237</v>
      </c>
    </row>
    <row r="7980" spans="1:10" ht="14.1" customHeight="1" x14ac:dyDescent="0.25">
      <c r="A7980" s="94" t="s">
        <v>14660</v>
      </c>
      <c r="B7980" s="82" t="str">
        <f ca="1">IFERROR(INDEX(UNSPSCDes,MATCH(INDIRECT(ADDRESS(ROW(),COLUMN()-1,4)),UNSPSCCode,0)),IF(INDIRECT(ADDRESS(ROW(),COLUMN()-1,4))="42311526","Vendajes de",""))</f>
        <v>Vendajes de</v>
      </c>
      <c r="C7980" s="95" t="str">
        <f>IFERROR(VLOOKUP("UD",'Informacion '!P:Q,2,FALSE),"")</f>
        <v>Unidad</v>
      </c>
      <c r="D7980" s="94">
        <v>7</v>
      </c>
      <c r="E7980" s="84">
        <v>27</v>
      </c>
      <c r="F7980" s="83">
        <f t="shared" ref="F7980:F8016" ca="1" si="314">INDIRECT(ADDRESS(ROW(),COLUMN()-2,4))*INDIRECT(ADDRESS(ROW(),COLUMN()-1,4))</f>
        <v>189</v>
      </c>
    </row>
    <row r="7981" spans="1:10" ht="14.1" customHeight="1" x14ac:dyDescent="0.25">
      <c r="A7981" s="94" t="s">
        <v>14138</v>
      </c>
      <c r="B7981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981" s="95" t="str">
        <f>IFERROR(VLOOKUP("UD",'Informacion '!P:Q,2,FALSE),"")</f>
        <v>Unidad</v>
      </c>
      <c r="D7981" s="94">
        <v>556</v>
      </c>
      <c r="E7981" s="84">
        <v>13.87</v>
      </c>
      <c r="F7981" s="83">
        <f t="shared" ca="1" si="314"/>
        <v>7711.7199999999993</v>
      </c>
    </row>
    <row r="7982" spans="1:10" ht="14.1" customHeight="1" x14ac:dyDescent="0.25">
      <c r="A7982" s="94" t="s">
        <v>12909</v>
      </c>
      <c r="B7982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982" s="95" t="str">
        <f>IFERROR(VLOOKUP("UD",'Informacion '!P:Q,2,FALSE),"")</f>
        <v>Unidad</v>
      </c>
      <c r="D7982" s="94">
        <v>637</v>
      </c>
      <c r="E7982" s="84">
        <v>0.51</v>
      </c>
      <c r="F7982" s="83">
        <f t="shared" ca="1" si="314"/>
        <v>324.87</v>
      </c>
    </row>
    <row r="7983" spans="1:10" ht="14.1" customHeight="1" x14ac:dyDescent="0.25">
      <c r="A7983" s="94" t="s">
        <v>6120</v>
      </c>
      <c r="B7983" s="82" t="str">
        <f ca="1">IFERROR(INDEX(UNSPSCDes,MATCH(INDIRECT(ADDRESS(ROW(),COLUMN()-1,4)),UNSPSCCode,0)),IF(INDIRECT(ADDRESS(ROW(),COLUMN()-1,4))="44121634","Rollos adhesivos",""))</f>
        <v>Rollos adhesivos</v>
      </c>
      <c r="C7983" s="95" t="str">
        <f>IFERROR(VLOOKUP("UD",'Informacion '!P:Q,2,FALSE),"")</f>
        <v>Unidad</v>
      </c>
      <c r="D7983" s="94">
        <v>384</v>
      </c>
      <c r="E7983" s="84">
        <v>61.7</v>
      </c>
      <c r="F7983" s="83">
        <f t="shared" ca="1" si="314"/>
        <v>23692.800000000003</v>
      </c>
    </row>
    <row r="7984" spans="1:10" ht="14.1" customHeight="1" x14ac:dyDescent="0.25">
      <c r="A7984" s="94" t="s">
        <v>8742</v>
      </c>
      <c r="B7984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7984" s="95" t="str">
        <f>IFERROR(VLOOKUP("UD",'Informacion '!P:Q,2,FALSE),"")</f>
        <v>Unidad</v>
      </c>
      <c r="D7984" s="94">
        <v>8</v>
      </c>
      <c r="E7984" s="84">
        <v>138.06</v>
      </c>
      <c r="F7984" s="83">
        <f t="shared" ca="1" si="314"/>
        <v>1104.48</v>
      </c>
    </row>
    <row r="7985" spans="1:6" ht="14.1" customHeight="1" x14ac:dyDescent="0.25">
      <c r="A7985" s="94" t="s">
        <v>865</v>
      </c>
      <c r="B7985" s="82" t="str">
        <f ca="1">IFERROR(INDEX(UNSPSCDes,MATCH(INDIRECT(ADDRESS(ROW(),COLUMN()-1,4)),UNSPSCCode,0)),IF(INDIRECT(ADDRESS(ROW(),COLUMN()-1,4))="24122006","Aplicador",""))</f>
        <v>Aplicador</v>
      </c>
      <c r="C7985" s="95" t="str">
        <f>IFERROR(VLOOKUP("UD",'Informacion '!P:Q,2,FALSE),"")</f>
        <v>Unidad</v>
      </c>
      <c r="D7985" s="94">
        <v>9</v>
      </c>
      <c r="E7985" s="84">
        <v>6.64</v>
      </c>
      <c r="F7985" s="83">
        <f t="shared" ca="1" si="314"/>
        <v>59.76</v>
      </c>
    </row>
    <row r="7986" spans="1:6" ht="14.1" customHeight="1" x14ac:dyDescent="0.25">
      <c r="A7986" s="94" t="s">
        <v>16195</v>
      </c>
      <c r="B7986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7986" s="95" t="str">
        <f>IFERROR(VLOOKUP("UD",'Informacion '!P:Q,2,FALSE),"")</f>
        <v>Unidad</v>
      </c>
      <c r="D7986" s="94">
        <v>17589</v>
      </c>
      <c r="E7986" s="84">
        <v>0.21</v>
      </c>
      <c r="F7986" s="83">
        <f t="shared" ca="1" si="314"/>
        <v>3693.69</v>
      </c>
    </row>
    <row r="7987" spans="1:6" ht="14.1" customHeight="1" x14ac:dyDescent="0.25">
      <c r="A7987" s="94" t="s">
        <v>12654</v>
      </c>
      <c r="B7987" s="82" t="str">
        <f ca="1">IFERROR(INDEX(UNSPSCDes,MATCH(INDIRECT(ADDRESS(ROW(),COLUMN()-1,4)),UNSPSCCode,0)),IF(INDIRECT(ADDRESS(ROW(),COLUMN()-1,4))="42241811","Faja para hernias",""))</f>
        <v>Faja para hernias</v>
      </c>
      <c r="C7987" s="95" t="str">
        <f>IFERROR(VLOOKUP("UD",'Informacion '!P:Q,2,FALSE),"")</f>
        <v>Unidad</v>
      </c>
      <c r="D7987" s="94">
        <v>4</v>
      </c>
      <c r="E7987" s="84">
        <v>500.12</v>
      </c>
      <c r="F7987" s="83">
        <f t="shared" ca="1" si="314"/>
        <v>2000.48</v>
      </c>
    </row>
    <row r="7988" spans="1:6" ht="14.1" customHeight="1" x14ac:dyDescent="0.25">
      <c r="A7988" s="94" t="s">
        <v>12724</v>
      </c>
      <c r="B7988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7988" s="95" t="str">
        <f>IFERROR(VLOOKUP("UD",'Informacion '!P:Q,2,FALSE),"")</f>
        <v>Unidad</v>
      </c>
      <c r="D7988" s="94">
        <v>4</v>
      </c>
      <c r="E7988" s="84">
        <v>643.65</v>
      </c>
      <c r="F7988" s="83">
        <f t="shared" ca="1" si="314"/>
        <v>2574.6</v>
      </c>
    </row>
    <row r="7989" spans="1:6" ht="14.1" customHeight="1" x14ac:dyDescent="0.25">
      <c r="A7989" s="94" t="s">
        <v>10944</v>
      </c>
      <c r="B7989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989" s="95" t="str">
        <f>IFERROR(VLOOKUP("UD",'Informacion '!P:Q,2,FALSE),"")</f>
        <v>Unidad</v>
      </c>
      <c r="D7989" s="94">
        <v>7</v>
      </c>
      <c r="E7989" s="84">
        <v>18.78</v>
      </c>
      <c r="F7989" s="83">
        <f t="shared" ca="1" si="314"/>
        <v>131.46</v>
      </c>
    </row>
    <row r="7990" spans="1:6" ht="14.1" customHeight="1" x14ac:dyDescent="0.25">
      <c r="A7990" s="94" t="s">
        <v>435</v>
      </c>
      <c r="B7990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990" s="95" t="str">
        <f>IFERROR(VLOOKUP("UD",'Informacion '!P:Q,2,FALSE),"")</f>
        <v>Unidad</v>
      </c>
      <c r="D7990" s="94">
        <v>12</v>
      </c>
      <c r="E7990" s="84">
        <v>448.8</v>
      </c>
      <c r="F7990" s="83">
        <f t="shared" ca="1" si="314"/>
        <v>5385.6</v>
      </c>
    </row>
    <row r="7991" spans="1:6" ht="14.1" customHeight="1" x14ac:dyDescent="0.25">
      <c r="A7991" s="94" t="s">
        <v>7362</v>
      </c>
      <c r="B7991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7991" s="95" t="str">
        <f>IFERROR(VLOOKUP("UD",'Informacion '!P:Q,2,FALSE),"")</f>
        <v>Unidad</v>
      </c>
      <c r="D7991" s="94">
        <v>2427</v>
      </c>
      <c r="E7991" s="84">
        <v>1.29</v>
      </c>
      <c r="F7991" s="83">
        <f t="shared" ca="1" si="314"/>
        <v>3130.83</v>
      </c>
    </row>
    <row r="7992" spans="1:6" ht="14.1" customHeight="1" x14ac:dyDescent="0.25">
      <c r="A7992" s="94" t="s">
        <v>3604</v>
      </c>
      <c r="B7992" s="82" t="str">
        <f ca="1">IFERROR(INDEX(UNSPSCDes,MATCH(INDIRECT(ADDRESS(ROW(),COLUMN()-1,4)),UNSPSCCode,0)),IF(INDIRECT(ADDRESS(ROW(),COLUMN()-1,4))="12352501","Formaldehidos",""))</f>
        <v>Formaldehidos</v>
      </c>
      <c r="C7992" s="95" t="str">
        <f>IFERROR(VLOOKUP("UD",'Informacion '!P:Q,2,FALSE),"")</f>
        <v>Unidad</v>
      </c>
      <c r="D7992" s="94">
        <v>11</v>
      </c>
      <c r="E7992" s="84">
        <v>425</v>
      </c>
      <c r="F7992" s="83">
        <f t="shared" ca="1" si="314"/>
        <v>4675</v>
      </c>
    </row>
    <row r="7993" spans="1:6" ht="14.1" customHeight="1" x14ac:dyDescent="0.25">
      <c r="A7993" s="94" t="s">
        <v>18162</v>
      </c>
      <c r="B7993" s="82" t="str">
        <f ca="1">IFERROR(INDEX(UNSPSCDes,MATCH(INDIRECT(ADDRESS(ROW(),COLUMN()-1,4)),UNSPSCCode,0)),IF(INDIRECT(ADDRESS(ROW(),COLUMN()-1,4))="30101617","Barras de madera",""))</f>
        <v>Barras de madera</v>
      </c>
      <c r="C7993" s="95" t="str">
        <f>IFERROR(VLOOKUP("UD",'Informacion '!P:Q,2,FALSE),"")</f>
        <v>Unidad</v>
      </c>
      <c r="D7993" s="94">
        <v>165</v>
      </c>
      <c r="E7993" s="84">
        <v>1.06</v>
      </c>
      <c r="F7993" s="83">
        <f t="shared" ca="1" si="314"/>
        <v>174.9</v>
      </c>
    </row>
    <row r="7994" spans="1:6" ht="14.1" customHeight="1" x14ac:dyDescent="0.25">
      <c r="A7994" s="94" t="s">
        <v>3552</v>
      </c>
      <c r="B7994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994" s="95" t="str">
        <f>IFERROR(VLOOKUP("UD",'Informacion '!P:Q,2,FALSE),"")</f>
        <v>Unidad</v>
      </c>
      <c r="D7994" s="94">
        <v>1510</v>
      </c>
      <c r="E7994" s="84">
        <v>2.6</v>
      </c>
      <c r="F7994" s="83">
        <f t="shared" ca="1" si="314"/>
        <v>3926</v>
      </c>
    </row>
    <row r="7995" spans="1:6" ht="14.1" customHeight="1" x14ac:dyDescent="0.25">
      <c r="A7995" s="94" t="s">
        <v>3552</v>
      </c>
      <c r="B7995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995" s="95" t="str">
        <f>IFERROR(VLOOKUP("UD",'Informacion '!P:Q,2,FALSE),"")</f>
        <v>Unidad</v>
      </c>
      <c r="D7995" s="94">
        <v>1833</v>
      </c>
      <c r="E7995" s="84">
        <v>2.76</v>
      </c>
      <c r="F7995" s="83">
        <f t="shared" ca="1" si="314"/>
        <v>5059.08</v>
      </c>
    </row>
    <row r="7996" spans="1:6" ht="14.1" customHeight="1" x14ac:dyDescent="0.25">
      <c r="A7996" s="94" t="s">
        <v>1829</v>
      </c>
      <c r="B7996" s="82" t="str">
        <f ca="1">IFERROR(INDEX(UNSPSCDes,MATCH(INDIRECT(ADDRESS(ROW(),COLUMN()-1,4)),UNSPSCCode,0)),IF(INDIRECT(ADDRESS(ROW(),COLUMN()-1,4))="42222304","Tubos para administración o transfusión de sangre",""))</f>
        <v>Tubos para administración o transfusión de sangre</v>
      </c>
      <c r="C7996" s="95" t="str">
        <f>IFERROR(VLOOKUP("UD",'Informacion '!P:Q,2,FALSE),"")</f>
        <v>Unidad</v>
      </c>
      <c r="D7996" s="94">
        <v>4</v>
      </c>
      <c r="E7996" s="84">
        <v>9.1999999999999993</v>
      </c>
      <c r="F7996" s="83">
        <f t="shared" ca="1" si="314"/>
        <v>36.799999999999997</v>
      </c>
    </row>
    <row r="7997" spans="1:6" ht="14.1" customHeight="1" x14ac:dyDescent="0.25">
      <c r="A7997" s="94" t="s">
        <v>15989</v>
      </c>
      <c r="B7997" s="82" t="str">
        <f ca="1">IFERROR(INDEX(UNSPSCDes,MATCH(INDIRECT(ADDRESS(ROW(),COLUMN()-1,4)),UNSPSCCode,0)),IF(INDIRECT(ADDRESS(ROW(),COLUMN()-1,4))="42272504","Sets o kits de anestesia",""))</f>
        <v>Sets o kits de anestesia</v>
      </c>
      <c r="C7997" s="95" t="str">
        <f>IFERROR(VLOOKUP("UD",'Informacion '!P:Q,2,FALSE),"")</f>
        <v>Unidad</v>
      </c>
      <c r="D7997" s="94">
        <v>9</v>
      </c>
      <c r="E7997" s="84">
        <v>232.34</v>
      </c>
      <c r="F7997" s="83">
        <f t="shared" ca="1" si="314"/>
        <v>2091.06</v>
      </c>
    </row>
    <row r="7998" spans="1:6" ht="14.1" customHeight="1" x14ac:dyDescent="0.25">
      <c r="A7998" s="94" t="s">
        <v>15989</v>
      </c>
      <c r="B7998" s="82" t="str">
        <f ca="1">IFERROR(INDEX(UNSPSCDes,MATCH(INDIRECT(ADDRESS(ROW(),COLUMN()-1,4)),UNSPSCCode,0)),IF(INDIRECT(ADDRESS(ROW(),COLUMN()-1,4))="42272504","Sets o kits de anestesia",""))</f>
        <v>Sets o kits de anestesia</v>
      </c>
      <c r="C7998" s="95" t="str">
        <f>IFERROR(VLOOKUP("UD",'Informacion '!P:Q,2,FALSE),"")</f>
        <v>Unidad</v>
      </c>
      <c r="D7998" s="94">
        <v>4</v>
      </c>
      <c r="E7998" s="84">
        <v>649</v>
      </c>
      <c r="F7998" s="83">
        <f t="shared" ca="1" si="314"/>
        <v>2596</v>
      </c>
    </row>
    <row r="7999" spans="1:6" ht="14.1" customHeight="1" x14ac:dyDescent="0.25">
      <c r="A7999" s="94" t="s">
        <v>15989</v>
      </c>
      <c r="B7999" s="82" t="str">
        <f ca="1">IFERROR(INDEX(UNSPSCDes,MATCH(INDIRECT(ADDRESS(ROW(),COLUMN()-1,4)),UNSPSCCode,0)),IF(INDIRECT(ADDRESS(ROW(),COLUMN()-1,4))="42272504","Sets o kits de anestesia",""))</f>
        <v>Sets o kits de anestesia</v>
      </c>
      <c r="C7999" s="95" t="str">
        <f>IFERROR(VLOOKUP("UD",'Informacion '!P:Q,2,FALSE),"")</f>
        <v>Unidad</v>
      </c>
      <c r="D7999" s="94">
        <v>17</v>
      </c>
      <c r="E7999" s="84">
        <v>643.1</v>
      </c>
      <c r="F7999" s="83">
        <f t="shared" ca="1" si="314"/>
        <v>10932.7</v>
      </c>
    </row>
    <row r="8000" spans="1:6" ht="14.1" customHeight="1" x14ac:dyDescent="0.25">
      <c r="A8000" s="94" t="s">
        <v>4298</v>
      </c>
      <c r="B8000" s="82" t="str">
        <f ca="1">IFERROR(INDEX(UNSPSCDes,MATCH(INDIRECT(ADDRESS(ROW(),COLUMN()-1,4)),UNSPSCCode,0)),IF(INDIRECT(ADDRESS(ROW(),COLUMN()-1,4))="39121436","Electrodos",""))</f>
        <v>Electrodos</v>
      </c>
      <c r="C8000" s="95" t="str">
        <f>IFERROR(VLOOKUP("UD",'Informacion '!P:Q,2,FALSE),"")</f>
        <v>Unidad</v>
      </c>
      <c r="D8000" s="94">
        <v>150</v>
      </c>
      <c r="E8000" s="84">
        <v>17.7</v>
      </c>
      <c r="F8000" s="83">
        <f t="shared" ca="1" si="314"/>
        <v>2655</v>
      </c>
    </row>
    <row r="8001" spans="1:6" ht="14.1" customHeight="1" x14ac:dyDescent="0.25">
      <c r="A8001" s="94" t="s">
        <v>6081</v>
      </c>
      <c r="B8001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8001" s="95" t="str">
        <f>IFERROR(VLOOKUP("UD",'Informacion '!P:Q,2,FALSE),"")</f>
        <v>Unidad</v>
      </c>
      <c r="D8001" s="94">
        <v>21</v>
      </c>
      <c r="E8001" s="84">
        <v>42</v>
      </c>
      <c r="F8001" s="83">
        <f t="shared" ca="1" si="314"/>
        <v>882</v>
      </c>
    </row>
    <row r="8002" spans="1:6" ht="14.1" customHeight="1" x14ac:dyDescent="0.25">
      <c r="A8002" s="94" t="s">
        <v>15091</v>
      </c>
      <c r="B8002" s="82" t="str">
        <f ca="1">IFERROR(INDEX(UNSPSCDes,MATCH(INDIRECT(ADDRESS(ROW(),COLUMN()-1,4)),UNSPSCCode,0)),IF(INDIRECT(ADDRESS(ROW(),COLUMN()-1,4))="42161702","Bolsas de recolección de hemofiltración",""))</f>
        <v>Bolsas de recolección de hemofiltración</v>
      </c>
      <c r="C8002" s="95" t="str">
        <f>IFERROR(VLOOKUP("UD",'Informacion '!P:Q,2,FALSE),"")</f>
        <v>Unidad</v>
      </c>
      <c r="D8002" s="94">
        <v>162</v>
      </c>
      <c r="E8002" s="84">
        <v>249.74</v>
      </c>
      <c r="F8002" s="83">
        <f t="shared" ca="1" si="314"/>
        <v>40457.880000000005</v>
      </c>
    </row>
    <row r="8003" spans="1:6" ht="14.1" customHeight="1" x14ac:dyDescent="0.25">
      <c r="A8003" s="94" t="s">
        <v>507</v>
      </c>
      <c r="B8003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8003" s="95" t="str">
        <f>IFERROR(VLOOKUP("UD",'Informacion '!P:Q,2,FALSE),"")</f>
        <v>Unidad</v>
      </c>
      <c r="D8003" s="94">
        <v>6</v>
      </c>
      <c r="E8003" s="84">
        <v>108.17</v>
      </c>
      <c r="F8003" s="83">
        <f t="shared" ca="1" si="314"/>
        <v>649.02</v>
      </c>
    </row>
    <row r="8004" spans="1:6" ht="14.1" customHeight="1" x14ac:dyDescent="0.25">
      <c r="A8004" s="94" t="s">
        <v>4852</v>
      </c>
      <c r="B8004" s="82" t="str">
        <f ca="1">IFERROR(INDEX(UNSPSCDes,MATCH(INDIRECT(ADDRESS(ROW(),COLUMN()-1,4)),UNSPSCCode,0)),IF(INDIRECT(ADDRESS(ROW(),COLUMN()-1,4))="42295303","Catéteres o conectores o accesorios de uso quirúrgico",""))</f>
        <v>Catéteres o conectores o accesorios de uso quirúrgico</v>
      </c>
      <c r="C8004" s="95" t="str">
        <f>IFERROR(VLOOKUP("UD",'Informacion '!P:Q,2,FALSE),"")</f>
        <v>Unidad</v>
      </c>
      <c r="D8004" s="94">
        <v>6</v>
      </c>
      <c r="E8004" s="84">
        <v>137.18</v>
      </c>
      <c r="F8004" s="83">
        <f t="shared" ca="1" si="314"/>
        <v>823.08</v>
      </c>
    </row>
    <row r="8005" spans="1:6" ht="14.1" customHeight="1" x14ac:dyDescent="0.25">
      <c r="A8005" s="94" t="s">
        <v>16391</v>
      </c>
      <c r="B8005" s="82" t="str">
        <f ca="1">IFERROR(INDEX(UNSPSCDes,MATCH(INDIRECT(ADDRESS(ROW(),COLUMN()-1,4)),UNSPSCCode,0)),IF(INDIRECT(ADDRESS(ROW(),COLUMN()-1,4))="42142615","Accesorios para jeringas",""))</f>
        <v>Accesorios para jeringas</v>
      </c>
      <c r="C8005" s="95" t="str">
        <f>IFERROR(VLOOKUP("UD",'Informacion '!P:Q,2,FALSE),"")</f>
        <v>Unidad</v>
      </c>
      <c r="D8005" s="94">
        <v>7</v>
      </c>
      <c r="E8005" s="84">
        <v>12.97</v>
      </c>
      <c r="F8005" s="83">
        <f t="shared" ca="1" si="314"/>
        <v>90.79</v>
      </c>
    </row>
    <row r="8006" spans="1:6" ht="14.1" customHeight="1" x14ac:dyDescent="0.25">
      <c r="A8006" s="94" t="s">
        <v>7698</v>
      </c>
      <c r="B8006" s="82" t="str">
        <f ca="1">IFERROR(INDEX(UNSPSCDes,MATCH(INDIRECT(ADDRESS(ROW(),COLUMN()-1,4)),UNSPSCCode,0)),IF(INDIRECT(ADDRESS(ROW(),COLUMN()-1,4))="44121708","Marcadores",""))</f>
        <v>Marcadores</v>
      </c>
      <c r="C8006" s="95" t="str">
        <f>IFERROR(VLOOKUP("UD",'Informacion '!P:Q,2,FALSE),"")</f>
        <v>Unidad</v>
      </c>
      <c r="D8006" s="94">
        <v>6</v>
      </c>
      <c r="E8006" s="84">
        <v>341.23</v>
      </c>
      <c r="F8006" s="83">
        <f t="shared" ca="1" si="314"/>
        <v>2047.38</v>
      </c>
    </row>
    <row r="8007" spans="1:6" ht="14.1" customHeight="1" x14ac:dyDescent="0.25">
      <c r="A8007" s="94" t="s">
        <v>6481</v>
      </c>
      <c r="B8007" s="82" t="str">
        <f ca="1">IFERROR(INDEX(UNSPSCDes,MATCH(INDIRECT(ADDRESS(ROW(),COLUMN()-1,4)),UNSPSCCode,0)),IF(INDIRECT(ADDRESS(ROW(),COLUMN()-1,4))="42293603","Sondas para uso quirúrgico",""))</f>
        <v>Sondas para uso quirúrgico</v>
      </c>
      <c r="C8007" s="95" t="str">
        <f>IFERROR(VLOOKUP("UD",'Informacion '!P:Q,2,FALSE),"")</f>
        <v>Unidad</v>
      </c>
      <c r="D8007" s="94">
        <v>10</v>
      </c>
      <c r="E8007" s="84">
        <v>22.42</v>
      </c>
      <c r="F8007" s="83">
        <f t="shared" ca="1" si="314"/>
        <v>224.20000000000002</v>
      </c>
    </row>
    <row r="8008" spans="1:6" ht="14.1" customHeight="1" x14ac:dyDescent="0.25">
      <c r="A8008" s="94" t="s">
        <v>2059</v>
      </c>
      <c r="B8008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8008" s="95" t="str">
        <f>IFERROR(VLOOKUP("UD",'Informacion '!P:Q,2,FALSE),"")</f>
        <v>Unidad</v>
      </c>
      <c r="D8008" s="94">
        <v>10</v>
      </c>
      <c r="E8008" s="84">
        <v>5782</v>
      </c>
      <c r="F8008" s="83">
        <f t="shared" ca="1" si="314"/>
        <v>57820</v>
      </c>
    </row>
    <row r="8009" spans="1:6" ht="14.1" customHeight="1" x14ac:dyDescent="0.25">
      <c r="A8009" s="94" t="s">
        <v>7362</v>
      </c>
      <c r="B8009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8009" s="95" t="str">
        <f>IFERROR(VLOOKUP("UD",'Informacion '!P:Q,2,FALSE),"")</f>
        <v>Unidad</v>
      </c>
      <c r="D8009" s="94">
        <v>29</v>
      </c>
      <c r="E8009" s="84">
        <v>2.5499999999999998</v>
      </c>
      <c r="F8009" s="83">
        <f t="shared" ca="1" si="314"/>
        <v>73.949999999999989</v>
      </c>
    </row>
    <row r="8010" spans="1:6" ht="14.1" customHeight="1" x14ac:dyDescent="0.25">
      <c r="A8010" s="94" t="s">
        <v>14286</v>
      </c>
      <c r="B8010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010" s="95" t="str">
        <f>IFERROR(VLOOKUP("UD",'Informacion '!P:Q,2,FALSE),"")</f>
        <v>Unidad</v>
      </c>
      <c r="D8010" s="94">
        <v>18</v>
      </c>
      <c r="E8010" s="84">
        <v>310.47000000000003</v>
      </c>
      <c r="F8010" s="83">
        <f t="shared" ca="1" si="314"/>
        <v>5588.4600000000009</v>
      </c>
    </row>
    <row r="8011" spans="1:6" ht="14.1" customHeight="1" x14ac:dyDescent="0.25">
      <c r="A8011" s="94" t="s">
        <v>14286</v>
      </c>
      <c r="B8011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011" s="95" t="str">
        <f>IFERROR(VLOOKUP("UD",'Informacion '!P:Q,2,FALSE),"")</f>
        <v>Unidad</v>
      </c>
      <c r="D8011" s="94">
        <v>42</v>
      </c>
      <c r="E8011" s="84">
        <v>670.89</v>
      </c>
      <c r="F8011" s="83">
        <f t="shared" ca="1" si="314"/>
        <v>28177.38</v>
      </c>
    </row>
    <row r="8012" spans="1:6" ht="14.1" customHeight="1" x14ac:dyDescent="0.25">
      <c r="A8012" s="94" t="s">
        <v>14286</v>
      </c>
      <c r="B8012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012" s="95" t="str">
        <f>IFERROR(VLOOKUP("UD",'Informacion '!P:Q,2,FALSE),"")</f>
        <v>Unidad</v>
      </c>
      <c r="D8012" s="94">
        <v>21</v>
      </c>
      <c r="E8012" s="84">
        <v>2355.38</v>
      </c>
      <c r="F8012" s="83">
        <f t="shared" ca="1" si="314"/>
        <v>49462.98</v>
      </c>
    </row>
    <row r="8013" spans="1:6" ht="14.1" customHeight="1" x14ac:dyDescent="0.25">
      <c r="A8013" s="94" t="s">
        <v>4949</v>
      </c>
      <c r="B8013" s="82" t="str">
        <f ca="1">IFERROR(INDEX(UNSPSCDes,MATCH(INDIRECT(ADDRESS(ROW(),COLUMN()-1,4)),UNSPSCCode,0)),IF(INDIRECT(ADDRESS(ROW(),COLUMN()-1,4))="42295421","Lavado de preparación o soluciones de pintura para uso quirúrgico",""))</f>
        <v>Lavado de preparación o soluciones de pintura para uso quirúrgico</v>
      </c>
      <c r="C8013" s="95" t="str">
        <f>IFERROR(VLOOKUP("UD",'Informacion '!P:Q,2,FALSE),"")</f>
        <v>Unidad</v>
      </c>
      <c r="D8013" s="94">
        <v>21</v>
      </c>
      <c r="E8013" s="84">
        <v>650.85</v>
      </c>
      <c r="F8013" s="83">
        <f t="shared" ca="1" si="314"/>
        <v>13667.85</v>
      </c>
    </row>
    <row r="8014" spans="1:6" ht="14.1" customHeight="1" x14ac:dyDescent="0.25">
      <c r="A8014" s="94" t="s">
        <v>11092</v>
      </c>
      <c r="B8014" s="82" t="str">
        <f ca="1">IFERROR(INDEX(UNSPSCDes,MATCH(INDIRECT(ADDRESS(ROW(),COLUMN()-1,4)),UNSPSCCode,0)),IF(INDIRECT(ADDRESS(ROW(),COLUMN()-1,4))="51241117","Isopropil unoprostone",""))</f>
        <v>Isopropil unoprostone</v>
      </c>
      <c r="C8014" s="95" t="str">
        <f>IFERROR(VLOOKUP("UD",'Informacion '!P:Q,2,FALSE),"")</f>
        <v>Unidad</v>
      </c>
      <c r="D8014" s="94">
        <v>12</v>
      </c>
      <c r="E8014" s="84">
        <v>2087.27</v>
      </c>
      <c r="F8014" s="83">
        <f t="shared" ca="1" si="314"/>
        <v>25047.239999999998</v>
      </c>
    </row>
    <row r="8015" spans="1:6" ht="14.1" customHeight="1" x14ac:dyDescent="0.25">
      <c r="A8015" s="94" t="s">
        <v>2064</v>
      </c>
      <c r="B8015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015" s="95" t="str">
        <f>IFERROR(VLOOKUP("UD",'Informacion '!P:Q,2,FALSE),"")</f>
        <v>Unidad</v>
      </c>
      <c r="D8015" s="94">
        <v>120</v>
      </c>
      <c r="E8015" s="84">
        <v>141.83000000000001</v>
      </c>
      <c r="F8015" s="83">
        <f t="shared" ca="1" si="314"/>
        <v>17019.600000000002</v>
      </c>
    </row>
    <row r="8016" spans="1:6" ht="14.1" customHeight="1" x14ac:dyDescent="0.25">
      <c r="A8016" s="94" t="s">
        <v>6302</v>
      </c>
      <c r="B8016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8016" s="95" t="str">
        <f>IFERROR(VLOOKUP("UD",'Informacion '!P:Q,2,FALSE),"")</f>
        <v>Unidad</v>
      </c>
      <c r="D8016" s="94">
        <v>110</v>
      </c>
      <c r="E8016" s="84">
        <v>18.52</v>
      </c>
      <c r="F8016" s="83">
        <f t="shared" ca="1" si="314"/>
        <v>2037.2</v>
      </c>
    </row>
    <row r="8017" spans="1:10" ht="14.1" customHeight="1" x14ac:dyDescent="0.25">
      <c r="E8017" s="96" t="s">
        <v>7213</v>
      </c>
      <c r="F8017" s="87">
        <f ca="1">SUM(Table210[MONTO TOTAL ESTIMADO])</f>
        <v>326214.83999999997</v>
      </c>
      <c r="H8017" s="39" t="str">
        <f>C7973</f>
        <v>Bienes</v>
      </c>
      <c r="I8017" s="39" t="str">
        <f>E7973</f>
        <v>No</v>
      </c>
      <c r="J8017" s="39" t="str">
        <f>D7973</f>
        <v>Comparacion de Precios</v>
      </c>
    </row>
    <row r="8019" spans="1:10" ht="33.950000000000003" customHeight="1" x14ac:dyDescent="0.25">
      <c r="A8019" s="77" t="s">
        <v>17233</v>
      </c>
      <c r="B8019" s="77" t="s">
        <v>4237</v>
      </c>
      <c r="C8019" s="77" t="s">
        <v>4743</v>
      </c>
      <c r="D8019" s="77" t="s">
        <v>9891</v>
      </c>
      <c r="E8019" s="77" t="s">
        <v>3089</v>
      </c>
      <c r="F8019" s="77" t="s">
        <v>18141</v>
      </c>
    </row>
    <row r="8020" spans="1:10" ht="14.1" customHeight="1" x14ac:dyDescent="0.25">
      <c r="A8020" s="79" t="s">
        <v>14273</v>
      </c>
      <c r="B8020" s="79" t="s">
        <v>2182</v>
      </c>
      <c r="C8020" s="79" t="s">
        <v>17215</v>
      </c>
      <c r="D8020" s="79" t="s">
        <v>15249</v>
      </c>
      <c r="E8020" s="79" t="s">
        <v>18247</v>
      </c>
      <c r="F8020" s="79"/>
    </row>
    <row r="8021" spans="1:10" ht="14.1" customHeight="1" x14ac:dyDescent="0.25">
      <c r="A8021" s="2" t="s">
        <v>6643</v>
      </c>
      <c r="B8021" s="80" t="s">
        <v>1046</v>
      </c>
      <c r="C8021" s="90">
        <v>43647</v>
      </c>
      <c r="D8021" s="2" t="s">
        <v>59</v>
      </c>
      <c r="E8021" s="92" t="s">
        <v>20066</v>
      </c>
      <c r="F8021" s="93" t="s">
        <v>5684</v>
      </c>
    </row>
    <row r="8022" spans="1:10" ht="14.1" customHeight="1" x14ac:dyDescent="0.25">
      <c r="A8022" s="1"/>
      <c r="B8022" s="80" t="s">
        <v>10788</v>
      </c>
      <c r="C8022" s="91">
        <f>IF(C8021="","",IF(AND(MONTH(C8021)&gt;=1,MONTH(C8021)&lt;=3),1,IF(AND(MONTH(C8021)&gt;=4,MONTH(C8021)&lt;=6),2,IF(AND(MONTH(C8021)&gt;=7,MONTH(C8021)&lt;=9),3,4))))</f>
        <v>3</v>
      </c>
      <c r="D8022" s="1"/>
      <c r="E8022" s="92" t="s">
        <v>14822</v>
      </c>
      <c r="F8022" s="93"/>
    </row>
    <row r="8023" spans="1:10" ht="14.1" customHeight="1" x14ac:dyDescent="0.25">
      <c r="A8023" s="1"/>
      <c r="B8023" s="80" t="s">
        <v>13758</v>
      </c>
      <c r="C8023" s="90">
        <v>43738</v>
      </c>
      <c r="D8023" s="1"/>
      <c r="E8023" s="92" t="s">
        <v>18636</v>
      </c>
      <c r="F8023" s="93"/>
    </row>
    <row r="8024" spans="1:10" ht="14.1" customHeight="1" x14ac:dyDescent="0.25">
      <c r="A8024" s="1"/>
      <c r="B8024" s="80" t="s">
        <v>10788</v>
      </c>
      <c r="C8024" s="91">
        <f>IF(C8023="","",IF(AND(MONTH(C8023)&gt;=1,MONTH(C8023)&lt;=3),1,IF(AND(MONTH(C8023)&gt;=4,MONTH(C8023)&lt;=6),2,IF(AND(MONTH(C8023)&gt;=7,MONTH(C8023)&lt;=9),3,4))))</f>
        <v>3</v>
      </c>
      <c r="D8024" s="1"/>
      <c r="E8024" s="92" t="s">
        <v>15990</v>
      </c>
      <c r="F8024" s="93"/>
    </row>
    <row r="8026" spans="1:10" ht="14.1" customHeight="1" x14ac:dyDescent="0.25">
      <c r="A8026" s="85" t="s">
        <v>15474</v>
      </c>
      <c r="B8026" s="85" t="s">
        <v>5027</v>
      </c>
      <c r="C8026" s="85" t="s">
        <v>17461</v>
      </c>
      <c r="D8026" s="85" t="s">
        <v>3935</v>
      </c>
      <c r="E8026" s="85" t="s">
        <v>10722</v>
      </c>
      <c r="F8026" s="85" t="s">
        <v>18237</v>
      </c>
    </row>
    <row r="8027" spans="1:10" ht="14.1" customHeight="1" x14ac:dyDescent="0.25">
      <c r="A8027" s="94" t="s">
        <v>6266</v>
      </c>
      <c r="B8027" s="82" t="str">
        <f ca="1">IFERROR(INDEX(UNSPSCDes,MATCH(INDIRECT(ADDRESS(ROW(),COLUMN()-1,4)),UNSPSCCode,0)),IF(INDIRECT(ADDRESS(ROW(),COLUMN()-1,4))="30151701","Boquillas de bajantes",""))</f>
        <v>Boquillas de bajantes</v>
      </c>
      <c r="C8027" s="95" t="str">
        <f>IFERROR(VLOOKUP("UD",'Informacion '!P:Q,2,FALSE),"")</f>
        <v>Unidad</v>
      </c>
      <c r="D8027" s="94">
        <v>51</v>
      </c>
      <c r="E8027" s="84">
        <v>36</v>
      </c>
      <c r="F8027" s="83">
        <f t="shared" ref="F8027:F8058" ca="1" si="315">INDIRECT(ADDRESS(ROW(),COLUMN()-2,4))*INDIRECT(ADDRESS(ROW(),COLUMN()-1,4))</f>
        <v>1836</v>
      </c>
    </row>
    <row r="8028" spans="1:10" ht="14.1" customHeight="1" x14ac:dyDescent="0.25">
      <c r="A8028" s="94" t="s">
        <v>2647</v>
      </c>
      <c r="B8028" s="82" t="str">
        <f ca="1">IFERROR(INDEX(UNSPSCDes,MATCH(INDIRECT(ADDRESS(ROW(),COLUMN()-1,4)),UNSPSCCode,0)),IF(INDIRECT(ADDRESS(ROW(),COLUMN()-1,4))="44122116","Clips de bolsas",""))</f>
        <v>Clips de bolsas</v>
      </c>
      <c r="C8028" s="95" t="str">
        <f>IFERROR(VLOOKUP("UD",'Informacion '!P:Q,2,FALSE),"")</f>
        <v>Unidad</v>
      </c>
      <c r="D8028" s="94">
        <v>8</v>
      </c>
      <c r="E8028" s="84">
        <v>64</v>
      </c>
      <c r="F8028" s="83">
        <f t="shared" ca="1" si="315"/>
        <v>512</v>
      </c>
    </row>
    <row r="8029" spans="1:10" ht="14.1" customHeight="1" x14ac:dyDescent="0.25">
      <c r="A8029" s="94" t="s">
        <v>14138</v>
      </c>
      <c r="B8029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029" s="95" t="str">
        <f>IFERROR(VLOOKUP("UD",'Informacion '!P:Q,2,FALSE),"")</f>
        <v>Unidad</v>
      </c>
      <c r="D8029" s="94">
        <v>5</v>
      </c>
      <c r="E8029" s="84">
        <v>14.7</v>
      </c>
      <c r="F8029" s="83">
        <f t="shared" ca="1" si="315"/>
        <v>73.5</v>
      </c>
    </row>
    <row r="8030" spans="1:10" ht="14.1" customHeight="1" x14ac:dyDescent="0.25">
      <c r="A8030" s="94" t="s">
        <v>1865</v>
      </c>
      <c r="B8030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8030" s="95" t="str">
        <f>IFERROR(VLOOKUP("UD",'Informacion '!P:Q,2,FALSE),"")</f>
        <v>Unidad</v>
      </c>
      <c r="D8030" s="94">
        <v>3</v>
      </c>
      <c r="E8030" s="84">
        <v>27.71</v>
      </c>
      <c r="F8030" s="83">
        <f t="shared" ca="1" si="315"/>
        <v>83.13</v>
      </c>
    </row>
    <row r="8031" spans="1:10" ht="14.1" customHeight="1" x14ac:dyDescent="0.25">
      <c r="A8031" s="94" t="s">
        <v>2637</v>
      </c>
      <c r="B8031" s="82" t="str">
        <f ca="1">IFERROR(INDEX(UNSPSCDes,MATCH(INDIRECT(ADDRESS(ROW(),COLUMN()-1,4)),UNSPSCCode,0)),IF(INDIRECT(ADDRESS(ROW(),COLUMN()-1,4))="46182002","Respiradores",""))</f>
        <v>Respiradores</v>
      </c>
      <c r="C8031" s="95" t="str">
        <f>IFERROR(VLOOKUP("UD",'Informacion '!P:Q,2,FALSE),"")</f>
        <v>Unidad</v>
      </c>
      <c r="D8031" s="94">
        <v>21</v>
      </c>
      <c r="E8031" s="84">
        <v>150.29</v>
      </c>
      <c r="F8031" s="83">
        <f t="shared" ca="1" si="315"/>
        <v>3156.0899999999997</v>
      </c>
    </row>
    <row r="8032" spans="1:10" ht="14.1" customHeight="1" x14ac:dyDescent="0.25">
      <c r="A8032" s="94" t="s">
        <v>7589</v>
      </c>
      <c r="B8032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032" s="95" t="str">
        <f>IFERROR(VLOOKUP("UD",'Informacion '!P:Q,2,FALSE),"")</f>
        <v>Unidad</v>
      </c>
      <c r="D8032" s="94">
        <v>5</v>
      </c>
      <c r="E8032" s="84">
        <v>371.97</v>
      </c>
      <c r="F8032" s="83">
        <f t="shared" ca="1" si="315"/>
        <v>1859.8500000000001</v>
      </c>
    </row>
    <row r="8033" spans="1:6" ht="14.1" customHeight="1" x14ac:dyDescent="0.25">
      <c r="A8033" s="94" t="s">
        <v>435</v>
      </c>
      <c r="B803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033" s="95" t="str">
        <f>IFERROR(VLOOKUP("UD",'Informacion '!P:Q,2,FALSE),"")</f>
        <v>Unidad</v>
      </c>
      <c r="D8033" s="94">
        <v>4</v>
      </c>
      <c r="E8033" s="84">
        <v>2.92</v>
      </c>
      <c r="F8033" s="83">
        <f t="shared" ca="1" si="315"/>
        <v>11.68</v>
      </c>
    </row>
    <row r="8034" spans="1:6" ht="14.1" customHeight="1" x14ac:dyDescent="0.25">
      <c r="A8034" s="94" t="s">
        <v>4306</v>
      </c>
      <c r="B8034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8034" s="95" t="str">
        <f>IFERROR(VLOOKUP("UD",'Informacion '!P:Q,2,FALSE),"")</f>
        <v>Unidad</v>
      </c>
      <c r="D8034" s="94">
        <v>77</v>
      </c>
      <c r="E8034" s="84">
        <v>81.66</v>
      </c>
      <c r="F8034" s="83">
        <f t="shared" ca="1" si="315"/>
        <v>6287.82</v>
      </c>
    </row>
    <row r="8035" spans="1:6" ht="14.1" customHeight="1" x14ac:dyDescent="0.25">
      <c r="A8035" s="94" t="s">
        <v>10248</v>
      </c>
      <c r="B8035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035" s="95" t="str">
        <f>IFERROR(VLOOKUP("UD",'Informacion '!P:Q,2,FALSE),"")</f>
        <v>Unidad</v>
      </c>
      <c r="D8035" s="94">
        <v>3</v>
      </c>
      <c r="E8035" s="84">
        <v>450</v>
      </c>
      <c r="F8035" s="83">
        <f t="shared" ca="1" si="315"/>
        <v>1350</v>
      </c>
    </row>
    <row r="8036" spans="1:6" ht="14.1" customHeight="1" x14ac:dyDescent="0.25">
      <c r="A8036" s="94" t="s">
        <v>16391</v>
      </c>
      <c r="B8036" s="82" t="str">
        <f ca="1">IFERROR(INDEX(UNSPSCDes,MATCH(INDIRECT(ADDRESS(ROW(),COLUMN()-1,4)),UNSPSCCode,0)),IF(INDIRECT(ADDRESS(ROW(),COLUMN()-1,4))="42142615","Accesorios para jeringas",""))</f>
        <v>Accesorios para jeringas</v>
      </c>
      <c r="C8036" s="95" t="str">
        <f>IFERROR(VLOOKUP("UD",'Informacion '!P:Q,2,FALSE),"")</f>
        <v>Unidad</v>
      </c>
      <c r="D8036" s="94">
        <v>355</v>
      </c>
      <c r="E8036" s="84">
        <v>1.43</v>
      </c>
      <c r="F8036" s="83">
        <f t="shared" ca="1" si="315"/>
        <v>507.65</v>
      </c>
    </row>
    <row r="8037" spans="1:6" ht="14.1" customHeight="1" x14ac:dyDescent="0.25">
      <c r="A8037" s="94" t="s">
        <v>16391</v>
      </c>
      <c r="B8037" s="82" t="str">
        <f ca="1">IFERROR(INDEX(UNSPSCDes,MATCH(INDIRECT(ADDRESS(ROW(),COLUMN()-1,4)),UNSPSCCode,0)),IF(INDIRECT(ADDRESS(ROW(),COLUMN()-1,4))="42142615","Accesorios para jeringas",""))</f>
        <v>Accesorios para jeringas</v>
      </c>
      <c r="C8037" s="95" t="str">
        <f>IFERROR(VLOOKUP("UD",'Informacion '!P:Q,2,FALSE),"")</f>
        <v>Unidad</v>
      </c>
      <c r="D8037" s="94">
        <v>392</v>
      </c>
      <c r="E8037" s="84">
        <v>2.2999999999999998</v>
      </c>
      <c r="F8037" s="83">
        <f t="shared" ca="1" si="315"/>
        <v>901.59999999999991</v>
      </c>
    </row>
    <row r="8038" spans="1:6" ht="14.1" customHeight="1" x14ac:dyDescent="0.25">
      <c r="A8038" s="94" t="s">
        <v>6729</v>
      </c>
      <c r="B8038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038" s="95" t="str">
        <f>IFERROR(VLOOKUP("UD",'Informacion '!P:Q,2,FALSE),"")</f>
        <v>Unidad</v>
      </c>
      <c r="D8038" s="94">
        <v>10</v>
      </c>
      <c r="E8038" s="84">
        <v>283.89</v>
      </c>
      <c r="F8038" s="83">
        <f t="shared" ca="1" si="315"/>
        <v>2838.8999999999996</v>
      </c>
    </row>
    <row r="8039" spans="1:6" ht="14.1" customHeight="1" x14ac:dyDescent="0.25">
      <c r="A8039" s="94" t="s">
        <v>6729</v>
      </c>
      <c r="B8039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039" s="95" t="str">
        <f>IFERROR(VLOOKUP("UD",'Informacion '!P:Q,2,FALSE),"")</f>
        <v>Unidad</v>
      </c>
      <c r="D8039" s="94">
        <v>9</v>
      </c>
      <c r="E8039" s="84">
        <v>306.8</v>
      </c>
      <c r="F8039" s="83">
        <f t="shared" ca="1" si="315"/>
        <v>2761.2000000000003</v>
      </c>
    </row>
    <row r="8040" spans="1:6" ht="14.1" customHeight="1" x14ac:dyDescent="0.25">
      <c r="A8040" s="94" t="s">
        <v>1279</v>
      </c>
      <c r="B8040" s="82" t="str">
        <f ca="1">IFERROR(INDEX(UNSPSCDes,MATCH(INDIRECT(ADDRESS(ROW(),COLUMN()-1,4)),UNSPSCCode,0)),IF(INDIRECT(ADDRESS(ROW(),COLUMN()-1,4))="42231701","Tubos nasogástricos",""))</f>
        <v>Tubos nasogástricos</v>
      </c>
      <c r="C8040" s="95" t="str">
        <f>IFERROR(VLOOKUP("UD",'Informacion '!P:Q,2,FALSE),"")</f>
        <v>Unidad</v>
      </c>
      <c r="D8040" s="94">
        <v>4</v>
      </c>
      <c r="E8040" s="84">
        <v>11.39</v>
      </c>
      <c r="F8040" s="83">
        <f t="shared" ca="1" si="315"/>
        <v>45.56</v>
      </c>
    </row>
    <row r="8041" spans="1:6" ht="14.1" customHeight="1" x14ac:dyDescent="0.25">
      <c r="A8041" s="94" t="s">
        <v>1279</v>
      </c>
      <c r="B8041" s="82" t="str">
        <f ca="1">IFERROR(INDEX(UNSPSCDes,MATCH(INDIRECT(ADDRESS(ROW(),COLUMN()-1,4)),UNSPSCCode,0)),IF(INDIRECT(ADDRESS(ROW(),COLUMN()-1,4))="42231701","Tubos nasogástricos",""))</f>
        <v>Tubos nasogástricos</v>
      </c>
      <c r="C8041" s="95" t="str">
        <f>IFERROR(VLOOKUP("UD",'Informacion '!P:Q,2,FALSE),"")</f>
        <v>Unidad</v>
      </c>
      <c r="D8041" s="94">
        <v>15</v>
      </c>
      <c r="E8041" s="84">
        <v>39.28</v>
      </c>
      <c r="F8041" s="83">
        <f t="shared" ca="1" si="315"/>
        <v>589.20000000000005</v>
      </c>
    </row>
    <row r="8042" spans="1:6" ht="14.1" customHeight="1" x14ac:dyDescent="0.25">
      <c r="A8042" s="94" t="s">
        <v>1279</v>
      </c>
      <c r="B8042" s="82" t="str">
        <f ca="1">IFERROR(INDEX(UNSPSCDes,MATCH(INDIRECT(ADDRESS(ROW(),COLUMN()-1,4)),UNSPSCCode,0)),IF(INDIRECT(ADDRESS(ROW(),COLUMN()-1,4))="42231701","Tubos nasogástricos",""))</f>
        <v>Tubos nasogástricos</v>
      </c>
      <c r="C8042" s="95" t="str">
        <f>IFERROR(VLOOKUP("UD",'Informacion '!P:Q,2,FALSE),"")</f>
        <v>Unidad</v>
      </c>
      <c r="D8042" s="94">
        <v>3</v>
      </c>
      <c r="E8042" s="84">
        <v>37.409999999999997</v>
      </c>
      <c r="F8042" s="83">
        <f t="shared" ca="1" si="315"/>
        <v>112.22999999999999</v>
      </c>
    </row>
    <row r="8043" spans="1:6" ht="14.1" customHeight="1" x14ac:dyDescent="0.25">
      <c r="A8043" s="94" t="s">
        <v>12940</v>
      </c>
      <c r="B8043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8043" s="95" t="str">
        <f>IFERROR(VLOOKUP("UD",'Informacion '!P:Q,2,FALSE),"")</f>
        <v>Unidad</v>
      </c>
      <c r="D8043" s="94">
        <v>21</v>
      </c>
      <c r="E8043" s="84">
        <v>16</v>
      </c>
      <c r="F8043" s="83">
        <f t="shared" ca="1" si="315"/>
        <v>336</v>
      </c>
    </row>
    <row r="8044" spans="1:6" ht="14.1" customHeight="1" x14ac:dyDescent="0.25">
      <c r="A8044" s="94" t="s">
        <v>12940</v>
      </c>
      <c r="B8044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8044" s="95" t="str">
        <f>IFERROR(VLOOKUP("UD",'Informacion '!P:Q,2,FALSE),"")</f>
        <v>Unidad</v>
      </c>
      <c r="D8044" s="94">
        <v>9</v>
      </c>
      <c r="E8044" s="84">
        <v>16</v>
      </c>
      <c r="F8044" s="83">
        <f t="shared" ca="1" si="315"/>
        <v>144</v>
      </c>
    </row>
    <row r="8045" spans="1:6" ht="14.1" customHeight="1" x14ac:dyDescent="0.25">
      <c r="A8045" s="94" t="s">
        <v>14138</v>
      </c>
      <c r="B8045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045" s="95" t="str">
        <f>IFERROR(VLOOKUP("UD",'Informacion '!P:Q,2,FALSE),"")</f>
        <v>Unidad</v>
      </c>
      <c r="D8045" s="94">
        <v>3</v>
      </c>
      <c r="E8045" s="84">
        <v>59.91</v>
      </c>
      <c r="F8045" s="83">
        <f t="shared" ca="1" si="315"/>
        <v>179.73</v>
      </c>
    </row>
    <row r="8046" spans="1:6" ht="14.1" customHeight="1" x14ac:dyDescent="0.25">
      <c r="A8046" s="94" t="s">
        <v>18364</v>
      </c>
      <c r="B8046" s="82" t="str">
        <f ca="1">IFERROR(INDEX(UNSPSCDes,MATCH(INDIRECT(ADDRESS(ROW(),COLUMN()-1,4)),UNSPSCCode,0)),IF(INDIRECT(ADDRESS(ROW(),COLUMN()-1,4))="42171612","Camillas o accesorios redondas",""))</f>
        <v>Camillas o accesorios redondas</v>
      </c>
      <c r="C8046" s="95" t="str">
        <f>IFERROR(VLOOKUP("UD",'Informacion '!P:Q,2,FALSE),"")</f>
        <v>Unidad</v>
      </c>
      <c r="D8046" s="94">
        <v>95</v>
      </c>
      <c r="E8046" s="84">
        <v>123.9</v>
      </c>
      <c r="F8046" s="83">
        <f t="shared" ca="1" si="315"/>
        <v>11770.5</v>
      </c>
    </row>
    <row r="8047" spans="1:6" ht="14.1" customHeight="1" x14ac:dyDescent="0.25">
      <c r="A8047" s="94" t="s">
        <v>10483</v>
      </c>
      <c r="B804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047" s="95" t="str">
        <f>IFERROR(VLOOKUP("UD",'Informacion '!P:Q,2,FALSE),"")</f>
        <v>Unidad</v>
      </c>
      <c r="D8047" s="94">
        <v>7</v>
      </c>
      <c r="E8047" s="84">
        <v>2029.7</v>
      </c>
      <c r="F8047" s="83">
        <f t="shared" ca="1" si="315"/>
        <v>14207.9</v>
      </c>
    </row>
    <row r="8048" spans="1:6" ht="14.1" customHeight="1" x14ac:dyDescent="0.25">
      <c r="A8048" s="94" t="s">
        <v>6481</v>
      </c>
      <c r="B8048" s="82" t="str">
        <f ca="1">IFERROR(INDEX(UNSPSCDes,MATCH(INDIRECT(ADDRESS(ROW(),COLUMN()-1,4)),UNSPSCCode,0)),IF(INDIRECT(ADDRESS(ROW(),COLUMN()-1,4))="42293603","Sondas para uso quirúrgico",""))</f>
        <v>Sondas para uso quirúrgico</v>
      </c>
      <c r="C8048" s="95" t="str">
        <f>IFERROR(VLOOKUP("UD",'Informacion '!P:Q,2,FALSE),"")</f>
        <v>Unidad</v>
      </c>
      <c r="D8048" s="94">
        <v>9</v>
      </c>
      <c r="E8048" s="84">
        <v>49.36</v>
      </c>
      <c r="F8048" s="83">
        <f t="shared" ca="1" si="315"/>
        <v>444.24</v>
      </c>
    </row>
    <row r="8049" spans="1:6" ht="14.1" customHeight="1" x14ac:dyDescent="0.25">
      <c r="A8049" s="94" t="s">
        <v>6481</v>
      </c>
      <c r="B8049" s="82" t="str">
        <f ca="1">IFERROR(INDEX(UNSPSCDes,MATCH(INDIRECT(ADDRESS(ROW(),COLUMN()-1,4)),UNSPSCCode,0)),IF(INDIRECT(ADDRESS(ROW(),COLUMN()-1,4))="42293603","Sondas para uso quirúrgico",""))</f>
        <v>Sondas para uso quirúrgico</v>
      </c>
      <c r="C8049" s="95" t="str">
        <f>IFERROR(VLOOKUP("UD",'Informacion '!P:Q,2,FALSE),"")</f>
        <v>Unidad</v>
      </c>
      <c r="D8049" s="94">
        <v>4</v>
      </c>
      <c r="E8049" s="84">
        <v>65.849999999999994</v>
      </c>
      <c r="F8049" s="83">
        <f t="shared" ca="1" si="315"/>
        <v>263.39999999999998</v>
      </c>
    </row>
    <row r="8050" spans="1:6" ht="14.1" customHeight="1" x14ac:dyDescent="0.25">
      <c r="A8050" s="94" t="s">
        <v>6481</v>
      </c>
      <c r="B8050" s="82" t="str">
        <f ca="1">IFERROR(INDEX(UNSPSCDes,MATCH(INDIRECT(ADDRESS(ROW(),COLUMN()-1,4)),UNSPSCCode,0)),IF(INDIRECT(ADDRESS(ROW(),COLUMN()-1,4))="42293603","Sondas para uso quirúrgico",""))</f>
        <v>Sondas para uso quirúrgico</v>
      </c>
      <c r="C8050" s="95" t="str">
        <f>IFERROR(VLOOKUP("UD",'Informacion '!P:Q,2,FALSE),"")</f>
        <v>Unidad</v>
      </c>
      <c r="D8050" s="94">
        <v>3</v>
      </c>
      <c r="E8050" s="84">
        <v>37.17</v>
      </c>
      <c r="F8050" s="83">
        <f t="shared" ca="1" si="315"/>
        <v>111.51</v>
      </c>
    </row>
    <row r="8051" spans="1:6" ht="14.1" customHeight="1" x14ac:dyDescent="0.25">
      <c r="A8051" s="94" t="s">
        <v>6481</v>
      </c>
      <c r="B8051" s="82" t="str">
        <f ca="1">IFERROR(INDEX(UNSPSCDes,MATCH(INDIRECT(ADDRESS(ROW(),COLUMN()-1,4)),UNSPSCCode,0)),IF(INDIRECT(ADDRESS(ROW(),COLUMN()-1,4))="42293603","Sondas para uso quirúrgico",""))</f>
        <v>Sondas para uso quirúrgico</v>
      </c>
      <c r="C8051" s="95" t="str">
        <f>IFERROR(VLOOKUP("UD",'Informacion '!P:Q,2,FALSE),"")</f>
        <v>Unidad</v>
      </c>
      <c r="D8051" s="94">
        <v>4</v>
      </c>
      <c r="E8051" s="84">
        <v>43.69</v>
      </c>
      <c r="F8051" s="83">
        <f t="shared" ca="1" si="315"/>
        <v>174.76</v>
      </c>
    </row>
    <row r="8052" spans="1:6" ht="14.1" customHeight="1" x14ac:dyDescent="0.25">
      <c r="A8052" s="94" t="s">
        <v>6481</v>
      </c>
      <c r="B8052" s="82" t="str">
        <f ca="1">IFERROR(INDEX(UNSPSCDes,MATCH(INDIRECT(ADDRESS(ROW(),COLUMN()-1,4)),UNSPSCCode,0)),IF(INDIRECT(ADDRESS(ROW(),COLUMN()-1,4))="42293603","Sondas para uso quirúrgico",""))</f>
        <v>Sondas para uso quirúrgico</v>
      </c>
      <c r="C8052" s="95" t="str">
        <f>IFERROR(VLOOKUP("UD",'Informacion '!P:Q,2,FALSE),"")</f>
        <v>Unidad</v>
      </c>
      <c r="D8052" s="94">
        <v>22</v>
      </c>
      <c r="E8052" s="84">
        <v>65.849999999999994</v>
      </c>
      <c r="F8052" s="83">
        <f t="shared" ca="1" si="315"/>
        <v>1448.6999999999998</v>
      </c>
    </row>
    <row r="8053" spans="1:6" ht="14.1" customHeight="1" x14ac:dyDescent="0.25">
      <c r="A8053" s="94" t="s">
        <v>12909</v>
      </c>
      <c r="B8053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053" s="95" t="str">
        <f>IFERROR(VLOOKUP("UD",'Informacion '!P:Q,2,FALSE),"")</f>
        <v>Unidad</v>
      </c>
      <c r="D8053" s="94">
        <v>14</v>
      </c>
      <c r="E8053" s="84">
        <v>95.29</v>
      </c>
      <c r="F8053" s="83">
        <f t="shared" ca="1" si="315"/>
        <v>1334.0600000000002</v>
      </c>
    </row>
    <row r="8054" spans="1:6" ht="14.1" customHeight="1" x14ac:dyDescent="0.25">
      <c r="A8054" s="94" t="s">
        <v>12909</v>
      </c>
      <c r="B8054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054" s="95" t="str">
        <f>IFERROR(VLOOKUP("UD",'Informacion '!P:Q,2,FALSE),"")</f>
        <v>Unidad</v>
      </c>
      <c r="D8054" s="94">
        <v>69</v>
      </c>
      <c r="E8054" s="84">
        <v>335.94</v>
      </c>
      <c r="F8054" s="83">
        <f t="shared" ca="1" si="315"/>
        <v>23179.86</v>
      </c>
    </row>
    <row r="8055" spans="1:6" ht="14.1" customHeight="1" x14ac:dyDescent="0.25">
      <c r="A8055" s="94" t="s">
        <v>3216</v>
      </c>
      <c r="B8055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8055" s="95" t="str">
        <f>IFERROR(VLOOKUP("UD",'Informacion '!P:Q,2,FALSE),"")</f>
        <v>Unidad</v>
      </c>
      <c r="D8055" s="94">
        <v>8</v>
      </c>
      <c r="E8055" s="84">
        <v>22.5</v>
      </c>
      <c r="F8055" s="83">
        <f t="shared" ca="1" si="315"/>
        <v>180</v>
      </c>
    </row>
    <row r="8056" spans="1:6" ht="14.1" customHeight="1" x14ac:dyDescent="0.25">
      <c r="A8056" s="94" t="s">
        <v>3593</v>
      </c>
      <c r="B8056" s="82" t="str">
        <f ca="1">IFERROR(INDEX(UNSPSCDes,MATCH(INDIRECT(ADDRESS(ROW(),COLUMN()-1,4)),UNSPSCCode,0)),IF(INDIRECT(ADDRESS(ROW(),COLUMN()-1,4))="51181506","Insulina",""))</f>
        <v>Insulina</v>
      </c>
      <c r="C8056" s="95" t="str">
        <f>IFERROR(VLOOKUP("UD",'Informacion '!P:Q,2,FALSE),"")</f>
        <v>Unidad</v>
      </c>
      <c r="D8056" s="94">
        <v>8</v>
      </c>
      <c r="E8056" s="84">
        <v>17.29</v>
      </c>
      <c r="F8056" s="83">
        <f t="shared" ca="1" si="315"/>
        <v>138.32</v>
      </c>
    </row>
    <row r="8057" spans="1:6" ht="14.1" customHeight="1" x14ac:dyDescent="0.25">
      <c r="A8057" s="94" t="s">
        <v>14660</v>
      </c>
      <c r="B8057" s="82" t="str">
        <f ca="1">IFERROR(INDEX(UNSPSCDes,MATCH(INDIRECT(ADDRESS(ROW(),COLUMN()-1,4)),UNSPSCCode,0)),IF(INDIRECT(ADDRESS(ROW(),COLUMN()-1,4))="42311526","Vendajes de",""))</f>
        <v>Vendajes de</v>
      </c>
      <c r="C8057" s="95" t="str">
        <f>IFERROR(VLOOKUP("UD",'Informacion '!P:Q,2,FALSE),"")</f>
        <v>Unidad</v>
      </c>
      <c r="D8057" s="94">
        <v>53</v>
      </c>
      <c r="E8057" s="84">
        <v>52</v>
      </c>
      <c r="F8057" s="83">
        <f t="shared" ca="1" si="315"/>
        <v>2756</v>
      </c>
    </row>
    <row r="8058" spans="1:6" ht="14.1" customHeight="1" x14ac:dyDescent="0.25">
      <c r="A8058" s="94" t="s">
        <v>1279</v>
      </c>
      <c r="B8058" s="82" t="str">
        <f ca="1">IFERROR(INDEX(UNSPSCDes,MATCH(INDIRECT(ADDRESS(ROW(),COLUMN()-1,4)),UNSPSCCode,0)),IF(INDIRECT(ADDRESS(ROW(),COLUMN()-1,4))="42231701","Tubos nasogástricos",""))</f>
        <v>Tubos nasogástricos</v>
      </c>
      <c r="C8058" s="95" t="str">
        <f>IFERROR(VLOOKUP("UD",'Informacion '!P:Q,2,FALSE),"")</f>
        <v>Unidad</v>
      </c>
      <c r="D8058" s="94">
        <v>4</v>
      </c>
      <c r="E8058" s="84">
        <v>8.9700000000000006</v>
      </c>
      <c r="F8058" s="83">
        <f t="shared" ca="1" si="315"/>
        <v>35.880000000000003</v>
      </c>
    </row>
    <row r="8059" spans="1:6" ht="14.1" customHeight="1" x14ac:dyDescent="0.25">
      <c r="A8059" s="94" t="s">
        <v>7820</v>
      </c>
      <c r="B8059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059" s="95" t="str">
        <f>IFERROR(VLOOKUP("UD",'Informacion '!P:Q,2,FALSE),"")</f>
        <v>Unidad</v>
      </c>
      <c r="D8059" s="94">
        <v>5</v>
      </c>
      <c r="E8059" s="84">
        <v>152.91999999999999</v>
      </c>
      <c r="F8059" s="83">
        <f t="shared" ref="F8059:F8090" ca="1" si="316">INDIRECT(ADDRESS(ROW(),COLUMN()-2,4))*INDIRECT(ADDRESS(ROW(),COLUMN()-1,4))</f>
        <v>764.59999999999991</v>
      </c>
    </row>
    <row r="8060" spans="1:6" ht="14.1" customHeight="1" x14ac:dyDescent="0.25">
      <c r="A8060" s="94" t="s">
        <v>12940</v>
      </c>
      <c r="B8060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8060" s="95" t="str">
        <f>IFERROR(VLOOKUP("UD",'Informacion '!P:Q,2,FALSE),"")</f>
        <v>Unidad</v>
      </c>
      <c r="D8060" s="94">
        <v>6</v>
      </c>
      <c r="E8060" s="84">
        <v>16</v>
      </c>
      <c r="F8060" s="83">
        <f t="shared" ca="1" si="316"/>
        <v>96</v>
      </c>
    </row>
    <row r="8061" spans="1:6" ht="14.1" customHeight="1" x14ac:dyDescent="0.25">
      <c r="A8061" s="94" t="s">
        <v>16391</v>
      </c>
      <c r="B8061" s="82" t="str">
        <f ca="1">IFERROR(INDEX(UNSPSCDes,MATCH(INDIRECT(ADDRESS(ROW(),COLUMN()-1,4)),UNSPSCCode,0)),IF(INDIRECT(ADDRESS(ROW(),COLUMN()-1,4))="42142615","Accesorios para jeringas",""))</f>
        <v>Accesorios para jeringas</v>
      </c>
      <c r="C8061" s="95" t="str">
        <f>IFERROR(VLOOKUP("UD",'Informacion '!P:Q,2,FALSE),"")</f>
        <v>Unidad</v>
      </c>
      <c r="D8061" s="94">
        <v>7</v>
      </c>
      <c r="E8061" s="84">
        <v>2.7</v>
      </c>
      <c r="F8061" s="83">
        <f t="shared" ca="1" si="316"/>
        <v>18.900000000000002</v>
      </c>
    </row>
    <row r="8062" spans="1:6" ht="14.1" customHeight="1" x14ac:dyDescent="0.25">
      <c r="A8062" s="94" t="s">
        <v>1279</v>
      </c>
      <c r="B8062" s="82" t="str">
        <f ca="1">IFERROR(INDEX(UNSPSCDes,MATCH(INDIRECT(ADDRESS(ROW(),COLUMN()-1,4)),UNSPSCCode,0)),IF(INDIRECT(ADDRESS(ROW(),COLUMN()-1,4))="42231701","Tubos nasogástricos",""))</f>
        <v>Tubos nasogástricos</v>
      </c>
      <c r="C8062" s="95" t="str">
        <f>IFERROR(VLOOKUP("UD",'Informacion '!P:Q,2,FALSE),"")</f>
        <v>Unidad</v>
      </c>
      <c r="D8062" s="94">
        <v>3</v>
      </c>
      <c r="E8062" s="84">
        <v>4.5</v>
      </c>
      <c r="F8062" s="83">
        <f t="shared" ca="1" si="316"/>
        <v>13.5</v>
      </c>
    </row>
    <row r="8063" spans="1:6" ht="14.1" customHeight="1" x14ac:dyDescent="0.25">
      <c r="A8063" s="94" t="s">
        <v>1279</v>
      </c>
      <c r="B8063" s="82" t="str">
        <f ca="1">IFERROR(INDEX(UNSPSCDes,MATCH(INDIRECT(ADDRESS(ROW(),COLUMN()-1,4)),UNSPSCCode,0)),IF(INDIRECT(ADDRESS(ROW(),COLUMN()-1,4))="42231701","Tubos nasogástricos",""))</f>
        <v>Tubos nasogástricos</v>
      </c>
      <c r="C8063" s="95" t="str">
        <f>IFERROR(VLOOKUP("UD",'Informacion '!P:Q,2,FALSE),"")</f>
        <v>Unidad</v>
      </c>
      <c r="D8063" s="94">
        <v>3</v>
      </c>
      <c r="E8063" s="84">
        <v>10.62</v>
      </c>
      <c r="F8063" s="83">
        <f t="shared" ca="1" si="316"/>
        <v>31.86</v>
      </c>
    </row>
    <row r="8064" spans="1:6" ht="14.1" customHeight="1" x14ac:dyDescent="0.25">
      <c r="A8064" s="94" t="s">
        <v>1279</v>
      </c>
      <c r="B8064" s="82" t="str">
        <f ca="1">IFERROR(INDEX(UNSPSCDes,MATCH(INDIRECT(ADDRESS(ROW(),COLUMN()-1,4)),UNSPSCCode,0)),IF(INDIRECT(ADDRESS(ROW(),COLUMN()-1,4))="42231701","Tubos nasogástricos",""))</f>
        <v>Tubos nasogástricos</v>
      </c>
      <c r="C8064" s="95" t="str">
        <f>IFERROR(VLOOKUP("UD",'Informacion '!P:Q,2,FALSE),"")</f>
        <v>Unidad</v>
      </c>
      <c r="D8064" s="94">
        <v>3</v>
      </c>
      <c r="E8064" s="84">
        <v>46</v>
      </c>
      <c r="F8064" s="83">
        <f t="shared" ca="1" si="316"/>
        <v>138</v>
      </c>
    </row>
    <row r="8065" spans="1:6" ht="14.1" customHeight="1" x14ac:dyDescent="0.25">
      <c r="A8065" s="94" t="s">
        <v>12909</v>
      </c>
      <c r="B806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065" s="95" t="str">
        <f>IFERROR(VLOOKUP("UD",'Informacion '!P:Q,2,FALSE),"")</f>
        <v>Unidad</v>
      </c>
      <c r="D8065" s="94">
        <v>42</v>
      </c>
      <c r="E8065" s="84">
        <v>126.69</v>
      </c>
      <c r="F8065" s="83">
        <f t="shared" ca="1" si="316"/>
        <v>5320.98</v>
      </c>
    </row>
    <row r="8066" spans="1:6" ht="14.1" customHeight="1" x14ac:dyDescent="0.25">
      <c r="A8066" s="94" t="s">
        <v>16391</v>
      </c>
      <c r="B8066" s="82" t="str">
        <f ca="1">IFERROR(INDEX(UNSPSCDes,MATCH(INDIRECT(ADDRESS(ROW(),COLUMN()-1,4)),UNSPSCCode,0)),IF(INDIRECT(ADDRESS(ROW(),COLUMN()-1,4))="42142615","Accesorios para jeringas",""))</f>
        <v>Accesorios para jeringas</v>
      </c>
      <c r="C8066" s="95" t="str">
        <f>IFERROR(VLOOKUP("UD",'Informacion '!P:Q,2,FALSE),"")</f>
        <v>Unidad</v>
      </c>
      <c r="D8066" s="94">
        <v>30</v>
      </c>
      <c r="E8066" s="84">
        <v>16.54</v>
      </c>
      <c r="F8066" s="83">
        <f t="shared" ca="1" si="316"/>
        <v>496.2</v>
      </c>
    </row>
    <row r="8067" spans="1:6" ht="14.1" customHeight="1" x14ac:dyDescent="0.25">
      <c r="A8067" s="94" t="s">
        <v>6481</v>
      </c>
      <c r="B8067" s="82" t="str">
        <f ca="1">IFERROR(INDEX(UNSPSCDes,MATCH(INDIRECT(ADDRESS(ROW(),COLUMN()-1,4)),UNSPSCCode,0)),IF(INDIRECT(ADDRESS(ROW(),COLUMN()-1,4))="42293603","Sondas para uso quirúrgico",""))</f>
        <v>Sondas para uso quirúrgico</v>
      </c>
      <c r="C8067" s="95" t="str">
        <f>IFERROR(VLOOKUP("UD",'Informacion '!P:Q,2,FALSE),"")</f>
        <v>Unidad</v>
      </c>
      <c r="D8067" s="94">
        <v>11</v>
      </c>
      <c r="E8067" s="84">
        <v>60.5</v>
      </c>
      <c r="F8067" s="83">
        <f t="shared" ca="1" si="316"/>
        <v>665.5</v>
      </c>
    </row>
    <row r="8068" spans="1:6" ht="14.1" customHeight="1" x14ac:dyDescent="0.25">
      <c r="A8068" s="94" t="s">
        <v>1279</v>
      </c>
      <c r="B8068" s="82" t="str">
        <f ca="1">IFERROR(INDEX(UNSPSCDes,MATCH(INDIRECT(ADDRESS(ROW(),COLUMN()-1,4)),UNSPSCCode,0)),IF(INDIRECT(ADDRESS(ROW(),COLUMN()-1,4))="42231701","Tubos nasogástricos",""))</f>
        <v>Tubos nasogástricos</v>
      </c>
      <c r="C8068" s="95" t="str">
        <f>IFERROR(VLOOKUP("UD",'Informacion '!P:Q,2,FALSE),"")</f>
        <v>Unidad</v>
      </c>
      <c r="D8068" s="94">
        <v>8</v>
      </c>
      <c r="E8068" s="84">
        <v>20.059999999999999</v>
      </c>
      <c r="F8068" s="83">
        <f t="shared" ca="1" si="316"/>
        <v>160.47999999999999</v>
      </c>
    </row>
    <row r="8069" spans="1:6" ht="14.1" customHeight="1" x14ac:dyDescent="0.25">
      <c r="A8069" s="94" t="s">
        <v>1279</v>
      </c>
      <c r="B8069" s="82" t="str">
        <f ca="1">IFERROR(INDEX(UNSPSCDes,MATCH(INDIRECT(ADDRESS(ROW(),COLUMN()-1,4)),UNSPSCCode,0)),IF(INDIRECT(ADDRESS(ROW(),COLUMN()-1,4))="42231701","Tubos nasogástricos",""))</f>
        <v>Tubos nasogástricos</v>
      </c>
      <c r="C8069" s="95" t="str">
        <f>IFERROR(VLOOKUP("UD",'Informacion '!P:Q,2,FALSE),"")</f>
        <v>Unidad</v>
      </c>
      <c r="D8069" s="94">
        <v>17</v>
      </c>
      <c r="E8069" s="84">
        <v>14.89</v>
      </c>
      <c r="F8069" s="83">
        <f t="shared" ca="1" si="316"/>
        <v>253.13</v>
      </c>
    </row>
    <row r="8070" spans="1:6" ht="14.1" customHeight="1" x14ac:dyDescent="0.25">
      <c r="A8070" s="94" t="s">
        <v>6481</v>
      </c>
      <c r="B8070" s="82" t="str">
        <f ca="1">IFERROR(INDEX(UNSPSCDes,MATCH(INDIRECT(ADDRESS(ROW(),COLUMN()-1,4)),UNSPSCCode,0)),IF(INDIRECT(ADDRESS(ROW(),COLUMN()-1,4))="42293603","Sondas para uso quirúrgico",""))</f>
        <v>Sondas para uso quirúrgico</v>
      </c>
      <c r="C8070" s="95" t="str">
        <f>IFERROR(VLOOKUP("UD",'Informacion '!P:Q,2,FALSE),"")</f>
        <v>Unidad</v>
      </c>
      <c r="D8070" s="94">
        <v>3</v>
      </c>
      <c r="E8070" s="84">
        <v>4.57</v>
      </c>
      <c r="F8070" s="83">
        <f t="shared" ca="1" si="316"/>
        <v>13.71</v>
      </c>
    </row>
    <row r="8071" spans="1:6" ht="14.1" customHeight="1" x14ac:dyDescent="0.25">
      <c r="A8071" s="94" t="s">
        <v>6481</v>
      </c>
      <c r="B8071" s="82" t="str">
        <f ca="1">IFERROR(INDEX(UNSPSCDes,MATCH(INDIRECT(ADDRESS(ROW(),COLUMN()-1,4)),UNSPSCCode,0)),IF(INDIRECT(ADDRESS(ROW(),COLUMN()-1,4))="42293603","Sondas para uso quirúrgico",""))</f>
        <v>Sondas para uso quirúrgico</v>
      </c>
      <c r="C8071" s="95" t="str">
        <f>IFERROR(VLOOKUP("UD",'Informacion '!P:Q,2,FALSE),"")</f>
        <v>Unidad</v>
      </c>
      <c r="D8071" s="94">
        <v>3</v>
      </c>
      <c r="E8071" s="84">
        <v>9.23</v>
      </c>
      <c r="F8071" s="83">
        <f t="shared" ca="1" si="316"/>
        <v>27.69</v>
      </c>
    </row>
    <row r="8072" spans="1:6" ht="14.1" customHeight="1" x14ac:dyDescent="0.25">
      <c r="A8072" s="94" t="s">
        <v>6481</v>
      </c>
      <c r="B8072" s="82" t="str">
        <f ca="1">IFERROR(INDEX(UNSPSCDes,MATCH(INDIRECT(ADDRESS(ROW(),COLUMN()-1,4)),UNSPSCCode,0)),IF(INDIRECT(ADDRESS(ROW(),COLUMN()-1,4))="42293603","Sondas para uso quirúrgico",""))</f>
        <v>Sondas para uso quirúrgico</v>
      </c>
      <c r="C8072" s="95" t="str">
        <f>IFERROR(VLOOKUP("UD",'Informacion '!P:Q,2,FALSE),"")</f>
        <v>Unidad</v>
      </c>
      <c r="D8072" s="94">
        <v>7</v>
      </c>
      <c r="E8072" s="84">
        <v>9.08</v>
      </c>
      <c r="F8072" s="83">
        <f t="shared" ca="1" si="316"/>
        <v>63.56</v>
      </c>
    </row>
    <row r="8073" spans="1:6" ht="14.1" customHeight="1" x14ac:dyDescent="0.25">
      <c r="A8073" s="94" t="s">
        <v>7820</v>
      </c>
      <c r="B8073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073" s="95" t="str">
        <f>IFERROR(VLOOKUP("UD",'Informacion '!P:Q,2,FALSE),"")</f>
        <v>Unidad</v>
      </c>
      <c r="D8073" s="94">
        <v>41</v>
      </c>
      <c r="E8073" s="84">
        <v>185.6</v>
      </c>
      <c r="F8073" s="83">
        <f t="shared" ca="1" si="316"/>
        <v>7609.5999999999995</v>
      </c>
    </row>
    <row r="8074" spans="1:6" ht="14.1" customHeight="1" x14ac:dyDescent="0.25">
      <c r="A8074" s="94" t="s">
        <v>10494</v>
      </c>
      <c r="B8074" s="82" t="str">
        <f ca="1">IFERROR(INDEX(UNSPSCDes,MATCH(INDIRECT(ADDRESS(ROW(),COLUMN()-1,4)),UNSPSCCode,0)),IF(INDIRECT(ADDRESS(ROW(),COLUMN()-1,4))="56101533","Descansa brazos",""))</f>
        <v>Descansa brazos</v>
      </c>
      <c r="C8074" s="95" t="str">
        <f>IFERROR(VLOOKUP("UD",'Informacion '!P:Q,2,FALSE),"")</f>
        <v>Unidad</v>
      </c>
      <c r="D8074" s="94">
        <v>3</v>
      </c>
      <c r="E8074" s="84">
        <v>32.75</v>
      </c>
      <c r="F8074" s="83">
        <f t="shared" ca="1" si="316"/>
        <v>98.25</v>
      </c>
    </row>
    <row r="8075" spans="1:6" ht="14.1" customHeight="1" x14ac:dyDescent="0.25">
      <c r="A8075" s="94" t="s">
        <v>6120</v>
      </c>
      <c r="B8075" s="82" t="str">
        <f ca="1">IFERROR(INDEX(UNSPSCDes,MATCH(INDIRECT(ADDRESS(ROW(),COLUMN()-1,4)),UNSPSCCode,0)),IF(INDIRECT(ADDRESS(ROW(),COLUMN()-1,4))="44121634","Rollos adhesivos",""))</f>
        <v>Rollos adhesivos</v>
      </c>
      <c r="C8075" s="95" t="str">
        <f>IFERROR(VLOOKUP("UD",'Informacion '!P:Q,2,FALSE),"")</f>
        <v>Unidad</v>
      </c>
      <c r="D8075" s="94">
        <v>42</v>
      </c>
      <c r="E8075" s="84">
        <v>80</v>
      </c>
      <c r="F8075" s="83">
        <f t="shared" ca="1" si="316"/>
        <v>3360</v>
      </c>
    </row>
    <row r="8076" spans="1:6" ht="14.1" customHeight="1" x14ac:dyDescent="0.25">
      <c r="A8076" s="94" t="s">
        <v>7589</v>
      </c>
      <c r="B8076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076" s="95" t="str">
        <f>IFERROR(VLOOKUP("UD",'Informacion '!P:Q,2,FALSE),"")</f>
        <v>Unidad</v>
      </c>
      <c r="D8076" s="94">
        <v>10</v>
      </c>
      <c r="E8076" s="84">
        <v>496.29</v>
      </c>
      <c r="F8076" s="83">
        <f t="shared" ca="1" si="316"/>
        <v>4962.9000000000005</v>
      </c>
    </row>
    <row r="8077" spans="1:6" ht="14.1" customHeight="1" x14ac:dyDescent="0.25">
      <c r="A8077" s="94" t="s">
        <v>7589</v>
      </c>
      <c r="B8077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077" s="95" t="str">
        <f>IFERROR(VLOOKUP("UD",'Informacion '!P:Q,2,FALSE),"")</f>
        <v>Unidad</v>
      </c>
      <c r="D8077" s="94">
        <v>4</v>
      </c>
      <c r="E8077" s="84">
        <v>388.72</v>
      </c>
      <c r="F8077" s="83">
        <f t="shared" ca="1" si="316"/>
        <v>1554.88</v>
      </c>
    </row>
    <row r="8078" spans="1:6" ht="14.1" customHeight="1" x14ac:dyDescent="0.25">
      <c r="A8078" s="94" t="s">
        <v>1279</v>
      </c>
      <c r="B8078" s="82" t="str">
        <f ca="1">IFERROR(INDEX(UNSPSCDes,MATCH(INDIRECT(ADDRESS(ROW(),COLUMN()-1,4)),UNSPSCCode,0)),IF(INDIRECT(ADDRESS(ROW(),COLUMN()-1,4))="42231701","Tubos nasogástricos",""))</f>
        <v>Tubos nasogástricos</v>
      </c>
      <c r="C8078" s="95" t="str">
        <f>IFERROR(VLOOKUP("UD",'Informacion '!P:Q,2,FALSE),"")</f>
        <v>Unidad</v>
      </c>
      <c r="D8078" s="94">
        <v>16</v>
      </c>
      <c r="E8078" s="84">
        <v>8.4600000000000009</v>
      </c>
      <c r="F8078" s="83">
        <f t="shared" ca="1" si="316"/>
        <v>135.36000000000001</v>
      </c>
    </row>
    <row r="8079" spans="1:6" ht="14.1" customHeight="1" x14ac:dyDescent="0.25">
      <c r="A8079" s="94" t="s">
        <v>16391</v>
      </c>
      <c r="B8079" s="82" t="str">
        <f ca="1">IFERROR(INDEX(UNSPSCDes,MATCH(INDIRECT(ADDRESS(ROW(),COLUMN()-1,4)),UNSPSCCode,0)),IF(INDIRECT(ADDRESS(ROW(),COLUMN()-1,4))="42142615","Accesorios para jeringas",""))</f>
        <v>Accesorios para jeringas</v>
      </c>
      <c r="C8079" s="95" t="str">
        <f>IFERROR(VLOOKUP("UD",'Informacion '!P:Q,2,FALSE),"")</f>
        <v>Unidad</v>
      </c>
      <c r="D8079" s="94">
        <v>4</v>
      </c>
      <c r="E8079" s="84">
        <v>24</v>
      </c>
      <c r="F8079" s="83">
        <f t="shared" ca="1" si="316"/>
        <v>96</v>
      </c>
    </row>
    <row r="8080" spans="1:6" ht="14.1" customHeight="1" x14ac:dyDescent="0.25">
      <c r="A8080" s="94" t="s">
        <v>7595</v>
      </c>
      <c r="B8080" s="82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8080" s="95" t="str">
        <f>IFERROR(VLOOKUP("UD",'Informacion '!P:Q,2,FALSE),"")</f>
        <v>Unidad</v>
      </c>
      <c r="D8080" s="94">
        <v>14</v>
      </c>
      <c r="E8080" s="84">
        <v>1595.75</v>
      </c>
      <c r="F8080" s="83">
        <f t="shared" ca="1" si="316"/>
        <v>22340.5</v>
      </c>
    </row>
    <row r="8081" spans="1:6" ht="14.1" customHeight="1" x14ac:dyDescent="0.25">
      <c r="A8081" s="94" t="s">
        <v>435</v>
      </c>
      <c r="B808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081" s="95" t="str">
        <f>IFERROR(VLOOKUP("UD",'Informacion '!P:Q,2,FALSE),"")</f>
        <v>Unidad</v>
      </c>
      <c r="D8081" s="94">
        <v>137</v>
      </c>
      <c r="E8081" s="84">
        <v>3</v>
      </c>
      <c r="F8081" s="83">
        <f t="shared" ca="1" si="316"/>
        <v>411</v>
      </c>
    </row>
    <row r="8082" spans="1:6" ht="14.1" customHeight="1" x14ac:dyDescent="0.25">
      <c r="A8082" s="94" t="s">
        <v>12909</v>
      </c>
      <c r="B8082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082" s="95" t="str">
        <f>IFERROR(VLOOKUP("UD",'Informacion '!P:Q,2,FALSE),"")</f>
        <v>Unidad</v>
      </c>
      <c r="D8082" s="94">
        <v>15</v>
      </c>
      <c r="E8082" s="84">
        <v>358.74</v>
      </c>
      <c r="F8082" s="83">
        <f t="shared" ca="1" si="316"/>
        <v>5381.1</v>
      </c>
    </row>
    <row r="8083" spans="1:6" ht="14.1" customHeight="1" x14ac:dyDescent="0.25">
      <c r="A8083" s="94" t="s">
        <v>16391</v>
      </c>
      <c r="B8083" s="82" t="str">
        <f ca="1">IFERROR(INDEX(UNSPSCDes,MATCH(INDIRECT(ADDRESS(ROW(),COLUMN()-1,4)),UNSPSCCode,0)),IF(INDIRECT(ADDRESS(ROW(),COLUMN()-1,4))="42142615","Accesorios para jeringas",""))</f>
        <v>Accesorios para jeringas</v>
      </c>
      <c r="C8083" s="95" t="str">
        <f>IFERROR(VLOOKUP("UD",'Informacion '!P:Q,2,FALSE),"")</f>
        <v>Unidad</v>
      </c>
      <c r="D8083" s="94">
        <v>6</v>
      </c>
      <c r="E8083" s="84">
        <v>2.7</v>
      </c>
      <c r="F8083" s="83">
        <f t="shared" ca="1" si="316"/>
        <v>16.200000000000003</v>
      </c>
    </row>
    <row r="8084" spans="1:6" ht="14.1" customHeight="1" x14ac:dyDescent="0.25">
      <c r="A8084" s="94" t="s">
        <v>16391</v>
      </c>
      <c r="B8084" s="82" t="str">
        <f ca="1">IFERROR(INDEX(UNSPSCDes,MATCH(INDIRECT(ADDRESS(ROW(),COLUMN()-1,4)),UNSPSCCode,0)),IF(INDIRECT(ADDRESS(ROW(),COLUMN()-1,4))="42142615","Accesorios para jeringas",""))</f>
        <v>Accesorios para jeringas</v>
      </c>
      <c r="C8084" s="95" t="str">
        <f>IFERROR(VLOOKUP("UD",'Informacion '!P:Q,2,FALSE),"")</f>
        <v>Unidad</v>
      </c>
      <c r="D8084" s="94">
        <v>2182</v>
      </c>
      <c r="E8084" s="84">
        <v>1.5</v>
      </c>
      <c r="F8084" s="83">
        <f t="shared" ca="1" si="316"/>
        <v>3273</v>
      </c>
    </row>
    <row r="8085" spans="1:6" ht="14.1" customHeight="1" x14ac:dyDescent="0.25">
      <c r="A8085" s="94" t="s">
        <v>1865</v>
      </c>
      <c r="B8085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8085" s="95" t="str">
        <f>IFERROR(VLOOKUP("UD",'Informacion '!P:Q,2,FALSE),"")</f>
        <v>Unidad</v>
      </c>
      <c r="D8085" s="94">
        <v>1088</v>
      </c>
      <c r="E8085" s="84">
        <v>14</v>
      </c>
      <c r="F8085" s="83">
        <f t="shared" ca="1" si="316"/>
        <v>15232</v>
      </c>
    </row>
    <row r="8086" spans="1:6" ht="14.1" customHeight="1" x14ac:dyDescent="0.25">
      <c r="A8086" s="94" t="s">
        <v>16391</v>
      </c>
      <c r="B8086" s="82" t="str">
        <f ca="1">IFERROR(INDEX(UNSPSCDes,MATCH(INDIRECT(ADDRESS(ROW(),COLUMN()-1,4)),UNSPSCCode,0)),IF(INDIRECT(ADDRESS(ROW(),COLUMN()-1,4))="42142615","Accesorios para jeringas",""))</f>
        <v>Accesorios para jeringas</v>
      </c>
      <c r="C8086" s="95" t="str">
        <f>IFERROR(VLOOKUP("UD",'Informacion '!P:Q,2,FALSE),"")</f>
        <v>Unidad</v>
      </c>
      <c r="D8086" s="94">
        <v>68</v>
      </c>
      <c r="E8086" s="84">
        <v>2.88</v>
      </c>
      <c r="F8086" s="83">
        <f t="shared" ca="1" si="316"/>
        <v>195.84</v>
      </c>
    </row>
    <row r="8087" spans="1:6" ht="14.1" customHeight="1" x14ac:dyDescent="0.25">
      <c r="A8087" s="94" t="s">
        <v>9447</v>
      </c>
      <c r="B8087" s="82" t="str">
        <f ca="1">IFERROR(INDEX(UNSPSCDes,MATCH(INDIRECT(ADDRESS(ROW(),COLUMN()-1,4)),UNSPSCCode,0)),IF(INDIRECT(ADDRESS(ROW(),COLUMN()-1,4))="42221614","Kits de administración de tubos intravenosos con catéter",""))</f>
        <v>Kits de administración de tubos intravenosos con catéter</v>
      </c>
      <c r="C8087" s="95" t="str">
        <f>IFERROR(VLOOKUP("UD",'Informacion '!P:Q,2,FALSE),"")</f>
        <v>Unidad</v>
      </c>
      <c r="D8087" s="94">
        <v>4</v>
      </c>
      <c r="E8087" s="84">
        <v>118.93</v>
      </c>
      <c r="F8087" s="83">
        <f t="shared" ca="1" si="316"/>
        <v>475.72</v>
      </c>
    </row>
    <row r="8088" spans="1:6" ht="14.1" customHeight="1" x14ac:dyDescent="0.25">
      <c r="A8088" s="94" t="s">
        <v>3642</v>
      </c>
      <c r="B8088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8088" s="95" t="str">
        <f>IFERROR(VLOOKUP("UD",'Informacion '!P:Q,2,FALSE),"")</f>
        <v>Unidad</v>
      </c>
      <c r="D8088" s="94">
        <v>133</v>
      </c>
      <c r="E8088" s="84">
        <v>108.92</v>
      </c>
      <c r="F8088" s="83">
        <f t="shared" ca="1" si="316"/>
        <v>14486.36</v>
      </c>
    </row>
    <row r="8089" spans="1:6" ht="14.1" customHeight="1" x14ac:dyDescent="0.25">
      <c r="A8089" s="94" t="s">
        <v>16391</v>
      </c>
      <c r="B8089" s="82" t="str">
        <f ca="1">IFERROR(INDEX(UNSPSCDes,MATCH(INDIRECT(ADDRESS(ROW(),COLUMN()-1,4)),UNSPSCCode,0)),IF(INDIRECT(ADDRESS(ROW(),COLUMN()-1,4))="42142615","Accesorios para jeringas",""))</f>
        <v>Accesorios para jeringas</v>
      </c>
      <c r="C8089" s="95" t="str">
        <f>IFERROR(VLOOKUP("UD",'Informacion '!P:Q,2,FALSE),"")</f>
        <v>Unidad</v>
      </c>
      <c r="D8089" s="94">
        <v>357</v>
      </c>
      <c r="E8089" s="84">
        <v>15.37</v>
      </c>
      <c r="F8089" s="83">
        <f t="shared" ca="1" si="316"/>
        <v>5487.09</v>
      </c>
    </row>
    <row r="8090" spans="1:6" ht="14.1" customHeight="1" x14ac:dyDescent="0.25">
      <c r="A8090" s="94" t="s">
        <v>4852</v>
      </c>
      <c r="B8090" s="82" t="str">
        <f ca="1">IFERROR(INDEX(UNSPSCDes,MATCH(INDIRECT(ADDRESS(ROW(),COLUMN()-1,4)),UNSPSCCode,0)),IF(INDIRECT(ADDRESS(ROW(),COLUMN()-1,4))="42295303","Catéteres o conectores o accesorios de uso quirúrgico",""))</f>
        <v>Catéteres o conectores o accesorios de uso quirúrgico</v>
      </c>
      <c r="C8090" s="95" t="str">
        <f>IFERROR(VLOOKUP("UD",'Informacion '!P:Q,2,FALSE),"")</f>
        <v>Unidad</v>
      </c>
      <c r="D8090" s="94">
        <v>4</v>
      </c>
      <c r="E8090" s="84">
        <v>162.80000000000001</v>
      </c>
      <c r="F8090" s="83">
        <f t="shared" ca="1" si="316"/>
        <v>651.20000000000005</v>
      </c>
    </row>
    <row r="8091" spans="1:6" ht="14.1" customHeight="1" x14ac:dyDescent="0.25">
      <c r="A8091" s="94" t="s">
        <v>6266</v>
      </c>
      <c r="B8091" s="82" t="str">
        <f ca="1">IFERROR(INDEX(UNSPSCDes,MATCH(INDIRECT(ADDRESS(ROW(),COLUMN()-1,4)),UNSPSCCode,0)),IF(INDIRECT(ADDRESS(ROW(),COLUMN()-1,4))="30151701","Boquillas de bajantes",""))</f>
        <v>Boquillas de bajantes</v>
      </c>
      <c r="C8091" s="95" t="str">
        <f>IFERROR(VLOOKUP("UD",'Informacion '!P:Q,2,FALSE),"")</f>
        <v>Unidad</v>
      </c>
      <c r="D8091" s="94">
        <v>751</v>
      </c>
      <c r="E8091" s="84">
        <v>10.75</v>
      </c>
      <c r="F8091" s="83">
        <f t="shared" ref="F8091:F8117" ca="1" si="317">INDIRECT(ADDRESS(ROW(),COLUMN()-2,4))*INDIRECT(ADDRESS(ROW(),COLUMN()-1,4))</f>
        <v>8073.25</v>
      </c>
    </row>
    <row r="8092" spans="1:6" ht="14.1" customHeight="1" x14ac:dyDescent="0.25">
      <c r="A8092" s="94" t="s">
        <v>18202</v>
      </c>
      <c r="B8092" s="82" t="str">
        <f ca="1">IFERROR(INDEX(UNSPSCDes,MATCH(INDIRECT(ADDRESS(ROW(),COLUMN()-1,4)),UNSPSCCode,0)),IF(INDIRECT(ADDRESS(ROW(),COLUMN()-1,4))="14111609","Papel de cubierta",""))</f>
        <v>Papel de cubierta</v>
      </c>
      <c r="C8092" s="95" t="str">
        <f>IFERROR(VLOOKUP("UD",'Informacion '!P:Q,2,FALSE),"")</f>
        <v>Unidad</v>
      </c>
      <c r="D8092" s="94">
        <v>22</v>
      </c>
      <c r="E8092" s="84">
        <v>146.32</v>
      </c>
      <c r="F8092" s="83">
        <f t="shared" ca="1" si="317"/>
        <v>3219.04</v>
      </c>
    </row>
    <row r="8093" spans="1:6" ht="14.1" customHeight="1" x14ac:dyDescent="0.25">
      <c r="A8093" s="94" t="s">
        <v>18707</v>
      </c>
      <c r="B8093" s="82" t="str">
        <f ca="1">IFERROR(INDEX(UNSPSCDes,MATCH(INDIRECT(ADDRESS(ROW(),COLUMN()-1,4)),UNSPSCCode,0)),IF(INDIRECT(ADDRESS(ROW(),COLUMN()-1,4))="40101903","Humidificadores",""))</f>
        <v>Humidificadores</v>
      </c>
      <c r="C8093" s="95" t="str">
        <f>IFERROR(VLOOKUP("UD",'Informacion '!P:Q,2,FALSE),"")</f>
        <v>Unidad</v>
      </c>
      <c r="D8093" s="94">
        <v>13</v>
      </c>
      <c r="E8093" s="84">
        <v>108.29</v>
      </c>
      <c r="F8093" s="83">
        <f t="shared" ca="1" si="317"/>
        <v>1407.77</v>
      </c>
    </row>
    <row r="8094" spans="1:6" ht="14.1" customHeight="1" x14ac:dyDescent="0.25">
      <c r="A8094" s="94" t="s">
        <v>16391</v>
      </c>
      <c r="B8094" s="82" t="str">
        <f ca="1">IFERROR(INDEX(UNSPSCDes,MATCH(INDIRECT(ADDRESS(ROW(),COLUMN()-1,4)),UNSPSCCode,0)),IF(INDIRECT(ADDRESS(ROW(),COLUMN()-1,4))="42142615","Accesorios para jeringas",""))</f>
        <v>Accesorios para jeringas</v>
      </c>
      <c r="C8094" s="95" t="str">
        <f>IFERROR(VLOOKUP("UD",'Informacion '!P:Q,2,FALSE),"")</f>
        <v>Unidad</v>
      </c>
      <c r="D8094" s="94">
        <v>3</v>
      </c>
      <c r="E8094" s="84">
        <v>7.24</v>
      </c>
      <c r="F8094" s="83">
        <f t="shared" ca="1" si="317"/>
        <v>21.72</v>
      </c>
    </row>
    <row r="8095" spans="1:6" ht="14.1" customHeight="1" x14ac:dyDescent="0.25">
      <c r="A8095" s="94" t="s">
        <v>16391</v>
      </c>
      <c r="B8095" s="82" t="str">
        <f ca="1">IFERROR(INDEX(UNSPSCDes,MATCH(INDIRECT(ADDRESS(ROW(),COLUMN()-1,4)),UNSPSCCode,0)),IF(INDIRECT(ADDRESS(ROW(),COLUMN()-1,4))="42142615","Accesorios para jeringas",""))</f>
        <v>Accesorios para jeringas</v>
      </c>
      <c r="C8095" s="95" t="str">
        <f>IFERROR(VLOOKUP("UD",'Informacion '!P:Q,2,FALSE),"")</f>
        <v>Unidad</v>
      </c>
      <c r="D8095" s="94">
        <v>11</v>
      </c>
      <c r="E8095" s="84">
        <v>12.78</v>
      </c>
      <c r="F8095" s="83">
        <f t="shared" ca="1" si="317"/>
        <v>140.57999999999998</v>
      </c>
    </row>
    <row r="8096" spans="1:6" ht="14.1" customHeight="1" x14ac:dyDescent="0.25">
      <c r="A8096" s="94" t="s">
        <v>14660</v>
      </c>
      <c r="B8096" s="82" t="str">
        <f ca="1">IFERROR(INDEX(UNSPSCDes,MATCH(INDIRECT(ADDRESS(ROW(),COLUMN()-1,4)),UNSPSCCode,0)),IF(INDIRECT(ADDRESS(ROW(),COLUMN()-1,4))="42311526","Vendajes de",""))</f>
        <v>Vendajes de</v>
      </c>
      <c r="C8096" s="95" t="str">
        <f>IFERROR(VLOOKUP("UD",'Informacion '!P:Q,2,FALSE),"")</f>
        <v>Unidad</v>
      </c>
      <c r="D8096" s="94">
        <v>5</v>
      </c>
      <c r="E8096" s="84">
        <v>53</v>
      </c>
      <c r="F8096" s="83">
        <f t="shared" ca="1" si="317"/>
        <v>265</v>
      </c>
    </row>
    <row r="8097" spans="1:6" ht="14.1" customHeight="1" x14ac:dyDescent="0.25">
      <c r="A8097" s="94" t="s">
        <v>18202</v>
      </c>
      <c r="B8097" s="82" t="str">
        <f ca="1">IFERROR(INDEX(UNSPSCDes,MATCH(INDIRECT(ADDRESS(ROW(),COLUMN()-1,4)),UNSPSCCode,0)),IF(INDIRECT(ADDRESS(ROW(),COLUMN()-1,4))="14111609","Papel de cubierta",""))</f>
        <v>Papel de cubierta</v>
      </c>
      <c r="C8097" s="95" t="str">
        <f>IFERROR(VLOOKUP("UD",'Informacion '!P:Q,2,FALSE),"")</f>
        <v>Unidad</v>
      </c>
      <c r="D8097" s="94">
        <v>18</v>
      </c>
      <c r="E8097" s="84">
        <v>123.9</v>
      </c>
      <c r="F8097" s="83">
        <f t="shared" ca="1" si="317"/>
        <v>2230.2000000000003</v>
      </c>
    </row>
    <row r="8098" spans="1:6" ht="14.1" customHeight="1" x14ac:dyDescent="0.25">
      <c r="A8098" s="94" t="s">
        <v>17236</v>
      </c>
      <c r="B8098" s="82" t="str">
        <f ca="1">IFERROR(INDEX(UNSPSCDes,MATCH(INDIRECT(ADDRESS(ROW(),COLUMN()-1,4)),UNSPSCCode,0)),IF(INDIRECT(ADDRESS(ROW(),COLUMN()-1,4))="41115715","Inyectores",""))</f>
        <v>Inyectores</v>
      </c>
      <c r="C8098" s="95" t="str">
        <f>IFERROR(VLOOKUP("UD",'Informacion '!P:Q,2,FALSE),"")</f>
        <v>Unidad</v>
      </c>
      <c r="D8098" s="94">
        <v>3</v>
      </c>
      <c r="E8098" s="84">
        <v>2124</v>
      </c>
      <c r="F8098" s="83">
        <f t="shared" ca="1" si="317"/>
        <v>6372</v>
      </c>
    </row>
    <row r="8099" spans="1:6" ht="14.1" customHeight="1" x14ac:dyDescent="0.25">
      <c r="A8099" s="94" t="s">
        <v>10587</v>
      </c>
      <c r="B8099" s="82" t="str">
        <f ca="1">IFERROR(INDEX(UNSPSCDes,MATCH(INDIRECT(ADDRESS(ROW(),COLUMN()-1,4)),UNSPSCCode,0)),IF(INDIRECT(ADDRESS(ROW(),COLUMN()-1,4))="10141608","Arneses o sus accesorios",""))</f>
        <v>Arneses o sus accesorios</v>
      </c>
      <c r="C8099" s="95" t="str">
        <f>IFERROR(VLOOKUP("UD",'Informacion '!P:Q,2,FALSE),"")</f>
        <v>Unidad</v>
      </c>
      <c r="D8099" s="94">
        <v>4</v>
      </c>
      <c r="E8099" s="84">
        <v>590</v>
      </c>
      <c r="F8099" s="83">
        <f t="shared" ca="1" si="317"/>
        <v>2360</v>
      </c>
    </row>
    <row r="8100" spans="1:6" ht="14.1" customHeight="1" x14ac:dyDescent="0.25">
      <c r="A8100" s="94" t="s">
        <v>14356</v>
      </c>
      <c r="B8100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8100" s="95" t="str">
        <f>IFERROR(VLOOKUP("UD",'Informacion '!P:Q,2,FALSE),"")</f>
        <v>Unidad</v>
      </c>
      <c r="D8100" s="94">
        <v>5</v>
      </c>
      <c r="E8100" s="84">
        <v>590</v>
      </c>
      <c r="F8100" s="83">
        <f t="shared" ca="1" si="317"/>
        <v>2950</v>
      </c>
    </row>
    <row r="8101" spans="1:6" ht="14.1" customHeight="1" x14ac:dyDescent="0.25">
      <c r="A8101" s="94" t="s">
        <v>14356</v>
      </c>
      <c r="B8101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8101" s="95" t="str">
        <f>IFERROR(VLOOKUP("UD",'Informacion '!P:Q,2,FALSE),"")</f>
        <v>Unidad</v>
      </c>
      <c r="D8101" s="94">
        <v>797</v>
      </c>
      <c r="E8101" s="84">
        <v>98.87</v>
      </c>
      <c r="F8101" s="83">
        <f t="shared" ca="1" si="317"/>
        <v>78799.39</v>
      </c>
    </row>
    <row r="8102" spans="1:6" ht="14.1" customHeight="1" x14ac:dyDescent="0.25">
      <c r="A8102" s="94" t="s">
        <v>1279</v>
      </c>
      <c r="B8102" s="82" t="str">
        <f ca="1">IFERROR(INDEX(UNSPSCDes,MATCH(INDIRECT(ADDRESS(ROW(),COLUMN()-1,4)),UNSPSCCode,0)),IF(INDIRECT(ADDRESS(ROW(),COLUMN()-1,4))="42231701","Tubos nasogástricos",""))</f>
        <v>Tubos nasogástricos</v>
      </c>
      <c r="C8102" s="95" t="str">
        <f>IFERROR(VLOOKUP("UD",'Informacion '!P:Q,2,FALSE),"")</f>
        <v>Unidad</v>
      </c>
      <c r="D8102" s="94">
        <v>6</v>
      </c>
      <c r="E8102" s="84">
        <v>4763.7299999999996</v>
      </c>
      <c r="F8102" s="83">
        <f t="shared" ca="1" si="317"/>
        <v>28582.379999999997</v>
      </c>
    </row>
    <row r="8103" spans="1:6" ht="14.1" customHeight="1" x14ac:dyDescent="0.25">
      <c r="A8103" s="94" t="s">
        <v>6481</v>
      </c>
      <c r="B8103" s="82" t="str">
        <f ca="1">IFERROR(INDEX(UNSPSCDes,MATCH(INDIRECT(ADDRESS(ROW(),COLUMN()-1,4)),UNSPSCCode,0)),IF(INDIRECT(ADDRESS(ROW(),COLUMN()-1,4))="42293603","Sondas para uso quirúrgico",""))</f>
        <v>Sondas para uso quirúrgico</v>
      </c>
      <c r="C8103" s="95" t="str">
        <f>IFERROR(VLOOKUP("UD",'Informacion '!P:Q,2,FALSE),"")</f>
        <v>Unidad</v>
      </c>
      <c r="D8103" s="94">
        <v>3</v>
      </c>
      <c r="E8103" s="84">
        <v>27.2</v>
      </c>
      <c r="F8103" s="83">
        <f t="shared" ca="1" si="317"/>
        <v>81.599999999999994</v>
      </c>
    </row>
    <row r="8104" spans="1:6" ht="14.1" customHeight="1" x14ac:dyDescent="0.25">
      <c r="A8104" s="94" t="s">
        <v>7820</v>
      </c>
      <c r="B8104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104" s="95" t="str">
        <f>IFERROR(VLOOKUP("UD",'Informacion '!P:Q,2,FALSE),"")</f>
        <v>Unidad</v>
      </c>
      <c r="D8104" s="94">
        <v>43</v>
      </c>
      <c r="E8104" s="84">
        <v>68.87</v>
      </c>
      <c r="F8104" s="83">
        <f t="shared" ca="1" si="317"/>
        <v>2961.4100000000003</v>
      </c>
    </row>
    <row r="8105" spans="1:6" ht="14.1" customHeight="1" x14ac:dyDescent="0.25">
      <c r="A8105" s="94" t="s">
        <v>16391</v>
      </c>
      <c r="B8105" s="82" t="str">
        <f ca="1">IFERROR(INDEX(UNSPSCDes,MATCH(INDIRECT(ADDRESS(ROW(),COLUMN()-1,4)),UNSPSCCode,0)),IF(INDIRECT(ADDRESS(ROW(),COLUMN()-1,4))="42142615","Accesorios para jeringas",""))</f>
        <v>Accesorios para jeringas</v>
      </c>
      <c r="C8105" s="95" t="str">
        <f>IFERROR(VLOOKUP("UD",'Informacion '!P:Q,2,FALSE),"")</f>
        <v>Unidad</v>
      </c>
      <c r="D8105" s="94">
        <v>6771</v>
      </c>
      <c r="E8105" s="84">
        <v>3.18</v>
      </c>
      <c r="F8105" s="83">
        <f t="shared" ca="1" si="317"/>
        <v>21531.780000000002</v>
      </c>
    </row>
    <row r="8106" spans="1:6" ht="14.1" customHeight="1" x14ac:dyDescent="0.25">
      <c r="A8106" s="94" t="s">
        <v>16697</v>
      </c>
      <c r="B8106" s="82" t="str">
        <f ca="1">IFERROR(INDEX(UNSPSCDes,MATCH(INDIRECT(ADDRESS(ROW(),COLUMN()-1,4)),UNSPSCCode,0)),IF(INDIRECT(ADDRESS(ROW(),COLUMN()-1,4))="11121802","Algodón",""))</f>
        <v>Algodón</v>
      </c>
      <c r="C8106" s="95" t="str">
        <f>IFERROR(VLOOKUP("UD",'Informacion '!P:Q,2,FALSE),"")</f>
        <v>Unidad</v>
      </c>
      <c r="D8106" s="94">
        <v>220</v>
      </c>
      <c r="E8106" s="84">
        <v>69.569999999999993</v>
      </c>
      <c r="F8106" s="83">
        <f t="shared" ca="1" si="317"/>
        <v>15305.399999999998</v>
      </c>
    </row>
    <row r="8107" spans="1:6" ht="14.1" customHeight="1" x14ac:dyDescent="0.25">
      <c r="A8107" s="94" t="s">
        <v>6481</v>
      </c>
      <c r="B8107" s="82" t="str">
        <f ca="1">IFERROR(INDEX(UNSPSCDes,MATCH(INDIRECT(ADDRESS(ROW(),COLUMN()-1,4)),UNSPSCCode,0)),IF(INDIRECT(ADDRESS(ROW(),COLUMN()-1,4))="42293603","Sondas para uso quirúrgico",""))</f>
        <v>Sondas para uso quirúrgico</v>
      </c>
      <c r="C8107" s="95" t="str">
        <f>IFERROR(VLOOKUP("UD",'Informacion '!P:Q,2,FALSE),"")</f>
        <v>Unidad</v>
      </c>
      <c r="D8107" s="94">
        <v>3</v>
      </c>
      <c r="E8107" s="84">
        <v>19.87</v>
      </c>
      <c r="F8107" s="83">
        <f t="shared" ca="1" si="317"/>
        <v>59.61</v>
      </c>
    </row>
    <row r="8108" spans="1:6" ht="14.1" customHeight="1" x14ac:dyDescent="0.25">
      <c r="A8108" s="94" t="s">
        <v>16391</v>
      </c>
      <c r="B8108" s="82" t="str">
        <f ca="1">IFERROR(INDEX(UNSPSCDes,MATCH(INDIRECT(ADDRESS(ROW(),COLUMN()-1,4)),UNSPSCCode,0)),IF(INDIRECT(ADDRESS(ROW(),COLUMN()-1,4))="42142615","Accesorios para jeringas",""))</f>
        <v>Accesorios para jeringas</v>
      </c>
      <c r="C8108" s="95" t="str">
        <f>IFERROR(VLOOKUP("UD",'Informacion '!P:Q,2,FALSE),"")</f>
        <v>Unidad</v>
      </c>
      <c r="D8108" s="94">
        <v>331</v>
      </c>
      <c r="E8108" s="84">
        <v>3.16</v>
      </c>
      <c r="F8108" s="83">
        <f t="shared" ca="1" si="317"/>
        <v>1045.96</v>
      </c>
    </row>
    <row r="8109" spans="1:6" ht="14.1" customHeight="1" x14ac:dyDescent="0.25">
      <c r="A8109" s="94" t="s">
        <v>16391</v>
      </c>
      <c r="B8109" s="82" t="str">
        <f ca="1">IFERROR(INDEX(UNSPSCDes,MATCH(INDIRECT(ADDRESS(ROW(),COLUMN()-1,4)),UNSPSCCode,0)),IF(INDIRECT(ADDRESS(ROW(),COLUMN()-1,4))="42142615","Accesorios para jeringas",""))</f>
        <v>Accesorios para jeringas</v>
      </c>
      <c r="C8109" s="95" t="str">
        <f>IFERROR(VLOOKUP("UD",'Informacion '!P:Q,2,FALSE),"")</f>
        <v>Unidad</v>
      </c>
      <c r="D8109" s="94">
        <v>3</v>
      </c>
      <c r="E8109" s="84">
        <v>4.43</v>
      </c>
      <c r="F8109" s="83">
        <f t="shared" ca="1" si="317"/>
        <v>13.29</v>
      </c>
    </row>
    <row r="8110" spans="1:6" ht="14.1" customHeight="1" x14ac:dyDescent="0.25">
      <c r="A8110" s="94" t="s">
        <v>16391</v>
      </c>
      <c r="B8110" s="82" t="str">
        <f ca="1">IFERROR(INDEX(UNSPSCDes,MATCH(INDIRECT(ADDRESS(ROW(),COLUMN()-1,4)),UNSPSCCode,0)),IF(INDIRECT(ADDRESS(ROW(),COLUMN()-1,4))="42142615","Accesorios para jeringas",""))</f>
        <v>Accesorios para jeringas</v>
      </c>
      <c r="C8110" s="95" t="str">
        <f>IFERROR(VLOOKUP("UD",'Informacion '!P:Q,2,FALSE),"")</f>
        <v>Unidad</v>
      </c>
      <c r="D8110" s="94">
        <v>26</v>
      </c>
      <c r="E8110" s="84">
        <v>24.95</v>
      </c>
      <c r="F8110" s="83">
        <f t="shared" ca="1" si="317"/>
        <v>648.69999999999993</v>
      </c>
    </row>
    <row r="8111" spans="1:6" ht="14.1" customHeight="1" x14ac:dyDescent="0.25">
      <c r="A8111" s="94" t="s">
        <v>6481</v>
      </c>
      <c r="B8111" s="82" t="str">
        <f ca="1">IFERROR(INDEX(UNSPSCDes,MATCH(INDIRECT(ADDRESS(ROW(),COLUMN()-1,4)),UNSPSCCode,0)),IF(INDIRECT(ADDRESS(ROW(),COLUMN()-1,4))="42293603","Sondas para uso quirúrgico",""))</f>
        <v>Sondas para uso quirúrgico</v>
      </c>
      <c r="C8111" s="95" t="str">
        <f>IFERROR(VLOOKUP("UD",'Informacion '!P:Q,2,FALSE),"")</f>
        <v>Unidad</v>
      </c>
      <c r="D8111" s="94">
        <v>9</v>
      </c>
      <c r="E8111" s="84">
        <v>28.64</v>
      </c>
      <c r="F8111" s="83">
        <f t="shared" ca="1" si="317"/>
        <v>257.76</v>
      </c>
    </row>
    <row r="8112" spans="1:6" ht="14.1" customHeight="1" x14ac:dyDescent="0.25">
      <c r="A8112" s="94" t="s">
        <v>6481</v>
      </c>
      <c r="B8112" s="82" t="str">
        <f ca="1">IFERROR(INDEX(UNSPSCDes,MATCH(INDIRECT(ADDRESS(ROW(),COLUMN()-1,4)),UNSPSCCode,0)),IF(INDIRECT(ADDRESS(ROW(),COLUMN()-1,4))="42293603","Sondas para uso quirúrgico",""))</f>
        <v>Sondas para uso quirúrgico</v>
      </c>
      <c r="C8112" s="95" t="str">
        <f>IFERROR(VLOOKUP("UD",'Informacion '!P:Q,2,FALSE),"")</f>
        <v>Unidad</v>
      </c>
      <c r="D8112" s="94">
        <v>11</v>
      </c>
      <c r="E8112" s="84">
        <v>21.79</v>
      </c>
      <c r="F8112" s="83">
        <f t="shared" ca="1" si="317"/>
        <v>239.69</v>
      </c>
    </row>
    <row r="8113" spans="1:10" ht="14.1" customHeight="1" x14ac:dyDescent="0.25">
      <c r="A8113" s="94" t="s">
        <v>6481</v>
      </c>
      <c r="B8113" s="82" t="str">
        <f ca="1">IFERROR(INDEX(UNSPSCDes,MATCH(INDIRECT(ADDRESS(ROW(),COLUMN()-1,4)),UNSPSCCode,0)),IF(INDIRECT(ADDRESS(ROW(),COLUMN()-1,4))="42293603","Sondas para uso quirúrgico",""))</f>
        <v>Sondas para uso quirúrgico</v>
      </c>
      <c r="C8113" s="95" t="str">
        <f>IFERROR(VLOOKUP("UD",'Informacion '!P:Q,2,FALSE),"")</f>
        <v>Unidad</v>
      </c>
      <c r="D8113" s="94">
        <v>3</v>
      </c>
      <c r="E8113" s="84">
        <v>25.38</v>
      </c>
      <c r="F8113" s="83">
        <f t="shared" ca="1" si="317"/>
        <v>76.14</v>
      </c>
    </row>
    <row r="8114" spans="1:10" ht="14.1" customHeight="1" x14ac:dyDescent="0.25">
      <c r="A8114" s="94" t="s">
        <v>16391</v>
      </c>
      <c r="B8114" s="82" t="str">
        <f ca="1">IFERROR(INDEX(UNSPSCDes,MATCH(INDIRECT(ADDRESS(ROW(),COLUMN()-1,4)),UNSPSCCode,0)),IF(INDIRECT(ADDRESS(ROW(),COLUMN()-1,4))="42142615","Accesorios para jeringas",""))</f>
        <v>Accesorios para jeringas</v>
      </c>
      <c r="C8114" s="95" t="str">
        <f>IFERROR(VLOOKUP("UD",'Informacion '!P:Q,2,FALSE),"")</f>
        <v>Unidad</v>
      </c>
      <c r="D8114" s="94">
        <v>207</v>
      </c>
      <c r="E8114" s="84">
        <v>4.9000000000000004</v>
      </c>
      <c r="F8114" s="83">
        <f t="shared" ca="1" si="317"/>
        <v>1014.3000000000001</v>
      </c>
    </row>
    <row r="8115" spans="1:10" ht="14.1" customHeight="1" x14ac:dyDescent="0.25">
      <c r="A8115" s="94" t="s">
        <v>14138</v>
      </c>
      <c r="B8115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115" s="95" t="str">
        <f>IFERROR(VLOOKUP("UD",'Informacion '!P:Q,2,FALSE),"")</f>
        <v>Unidad</v>
      </c>
      <c r="D8115" s="94">
        <v>6</v>
      </c>
      <c r="E8115" s="84">
        <v>9.15</v>
      </c>
      <c r="F8115" s="83">
        <f t="shared" ca="1" si="317"/>
        <v>54.900000000000006</v>
      </c>
    </row>
    <row r="8116" spans="1:10" ht="14.1" customHeight="1" x14ac:dyDescent="0.25">
      <c r="A8116" s="94" t="s">
        <v>6481</v>
      </c>
      <c r="B8116" s="82" t="str">
        <f ca="1">IFERROR(INDEX(UNSPSCDes,MATCH(INDIRECT(ADDRESS(ROW(),COLUMN()-1,4)),UNSPSCCode,0)),IF(INDIRECT(ADDRESS(ROW(),COLUMN()-1,4))="42293603","Sondas para uso quirúrgico",""))</f>
        <v>Sondas para uso quirúrgico</v>
      </c>
      <c r="C8116" s="95" t="str">
        <f>IFERROR(VLOOKUP("UD",'Informacion '!P:Q,2,FALSE),"")</f>
        <v>Unidad</v>
      </c>
      <c r="D8116" s="94">
        <v>54</v>
      </c>
      <c r="E8116" s="84">
        <v>175.05</v>
      </c>
      <c r="F8116" s="83">
        <f t="shared" ca="1" si="317"/>
        <v>9452.7000000000007</v>
      </c>
    </row>
    <row r="8117" spans="1:10" ht="14.1" customHeight="1" x14ac:dyDescent="0.25">
      <c r="A8117" s="94" t="s">
        <v>16391</v>
      </c>
      <c r="B8117" s="82" t="str">
        <f ca="1">IFERROR(INDEX(UNSPSCDes,MATCH(INDIRECT(ADDRESS(ROW(),COLUMN()-1,4)),UNSPSCCode,0)),IF(INDIRECT(ADDRESS(ROW(),COLUMN()-1,4))="42142615","Accesorios para jeringas",""))</f>
        <v>Accesorios para jeringas</v>
      </c>
      <c r="C8117" s="95" t="str">
        <f>IFERROR(VLOOKUP("UD",'Informacion '!P:Q,2,FALSE),"")</f>
        <v>Unidad</v>
      </c>
      <c r="D8117" s="94">
        <v>352</v>
      </c>
      <c r="E8117" s="84">
        <v>2.2999999999999998</v>
      </c>
      <c r="F8117" s="83">
        <f t="shared" ca="1" si="317"/>
        <v>809.59999999999991</v>
      </c>
    </row>
    <row r="8118" spans="1:10" ht="14.1" customHeight="1" x14ac:dyDescent="0.25">
      <c r="E8118" s="96" t="s">
        <v>7213</v>
      </c>
      <c r="F8118" s="87">
        <f ca="1">SUM(Table211[MONTO TOTAL ESTIMADO])</f>
        <v>361436.55000000005</v>
      </c>
      <c r="H8118" s="39" t="str">
        <f>C8020</f>
        <v>Bienes</v>
      </c>
      <c r="I8118" s="39" t="str">
        <f>E8020</f>
        <v>No</v>
      </c>
      <c r="J8118" s="39" t="str">
        <f>D8020</f>
        <v>Comparacion de Precios</v>
      </c>
    </row>
    <row r="8120" spans="1:10" ht="33.950000000000003" customHeight="1" x14ac:dyDescent="0.25">
      <c r="A8120" s="77" t="s">
        <v>17233</v>
      </c>
      <c r="B8120" s="77" t="s">
        <v>4237</v>
      </c>
      <c r="C8120" s="77" t="s">
        <v>4743</v>
      </c>
      <c r="D8120" s="77" t="s">
        <v>9891</v>
      </c>
      <c r="E8120" s="77" t="s">
        <v>3089</v>
      </c>
      <c r="F8120" s="77" t="s">
        <v>18141</v>
      </c>
    </row>
    <row r="8121" spans="1:10" ht="14.1" customHeight="1" x14ac:dyDescent="0.25">
      <c r="A8121" s="79" t="s">
        <v>11159</v>
      </c>
      <c r="B8121" s="79" t="s">
        <v>2182</v>
      </c>
      <c r="C8121" s="79" t="s">
        <v>17215</v>
      </c>
      <c r="D8121" s="79" t="s">
        <v>15249</v>
      </c>
      <c r="E8121" s="79" t="s">
        <v>18247</v>
      </c>
      <c r="F8121" s="79"/>
    </row>
    <row r="8122" spans="1:10" ht="14.1" customHeight="1" x14ac:dyDescent="0.25">
      <c r="A8122" s="2" t="s">
        <v>6643</v>
      </c>
      <c r="B8122" s="80" t="s">
        <v>1046</v>
      </c>
      <c r="C8122" s="90">
        <v>43739</v>
      </c>
      <c r="D8122" s="2" t="s">
        <v>59</v>
      </c>
      <c r="E8122" s="92" t="s">
        <v>20066</v>
      </c>
      <c r="F8122" s="93" t="s">
        <v>5684</v>
      </c>
    </row>
    <row r="8123" spans="1:10" ht="14.1" customHeight="1" x14ac:dyDescent="0.25">
      <c r="A8123" s="1"/>
      <c r="B8123" s="80" t="s">
        <v>10788</v>
      </c>
      <c r="C8123" s="91">
        <f>IF(C8122="","",IF(AND(MONTH(C8122)&gt;=1,MONTH(C8122)&lt;=3),1,IF(AND(MONTH(C8122)&gt;=4,MONTH(C8122)&lt;=6),2,IF(AND(MONTH(C8122)&gt;=7,MONTH(C8122)&lt;=9),3,4))))</f>
        <v>4</v>
      </c>
      <c r="D8123" s="1"/>
      <c r="E8123" s="92" t="s">
        <v>14822</v>
      </c>
      <c r="F8123" s="93"/>
    </row>
    <row r="8124" spans="1:10" ht="14.1" customHeight="1" x14ac:dyDescent="0.25">
      <c r="A8124" s="1"/>
      <c r="B8124" s="80" t="s">
        <v>13758</v>
      </c>
      <c r="C8124" s="90">
        <v>43830</v>
      </c>
      <c r="D8124" s="1"/>
      <c r="E8124" s="92" t="s">
        <v>18636</v>
      </c>
      <c r="F8124" s="93"/>
    </row>
    <row r="8125" spans="1:10" ht="14.1" customHeight="1" x14ac:dyDescent="0.25">
      <c r="A8125" s="1"/>
      <c r="B8125" s="80" t="s">
        <v>10788</v>
      </c>
      <c r="C8125" s="91">
        <f>IF(C8124="","",IF(AND(MONTH(C8124)&gt;=1,MONTH(C8124)&lt;=3),1,IF(AND(MONTH(C8124)&gt;=4,MONTH(C8124)&lt;=6),2,IF(AND(MONTH(C8124)&gt;=7,MONTH(C8124)&lt;=9),3,4))))</f>
        <v>4</v>
      </c>
      <c r="D8125" s="1"/>
      <c r="E8125" s="92" t="s">
        <v>15990</v>
      </c>
      <c r="F8125" s="93"/>
    </row>
    <row r="8127" spans="1:10" ht="14.1" customHeight="1" x14ac:dyDescent="0.25">
      <c r="A8127" s="85" t="s">
        <v>15474</v>
      </c>
      <c r="B8127" s="85" t="s">
        <v>5027</v>
      </c>
      <c r="C8127" s="85" t="s">
        <v>17461</v>
      </c>
      <c r="D8127" s="85" t="s">
        <v>3935</v>
      </c>
      <c r="E8127" s="85" t="s">
        <v>10722</v>
      </c>
      <c r="F8127" s="85" t="s">
        <v>18237</v>
      </c>
    </row>
    <row r="8128" spans="1:10" ht="14.1" customHeight="1" x14ac:dyDescent="0.25">
      <c r="A8128" s="94" t="s">
        <v>6266</v>
      </c>
      <c r="B8128" s="82" t="str">
        <f ca="1">IFERROR(INDEX(UNSPSCDes,MATCH(INDIRECT(ADDRESS(ROW(),COLUMN()-1,4)),UNSPSCCode,0)),IF(INDIRECT(ADDRESS(ROW(),COLUMN()-1,4))="30151701","Boquillas de bajantes",""))</f>
        <v>Boquillas de bajantes</v>
      </c>
      <c r="C8128" s="95" t="str">
        <f>IFERROR(VLOOKUP("UD",'Informacion '!P:Q,2,FALSE),"")</f>
        <v>Unidad</v>
      </c>
      <c r="D8128" s="94">
        <v>68</v>
      </c>
      <c r="E8128" s="84">
        <v>36</v>
      </c>
      <c r="F8128" s="83">
        <f t="shared" ref="F8128:F8159" ca="1" si="318">INDIRECT(ADDRESS(ROW(),COLUMN()-2,4))*INDIRECT(ADDRESS(ROW(),COLUMN()-1,4))</f>
        <v>2448</v>
      </c>
    </row>
    <row r="8129" spans="1:6" ht="14.1" customHeight="1" x14ac:dyDescent="0.25">
      <c r="A8129" s="94" t="s">
        <v>2647</v>
      </c>
      <c r="B8129" s="82" t="str">
        <f ca="1">IFERROR(INDEX(UNSPSCDes,MATCH(INDIRECT(ADDRESS(ROW(),COLUMN()-1,4)),UNSPSCCode,0)),IF(INDIRECT(ADDRESS(ROW(),COLUMN()-1,4))="44122116","Clips de bolsas",""))</f>
        <v>Clips de bolsas</v>
      </c>
      <c r="C8129" s="95" t="str">
        <f>IFERROR(VLOOKUP("UD",'Informacion '!P:Q,2,FALSE),"")</f>
        <v>Unidad</v>
      </c>
      <c r="D8129" s="94">
        <v>14</v>
      </c>
      <c r="E8129" s="84">
        <v>64</v>
      </c>
      <c r="F8129" s="83">
        <f t="shared" ca="1" si="318"/>
        <v>896</v>
      </c>
    </row>
    <row r="8130" spans="1:6" ht="14.1" customHeight="1" x14ac:dyDescent="0.25">
      <c r="A8130" s="94" t="s">
        <v>14138</v>
      </c>
      <c r="B8130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130" s="95" t="str">
        <f>IFERROR(VLOOKUP("UD",'Informacion '!P:Q,2,FALSE),"")</f>
        <v>Unidad</v>
      </c>
      <c r="D8130" s="94">
        <v>6</v>
      </c>
      <c r="E8130" s="84">
        <v>14.7</v>
      </c>
      <c r="F8130" s="83">
        <f t="shared" ca="1" si="318"/>
        <v>88.199999999999989</v>
      </c>
    </row>
    <row r="8131" spans="1:6" ht="14.1" customHeight="1" x14ac:dyDescent="0.25">
      <c r="A8131" s="94" t="s">
        <v>1865</v>
      </c>
      <c r="B8131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8131" s="95" t="str">
        <f>IFERROR(VLOOKUP("UD",'Informacion '!P:Q,2,FALSE),"")</f>
        <v>Unidad</v>
      </c>
      <c r="D8131" s="94">
        <v>4</v>
      </c>
      <c r="E8131" s="84">
        <v>27.71</v>
      </c>
      <c r="F8131" s="83">
        <f t="shared" ca="1" si="318"/>
        <v>110.84</v>
      </c>
    </row>
    <row r="8132" spans="1:6" ht="14.1" customHeight="1" x14ac:dyDescent="0.25">
      <c r="A8132" s="94" t="s">
        <v>2637</v>
      </c>
      <c r="B8132" s="82" t="str">
        <f ca="1">IFERROR(INDEX(UNSPSCDes,MATCH(INDIRECT(ADDRESS(ROW(),COLUMN()-1,4)),UNSPSCCode,0)),IF(INDIRECT(ADDRESS(ROW(),COLUMN()-1,4))="46182002","Respiradores",""))</f>
        <v>Respiradores</v>
      </c>
      <c r="C8132" s="95" t="str">
        <f>IFERROR(VLOOKUP("UD",'Informacion '!P:Q,2,FALSE),"")</f>
        <v>Unidad</v>
      </c>
      <c r="D8132" s="94">
        <v>72</v>
      </c>
      <c r="E8132" s="84">
        <v>150.29</v>
      </c>
      <c r="F8132" s="83">
        <f t="shared" ca="1" si="318"/>
        <v>10820.88</v>
      </c>
    </row>
    <row r="8133" spans="1:6" ht="14.1" customHeight="1" x14ac:dyDescent="0.25">
      <c r="A8133" s="94" t="s">
        <v>7589</v>
      </c>
      <c r="B8133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133" s="95" t="str">
        <f>IFERROR(VLOOKUP("UD",'Informacion '!P:Q,2,FALSE),"")</f>
        <v>Unidad</v>
      </c>
      <c r="D8133" s="94">
        <v>6</v>
      </c>
      <c r="E8133" s="84">
        <v>371.97</v>
      </c>
      <c r="F8133" s="83">
        <f t="shared" ca="1" si="318"/>
        <v>2231.8200000000002</v>
      </c>
    </row>
    <row r="8134" spans="1:6" ht="14.1" customHeight="1" x14ac:dyDescent="0.25">
      <c r="A8134" s="94" t="s">
        <v>435</v>
      </c>
      <c r="B813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134" s="95" t="str">
        <f>IFERROR(VLOOKUP("UD",'Informacion '!P:Q,2,FALSE),"")</f>
        <v>Unidad</v>
      </c>
      <c r="D8134" s="94">
        <v>6</v>
      </c>
      <c r="E8134" s="84">
        <v>2.92</v>
      </c>
      <c r="F8134" s="83">
        <f t="shared" ca="1" si="318"/>
        <v>17.52</v>
      </c>
    </row>
    <row r="8135" spans="1:6" ht="14.1" customHeight="1" x14ac:dyDescent="0.25">
      <c r="A8135" s="94" t="s">
        <v>4306</v>
      </c>
      <c r="B8135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8135" s="95" t="str">
        <f>IFERROR(VLOOKUP("UD",'Informacion '!P:Q,2,FALSE),"")</f>
        <v>Unidad</v>
      </c>
      <c r="D8135" s="94">
        <v>79</v>
      </c>
      <c r="E8135" s="84">
        <v>81.66</v>
      </c>
      <c r="F8135" s="83">
        <f t="shared" ca="1" si="318"/>
        <v>6451.1399999999994</v>
      </c>
    </row>
    <row r="8136" spans="1:6" ht="14.1" customHeight="1" x14ac:dyDescent="0.25">
      <c r="A8136" s="94" t="s">
        <v>10248</v>
      </c>
      <c r="B813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136" s="95" t="str">
        <f>IFERROR(VLOOKUP("UD",'Informacion '!P:Q,2,FALSE),"")</f>
        <v>Unidad</v>
      </c>
      <c r="D8136" s="94">
        <v>4</v>
      </c>
      <c r="E8136" s="84">
        <v>450</v>
      </c>
      <c r="F8136" s="83">
        <f t="shared" ca="1" si="318"/>
        <v>1800</v>
      </c>
    </row>
    <row r="8137" spans="1:6" ht="14.1" customHeight="1" x14ac:dyDescent="0.25">
      <c r="A8137" s="94" t="s">
        <v>16391</v>
      </c>
      <c r="B8137" s="82" t="str">
        <f ca="1">IFERROR(INDEX(UNSPSCDes,MATCH(INDIRECT(ADDRESS(ROW(),COLUMN()-1,4)),UNSPSCCode,0)),IF(INDIRECT(ADDRESS(ROW(),COLUMN()-1,4))="42142615","Accesorios para jeringas",""))</f>
        <v>Accesorios para jeringas</v>
      </c>
      <c r="C8137" s="95" t="str">
        <f>IFERROR(VLOOKUP("UD",'Informacion '!P:Q,2,FALSE),"")</f>
        <v>Unidad</v>
      </c>
      <c r="D8137" s="94">
        <v>365</v>
      </c>
      <c r="E8137" s="84">
        <v>1.43</v>
      </c>
      <c r="F8137" s="83">
        <f t="shared" ca="1" si="318"/>
        <v>521.94999999999993</v>
      </c>
    </row>
    <row r="8138" spans="1:6" ht="14.1" customHeight="1" x14ac:dyDescent="0.25">
      <c r="A8138" s="94" t="s">
        <v>16391</v>
      </c>
      <c r="B8138" s="82" t="str">
        <f ca="1">IFERROR(INDEX(UNSPSCDes,MATCH(INDIRECT(ADDRESS(ROW(),COLUMN()-1,4)),UNSPSCCode,0)),IF(INDIRECT(ADDRESS(ROW(),COLUMN()-1,4))="42142615","Accesorios para jeringas",""))</f>
        <v>Accesorios para jeringas</v>
      </c>
      <c r="C8138" s="95" t="str">
        <f>IFERROR(VLOOKUP("UD",'Informacion '!P:Q,2,FALSE),"")</f>
        <v>Unidad</v>
      </c>
      <c r="D8138" s="94">
        <v>404</v>
      </c>
      <c r="E8138" s="84">
        <v>2.2999999999999998</v>
      </c>
      <c r="F8138" s="83">
        <f t="shared" ca="1" si="318"/>
        <v>929.19999999999993</v>
      </c>
    </row>
    <row r="8139" spans="1:6" ht="14.1" customHeight="1" x14ac:dyDescent="0.25">
      <c r="A8139" s="94" t="s">
        <v>6729</v>
      </c>
      <c r="B8139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139" s="95" t="str">
        <f>IFERROR(VLOOKUP("UD",'Informacion '!P:Q,2,FALSE),"")</f>
        <v>Unidad</v>
      </c>
      <c r="D8139" s="94">
        <v>12</v>
      </c>
      <c r="E8139" s="84">
        <v>283.89</v>
      </c>
      <c r="F8139" s="83">
        <f t="shared" ca="1" si="318"/>
        <v>3406.68</v>
      </c>
    </row>
    <row r="8140" spans="1:6" ht="14.1" customHeight="1" x14ac:dyDescent="0.25">
      <c r="A8140" s="94" t="s">
        <v>6729</v>
      </c>
      <c r="B8140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140" s="95" t="str">
        <f>IFERROR(VLOOKUP("UD",'Informacion '!P:Q,2,FALSE),"")</f>
        <v>Unidad</v>
      </c>
      <c r="D8140" s="94">
        <v>11</v>
      </c>
      <c r="E8140" s="84">
        <v>306.8</v>
      </c>
      <c r="F8140" s="83">
        <f t="shared" ca="1" si="318"/>
        <v>3374.8</v>
      </c>
    </row>
    <row r="8141" spans="1:6" ht="14.1" customHeight="1" x14ac:dyDescent="0.25">
      <c r="A8141" s="94" t="s">
        <v>1279</v>
      </c>
      <c r="B8141" s="82" t="str">
        <f ca="1">IFERROR(INDEX(UNSPSCDes,MATCH(INDIRECT(ADDRESS(ROW(),COLUMN()-1,4)),UNSPSCCode,0)),IF(INDIRECT(ADDRESS(ROW(),COLUMN()-1,4))="42231701","Tubos nasogástricos",""))</f>
        <v>Tubos nasogástricos</v>
      </c>
      <c r="C8141" s="95" t="str">
        <f>IFERROR(VLOOKUP("UD",'Informacion '!P:Q,2,FALSE),"")</f>
        <v>Unidad</v>
      </c>
      <c r="D8141" s="94">
        <v>5</v>
      </c>
      <c r="E8141" s="84">
        <v>11.39</v>
      </c>
      <c r="F8141" s="83">
        <f t="shared" ca="1" si="318"/>
        <v>56.95</v>
      </c>
    </row>
    <row r="8142" spans="1:6" ht="14.1" customHeight="1" x14ac:dyDescent="0.25">
      <c r="A8142" s="94" t="s">
        <v>1279</v>
      </c>
      <c r="B8142" s="82" t="str">
        <f ca="1">IFERROR(INDEX(UNSPSCDes,MATCH(INDIRECT(ADDRESS(ROW(),COLUMN()-1,4)),UNSPSCCode,0)),IF(INDIRECT(ADDRESS(ROW(),COLUMN()-1,4))="42231701","Tubos nasogástricos",""))</f>
        <v>Tubos nasogástricos</v>
      </c>
      <c r="C8142" s="95" t="str">
        <f>IFERROR(VLOOKUP("UD",'Informacion '!P:Q,2,FALSE),"")</f>
        <v>Unidad</v>
      </c>
      <c r="D8142" s="94">
        <v>17</v>
      </c>
      <c r="E8142" s="84">
        <v>39.28</v>
      </c>
      <c r="F8142" s="83">
        <f t="shared" ca="1" si="318"/>
        <v>667.76</v>
      </c>
    </row>
    <row r="8143" spans="1:6" ht="14.1" customHeight="1" x14ac:dyDescent="0.25">
      <c r="A8143" s="94" t="s">
        <v>1279</v>
      </c>
      <c r="B8143" s="82" t="str">
        <f ca="1">IFERROR(INDEX(UNSPSCDes,MATCH(INDIRECT(ADDRESS(ROW(),COLUMN()-1,4)),UNSPSCCode,0)),IF(INDIRECT(ADDRESS(ROW(),COLUMN()-1,4))="42231701","Tubos nasogástricos",""))</f>
        <v>Tubos nasogástricos</v>
      </c>
      <c r="C8143" s="95" t="str">
        <f>IFERROR(VLOOKUP("UD",'Informacion '!P:Q,2,FALSE),"")</f>
        <v>Unidad</v>
      </c>
      <c r="D8143" s="94">
        <v>4</v>
      </c>
      <c r="E8143" s="84">
        <v>37.409999999999997</v>
      </c>
      <c r="F8143" s="83">
        <f t="shared" ca="1" si="318"/>
        <v>149.63999999999999</v>
      </c>
    </row>
    <row r="8144" spans="1:6" ht="14.1" customHeight="1" x14ac:dyDescent="0.25">
      <c r="A8144" s="94" t="s">
        <v>12940</v>
      </c>
      <c r="B8144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8144" s="95" t="str">
        <f>IFERROR(VLOOKUP("UD",'Informacion '!P:Q,2,FALSE),"")</f>
        <v>Unidad</v>
      </c>
      <c r="D8144" s="94">
        <v>24</v>
      </c>
      <c r="E8144" s="84">
        <v>16</v>
      </c>
      <c r="F8144" s="83">
        <f t="shared" ca="1" si="318"/>
        <v>384</v>
      </c>
    </row>
    <row r="8145" spans="1:6" ht="14.1" customHeight="1" x14ac:dyDescent="0.25">
      <c r="A8145" s="94" t="s">
        <v>12940</v>
      </c>
      <c r="B8145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8145" s="95" t="str">
        <f>IFERROR(VLOOKUP("UD",'Informacion '!P:Q,2,FALSE),"")</f>
        <v>Unidad</v>
      </c>
      <c r="D8145" s="94">
        <v>12</v>
      </c>
      <c r="E8145" s="84">
        <v>16</v>
      </c>
      <c r="F8145" s="83">
        <f t="shared" ca="1" si="318"/>
        <v>192</v>
      </c>
    </row>
    <row r="8146" spans="1:6" ht="14.1" customHeight="1" x14ac:dyDescent="0.25">
      <c r="A8146" s="94" t="s">
        <v>14138</v>
      </c>
      <c r="B8146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146" s="95" t="str">
        <f>IFERROR(VLOOKUP("UD",'Informacion '!P:Q,2,FALSE),"")</f>
        <v>Unidad</v>
      </c>
      <c r="D8146" s="94">
        <v>4</v>
      </c>
      <c r="E8146" s="84">
        <v>59.91</v>
      </c>
      <c r="F8146" s="83">
        <f t="shared" ca="1" si="318"/>
        <v>239.64</v>
      </c>
    </row>
    <row r="8147" spans="1:6" ht="14.1" customHeight="1" x14ac:dyDescent="0.25">
      <c r="A8147" s="94" t="s">
        <v>18364</v>
      </c>
      <c r="B8147" s="82" t="str">
        <f ca="1">IFERROR(INDEX(UNSPSCDes,MATCH(INDIRECT(ADDRESS(ROW(),COLUMN()-1,4)),UNSPSCCode,0)),IF(INDIRECT(ADDRESS(ROW(),COLUMN()-1,4))="42171612","Camillas o accesorios redondas",""))</f>
        <v>Camillas o accesorios redondas</v>
      </c>
      <c r="C8147" s="95" t="str">
        <f>IFERROR(VLOOKUP("UD",'Informacion '!P:Q,2,FALSE),"")</f>
        <v>Unidad</v>
      </c>
      <c r="D8147" s="94">
        <v>104</v>
      </c>
      <c r="E8147" s="84">
        <v>123.9</v>
      </c>
      <c r="F8147" s="83">
        <f t="shared" ca="1" si="318"/>
        <v>12885.6</v>
      </c>
    </row>
    <row r="8148" spans="1:6" ht="14.1" customHeight="1" x14ac:dyDescent="0.25">
      <c r="A8148" s="94" t="s">
        <v>10483</v>
      </c>
      <c r="B8148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148" s="95" t="str">
        <f>IFERROR(VLOOKUP("UD",'Informacion '!P:Q,2,FALSE),"")</f>
        <v>Unidad</v>
      </c>
      <c r="D8148" s="94">
        <v>9</v>
      </c>
      <c r="E8148" s="84">
        <v>2029.7</v>
      </c>
      <c r="F8148" s="83">
        <f t="shared" ca="1" si="318"/>
        <v>18267.3</v>
      </c>
    </row>
    <row r="8149" spans="1:6" ht="14.1" customHeight="1" x14ac:dyDescent="0.25">
      <c r="A8149" s="94" t="s">
        <v>6481</v>
      </c>
      <c r="B8149" s="82" t="str">
        <f ca="1">IFERROR(INDEX(UNSPSCDes,MATCH(INDIRECT(ADDRESS(ROW(),COLUMN()-1,4)),UNSPSCCode,0)),IF(INDIRECT(ADDRESS(ROW(),COLUMN()-1,4))="42293603","Sondas para uso quirúrgico",""))</f>
        <v>Sondas para uso quirúrgico</v>
      </c>
      <c r="C8149" s="95" t="str">
        <f>IFERROR(VLOOKUP("UD",'Informacion '!P:Q,2,FALSE),"")</f>
        <v>Unidad</v>
      </c>
      <c r="D8149" s="94">
        <v>11</v>
      </c>
      <c r="E8149" s="84">
        <v>49.36</v>
      </c>
      <c r="F8149" s="83">
        <f t="shared" ca="1" si="318"/>
        <v>542.96</v>
      </c>
    </row>
    <row r="8150" spans="1:6" ht="14.1" customHeight="1" x14ac:dyDescent="0.25">
      <c r="A8150" s="94" t="s">
        <v>6481</v>
      </c>
      <c r="B8150" s="82" t="str">
        <f ca="1">IFERROR(INDEX(UNSPSCDes,MATCH(INDIRECT(ADDRESS(ROW(),COLUMN()-1,4)),UNSPSCCode,0)),IF(INDIRECT(ADDRESS(ROW(),COLUMN()-1,4))="42293603","Sondas para uso quirúrgico",""))</f>
        <v>Sondas para uso quirúrgico</v>
      </c>
      <c r="C8150" s="95" t="str">
        <f>IFERROR(VLOOKUP("UD",'Informacion '!P:Q,2,FALSE),"")</f>
        <v>Unidad</v>
      </c>
      <c r="D8150" s="94">
        <v>5</v>
      </c>
      <c r="E8150" s="84">
        <v>65.849999999999994</v>
      </c>
      <c r="F8150" s="83">
        <f t="shared" ca="1" si="318"/>
        <v>329.25</v>
      </c>
    </row>
    <row r="8151" spans="1:6" ht="14.1" customHeight="1" x14ac:dyDescent="0.25">
      <c r="A8151" s="94" t="s">
        <v>6481</v>
      </c>
      <c r="B8151" s="82" t="str">
        <f ca="1">IFERROR(INDEX(UNSPSCDes,MATCH(INDIRECT(ADDRESS(ROW(),COLUMN()-1,4)),UNSPSCCode,0)),IF(INDIRECT(ADDRESS(ROW(),COLUMN()-1,4))="42293603","Sondas para uso quirúrgico",""))</f>
        <v>Sondas para uso quirúrgico</v>
      </c>
      <c r="C8151" s="95" t="str">
        <f>IFERROR(VLOOKUP("UD",'Informacion '!P:Q,2,FALSE),"")</f>
        <v>Unidad</v>
      </c>
      <c r="D8151" s="94">
        <v>4</v>
      </c>
      <c r="E8151" s="84">
        <v>37.17</v>
      </c>
      <c r="F8151" s="83">
        <f t="shared" ca="1" si="318"/>
        <v>148.68</v>
      </c>
    </row>
    <row r="8152" spans="1:6" ht="14.1" customHeight="1" x14ac:dyDescent="0.25">
      <c r="A8152" s="94" t="s">
        <v>6481</v>
      </c>
      <c r="B8152" s="82" t="str">
        <f ca="1">IFERROR(INDEX(UNSPSCDes,MATCH(INDIRECT(ADDRESS(ROW(),COLUMN()-1,4)),UNSPSCCode,0)),IF(INDIRECT(ADDRESS(ROW(),COLUMN()-1,4))="42293603","Sondas para uso quirúrgico",""))</f>
        <v>Sondas para uso quirúrgico</v>
      </c>
      <c r="C8152" s="95" t="str">
        <f>IFERROR(VLOOKUP("UD",'Informacion '!P:Q,2,FALSE),"")</f>
        <v>Unidad</v>
      </c>
      <c r="D8152" s="94">
        <v>5</v>
      </c>
      <c r="E8152" s="84">
        <v>43.89</v>
      </c>
      <c r="F8152" s="83">
        <f t="shared" ca="1" si="318"/>
        <v>219.45</v>
      </c>
    </row>
    <row r="8153" spans="1:6" ht="14.1" customHeight="1" x14ac:dyDescent="0.25">
      <c r="A8153" s="94" t="s">
        <v>6481</v>
      </c>
      <c r="B8153" s="82" t="str">
        <f ca="1">IFERROR(INDEX(UNSPSCDes,MATCH(INDIRECT(ADDRESS(ROW(),COLUMN()-1,4)),UNSPSCCode,0)),IF(INDIRECT(ADDRESS(ROW(),COLUMN()-1,4))="42293603","Sondas para uso quirúrgico",""))</f>
        <v>Sondas para uso quirúrgico</v>
      </c>
      <c r="C8153" s="95" t="str">
        <f>IFERROR(VLOOKUP("UD",'Informacion '!P:Q,2,FALSE),"")</f>
        <v>Unidad</v>
      </c>
      <c r="D8153" s="94">
        <v>25</v>
      </c>
      <c r="E8153" s="84">
        <v>65.849999999999994</v>
      </c>
      <c r="F8153" s="83">
        <f t="shared" ca="1" si="318"/>
        <v>1646.2499999999998</v>
      </c>
    </row>
    <row r="8154" spans="1:6" ht="14.1" customHeight="1" x14ac:dyDescent="0.25">
      <c r="A8154" s="94" t="s">
        <v>12909</v>
      </c>
      <c r="B8154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154" s="95" t="str">
        <f>IFERROR(VLOOKUP("UD",'Informacion '!P:Q,2,FALSE),"")</f>
        <v>Unidad</v>
      </c>
      <c r="D8154" s="94">
        <v>16</v>
      </c>
      <c r="E8154" s="84">
        <v>95.29</v>
      </c>
      <c r="F8154" s="83">
        <f t="shared" ca="1" si="318"/>
        <v>1524.64</v>
      </c>
    </row>
    <row r="8155" spans="1:6" ht="14.1" customHeight="1" x14ac:dyDescent="0.25">
      <c r="A8155" s="94" t="s">
        <v>12909</v>
      </c>
      <c r="B815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155" s="95" t="str">
        <f>IFERROR(VLOOKUP("UD",'Informacion '!P:Q,2,FALSE),"")</f>
        <v>Unidad</v>
      </c>
      <c r="D8155" s="94">
        <v>72</v>
      </c>
      <c r="E8155" s="84">
        <v>335.94</v>
      </c>
      <c r="F8155" s="83">
        <f t="shared" ca="1" si="318"/>
        <v>24187.68</v>
      </c>
    </row>
    <row r="8156" spans="1:6" ht="14.1" customHeight="1" x14ac:dyDescent="0.25">
      <c r="A8156" s="94" t="s">
        <v>3216</v>
      </c>
      <c r="B8156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8156" s="95" t="str">
        <f>IFERROR(VLOOKUP("UD",'Informacion '!P:Q,2,FALSE),"")</f>
        <v>Unidad</v>
      </c>
      <c r="D8156" s="94">
        <v>10</v>
      </c>
      <c r="E8156" s="84">
        <v>22.5</v>
      </c>
      <c r="F8156" s="83">
        <f t="shared" ca="1" si="318"/>
        <v>225</v>
      </c>
    </row>
    <row r="8157" spans="1:6" ht="14.1" customHeight="1" x14ac:dyDescent="0.25">
      <c r="A8157" s="94" t="s">
        <v>3593</v>
      </c>
      <c r="B8157" s="82" t="str">
        <f ca="1">IFERROR(INDEX(UNSPSCDes,MATCH(INDIRECT(ADDRESS(ROW(),COLUMN()-1,4)),UNSPSCCode,0)),IF(INDIRECT(ADDRESS(ROW(),COLUMN()-1,4))="51181506","Insulina",""))</f>
        <v>Insulina</v>
      </c>
      <c r="C8157" s="95" t="str">
        <f>IFERROR(VLOOKUP("UD",'Informacion '!P:Q,2,FALSE),"")</f>
        <v>Unidad</v>
      </c>
      <c r="D8157" s="94">
        <v>29</v>
      </c>
      <c r="E8157" s="84">
        <v>17.29</v>
      </c>
      <c r="F8157" s="83">
        <f t="shared" ca="1" si="318"/>
        <v>501.40999999999997</v>
      </c>
    </row>
    <row r="8158" spans="1:6" ht="14.1" customHeight="1" x14ac:dyDescent="0.25">
      <c r="A8158" s="94" t="s">
        <v>14660</v>
      </c>
      <c r="B8158" s="82" t="str">
        <f ca="1">IFERROR(INDEX(UNSPSCDes,MATCH(INDIRECT(ADDRESS(ROW(),COLUMN()-1,4)),UNSPSCCode,0)),IF(INDIRECT(ADDRESS(ROW(),COLUMN()-1,4))="42311526","Vendajes de",""))</f>
        <v>Vendajes de</v>
      </c>
      <c r="C8158" s="95" t="str">
        <f>IFERROR(VLOOKUP("UD",'Informacion '!P:Q,2,FALSE),"")</f>
        <v>Unidad</v>
      </c>
      <c r="D8158" s="94">
        <v>55</v>
      </c>
      <c r="E8158" s="84">
        <v>52</v>
      </c>
      <c r="F8158" s="83">
        <f t="shared" ca="1" si="318"/>
        <v>2860</v>
      </c>
    </row>
    <row r="8159" spans="1:6" ht="14.1" customHeight="1" x14ac:dyDescent="0.25">
      <c r="A8159" s="94" t="s">
        <v>1279</v>
      </c>
      <c r="B8159" s="82" t="str">
        <f ca="1">IFERROR(INDEX(UNSPSCDes,MATCH(INDIRECT(ADDRESS(ROW(),COLUMN()-1,4)),UNSPSCCode,0)),IF(INDIRECT(ADDRESS(ROW(),COLUMN()-1,4))="42231701","Tubos nasogástricos",""))</f>
        <v>Tubos nasogástricos</v>
      </c>
      <c r="C8159" s="95" t="str">
        <f>IFERROR(VLOOKUP("UD",'Informacion '!P:Q,2,FALSE),"")</f>
        <v>Unidad</v>
      </c>
      <c r="D8159" s="94">
        <v>5</v>
      </c>
      <c r="E8159" s="84">
        <v>8.9700000000000006</v>
      </c>
      <c r="F8159" s="83">
        <f t="shared" ca="1" si="318"/>
        <v>44.85</v>
      </c>
    </row>
    <row r="8160" spans="1:6" ht="14.1" customHeight="1" x14ac:dyDescent="0.25">
      <c r="A8160" s="94" t="s">
        <v>7820</v>
      </c>
      <c r="B8160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160" s="95" t="str">
        <f>IFERROR(VLOOKUP("UD",'Informacion '!P:Q,2,FALSE),"")</f>
        <v>Unidad</v>
      </c>
      <c r="D8160" s="94">
        <v>6</v>
      </c>
      <c r="E8160" s="84">
        <v>152.91999999999999</v>
      </c>
      <c r="F8160" s="83">
        <f t="shared" ref="F8160:F8191" ca="1" si="319">INDIRECT(ADDRESS(ROW(),COLUMN()-2,4))*INDIRECT(ADDRESS(ROW(),COLUMN()-1,4))</f>
        <v>917.52</v>
      </c>
    </row>
    <row r="8161" spans="1:6" ht="14.1" customHeight="1" x14ac:dyDescent="0.25">
      <c r="A8161" s="94" t="s">
        <v>12940</v>
      </c>
      <c r="B8161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8161" s="95" t="str">
        <f>IFERROR(VLOOKUP("UD",'Informacion '!P:Q,2,FALSE),"")</f>
        <v>Unidad</v>
      </c>
      <c r="D8161" s="94">
        <v>8</v>
      </c>
      <c r="E8161" s="84">
        <v>16</v>
      </c>
      <c r="F8161" s="83">
        <f t="shared" ca="1" si="319"/>
        <v>128</v>
      </c>
    </row>
    <row r="8162" spans="1:6" ht="14.1" customHeight="1" x14ac:dyDescent="0.25">
      <c r="A8162" s="94" t="s">
        <v>16391</v>
      </c>
      <c r="B8162" s="82" t="str">
        <f ca="1">IFERROR(INDEX(UNSPSCDes,MATCH(INDIRECT(ADDRESS(ROW(),COLUMN()-1,4)),UNSPSCCode,0)),IF(INDIRECT(ADDRESS(ROW(),COLUMN()-1,4))="42142615","Accesorios para jeringas",""))</f>
        <v>Accesorios para jeringas</v>
      </c>
      <c r="C8162" s="95" t="str">
        <f>IFERROR(VLOOKUP("UD",'Informacion '!P:Q,2,FALSE),"")</f>
        <v>Unidad</v>
      </c>
      <c r="D8162" s="94">
        <v>8</v>
      </c>
      <c r="E8162" s="84">
        <v>2.7</v>
      </c>
      <c r="F8162" s="83">
        <f t="shared" ca="1" si="319"/>
        <v>21.6</v>
      </c>
    </row>
    <row r="8163" spans="1:6" ht="14.1" customHeight="1" x14ac:dyDescent="0.25">
      <c r="A8163" s="94" t="s">
        <v>1279</v>
      </c>
      <c r="B8163" s="82" t="str">
        <f ca="1">IFERROR(INDEX(UNSPSCDes,MATCH(INDIRECT(ADDRESS(ROW(),COLUMN()-1,4)),UNSPSCCode,0)),IF(INDIRECT(ADDRESS(ROW(),COLUMN()-1,4))="42231701","Tubos nasogástricos",""))</f>
        <v>Tubos nasogástricos</v>
      </c>
      <c r="C8163" s="95" t="str">
        <f>IFERROR(VLOOKUP("UD",'Informacion '!P:Q,2,FALSE),"")</f>
        <v>Unidad</v>
      </c>
      <c r="D8163" s="94">
        <v>4</v>
      </c>
      <c r="E8163" s="84">
        <v>4.5</v>
      </c>
      <c r="F8163" s="83">
        <f t="shared" ca="1" si="319"/>
        <v>18</v>
      </c>
    </row>
    <row r="8164" spans="1:6" ht="14.1" customHeight="1" x14ac:dyDescent="0.25">
      <c r="A8164" s="94" t="s">
        <v>1279</v>
      </c>
      <c r="B8164" s="82" t="str">
        <f ca="1">IFERROR(INDEX(UNSPSCDes,MATCH(INDIRECT(ADDRESS(ROW(),COLUMN()-1,4)),UNSPSCCode,0)),IF(INDIRECT(ADDRESS(ROW(),COLUMN()-1,4))="42231701","Tubos nasogástricos",""))</f>
        <v>Tubos nasogástricos</v>
      </c>
      <c r="C8164" s="95" t="str">
        <f>IFERROR(VLOOKUP("UD",'Informacion '!P:Q,2,FALSE),"")</f>
        <v>Unidad</v>
      </c>
      <c r="D8164" s="94">
        <v>4</v>
      </c>
      <c r="E8164" s="84">
        <v>10.62</v>
      </c>
      <c r="F8164" s="83">
        <f t="shared" ca="1" si="319"/>
        <v>42.48</v>
      </c>
    </row>
    <row r="8165" spans="1:6" ht="14.1" customHeight="1" x14ac:dyDescent="0.25">
      <c r="A8165" s="94" t="s">
        <v>1279</v>
      </c>
      <c r="B8165" s="82" t="str">
        <f ca="1">IFERROR(INDEX(UNSPSCDes,MATCH(INDIRECT(ADDRESS(ROW(),COLUMN()-1,4)),UNSPSCCode,0)),IF(INDIRECT(ADDRESS(ROW(),COLUMN()-1,4))="42231701","Tubos nasogástricos",""))</f>
        <v>Tubos nasogástricos</v>
      </c>
      <c r="C8165" s="95" t="str">
        <f>IFERROR(VLOOKUP("UD",'Informacion '!P:Q,2,FALSE),"")</f>
        <v>Unidad</v>
      </c>
      <c r="D8165" s="94">
        <v>4</v>
      </c>
      <c r="E8165" s="84">
        <v>46</v>
      </c>
      <c r="F8165" s="83">
        <f t="shared" ca="1" si="319"/>
        <v>184</v>
      </c>
    </row>
    <row r="8166" spans="1:6" ht="14.1" customHeight="1" x14ac:dyDescent="0.25">
      <c r="A8166" s="94" t="s">
        <v>12909</v>
      </c>
      <c r="B8166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166" s="95" t="str">
        <f>IFERROR(VLOOKUP("UD",'Informacion '!P:Q,2,FALSE),"")</f>
        <v>Unidad</v>
      </c>
      <c r="D8166" s="94">
        <v>46</v>
      </c>
      <c r="E8166" s="84">
        <v>126.69</v>
      </c>
      <c r="F8166" s="83">
        <f t="shared" ca="1" si="319"/>
        <v>5827.74</v>
      </c>
    </row>
    <row r="8167" spans="1:6" ht="14.1" customHeight="1" x14ac:dyDescent="0.25">
      <c r="A8167" s="94" t="s">
        <v>16391</v>
      </c>
      <c r="B8167" s="82" t="str">
        <f ca="1">IFERROR(INDEX(UNSPSCDes,MATCH(INDIRECT(ADDRESS(ROW(),COLUMN()-1,4)),UNSPSCCode,0)),IF(INDIRECT(ADDRESS(ROW(),COLUMN()-1,4))="42142615","Accesorios para jeringas",""))</f>
        <v>Accesorios para jeringas</v>
      </c>
      <c r="C8167" s="95" t="str">
        <f>IFERROR(VLOOKUP("UD",'Informacion '!P:Q,2,FALSE),"")</f>
        <v>Unidad</v>
      </c>
      <c r="D8167" s="94">
        <v>34</v>
      </c>
      <c r="E8167" s="84">
        <v>16.54</v>
      </c>
      <c r="F8167" s="83">
        <f t="shared" ca="1" si="319"/>
        <v>562.36</v>
      </c>
    </row>
    <row r="8168" spans="1:6" ht="14.1" customHeight="1" x14ac:dyDescent="0.25">
      <c r="A8168" s="94" t="s">
        <v>6481</v>
      </c>
      <c r="B8168" s="82" t="str">
        <f ca="1">IFERROR(INDEX(UNSPSCDes,MATCH(INDIRECT(ADDRESS(ROW(),COLUMN()-1,4)),UNSPSCCode,0)),IF(INDIRECT(ADDRESS(ROW(),COLUMN()-1,4))="42293603","Sondas para uso quirúrgico",""))</f>
        <v>Sondas para uso quirúrgico</v>
      </c>
      <c r="C8168" s="95" t="str">
        <f>IFERROR(VLOOKUP("UD",'Informacion '!P:Q,2,FALSE),"")</f>
        <v>Unidad</v>
      </c>
      <c r="D8168" s="94">
        <v>14</v>
      </c>
      <c r="E8168" s="84">
        <v>60.5</v>
      </c>
      <c r="F8168" s="83">
        <f t="shared" ca="1" si="319"/>
        <v>847</v>
      </c>
    </row>
    <row r="8169" spans="1:6" ht="14.1" customHeight="1" x14ac:dyDescent="0.25">
      <c r="A8169" s="94" t="s">
        <v>1279</v>
      </c>
      <c r="B8169" s="82" t="str">
        <f ca="1">IFERROR(INDEX(UNSPSCDes,MATCH(INDIRECT(ADDRESS(ROW(),COLUMN()-1,4)),UNSPSCCode,0)),IF(INDIRECT(ADDRESS(ROW(),COLUMN()-1,4))="42231701","Tubos nasogástricos",""))</f>
        <v>Tubos nasogástricos</v>
      </c>
      <c r="C8169" s="95" t="str">
        <f>IFERROR(VLOOKUP("UD",'Informacion '!P:Q,2,FALSE),"")</f>
        <v>Unidad</v>
      </c>
      <c r="D8169" s="94">
        <v>10</v>
      </c>
      <c r="E8169" s="84">
        <v>20.059999999999999</v>
      </c>
      <c r="F8169" s="83">
        <f t="shared" ca="1" si="319"/>
        <v>200.6</v>
      </c>
    </row>
    <row r="8170" spans="1:6" ht="14.1" customHeight="1" x14ac:dyDescent="0.25">
      <c r="A8170" s="94" t="s">
        <v>1279</v>
      </c>
      <c r="B8170" s="82" t="str">
        <f ca="1">IFERROR(INDEX(UNSPSCDes,MATCH(INDIRECT(ADDRESS(ROW(),COLUMN()-1,4)),UNSPSCCode,0)),IF(INDIRECT(ADDRESS(ROW(),COLUMN()-1,4))="42231701","Tubos nasogástricos",""))</f>
        <v>Tubos nasogástricos</v>
      </c>
      <c r="C8170" s="95" t="str">
        <f>IFERROR(VLOOKUP("UD",'Informacion '!P:Q,2,FALSE),"")</f>
        <v>Unidad</v>
      </c>
      <c r="D8170" s="94">
        <v>20</v>
      </c>
      <c r="E8170" s="84">
        <v>14.89</v>
      </c>
      <c r="F8170" s="83">
        <f t="shared" ca="1" si="319"/>
        <v>297.8</v>
      </c>
    </row>
    <row r="8171" spans="1:6" ht="14.1" customHeight="1" x14ac:dyDescent="0.25">
      <c r="A8171" s="94" t="s">
        <v>6481</v>
      </c>
      <c r="B8171" s="82" t="str">
        <f ca="1">IFERROR(INDEX(UNSPSCDes,MATCH(INDIRECT(ADDRESS(ROW(),COLUMN()-1,4)),UNSPSCCode,0)),IF(INDIRECT(ADDRESS(ROW(),COLUMN()-1,4))="42293603","Sondas para uso quirúrgico",""))</f>
        <v>Sondas para uso quirúrgico</v>
      </c>
      <c r="C8171" s="95" t="str">
        <f>IFERROR(VLOOKUP("UD",'Informacion '!P:Q,2,FALSE),"")</f>
        <v>Unidad</v>
      </c>
      <c r="D8171" s="94">
        <v>4</v>
      </c>
      <c r="E8171" s="84">
        <v>4.57</v>
      </c>
      <c r="F8171" s="83">
        <f t="shared" ca="1" si="319"/>
        <v>18.28</v>
      </c>
    </row>
    <row r="8172" spans="1:6" ht="14.1" customHeight="1" x14ac:dyDescent="0.25">
      <c r="A8172" s="94" t="s">
        <v>6481</v>
      </c>
      <c r="B8172" s="82" t="str">
        <f ca="1">IFERROR(INDEX(UNSPSCDes,MATCH(INDIRECT(ADDRESS(ROW(),COLUMN()-1,4)),UNSPSCCode,0)),IF(INDIRECT(ADDRESS(ROW(),COLUMN()-1,4))="42293603","Sondas para uso quirúrgico",""))</f>
        <v>Sondas para uso quirúrgico</v>
      </c>
      <c r="C8172" s="95" t="str">
        <f>IFERROR(VLOOKUP("UD",'Informacion '!P:Q,2,FALSE),"")</f>
        <v>Unidad</v>
      </c>
      <c r="D8172" s="94">
        <v>4</v>
      </c>
      <c r="E8172" s="84">
        <v>9.23</v>
      </c>
      <c r="F8172" s="83">
        <f t="shared" ca="1" si="319"/>
        <v>36.92</v>
      </c>
    </row>
    <row r="8173" spans="1:6" ht="14.1" customHeight="1" x14ac:dyDescent="0.25">
      <c r="A8173" s="94" t="s">
        <v>6481</v>
      </c>
      <c r="B8173" s="82" t="str">
        <f ca="1">IFERROR(INDEX(UNSPSCDes,MATCH(INDIRECT(ADDRESS(ROW(),COLUMN()-1,4)),UNSPSCCode,0)),IF(INDIRECT(ADDRESS(ROW(),COLUMN()-1,4))="42293603","Sondas para uso quirúrgico",""))</f>
        <v>Sondas para uso quirúrgico</v>
      </c>
      <c r="C8173" s="95" t="str">
        <f>IFERROR(VLOOKUP("UD",'Informacion '!P:Q,2,FALSE),"")</f>
        <v>Unidad</v>
      </c>
      <c r="D8173" s="94">
        <v>9</v>
      </c>
      <c r="E8173" s="84">
        <v>9.08</v>
      </c>
      <c r="F8173" s="83">
        <f t="shared" ca="1" si="319"/>
        <v>81.72</v>
      </c>
    </row>
    <row r="8174" spans="1:6" ht="14.1" customHeight="1" x14ac:dyDescent="0.25">
      <c r="A8174" s="94" t="s">
        <v>7820</v>
      </c>
      <c r="B8174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174" s="95" t="str">
        <f>IFERROR(VLOOKUP("UD",'Informacion '!P:Q,2,FALSE),"")</f>
        <v>Unidad</v>
      </c>
      <c r="D8174" s="94">
        <v>58</v>
      </c>
      <c r="E8174" s="84">
        <v>68.67</v>
      </c>
      <c r="F8174" s="83">
        <f t="shared" ca="1" si="319"/>
        <v>3982.86</v>
      </c>
    </row>
    <row r="8175" spans="1:6" ht="14.1" customHeight="1" x14ac:dyDescent="0.25">
      <c r="A8175" s="94" t="s">
        <v>10494</v>
      </c>
      <c r="B8175" s="82" t="str">
        <f ca="1">IFERROR(INDEX(UNSPSCDes,MATCH(INDIRECT(ADDRESS(ROW(),COLUMN()-1,4)),UNSPSCCode,0)),IF(INDIRECT(ADDRESS(ROW(),COLUMN()-1,4))="56101533","Descansa brazos",""))</f>
        <v>Descansa brazos</v>
      </c>
      <c r="C8175" s="95" t="str">
        <f>IFERROR(VLOOKUP("UD",'Informacion '!P:Q,2,FALSE),"")</f>
        <v>Unidad</v>
      </c>
      <c r="D8175" s="94">
        <v>4</v>
      </c>
      <c r="E8175" s="84">
        <v>32.75</v>
      </c>
      <c r="F8175" s="83">
        <f t="shared" ca="1" si="319"/>
        <v>131</v>
      </c>
    </row>
    <row r="8176" spans="1:6" ht="14.1" customHeight="1" x14ac:dyDescent="0.25">
      <c r="A8176" s="94" t="s">
        <v>6120</v>
      </c>
      <c r="B8176" s="82" t="str">
        <f ca="1">IFERROR(INDEX(UNSPSCDes,MATCH(INDIRECT(ADDRESS(ROW(),COLUMN()-1,4)),UNSPSCCode,0)),IF(INDIRECT(ADDRESS(ROW(),COLUMN()-1,4))="44121634","Rollos adhesivos",""))</f>
        <v>Rollos adhesivos</v>
      </c>
      <c r="C8176" s="95" t="str">
        <f>IFERROR(VLOOKUP("UD",'Informacion '!P:Q,2,FALSE),"")</f>
        <v>Unidad</v>
      </c>
      <c r="D8176" s="94">
        <v>43</v>
      </c>
      <c r="E8176" s="84">
        <v>80</v>
      </c>
      <c r="F8176" s="83">
        <f t="shared" ca="1" si="319"/>
        <v>3440</v>
      </c>
    </row>
    <row r="8177" spans="1:6" ht="14.1" customHeight="1" x14ac:dyDescent="0.25">
      <c r="A8177" s="94" t="s">
        <v>7589</v>
      </c>
      <c r="B8177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177" s="95" t="str">
        <f>IFERROR(VLOOKUP("UD",'Informacion '!P:Q,2,FALSE),"")</f>
        <v>Unidad</v>
      </c>
      <c r="D8177" s="94">
        <v>11</v>
      </c>
      <c r="E8177" s="84">
        <v>496.29</v>
      </c>
      <c r="F8177" s="83">
        <f t="shared" ca="1" si="319"/>
        <v>5459.1900000000005</v>
      </c>
    </row>
    <row r="8178" spans="1:6" ht="14.1" customHeight="1" x14ac:dyDescent="0.25">
      <c r="A8178" s="94" t="s">
        <v>7589</v>
      </c>
      <c r="B8178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178" s="95" t="str">
        <f>IFERROR(VLOOKUP("UD",'Informacion '!P:Q,2,FALSE),"")</f>
        <v>Unidad</v>
      </c>
      <c r="D8178" s="94">
        <v>5</v>
      </c>
      <c r="E8178" s="84">
        <v>388.72</v>
      </c>
      <c r="F8178" s="83">
        <f t="shared" ca="1" si="319"/>
        <v>1943.6000000000001</v>
      </c>
    </row>
    <row r="8179" spans="1:6" ht="14.1" customHeight="1" x14ac:dyDescent="0.25">
      <c r="A8179" s="94" t="s">
        <v>1279</v>
      </c>
      <c r="B8179" s="82" t="str">
        <f ca="1">IFERROR(INDEX(UNSPSCDes,MATCH(INDIRECT(ADDRESS(ROW(),COLUMN()-1,4)),UNSPSCCode,0)),IF(INDIRECT(ADDRESS(ROW(),COLUMN()-1,4))="42231701","Tubos nasogástricos",""))</f>
        <v>Tubos nasogástricos</v>
      </c>
      <c r="C8179" s="95" t="str">
        <f>IFERROR(VLOOKUP("UD",'Informacion '!P:Q,2,FALSE),"")</f>
        <v>Unidad</v>
      </c>
      <c r="D8179" s="94">
        <v>19</v>
      </c>
      <c r="E8179" s="84">
        <v>8.4600000000000009</v>
      </c>
      <c r="F8179" s="83">
        <f t="shared" ca="1" si="319"/>
        <v>160.74</v>
      </c>
    </row>
    <row r="8180" spans="1:6" ht="14.1" customHeight="1" x14ac:dyDescent="0.25">
      <c r="A8180" s="94" t="s">
        <v>16391</v>
      </c>
      <c r="B8180" s="82" t="str">
        <f ca="1">IFERROR(INDEX(UNSPSCDes,MATCH(INDIRECT(ADDRESS(ROW(),COLUMN()-1,4)),UNSPSCCode,0)),IF(INDIRECT(ADDRESS(ROW(),COLUMN()-1,4))="42142615","Accesorios para jeringas",""))</f>
        <v>Accesorios para jeringas</v>
      </c>
      <c r="C8180" s="95" t="str">
        <f>IFERROR(VLOOKUP("UD",'Informacion '!P:Q,2,FALSE),"")</f>
        <v>Unidad</v>
      </c>
      <c r="D8180" s="94">
        <v>5</v>
      </c>
      <c r="E8180" s="84">
        <v>24</v>
      </c>
      <c r="F8180" s="83">
        <f t="shared" ca="1" si="319"/>
        <v>120</v>
      </c>
    </row>
    <row r="8181" spans="1:6" ht="14.1" customHeight="1" x14ac:dyDescent="0.25">
      <c r="A8181" s="94" t="s">
        <v>7595</v>
      </c>
      <c r="B8181" s="82" t="str">
        <f ca="1">IFERROR(INDEX(UNSPSCDes,MATCH(INDIRECT(ADDRESS(ROW(),COLUMN()-1,4)),UNSPSCCode,0)),IF(INDIRECT(ADDRESS(ROW(),COLUMN()-1,4))="42181709","Papel de registro de electrocardiografía (ECG)",""))</f>
        <v>Papel de registro de electrocardiografía (ECG)</v>
      </c>
      <c r="C8181" s="95" t="str">
        <f>IFERROR(VLOOKUP("UD",'Informacion '!P:Q,2,FALSE),"")</f>
        <v>Unidad</v>
      </c>
      <c r="D8181" s="94">
        <v>17</v>
      </c>
      <c r="E8181" s="84">
        <v>1595.75</v>
      </c>
      <c r="F8181" s="83">
        <f t="shared" ca="1" si="319"/>
        <v>27127.75</v>
      </c>
    </row>
    <row r="8182" spans="1:6" ht="14.1" customHeight="1" x14ac:dyDescent="0.25">
      <c r="A8182" s="94" t="s">
        <v>435</v>
      </c>
      <c r="B8182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182" s="95" t="str">
        <f>IFERROR(VLOOKUP("UD",'Informacion '!P:Q,2,FALSE),"")</f>
        <v>Unidad</v>
      </c>
      <c r="D8182" s="94">
        <v>140</v>
      </c>
      <c r="E8182" s="84">
        <v>3</v>
      </c>
      <c r="F8182" s="83">
        <f t="shared" ca="1" si="319"/>
        <v>420</v>
      </c>
    </row>
    <row r="8183" spans="1:6" ht="14.1" customHeight="1" x14ac:dyDescent="0.25">
      <c r="A8183" s="94" t="s">
        <v>435</v>
      </c>
      <c r="B818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183" s="95" t="str">
        <f>IFERROR(VLOOKUP("UD",'Informacion '!P:Q,2,FALSE),"")</f>
        <v>Unidad</v>
      </c>
      <c r="D8183" s="94">
        <v>18</v>
      </c>
      <c r="E8183" s="84">
        <v>358.74</v>
      </c>
      <c r="F8183" s="83">
        <f t="shared" ca="1" si="319"/>
        <v>6457.32</v>
      </c>
    </row>
    <row r="8184" spans="1:6" ht="14.1" customHeight="1" x14ac:dyDescent="0.25">
      <c r="A8184" s="94" t="s">
        <v>16391</v>
      </c>
      <c r="B8184" s="82" t="str">
        <f ca="1">IFERROR(INDEX(UNSPSCDes,MATCH(INDIRECT(ADDRESS(ROW(),COLUMN()-1,4)),UNSPSCCode,0)),IF(INDIRECT(ADDRESS(ROW(),COLUMN()-1,4))="42142615","Accesorios para jeringas",""))</f>
        <v>Accesorios para jeringas</v>
      </c>
      <c r="C8184" s="95" t="str">
        <f>IFERROR(VLOOKUP("UD",'Informacion '!P:Q,2,FALSE),"")</f>
        <v>Unidad</v>
      </c>
      <c r="D8184" s="94">
        <v>7</v>
      </c>
      <c r="E8184" s="84">
        <v>2.7</v>
      </c>
      <c r="F8184" s="83">
        <f t="shared" ca="1" si="319"/>
        <v>18.900000000000002</v>
      </c>
    </row>
    <row r="8185" spans="1:6" ht="14.1" customHeight="1" x14ac:dyDescent="0.25">
      <c r="A8185" s="94" t="s">
        <v>16391</v>
      </c>
      <c r="B8185" s="82" t="str">
        <f ca="1">IFERROR(INDEX(UNSPSCDes,MATCH(INDIRECT(ADDRESS(ROW(),COLUMN()-1,4)),UNSPSCCode,0)),IF(INDIRECT(ADDRESS(ROW(),COLUMN()-1,4))="42142615","Accesorios para jeringas",""))</f>
        <v>Accesorios para jeringas</v>
      </c>
      <c r="C8185" s="95" t="str">
        <f>IFERROR(VLOOKUP("UD",'Informacion '!P:Q,2,FALSE),"")</f>
        <v>Unidad</v>
      </c>
      <c r="D8185" s="94">
        <v>2232</v>
      </c>
      <c r="E8185" s="84">
        <v>1.5</v>
      </c>
      <c r="F8185" s="83">
        <f t="shared" ca="1" si="319"/>
        <v>3348</v>
      </c>
    </row>
    <row r="8186" spans="1:6" ht="14.1" customHeight="1" x14ac:dyDescent="0.25">
      <c r="A8186" s="94" t="s">
        <v>1865</v>
      </c>
      <c r="B8186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8186" s="95" t="str">
        <f>IFERROR(VLOOKUP("UD",'Informacion '!P:Q,2,FALSE),"")</f>
        <v>Unidad</v>
      </c>
      <c r="D8186" s="94">
        <v>1110</v>
      </c>
      <c r="E8186" s="84">
        <v>14</v>
      </c>
      <c r="F8186" s="83">
        <f t="shared" ca="1" si="319"/>
        <v>15540</v>
      </c>
    </row>
    <row r="8187" spans="1:6" ht="14.1" customHeight="1" x14ac:dyDescent="0.25">
      <c r="A8187" s="94" t="s">
        <v>16391</v>
      </c>
      <c r="B8187" s="82" t="str">
        <f ca="1">IFERROR(INDEX(UNSPSCDes,MATCH(INDIRECT(ADDRESS(ROW(),COLUMN()-1,4)),UNSPSCCode,0)),IF(INDIRECT(ADDRESS(ROW(),COLUMN()-1,4))="42142615","Accesorios para jeringas",""))</f>
        <v>Accesorios para jeringas</v>
      </c>
      <c r="C8187" s="95" t="str">
        <f>IFERROR(VLOOKUP("UD",'Informacion '!P:Q,2,FALSE),"")</f>
        <v>Unidad</v>
      </c>
      <c r="D8187" s="94">
        <v>71</v>
      </c>
      <c r="E8187" s="84">
        <v>2.88</v>
      </c>
      <c r="F8187" s="83">
        <f t="shared" ca="1" si="319"/>
        <v>204.48</v>
      </c>
    </row>
    <row r="8188" spans="1:6" ht="14.1" customHeight="1" x14ac:dyDescent="0.25">
      <c r="A8188" s="94" t="s">
        <v>9447</v>
      </c>
      <c r="B8188" s="82" t="str">
        <f ca="1">IFERROR(INDEX(UNSPSCDes,MATCH(INDIRECT(ADDRESS(ROW(),COLUMN()-1,4)),UNSPSCCode,0)),IF(INDIRECT(ADDRESS(ROW(),COLUMN()-1,4))="42221614","Kits de administración de tubos intravenosos con catéter",""))</f>
        <v>Kits de administración de tubos intravenosos con catéter</v>
      </c>
      <c r="C8188" s="95" t="str">
        <f>IFERROR(VLOOKUP("UD",'Informacion '!P:Q,2,FALSE),"")</f>
        <v>Unidad</v>
      </c>
      <c r="D8188" s="94">
        <v>5</v>
      </c>
      <c r="E8188" s="84">
        <v>118.93</v>
      </c>
      <c r="F8188" s="83">
        <f t="shared" ca="1" si="319"/>
        <v>594.65000000000009</v>
      </c>
    </row>
    <row r="8189" spans="1:6" ht="14.1" customHeight="1" x14ac:dyDescent="0.25">
      <c r="A8189" s="94" t="s">
        <v>3642</v>
      </c>
      <c r="B8189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8189" s="95" t="str">
        <f>IFERROR(VLOOKUP("UD",'Informacion '!P:Q,2,FALSE),"")</f>
        <v>Unidad</v>
      </c>
      <c r="D8189" s="94">
        <v>136</v>
      </c>
      <c r="E8189" s="84">
        <v>108.92</v>
      </c>
      <c r="F8189" s="83">
        <f t="shared" ca="1" si="319"/>
        <v>14813.12</v>
      </c>
    </row>
    <row r="8190" spans="1:6" ht="14.1" customHeight="1" x14ac:dyDescent="0.25">
      <c r="A8190" s="94" t="s">
        <v>16391</v>
      </c>
      <c r="B8190" s="82" t="str">
        <f ca="1">IFERROR(INDEX(UNSPSCDes,MATCH(INDIRECT(ADDRESS(ROW(),COLUMN()-1,4)),UNSPSCCode,0)),IF(INDIRECT(ADDRESS(ROW(),COLUMN()-1,4))="42142615","Accesorios para jeringas",""))</f>
        <v>Accesorios para jeringas</v>
      </c>
      <c r="C8190" s="95" t="str">
        <f>IFERROR(VLOOKUP("UD",'Informacion '!P:Q,2,FALSE),"")</f>
        <v>Unidad</v>
      </c>
      <c r="D8190" s="94">
        <v>367</v>
      </c>
      <c r="E8190" s="84">
        <v>15.37</v>
      </c>
      <c r="F8190" s="83">
        <f t="shared" ca="1" si="319"/>
        <v>5640.79</v>
      </c>
    </row>
    <row r="8191" spans="1:6" ht="14.1" customHeight="1" x14ac:dyDescent="0.25">
      <c r="A8191" s="94" t="s">
        <v>4852</v>
      </c>
      <c r="B8191" s="82" t="str">
        <f ca="1">IFERROR(INDEX(UNSPSCDes,MATCH(INDIRECT(ADDRESS(ROW(),COLUMN()-1,4)),UNSPSCCode,0)),IF(INDIRECT(ADDRESS(ROW(),COLUMN()-1,4))="42295303","Catéteres o conectores o accesorios de uso quirúrgico",""))</f>
        <v>Catéteres o conectores o accesorios de uso quirúrgico</v>
      </c>
      <c r="C8191" s="95" t="str">
        <f>IFERROR(VLOOKUP("UD",'Informacion '!P:Q,2,FALSE),"")</f>
        <v>Unidad</v>
      </c>
      <c r="D8191" s="94">
        <v>5</v>
      </c>
      <c r="E8191" s="84">
        <v>162.80000000000001</v>
      </c>
      <c r="F8191" s="83">
        <f t="shared" ca="1" si="319"/>
        <v>814</v>
      </c>
    </row>
    <row r="8192" spans="1:6" ht="14.1" customHeight="1" x14ac:dyDescent="0.25">
      <c r="A8192" s="94" t="s">
        <v>6266</v>
      </c>
      <c r="B8192" s="82" t="str">
        <f ca="1">IFERROR(INDEX(UNSPSCDes,MATCH(INDIRECT(ADDRESS(ROW(),COLUMN()-1,4)),UNSPSCCode,0)),IF(INDIRECT(ADDRESS(ROW(),COLUMN()-1,4))="30151701","Boquillas de bajantes",""))</f>
        <v>Boquillas de bajantes</v>
      </c>
      <c r="C8192" s="95" t="str">
        <f>IFERROR(VLOOKUP("UD",'Informacion '!P:Q,2,FALSE),"")</f>
        <v>Unidad</v>
      </c>
      <c r="D8192" s="94">
        <v>829</v>
      </c>
      <c r="E8192" s="84">
        <v>10.75</v>
      </c>
      <c r="F8192" s="83">
        <f t="shared" ref="F8192:F8224" ca="1" si="320">INDIRECT(ADDRESS(ROW(),COLUMN()-2,4))*INDIRECT(ADDRESS(ROW(),COLUMN()-1,4))</f>
        <v>8911.75</v>
      </c>
    </row>
    <row r="8193" spans="1:6" ht="14.1" customHeight="1" x14ac:dyDescent="0.25">
      <c r="A8193" s="94" t="s">
        <v>18202</v>
      </c>
      <c r="B8193" s="82" t="str">
        <f ca="1">IFERROR(INDEX(UNSPSCDes,MATCH(INDIRECT(ADDRESS(ROW(),COLUMN()-1,4)),UNSPSCCode,0)),IF(INDIRECT(ADDRESS(ROW(),COLUMN()-1,4))="14111609","Papel de cubierta",""))</f>
        <v>Papel de cubierta</v>
      </c>
      <c r="C8193" s="95" t="str">
        <f>IFERROR(VLOOKUP("UD",'Informacion '!P:Q,2,FALSE),"")</f>
        <v>Unidad</v>
      </c>
      <c r="D8193" s="94">
        <v>24</v>
      </c>
      <c r="E8193" s="84">
        <v>146.32</v>
      </c>
      <c r="F8193" s="83">
        <f t="shared" ca="1" si="320"/>
        <v>3511.68</v>
      </c>
    </row>
    <row r="8194" spans="1:6" ht="14.1" customHeight="1" x14ac:dyDescent="0.25">
      <c r="A8194" s="94" t="s">
        <v>18707</v>
      </c>
      <c r="B8194" s="82" t="str">
        <f ca="1">IFERROR(INDEX(UNSPSCDes,MATCH(INDIRECT(ADDRESS(ROW(),COLUMN()-1,4)),UNSPSCCode,0)),IF(INDIRECT(ADDRESS(ROW(),COLUMN()-1,4))="40101903","Humidificadores",""))</f>
        <v>Humidificadores</v>
      </c>
      <c r="C8194" s="95" t="str">
        <f>IFERROR(VLOOKUP("UD",'Informacion '!P:Q,2,FALSE),"")</f>
        <v>Unidad</v>
      </c>
      <c r="D8194" s="94">
        <v>26</v>
      </c>
      <c r="E8194" s="84">
        <v>108.29</v>
      </c>
      <c r="F8194" s="83">
        <f t="shared" ca="1" si="320"/>
        <v>2815.54</v>
      </c>
    </row>
    <row r="8195" spans="1:6" ht="14.1" customHeight="1" x14ac:dyDescent="0.25">
      <c r="A8195" s="94" t="s">
        <v>16391</v>
      </c>
      <c r="B8195" s="82" t="str">
        <f ca="1">IFERROR(INDEX(UNSPSCDes,MATCH(INDIRECT(ADDRESS(ROW(),COLUMN()-1,4)),UNSPSCCode,0)),IF(INDIRECT(ADDRESS(ROW(),COLUMN()-1,4))="42142615","Accesorios para jeringas",""))</f>
        <v>Accesorios para jeringas</v>
      </c>
      <c r="C8195" s="95" t="str">
        <f>IFERROR(VLOOKUP("UD",'Informacion '!P:Q,2,FALSE),"")</f>
        <v>Unidad</v>
      </c>
      <c r="D8195" s="94">
        <v>4</v>
      </c>
      <c r="E8195" s="84">
        <v>7.24</v>
      </c>
      <c r="F8195" s="83">
        <f t="shared" ca="1" si="320"/>
        <v>28.96</v>
      </c>
    </row>
    <row r="8196" spans="1:6" ht="14.1" customHeight="1" x14ac:dyDescent="0.25">
      <c r="A8196" s="94" t="s">
        <v>16391</v>
      </c>
      <c r="B8196" s="82" t="str">
        <f ca="1">IFERROR(INDEX(UNSPSCDes,MATCH(INDIRECT(ADDRESS(ROW(),COLUMN()-1,4)),UNSPSCCode,0)),IF(INDIRECT(ADDRESS(ROW(),COLUMN()-1,4))="42142615","Accesorios para jeringas",""))</f>
        <v>Accesorios para jeringas</v>
      </c>
      <c r="C8196" s="95" t="str">
        <f>IFERROR(VLOOKUP("UD",'Informacion '!P:Q,2,FALSE),"")</f>
        <v>Unidad</v>
      </c>
      <c r="D8196" s="94">
        <v>12</v>
      </c>
      <c r="E8196" s="84">
        <v>12.78</v>
      </c>
      <c r="F8196" s="83">
        <f t="shared" ca="1" si="320"/>
        <v>153.35999999999999</v>
      </c>
    </row>
    <row r="8197" spans="1:6" ht="14.1" customHeight="1" x14ac:dyDescent="0.25">
      <c r="A8197" s="94" t="s">
        <v>14660</v>
      </c>
      <c r="B8197" s="82" t="str">
        <f ca="1">IFERROR(INDEX(UNSPSCDes,MATCH(INDIRECT(ADDRESS(ROW(),COLUMN()-1,4)),UNSPSCCode,0)),IF(INDIRECT(ADDRESS(ROW(),COLUMN()-1,4))="42311526","Vendajes de",""))</f>
        <v>Vendajes de</v>
      </c>
      <c r="C8197" s="95" t="str">
        <f>IFERROR(VLOOKUP("UD",'Informacion '!P:Q,2,FALSE),"")</f>
        <v>Unidad</v>
      </c>
      <c r="D8197" s="94">
        <v>6</v>
      </c>
      <c r="E8197" s="84">
        <v>53</v>
      </c>
      <c r="F8197" s="83">
        <f t="shared" ca="1" si="320"/>
        <v>318</v>
      </c>
    </row>
    <row r="8198" spans="1:6" ht="14.1" customHeight="1" x14ac:dyDescent="0.25">
      <c r="A8198" s="94" t="s">
        <v>18202</v>
      </c>
      <c r="B8198" s="82" t="str">
        <f ca="1">IFERROR(INDEX(UNSPSCDes,MATCH(INDIRECT(ADDRESS(ROW(),COLUMN()-1,4)),UNSPSCCode,0)),IF(INDIRECT(ADDRESS(ROW(),COLUMN()-1,4))="14111609","Papel de cubierta",""))</f>
        <v>Papel de cubierta</v>
      </c>
      <c r="C8198" s="95" t="str">
        <f>IFERROR(VLOOKUP("UD",'Informacion '!P:Q,2,FALSE),"")</f>
        <v>Unidad</v>
      </c>
      <c r="D8198" s="94">
        <v>21</v>
      </c>
      <c r="E8198" s="84">
        <v>123.9</v>
      </c>
      <c r="F8198" s="83">
        <f t="shared" ca="1" si="320"/>
        <v>2601.9</v>
      </c>
    </row>
    <row r="8199" spans="1:6" ht="14.1" customHeight="1" x14ac:dyDescent="0.25">
      <c r="A8199" s="94" t="s">
        <v>17236</v>
      </c>
      <c r="B8199" s="82" t="str">
        <f ca="1">IFERROR(INDEX(UNSPSCDes,MATCH(INDIRECT(ADDRESS(ROW(),COLUMN()-1,4)),UNSPSCCode,0)),IF(INDIRECT(ADDRESS(ROW(),COLUMN()-1,4))="41115715","Inyectores",""))</f>
        <v>Inyectores</v>
      </c>
      <c r="C8199" s="95" t="str">
        <f>IFERROR(VLOOKUP("UD",'Informacion '!P:Q,2,FALSE),"")</f>
        <v>Unidad</v>
      </c>
      <c r="D8199" s="94">
        <v>4</v>
      </c>
      <c r="E8199" s="84">
        <v>2124</v>
      </c>
      <c r="F8199" s="83">
        <f t="shared" ca="1" si="320"/>
        <v>8496</v>
      </c>
    </row>
    <row r="8200" spans="1:6" ht="14.1" customHeight="1" x14ac:dyDescent="0.25">
      <c r="A8200" s="94" t="s">
        <v>4226</v>
      </c>
      <c r="B8200" s="82" t="str">
        <f ca="1">IFERROR(INDEX(UNSPSCDes,MATCH(INDIRECT(ADDRESS(ROW(),COLUMN()-1,4)),UNSPSCCode,0)),IF(INDIRECT(ADDRESS(ROW(),COLUMN()-1,4))="10141609","Sujetadores",""))</f>
        <v>Sujetadores</v>
      </c>
      <c r="C8200" s="95" t="str">
        <f>IFERROR(VLOOKUP("UD",'Informacion '!P:Q,2,FALSE),"")</f>
        <v>Unidad</v>
      </c>
      <c r="D8200" s="94">
        <v>5</v>
      </c>
      <c r="E8200" s="84">
        <v>590</v>
      </c>
      <c r="F8200" s="83">
        <f t="shared" ca="1" si="320"/>
        <v>2950</v>
      </c>
    </row>
    <row r="8201" spans="1:6" ht="14.1" customHeight="1" x14ac:dyDescent="0.25">
      <c r="A8201" s="94" t="s">
        <v>14356</v>
      </c>
      <c r="B8201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8201" s="95" t="str">
        <f>IFERROR(VLOOKUP("UD",'Informacion '!P:Q,2,FALSE),"")</f>
        <v>Unidad</v>
      </c>
      <c r="D8201" s="94">
        <v>6</v>
      </c>
      <c r="E8201" s="84">
        <v>27447.26</v>
      </c>
      <c r="F8201" s="83">
        <f t="shared" ca="1" si="320"/>
        <v>164683.56</v>
      </c>
    </row>
    <row r="8202" spans="1:6" ht="14.1" customHeight="1" x14ac:dyDescent="0.25">
      <c r="A8202" s="94" t="s">
        <v>6120</v>
      </c>
      <c r="B8202" s="82" t="str">
        <f ca="1">IFERROR(INDEX(UNSPSCDes,MATCH(INDIRECT(ADDRESS(ROW(),COLUMN()-1,4)),UNSPSCCode,0)),IF(INDIRECT(ADDRESS(ROW(),COLUMN()-1,4))="44121634","Rollos adhesivos",""))</f>
        <v>Rollos adhesivos</v>
      </c>
      <c r="C8202" s="95" t="str">
        <f>IFERROR(VLOOKUP("UD",'Informacion '!P:Q,2,FALSE),"")</f>
        <v>Unidad</v>
      </c>
      <c r="D8202" s="94">
        <v>849</v>
      </c>
      <c r="E8202" s="84">
        <v>80</v>
      </c>
      <c r="F8202" s="83">
        <f t="shared" ca="1" si="320"/>
        <v>67920</v>
      </c>
    </row>
    <row r="8203" spans="1:6" ht="14.1" customHeight="1" x14ac:dyDescent="0.25">
      <c r="A8203" s="94" t="s">
        <v>1279</v>
      </c>
      <c r="B8203" s="82" t="str">
        <f ca="1">IFERROR(INDEX(UNSPSCDes,MATCH(INDIRECT(ADDRESS(ROW(),COLUMN()-1,4)),UNSPSCCode,0)),IF(INDIRECT(ADDRESS(ROW(),COLUMN()-1,4))="42231701","Tubos nasogástricos",""))</f>
        <v>Tubos nasogástricos</v>
      </c>
      <c r="C8203" s="95" t="str">
        <f>IFERROR(VLOOKUP("UD",'Informacion '!P:Q,2,FALSE),"")</f>
        <v>Unidad</v>
      </c>
      <c r="D8203" s="94">
        <v>8</v>
      </c>
      <c r="E8203" s="84">
        <v>4763.7299999999996</v>
      </c>
      <c r="F8203" s="83">
        <f t="shared" ca="1" si="320"/>
        <v>38109.839999999997</v>
      </c>
    </row>
    <row r="8204" spans="1:6" ht="14.1" customHeight="1" x14ac:dyDescent="0.25">
      <c r="A8204" s="94" t="s">
        <v>6481</v>
      </c>
      <c r="B8204" s="82" t="str">
        <f ca="1">IFERROR(INDEX(UNSPSCDes,MATCH(INDIRECT(ADDRESS(ROW(),COLUMN()-1,4)),UNSPSCCode,0)),IF(INDIRECT(ADDRESS(ROW(),COLUMN()-1,4))="42293603","Sondas para uso quirúrgico",""))</f>
        <v>Sondas para uso quirúrgico</v>
      </c>
      <c r="C8204" s="95" t="str">
        <f>IFERROR(VLOOKUP("UD",'Informacion '!P:Q,2,FALSE),"")</f>
        <v>Unidad</v>
      </c>
      <c r="D8204" s="94">
        <v>4</v>
      </c>
      <c r="E8204" s="84">
        <v>27.2</v>
      </c>
      <c r="F8204" s="83">
        <f t="shared" ca="1" si="320"/>
        <v>108.8</v>
      </c>
    </row>
    <row r="8205" spans="1:6" ht="14.1" customHeight="1" x14ac:dyDescent="0.25">
      <c r="A8205" s="94" t="s">
        <v>7820</v>
      </c>
      <c r="B8205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205" s="95" t="str">
        <f>IFERROR(VLOOKUP("UD",'Informacion '!P:Q,2,FALSE),"")</f>
        <v>Unidad</v>
      </c>
      <c r="D8205" s="94">
        <v>46</v>
      </c>
      <c r="E8205" s="84">
        <v>95</v>
      </c>
      <c r="F8205" s="83">
        <f t="shared" ca="1" si="320"/>
        <v>4370</v>
      </c>
    </row>
    <row r="8206" spans="1:6" ht="14.1" customHeight="1" x14ac:dyDescent="0.25">
      <c r="A8206" s="94" t="s">
        <v>16391</v>
      </c>
      <c r="B8206" s="82" t="str">
        <f ca="1">IFERROR(INDEX(UNSPSCDes,MATCH(INDIRECT(ADDRESS(ROW(),COLUMN()-1,4)),UNSPSCCode,0)),IF(INDIRECT(ADDRESS(ROW(),COLUMN()-1,4))="42142615","Accesorios para jeringas",""))</f>
        <v>Accesorios para jeringas</v>
      </c>
      <c r="C8206" s="95" t="str">
        <f>IFERROR(VLOOKUP("UD",'Informacion '!P:Q,2,FALSE),"")</f>
        <v>Unidad</v>
      </c>
      <c r="D8206" s="94">
        <v>9404</v>
      </c>
      <c r="E8206" s="84">
        <v>3.54</v>
      </c>
      <c r="F8206" s="83">
        <f t="shared" ca="1" si="320"/>
        <v>33290.160000000003</v>
      </c>
    </row>
    <row r="8207" spans="1:6" ht="14.1" customHeight="1" x14ac:dyDescent="0.25">
      <c r="A8207" s="94" t="s">
        <v>16697</v>
      </c>
      <c r="B8207" s="82" t="str">
        <f ca="1">IFERROR(INDEX(UNSPSCDes,MATCH(INDIRECT(ADDRESS(ROW(),COLUMN()-1,4)),UNSPSCCode,0)),IF(INDIRECT(ADDRESS(ROW(),COLUMN()-1,4))="11121802","Algodón",""))</f>
        <v>Algodón</v>
      </c>
      <c r="C8207" s="95" t="str">
        <f>IFERROR(VLOOKUP("UD",'Informacion '!P:Q,2,FALSE),"")</f>
        <v>Unidad</v>
      </c>
      <c r="D8207" s="94">
        <v>225</v>
      </c>
      <c r="E8207" s="84">
        <v>69.569999999999993</v>
      </c>
      <c r="F8207" s="83">
        <f t="shared" ca="1" si="320"/>
        <v>15653.249999999998</v>
      </c>
    </row>
    <row r="8208" spans="1:6" ht="14.1" customHeight="1" x14ac:dyDescent="0.25">
      <c r="A8208" s="94" t="s">
        <v>6481</v>
      </c>
      <c r="B8208" s="82" t="str">
        <f ca="1">IFERROR(INDEX(UNSPSCDes,MATCH(INDIRECT(ADDRESS(ROW(),COLUMN()-1,4)),UNSPSCCode,0)),IF(INDIRECT(ADDRESS(ROW(),COLUMN()-1,4))="42293603","Sondas para uso quirúrgico",""))</f>
        <v>Sondas para uso quirúrgico</v>
      </c>
      <c r="C8208" s="95" t="str">
        <f>IFERROR(VLOOKUP("UD",'Informacion '!P:Q,2,FALSE),"")</f>
        <v>Unidad</v>
      </c>
      <c r="D8208" s="94">
        <v>4</v>
      </c>
      <c r="E8208" s="84">
        <v>19.87</v>
      </c>
      <c r="F8208" s="83">
        <f t="shared" ca="1" si="320"/>
        <v>79.48</v>
      </c>
    </row>
    <row r="8209" spans="1:6" ht="14.1" customHeight="1" x14ac:dyDescent="0.25">
      <c r="A8209" s="94" t="s">
        <v>16391</v>
      </c>
      <c r="B8209" s="82" t="str">
        <f ca="1">IFERROR(INDEX(UNSPSCDes,MATCH(INDIRECT(ADDRESS(ROW(),COLUMN()-1,4)),UNSPSCCode,0)),IF(INDIRECT(ADDRESS(ROW(),COLUMN()-1,4))="42142615","Accesorios para jeringas",""))</f>
        <v>Accesorios para jeringas</v>
      </c>
      <c r="C8209" s="95" t="str">
        <f>IFERROR(VLOOKUP("UD",'Informacion '!P:Q,2,FALSE),"")</f>
        <v>Unidad</v>
      </c>
      <c r="D8209" s="94">
        <v>345</v>
      </c>
      <c r="E8209" s="84">
        <v>3.16</v>
      </c>
      <c r="F8209" s="83">
        <f t="shared" ca="1" si="320"/>
        <v>1090.2</v>
      </c>
    </row>
    <row r="8210" spans="1:6" ht="14.1" customHeight="1" x14ac:dyDescent="0.25">
      <c r="A8210" s="94" t="s">
        <v>16391</v>
      </c>
      <c r="B8210" s="82" t="str">
        <f ca="1">IFERROR(INDEX(UNSPSCDes,MATCH(INDIRECT(ADDRESS(ROW(),COLUMN()-1,4)),UNSPSCCode,0)),IF(INDIRECT(ADDRESS(ROW(),COLUMN()-1,4))="42142615","Accesorios para jeringas",""))</f>
        <v>Accesorios para jeringas</v>
      </c>
      <c r="C8210" s="95" t="str">
        <f>IFERROR(VLOOKUP("UD",'Informacion '!P:Q,2,FALSE),"")</f>
        <v>Unidad</v>
      </c>
      <c r="D8210" s="94">
        <v>4</v>
      </c>
      <c r="E8210" s="84">
        <v>4.43</v>
      </c>
      <c r="F8210" s="83">
        <f t="shared" ca="1" si="320"/>
        <v>17.72</v>
      </c>
    </row>
    <row r="8211" spans="1:6" ht="14.1" customHeight="1" x14ac:dyDescent="0.25">
      <c r="A8211" s="94" t="s">
        <v>16391</v>
      </c>
      <c r="B8211" s="82" t="str">
        <f ca="1">IFERROR(INDEX(UNSPSCDes,MATCH(INDIRECT(ADDRESS(ROW(),COLUMN()-1,4)),UNSPSCCode,0)),IF(INDIRECT(ADDRESS(ROW(),COLUMN()-1,4))="42142615","Accesorios para jeringas",""))</f>
        <v>Accesorios para jeringas</v>
      </c>
      <c r="C8211" s="95" t="str">
        <f>IFERROR(VLOOKUP("UD",'Informacion '!P:Q,2,FALSE),"")</f>
        <v>Unidad</v>
      </c>
      <c r="D8211" s="94">
        <v>28</v>
      </c>
      <c r="E8211" s="84">
        <v>24.95</v>
      </c>
      <c r="F8211" s="83">
        <f t="shared" ca="1" si="320"/>
        <v>698.6</v>
      </c>
    </row>
    <row r="8212" spans="1:6" ht="14.1" customHeight="1" x14ac:dyDescent="0.25">
      <c r="A8212" s="94" t="s">
        <v>6481</v>
      </c>
      <c r="B8212" s="82" t="str">
        <f ca="1">IFERROR(INDEX(UNSPSCDes,MATCH(INDIRECT(ADDRESS(ROW(),COLUMN()-1,4)),UNSPSCCode,0)),IF(INDIRECT(ADDRESS(ROW(),COLUMN()-1,4))="42293603","Sondas para uso quirúrgico",""))</f>
        <v>Sondas para uso quirúrgico</v>
      </c>
      <c r="C8212" s="95" t="str">
        <f>IFERROR(VLOOKUP("UD",'Informacion '!P:Q,2,FALSE),"")</f>
        <v>Unidad</v>
      </c>
      <c r="D8212" s="94">
        <v>10</v>
      </c>
      <c r="E8212" s="84">
        <v>28.64</v>
      </c>
      <c r="F8212" s="83">
        <f t="shared" ca="1" si="320"/>
        <v>286.39999999999998</v>
      </c>
    </row>
    <row r="8213" spans="1:6" ht="14.1" customHeight="1" x14ac:dyDescent="0.25">
      <c r="A8213" s="94" t="s">
        <v>6481</v>
      </c>
      <c r="B8213" s="82" t="str">
        <f ca="1">IFERROR(INDEX(UNSPSCDes,MATCH(INDIRECT(ADDRESS(ROW(),COLUMN()-1,4)),UNSPSCCode,0)),IF(INDIRECT(ADDRESS(ROW(),COLUMN()-1,4))="42293603","Sondas para uso quirúrgico",""))</f>
        <v>Sondas para uso quirúrgico</v>
      </c>
      <c r="C8213" s="95" t="str">
        <f>IFERROR(VLOOKUP("UD",'Informacion '!P:Q,2,FALSE),"")</f>
        <v>Unidad</v>
      </c>
      <c r="D8213" s="94">
        <v>13</v>
      </c>
      <c r="E8213" s="84">
        <v>21.79</v>
      </c>
      <c r="F8213" s="83">
        <f t="shared" ca="1" si="320"/>
        <v>283.27</v>
      </c>
    </row>
    <row r="8214" spans="1:6" ht="14.1" customHeight="1" x14ac:dyDescent="0.25">
      <c r="A8214" s="94" t="s">
        <v>6481</v>
      </c>
      <c r="B8214" s="82" t="str">
        <f ca="1">IFERROR(INDEX(UNSPSCDes,MATCH(INDIRECT(ADDRESS(ROW(),COLUMN()-1,4)),UNSPSCCode,0)),IF(INDIRECT(ADDRESS(ROW(),COLUMN()-1,4))="42293603","Sondas para uso quirúrgico",""))</f>
        <v>Sondas para uso quirúrgico</v>
      </c>
      <c r="C8214" s="95" t="str">
        <f>IFERROR(VLOOKUP("UD",'Informacion '!P:Q,2,FALSE),"")</f>
        <v>Unidad</v>
      </c>
      <c r="D8214" s="94">
        <v>4</v>
      </c>
      <c r="E8214" s="84">
        <v>25.38</v>
      </c>
      <c r="F8214" s="83">
        <f t="shared" ca="1" si="320"/>
        <v>101.52</v>
      </c>
    </row>
    <row r="8215" spans="1:6" ht="14.1" customHeight="1" x14ac:dyDescent="0.25">
      <c r="A8215" s="94" t="s">
        <v>16391</v>
      </c>
      <c r="B8215" s="82" t="str">
        <f ca="1">IFERROR(INDEX(UNSPSCDes,MATCH(INDIRECT(ADDRESS(ROW(),COLUMN()-1,4)),UNSPSCCode,0)),IF(INDIRECT(ADDRESS(ROW(),COLUMN()-1,4))="42142615","Accesorios para jeringas",""))</f>
        <v>Accesorios para jeringas</v>
      </c>
      <c r="C8215" s="95" t="str">
        <f>IFERROR(VLOOKUP("UD",'Informacion '!P:Q,2,FALSE),"")</f>
        <v>Unidad</v>
      </c>
      <c r="D8215" s="94">
        <v>212</v>
      </c>
      <c r="E8215" s="84">
        <v>4.9000000000000004</v>
      </c>
      <c r="F8215" s="83">
        <f t="shared" ca="1" si="320"/>
        <v>1038.8000000000002</v>
      </c>
    </row>
    <row r="8216" spans="1:6" ht="14.1" customHeight="1" x14ac:dyDescent="0.25">
      <c r="A8216" s="94" t="s">
        <v>14138</v>
      </c>
      <c r="B8216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216" s="95" t="str">
        <f>IFERROR(VLOOKUP("UD",'Informacion '!P:Q,2,FALSE),"")</f>
        <v>Unidad</v>
      </c>
      <c r="D8216" s="94">
        <v>7</v>
      </c>
      <c r="E8216" s="84">
        <v>9.15</v>
      </c>
      <c r="F8216" s="83">
        <f t="shared" ca="1" si="320"/>
        <v>64.05</v>
      </c>
    </row>
    <row r="8217" spans="1:6" ht="14.1" customHeight="1" x14ac:dyDescent="0.25">
      <c r="A8217" s="94" t="s">
        <v>6481</v>
      </c>
      <c r="B8217" s="82" t="str">
        <f ca="1">IFERROR(INDEX(UNSPSCDes,MATCH(INDIRECT(ADDRESS(ROW(),COLUMN()-1,4)),UNSPSCCode,0)),IF(INDIRECT(ADDRESS(ROW(),COLUMN()-1,4))="42293603","Sondas para uso quirúrgico",""))</f>
        <v>Sondas para uso quirúrgico</v>
      </c>
      <c r="C8217" s="95" t="str">
        <f>IFERROR(VLOOKUP("UD",'Informacion '!P:Q,2,FALSE),"")</f>
        <v>Unidad</v>
      </c>
      <c r="D8217" s="94">
        <v>57</v>
      </c>
      <c r="E8217" s="84">
        <v>175.05</v>
      </c>
      <c r="F8217" s="83">
        <f t="shared" ca="1" si="320"/>
        <v>9977.85</v>
      </c>
    </row>
    <row r="8218" spans="1:6" ht="14.1" customHeight="1" x14ac:dyDescent="0.25">
      <c r="A8218" s="94" t="s">
        <v>16391</v>
      </c>
      <c r="B8218" s="82" t="str">
        <f ca="1">IFERROR(INDEX(UNSPSCDes,MATCH(INDIRECT(ADDRESS(ROW(),COLUMN()-1,4)),UNSPSCCode,0)),IF(INDIRECT(ADDRESS(ROW(),COLUMN()-1,4))="42142615","Accesorios para jeringas",""))</f>
        <v>Accesorios para jeringas</v>
      </c>
      <c r="C8218" s="95" t="str">
        <f>IFERROR(VLOOKUP("UD",'Informacion '!P:Q,2,FALSE),"")</f>
        <v>Unidad</v>
      </c>
      <c r="D8218" s="94">
        <v>10668</v>
      </c>
      <c r="E8218" s="84">
        <v>1.5</v>
      </c>
      <c r="F8218" s="83">
        <f t="shared" ca="1" si="320"/>
        <v>16002</v>
      </c>
    </row>
    <row r="8219" spans="1:6" ht="14.1" customHeight="1" x14ac:dyDescent="0.25">
      <c r="A8219" s="94" t="s">
        <v>6120</v>
      </c>
      <c r="B8219" s="82" t="str">
        <f ca="1">IFERROR(INDEX(UNSPSCDes,MATCH(INDIRECT(ADDRESS(ROW(),COLUMN()-1,4)),UNSPSCCode,0)),IF(INDIRECT(ADDRESS(ROW(),COLUMN()-1,4))="44121634","Rollos adhesivos",""))</f>
        <v>Rollos adhesivos</v>
      </c>
      <c r="C8219" s="95" t="str">
        <f>IFERROR(VLOOKUP("UD",'Informacion '!P:Q,2,FALSE),"")</f>
        <v>Unidad</v>
      </c>
      <c r="D8219" s="94">
        <v>94</v>
      </c>
      <c r="E8219" s="84">
        <v>80</v>
      </c>
      <c r="F8219" s="83">
        <f t="shared" ca="1" si="320"/>
        <v>7520</v>
      </c>
    </row>
    <row r="8220" spans="1:6" ht="14.1" customHeight="1" x14ac:dyDescent="0.25">
      <c r="A8220" s="94" t="s">
        <v>7589</v>
      </c>
      <c r="B8220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220" s="95" t="str">
        <f>IFERROR(VLOOKUP("UD",'Informacion '!P:Q,2,FALSE),"")</f>
        <v>Unidad</v>
      </c>
      <c r="D8220" s="94">
        <v>20</v>
      </c>
      <c r="E8220" s="84">
        <v>496.29</v>
      </c>
      <c r="F8220" s="83">
        <f t="shared" ca="1" si="320"/>
        <v>9925.8000000000011</v>
      </c>
    </row>
    <row r="8221" spans="1:6" ht="14.1" customHeight="1" x14ac:dyDescent="0.25">
      <c r="A8221" s="94" t="s">
        <v>6266</v>
      </c>
      <c r="B8221" s="82" t="str">
        <f ca="1">IFERROR(INDEX(UNSPSCDes,MATCH(INDIRECT(ADDRESS(ROW(),COLUMN()-1,4)),UNSPSCCode,0)),IF(INDIRECT(ADDRESS(ROW(),COLUMN()-1,4))="30151701","Boquillas de bajantes",""))</f>
        <v>Boquillas de bajantes</v>
      </c>
      <c r="C8221" s="95" t="str">
        <f>IFERROR(VLOOKUP("UD",'Informacion '!P:Q,2,FALSE),"")</f>
        <v>Unidad</v>
      </c>
      <c r="D8221" s="94">
        <v>28</v>
      </c>
      <c r="E8221" s="84">
        <v>120.24</v>
      </c>
      <c r="F8221" s="83">
        <f t="shared" ca="1" si="320"/>
        <v>3366.72</v>
      </c>
    </row>
    <row r="8222" spans="1:6" ht="14.1" customHeight="1" x14ac:dyDescent="0.25">
      <c r="A8222" s="94" t="s">
        <v>14958</v>
      </c>
      <c r="B8222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8222" s="95" t="str">
        <f>IFERROR(VLOOKUP("UD",'Informacion '!P:Q,2,FALSE),"")</f>
        <v>Unidad</v>
      </c>
      <c r="D8222" s="94">
        <v>1344</v>
      </c>
      <c r="E8222" s="84">
        <v>11.92</v>
      </c>
      <c r="F8222" s="83">
        <f t="shared" ca="1" si="320"/>
        <v>16020.48</v>
      </c>
    </row>
    <row r="8223" spans="1:6" ht="14.1" customHeight="1" x14ac:dyDescent="0.25">
      <c r="A8223" s="94" t="s">
        <v>6266</v>
      </c>
      <c r="B8223" s="82" t="str">
        <f ca="1">IFERROR(INDEX(UNSPSCDes,MATCH(INDIRECT(ADDRESS(ROW(),COLUMN()-1,4)),UNSPSCCode,0)),IF(INDIRECT(ADDRESS(ROW(),COLUMN()-1,4))="30151701","Boquillas de bajantes",""))</f>
        <v>Boquillas de bajantes</v>
      </c>
      <c r="C8223" s="95" t="str">
        <f>IFERROR(VLOOKUP("UD",'Informacion '!P:Q,2,FALSE),"")</f>
        <v>Unidad</v>
      </c>
      <c r="D8223" s="94">
        <v>2033</v>
      </c>
      <c r="E8223" s="84">
        <v>7.76</v>
      </c>
      <c r="F8223" s="83">
        <f t="shared" ca="1" si="320"/>
        <v>15776.08</v>
      </c>
    </row>
    <row r="8224" spans="1:6" ht="14.1" customHeight="1" x14ac:dyDescent="0.25">
      <c r="A8224" s="94" t="s">
        <v>19401</v>
      </c>
      <c r="B8224" s="82" t="str">
        <f ca="1">IFERROR(INDEX(UNSPSCDes,MATCH(INDIRECT(ADDRESS(ROW(),COLUMN()-1,4)),UNSPSCCode,0)),IF(INDIRECT(ADDRESS(ROW(),COLUMN()-1,4))="42312311","Kits de desinfectantes",""))</f>
        <v>Kits de desinfectantes</v>
      </c>
      <c r="C8224" s="95" t="str">
        <f>IFERROR(VLOOKUP("UD",'Informacion '!P:Q,2,FALSE),"")</f>
        <v>Unidad</v>
      </c>
      <c r="D8224" s="94">
        <v>38</v>
      </c>
      <c r="E8224" s="84">
        <v>701.91</v>
      </c>
      <c r="F8224" s="83">
        <f t="shared" ca="1" si="320"/>
        <v>26672.579999999998</v>
      </c>
    </row>
    <row r="8225" spans="1:10" ht="14.1" customHeight="1" x14ac:dyDescent="0.25">
      <c r="E8225" s="96" t="s">
        <v>7213</v>
      </c>
      <c r="F8225" s="87">
        <f ca="1">SUM(Table212[MONTO TOTAL ESTIMADO])</f>
        <v>660414.85999999987</v>
      </c>
      <c r="H8225" s="39" t="str">
        <f>C8121</f>
        <v>Bienes</v>
      </c>
      <c r="I8225" s="39" t="str">
        <f>E8121</f>
        <v>No</v>
      </c>
      <c r="J8225" s="39" t="str">
        <f>D8121</f>
        <v>Comparacion de Precios</v>
      </c>
    </row>
    <row r="8227" spans="1:10" ht="33.950000000000003" customHeight="1" x14ac:dyDescent="0.25">
      <c r="A8227" s="77" t="s">
        <v>17233</v>
      </c>
      <c r="B8227" s="77" t="s">
        <v>4237</v>
      </c>
      <c r="C8227" s="77" t="s">
        <v>4743</v>
      </c>
      <c r="D8227" s="77" t="s">
        <v>9891</v>
      </c>
      <c r="E8227" s="77" t="s">
        <v>3089</v>
      </c>
      <c r="F8227" s="77" t="s">
        <v>18141</v>
      </c>
    </row>
    <row r="8228" spans="1:10" ht="14.1" customHeight="1" x14ac:dyDescent="0.25">
      <c r="A8228" s="79" t="s">
        <v>10168</v>
      </c>
      <c r="B8228" s="79" t="s">
        <v>2182</v>
      </c>
      <c r="C8228" s="79" t="s">
        <v>17215</v>
      </c>
      <c r="D8228" s="79" t="s">
        <v>17798</v>
      </c>
      <c r="E8228" s="79" t="s">
        <v>18247</v>
      </c>
      <c r="F8228" s="79"/>
    </row>
    <row r="8229" spans="1:10" ht="14.1" customHeight="1" x14ac:dyDescent="0.25">
      <c r="A8229" s="2" t="s">
        <v>6643</v>
      </c>
      <c r="B8229" s="80" t="s">
        <v>1046</v>
      </c>
      <c r="C8229" s="90">
        <v>43556</v>
      </c>
      <c r="D8229" s="2" t="s">
        <v>59</v>
      </c>
      <c r="E8229" s="92" t="s">
        <v>20066</v>
      </c>
      <c r="F8229" s="93" t="s">
        <v>5684</v>
      </c>
    </row>
    <row r="8230" spans="1:10" ht="14.1" customHeight="1" x14ac:dyDescent="0.25">
      <c r="A8230" s="1"/>
      <c r="B8230" s="80" t="s">
        <v>10788</v>
      </c>
      <c r="C8230" s="91">
        <f>IF(C8229="","",IF(AND(MONTH(C8229)&gt;=1,MONTH(C8229)&lt;=3),1,IF(AND(MONTH(C8229)&gt;=4,MONTH(C8229)&lt;=6),2,IF(AND(MONTH(C8229)&gt;=7,MONTH(C8229)&lt;=9),3,4))))</f>
        <v>2</v>
      </c>
      <c r="D8230" s="1"/>
      <c r="E8230" s="92" t="s">
        <v>14822</v>
      </c>
      <c r="F8230" s="93"/>
    </row>
    <row r="8231" spans="1:10" ht="14.1" customHeight="1" x14ac:dyDescent="0.25">
      <c r="A8231" s="1"/>
      <c r="B8231" s="80" t="s">
        <v>13758</v>
      </c>
      <c r="C8231" s="90">
        <v>43645</v>
      </c>
      <c r="D8231" s="1"/>
      <c r="E8231" s="92" t="s">
        <v>18636</v>
      </c>
      <c r="F8231" s="93"/>
    </row>
    <row r="8232" spans="1:10" ht="14.1" customHeight="1" x14ac:dyDescent="0.25">
      <c r="A8232" s="1"/>
      <c r="B8232" s="80" t="s">
        <v>10788</v>
      </c>
      <c r="C8232" s="91">
        <f>IF(C8231="","",IF(AND(MONTH(C8231)&gt;=1,MONTH(C8231)&lt;=3),1,IF(AND(MONTH(C8231)&gt;=4,MONTH(C8231)&lt;=6),2,IF(AND(MONTH(C8231)&gt;=7,MONTH(C8231)&lt;=9),3,4))))</f>
        <v>2</v>
      </c>
      <c r="D8232" s="1"/>
      <c r="E8232" s="92" t="s">
        <v>15990</v>
      </c>
      <c r="F8232" s="93"/>
    </row>
    <row r="8234" spans="1:10" ht="14.1" customHeight="1" x14ac:dyDescent="0.25">
      <c r="A8234" s="85" t="s">
        <v>15474</v>
      </c>
      <c r="B8234" s="85" t="s">
        <v>5027</v>
      </c>
      <c r="C8234" s="85" t="s">
        <v>17461</v>
      </c>
      <c r="D8234" s="85" t="s">
        <v>3935</v>
      </c>
      <c r="E8234" s="85" t="s">
        <v>10722</v>
      </c>
      <c r="F8234" s="85" t="s">
        <v>18237</v>
      </c>
    </row>
    <row r="8235" spans="1:10" ht="14.1" customHeight="1" x14ac:dyDescent="0.25">
      <c r="A8235" s="94" t="s">
        <v>16391</v>
      </c>
      <c r="B8235" s="82" t="str">
        <f ca="1">IFERROR(INDEX(UNSPSCDes,MATCH(INDIRECT(ADDRESS(ROW(),COLUMN()-1,4)),UNSPSCCode,0)),IF(INDIRECT(ADDRESS(ROW(),COLUMN()-1,4))="42142615","Accesorios para jeringas",""))</f>
        <v>Accesorios para jeringas</v>
      </c>
      <c r="C8235" s="95" t="str">
        <f>IFERROR(VLOOKUP("UD",'Informacion '!P:Q,2,FALSE),"")</f>
        <v>Unidad</v>
      </c>
      <c r="D8235" s="94">
        <v>739</v>
      </c>
      <c r="E8235" s="84">
        <v>2.04</v>
      </c>
      <c r="F8235" s="83">
        <f t="shared" ref="F8235:F8281" ca="1" si="321">INDIRECT(ADDRESS(ROW(),COLUMN()-2,4))*INDIRECT(ADDRESS(ROW(),COLUMN()-1,4))</f>
        <v>1507.56</v>
      </c>
    </row>
    <row r="8236" spans="1:10" ht="14.1" customHeight="1" x14ac:dyDescent="0.25">
      <c r="A8236" s="94" t="s">
        <v>16391</v>
      </c>
      <c r="B8236" s="82" t="str">
        <f ca="1">IFERROR(INDEX(UNSPSCDes,MATCH(INDIRECT(ADDRESS(ROW(),COLUMN()-1,4)),UNSPSCCode,0)),IF(INDIRECT(ADDRESS(ROW(),COLUMN()-1,4))="42142615","Accesorios para jeringas",""))</f>
        <v>Accesorios para jeringas</v>
      </c>
      <c r="C8236" s="95" t="str">
        <f>IFERROR(VLOOKUP("UD",'Informacion '!P:Q,2,FALSE),"")</f>
        <v>Unidad</v>
      </c>
      <c r="D8236" s="94">
        <v>24</v>
      </c>
      <c r="E8236" s="84">
        <v>2.66</v>
      </c>
      <c r="F8236" s="83">
        <f t="shared" ca="1" si="321"/>
        <v>63.84</v>
      </c>
    </row>
    <row r="8237" spans="1:10" ht="14.1" customHeight="1" x14ac:dyDescent="0.25">
      <c r="A8237" s="94" t="s">
        <v>16391</v>
      </c>
      <c r="B8237" s="82" t="str">
        <f ca="1">IFERROR(INDEX(UNSPSCDes,MATCH(INDIRECT(ADDRESS(ROW(),COLUMN()-1,4)),UNSPSCCode,0)),IF(INDIRECT(ADDRESS(ROW(),COLUMN()-1,4))="42142615","Accesorios para jeringas",""))</f>
        <v>Accesorios para jeringas</v>
      </c>
      <c r="C8237" s="95" t="str">
        <f>IFERROR(VLOOKUP("UD",'Informacion '!P:Q,2,FALSE),"")</f>
        <v>Unidad</v>
      </c>
      <c r="D8237" s="94">
        <v>1085</v>
      </c>
      <c r="E8237" s="84">
        <v>1.81</v>
      </c>
      <c r="F8237" s="83">
        <f t="shared" ca="1" si="321"/>
        <v>1963.8500000000001</v>
      </c>
    </row>
    <row r="8238" spans="1:10" ht="14.1" customHeight="1" x14ac:dyDescent="0.25">
      <c r="A8238" s="94" t="s">
        <v>1867</v>
      </c>
      <c r="B8238" s="82" t="str">
        <f ca="1">IFERROR(INDEX(UNSPSCDes,MATCH(INDIRECT(ADDRESS(ROW(),COLUMN()-1,4)),UNSPSCCode,0)),IF(INDIRECT(ADDRESS(ROW(),COLUMN()-1,4))="42222008","Kits o accesorios de bombas de infusión",""))</f>
        <v>Kits o accesorios de bombas de infusión</v>
      </c>
      <c r="C8238" s="95" t="str">
        <f>IFERROR(VLOOKUP("UD",'Informacion '!P:Q,2,FALSE),"")</f>
        <v>Unidad</v>
      </c>
      <c r="D8238" s="94">
        <v>3</v>
      </c>
      <c r="E8238" s="84">
        <v>919.23</v>
      </c>
      <c r="F8238" s="83">
        <f t="shared" ca="1" si="321"/>
        <v>2757.69</v>
      </c>
    </row>
    <row r="8239" spans="1:10" ht="14.1" customHeight="1" x14ac:dyDescent="0.25">
      <c r="A8239" s="94" t="s">
        <v>16391</v>
      </c>
      <c r="B8239" s="82" t="str">
        <f ca="1">IFERROR(INDEX(UNSPSCDes,MATCH(INDIRECT(ADDRESS(ROW(),COLUMN()-1,4)),UNSPSCCode,0)),IF(INDIRECT(ADDRESS(ROW(),COLUMN()-1,4))="42142615","Accesorios para jeringas",""))</f>
        <v>Accesorios para jeringas</v>
      </c>
      <c r="C8239" s="95" t="str">
        <f>IFERROR(VLOOKUP("UD",'Informacion '!P:Q,2,FALSE),"")</f>
        <v>Unidad</v>
      </c>
      <c r="D8239" s="94">
        <v>481</v>
      </c>
      <c r="E8239" s="84">
        <v>1.5</v>
      </c>
      <c r="F8239" s="83">
        <f t="shared" ca="1" si="321"/>
        <v>721.5</v>
      </c>
    </row>
    <row r="8240" spans="1:10" ht="14.1" customHeight="1" x14ac:dyDescent="0.25">
      <c r="A8240" s="94" t="s">
        <v>10112</v>
      </c>
      <c r="B8240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8240" s="95" t="str">
        <f>IFERROR(VLOOKUP("UD",'Informacion '!P:Q,2,FALSE),"")</f>
        <v>Unidad</v>
      </c>
      <c r="D8240" s="94">
        <v>199</v>
      </c>
      <c r="E8240" s="84">
        <v>84.35</v>
      </c>
      <c r="F8240" s="83">
        <f t="shared" ca="1" si="321"/>
        <v>16785.649999999998</v>
      </c>
    </row>
    <row r="8241" spans="1:6" ht="14.1" customHeight="1" x14ac:dyDescent="0.25">
      <c r="A8241" s="94" t="s">
        <v>6266</v>
      </c>
      <c r="B8241" s="82" t="str">
        <f ca="1">IFERROR(INDEX(UNSPSCDes,MATCH(INDIRECT(ADDRESS(ROW(),COLUMN()-1,4)),UNSPSCCode,0)),IF(INDIRECT(ADDRESS(ROW(),COLUMN()-1,4))="30151701","Boquillas de bajantes",""))</f>
        <v>Boquillas de bajantes</v>
      </c>
      <c r="C8241" s="95" t="str">
        <f>IFERROR(VLOOKUP("UD",'Informacion '!P:Q,2,FALSE),"")</f>
        <v>Unidad</v>
      </c>
      <c r="D8241" s="94">
        <v>12</v>
      </c>
      <c r="E8241" s="84">
        <v>120.24</v>
      </c>
      <c r="F8241" s="83">
        <f t="shared" ca="1" si="321"/>
        <v>1442.8799999999999</v>
      </c>
    </row>
    <row r="8242" spans="1:6" ht="14.1" customHeight="1" x14ac:dyDescent="0.25">
      <c r="A8242" s="94" t="s">
        <v>6481</v>
      </c>
      <c r="B8242" s="82" t="str">
        <f ca="1">IFERROR(INDEX(UNSPSCDes,MATCH(INDIRECT(ADDRESS(ROW(),COLUMN()-1,4)),UNSPSCCode,0)),IF(INDIRECT(ADDRESS(ROW(),COLUMN()-1,4))="42293603","Sondas para uso quirúrgico",""))</f>
        <v>Sondas para uso quirúrgico</v>
      </c>
      <c r="C8242" s="95" t="str">
        <f>IFERROR(VLOOKUP("UD",'Informacion '!P:Q,2,FALSE),"")</f>
        <v>Unidad</v>
      </c>
      <c r="D8242" s="94">
        <v>48</v>
      </c>
      <c r="E8242" s="84">
        <v>33.35</v>
      </c>
      <c r="F8242" s="83">
        <f t="shared" ca="1" si="321"/>
        <v>1600.8000000000002</v>
      </c>
    </row>
    <row r="8243" spans="1:6" ht="14.1" customHeight="1" x14ac:dyDescent="0.25">
      <c r="A8243" s="94" t="s">
        <v>6481</v>
      </c>
      <c r="B8243" s="82" t="str">
        <f ca="1">IFERROR(INDEX(UNSPSCDes,MATCH(INDIRECT(ADDRESS(ROW(),COLUMN()-1,4)),UNSPSCCode,0)),IF(INDIRECT(ADDRESS(ROW(),COLUMN()-1,4))="42293603","Sondas para uso quirúrgico",""))</f>
        <v>Sondas para uso quirúrgico</v>
      </c>
      <c r="C8243" s="95" t="str">
        <f>IFERROR(VLOOKUP("UD",'Informacion '!P:Q,2,FALSE),"")</f>
        <v>Unidad</v>
      </c>
      <c r="D8243" s="94">
        <v>36</v>
      </c>
      <c r="E8243" s="84">
        <v>33.35</v>
      </c>
      <c r="F8243" s="83">
        <f t="shared" ca="1" si="321"/>
        <v>1200.6000000000001</v>
      </c>
    </row>
    <row r="8244" spans="1:6" ht="14.1" customHeight="1" x14ac:dyDescent="0.25">
      <c r="A8244" s="94" t="s">
        <v>16379</v>
      </c>
      <c r="B8244" s="82" t="str">
        <f ca="1">IFERROR(INDEX(UNSPSCDes,MATCH(INDIRECT(ADDRESS(ROW(),COLUMN()-1,4)),UNSPSCCode,0)),IF(INDIRECT(ADDRESS(ROW(),COLUMN()-1,4))="53131608","Jabones",""))</f>
        <v>Jabones</v>
      </c>
      <c r="C8244" s="95" t="str">
        <f>IFERROR(VLOOKUP("UD",'Informacion '!P:Q,2,FALSE),"")</f>
        <v>Unidad</v>
      </c>
      <c r="D8244" s="94">
        <v>4</v>
      </c>
      <c r="E8244" s="84">
        <v>719.5</v>
      </c>
      <c r="F8244" s="83">
        <f t="shared" ca="1" si="321"/>
        <v>2878</v>
      </c>
    </row>
    <row r="8245" spans="1:6" ht="14.1" customHeight="1" x14ac:dyDescent="0.25">
      <c r="A8245" s="94" t="s">
        <v>18202</v>
      </c>
      <c r="B8245" s="82" t="str">
        <f ca="1">IFERROR(INDEX(UNSPSCDes,MATCH(INDIRECT(ADDRESS(ROW(),COLUMN()-1,4)),UNSPSCCode,0)),IF(INDIRECT(ADDRESS(ROW(),COLUMN()-1,4))="14111609","Papel de cubierta",""))</f>
        <v>Papel de cubierta</v>
      </c>
      <c r="C8245" s="95" t="str">
        <f>IFERROR(VLOOKUP("UD",'Informacion '!P:Q,2,FALSE),"")</f>
        <v>Unidad</v>
      </c>
      <c r="D8245" s="94">
        <v>551</v>
      </c>
      <c r="E8245" s="84">
        <v>120.36</v>
      </c>
      <c r="F8245" s="83">
        <f t="shared" ca="1" si="321"/>
        <v>66318.36</v>
      </c>
    </row>
    <row r="8246" spans="1:6" ht="14.1" customHeight="1" x14ac:dyDescent="0.25">
      <c r="A8246" s="94" t="s">
        <v>10248</v>
      </c>
      <c r="B824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246" s="95" t="str">
        <f>IFERROR(VLOOKUP("UD",'Informacion '!P:Q,2,FALSE),"")</f>
        <v>Unidad</v>
      </c>
      <c r="D8246" s="94">
        <v>93</v>
      </c>
      <c r="E8246" s="84">
        <v>1294.8499999999999</v>
      </c>
      <c r="F8246" s="83">
        <f t="shared" ca="1" si="321"/>
        <v>120421.04999999999</v>
      </c>
    </row>
    <row r="8247" spans="1:6" ht="14.1" customHeight="1" x14ac:dyDescent="0.25">
      <c r="A8247" s="94" t="s">
        <v>16391</v>
      </c>
      <c r="B8247" s="82" t="str">
        <f ca="1">IFERROR(INDEX(UNSPSCDes,MATCH(INDIRECT(ADDRESS(ROW(),COLUMN()-1,4)),UNSPSCCode,0)),IF(INDIRECT(ADDRESS(ROW(),COLUMN()-1,4))="42142615","Accesorios para jeringas",""))</f>
        <v>Accesorios para jeringas</v>
      </c>
      <c r="C8247" s="95" t="str">
        <f>IFERROR(VLOOKUP("UD",'Informacion '!P:Q,2,FALSE),"")</f>
        <v>Unidad</v>
      </c>
      <c r="D8247" s="94">
        <v>142</v>
      </c>
      <c r="E8247" s="84">
        <v>6.62</v>
      </c>
      <c r="F8247" s="83">
        <f t="shared" ca="1" si="321"/>
        <v>940.04</v>
      </c>
    </row>
    <row r="8248" spans="1:6" ht="14.1" customHeight="1" x14ac:dyDescent="0.25">
      <c r="A8248" s="94" t="s">
        <v>12909</v>
      </c>
      <c r="B8248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248" s="95" t="str">
        <f>IFERROR(VLOOKUP("UD",'Informacion '!P:Q,2,FALSE),"")</f>
        <v>Unidad</v>
      </c>
      <c r="D8248" s="94">
        <v>11190</v>
      </c>
      <c r="E8248" s="84">
        <v>0.56999999999999995</v>
      </c>
      <c r="F8248" s="83">
        <f t="shared" ca="1" si="321"/>
        <v>6378.2999999999993</v>
      </c>
    </row>
    <row r="8249" spans="1:6" ht="14.1" customHeight="1" x14ac:dyDescent="0.25">
      <c r="A8249" s="94" t="s">
        <v>14958</v>
      </c>
      <c r="B8249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8249" s="95" t="str">
        <f>IFERROR(VLOOKUP("UD",'Informacion '!P:Q,2,FALSE),"")</f>
        <v>Unidad</v>
      </c>
      <c r="D8249" s="94">
        <v>1244</v>
      </c>
      <c r="E8249" s="84">
        <v>11.92</v>
      </c>
      <c r="F8249" s="83">
        <f t="shared" ca="1" si="321"/>
        <v>14828.48</v>
      </c>
    </row>
    <row r="8250" spans="1:6" ht="14.1" customHeight="1" x14ac:dyDescent="0.25">
      <c r="A8250" s="94" t="s">
        <v>16391</v>
      </c>
      <c r="B8250" s="82" t="str">
        <f ca="1">IFERROR(INDEX(UNSPSCDes,MATCH(INDIRECT(ADDRESS(ROW(),COLUMN()-1,4)),UNSPSCCode,0)),IF(INDIRECT(ADDRESS(ROW(),COLUMN()-1,4))="42142615","Accesorios para jeringas",""))</f>
        <v>Accesorios para jeringas</v>
      </c>
      <c r="C8250" s="95" t="str">
        <f>IFERROR(VLOOKUP("UD",'Informacion '!P:Q,2,FALSE),"")</f>
        <v>Unidad</v>
      </c>
      <c r="D8250" s="94">
        <v>181</v>
      </c>
      <c r="E8250" s="84">
        <v>1.88</v>
      </c>
      <c r="F8250" s="83">
        <f t="shared" ca="1" si="321"/>
        <v>340.28</v>
      </c>
    </row>
    <row r="8251" spans="1:6" ht="14.1" customHeight="1" x14ac:dyDescent="0.25">
      <c r="A8251" s="94" t="s">
        <v>3216</v>
      </c>
      <c r="B8251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8251" s="95" t="str">
        <f>IFERROR(VLOOKUP("UD",'Informacion '!P:Q,2,FALSE),"")</f>
        <v>Unidad</v>
      </c>
      <c r="D8251" s="94">
        <v>5</v>
      </c>
      <c r="E8251" s="84">
        <v>60.67</v>
      </c>
      <c r="F8251" s="83">
        <f t="shared" ca="1" si="321"/>
        <v>303.35000000000002</v>
      </c>
    </row>
    <row r="8252" spans="1:6" ht="14.1" customHeight="1" x14ac:dyDescent="0.25">
      <c r="A8252" s="94" t="s">
        <v>6481</v>
      </c>
      <c r="B8252" s="82" t="str">
        <f ca="1">IFERROR(INDEX(UNSPSCDes,MATCH(INDIRECT(ADDRESS(ROW(),COLUMN()-1,4)),UNSPSCCode,0)),IF(INDIRECT(ADDRESS(ROW(),COLUMN()-1,4))="42293603","Sondas para uso quirúrgico",""))</f>
        <v>Sondas para uso quirúrgico</v>
      </c>
      <c r="C8252" s="95" t="str">
        <f>IFERROR(VLOOKUP("UD",'Informacion '!P:Q,2,FALSE),"")</f>
        <v>Unidad</v>
      </c>
      <c r="D8252" s="94">
        <v>4</v>
      </c>
      <c r="E8252" s="84">
        <v>25.38</v>
      </c>
      <c r="F8252" s="83">
        <f t="shared" ca="1" si="321"/>
        <v>101.52</v>
      </c>
    </row>
    <row r="8253" spans="1:6" ht="14.1" customHeight="1" x14ac:dyDescent="0.25">
      <c r="A8253" s="94" t="s">
        <v>3782</v>
      </c>
      <c r="B8253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8253" s="95" t="str">
        <f>IFERROR(VLOOKUP("UD",'Informacion '!P:Q,2,FALSE),"")</f>
        <v>Unidad</v>
      </c>
      <c r="D8253" s="94">
        <v>27</v>
      </c>
      <c r="E8253" s="84">
        <v>426.62</v>
      </c>
      <c r="F8253" s="83">
        <f t="shared" ca="1" si="321"/>
        <v>11518.74</v>
      </c>
    </row>
    <row r="8254" spans="1:6" ht="14.1" customHeight="1" x14ac:dyDescent="0.25">
      <c r="A8254" s="94" t="s">
        <v>16391</v>
      </c>
      <c r="B8254" s="82" t="str">
        <f ca="1">IFERROR(INDEX(UNSPSCDes,MATCH(INDIRECT(ADDRESS(ROW(),COLUMN()-1,4)),UNSPSCCode,0)),IF(INDIRECT(ADDRESS(ROW(),COLUMN()-1,4))="42142615","Accesorios para jeringas",""))</f>
        <v>Accesorios para jeringas</v>
      </c>
      <c r="C8254" s="95" t="str">
        <f>IFERROR(VLOOKUP("UD",'Informacion '!P:Q,2,FALSE),"")</f>
        <v>Unidad</v>
      </c>
      <c r="D8254" s="94">
        <v>21</v>
      </c>
      <c r="E8254" s="84">
        <v>531</v>
      </c>
      <c r="F8254" s="83">
        <f t="shared" ca="1" si="321"/>
        <v>11151</v>
      </c>
    </row>
    <row r="8255" spans="1:6" ht="14.1" customHeight="1" x14ac:dyDescent="0.25">
      <c r="A8255" s="94" t="s">
        <v>16391</v>
      </c>
      <c r="B8255" s="82" t="str">
        <f ca="1">IFERROR(INDEX(UNSPSCDes,MATCH(INDIRECT(ADDRESS(ROW(),COLUMN()-1,4)),UNSPSCCode,0)),IF(INDIRECT(ADDRESS(ROW(),COLUMN()-1,4))="42142615","Accesorios para jeringas",""))</f>
        <v>Accesorios para jeringas</v>
      </c>
      <c r="C8255" s="95" t="str">
        <f>IFERROR(VLOOKUP("UD",'Informacion '!P:Q,2,FALSE),"")</f>
        <v>Unidad</v>
      </c>
      <c r="D8255" s="94">
        <v>1278</v>
      </c>
      <c r="E8255" s="84">
        <v>2.12</v>
      </c>
      <c r="F8255" s="83">
        <f t="shared" ca="1" si="321"/>
        <v>2709.36</v>
      </c>
    </row>
    <row r="8256" spans="1:6" ht="14.1" customHeight="1" x14ac:dyDescent="0.25">
      <c r="A8256" s="94" t="s">
        <v>6481</v>
      </c>
      <c r="B8256" s="82" t="str">
        <f ca="1">IFERROR(INDEX(UNSPSCDes,MATCH(INDIRECT(ADDRESS(ROW(),COLUMN()-1,4)),UNSPSCCode,0)),IF(INDIRECT(ADDRESS(ROW(),COLUMN()-1,4))="42293603","Sondas para uso quirúrgico",""))</f>
        <v>Sondas para uso quirúrgico</v>
      </c>
      <c r="C8256" s="95" t="str">
        <f>IFERROR(VLOOKUP("UD",'Informacion '!P:Q,2,FALSE),"")</f>
        <v>Unidad</v>
      </c>
      <c r="D8256" s="94">
        <v>9</v>
      </c>
      <c r="E8256" s="84">
        <v>30.68</v>
      </c>
      <c r="F8256" s="83">
        <f t="shared" ca="1" si="321"/>
        <v>276.12</v>
      </c>
    </row>
    <row r="8257" spans="1:6" ht="14.1" customHeight="1" x14ac:dyDescent="0.25">
      <c r="A8257" s="94" t="s">
        <v>14138</v>
      </c>
      <c r="B8257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257" s="95" t="str">
        <f>IFERROR(VLOOKUP("UD",'Informacion '!P:Q,2,FALSE),"")</f>
        <v>Unidad</v>
      </c>
      <c r="D8257" s="94">
        <v>2</v>
      </c>
      <c r="E8257" s="84">
        <v>9.15</v>
      </c>
      <c r="F8257" s="83">
        <f t="shared" ca="1" si="321"/>
        <v>18.3</v>
      </c>
    </row>
    <row r="8258" spans="1:6" ht="14.1" customHeight="1" x14ac:dyDescent="0.25">
      <c r="A8258" s="94" t="s">
        <v>2726</v>
      </c>
      <c r="B8258" s="82" t="str">
        <f ca="1">IFERROR(INDEX(UNSPSCDes,MATCH(INDIRECT(ADDRESS(ROW(),COLUMN()-1,4)),UNSPSCCode,0)),IF(INDIRECT(ADDRESS(ROW(),COLUMN()-1,4))="24112602","Frascos",""))</f>
        <v>Frascos</v>
      </c>
      <c r="C8258" s="95" t="str">
        <f>IFERROR(VLOOKUP("UD",'Informacion '!P:Q,2,FALSE),"")</f>
        <v>Unidad</v>
      </c>
      <c r="D8258" s="94">
        <v>19</v>
      </c>
      <c r="E8258" s="84">
        <v>96.16</v>
      </c>
      <c r="F8258" s="83">
        <f t="shared" ca="1" si="321"/>
        <v>1827.04</v>
      </c>
    </row>
    <row r="8259" spans="1:6" ht="14.1" customHeight="1" x14ac:dyDescent="0.25">
      <c r="A8259" s="94" t="s">
        <v>7820</v>
      </c>
      <c r="B8259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259" s="95" t="str">
        <f>IFERROR(VLOOKUP("UD",'Informacion '!P:Q,2,FALSE),"")</f>
        <v>Unidad</v>
      </c>
      <c r="D8259" s="94">
        <v>6</v>
      </c>
      <c r="E8259" s="84">
        <v>95</v>
      </c>
      <c r="F8259" s="83">
        <f t="shared" ca="1" si="321"/>
        <v>570</v>
      </c>
    </row>
    <row r="8260" spans="1:6" ht="14.1" customHeight="1" x14ac:dyDescent="0.25">
      <c r="A8260" s="94" t="s">
        <v>6729</v>
      </c>
      <c r="B8260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260" s="95" t="str">
        <f>IFERROR(VLOOKUP("UD",'Informacion '!P:Q,2,FALSE),"")</f>
        <v>Unidad</v>
      </c>
      <c r="D8260" s="94">
        <v>5</v>
      </c>
      <c r="E8260" s="84">
        <v>253.28</v>
      </c>
      <c r="F8260" s="83">
        <f t="shared" ca="1" si="321"/>
        <v>1266.4000000000001</v>
      </c>
    </row>
    <row r="8261" spans="1:6" ht="14.1" customHeight="1" x14ac:dyDescent="0.25">
      <c r="A8261" s="94" t="s">
        <v>6729</v>
      </c>
      <c r="B8261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261" s="95" t="str">
        <f>IFERROR(VLOOKUP("UD",'Informacion '!P:Q,2,FALSE),"")</f>
        <v>Unidad</v>
      </c>
      <c r="D8261" s="94">
        <v>3</v>
      </c>
      <c r="E8261" s="84">
        <v>252.8</v>
      </c>
      <c r="F8261" s="83">
        <f t="shared" ca="1" si="321"/>
        <v>758.40000000000009</v>
      </c>
    </row>
    <row r="8262" spans="1:6" ht="14.1" customHeight="1" x14ac:dyDescent="0.25">
      <c r="A8262" s="94" t="s">
        <v>6481</v>
      </c>
      <c r="B8262" s="82" t="str">
        <f ca="1">IFERROR(INDEX(UNSPSCDes,MATCH(INDIRECT(ADDRESS(ROW(),COLUMN()-1,4)),UNSPSCCode,0)),IF(INDIRECT(ADDRESS(ROW(),COLUMN()-1,4))="42293603","Sondas para uso quirúrgico",""))</f>
        <v>Sondas para uso quirúrgico</v>
      </c>
      <c r="C8262" s="95" t="str">
        <f>IFERROR(VLOOKUP("UD",'Informacion '!P:Q,2,FALSE),"")</f>
        <v>Unidad</v>
      </c>
      <c r="D8262" s="94">
        <v>2</v>
      </c>
      <c r="E8262" s="84">
        <v>21.79</v>
      </c>
      <c r="F8262" s="83">
        <f t="shared" ca="1" si="321"/>
        <v>43.58</v>
      </c>
    </row>
    <row r="8263" spans="1:6" ht="14.1" customHeight="1" x14ac:dyDescent="0.25">
      <c r="A8263" s="94" t="s">
        <v>12909</v>
      </c>
      <c r="B8263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263" s="95" t="str">
        <f>IFERROR(VLOOKUP("UD",'Informacion '!P:Q,2,FALSE),"")</f>
        <v>Unidad</v>
      </c>
      <c r="D8263" s="94">
        <v>3</v>
      </c>
      <c r="E8263" s="84">
        <v>99.33</v>
      </c>
      <c r="F8263" s="83">
        <f t="shared" ca="1" si="321"/>
        <v>297.99</v>
      </c>
    </row>
    <row r="8264" spans="1:6" ht="14.1" customHeight="1" x14ac:dyDescent="0.25">
      <c r="A8264" s="94" t="s">
        <v>6266</v>
      </c>
      <c r="B8264" s="82" t="str">
        <f ca="1">IFERROR(INDEX(UNSPSCDes,MATCH(INDIRECT(ADDRESS(ROW(),COLUMN()-1,4)),UNSPSCCode,0)),IF(INDIRECT(ADDRESS(ROW(),COLUMN()-1,4))="30151701","Boquillas de bajantes",""))</f>
        <v>Boquillas de bajantes</v>
      </c>
      <c r="C8264" s="95" t="str">
        <f>IFERROR(VLOOKUP("UD",'Informacion '!P:Q,2,FALSE),"")</f>
        <v>Unidad</v>
      </c>
      <c r="D8264" s="94">
        <v>1917</v>
      </c>
      <c r="E8264" s="84">
        <v>7.76</v>
      </c>
      <c r="F8264" s="83">
        <f t="shared" ca="1" si="321"/>
        <v>14875.92</v>
      </c>
    </row>
    <row r="8265" spans="1:6" ht="14.1" customHeight="1" x14ac:dyDescent="0.25">
      <c r="A8265" s="94" t="s">
        <v>6481</v>
      </c>
      <c r="B8265" s="82" t="str">
        <f ca="1">IFERROR(INDEX(UNSPSCDes,MATCH(INDIRECT(ADDRESS(ROW(),COLUMN()-1,4)),UNSPSCCode,0)),IF(INDIRECT(ADDRESS(ROW(),COLUMN()-1,4))="42293603","Sondas para uso quirúrgico",""))</f>
        <v>Sondas para uso quirúrgico</v>
      </c>
      <c r="C8265" s="95" t="str">
        <f>IFERROR(VLOOKUP("UD",'Informacion '!P:Q,2,FALSE),"")</f>
        <v>Unidad</v>
      </c>
      <c r="D8265" s="94">
        <v>3</v>
      </c>
      <c r="E8265" s="84">
        <v>17.34</v>
      </c>
      <c r="F8265" s="83">
        <f t="shared" ca="1" si="321"/>
        <v>52.019999999999996</v>
      </c>
    </row>
    <row r="8266" spans="1:6" ht="14.1" customHeight="1" x14ac:dyDescent="0.25">
      <c r="A8266" s="94" t="s">
        <v>16002</v>
      </c>
      <c r="B8266" s="82" t="str">
        <f ca="1">IFERROR(INDEX(UNSPSCDes,MATCH(INDIRECT(ADDRESS(ROW(),COLUMN()-1,4)),UNSPSCCode,0)),IF(INDIRECT(ADDRESS(ROW(),COLUMN()-1,4))="46181810","Lavadores de ojos o estaciones para lavado de ojos",""))</f>
        <v>Lavadores de ojos o estaciones para lavado de ojos</v>
      </c>
      <c r="C8266" s="95" t="str">
        <f>IFERROR(VLOOKUP("UD",'Informacion '!P:Q,2,FALSE),"")</f>
        <v>Unidad</v>
      </c>
      <c r="D8266" s="94">
        <v>2</v>
      </c>
      <c r="E8266" s="84">
        <v>2312.8000000000002</v>
      </c>
      <c r="F8266" s="83">
        <f t="shared" ca="1" si="321"/>
        <v>4625.6000000000004</v>
      </c>
    </row>
    <row r="8267" spans="1:6" ht="14.1" customHeight="1" x14ac:dyDescent="0.25">
      <c r="A8267" s="94" t="s">
        <v>11071</v>
      </c>
      <c r="B8267" s="82" t="str">
        <f ca="1">IFERROR(INDEX(UNSPSCDes,MATCH(INDIRECT(ADDRESS(ROW(),COLUMN()-1,4)),UNSPSCCode,0)),IF(INDIRECT(ADDRESS(ROW(),COLUMN()-1,4))="42142523","Agujas hipodérmicas",""))</f>
        <v>Agujas hipodérmicas</v>
      </c>
      <c r="C8267" s="95" t="str">
        <f>IFERROR(VLOOKUP("UD",'Informacion '!P:Q,2,FALSE),"")</f>
        <v>Unidad</v>
      </c>
      <c r="D8267" s="94">
        <v>22</v>
      </c>
      <c r="E8267" s="84">
        <v>1.06</v>
      </c>
      <c r="F8267" s="83">
        <f t="shared" ca="1" si="321"/>
        <v>23.32</v>
      </c>
    </row>
    <row r="8268" spans="1:6" ht="14.1" customHeight="1" x14ac:dyDescent="0.25">
      <c r="A8268" s="94" t="s">
        <v>14138</v>
      </c>
      <c r="B826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268" s="95" t="str">
        <f>IFERROR(VLOOKUP("UD",'Informacion '!P:Q,2,FALSE),"")</f>
        <v>Unidad</v>
      </c>
      <c r="D8268" s="94">
        <v>3</v>
      </c>
      <c r="E8268" s="84">
        <v>55.05</v>
      </c>
      <c r="F8268" s="83">
        <f t="shared" ca="1" si="321"/>
        <v>165.14999999999998</v>
      </c>
    </row>
    <row r="8269" spans="1:6" ht="14.1" customHeight="1" x14ac:dyDescent="0.25">
      <c r="A8269" s="94" t="s">
        <v>16197</v>
      </c>
      <c r="B8269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8269" s="95" t="str">
        <f>IFERROR(VLOOKUP("UD",'Informacion '!P:Q,2,FALSE),"")</f>
        <v>Unidad</v>
      </c>
      <c r="D8269" s="94">
        <v>2</v>
      </c>
      <c r="E8269" s="84">
        <v>6088.51</v>
      </c>
      <c r="F8269" s="83">
        <f t="shared" ca="1" si="321"/>
        <v>12177.02</v>
      </c>
    </row>
    <row r="8270" spans="1:6" ht="14.1" customHeight="1" x14ac:dyDescent="0.25">
      <c r="A8270" s="94" t="s">
        <v>435</v>
      </c>
      <c r="B8270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270" s="95" t="str">
        <f>IFERROR(VLOOKUP("UD",'Informacion '!P:Q,2,FALSE),"")</f>
        <v>Unidad</v>
      </c>
      <c r="D8270" s="94">
        <v>8</v>
      </c>
      <c r="E8270" s="84">
        <v>1106.25</v>
      </c>
      <c r="F8270" s="83">
        <f t="shared" ca="1" si="321"/>
        <v>8850</v>
      </c>
    </row>
    <row r="8271" spans="1:6" ht="14.1" customHeight="1" x14ac:dyDescent="0.25">
      <c r="A8271" s="94" t="s">
        <v>14286</v>
      </c>
      <c r="B8271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271" s="95" t="str">
        <f>IFERROR(VLOOKUP("UD",'Informacion '!P:Q,2,FALSE),"")</f>
        <v>Unidad</v>
      </c>
      <c r="D8271" s="94">
        <v>2</v>
      </c>
      <c r="E8271" s="84">
        <v>264.77</v>
      </c>
      <c r="F8271" s="83">
        <f t="shared" ca="1" si="321"/>
        <v>529.54</v>
      </c>
    </row>
    <row r="8272" spans="1:6" ht="14.1" customHeight="1" x14ac:dyDescent="0.25">
      <c r="A8272" s="94" t="s">
        <v>7589</v>
      </c>
      <c r="B8272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272" s="95" t="str">
        <f>IFERROR(VLOOKUP("UD",'Informacion '!P:Q,2,FALSE),"")</f>
        <v>Unidad</v>
      </c>
      <c r="D8272" s="94">
        <v>22</v>
      </c>
      <c r="E8272" s="84">
        <v>630.84</v>
      </c>
      <c r="F8272" s="83">
        <f t="shared" ca="1" si="321"/>
        <v>13878.480000000001</v>
      </c>
    </row>
    <row r="8273" spans="1:10" ht="14.1" customHeight="1" x14ac:dyDescent="0.25">
      <c r="A8273" s="94" t="s">
        <v>1865</v>
      </c>
      <c r="B827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8273" s="95" t="str">
        <f>IFERROR(VLOOKUP("UD",'Informacion '!P:Q,2,FALSE),"")</f>
        <v>Unidad</v>
      </c>
      <c r="D8273" s="94">
        <v>105</v>
      </c>
      <c r="E8273" s="84">
        <v>15.34</v>
      </c>
      <c r="F8273" s="83">
        <f t="shared" ca="1" si="321"/>
        <v>1610.7</v>
      </c>
    </row>
    <row r="8274" spans="1:10" ht="14.1" customHeight="1" x14ac:dyDescent="0.25">
      <c r="A8274" s="94" t="s">
        <v>16391</v>
      </c>
      <c r="B8274" s="82" t="str">
        <f ca="1">IFERROR(INDEX(UNSPSCDes,MATCH(INDIRECT(ADDRESS(ROW(),COLUMN()-1,4)),UNSPSCCode,0)),IF(INDIRECT(ADDRESS(ROW(),COLUMN()-1,4))="42142615","Accesorios para jeringas",""))</f>
        <v>Accesorios para jeringas</v>
      </c>
      <c r="C8274" s="95" t="str">
        <f>IFERROR(VLOOKUP("UD",'Informacion '!P:Q,2,FALSE),"")</f>
        <v>Unidad</v>
      </c>
      <c r="D8274" s="94">
        <v>152</v>
      </c>
      <c r="E8274" s="84">
        <v>3.54</v>
      </c>
      <c r="F8274" s="83">
        <f t="shared" ca="1" si="321"/>
        <v>538.08000000000004</v>
      </c>
    </row>
    <row r="8275" spans="1:10" ht="14.1" customHeight="1" x14ac:dyDescent="0.25">
      <c r="A8275" s="94" t="s">
        <v>19401</v>
      </c>
      <c r="B8275" s="82" t="str">
        <f ca="1">IFERROR(INDEX(UNSPSCDes,MATCH(INDIRECT(ADDRESS(ROW(),COLUMN()-1,4)),UNSPSCCode,0)),IF(INDIRECT(ADDRESS(ROW(),COLUMN()-1,4))="42312311","Kits de desinfectantes",""))</f>
        <v>Kits de desinfectantes</v>
      </c>
      <c r="C8275" s="95" t="str">
        <f>IFERROR(VLOOKUP("UD",'Informacion '!P:Q,2,FALSE),"")</f>
        <v>Unidad</v>
      </c>
      <c r="D8275" s="94">
        <v>22</v>
      </c>
      <c r="E8275" s="84">
        <v>701.98</v>
      </c>
      <c r="F8275" s="83">
        <f t="shared" ca="1" si="321"/>
        <v>15443.560000000001</v>
      </c>
    </row>
    <row r="8276" spans="1:10" ht="14.1" customHeight="1" x14ac:dyDescent="0.25">
      <c r="A8276" s="94" t="s">
        <v>6481</v>
      </c>
      <c r="B8276" s="82" t="str">
        <f ca="1">IFERROR(INDEX(UNSPSCDes,MATCH(INDIRECT(ADDRESS(ROW(),COLUMN()-1,4)),UNSPSCCode,0)),IF(INDIRECT(ADDRESS(ROW(),COLUMN()-1,4))="42293603","Sondas para uso quirúrgico",""))</f>
        <v>Sondas para uso quirúrgico</v>
      </c>
      <c r="C8276" s="95" t="str">
        <f>IFERROR(VLOOKUP("UD",'Informacion '!P:Q,2,FALSE),"")</f>
        <v>Unidad</v>
      </c>
      <c r="D8276" s="94">
        <v>108</v>
      </c>
      <c r="E8276" s="84">
        <v>27.1</v>
      </c>
      <c r="F8276" s="83">
        <f t="shared" ca="1" si="321"/>
        <v>2926.8</v>
      </c>
    </row>
    <row r="8277" spans="1:10" ht="14.1" customHeight="1" x14ac:dyDescent="0.25">
      <c r="A8277" s="94" t="s">
        <v>7820</v>
      </c>
      <c r="B8277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277" s="95" t="str">
        <f>IFERROR(VLOOKUP("UD",'Informacion '!P:Q,2,FALSE),"")</f>
        <v>Unidad</v>
      </c>
      <c r="D8277" s="94">
        <v>116</v>
      </c>
      <c r="E8277" s="84">
        <v>100.89</v>
      </c>
      <c r="F8277" s="83">
        <f t="shared" ca="1" si="321"/>
        <v>11703.24</v>
      </c>
    </row>
    <row r="8278" spans="1:10" ht="14.1" customHeight="1" x14ac:dyDescent="0.25">
      <c r="A8278" s="94" t="s">
        <v>16391</v>
      </c>
      <c r="B8278" s="82" t="str">
        <f ca="1">IFERROR(INDEX(UNSPSCDes,MATCH(INDIRECT(ADDRESS(ROW(),COLUMN()-1,4)),UNSPSCCode,0)),IF(INDIRECT(ADDRESS(ROW(),COLUMN()-1,4))="42142615","Accesorios para jeringas",""))</f>
        <v>Accesorios para jeringas</v>
      </c>
      <c r="C8278" s="95" t="str">
        <f>IFERROR(VLOOKUP("UD",'Informacion '!P:Q,2,FALSE),"")</f>
        <v>Unidad</v>
      </c>
      <c r="D8278" s="94">
        <v>40</v>
      </c>
      <c r="E8278" s="84">
        <v>17.11</v>
      </c>
      <c r="F8278" s="83">
        <f t="shared" ca="1" si="321"/>
        <v>684.4</v>
      </c>
    </row>
    <row r="8279" spans="1:10" ht="14.1" customHeight="1" x14ac:dyDescent="0.25">
      <c r="A8279" s="94" t="s">
        <v>12107</v>
      </c>
      <c r="B8279" s="82" t="str">
        <f ca="1">IFERROR(INDEX(UNSPSCDes,MATCH(INDIRECT(ADDRESS(ROW(),COLUMN()-1,4)),UNSPSCCode,0)),IF(INDIRECT(ADDRESS(ROW(),COLUMN()-1,4))="27112105","Pinzas",""))</f>
        <v>Pinzas</v>
      </c>
      <c r="C8279" s="95" t="str">
        <f>IFERROR(VLOOKUP("UD",'Informacion '!P:Q,2,FALSE),"")</f>
        <v>Unidad</v>
      </c>
      <c r="D8279" s="94">
        <v>2</v>
      </c>
      <c r="E8279" s="84">
        <v>1888</v>
      </c>
      <c r="F8279" s="83">
        <f t="shared" ca="1" si="321"/>
        <v>3776</v>
      </c>
    </row>
    <row r="8280" spans="1:10" ht="14.1" customHeight="1" x14ac:dyDescent="0.25">
      <c r="A8280" s="94" t="s">
        <v>8223</v>
      </c>
      <c r="B8280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8280" s="95" t="str">
        <f>IFERROR(VLOOKUP("UD",'Informacion '!P:Q,2,FALSE),"")</f>
        <v>Unidad</v>
      </c>
      <c r="D8280" s="94">
        <v>40819</v>
      </c>
      <c r="E8280" s="84">
        <v>0.16</v>
      </c>
      <c r="F8280" s="83">
        <f t="shared" ca="1" si="321"/>
        <v>6531.04</v>
      </c>
    </row>
    <row r="8281" spans="1:10" ht="14.1" customHeight="1" x14ac:dyDescent="0.25">
      <c r="A8281" s="94" t="s">
        <v>7589</v>
      </c>
      <c r="B8281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281" s="95" t="str">
        <f>IFERROR(VLOOKUP("UD",'Informacion '!P:Q,2,FALSE),"")</f>
        <v>Unidad</v>
      </c>
      <c r="D8281" s="94">
        <v>2</v>
      </c>
      <c r="E8281" s="84">
        <v>802.4</v>
      </c>
      <c r="F8281" s="83">
        <f t="shared" ca="1" si="321"/>
        <v>1604.8</v>
      </c>
    </row>
    <row r="8282" spans="1:10" ht="14.1" customHeight="1" x14ac:dyDescent="0.25">
      <c r="E8282" s="96" t="s">
        <v>7213</v>
      </c>
      <c r="F8282" s="87">
        <f ca="1">SUM(Table213[MONTO TOTAL ESTIMADO])</f>
        <v>370986.35</v>
      </c>
      <c r="H8282" s="39" t="str">
        <f>C8228</f>
        <v>Bienes</v>
      </c>
      <c r="I8282" s="39" t="str">
        <f>E8228</f>
        <v>No</v>
      </c>
      <c r="J8282" s="39" t="str">
        <f>D8228</f>
        <v>Compras Menores</v>
      </c>
    </row>
    <row r="8284" spans="1:10" ht="33.950000000000003" customHeight="1" x14ac:dyDescent="0.25">
      <c r="A8284" s="77" t="s">
        <v>17233</v>
      </c>
      <c r="B8284" s="77" t="s">
        <v>4237</v>
      </c>
      <c r="C8284" s="77" t="s">
        <v>4743</v>
      </c>
      <c r="D8284" s="77" t="s">
        <v>9891</v>
      </c>
      <c r="E8284" s="77" t="s">
        <v>3089</v>
      </c>
      <c r="F8284" s="77" t="s">
        <v>18141</v>
      </c>
    </row>
    <row r="8285" spans="1:10" ht="14.1" customHeight="1" x14ac:dyDescent="0.25">
      <c r="A8285" s="79" t="s">
        <v>15030</v>
      </c>
      <c r="B8285" s="79" t="s">
        <v>2182</v>
      </c>
      <c r="C8285" s="79" t="s">
        <v>17215</v>
      </c>
      <c r="D8285" s="79" t="s">
        <v>17798</v>
      </c>
      <c r="E8285" s="79" t="s">
        <v>18247</v>
      </c>
      <c r="F8285" s="79"/>
    </row>
    <row r="8286" spans="1:10" ht="14.1" customHeight="1" x14ac:dyDescent="0.25">
      <c r="A8286" s="2" t="s">
        <v>6643</v>
      </c>
      <c r="B8286" s="80" t="s">
        <v>1046</v>
      </c>
      <c r="C8286" s="90">
        <v>43647</v>
      </c>
      <c r="D8286" s="2" t="s">
        <v>59</v>
      </c>
      <c r="E8286" s="92" t="s">
        <v>20066</v>
      </c>
      <c r="F8286" s="93" t="s">
        <v>5684</v>
      </c>
    </row>
    <row r="8287" spans="1:10" ht="14.1" customHeight="1" x14ac:dyDescent="0.25">
      <c r="A8287" s="1"/>
      <c r="B8287" s="80" t="s">
        <v>10788</v>
      </c>
      <c r="C8287" s="91">
        <f>IF(C8286="","",IF(AND(MONTH(C8286)&gt;=1,MONTH(C8286)&lt;=3),1,IF(AND(MONTH(C8286)&gt;=4,MONTH(C8286)&lt;=6),2,IF(AND(MONTH(C8286)&gt;=7,MONTH(C8286)&lt;=9),3,4))))</f>
        <v>3</v>
      </c>
      <c r="D8287" s="1"/>
      <c r="E8287" s="92" t="s">
        <v>14822</v>
      </c>
      <c r="F8287" s="93"/>
    </row>
    <row r="8288" spans="1:10" ht="14.1" customHeight="1" x14ac:dyDescent="0.25">
      <c r="A8288" s="1"/>
      <c r="B8288" s="80" t="s">
        <v>13758</v>
      </c>
      <c r="C8288" s="90">
        <v>43738</v>
      </c>
      <c r="D8288" s="1"/>
      <c r="E8288" s="92" t="s">
        <v>18636</v>
      </c>
      <c r="F8288" s="93"/>
    </row>
    <row r="8289" spans="1:6" ht="14.1" customHeight="1" x14ac:dyDescent="0.25">
      <c r="A8289" s="1"/>
      <c r="B8289" s="80" t="s">
        <v>10788</v>
      </c>
      <c r="C8289" s="91">
        <f>IF(C8288="","",IF(AND(MONTH(C8288)&gt;=1,MONTH(C8288)&lt;=3),1,IF(AND(MONTH(C8288)&gt;=4,MONTH(C8288)&lt;=6),2,IF(AND(MONTH(C8288)&gt;=7,MONTH(C8288)&lt;=9),3,4))))</f>
        <v>3</v>
      </c>
      <c r="D8289" s="1"/>
      <c r="E8289" s="92" t="s">
        <v>15990</v>
      </c>
      <c r="F8289" s="93"/>
    </row>
    <row r="8291" spans="1:6" ht="14.1" customHeight="1" x14ac:dyDescent="0.25">
      <c r="A8291" s="85" t="s">
        <v>15474</v>
      </c>
      <c r="B8291" s="85" t="s">
        <v>5027</v>
      </c>
      <c r="C8291" s="85" t="s">
        <v>17461</v>
      </c>
      <c r="D8291" s="85" t="s">
        <v>3935</v>
      </c>
      <c r="E8291" s="85" t="s">
        <v>10722</v>
      </c>
      <c r="F8291" s="85" t="s">
        <v>18237</v>
      </c>
    </row>
    <row r="8292" spans="1:6" ht="14.1" customHeight="1" x14ac:dyDescent="0.25">
      <c r="A8292" s="94" t="s">
        <v>16391</v>
      </c>
      <c r="B8292" s="82" t="str">
        <f ca="1">IFERROR(INDEX(UNSPSCDes,MATCH(INDIRECT(ADDRESS(ROW(),COLUMN()-1,4)),UNSPSCCode,0)),IF(INDIRECT(ADDRESS(ROW(),COLUMN()-1,4))="42142615","Accesorios para jeringas",""))</f>
        <v>Accesorios para jeringas</v>
      </c>
      <c r="C8292" s="95" t="str">
        <f>IFERROR(VLOOKUP("UD",'Informacion '!P:Q,2,FALSE),"")</f>
        <v>Unidad</v>
      </c>
      <c r="D8292" s="94">
        <v>759</v>
      </c>
      <c r="E8292" s="84">
        <v>2.04</v>
      </c>
      <c r="F8292" s="83">
        <f t="shared" ref="F8292:F8338" ca="1" si="322">INDIRECT(ADDRESS(ROW(),COLUMN()-2,4))*INDIRECT(ADDRESS(ROW(),COLUMN()-1,4))</f>
        <v>1548.3600000000001</v>
      </c>
    </row>
    <row r="8293" spans="1:6" ht="14.1" customHeight="1" x14ac:dyDescent="0.25">
      <c r="A8293" s="94" t="s">
        <v>16391</v>
      </c>
      <c r="B8293" s="82" t="str">
        <f ca="1">IFERROR(INDEX(UNSPSCDes,MATCH(INDIRECT(ADDRESS(ROW(),COLUMN()-1,4)),UNSPSCCode,0)),IF(INDIRECT(ADDRESS(ROW(),COLUMN()-1,4))="42142615","Accesorios para jeringas",""))</f>
        <v>Accesorios para jeringas</v>
      </c>
      <c r="C8293" s="95" t="str">
        <f>IFERROR(VLOOKUP("UD",'Informacion '!P:Q,2,FALSE),"")</f>
        <v>Unidad</v>
      </c>
      <c r="D8293" s="94">
        <v>31</v>
      </c>
      <c r="E8293" s="84">
        <v>2.66</v>
      </c>
      <c r="F8293" s="83">
        <f t="shared" ca="1" si="322"/>
        <v>82.460000000000008</v>
      </c>
    </row>
    <row r="8294" spans="1:6" ht="14.1" customHeight="1" x14ac:dyDescent="0.25">
      <c r="A8294" s="94" t="s">
        <v>16391</v>
      </c>
      <c r="B8294" s="82" t="str">
        <f ca="1">IFERROR(INDEX(UNSPSCDes,MATCH(INDIRECT(ADDRESS(ROW(),COLUMN()-1,4)),UNSPSCCode,0)),IF(INDIRECT(ADDRESS(ROW(),COLUMN()-1,4))="42142615","Accesorios para jeringas",""))</f>
        <v>Accesorios para jeringas</v>
      </c>
      <c r="C8294" s="95" t="str">
        <f>IFERROR(VLOOKUP("UD",'Informacion '!P:Q,2,FALSE),"")</f>
        <v>Unidad</v>
      </c>
      <c r="D8294" s="94">
        <v>1113</v>
      </c>
      <c r="E8294" s="84">
        <v>1.81</v>
      </c>
      <c r="F8294" s="83">
        <f t="shared" ca="1" si="322"/>
        <v>2014.53</v>
      </c>
    </row>
    <row r="8295" spans="1:6" ht="14.1" customHeight="1" x14ac:dyDescent="0.25">
      <c r="A8295" s="94" t="s">
        <v>1867</v>
      </c>
      <c r="B8295" s="82" t="str">
        <f ca="1">IFERROR(INDEX(UNSPSCDes,MATCH(INDIRECT(ADDRESS(ROW(),COLUMN()-1,4)),UNSPSCCode,0)),IF(INDIRECT(ADDRESS(ROW(),COLUMN()-1,4))="42222008","Kits o accesorios de bombas de infusión",""))</f>
        <v>Kits o accesorios de bombas de infusión</v>
      </c>
      <c r="C8295" s="95" t="str">
        <f>IFERROR(VLOOKUP("UD",'Informacion '!P:Q,2,FALSE),"")</f>
        <v>Unidad</v>
      </c>
      <c r="D8295" s="94">
        <v>4</v>
      </c>
      <c r="E8295" s="84">
        <v>919.23</v>
      </c>
      <c r="F8295" s="83">
        <f t="shared" ca="1" si="322"/>
        <v>3676.92</v>
      </c>
    </row>
    <row r="8296" spans="1:6" ht="14.1" customHeight="1" x14ac:dyDescent="0.25">
      <c r="A8296" s="94" t="s">
        <v>16391</v>
      </c>
      <c r="B8296" s="82" t="str">
        <f ca="1">IFERROR(INDEX(UNSPSCDes,MATCH(INDIRECT(ADDRESS(ROW(),COLUMN()-1,4)),UNSPSCCode,0)),IF(INDIRECT(ADDRESS(ROW(),COLUMN()-1,4))="42142615","Accesorios para jeringas",""))</f>
        <v>Accesorios para jeringas</v>
      </c>
      <c r="C8296" s="95" t="str">
        <f>IFERROR(VLOOKUP("UD",'Informacion '!P:Q,2,FALSE),"")</f>
        <v>Unidad</v>
      </c>
      <c r="D8296" s="94">
        <v>493</v>
      </c>
      <c r="E8296" s="84">
        <v>1.5</v>
      </c>
      <c r="F8296" s="83">
        <f t="shared" ca="1" si="322"/>
        <v>739.5</v>
      </c>
    </row>
    <row r="8297" spans="1:6" ht="14.1" customHeight="1" x14ac:dyDescent="0.25">
      <c r="A8297" s="94" t="s">
        <v>10112</v>
      </c>
      <c r="B8297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8297" s="95" t="str">
        <f>IFERROR(VLOOKUP("UD",'Informacion '!P:Q,2,FALSE),"")</f>
        <v>Unidad</v>
      </c>
      <c r="D8297" s="94">
        <v>206</v>
      </c>
      <c r="E8297" s="84">
        <v>84.35</v>
      </c>
      <c r="F8297" s="83">
        <f t="shared" ca="1" si="322"/>
        <v>17376.099999999999</v>
      </c>
    </row>
    <row r="8298" spans="1:6" ht="14.1" customHeight="1" x14ac:dyDescent="0.25">
      <c r="A8298" s="94" t="s">
        <v>6266</v>
      </c>
      <c r="B8298" s="82" t="str">
        <f ca="1">IFERROR(INDEX(UNSPSCDes,MATCH(INDIRECT(ADDRESS(ROW(),COLUMN()-1,4)),UNSPSCCode,0)),IF(INDIRECT(ADDRESS(ROW(),COLUMN()-1,4))="30151701","Boquillas de bajantes",""))</f>
        <v>Boquillas de bajantes</v>
      </c>
      <c r="C8298" s="95" t="str">
        <f>IFERROR(VLOOKUP("UD",'Informacion '!P:Q,2,FALSE),"")</f>
        <v>Unidad</v>
      </c>
      <c r="D8298" s="94">
        <v>13</v>
      </c>
      <c r="E8298" s="84">
        <v>120.24</v>
      </c>
      <c r="F8298" s="83">
        <f t="shared" ca="1" si="322"/>
        <v>1563.12</v>
      </c>
    </row>
    <row r="8299" spans="1:6" ht="14.1" customHeight="1" x14ac:dyDescent="0.25">
      <c r="A8299" s="94" t="s">
        <v>6481</v>
      </c>
      <c r="B8299" s="82" t="str">
        <f ca="1">IFERROR(INDEX(UNSPSCDes,MATCH(INDIRECT(ADDRESS(ROW(),COLUMN()-1,4)),UNSPSCCode,0)),IF(INDIRECT(ADDRESS(ROW(),COLUMN()-1,4))="42293603","Sondas para uso quirúrgico",""))</f>
        <v>Sondas para uso quirúrgico</v>
      </c>
      <c r="C8299" s="95" t="str">
        <f>IFERROR(VLOOKUP("UD",'Informacion '!P:Q,2,FALSE),"")</f>
        <v>Unidad</v>
      </c>
      <c r="D8299" s="94">
        <v>56</v>
      </c>
      <c r="E8299" s="84">
        <v>33.35</v>
      </c>
      <c r="F8299" s="83">
        <f t="shared" ca="1" si="322"/>
        <v>1867.6000000000001</v>
      </c>
    </row>
    <row r="8300" spans="1:6" ht="14.1" customHeight="1" x14ac:dyDescent="0.25">
      <c r="A8300" s="94" t="s">
        <v>6481</v>
      </c>
      <c r="B8300" s="82" t="str">
        <f ca="1">IFERROR(INDEX(UNSPSCDes,MATCH(INDIRECT(ADDRESS(ROW(),COLUMN()-1,4)),UNSPSCCode,0)),IF(INDIRECT(ADDRESS(ROW(),COLUMN()-1,4))="42293603","Sondas para uso quirúrgico",""))</f>
        <v>Sondas para uso quirúrgico</v>
      </c>
      <c r="C8300" s="95" t="str">
        <f>IFERROR(VLOOKUP("UD",'Informacion '!P:Q,2,FALSE),"")</f>
        <v>Unidad</v>
      </c>
      <c r="D8300" s="94">
        <v>42</v>
      </c>
      <c r="E8300" s="84">
        <v>33.35</v>
      </c>
      <c r="F8300" s="83">
        <f t="shared" ca="1" si="322"/>
        <v>1400.7</v>
      </c>
    </row>
    <row r="8301" spans="1:6" ht="14.1" customHeight="1" x14ac:dyDescent="0.25">
      <c r="A8301" s="94" t="s">
        <v>16379</v>
      </c>
      <c r="B8301" s="82" t="str">
        <f ca="1">IFERROR(INDEX(UNSPSCDes,MATCH(INDIRECT(ADDRESS(ROW(),COLUMN()-1,4)),UNSPSCCode,0)),IF(INDIRECT(ADDRESS(ROW(),COLUMN()-1,4))="53131608","Jabones",""))</f>
        <v>Jabones</v>
      </c>
      <c r="C8301" s="95" t="str">
        <f>IFERROR(VLOOKUP("UD",'Informacion '!P:Q,2,FALSE),"")</f>
        <v>Unidad</v>
      </c>
      <c r="D8301" s="94">
        <v>6</v>
      </c>
      <c r="E8301" s="84">
        <v>719.5</v>
      </c>
      <c r="F8301" s="83">
        <f t="shared" ca="1" si="322"/>
        <v>4317</v>
      </c>
    </row>
    <row r="8302" spans="1:6" ht="14.1" customHeight="1" x14ac:dyDescent="0.25">
      <c r="A8302" s="94" t="s">
        <v>18202</v>
      </c>
      <c r="B8302" s="82" t="str">
        <f ca="1">IFERROR(INDEX(UNSPSCDes,MATCH(INDIRECT(ADDRESS(ROW(),COLUMN()-1,4)),UNSPSCCode,0)),IF(INDIRECT(ADDRESS(ROW(),COLUMN()-1,4))="14111609","Papel de cubierta",""))</f>
        <v>Papel de cubierta</v>
      </c>
      <c r="C8302" s="95" t="str">
        <f>IFERROR(VLOOKUP("UD",'Informacion '!P:Q,2,FALSE),"")</f>
        <v>Unidad</v>
      </c>
      <c r="D8302" s="94">
        <v>574</v>
      </c>
      <c r="E8302" s="84">
        <v>120.36</v>
      </c>
      <c r="F8302" s="83">
        <f t="shared" ca="1" si="322"/>
        <v>69086.64</v>
      </c>
    </row>
    <row r="8303" spans="1:6" ht="14.1" customHeight="1" x14ac:dyDescent="0.25">
      <c r="A8303" s="94" t="s">
        <v>10248</v>
      </c>
      <c r="B8303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303" s="95" t="str">
        <f>IFERROR(VLOOKUP("UD",'Informacion '!P:Q,2,FALSE),"")</f>
        <v>Unidad</v>
      </c>
      <c r="D8303" s="94">
        <v>96</v>
      </c>
      <c r="E8303" s="84">
        <v>1294.8499999999999</v>
      </c>
      <c r="F8303" s="83">
        <f t="shared" ca="1" si="322"/>
        <v>124305.59999999999</v>
      </c>
    </row>
    <row r="8304" spans="1:6" ht="14.1" customHeight="1" x14ac:dyDescent="0.25">
      <c r="A8304" s="94" t="s">
        <v>16391</v>
      </c>
      <c r="B8304" s="82" t="str">
        <f ca="1">IFERROR(INDEX(UNSPSCDes,MATCH(INDIRECT(ADDRESS(ROW(),COLUMN()-1,4)),UNSPSCCode,0)),IF(INDIRECT(ADDRESS(ROW(),COLUMN()-1,4))="42142615","Accesorios para jeringas",""))</f>
        <v>Accesorios para jeringas</v>
      </c>
      <c r="C8304" s="95" t="str">
        <f>IFERROR(VLOOKUP("UD",'Informacion '!P:Q,2,FALSE),"")</f>
        <v>Unidad</v>
      </c>
      <c r="D8304" s="94">
        <v>148</v>
      </c>
      <c r="E8304" s="84">
        <v>6.62</v>
      </c>
      <c r="F8304" s="83">
        <f t="shared" ca="1" si="322"/>
        <v>979.76</v>
      </c>
    </row>
    <row r="8305" spans="1:6" ht="14.1" customHeight="1" x14ac:dyDescent="0.25">
      <c r="A8305" s="94" t="s">
        <v>12909</v>
      </c>
      <c r="B830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305" s="95" t="str">
        <f>IFERROR(VLOOKUP("UD",'Informacion '!P:Q,2,FALSE),"")</f>
        <v>Unidad</v>
      </c>
      <c r="D8305" s="94">
        <v>11415</v>
      </c>
      <c r="E8305" s="84">
        <v>0.56999999999999995</v>
      </c>
      <c r="F8305" s="83">
        <f t="shared" ca="1" si="322"/>
        <v>6506.5499999999993</v>
      </c>
    </row>
    <row r="8306" spans="1:6" ht="14.1" customHeight="1" x14ac:dyDescent="0.25">
      <c r="A8306" s="94" t="s">
        <v>14958</v>
      </c>
      <c r="B8306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8306" s="95" t="str">
        <f>IFERROR(VLOOKUP("UD",'Informacion '!P:Q,2,FALSE),"")</f>
        <v>Unidad</v>
      </c>
      <c r="D8306" s="94">
        <v>1269</v>
      </c>
      <c r="E8306" s="84">
        <v>11.92</v>
      </c>
      <c r="F8306" s="83">
        <f t="shared" ca="1" si="322"/>
        <v>15126.48</v>
      </c>
    </row>
    <row r="8307" spans="1:6" ht="14.1" customHeight="1" x14ac:dyDescent="0.25">
      <c r="A8307" s="94" t="s">
        <v>16391</v>
      </c>
      <c r="B8307" s="82" t="str">
        <f ca="1">IFERROR(INDEX(UNSPSCDes,MATCH(INDIRECT(ADDRESS(ROW(),COLUMN()-1,4)),UNSPSCCode,0)),IF(INDIRECT(ADDRESS(ROW(),COLUMN()-1,4))="42142615","Accesorios para jeringas",""))</f>
        <v>Accesorios para jeringas</v>
      </c>
      <c r="C8307" s="95" t="str">
        <f>IFERROR(VLOOKUP("UD",'Informacion '!P:Q,2,FALSE),"")</f>
        <v>Unidad</v>
      </c>
      <c r="D8307" s="94">
        <v>189</v>
      </c>
      <c r="E8307" s="84">
        <v>1.88</v>
      </c>
      <c r="F8307" s="83">
        <f t="shared" ca="1" si="322"/>
        <v>355.32</v>
      </c>
    </row>
    <row r="8308" spans="1:6" ht="14.1" customHeight="1" x14ac:dyDescent="0.25">
      <c r="A8308" s="94" t="s">
        <v>3216</v>
      </c>
      <c r="B8308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8308" s="95" t="str">
        <f>IFERROR(VLOOKUP("UD",'Informacion '!P:Q,2,FALSE),"")</f>
        <v>Unidad</v>
      </c>
      <c r="D8308" s="94">
        <v>6</v>
      </c>
      <c r="E8308" s="84">
        <v>60.77</v>
      </c>
      <c r="F8308" s="83">
        <f t="shared" ca="1" si="322"/>
        <v>364.62</v>
      </c>
    </row>
    <row r="8309" spans="1:6" ht="14.1" customHeight="1" x14ac:dyDescent="0.25">
      <c r="A8309" s="94" t="s">
        <v>6481</v>
      </c>
      <c r="B8309" s="82" t="str">
        <f ca="1">IFERROR(INDEX(UNSPSCDes,MATCH(INDIRECT(ADDRESS(ROW(),COLUMN()-1,4)),UNSPSCCode,0)),IF(INDIRECT(ADDRESS(ROW(),COLUMN()-1,4))="42293603","Sondas para uso quirúrgico",""))</f>
        <v>Sondas para uso quirúrgico</v>
      </c>
      <c r="C8309" s="95" t="str">
        <f>IFERROR(VLOOKUP("UD",'Informacion '!P:Q,2,FALSE),"")</f>
        <v>Unidad</v>
      </c>
      <c r="D8309" s="94">
        <v>5</v>
      </c>
      <c r="E8309" s="84">
        <v>25.38</v>
      </c>
      <c r="F8309" s="83">
        <f t="shared" ca="1" si="322"/>
        <v>126.89999999999999</v>
      </c>
    </row>
    <row r="8310" spans="1:6" ht="14.1" customHeight="1" x14ac:dyDescent="0.25">
      <c r="A8310" s="94" t="s">
        <v>3782</v>
      </c>
      <c r="B8310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8310" s="95" t="str">
        <f>IFERROR(VLOOKUP("UD",'Informacion '!P:Q,2,FALSE),"")</f>
        <v>Unidad</v>
      </c>
      <c r="D8310" s="94">
        <v>28</v>
      </c>
      <c r="E8310" s="84">
        <v>426.62</v>
      </c>
      <c r="F8310" s="83">
        <f t="shared" ca="1" si="322"/>
        <v>11945.36</v>
      </c>
    </row>
    <row r="8311" spans="1:6" ht="14.1" customHeight="1" x14ac:dyDescent="0.25">
      <c r="A8311" s="94" t="s">
        <v>16391</v>
      </c>
      <c r="B8311" s="82" t="str">
        <f ca="1">IFERROR(INDEX(UNSPSCDes,MATCH(INDIRECT(ADDRESS(ROW(),COLUMN()-1,4)),UNSPSCCode,0)),IF(INDIRECT(ADDRESS(ROW(),COLUMN()-1,4))="42142615","Accesorios para jeringas",""))</f>
        <v>Accesorios para jeringas</v>
      </c>
      <c r="C8311" s="95" t="str">
        <f>IFERROR(VLOOKUP("UD",'Informacion '!P:Q,2,FALSE),"")</f>
        <v>Unidad</v>
      </c>
      <c r="D8311" s="94">
        <v>23</v>
      </c>
      <c r="E8311" s="84">
        <v>5.31</v>
      </c>
      <c r="F8311" s="83">
        <f t="shared" ca="1" si="322"/>
        <v>122.13</v>
      </c>
    </row>
    <row r="8312" spans="1:6" ht="14.1" customHeight="1" x14ac:dyDescent="0.25">
      <c r="A8312" s="94" t="s">
        <v>16391</v>
      </c>
      <c r="B8312" s="82" t="str">
        <f ca="1">IFERROR(INDEX(UNSPSCDes,MATCH(INDIRECT(ADDRESS(ROW(),COLUMN()-1,4)),UNSPSCCode,0)),IF(INDIRECT(ADDRESS(ROW(),COLUMN()-1,4))="42142615","Accesorios para jeringas",""))</f>
        <v>Accesorios para jeringas</v>
      </c>
      <c r="C8312" s="95" t="str">
        <f>IFERROR(VLOOKUP("UD",'Informacion '!P:Q,2,FALSE),"")</f>
        <v>Unidad</v>
      </c>
      <c r="D8312" s="94">
        <v>1310</v>
      </c>
      <c r="E8312" s="84">
        <v>2.12</v>
      </c>
      <c r="F8312" s="83">
        <f t="shared" ca="1" si="322"/>
        <v>2777.2000000000003</v>
      </c>
    </row>
    <row r="8313" spans="1:6" ht="14.1" customHeight="1" x14ac:dyDescent="0.25">
      <c r="A8313" s="94" t="s">
        <v>6481</v>
      </c>
      <c r="B8313" s="82" t="str">
        <f ca="1">IFERROR(INDEX(UNSPSCDes,MATCH(INDIRECT(ADDRESS(ROW(),COLUMN()-1,4)),UNSPSCCode,0)),IF(INDIRECT(ADDRESS(ROW(),COLUMN()-1,4))="42293603","Sondas para uso quirúrgico",""))</f>
        <v>Sondas para uso quirúrgico</v>
      </c>
      <c r="C8313" s="95" t="str">
        <f>IFERROR(VLOOKUP("UD",'Informacion '!P:Q,2,FALSE),"")</f>
        <v>Unidad</v>
      </c>
      <c r="D8313" s="94">
        <v>11</v>
      </c>
      <c r="E8313" s="84">
        <v>30.68</v>
      </c>
      <c r="F8313" s="83">
        <f t="shared" ca="1" si="322"/>
        <v>337.48</v>
      </c>
    </row>
    <row r="8314" spans="1:6" ht="14.1" customHeight="1" x14ac:dyDescent="0.25">
      <c r="A8314" s="94" t="s">
        <v>14138</v>
      </c>
      <c r="B8314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314" s="95" t="str">
        <f>IFERROR(VLOOKUP("UD",'Informacion '!P:Q,2,FALSE),"")</f>
        <v>Unidad</v>
      </c>
      <c r="D8314" s="94">
        <v>3</v>
      </c>
      <c r="E8314" s="84">
        <v>9.15</v>
      </c>
      <c r="F8314" s="83">
        <f t="shared" ca="1" si="322"/>
        <v>27.450000000000003</v>
      </c>
    </row>
    <row r="8315" spans="1:6" ht="14.1" customHeight="1" x14ac:dyDescent="0.25">
      <c r="A8315" s="94" t="s">
        <v>2726</v>
      </c>
      <c r="B8315" s="82" t="str">
        <f ca="1">IFERROR(INDEX(UNSPSCDes,MATCH(INDIRECT(ADDRESS(ROW(),COLUMN()-1,4)),UNSPSCCode,0)),IF(INDIRECT(ADDRESS(ROW(),COLUMN()-1,4))="24112602","Frascos",""))</f>
        <v>Frascos</v>
      </c>
      <c r="C8315" s="95" t="str">
        <f>IFERROR(VLOOKUP("UD",'Informacion '!P:Q,2,FALSE),"")</f>
        <v>Unidad</v>
      </c>
      <c r="D8315" s="94">
        <v>20</v>
      </c>
      <c r="E8315" s="84">
        <v>96.16</v>
      </c>
      <c r="F8315" s="83">
        <f t="shared" ca="1" si="322"/>
        <v>1923.1999999999998</v>
      </c>
    </row>
    <row r="8316" spans="1:6" ht="14.1" customHeight="1" x14ac:dyDescent="0.25">
      <c r="A8316" s="94" t="s">
        <v>7820</v>
      </c>
      <c r="B8316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316" s="95" t="str">
        <f>IFERROR(VLOOKUP("UD",'Informacion '!P:Q,2,FALSE),"")</f>
        <v>Unidad</v>
      </c>
      <c r="D8316" s="94">
        <v>7</v>
      </c>
      <c r="E8316" s="84">
        <v>95</v>
      </c>
      <c r="F8316" s="83">
        <f t="shared" ca="1" si="322"/>
        <v>665</v>
      </c>
    </row>
    <row r="8317" spans="1:6" ht="14.1" customHeight="1" x14ac:dyDescent="0.25">
      <c r="A8317" s="94" t="s">
        <v>6729</v>
      </c>
      <c r="B8317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317" s="95" t="str">
        <f>IFERROR(VLOOKUP("UD",'Informacion '!P:Q,2,FALSE),"")</f>
        <v>Unidad</v>
      </c>
      <c r="D8317" s="94">
        <v>7</v>
      </c>
      <c r="E8317" s="84">
        <v>253.28</v>
      </c>
      <c r="F8317" s="83">
        <f t="shared" ca="1" si="322"/>
        <v>1772.96</v>
      </c>
    </row>
    <row r="8318" spans="1:6" ht="14.1" customHeight="1" x14ac:dyDescent="0.25">
      <c r="A8318" s="94" t="s">
        <v>6729</v>
      </c>
      <c r="B8318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318" s="95" t="str">
        <f>IFERROR(VLOOKUP("UD",'Informacion '!P:Q,2,FALSE),"")</f>
        <v>Unidad</v>
      </c>
      <c r="D8318" s="94">
        <v>4</v>
      </c>
      <c r="E8318" s="84">
        <v>252.8</v>
      </c>
      <c r="F8318" s="83">
        <f t="shared" ca="1" si="322"/>
        <v>1011.2</v>
      </c>
    </row>
    <row r="8319" spans="1:6" ht="14.1" customHeight="1" x14ac:dyDescent="0.25">
      <c r="A8319" s="94" t="s">
        <v>6481</v>
      </c>
      <c r="B8319" s="82" t="str">
        <f ca="1">IFERROR(INDEX(UNSPSCDes,MATCH(INDIRECT(ADDRESS(ROW(),COLUMN()-1,4)),UNSPSCCode,0)),IF(INDIRECT(ADDRESS(ROW(),COLUMN()-1,4))="42293603","Sondas para uso quirúrgico",""))</f>
        <v>Sondas para uso quirúrgico</v>
      </c>
      <c r="C8319" s="95" t="str">
        <f>IFERROR(VLOOKUP("UD",'Informacion '!P:Q,2,FALSE),"")</f>
        <v>Unidad</v>
      </c>
      <c r="D8319" s="94">
        <v>3</v>
      </c>
      <c r="E8319" s="84">
        <v>21.79</v>
      </c>
      <c r="F8319" s="83">
        <f t="shared" ca="1" si="322"/>
        <v>65.37</v>
      </c>
    </row>
    <row r="8320" spans="1:6" ht="14.1" customHeight="1" x14ac:dyDescent="0.25">
      <c r="A8320" s="94" t="s">
        <v>12909</v>
      </c>
      <c r="B8320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320" s="95" t="str">
        <f>IFERROR(VLOOKUP("UD",'Informacion '!P:Q,2,FALSE),"")</f>
        <v>Unidad</v>
      </c>
      <c r="D8320" s="94">
        <v>4</v>
      </c>
      <c r="E8320" s="84">
        <v>99.33</v>
      </c>
      <c r="F8320" s="83">
        <f t="shared" ca="1" si="322"/>
        <v>397.32</v>
      </c>
    </row>
    <row r="8321" spans="1:6" ht="14.1" customHeight="1" x14ac:dyDescent="0.25">
      <c r="A8321" s="94" t="s">
        <v>6266</v>
      </c>
      <c r="B8321" s="82" t="str">
        <f ca="1">IFERROR(INDEX(UNSPSCDes,MATCH(INDIRECT(ADDRESS(ROW(),COLUMN()-1,4)),UNSPSCCode,0)),IF(INDIRECT(ADDRESS(ROW(),COLUMN()-1,4))="30151701","Boquillas de bajantes",""))</f>
        <v>Boquillas de bajantes</v>
      </c>
      <c r="C8321" s="95" t="str">
        <f>IFERROR(VLOOKUP("UD",'Informacion '!P:Q,2,FALSE),"")</f>
        <v>Unidad</v>
      </c>
      <c r="D8321" s="94">
        <v>1956</v>
      </c>
      <c r="E8321" s="84">
        <v>7.76</v>
      </c>
      <c r="F8321" s="83">
        <f t="shared" ca="1" si="322"/>
        <v>15178.56</v>
      </c>
    </row>
    <row r="8322" spans="1:6" ht="14.1" customHeight="1" x14ac:dyDescent="0.25">
      <c r="A8322" s="94" t="s">
        <v>6481</v>
      </c>
      <c r="B8322" s="82" t="str">
        <f ca="1">IFERROR(INDEX(UNSPSCDes,MATCH(INDIRECT(ADDRESS(ROW(),COLUMN()-1,4)),UNSPSCCode,0)),IF(INDIRECT(ADDRESS(ROW(),COLUMN()-1,4))="42293603","Sondas para uso quirúrgico",""))</f>
        <v>Sondas para uso quirúrgico</v>
      </c>
      <c r="C8322" s="95" t="str">
        <f>IFERROR(VLOOKUP("UD",'Informacion '!P:Q,2,FALSE),"")</f>
        <v>Unidad</v>
      </c>
      <c r="D8322" s="94">
        <v>4</v>
      </c>
      <c r="E8322" s="84">
        <v>17.34</v>
      </c>
      <c r="F8322" s="83">
        <f t="shared" ca="1" si="322"/>
        <v>69.36</v>
      </c>
    </row>
    <row r="8323" spans="1:6" ht="14.1" customHeight="1" x14ac:dyDescent="0.25">
      <c r="A8323" s="94" t="s">
        <v>16002</v>
      </c>
      <c r="B8323" s="82" t="str">
        <f ca="1">IFERROR(INDEX(UNSPSCDes,MATCH(INDIRECT(ADDRESS(ROW(),COLUMN()-1,4)),UNSPSCCode,0)),IF(INDIRECT(ADDRESS(ROW(),COLUMN()-1,4))="46181810","Lavadores de ojos o estaciones para lavado de ojos",""))</f>
        <v>Lavadores de ojos o estaciones para lavado de ojos</v>
      </c>
      <c r="C8323" s="95" t="str">
        <f>IFERROR(VLOOKUP("UD",'Informacion '!P:Q,2,FALSE),"")</f>
        <v>Unidad</v>
      </c>
      <c r="D8323" s="94">
        <v>3</v>
      </c>
      <c r="E8323" s="84">
        <v>2312.8000000000002</v>
      </c>
      <c r="F8323" s="83">
        <f t="shared" ca="1" si="322"/>
        <v>6938.4000000000005</v>
      </c>
    </row>
    <row r="8324" spans="1:6" ht="14.1" customHeight="1" x14ac:dyDescent="0.25">
      <c r="A8324" s="94" t="s">
        <v>11071</v>
      </c>
      <c r="B8324" s="82" t="str">
        <f ca="1">IFERROR(INDEX(UNSPSCDes,MATCH(INDIRECT(ADDRESS(ROW(),COLUMN()-1,4)),UNSPSCCode,0)),IF(INDIRECT(ADDRESS(ROW(),COLUMN()-1,4))="42142523","Agujas hipodérmicas",""))</f>
        <v>Agujas hipodérmicas</v>
      </c>
      <c r="C8324" s="95" t="str">
        <f>IFERROR(VLOOKUP("UD",'Informacion '!P:Q,2,FALSE),"")</f>
        <v>Unidad</v>
      </c>
      <c r="D8324" s="94">
        <v>23</v>
      </c>
      <c r="E8324" s="84">
        <v>1.06</v>
      </c>
      <c r="F8324" s="83">
        <f t="shared" ca="1" si="322"/>
        <v>24.380000000000003</v>
      </c>
    </row>
    <row r="8325" spans="1:6" ht="14.1" customHeight="1" x14ac:dyDescent="0.25">
      <c r="A8325" s="94" t="s">
        <v>14138</v>
      </c>
      <c r="B8325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325" s="95" t="str">
        <f>IFERROR(VLOOKUP("UD",'Informacion '!P:Q,2,FALSE),"")</f>
        <v>Unidad</v>
      </c>
      <c r="D8325" s="94">
        <v>4</v>
      </c>
      <c r="E8325" s="84">
        <v>5505</v>
      </c>
      <c r="F8325" s="83">
        <f t="shared" ca="1" si="322"/>
        <v>22020</v>
      </c>
    </row>
    <row r="8326" spans="1:6" ht="14.1" customHeight="1" x14ac:dyDescent="0.25">
      <c r="A8326" s="94" t="s">
        <v>16197</v>
      </c>
      <c r="B8326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8326" s="95" t="str">
        <f>IFERROR(VLOOKUP("UD",'Informacion '!P:Q,2,FALSE),"")</f>
        <v>Unidad</v>
      </c>
      <c r="D8326" s="94">
        <v>3</v>
      </c>
      <c r="E8326" s="84">
        <v>6088.51</v>
      </c>
      <c r="F8326" s="83">
        <f t="shared" ca="1" si="322"/>
        <v>18265.53</v>
      </c>
    </row>
    <row r="8327" spans="1:6" ht="14.1" customHeight="1" x14ac:dyDescent="0.25">
      <c r="A8327" s="94" t="s">
        <v>435</v>
      </c>
      <c r="B8327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327" s="95" t="str">
        <f>IFERROR(VLOOKUP("UD",'Informacion '!P:Q,2,FALSE),"")</f>
        <v>Unidad</v>
      </c>
      <c r="D8327" s="94">
        <v>9</v>
      </c>
      <c r="E8327" s="84">
        <v>1106.25</v>
      </c>
      <c r="F8327" s="83">
        <f t="shared" ca="1" si="322"/>
        <v>9956.25</v>
      </c>
    </row>
    <row r="8328" spans="1:6" ht="14.1" customHeight="1" x14ac:dyDescent="0.25">
      <c r="A8328" s="94" t="s">
        <v>14286</v>
      </c>
      <c r="B8328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328" s="95" t="str">
        <f>IFERROR(VLOOKUP("UD",'Informacion '!P:Q,2,FALSE),"")</f>
        <v>Unidad</v>
      </c>
      <c r="D8328" s="94">
        <v>3</v>
      </c>
      <c r="E8328" s="84">
        <v>264.77</v>
      </c>
      <c r="F8328" s="83">
        <f t="shared" ca="1" si="322"/>
        <v>794.31</v>
      </c>
    </row>
    <row r="8329" spans="1:6" ht="14.1" customHeight="1" x14ac:dyDescent="0.25">
      <c r="A8329" s="94" t="s">
        <v>7589</v>
      </c>
      <c r="B8329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329" s="95" t="str">
        <f>IFERROR(VLOOKUP("UD",'Informacion '!P:Q,2,FALSE),"")</f>
        <v>Unidad</v>
      </c>
      <c r="D8329" s="94">
        <v>24</v>
      </c>
      <c r="E8329" s="84">
        <v>630.84</v>
      </c>
      <c r="F8329" s="83">
        <f t="shared" ca="1" si="322"/>
        <v>15140.16</v>
      </c>
    </row>
    <row r="8330" spans="1:6" ht="14.1" customHeight="1" x14ac:dyDescent="0.25">
      <c r="A8330" s="94" t="s">
        <v>1865</v>
      </c>
      <c r="B8330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8330" s="95" t="str">
        <f>IFERROR(VLOOKUP("UD",'Informacion '!P:Q,2,FALSE),"")</f>
        <v>Unidad</v>
      </c>
      <c r="D8330" s="94">
        <v>108</v>
      </c>
      <c r="E8330" s="84">
        <v>15.34</v>
      </c>
      <c r="F8330" s="83">
        <f t="shared" ca="1" si="322"/>
        <v>1656.72</v>
      </c>
    </row>
    <row r="8331" spans="1:6" ht="14.1" customHeight="1" x14ac:dyDescent="0.25">
      <c r="A8331" s="94" t="s">
        <v>16391</v>
      </c>
      <c r="B8331" s="82" t="str">
        <f ca="1">IFERROR(INDEX(UNSPSCDes,MATCH(INDIRECT(ADDRESS(ROW(),COLUMN()-1,4)),UNSPSCCode,0)),IF(INDIRECT(ADDRESS(ROW(),COLUMN()-1,4))="42142615","Accesorios para jeringas",""))</f>
        <v>Accesorios para jeringas</v>
      </c>
      <c r="C8331" s="95" t="str">
        <f>IFERROR(VLOOKUP("UD",'Informacion '!P:Q,2,FALSE),"")</f>
        <v>Unidad</v>
      </c>
      <c r="D8331" s="94">
        <v>161</v>
      </c>
      <c r="E8331" s="84">
        <v>3.54</v>
      </c>
      <c r="F8331" s="83">
        <f t="shared" ca="1" si="322"/>
        <v>569.94000000000005</v>
      </c>
    </row>
    <row r="8332" spans="1:6" ht="14.1" customHeight="1" x14ac:dyDescent="0.25">
      <c r="A8332" s="94" t="s">
        <v>19401</v>
      </c>
      <c r="B8332" s="82" t="str">
        <f ca="1">IFERROR(INDEX(UNSPSCDes,MATCH(INDIRECT(ADDRESS(ROW(),COLUMN()-1,4)),UNSPSCCode,0)),IF(INDIRECT(ADDRESS(ROW(),COLUMN()-1,4))="42312311","Kits de desinfectantes",""))</f>
        <v>Kits de desinfectantes</v>
      </c>
      <c r="C8332" s="95" t="str">
        <f>IFERROR(VLOOKUP("UD",'Informacion '!P:Q,2,FALSE),"")</f>
        <v>Unidad</v>
      </c>
      <c r="D8332" s="94">
        <v>23</v>
      </c>
      <c r="E8332" s="84">
        <v>701.98</v>
      </c>
      <c r="F8332" s="83">
        <f t="shared" ca="1" si="322"/>
        <v>16145.54</v>
      </c>
    </row>
    <row r="8333" spans="1:6" ht="14.1" customHeight="1" x14ac:dyDescent="0.25">
      <c r="A8333" s="94" t="s">
        <v>6481</v>
      </c>
      <c r="B8333" s="82" t="str">
        <f ca="1">IFERROR(INDEX(UNSPSCDes,MATCH(INDIRECT(ADDRESS(ROW(),COLUMN()-1,4)),UNSPSCCode,0)),IF(INDIRECT(ADDRESS(ROW(),COLUMN()-1,4))="42293603","Sondas para uso quirúrgico",""))</f>
        <v>Sondas para uso quirúrgico</v>
      </c>
      <c r="C8333" s="95" t="str">
        <f>IFERROR(VLOOKUP("UD",'Informacion '!P:Q,2,FALSE),"")</f>
        <v>Unidad</v>
      </c>
      <c r="D8333" s="94">
        <v>108</v>
      </c>
      <c r="E8333" s="84">
        <v>27.11</v>
      </c>
      <c r="F8333" s="83">
        <f t="shared" ca="1" si="322"/>
        <v>2927.88</v>
      </c>
    </row>
    <row r="8334" spans="1:6" ht="14.1" customHeight="1" x14ac:dyDescent="0.25">
      <c r="A8334" s="94" t="s">
        <v>7820</v>
      </c>
      <c r="B8334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334" s="95" t="str">
        <f>IFERROR(VLOOKUP("UD",'Informacion '!P:Q,2,FALSE),"")</f>
        <v>Unidad</v>
      </c>
      <c r="D8334" s="94">
        <v>119</v>
      </c>
      <c r="E8334" s="84">
        <v>100.89</v>
      </c>
      <c r="F8334" s="83">
        <f t="shared" ca="1" si="322"/>
        <v>12005.91</v>
      </c>
    </row>
    <row r="8335" spans="1:6" ht="14.1" customHeight="1" x14ac:dyDescent="0.25">
      <c r="A8335" s="94" t="s">
        <v>16391</v>
      </c>
      <c r="B8335" s="82" t="str">
        <f ca="1">IFERROR(INDEX(UNSPSCDes,MATCH(INDIRECT(ADDRESS(ROW(),COLUMN()-1,4)),UNSPSCCode,0)),IF(INDIRECT(ADDRESS(ROW(),COLUMN()-1,4))="42142615","Accesorios para jeringas",""))</f>
        <v>Accesorios para jeringas</v>
      </c>
      <c r="C8335" s="95" t="str">
        <f>IFERROR(VLOOKUP("UD",'Informacion '!P:Q,2,FALSE),"")</f>
        <v>Unidad</v>
      </c>
      <c r="D8335" s="94">
        <v>43</v>
      </c>
      <c r="E8335" s="84">
        <v>17.11</v>
      </c>
      <c r="F8335" s="83">
        <f t="shared" ca="1" si="322"/>
        <v>735.73</v>
      </c>
    </row>
    <row r="8336" spans="1:6" ht="14.1" customHeight="1" x14ac:dyDescent="0.25">
      <c r="A8336" s="94" t="s">
        <v>12107</v>
      </c>
      <c r="B8336" s="82" t="str">
        <f ca="1">IFERROR(INDEX(UNSPSCDes,MATCH(INDIRECT(ADDRESS(ROW(),COLUMN()-1,4)),UNSPSCCode,0)),IF(INDIRECT(ADDRESS(ROW(),COLUMN()-1,4))="27112105","Pinzas",""))</f>
        <v>Pinzas</v>
      </c>
      <c r="C8336" s="95" t="str">
        <f>IFERROR(VLOOKUP("UD",'Informacion '!P:Q,2,FALSE),"")</f>
        <v>Unidad</v>
      </c>
      <c r="D8336" s="94">
        <v>3</v>
      </c>
      <c r="E8336" s="84">
        <v>188800</v>
      </c>
      <c r="F8336" s="83">
        <f t="shared" ca="1" si="322"/>
        <v>566400</v>
      </c>
    </row>
    <row r="8337" spans="1:10" ht="14.1" customHeight="1" x14ac:dyDescent="0.25">
      <c r="A8337" s="94" t="s">
        <v>8223</v>
      </c>
      <c r="B8337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8337" s="95" t="str">
        <f>IFERROR(VLOOKUP("UD",'Informacion '!P:Q,2,FALSE),"")</f>
        <v>Unidad</v>
      </c>
      <c r="D8337" s="94">
        <v>41636</v>
      </c>
      <c r="E8337" s="84">
        <v>0.16</v>
      </c>
      <c r="F8337" s="83">
        <f t="shared" ca="1" si="322"/>
        <v>6661.76</v>
      </c>
    </row>
    <row r="8338" spans="1:10" ht="14.1" customHeight="1" x14ac:dyDescent="0.25">
      <c r="A8338" s="94" t="s">
        <v>7589</v>
      </c>
      <c r="B8338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338" s="95" t="str">
        <f>IFERROR(VLOOKUP("UD",'Informacion '!P:Q,2,FALSE),"")</f>
        <v>Unidad</v>
      </c>
      <c r="D8338" s="94">
        <v>3</v>
      </c>
      <c r="E8338" s="84">
        <v>802.4</v>
      </c>
      <c r="F8338" s="83">
        <f t="shared" ca="1" si="322"/>
        <v>2407.1999999999998</v>
      </c>
    </row>
    <row r="8339" spans="1:10" ht="14.1" customHeight="1" x14ac:dyDescent="0.25">
      <c r="E8339" s="96" t="s">
        <v>7213</v>
      </c>
      <c r="F8339" s="87">
        <f ca="1">SUM(Table214[MONTO TOTAL ESTIMADO])</f>
        <v>970380.46</v>
      </c>
      <c r="H8339" s="39" t="str">
        <f>C8285</f>
        <v>Bienes</v>
      </c>
      <c r="I8339" s="39" t="str">
        <f>E8285</f>
        <v>No</v>
      </c>
      <c r="J8339" s="39" t="str">
        <f>D8285</f>
        <v>Compras Menores</v>
      </c>
    </row>
    <row r="8341" spans="1:10" ht="33.950000000000003" customHeight="1" x14ac:dyDescent="0.25">
      <c r="A8341" s="77" t="s">
        <v>17233</v>
      </c>
      <c r="B8341" s="77" t="s">
        <v>4237</v>
      </c>
      <c r="C8341" s="77" t="s">
        <v>4743</v>
      </c>
      <c r="D8341" s="77" t="s">
        <v>9891</v>
      </c>
      <c r="E8341" s="77" t="s">
        <v>3089</v>
      </c>
      <c r="F8341" s="77" t="s">
        <v>18141</v>
      </c>
    </row>
    <row r="8342" spans="1:10" ht="14.1" customHeight="1" x14ac:dyDescent="0.25">
      <c r="A8342" s="79" t="s">
        <v>14903</v>
      </c>
      <c r="B8342" s="79" t="s">
        <v>2182</v>
      </c>
      <c r="C8342" s="79" t="s">
        <v>17215</v>
      </c>
      <c r="D8342" s="79" t="s">
        <v>17798</v>
      </c>
      <c r="E8342" s="79" t="s">
        <v>18247</v>
      </c>
      <c r="F8342" s="79"/>
    </row>
    <row r="8343" spans="1:10" ht="14.1" customHeight="1" x14ac:dyDescent="0.25">
      <c r="A8343" s="2" t="s">
        <v>6643</v>
      </c>
      <c r="B8343" s="80" t="s">
        <v>1046</v>
      </c>
      <c r="C8343" s="90">
        <v>43556</v>
      </c>
      <c r="D8343" s="2" t="s">
        <v>59</v>
      </c>
      <c r="E8343" s="92" t="s">
        <v>20066</v>
      </c>
      <c r="F8343" s="93" t="s">
        <v>5684</v>
      </c>
    </row>
    <row r="8344" spans="1:10" ht="14.1" customHeight="1" x14ac:dyDescent="0.25">
      <c r="A8344" s="1"/>
      <c r="B8344" s="80" t="s">
        <v>10788</v>
      </c>
      <c r="C8344" s="91">
        <f>IF(C8343="","",IF(AND(MONTH(C8343)&gt;=1,MONTH(C8343)&lt;=3),1,IF(AND(MONTH(C8343)&gt;=4,MONTH(C8343)&lt;=6),2,IF(AND(MONTH(C8343)&gt;=7,MONTH(C8343)&lt;=9),3,4))))</f>
        <v>2</v>
      </c>
      <c r="D8344" s="1"/>
      <c r="E8344" s="92" t="s">
        <v>14822</v>
      </c>
      <c r="F8344" s="93"/>
    </row>
    <row r="8345" spans="1:10" ht="14.1" customHeight="1" x14ac:dyDescent="0.25">
      <c r="A8345" s="1"/>
      <c r="B8345" s="80" t="s">
        <v>13758</v>
      </c>
      <c r="C8345" s="90">
        <v>43619</v>
      </c>
      <c r="D8345" s="1"/>
      <c r="E8345" s="92" t="s">
        <v>18636</v>
      </c>
      <c r="F8345" s="93"/>
    </row>
    <row r="8346" spans="1:10" ht="14.1" customHeight="1" x14ac:dyDescent="0.25">
      <c r="A8346" s="1"/>
      <c r="B8346" s="80" t="s">
        <v>10788</v>
      </c>
      <c r="C8346" s="91">
        <f>IF(C8345="","",IF(AND(MONTH(C8345)&gt;=1,MONTH(C8345)&lt;=3),1,IF(AND(MONTH(C8345)&gt;=4,MONTH(C8345)&lt;=6),2,IF(AND(MONTH(C8345)&gt;=7,MONTH(C8345)&lt;=9),3,4))))</f>
        <v>2</v>
      </c>
      <c r="D8346" s="1"/>
      <c r="E8346" s="92" t="s">
        <v>15990</v>
      </c>
      <c r="F8346" s="93"/>
    </row>
    <row r="8348" spans="1:10" ht="14.1" customHeight="1" x14ac:dyDescent="0.25">
      <c r="A8348" s="85" t="s">
        <v>15474</v>
      </c>
      <c r="B8348" s="85" t="s">
        <v>5027</v>
      </c>
      <c r="C8348" s="85" t="s">
        <v>17461</v>
      </c>
      <c r="D8348" s="85" t="s">
        <v>3935</v>
      </c>
      <c r="E8348" s="85" t="s">
        <v>10722</v>
      </c>
      <c r="F8348" s="85" t="s">
        <v>18237</v>
      </c>
    </row>
    <row r="8349" spans="1:10" ht="14.1" customHeight="1" x14ac:dyDescent="0.25">
      <c r="A8349" s="94" t="s">
        <v>12668</v>
      </c>
      <c r="B8349" s="82" t="str">
        <f ca="1">IFERROR(INDEX(UNSPSCDes,MATCH(INDIRECT(ADDRESS(ROW(),COLUMN()-1,4)),UNSPSCCode,0)),IF(INDIRECT(ADDRESS(ROW(),COLUMN()-1,4))="41104102","Lancetas",""))</f>
        <v>Lancetas</v>
      </c>
      <c r="C8349" s="95" t="str">
        <f>IFERROR(VLOOKUP("UD",'Informacion '!P:Q,2,FALSE),"")</f>
        <v>Unidad</v>
      </c>
      <c r="D8349" s="94">
        <v>105</v>
      </c>
      <c r="E8349" s="84">
        <v>2.0499999999999998</v>
      </c>
      <c r="F8349" s="83">
        <f t="shared" ref="F8349:F8374" ca="1" si="323">INDIRECT(ADDRESS(ROW(),COLUMN()-2,4))*INDIRECT(ADDRESS(ROW(),COLUMN()-1,4))</f>
        <v>215.24999999999997</v>
      </c>
    </row>
    <row r="8350" spans="1:10" ht="14.1" customHeight="1" x14ac:dyDescent="0.25">
      <c r="A8350" s="94" t="s">
        <v>3593</v>
      </c>
      <c r="B8350" s="82" t="str">
        <f ca="1">IFERROR(INDEX(UNSPSCDes,MATCH(INDIRECT(ADDRESS(ROW(),COLUMN()-1,4)),UNSPSCCode,0)),IF(INDIRECT(ADDRESS(ROW(),COLUMN()-1,4))="51181506","Insulina",""))</f>
        <v>Insulina</v>
      </c>
      <c r="C8350" s="95" t="str">
        <f>IFERROR(VLOOKUP("UD",'Informacion '!P:Q,2,FALSE),"")</f>
        <v>Unidad</v>
      </c>
      <c r="D8350" s="94">
        <v>95</v>
      </c>
      <c r="E8350" s="84">
        <v>17.55</v>
      </c>
      <c r="F8350" s="83">
        <f t="shared" ca="1" si="323"/>
        <v>1667.25</v>
      </c>
    </row>
    <row r="8351" spans="1:10" ht="14.1" customHeight="1" x14ac:dyDescent="0.25">
      <c r="A8351" s="94" t="s">
        <v>12668</v>
      </c>
      <c r="B8351" s="82" t="str">
        <f ca="1">IFERROR(INDEX(UNSPSCDes,MATCH(INDIRECT(ADDRESS(ROW(),COLUMN()-1,4)),UNSPSCCode,0)),IF(INDIRECT(ADDRESS(ROW(),COLUMN()-1,4))="41104102","Lancetas",""))</f>
        <v>Lancetas</v>
      </c>
      <c r="C8351" s="95" t="str">
        <f>IFERROR(VLOOKUP("UD",'Informacion '!P:Q,2,FALSE),"")</f>
        <v>Unidad</v>
      </c>
      <c r="D8351" s="94">
        <v>120</v>
      </c>
      <c r="E8351" s="84">
        <v>0.4</v>
      </c>
      <c r="F8351" s="83">
        <f t="shared" ca="1" si="323"/>
        <v>48</v>
      </c>
    </row>
    <row r="8352" spans="1:10" ht="14.1" customHeight="1" x14ac:dyDescent="0.25">
      <c r="A8352" s="94" t="s">
        <v>12668</v>
      </c>
      <c r="B8352" s="82" t="str">
        <f ca="1">IFERROR(INDEX(UNSPSCDes,MATCH(INDIRECT(ADDRESS(ROW(),COLUMN()-1,4)),UNSPSCCode,0)),IF(INDIRECT(ADDRESS(ROW(),COLUMN()-1,4))="41104102","Lancetas",""))</f>
        <v>Lancetas</v>
      </c>
      <c r="C8352" s="95" t="str">
        <f>IFERROR(VLOOKUP("UD",'Informacion '!P:Q,2,FALSE),"")</f>
        <v>Unidad</v>
      </c>
      <c r="D8352" s="94">
        <v>73</v>
      </c>
      <c r="E8352" s="84">
        <v>1.08</v>
      </c>
      <c r="F8352" s="83">
        <f t="shared" ca="1" si="323"/>
        <v>78.84</v>
      </c>
    </row>
    <row r="8353" spans="1:6" ht="14.1" customHeight="1" x14ac:dyDescent="0.25">
      <c r="A8353" s="94" t="s">
        <v>3552</v>
      </c>
      <c r="B8353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353" s="95" t="str">
        <f>IFERROR(VLOOKUP("UD",'Informacion '!P:Q,2,FALSE),"")</f>
        <v>Unidad</v>
      </c>
      <c r="D8353" s="94">
        <v>2271</v>
      </c>
      <c r="E8353" s="84">
        <v>4.62</v>
      </c>
      <c r="F8353" s="83">
        <f t="shared" ca="1" si="323"/>
        <v>10492.02</v>
      </c>
    </row>
    <row r="8354" spans="1:6" ht="14.1" customHeight="1" x14ac:dyDescent="0.25">
      <c r="A8354" s="94" t="s">
        <v>2200</v>
      </c>
      <c r="B8354" s="82" t="str">
        <f ca="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8354" s="95" t="str">
        <f>IFERROR(VLOOKUP("UD",'Informacion '!P:Q,2,FALSE),"")</f>
        <v>Unidad</v>
      </c>
      <c r="D8354" s="94">
        <v>27</v>
      </c>
      <c r="E8354" s="84">
        <v>0.82</v>
      </c>
      <c r="F8354" s="83">
        <f t="shared" ca="1" si="323"/>
        <v>22.139999999999997</v>
      </c>
    </row>
    <row r="8355" spans="1:6" ht="14.1" customHeight="1" x14ac:dyDescent="0.25">
      <c r="A8355" s="94" t="s">
        <v>3593</v>
      </c>
      <c r="B8355" s="82" t="str">
        <f ca="1">IFERROR(INDEX(UNSPSCDes,MATCH(INDIRECT(ADDRESS(ROW(),COLUMN()-1,4)),UNSPSCCode,0)),IF(INDIRECT(ADDRESS(ROW(),COLUMN()-1,4))="51181506","Insulina",""))</f>
        <v>Insulina</v>
      </c>
      <c r="C8355" s="95" t="str">
        <f>IFERROR(VLOOKUP("UD",'Informacion '!P:Q,2,FALSE),"")</f>
        <v>Unidad</v>
      </c>
      <c r="D8355" s="94">
        <v>548</v>
      </c>
      <c r="E8355" s="84">
        <v>28.9</v>
      </c>
      <c r="F8355" s="83">
        <f t="shared" ca="1" si="323"/>
        <v>15837.199999999999</v>
      </c>
    </row>
    <row r="8356" spans="1:6" ht="14.1" customHeight="1" x14ac:dyDescent="0.25">
      <c r="A8356" s="94" t="s">
        <v>6591</v>
      </c>
      <c r="B8356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8356" s="95" t="str">
        <f>IFERROR(VLOOKUP("UD",'Informacion '!P:Q,2,FALSE),"")</f>
        <v>Unidad</v>
      </c>
      <c r="D8356" s="94">
        <v>131</v>
      </c>
      <c r="E8356" s="84">
        <v>3.82</v>
      </c>
      <c r="F8356" s="83">
        <f t="shared" ca="1" si="323"/>
        <v>500.41999999999996</v>
      </c>
    </row>
    <row r="8357" spans="1:6" ht="14.1" customHeight="1" x14ac:dyDescent="0.25">
      <c r="A8357" s="94" t="s">
        <v>3552</v>
      </c>
      <c r="B8357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357" s="95" t="str">
        <f>IFERROR(VLOOKUP("UD",'Informacion '!P:Q,2,FALSE),"")</f>
        <v>Unidad</v>
      </c>
      <c r="D8357" s="94">
        <v>62</v>
      </c>
      <c r="E8357" s="84">
        <v>123.36</v>
      </c>
      <c r="F8357" s="83">
        <f t="shared" ca="1" si="323"/>
        <v>7648.32</v>
      </c>
    </row>
    <row r="8358" spans="1:6" ht="14.1" customHeight="1" x14ac:dyDescent="0.25">
      <c r="A8358" s="94" t="s">
        <v>3552</v>
      </c>
      <c r="B8358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358" s="95" t="str">
        <f>IFERROR(VLOOKUP("UD",'Informacion '!P:Q,2,FALSE),"")</f>
        <v>Unidad</v>
      </c>
      <c r="D8358" s="94">
        <v>32</v>
      </c>
      <c r="E8358" s="84">
        <v>112.14</v>
      </c>
      <c r="F8358" s="83">
        <f t="shared" ca="1" si="323"/>
        <v>3588.48</v>
      </c>
    </row>
    <row r="8359" spans="1:6" ht="14.1" customHeight="1" x14ac:dyDescent="0.25">
      <c r="A8359" s="94" t="s">
        <v>7412</v>
      </c>
      <c r="B8359" s="82" t="str">
        <f ca="1">IFERROR(INDEX(UNSPSCDes,MATCH(INDIRECT(ADDRESS(ROW(),COLUMN()-1,4)),UNSPSCCode,0)),IF(INDIRECT(ADDRESS(ROW(),COLUMN()-1,4))="21101513","Discos",""))</f>
        <v>Discos</v>
      </c>
      <c r="C8359" s="95" t="str">
        <f>IFERROR(VLOOKUP("UD",'Informacion '!P:Q,2,FALSE),"")</f>
        <v>Unidad</v>
      </c>
      <c r="D8359" s="94">
        <v>2992</v>
      </c>
      <c r="E8359" s="84">
        <v>3.86</v>
      </c>
      <c r="F8359" s="83">
        <f t="shared" ca="1" si="323"/>
        <v>11549.119999999999</v>
      </c>
    </row>
    <row r="8360" spans="1:6" ht="14.1" customHeight="1" x14ac:dyDescent="0.25">
      <c r="A8360" s="94" t="s">
        <v>8400</v>
      </c>
      <c r="B8360" s="82" t="str">
        <f ca="1">IFERROR(INDEX(UNSPSCDes,MATCH(INDIRECT(ADDRESS(ROW(),COLUMN()-1,4)),UNSPSCCode,0)),IF(INDIRECT(ADDRESS(ROW(),COLUMN()-1,4))="12171703","Tintas",""))</f>
        <v>Tintas</v>
      </c>
      <c r="C8360" s="95" t="str">
        <f>IFERROR(VLOOKUP("UD",'Informacion '!P:Q,2,FALSE),"")</f>
        <v>Unidad</v>
      </c>
      <c r="D8360" s="94">
        <v>3</v>
      </c>
      <c r="E8360" s="84">
        <v>324.87</v>
      </c>
      <c r="F8360" s="83">
        <f t="shared" ca="1" si="323"/>
        <v>974.61</v>
      </c>
    </row>
    <row r="8361" spans="1:6" ht="14.1" customHeight="1" x14ac:dyDescent="0.25">
      <c r="A8361" s="94" t="s">
        <v>502</v>
      </c>
      <c r="B8361" s="82" t="str">
        <f ca="1">IFERROR(INDEX(UNSPSCDes,MATCH(INDIRECT(ADDRESS(ROW(),COLUMN()-1,4)),UNSPSCCode,0)),IF(INDIRECT(ADDRESS(ROW(),COLUMN()-1,4))="12161503","Kits de reactivos",""))</f>
        <v>Kits de reactivos</v>
      </c>
      <c r="C8361" s="95" t="str">
        <f>IFERROR(VLOOKUP("UD",'Informacion '!P:Q,2,FALSE),"")</f>
        <v>Unidad</v>
      </c>
      <c r="D8361" s="94">
        <v>2</v>
      </c>
      <c r="E8361" s="84">
        <v>6497.81</v>
      </c>
      <c r="F8361" s="83">
        <f t="shared" ca="1" si="323"/>
        <v>12995.62</v>
      </c>
    </row>
    <row r="8362" spans="1:6" ht="14.1" customHeight="1" x14ac:dyDescent="0.25">
      <c r="A8362" s="94" t="s">
        <v>3552</v>
      </c>
      <c r="B836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362" s="95" t="str">
        <f>IFERROR(VLOOKUP("UD",'Informacion '!P:Q,2,FALSE),"")</f>
        <v>Unidad</v>
      </c>
      <c r="D8362" s="94">
        <v>10</v>
      </c>
      <c r="E8362" s="84">
        <v>171.1</v>
      </c>
      <c r="F8362" s="83">
        <f t="shared" ca="1" si="323"/>
        <v>1711</v>
      </c>
    </row>
    <row r="8363" spans="1:6" ht="14.1" customHeight="1" x14ac:dyDescent="0.25">
      <c r="A8363" s="94" t="s">
        <v>6593</v>
      </c>
      <c r="B8363" s="82" t="str">
        <f ca="1">IFERROR(INDEX(UNSPSCDes,MATCH(INDIRECT(ADDRESS(ROW(),COLUMN()-1,4)),UNSPSCCode,0)),IF(INDIRECT(ADDRESS(ROW(),COLUMN()-1,4))="41121601","Filtro de boquilla de pipeta",""))</f>
        <v>Filtro de boquilla de pipeta</v>
      </c>
      <c r="C8363" s="95" t="str">
        <f>IFERROR(VLOOKUP("UD",'Informacion '!P:Q,2,FALSE),"")</f>
        <v>Unidad</v>
      </c>
      <c r="D8363" s="94">
        <v>26</v>
      </c>
      <c r="E8363" s="84">
        <v>43.64</v>
      </c>
      <c r="F8363" s="83">
        <f t="shared" ca="1" si="323"/>
        <v>1134.6400000000001</v>
      </c>
    </row>
    <row r="8364" spans="1:6" ht="14.1" customHeight="1" x14ac:dyDescent="0.25">
      <c r="A8364" s="94" t="s">
        <v>3552</v>
      </c>
      <c r="B8364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364" s="95" t="str">
        <f>IFERROR(VLOOKUP("UD",'Informacion '!P:Q,2,FALSE),"")</f>
        <v>Unidad</v>
      </c>
      <c r="D8364" s="94">
        <v>2</v>
      </c>
      <c r="E8364" s="84">
        <v>1734.6</v>
      </c>
      <c r="F8364" s="83">
        <f t="shared" ca="1" si="323"/>
        <v>3469.2</v>
      </c>
    </row>
    <row r="8365" spans="1:6" ht="14.1" customHeight="1" x14ac:dyDescent="0.25">
      <c r="A8365" s="94" t="s">
        <v>12668</v>
      </c>
      <c r="B8365" s="82" t="str">
        <f ca="1">IFERROR(INDEX(UNSPSCDes,MATCH(INDIRECT(ADDRESS(ROW(),COLUMN()-1,4)),UNSPSCCode,0)),IF(INDIRECT(ADDRESS(ROW(),COLUMN()-1,4))="41104102","Lancetas",""))</f>
        <v>Lancetas</v>
      </c>
      <c r="C8365" s="95" t="str">
        <f>IFERROR(VLOOKUP("UD",'Informacion '!P:Q,2,FALSE),"")</f>
        <v>Unidad</v>
      </c>
      <c r="D8365" s="94">
        <v>184</v>
      </c>
      <c r="E8365" s="84">
        <v>1.64</v>
      </c>
      <c r="F8365" s="83">
        <f t="shared" ca="1" si="323"/>
        <v>301.76</v>
      </c>
    </row>
    <row r="8366" spans="1:6" ht="14.1" customHeight="1" x14ac:dyDescent="0.25">
      <c r="A8366" s="94" t="s">
        <v>13236</v>
      </c>
      <c r="B8366" s="82" t="str">
        <f ca="1">IFERROR(INDEX(UNSPSCDes,MATCH(INDIRECT(ADDRESS(ROW(),COLUMN()-1,4)),UNSPSCCode,0)),IF(INDIRECT(ADDRESS(ROW(),COLUMN()-1,4))="12181503","Parafinas",""))</f>
        <v>Parafinas</v>
      </c>
      <c r="C8366" s="95" t="str">
        <f>IFERROR(VLOOKUP("UD",'Informacion '!P:Q,2,FALSE),"")</f>
        <v>Unidad</v>
      </c>
      <c r="D8366" s="94">
        <v>24</v>
      </c>
      <c r="E8366" s="84">
        <v>644.28</v>
      </c>
      <c r="F8366" s="83">
        <f t="shared" ca="1" si="323"/>
        <v>15462.72</v>
      </c>
    </row>
    <row r="8367" spans="1:6" ht="14.1" customHeight="1" x14ac:dyDescent="0.25">
      <c r="A8367" s="94" t="s">
        <v>13236</v>
      </c>
      <c r="B8367" s="82" t="str">
        <f ca="1">IFERROR(INDEX(UNSPSCDes,MATCH(INDIRECT(ADDRESS(ROW(),COLUMN()-1,4)),UNSPSCCode,0)),IF(INDIRECT(ADDRESS(ROW(),COLUMN()-1,4))="12181503","Parafinas",""))</f>
        <v>Parafinas</v>
      </c>
      <c r="C8367" s="95" t="str">
        <f>IFERROR(VLOOKUP("UD",'Informacion '!P:Q,2,FALSE),"")</f>
        <v>Unidad</v>
      </c>
      <c r="D8367" s="94">
        <v>3</v>
      </c>
      <c r="E8367" s="84">
        <v>708</v>
      </c>
      <c r="F8367" s="83">
        <f t="shared" ca="1" si="323"/>
        <v>2124</v>
      </c>
    </row>
    <row r="8368" spans="1:6" ht="14.1" customHeight="1" x14ac:dyDescent="0.25">
      <c r="A8368" s="94" t="s">
        <v>3604</v>
      </c>
      <c r="B8368" s="82" t="str">
        <f ca="1">IFERROR(INDEX(UNSPSCDes,MATCH(INDIRECT(ADDRESS(ROW(),COLUMN()-1,4)),UNSPSCCode,0)),IF(INDIRECT(ADDRESS(ROW(),COLUMN()-1,4))="12352501","Formaldehidos",""))</f>
        <v>Formaldehidos</v>
      </c>
      <c r="C8368" s="95" t="str">
        <f>IFERROR(VLOOKUP("UD",'Informacion '!P:Q,2,FALSE),"")</f>
        <v>Unidad</v>
      </c>
      <c r="D8368" s="94">
        <v>4</v>
      </c>
      <c r="E8368" s="84">
        <v>300</v>
      </c>
      <c r="F8368" s="83">
        <f t="shared" ca="1" si="323"/>
        <v>1200</v>
      </c>
    </row>
    <row r="8369" spans="1:10" ht="14.1" customHeight="1" x14ac:dyDescent="0.25">
      <c r="A8369" s="94" t="s">
        <v>5965</v>
      </c>
      <c r="B8369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369" s="95" t="str">
        <f>IFERROR(VLOOKUP("UD",'Informacion '!P:Q,2,FALSE),"")</f>
        <v>Unidad</v>
      </c>
      <c r="D8369" s="94">
        <v>31</v>
      </c>
      <c r="E8369" s="84">
        <v>943.78</v>
      </c>
      <c r="F8369" s="83">
        <f t="shared" ca="1" si="323"/>
        <v>29257.18</v>
      </c>
    </row>
    <row r="8370" spans="1:10" ht="14.1" customHeight="1" x14ac:dyDescent="0.25">
      <c r="A8370" s="94" t="s">
        <v>12824</v>
      </c>
      <c r="B837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370" s="95" t="str">
        <f>IFERROR(VLOOKUP("UD",'Informacion '!P:Q,2,FALSE),"")</f>
        <v>Unidad</v>
      </c>
      <c r="D8370" s="94">
        <v>7</v>
      </c>
      <c r="E8370" s="84">
        <v>1457.42</v>
      </c>
      <c r="F8370" s="83">
        <f t="shared" ca="1" si="323"/>
        <v>10201.94</v>
      </c>
    </row>
    <row r="8371" spans="1:10" ht="14.1" customHeight="1" x14ac:dyDescent="0.25">
      <c r="A8371" s="94" t="s">
        <v>5965</v>
      </c>
      <c r="B8371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371" s="95" t="str">
        <f>IFERROR(VLOOKUP("UD",'Informacion '!P:Q,2,FALSE),"")</f>
        <v>Unidad</v>
      </c>
      <c r="D8371" s="94">
        <v>7</v>
      </c>
      <c r="E8371" s="84">
        <v>504.45</v>
      </c>
      <c r="F8371" s="83">
        <f t="shared" ca="1" si="323"/>
        <v>3531.15</v>
      </c>
    </row>
    <row r="8372" spans="1:10" ht="14.1" customHeight="1" x14ac:dyDescent="0.25">
      <c r="A8372" s="94" t="s">
        <v>12824</v>
      </c>
      <c r="B837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372" s="95" t="str">
        <f>IFERROR(VLOOKUP("UD",'Informacion '!P:Q,2,FALSE),"")</f>
        <v>Unidad</v>
      </c>
      <c r="D8372" s="94">
        <v>4</v>
      </c>
      <c r="E8372" s="84">
        <v>1770</v>
      </c>
      <c r="F8372" s="83">
        <f t="shared" ca="1" si="323"/>
        <v>7080</v>
      </c>
    </row>
    <row r="8373" spans="1:10" ht="14.1" customHeight="1" x14ac:dyDescent="0.25">
      <c r="A8373" s="94" t="s">
        <v>5965</v>
      </c>
      <c r="B8373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373" s="95" t="str">
        <f>IFERROR(VLOOKUP("UD",'Informacion '!P:Q,2,FALSE),"")</f>
        <v>Unidad</v>
      </c>
      <c r="D8373" s="94">
        <v>4</v>
      </c>
      <c r="E8373" s="84">
        <v>2230.1999999999998</v>
      </c>
      <c r="F8373" s="83">
        <f t="shared" ca="1" si="323"/>
        <v>8920.7999999999993</v>
      </c>
    </row>
    <row r="8374" spans="1:10" ht="14.1" customHeight="1" x14ac:dyDescent="0.25">
      <c r="A8374" s="94" t="s">
        <v>14100</v>
      </c>
      <c r="B8374" s="82" t="str">
        <f ca="1">IFERROR(INDEX(UNSPSCDes,MATCH(INDIRECT(ADDRESS(ROW(),COLUMN()-1,4)),UNSPSCCode,0)),IF(INDIRECT(ADDRESS(ROW(),COLUMN()-1,4))="42272301","Resucitadores manuales",""))</f>
        <v>Resucitadores manuales</v>
      </c>
      <c r="C8374" s="95" t="str">
        <f>IFERROR(VLOOKUP("UD",'Informacion '!P:Q,2,FALSE),"")</f>
        <v>Unidad</v>
      </c>
      <c r="D8374" s="94">
        <v>2</v>
      </c>
      <c r="E8374" s="84">
        <v>1058.5</v>
      </c>
      <c r="F8374" s="83">
        <f t="shared" ca="1" si="323"/>
        <v>2117</v>
      </c>
    </row>
    <row r="8375" spans="1:10" ht="14.1" customHeight="1" x14ac:dyDescent="0.25">
      <c r="E8375" s="96" t="s">
        <v>7213</v>
      </c>
      <c r="F8375" s="87">
        <f ca="1">SUM(Table215[MONTO TOTAL ESTIMADO])</f>
        <v>152128.65999999997</v>
      </c>
      <c r="H8375" s="39" t="str">
        <f>C8342</f>
        <v>Bienes</v>
      </c>
      <c r="I8375" s="39" t="str">
        <f>E8342</f>
        <v>No</v>
      </c>
      <c r="J8375" s="39" t="str">
        <f>D8342</f>
        <v>Compras Menores</v>
      </c>
    </row>
    <row r="8377" spans="1:10" ht="33.950000000000003" customHeight="1" x14ac:dyDescent="0.25">
      <c r="A8377" s="77" t="s">
        <v>17233</v>
      </c>
      <c r="B8377" s="77" t="s">
        <v>4237</v>
      </c>
      <c r="C8377" s="77" t="s">
        <v>4743</v>
      </c>
      <c r="D8377" s="77" t="s">
        <v>9891</v>
      </c>
      <c r="E8377" s="77" t="s">
        <v>3089</v>
      </c>
      <c r="F8377" s="77" t="s">
        <v>18141</v>
      </c>
    </row>
    <row r="8378" spans="1:10" ht="14.1" customHeight="1" x14ac:dyDescent="0.25">
      <c r="A8378" s="79" t="s">
        <v>14495</v>
      </c>
      <c r="B8378" s="79" t="s">
        <v>2182</v>
      </c>
      <c r="C8378" s="79" t="s">
        <v>17215</v>
      </c>
      <c r="D8378" s="79" t="s">
        <v>17798</v>
      </c>
      <c r="E8378" s="79" t="s">
        <v>18247</v>
      </c>
      <c r="F8378" s="79"/>
    </row>
    <row r="8379" spans="1:10" ht="14.1" customHeight="1" x14ac:dyDescent="0.25">
      <c r="A8379" s="2" t="s">
        <v>6643</v>
      </c>
      <c r="B8379" s="80" t="s">
        <v>1046</v>
      </c>
      <c r="C8379" s="90">
        <v>43480</v>
      </c>
      <c r="D8379" s="2" t="s">
        <v>59</v>
      </c>
      <c r="E8379" s="92" t="s">
        <v>20066</v>
      </c>
      <c r="F8379" s="93"/>
    </row>
    <row r="8380" spans="1:10" ht="14.1" customHeight="1" x14ac:dyDescent="0.25">
      <c r="A8380" s="1"/>
      <c r="B8380" s="80" t="s">
        <v>10788</v>
      </c>
      <c r="C8380" s="91">
        <f>IF(C8379="","",IF(AND(MONTH(C8379)&gt;=1,MONTH(C8379)&lt;=3),1,IF(AND(MONTH(C8379)&gt;=4,MONTH(C8379)&lt;=6),2,IF(AND(MONTH(C8379)&gt;=7,MONTH(C8379)&lt;=9),3,4))))</f>
        <v>1</v>
      </c>
      <c r="D8380" s="1"/>
      <c r="E8380" s="92" t="s">
        <v>14822</v>
      </c>
      <c r="F8380" s="93"/>
    </row>
    <row r="8381" spans="1:10" ht="14.1" customHeight="1" x14ac:dyDescent="0.25">
      <c r="A8381" s="1"/>
      <c r="B8381" s="80" t="s">
        <v>13758</v>
      </c>
      <c r="C8381" s="90">
        <v>43525</v>
      </c>
      <c r="D8381" s="1"/>
      <c r="E8381" s="92" t="s">
        <v>18636</v>
      </c>
      <c r="F8381" s="93"/>
    </row>
    <row r="8382" spans="1:10" ht="14.1" customHeight="1" x14ac:dyDescent="0.25">
      <c r="A8382" s="1"/>
      <c r="B8382" s="80" t="s">
        <v>10788</v>
      </c>
      <c r="C8382" s="91">
        <f>IF(C8381="","",IF(AND(MONTH(C8381)&gt;=1,MONTH(C8381)&lt;=3),1,IF(AND(MONTH(C8381)&gt;=4,MONTH(C8381)&lt;=6),2,IF(AND(MONTH(C8381)&gt;=7,MONTH(C8381)&lt;=9),3,4))))</f>
        <v>1</v>
      </c>
      <c r="D8382" s="1"/>
      <c r="E8382" s="92" t="s">
        <v>15990</v>
      </c>
      <c r="F8382" s="93"/>
    </row>
    <row r="8384" spans="1:10" ht="14.1" customHeight="1" x14ac:dyDescent="0.25">
      <c r="A8384" s="85" t="s">
        <v>15474</v>
      </c>
      <c r="B8384" s="85" t="s">
        <v>5027</v>
      </c>
      <c r="C8384" s="85" t="s">
        <v>17461</v>
      </c>
      <c r="D8384" s="85" t="s">
        <v>3935</v>
      </c>
      <c r="E8384" s="85" t="s">
        <v>10722</v>
      </c>
      <c r="F8384" s="85" t="s">
        <v>18237</v>
      </c>
    </row>
    <row r="8385" spans="1:6" ht="14.1" customHeight="1" x14ac:dyDescent="0.25">
      <c r="A8385" s="94" t="s">
        <v>12668</v>
      </c>
      <c r="B8385" s="82" t="str">
        <f ca="1">IFERROR(INDEX(UNSPSCDes,MATCH(INDIRECT(ADDRESS(ROW(),COLUMN()-1,4)),UNSPSCCode,0)),IF(INDIRECT(ADDRESS(ROW(),COLUMN()-1,4))="41104102","Lancetas",""))</f>
        <v>Lancetas</v>
      </c>
      <c r="C8385" s="95" t="str">
        <f>IFERROR(VLOOKUP("UD",'Informacion '!P:Q,2,FALSE),"")</f>
        <v>Unidad</v>
      </c>
      <c r="D8385" s="94">
        <v>102</v>
      </c>
      <c r="E8385" s="84">
        <v>2.0499999999999998</v>
      </c>
      <c r="F8385" s="83">
        <f t="shared" ref="F8385:F8411" ca="1" si="324">INDIRECT(ADDRESS(ROW(),COLUMN()-2,4))*INDIRECT(ADDRESS(ROW(),COLUMN()-1,4))</f>
        <v>209.1</v>
      </c>
    </row>
    <row r="8386" spans="1:6" ht="14.1" customHeight="1" x14ac:dyDescent="0.25">
      <c r="A8386" s="94" t="s">
        <v>3593</v>
      </c>
      <c r="B8386" s="82" t="str">
        <f ca="1">IFERROR(INDEX(UNSPSCDes,MATCH(INDIRECT(ADDRESS(ROW(),COLUMN()-1,4)),UNSPSCCode,0)),IF(INDIRECT(ADDRESS(ROW(),COLUMN()-1,4))="51181506","Insulina",""))</f>
        <v>Insulina</v>
      </c>
      <c r="C8386" s="95" t="str">
        <f>IFERROR(VLOOKUP("UD",'Informacion '!P:Q,2,FALSE),"")</f>
        <v>Unidad</v>
      </c>
      <c r="D8386" s="94">
        <v>93</v>
      </c>
      <c r="E8386" s="84">
        <v>17.55</v>
      </c>
      <c r="F8386" s="83">
        <f t="shared" ca="1" si="324"/>
        <v>1632.15</v>
      </c>
    </row>
    <row r="8387" spans="1:6" ht="14.1" customHeight="1" x14ac:dyDescent="0.25">
      <c r="A8387" s="94" t="s">
        <v>12668</v>
      </c>
      <c r="B8387" s="82" t="str">
        <f ca="1">IFERROR(INDEX(UNSPSCDes,MATCH(INDIRECT(ADDRESS(ROW(),COLUMN()-1,4)),UNSPSCCode,0)),IF(INDIRECT(ADDRESS(ROW(),COLUMN()-1,4))="41104102","Lancetas",""))</f>
        <v>Lancetas</v>
      </c>
      <c r="C8387" s="95" t="str">
        <f>IFERROR(VLOOKUP("UD",'Informacion '!P:Q,2,FALSE),"")</f>
        <v>Unidad</v>
      </c>
      <c r="D8387" s="94">
        <v>114</v>
      </c>
      <c r="E8387" s="84">
        <v>0.4</v>
      </c>
      <c r="F8387" s="83">
        <f t="shared" ca="1" si="324"/>
        <v>45.6</v>
      </c>
    </row>
    <row r="8388" spans="1:6" ht="14.1" customHeight="1" x14ac:dyDescent="0.25">
      <c r="A8388" s="94" t="s">
        <v>12668</v>
      </c>
      <c r="B8388" s="82" t="str">
        <f ca="1">IFERROR(INDEX(UNSPSCDes,MATCH(INDIRECT(ADDRESS(ROW(),COLUMN()-1,4)),UNSPSCCode,0)),IF(INDIRECT(ADDRESS(ROW(),COLUMN()-1,4))="41104102","Lancetas",""))</f>
        <v>Lancetas</v>
      </c>
      <c r="C8388" s="95" t="str">
        <f>IFERROR(VLOOKUP("UD",'Informacion '!P:Q,2,FALSE),"")</f>
        <v>Unidad</v>
      </c>
      <c r="D8388" s="94">
        <v>70</v>
      </c>
      <c r="E8388" s="84">
        <v>1.08</v>
      </c>
      <c r="F8388" s="83">
        <f t="shared" ca="1" si="324"/>
        <v>75.600000000000009</v>
      </c>
    </row>
    <row r="8389" spans="1:6" ht="14.1" customHeight="1" x14ac:dyDescent="0.25">
      <c r="A8389" s="94" t="s">
        <v>3552</v>
      </c>
      <c r="B8389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389" s="95" t="str">
        <f>IFERROR(VLOOKUP("UD",'Informacion '!P:Q,2,FALSE),"")</f>
        <v>Unidad</v>
      </c>
      <c r="D8389" s="94">
        <v>2666</v>
      </c>
      <c r="E8389" s="84">
        <v>4.62</v>
      </c>
      <c r="F8389" s="83">
        <f t="shared" ca="1" si="324"/>
        <v>12316.92</v>
      </c>
    </row>
    <row r="8390" spans="1:6" ht="14.1" customHeight="1" x14ac:dyDescent="0.25">
      <c r="A8390" s="94" t="s">
        <v>2200</v>
      </c>
      <c r="B8390" s="82" t="str">
        <f ca="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8390" s="95" t="str">
        <f>IFERROR(VLOOKUP("UD",'Informacion '!P:Q,2,FALSE),"")</f>
        <v>Unidad</v>
      </c>
      <c r="D8390" s="94">
        <v>26</v>
      </c>
      <c r="E8390" s="84">
        <v>0.82</v>
      </c>
      <c r="F8390" s="83">
        <f t="shared" ca="1" si="324"/>
        <v>21.32</v>
      </c>
    </row>
    <row r="8391" spans="1:6" ht="14.1" customHeight="1" x14ac:dyDescent="0.25">
      <c r="A8391" s="94" t="s">
        <v>3593</v>
      </c>
      <c r="B8391" s="82" t="str">
        <f ca="1">IFERROR(INDEX(UNSPSCDes,MATCH(INDIRECT(ADDRESS(ROW(),COLUMN()-1,4)),UNSPSCCode,0)),IF(INDIRECT(ADDRESS(ROW(),COLUMN()-1,4))="51181506","Insulina",""))</f>
        <v>Insulina</v>
      </c>
      <c r="C8391" s="95" t="str">
        <f>IFERROR(VLOOKUP("UD",'Informacion '!P:Q,2,FALSE),"")</f>
        <v>Unidad</v>
      </c>
      <c r="D8391" s="94">
        <v>536</v>
      </c>
      <c r="E8391" s="84">
        <v>28.9</v>
      </c>
      <c r="F8391" s="83">
        <f t="shared" ca="1" si="324"/>
        <v>15490.4</v>
      </c>
    </row>
    <row r="8392" spans="1:6" ht="14.1" customHeight="1" x14ac:dyDescent="0.25">
      <c r="A8392" s="94" t="s">
        <v>6591</v>
      </c>
      <c r="B8392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8392" s="95" t="str">
        <f>IFERROR(VLOOKUP("UD",'Informacion '!P:Q,2,FALSE),"")</f>
        <v>Unidad</v>
      </c>
      <c r="D8392" s="94">
        <v>128</v>
      </c>
      <c r="E8392" s="84">
        <v>3.82</v>
      </c>
      <c r="F8392" s="83">
        <f t="shared" ca="1" si="324"/>
        <v>488.96</v>
      </c>
    </row>
    <row r="8393" spans="1:6" ht="14.1" customHeight="1" x14ac:dyDescent="0.25">
      <c r="A8393" s="94" t="s">
        <v>3552</v>
      </c>
      <c r="B8393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393" s="95" t="str">
        <f>IFERROR(VLOOKUP("UD",'Informacion '!P:Q,2,FALSE),"")</f>
        <v>Unidad</v>
      </c>
      <c r="D8393" s="94">
        <v>60</v>
      </c>
      <c r="E8393" s="84">
        <v>123.36</v>
      </c>
      <c r="F8393" s="83">
        <f t="shared" ca="1" si="324"/>
        <v>7401.6</v>
      </c>
    </row>
    <row r="8394" spans="1:6" ht="14.1" customHeight="1" x14ac:dyDescent="0.25">
      <c r="A8394" s="94" t="s">
        <v>3552</v>
      </c>
      <c r="B8394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394" s="95" t="str">
        <f>IFERROR(VLOOKUP("UD",'Informacion '!P:Q,2,FALSE),"")</f>
        <v>Unidad</v>
      </c>
      <c r="D8394" s="94">
        <v>31</v>
      </c>
      <c r="E8394" s="84">
        <v>112.14</v>
      </c>
      <c r="F8394" s="83">
        <f t="shared" ca="1" si="324"/>
        <v>3476.34</v>
      </c>
    </row>
    <row r="8395" spans="1:6" ht="14.1" customHeight="1" x14ac:dyDescent="0.25">
      <c r="A8395" s="94" t="s">
        <v>7412</v>
      </c>
      <c r="B8395" s="82" t="str">
        <f ca="1">IFERROR(INDEX(UNSPSCDes,MATCH(INDIRECT(ADDRESS(ROW(),COLUMN()-1,4)),UNSPSCCode,0)),IF(INDIRECT(ADDRESS(ROW(),COLUMN()-1,4))="21101513","Discos",""))</f>
        <v>Discos</v>
      </c>
      <c r="C8395" s="95" t="str">
        <f>IFERROR(VLOOKUP("UD",'Informacion '!P:Q,2,FALSE),"")</f>
        <v>Unidad</v>
      </c>
      <c r="D8395" s="94">
        <v>2933</v>
      </c>
      <c r="E8395" s="84">
        <v>3.86</v>
      </c>
      <c r="F8395" s="83">
        <f t="shared" ca="1" si="324"/>
        <v>11321.38</v>
      </c>
    </row>
    <row r="8396" spans="1:6" ht="14.1" customHeight="1" x14ac:dyDescent="0.25">
      <c r="A8396" s="94" t="s">
        <v>8400</v>
      </c>
      <c r="B8396" s="82" t="str">
        <f ca="1">IFERROR(INDEX(UNSPSCDes,MATCH(INDIRECT(ADDRESS(ROW(),COLUMN()-1,4)),UNSPSCCode,0)),IF(INDIRECT(ADDRESS(ROW(),COLUMN()-1,4))="12171703","Tintas",""))</f>
        <v>Tintas</v>
      </c>
      <c r="C8396" s="95" t="str">
        <f>IFERROR(VLOOKUP("UD",'Informacion '!P:Q,2,FALSE),"")</f>
        <v>Unidad</v>
      </c>
      <c r="D8396" s="94">
        <v>2</v>
      </c>
      <c r="E8396" s="84">
        <v>324.87</v>
      </c>
      <c r="F8396" s="83">
        <f t="shared" ca="1" si="324"/>
        <v>649.74</v>
      </c>
    </row>
    <row r="8397" spans="1:6" ht="14.1" customHeight="1" x14ac:dyDescent="0.25">
      <c r="A8397" s="94" t="s">
        <v>502</v>
      </c>
      <c r="B8397" s="82" t="str">
        <f ca="1">IFERROR(INDEX(UNSPSCDes,MATCH(INDIRECT(ADDRESS(ROW(),COLUMN()-1,4)),UNSPSCCode,0)),IF(INDIRECT(ADDRESS(ROW(),COLUMN()-1,4))="12161503","Kits de reactivos",""))</f>
        <v>Kits de reactivos</v>
      </c>
      <c r="C8397" s="95" t="str">
        <f>IFERROR(VLOOKUP("UD",'Informacion '!P:Q,2,FALSE),"")</f>
        <v>Unidad</v>
      </c>
      <c r="D8397" s="94">
        <v>1</v>
      </c>
      <c r="E8397" s="84">
        <v>6497.81</v>
      </c>
      <c r="F8397" s="83">
        <f t="shared" ca="1" si="324"/>
        <v>6497.81</v>
      </c>
    </row>
    <row r="8398" spans="1:6" ht="14.1" customHeight="1" x14ac:dyDescent="0.25">
      <c r="A8398" s="94" t="s">
        <v>3552</v>
      </c>
      <c r="B8398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398" s="95" t="str">
        <f>IFERROR(VLOOKUP("UD",'Informacion '!P:Q,2,FALSE),"")</f>
        <v>Unidad</v>
      </c>
      <c r="D8398" s="94">
        <v>9</v>
      </c>
      <c r="E8398" s="84">
        <v>171.1</v>
      </c>
      <c r="F8398" s="83">
        <f t="shared" ca="1" si="324"/>
        <v>1539.8999999999999</v>
      </c>
    </row>
    <row r="8399" spans="1:6" ht="14.1" customHeight="1" x14ac:dyDescent="0.25">
      <c r="A8399" s="94" t="s">
        <v>6593</v>
      </c>
      <c r="B8399" s="82" t="str">
        <f ca="1">IFERROR(INDEX(UNSPSCDes,MATCH(INDIRECT(ADDRESS(ROW(),COLUMN()-1,4)),UNSPSCCode,0)),IF(INDIRECT(ADDRESS(ROW(),COLUMN()-1,4))="41121601","Filtro de boquilla de pipeta",""))</f>
        <v>Filtro de boquilla de pipeta</v>
      </c>
      <c r="C8399" s="95" t="str">
        <f>IFERROR(VLOOKUP("UD",'Informacion '!P:Q,2,FALSE),"")</f>
        <v>Unidad</v>
      </c>
      <c r="D8399" s="94">
        <v>25</v>
      </c>
      <c r="E8399" s="84">
        <v>43.64</v>
      </c>
      <c r="F8399" s="83">
        <f t="shared" ca="1" si="324"/>
        <v>1091</v>
      </c>
    </row>
    <row r="8400" spans="1:6" ht="14.1" customHeight="1" x14ac:dyDescent="0.25">
      <c r="A8400" s="94" t="s">
        <v>3552</v>
      </c>
      <c r="B8400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00" s="95" t="str">
        <f>IFERROR(VLOOKUP("UD",'Informacion '!P:Q,2,FALSE),"")</f>
        <v>Unidad</v>
      </c>
      <c r="D8400" s="94">
        <v>1</v>
      </c>
      <c r="E8400" s="84">
        <v>1734.6</v>
      </c>
      <c r="F8400" s="83">
        <f t="shared" ca="1" si="324"/>
        <v>1734.6</v>
      </c>
    </row>
    <row r="8401" spans="1:10" ht="14.1" customHeight="1" x14ac:dyDescent="0.25">
      <c r="A8401" s="94" t="s">
        <v>12668</v>
      </c>
      <c r="B8401" s="82" t="str">
        <f ca="1">IFERROR(INDEX(UNSPSCDes,MATCH(INDIRECT(ADDRESS(ROW(),COLUMN()-1,4)),UNSPSCCode,0)),IF(INDIRECT(ADDRESS(ROW(),COLUMN()-1,4))="41104102","Lancetas",""))</f>
        <v>Lancetas</v>
      </c>
      <c r="C8401" s="95" t="str">
        <f>IFERROR(VLOOKUP("UD",'Informacion '!P:Q,2,FALSE),"")</f>
        <v>Unidad</v>
      </c>
      <c r="D8401" s="94">
        <v>179</v>
      </c>
      <c r="E8401" s="84">
        <v>1.64</v>
      </c>
      <c r="F8401" s="83">
        <f t="shared" ca="1" si="324"/>
        <v>293.56</v>
      </c>
    </row>
    <row r="8402" spans="1:10" ht="14.1" customHeight="1" x14ac:dyDescent="0.25">
      <c r="A8402" s="94" t="s">
        <v>19716</v>
      </c>
      <c r="B8402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8402" s="95" t="str">
        <f>IFERROR(VLOOKUP("UD",'Informacion '!P:Q,2,FALSE),"")</f>
        <v>Unidad</v>
      </c>
      <c r="D8402" s="94">
        <v>49</v>
      </c>
      <c r="E8402" s="84">
        <v>507.14</v>
      </c>
      <c r="F8402" s="83">
        <f t="shared" ca="1" si="324"/>
        <v>24849.86</v>
      </c>
    </row>
    <row r="8403" spans="1:10" ht="14.1" customHeight="1" x14ac:dyDescent="0.25">
      <c r="A8403" s="94" t="s">
        <v>13236</v>
      </c>
      <c r="B8403" s="82" t="str">
        <f ca="1">IFERROR(INDEX(UNSPSCDes,MATCH(INDIRECT(ADDRESS(ROW(),COLUMN()-1,4)),UNSPSCCode,0)),IF(INDIRECT(ADDRESS(ROW(),COLUMN()-1,4))="12181503","Parafinas",""))</f>
        <v>Parafinas</v>
      </c>
      <c r="C8403" s="95" t="str">
        <f>IFERROR(VLOOKUP("UD",'Informacion '!P:Q,2,FALSE),"")</f>
        <v>Unidad</v>
      </c>
      <c r="D8403" s="94">
        <v>23</v>
      </c>
      <c r="E8403" s="84">
        <v>644.28</v>
      </c>
      <c r="F8403" s="83">
        <f t="shared" ca="1" si="324"/>
        <v>14818.439999999999</v>
      </c>
    </row>
    <row r="8404" spans="1:10" ht="14.1" customHeight="1" x14ac:dyDescent="0.25">
      <c r="A8404" s="94" t="s">
        <v>13236</v>
      </c>
      <c r="B8404" s="82" t="str">
        <f ca="1">IFERROR(INDEX(UNSPSCDes,MATCH(INDIRECT(ADDRESS(ROW(),COLUMN()-1,4)),UNSPSCCode,0)),IF(INDIRECT(ADDRESS(ROW(),COLUMN()-1,4))="12181503","Parafinas",""))</f>
        <v>Parafinas</v>
      </c>
      <c r="C8404" s="95" t="str">
        <f>IFERROR(VLOOKUP("UD",'Informacion '!P:Q,2,FALSE),"")</f>
        <v>Unidad</v>
      </c>
      <c r="D8404" s="94">
        <v>2</v>
      </c>
      <c r="E8404" s="84">
        <v>708</v>
      </c>
      <c r="F8404" s="83">
        <f t="shared" ca="1" si="324"/>
        <v>1416</v>
      </c>
    </row>
    <row r="8405" spans="1:10" ht="14.1" customHeight="1" x14ac:dyDescent="0.25">
      <c r="A8405" s="94" t="s">
        <v>3604</v>
      </c>
      <c r="B8405" s="82" t="str">
        <f ca="1">IFERROR(INDEX(UNSPSCDes,MATCH(INDIRECT(ADDRESS(ROW(),COLUMN()-1,4)),UNSPSCCode,0)),IF(INDIRECT(ADDRESS(ROW(),COLUMN()-1,4))="12352501","Formaldehidos",""))</f>
        <v>Formaldehidos</v>
      </c>
      <c r="C8405" s="95" t="str">
        <f>IFERROR(VLOOKUP("UD",'Informacion '!P:Q,2,FALSE),"")</f>
        <v>Unidad</v>
      </c>
      <c r="D8405" s="94">
        <v>3</v>
      </c>
      <c r="E8405" s="84">
        <v>300</v>
      </c>
      <c r="F8405" s="83">
        <f t="shared" ca="1" si="324"/>
        <v>900</v>
      </c>
    </row>
    <row r="8406" spans="1:10" ht="14.1" customHeight="1" x14ac:dyDescent="0.25">
      <c r="A8406" s="94" t="s">
        <v>5965</v>
      </c>
      <c r="B8406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406" s="95" t="str">
        <f>IFERROR(VLOOKUP("UD",'Informacion '!P:Q,2,FALSE),"")</f>
        <v>Unidad</v>
      </c>
      <c r="D8406" s="94">
        <v>30</v>
      </c>
      <c r="E8406" s="84">
        <v>943.78</v>
      </c>
      <c r="F8406" s="83">
        <f t="shared" ca="1" si="324"/>
        <v>28313.399999999998</v>
      </c>
    </row>
    <row r="8407" spans="1:10" ht="14.1" customHeight="1" x14ac:dyDescent="0.25">
      <c r="A8407" s="94" t="s">
        <v>12824</v>
      </c>
      <c r="B840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407" s="95" t="str">
        <f>IFERROR(VLOOKUP("UD",'Informacion '!P:Q,2,FALSE),"")</f>
        <v>Unidad</v>
      </c>
      <c r="D8407" s="94">
        <v>6</v>
      </c>
      <c r="E8407" s="84">
        <v>1457.42</v>
      </c>
      <c r="F8407" s="83">
        <f t="shared" ca="1" si="324"/>
        <v>8744.52</v>
      </c>
    </row>
    <row r="8408" spans="1:10" ht="14.1" customHeight="1" x14ac:dyDescent="0.25">
      <c r="A8408" s="94" t="s">
        <v>5965</v>
      </c>
      <c r="B8408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408" s="95" t="str">
        <f>IFERROR(VLOOKUP("UD",'Informacion '!P:Q,2,FALSE),"")</f>
        <v>Unidad</v>
      </c>
      <c r="D8408" s="94">
        <v>6</v>
      </c>
      <c r="E8408" s="84">
        <v>504.45</v>
      </c>
      <c r="F8408" s="83">
        <f t="shared" ca="1" si="324"/>
        <v>3026.7</v>
      </c>
    </row>
    <row r="8409" spans="1:10" ht="14.1" customHeight="1" x14ac:dyDescent="0.25">
      <c r="A8409" s="94" t="s">
        <v>12824</v>
      </c>
      <c r="B840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409" s="95" t="str">
        <f>IFERROR(VLOOKUP("UD",'Informacion '!P:Q,2,FALSE),"")</f>
        <v>Unidad</v>
      </c>
      <c r="D8409" s="94">
        <v>3</v>
      </c>
      <c r="E8409" s="84">
        <v>1770</v>
      </c>
      <c r="F8409" s="83">
        <f t="shared" ca="1" si="324"/>
        <v>5310</v>
      </c>
    </row>
    <row r="8410" spans="1:10" ht="14.1" customHeight="1" x14ac:dyDescent="0.25">
      <c r="A8410" s="94" t="s">
        <v>5965</v>
      </c>
      <c r="B8410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410" s="95" t="str">
        <f>IFERROR(VLOOKUP("UD",'Informacion '!P:Q,2,FALSE),"")</f>
        <v>Unidad</v>
      </c>
      <c r="D8410" s="94">
        <v>3</v>
      </c>
      <c r="E8410" s="84">
        <v>2230.1999999999998</v>
      </c>
      <c r="F8410" s="83">
        <f t="shared" ca="1" si="324"/>
        <v>6690.5999999999995</v>
      </c>
    </row>
    <row r="8411" spans="1:10" ht="14.1" customHeight="1" x14ac:dyDescent="0.25">
      <c r="A8411" s="94" t="s">
        <v>14100</v>
      </c>
      <c r="B8411" s="82" t="str">
        <f ca="1">IFERROR(INDEX(UNSPSCDes,MATCH(INDIRECT(ADDRESS(ROW(),COLUMN()-1,4)),UNSPSCCode,0)),IF(INDIRECT(ADDRESS(ROW(),COLUMN()-1,4))="42272301","Resucitadores manuales",""))</f>
        <v>Resucitadores manuales</v>
      </c>
      <c r="C8411" s="95" t="str">
        <f>IFERROR(VLOOKUP("UD",'Informacion '!P:Q,2,FALSE),"")</f>
        <v>Unidad</v>
      </c>
      <c r="D8411" s="94">
        <v>1</v>
      </c>
      <c r="E8411" s="84">
        <v>1058.5</v>
      </c>
      <c r="F8411" s="83">
        <f t="shared" ca="1" si="324"/>
        <v>1058.5</v>
      </c>
    </row>
    <row r="8412" spans="1:10" ht="14.1" customHeight="1" x14ac:dyDescent="0.25">
      <c r="E8412" s="96" t="s">
        <v>7213</v>
      </c>
      <c r="F8412" s="87">
        <f ca="1">SUM(Table216[MONTO TOTAL ESTIMADO])</f>
        <v>159414</v>
      </c>
      <c r="H8412" s="39" t="str">
        <f>C8378</f>
        <v>Bienes</v>
      </c>
      <c r="I8412" s="39" t="str">
        <f>E8378</f>
        <v>No</v>
      </c>
      <c r="J8412" s="39" t="str">
        <f>D8378</f>
        <v>Compras Menores</v>
      </c>
    </row>
    <row r="8414" spans="1:10" ht="33.950000000000003" customHeight="1" x14ac:dyDescent="0.25">
      <c r="A8414" s="77" t="s">
        <v>17233</v>
      </c>
      <c r="B8414" s="77" t="s">
        <v>4237</v>
      </c>
      <c r="C8414" s="77" t="s">
        <v>4743</v>
      </c>
      <c r="D8414" s="77" t="s">
        <v>9891</v>
      </c>
      <c r="E8414" s="77" t="s">
        <v>3089</v>
      </c>
      <c r="F8414" s="77" t="s">
        <v>18141</v>
      </c>
    </row>
    <row r="8415" spans="1:10" ht="14.1" customHeight="1" x14ac:dyDescent="0.25">
      <c r="A8415" s="79" t="s">
        <v>16786</v>
      </c>
      <c r="B8415" s="79" t="s">
        <v>2182</v>
      </c>
      <c r="C8415" s="79" t="s">
        <v>17215</v>
      </c>
      <c r="D8415" s="79" t="s">
        <v>17798</v>
      </c>
      <c r="E8415" s="79" t="s">
        <v>18247</v>
      </c>
      <c r="F8415" s="79"/>
    </row>
    <row r="8416" spans="1:10" ht="14.1" customHeight="1" x14ac:dyDescent="0.25">
      <c r="A8416" s="2" t="s">
        <v>6643</v>
      </c>
      <c r="B8416" s="80" t="s">
        <v>1046</v>
      </c>
      <c r="C8416" s="90">
        <v>43647</v>
      </c>
      <c r="D8416" s="2" t="s">
        <v>59</v>
      </c>
      <c r="E8416" s="92" t="s">
        <v>20066</v>
      </c>
      <c r="F8416" s="93" t="s">
        <v>5684</v>
      </c>
    </row>
    <row r="8417" spans="1:6" ht="14.1" customHeight="1" x14ac:dyDescent="0.25">
      <c r="A8417" s="1"/>
      <c r="B8417" s="80" t="s">
        <v>10788</v>
      </c>
      <c r="C8417" s="91">
        <f>IF(C8416="","",IF(AND(MONTH(C8416)&gt;=1,MONTH(C8416)&lt;=3),1,IF(AND(MONTH(C8416)&gt;=4,MONTH(C8416)&lt;=6),2,IF(AND(MONTH(C8416)&gt;=7,MONTH(C8416)&lt;=9),3,4))))</f>
        <v>3</v>
      </c>
      <c r="D8417" s="1"/>
      <c r="E8417" s="92" t="s">
        <v>14822</v>
      </c>
      <c r="F8417" s="93"/>
    </row>
    <row r="8418" spans="1:6" ht="14.1" customHeight="1" x14ac:dyDescent="0.25">
      <c r="A8418" s="1"/>
      <c r="B8418" s="80" t="s">
        <v>13758</v>
      </c>
      <c r="C8418" s="90">
        <v>43738</v>
      </c>
      <c r="D8418" s="1"/>
      <c r="E8418" s="92" t="s">
        <v>18636</v>
      </c>
      <c r="F8418" s="93"/>
    </row>
    <row r="8419" spans="1:6" ht="14.1" customHeight="1" x14ac:dyDescent="0.25">
      <c r="A8419" s="1"/>
      <c r="B8419" s="80" t="s">
        <v>10788</v>
      </c>
      <c r="C8419" s="91">
        <f>IF(C8418="","",IF(AND(MONTH(C8418)&gt;=1,MONTH(C8418)&lt;=3),1,IF(AND(MONTH(C8418)&gt;=4,MONTH(C8418)&lt;=6),2,IF(AND(MONTH(C8418)&gt;=7,MONTH(C8418)&lt;=9),3,4))))</f>
        <v>3</v>
      </c>
      <c r="D8419" s="1"/>
      <c r="E8419" s="92" t="s">
        <v>15990</v>
      </c>
      <c r="F8419" s="93"/>
    </row>
    <row r="8421" spans="1:6" ht="14.1" customHeight="1" x14ac:dyDescent="0.25">
      <c r="A8421" s="85" t="s">
        <v>15474</v>
      </c>
      <c r="B8421" s="85" t="s">
        <v>5027</v>
      </c>
      <c r="C8421" s="85" t="s">
        <v>17461</v>
      </c>
      <c r="D8421" s="85" t="s">
        <v>3935</v>
      </c>
      <c r="E8421" s="85" t="s">
        <v>10722</v>
      </c>
      <c r="F8421" s="85" t="s">
        <v>18237</v>
      </c>
    </row>
    <row r="8422" spans="1:6" ht="14.1" customHeight="1" x14ac:dyDescent="0.25">
      <c r="A8422" s="94" t="s">
        <v>12668</v>
      </c>
      <c r="B8422" s="82" t="str">
        <f ca="1">IFERROR(INDEX(UNSPSCDes,MATCH(INDIRECT(ADDRESS(ROW(),COLUMN()-1,4)),UNSPSCCode,0)),IF(INDIRECT(ADDRESS(ROW(),COLUMN()-1,4))="41104102","Lancetas",""))</f>
        <v>Lancetas</v>
      </c>
      <c r="C8422" s="95" t="str">
        <f>IFERROR(VLOOKUP("UD",'Informacion '!P:Q,2,FALSE),"")</f>
        <v>Unidad</v>
      </c>
      <c r="D8422" s="94">
        <v>108</v>
      </c>
      <c r="E8422" s="84">
        <v>2.0499999999999998</v>
      </c>
      <c r="F8422" s="83">
        <f t="shared" ref="F8422:F8448" ca="1" si="325">INDIRECT(ADDRESS(ROW(),COLUMN()-2,4))*INDIRECT(ADDRESS(ROW(),COLUMN()-1,4))</f>
        <v>221.39999999999998</v>
      </c>
    </row>
    <row r="8423" spans="1:6" ht="14.1" customHeight="1" x14ac:dyDescent="0.25">
      <c r="A8423" s="94" t="s">
        <v>3593</v>
      </c>
      <c r="B8423" s="82" t="str">
        <f ca="1">IFERROR(INDEX(UNSPSCDes,MATCH(INDIRECT(ADDRESS(ROW(),COLUMN()-1,4)),UNSPSCCode,0)),IF(INDIRECT(ADDRESS(ROW(),COLUMN()-1,4))="51181506","Insulina",""))</f>
        <v>Insulina</v>
      </c>
      <c r="C8423" s="95" t="str">
        <f>IFERROR(VLOOKUP("UD",'Informacion '!P:Q,2,FALSE),"")</f>
        <v>Unidad</v>
      </c>
      <c r="D8423" s="94">
        <v>97</v>
      </c>
      <c r="E8423" s="84">
        <v>17.55</v>
      </c>
      <c r="F8423" s="83">
        <f t="shared" ca="1" si="325"/>
        <v>1702.3500000000001</v>
      </c>
    </row>
    <row r="8424" spans="1:6" ht="14.1" customHeight="1" x14ac:dyDescent="0.25">
      <c r="A8424" s="94" t="s">
        <v>12668</v>
      </c>
      <c r="B8424" s="82" t="str">
        <f ca="1">IFERROR(INDEX(UNSPSCDes,MATCH(INDIRECT(ADDRESS(ROW(),COLUMN()-1,4)),UNSPSCCode,0)),IF(INDIRECT(ADDRESS(ROW(),COLUMN()-1,4))="41104102","Lancetas",""))</f>
        <v>Lancetas</v>
      </c>
      <c r="C8424" s="95" t="str">
        <f>IFERROR(VLOOKUP("UD",'Informacion '!P:Q,2,FALSE),"")</f>
        <v>Unidad</v>
      </c>
      <c r="D8424" s="94">
        <v>126</v>
      </c>
      <c r="E8424" s="84">
        <v>0.4</v>
      </c>
      <c r="F8424" s="83">
        <f t="shared" ca="1" si="325"/>
        <v>50.400000000000006</v>
      </c>
    </row>
    <row r="8425" spans="1:6" ht="14.1" customHeight="1" x14ac:dyDescent="0.25">
      <c r="A8425" s="94" t="s">
        <v>12668</v>
      </c>
      <c r="B8425" s="82" t="str">
        <f ca="1">IFERROR(INDEX(UNSPSCDes,MATCH(INDIRECT(ADDRESS(ROW(),COLUMN()-1,4)),UNSPSCCode,0)),IF(INDIRECT(ADDRESS(ROW(),COLUMN()-1,4))="41104102","Lancetas",""))</f>
        <v>Lancetas</v>
      </c>
      <c r="C8425" s="95" t="str">
        <f>IFERROR(VLOOKUP("UD",'Informacion '!P:Q,2,FALSE),"")</f>
        <v>Unidad</v>
      </c>
      <c r="D8425" s="94">
        <v>76</v>
      </c>
      <c r="E8425" s="84">
        <v>1.08</v>
      </c>
      <c r="F8425" s="83">
        <f t="shared" ca="1" si="325"/>
        <v>82.080000000000013</v>
      </c>
    </row>
    <row r="8426" spans="1:6" ht="14.1" customHeight="1" x14ac:dyDescent="0.25">
      <c r="A8426" s="94" t="s">
        <v>3552</v>
      </c>
      <c r="B8426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26" s="95" t="str">
        <f>IFERROR(VLOOKUP("UD",'Informacion '!P:Q,2,FALSE),"")</f>
        <v>Unidad</v>
      </c>
      <c r="D8426" s="94">
        <v>2777</v>
      </c>
      <c r="E8426" s="84">
        <v>4.62</v>
      </c>
      <c r="F8426" s="83">
        <f t="shared" ca="1" si="325"/>
        <v>12829.74</v>
      </c>
    </row>
    <row r="8427" spans="1:6" ht="14.1" customHeight="1" x14ac:dyDescent="0.25">
      <c r="A8427" s="94" t="s">
        <v>2200</v>
      </c>
      <c r="B8427" s="82" t="str">
        <f ca="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8427" s="95" t="str">
        <f>IFERROR(VLOOKUP("UD",'Informacion '!P:Q,2,FALSE),"")</f>
        <v>Unidad</v>
      </c>
      <c r="D8427" s="94">
        <v>28</v>
      </c>
      <c r="E8427" s="84">
        <v>0.82</v>
      </c>
      <c r="F8427" s="83">
        <f t="shared" ca="1" si="325"/>
        <v>22.959999999999997</v>
      </c>
    </row>
    <row r="8428" spans="1:6" ht="14.1" customHeight="1" x14ac:dyDescent="0.25">
      <c r="A8428" s="94" t="s">
        <v>3593</v>
      </c>
      <c r="B8428" s="82" t="str">
        <f ca="1">IFERROR(INDEX(UNSPSCDes,MATCH(INDIRECT(ADDRESS(ROW(),COLUMN()-1,4)),UNSPSCCode,0)),IF(INDIRECT(ADDRESS(ROW(),COLUMN()-1,4))="51181506","Insulina",""))</f>
        <v>Insulina</v>
      </c>
      <c r="C8428" s="95" t="str">
        <f>IFERROR(VLOOKUP("UD",'Informacion '!P:Q,2,FALSE),"")</f>
        <v>Unidad</v>
      </c>
      <c r="D8428" s="94">
        <v>560</v>
      </c>
      <c r="E8428" s="84">
        <v>28.9</v>
      </c>
      <c r="F8428" s="83">
        <f t="shared" ca="1" si="325"/>
        <v>16184</v>
      </c>
    </row>
    <row r="8429" spans="1:6" ht="14.1" customHeight="1" x14ac:dyDescent="0.25">
      <c r="A8429" s="94" t="s">
        <v>6591</v>
      </c>
      <c r="B8429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8429" s="95" t="str">
        <f>IFERROR(VLOOKUP("UD",'Informacion '!P:Q,2,FALSE),"")</f>
        <v>Unidad</v>
      </c>
      <c r="D8429" s="94">
        <v>134</v>
      </c>
      <c r="E8429" s="84">
        <v>3.82</v>
      </c>
      <c r="F8429" s="83">
        <f t="shared" ca="1" si="325"/>
        <v>511.88</v>
      </c>
    </row>
    <row r="8430" spans="1:6" ht="14.1" customHeight="1" x14ac:dyDescent="0.25">
      <c r="A8430" s="94" t="s">
        <v>3552</v>
      </c>
      <c r="B8430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30" s="95" t="str">
        <f>IFERROR(VLOOKUP("UD",'Informacion '!P:Q,2,FALSE),"")</f>
        <v>Unidad</v>
      </c>
      <c r="D8430" s="94">
        <v>64</v>
      </c>
      <c r="E8430" s="84">
        <v>123.36</v>
      </c>
      <c r="F8430" s="83">
        <f t="shared" ca="1" si="325"/>
        <v>7895.04</v>
      </c>
    </row>
    <row r="8431" spans="1:6" ht="14.1" customHeight="1" x14ac:dyDescent="0.25">
      <c r="A8431" s="94" t="s">
        <v>3552</v>
      </c>
      <c r="B8431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31" s="95" t="str">
        <f>IFERROR(VLOOKUP("UD",'Informacion '!P:Q,2,FALSE),"")</f>
        <v>Unidad</v>
      </c>
      <c r="D8431" s="94">
        <v>33</v>
      </c>
      <c r="E8431" s="84">
        <v>112.14</v>
      </c>
      <c r="F8431" s="83">
        <f t="shared" ca="1" si="325"/>
        <v>3700.62</v>
      </c>
    </row>
    <row r="8432" spans="1:6" ht="14.1" customHeight="1" x14ac:dyDescent="0.25">
      <c r="A8432" s="94" t="s">
        <v>7412</v>
      </c>
      <c r="B8432" s="82" t="str">
        <f ca="1">IFERROR(INDEX(UNSPSCDes,MATCH(INDIRECT(ADDRESS(ROW(),COLUMN()-1,4)),UNSPSCCode,0)),IF(INDIRECT(ADDRESS(ROW(),COLUMN()-1,4))="21101513","Discos",""))</f>
        <v>Discos</v>
      </c>
      <c r="C8432" s="95" t="str">
        <f>IFERROR(VLOOKUP("UD",'Informacion '!P:Q,2,FALSE),"")</f>
        <v>Unidad</v>
      </c>
      <c r="D8432" s="94">
        <v>3052</v>
      </c>
      <c r="E8432" s="84">
        <v>3.86</v>
      </c>
      <c r="F8432" s="83">
        <f t="shared" ca="1" si="325"/>
        <v>11780.72</v>
      </c>
    </row>
    <row r="8433" spans="1:6" ht="14.1" customHeight="1" x14ac:dyDescent="0.25">
      <c r="A8433" s="94" t="s">
        <v>8400</v>
      </c>
      <c r="B8433" s="82" t="str">
        <f ca="1">IFERROR(INDEX(UNSPSCDes,MATCH(INDIRECT(ADDRESS(ROW(),COLUMN()-1,4)),UNSPSCCode,0)),IF(INDIRECT(ADDRESS(ROW(),COLUMN()-1,4))="12171703","Tintas",""))</f>
        <v>Tintas</v>
      </c>
      <c r="C8433" s="95" t="str">
        <f>IFERROR(VLOOKUP("UD",'Informacion '!P:Q,2,FALSE),"")</f>
        <v>Unidad</v>
      </c>
      <c r="D8433" s="94">
        <v>4</v>
      </c>
      <c r="E8433" s="84">
        <v>324.87</v>
      </c>
      <c r="F8433" s="83">
        <f t="shared" ca="1" si="325"/>
        <v>1299.48</v>
      </c>
    </row>
    <row r="8434" spans="1:6" ht="14.1" customHeight="1" x14ac:dyDescent="0.25">
      <c r="A8434" s="94" t="s">
        <v>502</v>
      </c>
      <c r="B8434" s="82" t="str">
        <f ca="1">IFERROR(INDEX(UNSPSCDes,MATCH(INDIRECT(ADDRESS(ROW(),COLUMN()-1,4)),UNSPSCCode,0)),IF(INDIRECT(ADDRESS(ROW(),COLUMN()-1,4))="12161503","Kits de reactivos",""))</f>
        <v>Kits de reactivos</v>
      </c>
      <c r="C8434" s="95" t="str">
        <f>IFERROR(VLOOKUP("UD",'Informacion '!P:Q,2,FALSE),"")</f>
        <v>Unidad</v>
      </c>
      <c r="D8434" s="94">
        <v>3</v>
      </c>
      <c r="E8434" s="84">
        <v>6497.81</v>
      </c>
      <c r="F8434" s="83">
        <f t="shared" ca="1" si="325"/>
        <v>19493.43</v>
      </c>
    </row>
    <row r="8435" spans="1:6" ht="14.1" customHeight="1" x14ac:dyDescent="0.25">
      <c r="A8435" s="94" t="s">
        <v>3552</v>
      </c>
      <c r="B8435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35" s="95" t="str">
        <f>IFERROR(VLOOKUP("UD",'Informacion '!P:Q,2,FALSE),"")</f>
        <v>Unidad</v>
      </c>
      <c r="D8435" s="94">
        <v>11</v>
      </c>
      <c r="E8435" s="84">
        <v>171.1</v>
      </c>
      <c r="F8435" s="83">
        <f t="shared" ca="1" si="325"/>
        <v>1882.1</v>
      </c>
    </row>
    <row r="8436" spans="1:6" ht="14.1" customHeight="1" x14ac:dyDescent="0.25">
      <c r="A8436" s="94" t="s">
        <v>6593</v>
      </c>
      <c r="B8436" s="82" t="str">
        <f ca="1">IFERROR(INDEX(UNSPSCDes,MATCH(INDIRECT(ADDRESS(ROW(),COLUMN()-1,4)),UNSPSCCode,0)),IF(INDIRECT(ADDRESS(ROW(),COLUMN()-1,4))="41121601","Filtro de boquilla de pipeta",""))</f>
        <v>Filtro de boquilla de pipeta</v>
      </c>
      <c r="C8436" s="95" t="str">
        <f>IFERROR(VLOOKUP("UD",'Informacion '!P:Q,2,FALSE),"")</f>
        <v>Unidad</v>
      </c>
      <c r="D8436" s="94">
        <v>27</v>
      </c>
      <c r="E8436" s="84">
        <v>43.64</v>
      </c>
      <c r="F8436" s="83">
        <f t="shared" ca="1" si="325"/>
        <v>1178.28</v>
      </c>
    </row>
    <row r="8437" spans="1:6" ht="14.1" customHeight="1" x14ac:dyDescent="0.25">
      <c r="A8437" s="94" t="s">
        <v>3552</v>
      </c>
      <c r="B8437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37" s="95" t="str">
        <f>IFERROR(VLOOKUP("UD",'Informacion '!P:Q,2,FALSE),"")</f>
        <v>Unidad</v>
      </c>
      <c r="D8437" s="94">
        <v>3</v>
      </c>
      <c r="E8437" s="84">
        <v>1734.6</v>
      </c>
      <c r="F8437" s="83">
        <f t="shared" ca="1" si="325"/>
        <v>5203.7999999999993</v>
      </c>
    </row>
    <row r="8438" spans="1:6" ht="14.1" customHeight="1" x14ac:dyDescent="0.25">
      <c r="A8438" s="94" t="s">
        <v>12668</v>
      </c>
      <c r="B8438" s="82" t="str">
        <f ca="1">IFERROR(INDEX(UNSPSCDes,MATCH(INDIRECT(ADDRESS(ROW(),COLUMN()-1,4)),UNSPSCCode,0)),IF(INDIRECT(ADDRESS(ROW(),COLUMN()-1,4))="41104102","Lancetas",""))</f>
        <v>Lancetas</v>
      </c>
      <c r="C8438" s="95" t="str">
        <f>IFERROR(VLOOKUP("UD",'Informacion '!P:Q,2,FALSE),"")</f>
        <v>Unidad</v>
      </c>
      <c r="D8438" s="94">
        <v>189</v>
      </c>
      <c r="E8438" s="84">
        <v>1.64</v>
      </c>
      <c r="F8438" s="83">
        <f t="shared" ca="1" si="325"/>
        <v>309.95999999999998</v>
      </c>
    </row>
    <row r="8439" spans="1:6" ht="14.1" customHeight="1" x14ac:dyDescent="0.25">
      <c r="A8439" s="94" t="s">
        <v>19716</v>
      </c>
      <c r="B8439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8439" s="95" t="str">
        <f>IFERROR(VLOOKUP("UD",'Informacion '!P:Q,2,FALSE),"")</f>
        <v>Unidad</v>
      </c>
      <c r="D8439" s="94">
        <v>51</v>
      </c>
      <c r="E8439" s="84">
        <v>507.14</v>
      </c>
      <c r="F8439" s="83">
        <f t="shared" ca="1" si="325"/>
        <v>25864.14</v>
      </c>
    </row>
    <row r="8440" spans="1:6" ht="14.1" customHeight="1" x14ac:dyDescent="0.25">
      <c r="A8440" s="94" t="s">
        <v>13236</v>
      </c>
      <c r="B8440" s="82" t="str">
        <f ca="1">IFERROR(INDEX(UNSPSCDes,MATCH(INDIRECT(ADDRESS(ROW(),COLUMN()-1,4)),UNSPSCCode,0)),IF(INDIRECT(ADDRESS(ROW(),COLUMN()-1,4))="12181503","Parafinas",""))</f>
        <v>Parafinas</v>
      </c>
      <c r="C8440" s="95" t="str">
        <f>IFERROR(VLOOKUP("UD",'Informacion '!P:Q,2,FALSE),"")</f>
        <v>Unidad</v>
      </c>
      <c r="D8440" s="94">
        <v>25</v>
      </c>
      <c r="E8440" s="84">
        <v>644.28</v>
      </c>
      <c r="F8440" s="83">
        <f t="shared" ca="1" si="325"/>
        <v>16107</v>
      </c>
    </row>
    <row r="8441" spans="1:6" ht="14.1" customHeight="1" x14ac:dyDescent="0.25">
      <c r="A8441" s="94" t="s">
        <v>13236</v>
      </c>
      <c r="B8441" s="82" t="str">
        <f ca="1">IFERROR(INDEX(UNSPSCDes,MATCH(INDIRECT(ADDRESS(ROW(),COLUMN()-1,4)),UNSPSCCode,0)),IF(INDIRECT(ADDRESS(ROW(),COLUMN()-1,4))="12181503","Parafinas",""))</f>
        <v>Parafinas</v>
      </c>
      <c r="C8441" s="95" t="str">
        <f>IFERROR(VLOOKUP("UD",'Informacion '!P:Q,2,FALSE),"")</f>
        <v>Unidad</v>
      </c>
      <c r="D8441" s="94">
        <v>4</v>
      </c>
      <c r="E8441" s="84">
        <v>708</v>
      </c>
      <c r="F8441" s="83">
        <f t="shared" ca="1" si="325"/>
        <v>2832</v>
      </c>
    </row>
    <row r="8442" spans="1:6" ht="14.1" customHeight="1" x14ac:dyDescent="0.25">
      <c r="A8442" s="94" t="s">
        <v>3604</v>
      </c>
      <c r="B8442" s="82" t="str">
        <f ca="1">IFERROR(INDEX(UNSPSCDes,MATCH(INDIRECT(ADDRESS(ROW(),COLUMN()-1,4)),UNSPSCCode,0)),IF(INDIRECT(ADDRESS(ROW(),COLUMN()-1,4))="12352501","Formaldehidos",""))</f>
        <v>Formaldehidos</v>
      </c>
      <c r="C8442" s="95" t="str">
        <f>IFERROR(VLOOKUP("UD",'Informacion '!P:Q,2,FALSE),"")</f>
        <v>Unidad</v>
      </c>
      <c r="D8442" s="94">
        <v>5</v>
      </c>
      <c r="E8442" s="84">
        <v>300</v>
      </c>
      <c r="F8442" s="83">
        <f t="shared" ca="1" si="325"/>
        <v>1500</v>
      </c>
    </row>
    <row r="8443" spans="1:6" ht="14.1" customHeight="1" x14ac:dyDescent="0.25">
      <c r="A8443" s="94" t="s">
        <v>5965</v>
      </c>
      <c r="B8443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443" s="95" t="str">
        <f>IFERROR(VLOOKUP("UD",'Informacion '!P:Q,2,FALSE),"")</f>
        <v>Unidad</v>
      </c>
      <c r="D8443" s="94">
        <v>32</v>
      </c>
      <c r="E8443" s="84">
        <v>943.78</v>
      </c>
      <c r="F8443" s="83">
        <f t="shared" ca="1" si="325"/>
        <v>30200.959999999999</v>
      </c>
    </row>
    <row r="8444" spans="1:6" ht="14.1" customHeight="1" x14ac:dyDescent="0.25">
      <c r="A8444" s="94" t="s">
        <v>12824</v>
      </c>
      <c r="B844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444" s="95" t="str">
        <f>IFERROR(VLOOKUP("UD",'Informacion '!P:Q,2,FALSE),"")</f>
        <v>Unidad</v>
      </c>
      <c r="D8444" s="94">
        <v>8</v>
      </c>
      <c r="E8444" s="84">
        <v>1457.42</v>
      </c>
      <c r="F8444" s="83">
        <f t="shared" ca="1" si="325"/>
        <v>11659.36</v>
      </c>
    </row>
    <row r="8445" spans="1:6" ht="14.1" customHeight="1" x14ac:dyDescent="0.25">
      <c r="A8445" s="94" t="s">
        <v>5965</v>
      </c>
      <c r="B8445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445" s="95" t="str">
        <f>IFERROR(VLOOKUP("UD",'Informacion '!P:Q,2,FALSE),"")</f>
        <v>Unidad</v>
      </c>
      <c r="D8445" s="94">
        <v>8</v>
      </c>
      <c r="E8445" s="84">
        <v>504.45</v>
      </c>
      <c r="F8445" s="83">
        <f t="shared" ca="1" si="325"/>
        <v>4035.6</v>
      </c>
    </row>
    <row r="8446" spans="1:6" ht="14.1" customHeight="1" x14ac:dyDescent="0.25">
      <c r="A8446" s="94" t="s">
        <v>12824</v>
      </c>
      <c r="B844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446" s="95" t="str">
        <f>IFERROR(VLOOKUP("UD",'Informacion '!P:Q,2,FALSE),"")</f>
        <v>Unidad</v>
      </c>
      <c r="D8446" s="94">
        <v>5</v>
      </c>
      <c r="E8446" s="84">
        <v>1770</v>
      </c>
      <c r="F8446" s="83">
        <f t="shared" ca="1" si="325"/>
        <v>8850</v>
      </c>
    </row>
    <row r="8447" spans="1:6" ht="14.1" customHeight="1" x14ac:dyDescent="0.25">
      <c r="A8447" s="94" t="s">
        <v>5965</v>
      </c>
      <c r="B8447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447" s="95" t="str">
        <f>IFERROR(VLOOKUP("UD",'Informacion '!P:Q,2,FALSE),"")</f>
        <v>Unidad</v>
      </c>
      <c r="D8447" s="94">
        <v>5</v>
      </c>
      <c r="E8447" s="84">
        <v>2230.1999999999998</v>
      </c>
      <c r="F8447" s="83">
        <f t="shared" ca="1" si="325"/>
        <v>11151</v>
      </c>
    </row>
    <row r="8448" spans="1:6" ht="14.1" customHeight="1" x14ac:dyDescent="0.25">
      <c r="A8448" s="94" t="s">
        <v>14100</v>
      </c>
      <c r="B8448" s="82" t="str">
        <f ca="1">IFERROR(INDEX(UNSPSCDes,MATCH(INDIRECT(ADDRESS(ROW(),COLUMN()-1,4)),UNSPSCCode,0)),IF(INDIRECT(ADDRESS(ROW(),COLUMN()-1,4))="42272301","Resucitadores manuales",""))</f>
        <v>Resucitadores manuales</v>
      </c>
      <c r="C8448" s="95" t="str">
        <f>IFERROR(VLOOKUP("UD",'Informacion '!P:Q,2,FALSE),"")</f>
        <v>Unidad</v>
      </c>
      <c r="D8448" s="94">
        <v>3</v>
      </c>
      <c r="E8448" s="84">
        <v>1058.5</v>
      </c>
      <c r="F8448" s="83">
        <f t="shared" ca="1" si="325"/>
        <v>3175.5</v>
      </c>
    </row>
    <row r="8449" spans="1:10" ht="14.1" customHeight="1" x14ac:dyDescent="0.25">
      <c r="E8449" s="96" t="s">
        <v>7213</v>
      </c>
      <c r="F8449" s="87">
        <f ca="1">SUM(Table217[MONTO TOTAL ESTIMADO])</f>
        <v>199723.80000000002</v>
      </c>
      <c r="H8449" s="39" t="str">
        <f>C8415</f>
        <v>Bienes</v>
      </c>
      <c r="I8449" s="39" t="str">
        <f>E8415</f>
        <v>No</v>
      </c>
      <c r="J8449" s="39" t="str">
        <f>D8415</f>
        <v>Compras Menores</v>
      </c>
    </row>
    <row r="8451" spans="1:10" ht="33.950000000000003" customHeight="1" x14ac:dyDescent="0.25">
      <c r="A8451" s="77" t="s">
        <v>17233</v>
      </c>
      <c r="B8451" s="77" t="s">
        <v>4237</v>
      </c>
      <c r="C8451" s="77" t="s">
        <v>4743</v>
      </c>
      <c r="D8451" s="77" t="s">
        <v>9891</v>
      </c>
      <c r="E8451" s="77" t="s">
        <v>3089</v>
      </c>
      <c r="F8451" s="77" t="s">
        <v>18141</v>
      </c>
    </row>
    <row r="8452" spans="1:10" ht="14.1" customHeight="1" x14ac:dyDescent="0.25">
      <c r="A8452" s="79" t="s">
        <v>7336</v>
      </c>
      <c r="B8452" s="79" t="s">
        <v>2182</v>
      </c>
      <c r="C8452" s="79" t="s">
        <v>17215</v>
      </c>
      <c r="D8452" s="79" t="s">
        <v>17798</v>
      </c>
      <c r="E8452" s="79" t="s">
        <v>18247</v>
      </c>
      <c r="F8452" s="79"/>
    </row>
    <row r="8453" spans="1:10" ht="14.1" customHeight="1" x14ac:dyDescent="0.25">
      <c r="A8453" s="2" t="s">
        <v>6643</v>
      </c>
      <c r="B8453" s="80" t="s">
        <v>1046</v>
      </c>
      <c r="C8453" s="90">
        <v>43739</v>
      </c>
      <c r="D8453" s="2" t="s">
        <v>59</v>
      </c>
      <c r="E8453" s="92" t="s">
        <v>20066</v>
      </c>
      <c r="F8453" s="93" t="s">
        <v>5684</v>
      </c>
    </row>
    <row r="8454" spans="1:10" ht="14.1" customHeight="1" x14ac:dyDescent="0.25">
      <c r="A8454" s="1"/>
      <c r="B8454" s="80" t="s">
        <v>10788</v>
      </c>
      <c r="C8454" s="91">
        <f>IF(C8453="","",IF(AND(MONTH(C8453)&gt;=1,MONTH(C8453)&lt;=3),1,IF(AND(MONTH(C8453)&gt;=4,MONTH(C8453)&lt;=6),2,IF(AND(MONTH(C8453)&gt;=7,MONTH(C8453)&lt;=9),3,4))))</f>
        <v>4</v>
      </c>
      <c r="D8454" s="1"/>
      <c r="E8454" s="92" t="s">
        <v>14822</v>
      </c>
      <c r="F8454" s="93"/>
    </row>
    <row r="8455" spans="1:10" ht="14.1" customHeight="1" x14ac:dyDescent="0.25">
      <c r="A8455" s="1"/>
      <c r="B8455" s="80" t="s">
        <v>13758</v>
      </c>
      <c r="C8455" s="90">
        <v>43830</v>
      </c>
      <c r="D8455" s="1"/>
      <c r="E8455" s="92" t="s">
        <v>18636</v>
      </c>
      <c r="F8455" s="93"/>
    </row>
    <row r="8456" spans="1:10" ht="14.1" customHeight="1" x14ac:dyDescent="0.25">
      <c r="A8456" s="1"/>
      <c r="B8456" s="80" t="s">
        <v>10788</v>
      </c>
      <c r="C8456" s="91">
        <f>IF(C8455="","",IF(AND(MONTH(C8455)&gt;=1,MONTH(C8455)&lt;=3),1,IF(AND(MONTH(C8455)&gt;=4,MONTH(C8455)&lt;=6),2,IF(AND(MONTH(C8455)&gt;=7,MONTH(C8455)&lt;=9),3,4))))</f>
        <v>4</v>
      </c>
      <c r="D8456" s="1"/>
      <c r="E8456" s="92" t="s">
        <v>15990</v>
      </c>
      <c r="F8456" s="93"/>
    </row>
    <row r="8458" spans="1:10" ht="14.1" customHeight="1" x14ac:dyDescent="0.25">
      <c r="A8458" s="85" t="s">
        <v>15474</v>
      </c>
      <c r="B8458" s="85" t="s">
        <v>5027</v>
      </c>
      <c r="C8458" s="85" t="s">
        <v>17461</v>
      </c>
      <c r="D8458" s="85" t="s">
        <v>3935</v>
      </c>
      <c r="E8458" s="85" t="s">
        <v>10722</v>
      </c>
      <c r="F8458" s="85" t="s">
        <v>18237</v>
      </c>
    </row>
    <row r="8459" spans="1:10" ht="14.1" customHeight="1" x14ac:dyDescent="0.25">
      <c r="A8459" s="94" t="s">
        <v>12668</v>
      </c>
      <c r="B8459" s="82" t="str">
        <f ca="1">IFERROR(INDEX(UNSPSCDes,MATCH(INDIRECT(ADDRESS(ROW(),COLUMN()-1,4)),UNSPSCCode,0)),IF(INDIRECT(ADDRESS(ROW(),COLUMN()-1,4))="41104102","Lancetas",""))</f>
        <v>Lancetas</v>
      </c>
      <c r="C8459" s="95" t="str">
        <f>IFERROR(VLOOKUP("UD",'Informacion '!P:Q,2,FALSE),"")</f>
        <v>Unidad</v>
      </c>
      <c r="D8459" s="94">
        <v>111</v>
      </c>
      <c r="E8459" s="84">
        <v>2.0499999999999998</v>
      </c>
      <c r="F8459" s="83">
        <f t="shared" ref="F8459:F8485" ca="1" si="326">INDIRECT(ADDRESS(ROW(),COLUMN()-2,4))*INDIRECT(ADDRESS(ROW(),COLUMN()-1,4))</f>
        <v>227.54999999999998</v>
      </c>
    </row>
    <row r="8460" spans="1:10" ht="14.1" customHeight="1" x14ac:dyDescent="0.25">
      <c r="A8460" s="94" t="s">
        <v>3593</v>
      </c>
      <c r="B8460" s="82" t="str">
        <f ca="1">IFERROR(INDEX(UNSPSCDes,MATCH(INDIRECT(ADDRESS(ROW(),COLUMN()-1,4)),UNSPSCCode,0)),IF(INDIRECT(ADDRESS(ROW(),COLUMN()-1,4))="51181506","Insulina",""))</f>
        <v>Insulina</v>
      </c>
      <c r="C8460" s="95" t="str">
        <f>IFERROR(VLOOKUP("UD",'Informacion '!P:Q,2,FALSE),"")</f>
        <v>Unidad</v>
      </c>
      <c r="D8460" s="94">
        <v>99</v>
      </c>
      <c r="E8460" s="84">
        <v>17.55</v>
      </c>
      <c r="F8460" s="83">
        <f t="shared" ca="1" si="326"/>
        <v>1737.45</v>
      </c>
    </row>
    <row r="8461" spans="1:10" ht="14.1" customHeight="1" x14ac:dyDescent="0.25">
      <c r="A8461" s="94" t="s">
        <v>12668</v>
      </c>
      <c r="B8461" s="82" t="str">
        <f ca="1">IFERROR(INDEX(UNSPSCDes,MATCH(INDIRECT(ADDRESS(ROW(),COLUMN()-1,4)),UNSPSCCode,0)),IF(INDIRECT(ADDRESS(ROW(),COLUMN()-1,4))="41104102","Lancetas",""))</f>
        <v>Lancetas</v>
      </c>
      <c r="C8461" s="95" t="str">
        <f>IFERROR(VLOOKUP("UD",'Informacion '!P:Q,2,FALSE),"")</f>
        <v>Unidad</v>
      </c>
      <c r="D8461" s="94">
        <v>132</v>
      </c>
      <c r="E8461" s="84">
        <v>0.4</v>
      </c>
      <c r="F8461" s="83">
        <f t="shared" ca="1" si="326"/>
        <v>52.800000000000004</v>
      </c>
    </row>
    <row r="8462" spans="1:10" ht="14.1" customHeight="1" x14ac:dyDescent="0.25">
      <c r="A8462" s="94" t="s">
        <v>12668</v>
      </c>
      <c r="B8462" s="82" t="str">
        <f ca="1">IFERROR(INDEX(UNSPSCDes,MATCH(INDIRECT(ADDRESS(ROW(),COLUMN()-1,4)),UNSPSCCode,0)),IF(INDIRECT(ADDRESS(ROW(),COLUMN()-1,4))="41104102","Lancetas",""))</f>
        <v>Lancetas</v>
      </c>
      <c r="C8462" s="95" t="str">
        <f>IFERROR(VLOOKUP("UD",'Informacion '!P:Q,2,FALSE),"")</f>
        <v>Unidad</v>
      </c>
      <c r="D8462" s="94">
        <v>79</v>
      </c>
      <c r="E8462" s="84">
        <v>1.08</v>
      </c>
      <c r="F8462" s="83">
        <f t="shared" ca="1" si="326"/>
        <v>85.320000000000007</v>
      </c>
    </row>
    <row r="8463" spans="1:10" ht="14.1" customHeight="1" x14ac:dyDescent="0.25">
      <c r="A8463" s="94" t="s">
        <v>3552</v>
      </c>
      <c r="B8463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63" s="95" t="str">
        <f>IFERROR(VLOOKUP("UD",'Informacion '!P:Q,2,FALSE),"")</f>
        <v>Unidad</v>
      </c>
      <c r="D8463" s="94">
        <v>2834</v>
      </c>
      <c r="E8463" s="84">
        <v>4.62</v>
      </c>
      <c r="F8463" s="83">
        <f t="shared" ca="1" si="326"/>
        <v>13093.08</v>
      </c>
    </row>
    <row r="8464" spans="1:10" ht="14.1" customHeight="1" x14ac:dyDescent="0.25">
      <c r="A8464" s="94" t="s">
        <v>2200</v>
      </c>
      <c r="B8464" s="82" t="str">
        <f ca="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8464" s="95" t="str">
        <f>IFERROR(VLOOKUP("UD",'Informacion '!P:Q,2,FALSE),"")</f>
        <v>Unidad</v>
      </c>
      <c r="D8464" s="94">
        <v>29</v>
      </c>
      <c r="E8464" s="84">
        <v>0.82</v>
      </c>
      <c r="F8464" s="83">
        <f t="shared" ca="1" si="326"/>
        <v>23.779999999999998</v>
      </c>
    </row>
    <row r="8465" spans="1:6" ht="14.1" customHeight="1" x14ac:dyDescent="0.25">
      <c r="A8465" s="94" t="s">
        <v>3593</v>
      </c>
      <c r="B8465" s="82" t="str">
        <f ca="1">IFERROR(INDEX(UNSPSCDes,MATCH(INDIRECT(ADDRESS(ROW(),COLUMN()-1,4)),UNSPSCCode,0)),IF(INDIRECT(ADDRESS(ROW(),COLUMN()-1,4))="51181506","Insulina",""))</f>
        <v>Insulina</v>
      </c>
      <c r="C8465" s="95" t="str">
        <f>IFERROR(VLOOKUP("UD",'Informacion '!P:Q,2,FALSE),"")</f>
        <v>Unidad</v>
      </c>
      <c r="D8465" s="94">
        <v>542</v>
      </c>
      <c r="E8465" s="84">
        <v>28.9</v>
      </c>
      <c r="F8465" s="83">
        <f t="shared" ca="1" si="326"/>
        <v>15663.8</v>
      </c>
    </row>
    <row r="8466" spans="1:6" ht="14.1" customHeight="1" x14ac:dyDescent="0.25">
      <c r="A8466" s="94" t="s">
        <v>6591</v>
      </c>
      <c r="B8466" s="82" t="str">
        <f ca="1">IFERROR(INDEX(UNSPSCDes,MATCH(INDIRECT(ADDRESS(ROW(),COLUMN()-1,4)),UNSPSCCode,0)),IF(INDIRECT(ADDRESS(ROW(),COLUMN()-1,4))="41122601","Portaobjetos para microscopios",""))</f>
        <v>Portaobjetos para microscopios</v>
      </c>
      <c r="C8466" s="95" t="str">
        <f>IFERROR(VLOOKUP("UD",'Informacion '!P:Q,2,FALSE),"")</f>
        <v>Unidad</v>
      </c>
      <c r="D8466" s="94">
        <v>137</v>
      </c>
      <c r="E8466" s="84">
        <v>3.82</v>
      </c>
      <c r="F8466" s="83">
        <f t="shared" ca="1" si="326"/>
        <v>523.34</v>
      </c>
    </row>
    <row r="8467" spans="1:6" ht="14.1" customHeight="1" x14ac:dyDescent="0.25">
      <c r="A8467" s="94" t="s">
        <v>3552</v>
      </c>
      <c r="B8467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67" s="95" t="str">
        <f>IFERROR(VLOOKUP("UD",'Informacion '!P:Q,2,FALSE),"")</f>
        <v>Unidad</v>
      </c>
      <c r="D8467" s="94">
        <v>66</v>
      </c>
      <c r="E8467" s="84">
        <v>123.36</v>
      </c>
      <c r="F8467" s="83">
        <f t="shared" ca="1" si="326"/>
        <v>8141.76</v>
      </c>
    </row>
    <row r="8468" spans="1:6" ht="14.1" customHeight="1" x14ac:dyDescent="0.25">
      <c r="A8468" s="94" t="s">
        <v>3552</v>
      </c>
      <c r="B8468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68" s="95" t="str">
        <f>IFERROR(VLOOKUP("UD",'Informacion '!P:Q,2,FALSE),"")</f>
        <v>Unidad</v>
      </c>
      <c r="D8468" s="94">
        <v>34</v>
      </c>
      <c r="E8468" s="84">
        <v>112.14</v>
      </c>
      <c r="F8468" s="83">
        <f t="shared" ca="1" si="326"/>
        <v>3812.76</v>
      </c>
    </row>
    <row r="8469" spans="1:6" ht="14.1" customHeight="1" x14ac:dyDescent="0.25">
      <c r="A8469" s="94" t="s">
        <v>7412</v>
      </c>
      <c r="B8469" s="82" t="str">
        <f ca="1">IFERROR(INDEX(UNSPSCDes,MATCH(INDIRECT(ADDRESS(ROW(),COLUMN()-1,4)),UNSPSCCode,0)),IF(INDIRECT(ADDRESS(ROW(),COLUMN()-1,4))="21101513","Discos",""))</f>
        <v>Discos</v>
      </c>
      <c r="C8469" s="95" t="str">
        <f>IFERROR(VLOOKUP("UD",'Informacion '!P:Q,2,FALSE),"")</f>
        <v>Unidad</v>
      </c>
      <c r="D8469" s="94">
        <v>3114</v>
      </c>
      <c r="E8469" s="84">
        <v>3.86</v>
      </c>
      <c r="F8469" s="83">
        <f t="shared" ca="1" si="326"/>
        <v>12020.039999999999</v>
      </c>
    </row>
    <row r="8470" spans="1:6" ht="14.1" customHeight="1" x14ac:dyDescent="0.25">
      <c r="A8470" s="94" t="s">
        <v>8400</v>
      </c>
      <c r="B8470" s="82" t="str">
        <f ca="1">IFERROR(INDEX(UNSPSCDes,MATCH(INDIRECT(ADDRESS(ROW(),COLUMN()-1,4)),UNSPSCCode,0)),IF(INDIRECT(ADDRESS(ROW(),COLUMN()-1,4))="12171703","Tintas",""))</f>
        <v>Tintas</v>
      </c>
      <c r="C8470" s="95" t="str">
        <f>IFERROR(VLOOKUP("UD",'Informacion '!P:Q,2,FALSE),"")</f>
        <v>Unidad</v>
      </c>
      <c r="D8470" s="94">
        <v>5</v>
      </c>
      <c r="E8470" s="84">
        <v>324.87</v>
      </c>
      <c r="F8470" s="83">
        <f t="shared" ca="1" si="326"/>
        <v>1624.35</v>
      </c>
    </row>
    <row r="8471" spans="1:6" ht="14.1" customHeight="1" x14ac:dyDescent="0.25">
      <c r="A8471" s="94" t="s">
        <v>502</v>
      </c>
      <c r="B8471" s="82" t="str">
        <f ca="1">IFERROR(INDEX(UNSPSCDes,MATCH(INDIRECT(ADDRESS(ROW(),COLUMN()-1,4)),UNSPSCCode,0)),IF(INDIRECT(ADDRESS(ROW(),COLUMN()-1,4))="12161503","Kits de reactivos",""))</f>
        <v>Kits de reactivos</v>
      </c>
      <c r="C8471" s="95" t="str">
        <f>IFERROR(VLOOKUP("UD",'Informacion '!P:Q,2,FALSE),"")</f>
        <v>Unidad</v>
      </c>
      <c r="D8471" s="94">
        <v>4</v>
      </c>
      <c r="E8471" s="84">
        <v>6497.81</v>
      </c>
      <c r="F8471" s="83">
        <f t="shared" ca="1" si="326"/>
        <v>25991.24</v>
      </c>
    </row>
    <row r="8472" spans="1:6" ht="14.1" customHeight="1" x14ac:dyDescent="0.25">
      <c r="A8472" s="94" t="s">
        <v>3552</v>
      </c>
      <c r="B847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72" s="95" t="str">
        <f>IFERROR(VLOOKUP("UD",'Informacion '!P:Q,2,FALSE),"")</f>
        <v>Unidad</v>
      </c>
      <c r="D8472" s="94">
        <v>12</v>
      </c>
      <c r="E8472" s="84">
        <v>171.1</v>
      </c>
      <c r="F8472" s="83">
        <f t="shared" ca="1" si="326"/>
        <v>2053.1999999999998</v>
      </c>
    </row>
    <row r="8473" spans="1:6" ht="14.1" customHeight="1" x14ac:dyDescent="0.25">
      <c r="A8473" s="94" t="s">
        <v>6593</v>
      </c>
      <c r="B8473" s="82" t="str">
        <f ca="1">IFERROR(INDEX(UNSPSCDes,MATCH(INDIRECT(ADDRESS(ROW(),COLUMN()-1,4)),UNSPSCCode,0)),IF(INDIRECT(ADDRESS(ROW(),COLUMN()-1,4))="41121601","Filtro de boquilla de pipeta",""))</f>
        <v>Filtro de boquilla de pipeta</v>
      </c>
      <c r="C8473" s="95" t="str">
        <f>IFERROR(VLOOKUP("UD",'Informacion '!P:Q,2,FALSE),"")</f>
        <v>Unidad</v>
      </c>
      <c r="D8473" s="94">
        <v>28</v>
      </c>
      <c r="E8473" s="84">
        <v>43.64</v>
      </c>
      <c r="F8473" s="83">
        <f t="shared" ca="1" si="326"/>
        <v>1221.92</v>
      </c>
    </row>
    <row r="8474" spans="1:6" ht="14.1" customHeight="1" x14ac:dyDescent="0.25">
      <c r="A8474" s="94" t="s">
        <v>3552</v>
      </c>
      <c r="B8474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474" s="95" t="str">
        <f>IFERROR(VLOOKUP("UD",'Informacion '!P:Q,2,FALSE),"")</f>
        <v>Unidad</v>
      </c>
      <c r="D8474" s="94">
        <v>4</v>
      </c>
      <c r="E8474" s="84">
        <v>1734.6</v>
      </c>
      <c r="F8474" s="83">
        <f t="shared" ca="1" si="326"/>
        <v>6938.4</v>
      </c>
    </row>
    <row r="8475" spans="1:6" ht="14.1" customHeight="1" x14ac:dyDescent="0.25">
      <c r="A8475" s="94" t="s">
        <v>12668</v>
      </c>
      <c r="B8475" s="82" t="str">
        <f ca="1">IFERROR(INDEX(UNSPSCDes,MATCH(INDIRECT(ADDRESS(ROW(),COLUMN()-1,4)),UNSPSCCode,0)),IF(INDIRECT(ADDRESS(ROW(),COLUMN()-1,4))="41104102","Lancetas",""))</f>
        <v>Lancetas</v>
      </c>
      <c r="C8475" s="95" t="str">
        <f>IFERROR(VLOOKUP("UD",'Informacion '!P:Q,2,FALSE),"")</f>
        <v>Unidad</v>
      </c>
      <c r="D8475" s="94">
        <v>194</v>
      </c>
      <c r="E8475" s="84">
        <v>1.64</v>
      </c>
      <c r="F8475" s="83">
        <f t="shared" ca="1" si="326"/>
        <v>318.15999999999997</v>
      </c>
    </row>
    <row r="8476" spans="1:6" ht="14.1" customHeight="1" x14ac:dyDescent="0.25">
      <c r="A8476" s="94" t="s">
        <v>19716</v>
      </c>
      <c r="B8476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8476" s="95" t="str">
        <f>IFERROR(VLOOKUP("UD",'Informacion '!P:Q,2,FALSE),"")</f>
        <v>Unidad</v>
      </c>
      <c r="D8476" s="94">
        <v>53</v>
      </c>
      <c r="E8476" s="84">
        <v>507.14</v>
      </c>
      <c r="F8476" s="83">
        <f t="shared" ca="1" si="326"/>
        <v>26878.42</v>
      </c>
    </row>
    <row r="8477" spans="1:6" ht="14.1" customHeight="1" x14ac:dyDescent="0.25">
      <c r="A8477" s="94" t="s">
        <v>13236</v>
      </c>
      <c r="B8477" s="82" t="str">
        <f ca="1">IFERROR(INDEX(UNSPSCDes,MATCH(INDIRECT(ADDRESS(ROW(),COLUMN()-1,4)),UNSPSCCode,0)),IF(INDIRECT(ADDRESS(ROW(),COLUMN()-1,4))="12181503","Parafinas",""))</f>
        <v>Parafinas</v>
      </c>
      <c r="C8477" s="95" t="str">
        <f>IFERROR(VLOOKUP("UD",'Informacion '!P:Q,2,FALSE),"")</f>
        <v>Unidad</v>
      </c>
      <c r="D8477" s="94">
        <v>26</v>
      </c>
      <c r="E8477" s="84">
        <v>644.28</v>
      </c>
      <c r="F8477" s="83">
        <f t="shared" ca="1" si="326"/>
        <v>16751.28</v>
      </c>
    </row>
    <row r="8478" spans="1:6" ht="14.1" customHeight="1" x14ac:dyDescent="0.25">
      <c r="A8478" s="94" t="s">
        <v>13236</v>
      </c>
      <c r="B8478" s="82" t="str">
        <f ca="1">IFERROR(INDEX(UNSPSCDes,MATCH(INDIRECT(ADDRESS(ROW(),COLUMN()-1,4)),UNSPSCCode,0)),IF(INDIRECT(ADDRESS(ROW(),COLUMN()-1,4))="12181503","Parafinas",""))</f>
        <v>Parafinas</v>
      </c>
      <c r="C8478" s="95" t="str">
        <f>IFERROR(VLOOKUP("UD",'Informacion '!P:Q,2,FALSE),"")</f>
        <v>Unidad</v>
      </c>
      <c r="D8478" s="94">
        <v>5</v>
      </c>
      <c r="E8478" s="84">
        <v>708</v>
      </c>
      <c r="F8478" s="83">
        <f t="shared" ca="1" si="326"/>
        <v>3540</v>
      </c>
    </row>
    <row r="8479" spans="1:6" ht="14.1" customHeight="1" x14ac:dyDescent="0.25">
      <c r="A8479" s="94" t="s">
        <v>3604</v>
      </c>
      <c r="B8479" s="82" t="str">
        <f ca="1">IFERROR(INDEX(UNSPSCDes,MATCH(INDIRECT(ADDRESS(ROW(),COLUMN()-1,4)),UNSPSCCode,0)),IF(INDIRECT(ADDRESS(ROW(),COLUMN()-1,4))="12352501","Formaldehidos",""))</f>
        <v>Formaldehidos</v>
      </c>
      <c r="C8479" s="95" t="str">
        <f>IFERROR(VLOOKUP("UD",'Informacion '!P:Q,2,FALSE),"")</f>
        <v>Unidad</v>
      </c>
      <c r="D8479" s="94">
        <v>6</v>
      </c>
      <c r="E8479" s="84">
        <v>300</v>
      </c>
      <c r="F8479" s="83">
        <f t="shared" ca="1" si="326"/>
        <v>1800</v>
      </c>
    </row>
    <row r="8480" spans="1:6" ht="14.1" customHeight="1" x14ac:dyDescent="0.25">
      <c r="A8480" s="94" t="s">
        <v>5965</v>
      </c>
      <c r="B8480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480" s="95" t="str">
        <f>IFERROR(VLOOKUP("UD",'Informacion '!P:Q,2,FALSE),"")</f>
        <v>Unidad</v>
      </c>
      <c r="D8480" s="94">
        <v>33</v>
      </c>
      <c r="E8480" s="84">
        <v>943.78</v>
      </c>
      <c r="F8480" s="83">
        <f t="shared" ca="1" si="326"/>
        <v>31144.739999999998</v>
      </c>
    </row>
    <row r="8481" spans="1:10" ht="14.1" customHeight="1" x14ac:dyDescent="0.25">
      <c r="A8481" s="94" t="s">
        <v>12824</v>
      </c>
      <c r="B848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481" s="95" t="str">
        <f>IFERROR(VLOOKUP("UD",'Informacion '!P:Q,2,FALSE),"")</f>
        <v>Unidad</v>
      </c>
      <c r="D8481" s="94">
        <v>9</v>
      </c>
      <c r="E8481" s="84">
        <v>1457.42</v>
      </c>
      <c r="F8481" s="83">
        <f t="shared" ca="1" si="326"/>
        <v>13116.78</v>
      </c>
    </row>
    <row r="8482" spans="1:10" ht="14.1" customHeight="1" x14ac:dyDescent="0.25">
      <c r="A8482" s="94" t="s">
        <v>5965</v>
      </c>
      <c r="B8482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482" s="95" t="str">
        <f>IFERROR(VLOOKUP("UD",'Informacion '!P:Q,2,FALSE),"")</f>
        <v>Unidad</v>
      </c>
      <c r="D8482" s="94">
        <v>9</v>
      </c>
      <c r="E8482" s="84">
        <v>504.45</v>
      </c>
      <c r="F8482" s="83">
        <f t="shared" ca="1" si="326"/>
        <v>4540.05</v>
      </c>
    </row>
    <row r="8483" spans="1:10" ht="14.1" customHeight="1" x14ac:dyDescent="0.25">
      <c r="A8483" s="94" t="s">
        <v>12824</v>
      </c>
      <c r="B848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483" s="95" t="str">
        <f>IFERROR(VLOOKUP("UD",'Informacion '!P:Q,2,FALSE),"")</f>
        <v>Unidad</v>
      </c>
      <c r="D8483" s="94">
        <v>6</v>
      </c>
      <c r="E8483" s="84">
        <v>1770</v>
      </c>
      <c r="F8483" s="83">
        <f t="shared" ca="1" si="326"/>
        <v>10620</v>
      </c>
    </row>
    <row r="8484" spans="1:10" ht="14.1" customHeight="1" x14ac:dyDescent="0.25">
      <c r="A8484" s="94" t="s">
        <v>5965</v>
      </c>
      <c r="B8484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8484" s="95" t="str">
        <f>IFERROR(VLOOKUP("UD",'Informacion '!P:Q,2,FALSE),"")</f>
        <v>Unidad</v>
      </c>
      <c r="D8484" s="94">
        <v>16</v>
      </c>
      <c r="E8484" s="84">
        <v>2230.1999999999998</v>
      </c>
      <c r="F8484" s="83">
        <f t="shared" ca="1" si="326"/>
        <v>35683.199999999997</v>
      </c>
    </row>
    <row r="8485" spans="1:10" ht="14.1" customHeight="1" x14ac:dyDescent="0.25">
      <c r="A8485" s="94" t="s">
        <v>14100</v>
      </c>
      <c r="B8485" s="82" t="str">
        <f ca="1">IFERROR(INDEX(UNSPSCDes,MATCH(INDIRECT(ADDRESS(ROW(),COLUMN()-1,4)),UNSPSCCode,0)),IF(INDIRECT(ADDRESS(ROW(),COLUMN()-1,4))="42272301","Resucitadores manuales",""))</f>
        <v>Resucitadores manuales</v>
      </c>
      <c r="C8485" s="95" t="str">
        <f>IFERROR(VLOOKUP("UD",'Informacion '!P:Q,2,FALSE),"")</f>
        <v>Unidad</v>
      </c>
      <c r="D8485" s="94">
        <v>4</v>
      </c>
      <c r="E8485" s="84">
        <v>1058.5</v>
      </c>
      <c r="F8485" s="83">
        <f t="shared" ca="1" si="326"/>
        <v>4234</v>
      </c>
    </row>
    <row r="8486" spans="1:10" ht="14.1" customHeight="1" x14ac:dyDescent="0.25">
      <c r="E8486" s="96" t="s">
        <v>7213</v>
      </c>
      <c r="F8486" s="87">
        <f ca="1">SUM(Table218[MONTO TOTAL ESTIMADO])</f>
        <v>241837.41999999998</v>
      </c>
      <c r="H8486" s="39" t="str">
        <f>C8452</f>
        <v>Bienes</v>
      </c>
      <c r="I8486" s="39" t="str">
        <f>E8452</f>
        <v>No</v>
      </c>
      <c r="J8486" s="39" t="str">
        <f>D8452</f>
        <v>Compras Menores</v>
      </c>
    </row>
    <row r="8488" spans="1:10" ht="33.950000000000003" customHeight="1" x14ac:dyDescent="0.25">
      <c r="A8488" s="77" t="s">
        <v>17233</v>
      </c>
      <c r="B8488" s="77" t="s">
        <v>4237</v>
      </c>
      <c r="C8488" s="77" t="s">
        <v>4743</v>
      </c>
      <c r="D8488" s="77" t="s">
        <v>9891</v>
      </c>
      <c r="E8488" s="77" t="s">
        <v>3089</v>
      </c>
      <c r="F8488" s="77" t="s">
        <v>18141</v>
      </c>
    </row>
    <row r="8489" spans="1:10" ht="14.1" customHeight="1" x14ac:dyDescent="0.25">
      <c r="A8489" s="79" t="s">
        <v>15029</v>
      </c>
      <c r="B8489" s="79" t="s">
        <v>2182</v>
      </c>
      <c r="C8489" s="79" t="s">
        <v>17215</v>
      </c>
      <c r="D8489" s="79" t="s">
        <v>17798</v>
      </c>
      <c r="E8489" s="79" t="s">
        <v>18247</v>
      </c>
      <c r="F8489" s="79"/>
    </row>
    <row r="8490" spans="1:10" ht="14.1" customHeight="1" x14ac:dyDescent="0.25">
      <c r="A8490" s="2" t="s">
        <v>6643</v>
      </c>
      <c r="B8490" s="80" t="s">
        <v>1046</v>
      </c>
      <c r="C8490" s="90">
        <v>43740</v>
      </c>
      <c r="D8490" s="2" t="s">
        <v>59</v>
      </c>
      <c r="E8490" s="92" t="s">
        <v>20066</v>
      </c>
      <c r="F8490" s="93" t="s">
        <v>5684</v>
      </c>
    </row>
    <row r="8491" spans="1:10" ht="14.1" customHeight="1" x14ac:dyDescent="0.25">
      <c r="A8491" s="1"/>
      <c r="B8491" s="80" t="s">
        <v>10788</v>
      </c>
      <c r="C8491" s="91">
        <f>IF(C8490="","",IF(AND(MONTH(C8490)&gt;=1,MONTH(C8490)&lt;=3),1,IF(AND(MONTH(C8490)&gt;=4,MONTH(C8490)&lt;=6),2,IF(AND(MONTH(C8490)&gt;=7,MONTH(C8490)&lt;=9),3,4))))</f>
        <v>4</v>
      </c>
      <c r="D8491" s="1"/>
      <c r="E8491" s="92" t="s">
        <v>14822</v>
      </c>
      <c r="F8491" s="93"/>
    </row>
    <row r="8492" spans="1:10" ht="14.1" customHeight="1" x14ac:dyDescent="0.25">
      <c r="A8492" s="1"/>
      <c r="B8492" s="80" t="s">
        <v>13758</v>
      </c>
      <c r="C8492" s="90">
        <v>43829</v>
      </c>
      <c r="D8492" s="1"/>
      <c r="E8492" s="92" t="s">
        <v>18636</v>
      </c>
      <c r="F8492" s="93"/>
    </row>
    <row r="8493" spans="1:10" ht="14.1" customHeight="1" x14ac:dyDescent="0.25">
      <c r="A8493" s="1"/>
      <c r="B8493" s="80" t="s">
        <v>10788</v>
      </c>
      <c r="C8493" s="91">
        <f>IF(C8492="","",IF(AND(MONTH(C8492)&gt;=1,MONTH(C8492)&lt;=3),1,IF(AND(MONTH(C8492)&gt;=4,MONTH(C8492)&lt;=6),2,IF(AND(MONTH(C8492)&gt;=7,MONTH(C8492)&lt;=9),3,4))))</f>
        <v>4</v>
      </c>
      <c r="D8493" s="1"/>
      <c r="E8493" s="92" t="s">
        <v>15990</v>
      </c>
      <c r="F8493" s="93"/>
    </row>
    <row r="8495" spans="1:10" ht="14.1" customHeight="1" x14ac:dyDescent="0.25">
      <c r="A8495" s="85" t="s">
        <v>15474</v>
      </c>
      <c r="B8495" s="85" t="s">
        <v>5027</v>
      </c>
      <c r="C8495" s="85" t="s">
        <v>17461</v>
      </c>
      <c r="D8495" s="85" t="s">
        <v>3935</v>
      </c>
      <c r="E8495" s="85" t="s">
        <v>10722</v>
      </c>
      <c r="F8495" s="85" t="s">
        <v>18237</v>
      </c>
    </row>
    <row r="8496" spans="1:10" ht="14.1" customHeight="1" x14ac:dyDescent="0.25">
      <c r="A8496" s="94" t="s">
        <v>16391</v>
      </c>
      <c r="B8496" s="82" t="str">
        <f ca="1">IFERROR(INDEX(UNSPSCDes,MATCH(INDIRECT(ADDRESS(ROW(),COLUMN()-1,4)),UNSPSCCode,0)),IF(INDIRECT(ADDRESS(ROW(),COLUMN()-1,4))="42142615","Accesorios para jeringas",""))</f>
        <v>Accesorios para jeringas</v>
      </c>
      <c r="C8496" s="95" t="str">
        <f>IFERROR(VLOOKUP("UD",'Informacion '!P:Q,2,FALSE),"")</f>
        <v>Unidad</v>
      </c>
      <c r="D8496" s="94">
        <v>779</v>
      </c>
      <c r="E8496" s="84">
        <v>2.04</v>
      </c>
      <c r="F8496" s="83">
        <f t="shared" ref="F8496:F8542" ca="1" si="327">INDIRECT(ADDRESS(ROW(),COLUMN()-2,4))*INDIRECT(ADDRESS(ROW(),COLUMN()-1,4))</f>
        <v>1589.16</v>
      </c>
    </row>
    <row r="8497" spans="1:6" ht="14.1" customHeight="1" x14ac:dyDescent="0.25">
      <c r="A8497" s="94" t="s">
        <v>16391</v>
      </c>
      <c r="B8497" s="82" t="str">
        <f ca="1">IFERROR(INDEX(UNSPSCDes,MATCH(INDIRECT(ADDRESS(ROW(),COLUMN()-1,4)),UNSPSCCode,0)),IF(INDIRECT(ADDRESS(ROW(),COLUMN()-1,4))="42142615","Accesorios para jeringas",""))</f>
        <v>Accesorios para jeringas</v>
      </c>
      <c r="C8497" s="95" t="str">
        <f>IFERROR(VLOOKUP("UD",'Informacion '!P:Q,2,FALSE),"")</f>
        <v>Unidad</v>
      </c>
      <c r="D8497" s="94">
        <v>38</v>
      </c>
      <c r="E8497" s="84">
        <v>2.66</v>
      </c>
      <c r="F8497" s="83">
        <f t="shared" ca="1" si="327"/>
        <v>101.08000000000001</v>
      </c>
    </row>
    <row r="8498" spans="1:6" ht="14.1" customHeight="1" x14ac:dyDescent="0.25">
      <c r="A8498" s="94" t="s">
        <v>16391</v>
      </c>
      <c r="B8498" s="82" t="str">
        <f ca="1">IFERROR(INDEX(UNSPSCDes,MATCH(INDIRECT(ADDRESS(ROW(),COLUMN()-1,4)),UNSPSCCode,0)),IF(INDIRECT(ADDRESS(ROW(),COLUMN()-1,4))="42142615","Accesorios para jeringas",""))</f>
        <v>Accesorios para jeringas</v>
      </c>
      <c r="C8498" s="95" t="str">
        <f>IFERROR(VLOOKUP("UD",'Informacion '!P:Q,2,FALSE),"")</f>
        <v>Unidad</v>
      </c>
      <c r="D8498" s="94">
        <v>1141</v>
      </c>
      <c r="E8498" s="84">
        <v>1.81</v>
      </c>
      <c r="F8498" s="83">
        <f t="shared" ca="1" si="327"/>
        <v>2065.21</v>
      </c>
    </row>
    <row r="8499" spans="1:6" ht="14.1" customHeight="1" x14ac:dyDescent="0.25">
      <c r="A8499" s="94" t="s">
        <v>1867</v>
      </c>
      <c r="B8499" s="82" t="str">
        <f ca="1">IFERROR(INDEX(UNSPSCDes,MATCH(INDIRECT(ADDRESS(ROW(),COLUMN()-1,4)),UNSPSCCode,0)),IF(INDIRECT(ADDRESS(ROW(),COLUMN()-1,4))="42222008","Kits o accesorios de bombas de infusión",""))</f>
        <v>Kits o accesorios de bombas de infusión</v>
      </c>
      <c r="C8499" s="95" t="str">
        <f>IFERROR(VLOOKUP("UD",'Informacion '!P:Q,2,FALSE),"")</f>
        <v>Unidad</v>
      </c>
      <c r="D8499" s="94">
        <v>5</v>
      </c>
      <c r="E8499" s="84">
        <v>919.23</v>
      </c>
      <c r="F8499" s="83">
        <f t="shared" ca="1" si="327"/>
        <v>4596.1499999999996</v>
      </c>
    </row>
    <row r="8500" spans="1:6" ht="14.1" customHeight="1" x14ac:dyDescent="0.25">
      <c r="A8500" s="94" t="s">
        <v>16391</v>
      </c>
      <c r="B8500" s="82" t="str">
        <f ca="1">IFERROR(INDEX(UNSPSCDes,MATCH(INDIRECT(ADDRESS(ROW(),COLUMN()-1,4)),UNSPSCCode,0)),IF(INDIRECT(ADDRESS(ROW(),COLUMN()-1,4))="42142615","Accesorios para jeringas",""))</f>
        <v>Accesorios para jeringas</v>
      </c>
      <c r="C8500" s="95" t="str">
        <f>IFERROR(VLOOKUP("UD",'Informacion '!P:Q,2,FALSE),"")</f>
        <v>Unidad</v>
      </c>
      <c r="D8500" s="94">
        <v>505</v>
      </c>
      <c r="E8500" s="84">
        <v>2.2999999999999998</v>
      </c>
      <c r="F8500" s="83">
        <f t="shared" ca="1" si="327"/>
        <v>1161.5</v>
      </c>
    </row>
    <row r="8501" spans="1:6" ht="14.1" customHeight="1" x14ac:dyDescent="0.25">
      <c r="A8501" s="94" t="s">
        <v>10112</v>
      </c>
      <c r="B850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8501" s="95" t="str">
        <f>IFERROR(VLOOKUP("UD",'Informacion '!P:Q,2,FALSE),"")</f>
        <v>Unidad</v>
      </c>
      <c r="D8501" s="94">
        <v>213</v>
      </c>
      <c r="E8501" s="84">
        <v>84.35</v>
      </c>
      <c r="F8501" s="83">
        <f t="shared" ca="1" si="327"/>
        <v>17966.55</v>
      </c>
    </row>
    <row r="8502" spans="1:6" ht="14.1" customHeight="1" x14ac:dyDescent="0.25">
      <c r="A8502" s="94" t="s">
        <v>6266</v>
      </c>
      <c r="B8502" s="82" t="str">
        <f ca="1">IFERROR(INDEX(UNSPSCDes,MATCH(INDIRECT(ADDRESS(ROW(),COLUMN()-1,4)),UNSPSCCode,0)),IF(INDIRECT(ADDRESS(ROW(),COLUMN()-1,4))="30151701","Boquillas de bajantes",""))</f>
        <v>Boquillas de bajantes</v>
      </c>
      <c r="C8502" s="95" t="str">
        <f>IFERROR(VLOOKUP("UD",'Informacion '!P:Q,2,FALSE),"")</f>
        <v>Unidad</v>
      </c>
      <c r="D8502" s="94">
        <v>14</v>
      </c>
      <c r="E8502" s="84">
        <v>120.24</v>
      </c>
      <c r="F8502" s="83">
        <f t="shared" ca="1" si="327"/>
        <v>1683.36</v>
      </c>
    </row>
    <row r="8503" spans="1:6" ht="14.1" customHeight="1" x14ac:dyDescent="0.25">
      <c r="A8503" s="94" t="s">
        <v>6481</v>
      </c>
      <c r="B8503" s="82" t="str">
        <f ca="1">IFERROR(INDEX(UNSPSCDes,MATCH(INDIRECT(ADDRESS(ROW(),COLUMN()-1,4)),UNSPSCCode,0)),IF(INDIRECT(ADDRESS(ROW(),COLUMN()-1,4))="42293603","Sondas para uso quirúrgico",""))</f>
        <v>Sondas para uso quirúrgico</v>
      </c>
      <c r="C8503" s="95" t="str">
        <f>IFERROR(VLOOKUP("UD",'Informacion '!P:Q,2,FALSE),"")</f>
        <v>Unidad</v>
      </c>
      <c r="D8503" s="94">
        <v>64</v>
      </c>
      <c r="E8503" s="84">
        <v>33.35</v>
      </c>
      <c r="F8503" s="83">
        <f t="shared" ca="1" si="327"/>
        <v>2134.4</v>
      </c>
    </row>
    <row r="8504" spans="1:6" ht="14.1" customHeight="1" x14ac:dyDescent="0.25">
      <c r="A8504" s="94" t="s">
        <v>6481</v>
      </c>
      <c r="B8504" s="82" t="str">
        <f ca="1">IFERROR(INDEX(UNSPSCDes,MATCH(INDIRECT(ADDRESS(ROW(),COLUMN()-1,4)),UNSPSCCode,0)),IF(INDIRECT(ADDRESS(ROW(),COLUMN()-1,4))="42293603","Sondas para uso quirúrgico",""))</f>
        <v>Sondas para uso quirúrgico</v>
      </c>
      <c r="C8504" s="95" t="str">
        <f>IFERROR(VLOOKUP("UD",'Informacion '!P:Q,2,FALSE),"")</f>
        <v>Unidad</v>
      </c>
      <c r="D8504" s="94">
        <v>44</v>
      </c>
      <c r="E8504" s="84">
        <v>33.35</v>
      </c>
      <c r="F8504" s="83">
        <f t="shared" ca="1" si="327"/>
        <v>1467.4</v>
      </c>
    </row>
    <row r="8505" spans="1:6" ht="14.1" customHeight="1" x14ac:dyDescent="0.25">
      <c r="A8505" s="94" t="s">
        <v>16379</v>
      </c>
      <c r="B8505" s="82" t="str">
        <f ca="1">IFERROR(INDEX(UNSPSCDes,MATCH(INDIRECT(ADDRESS(ROW(),COLUMN()-1,4)),UNSPSCCode,0)),IF(INDIRECT(ADDRESS(ROW(),COLUMN()-1,4))="53131608","Jabones",""))</f>
        <v>Jabones</v>
      </c>
      <c r="C8505" s="95" t="str">
        <f>IFERROR(VLOOKUP("UD",'Informacion '!P:Q,2,FALSE),"")</f>
        <v>Unidad</v>
      </c>
      <c r="D8505" s="94">
        <v>8</v>
      </c>
      <c r="E8505" s="84">
        <v>719.5</v>
      </c>
      <c r="F8505" s="83">
        <f t="shared" ca="1" si="327"/>
        <v>5756</v>
      </c>
    </row>
    <row r="8506" spans="1:6" ht="14.1" customHeight="1" x14ac:dyDescent="0.25">
      <c r="A8506" s="94" t="s">
        <v>18202</v>
      </c>
      <c r="B8506" s="82" t="str">
        <f ca="1">IFERROR(INDEX(UNSPSCDes,MATCH(INDIRECT(ADDRESS(ROW(),COLUMN()-1,4)),UNSPSCCode,0)),IF(INDIRECT(ADDRESS(ROW(),COLUMN()-1,4))="14111609","Papel de cubierta",""))</f>
        <v>Papel de cubierta</v>
      </c>
      <c r="C8506" s="95" t="str">
        <f>IFERROR(VLOOKUP("UD",'Informacion '!P:Q,2,FALSE),"")</f>
        <v>Unidad</v>
      </c>
      <c r="D8506" s="94">
        <v>597</v>
      </c>
      <c r="E8506" s="84">
        <v>120.36</v>
      </c>
      <c r="F8506" s="83">
        <f t="shared" ca="1" si="327"/>
        <v>71854.92</v>
      </c>
    </row>
    <row r="8507" spans="1:6" ht="14.1" customHeight="1" x14ac:dyDescent="0.25">
      <c r="A8507" s="94" t="s">
        <v>10248</v>
      </c>
      <c r="B8507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507" s="95" t="str">
        <f>IFERROR(VLOOKUP("UD",'Informacion '!P:Q,2,FALSE),"")</f>
        <v>Unidad</v>
      </c>
      <c r="D8507" s="94">
        <v>99</v>
      </c>
      <c r="E8507" s="84">
        <v>1294.8499999999999</v>
      </c>
      <c r="F8507" s="83">
        <f t="shared" ca="1" si="327"/>
        <v>128190.15</v>
      </c>
    </row>
    <row r="8508" spans="1:6" ht="14.1" customHeight="1" x14ac:dyDescent="0.25">
      <c r="A8508" s="94" t="s">
        <v>16391</v>
      </c>
      <c r="B8508" s="82" t="str">
        <f ca="1">IFERROR(INDEX(UNSPSCDes,MATCH(INDIRECT(ADDRESS(ROW(),COLUMN()-1,4)),UNSPSCCode,0)),IF(INDIRECT(ADDRESS(ROW(),COLUMN()-1,4))="42142615","Accesorios para jeringas",""))</f>
        <v>Accesorios para jeringas</v>
      </c>
      <c r="C8508" s="95" t="str">
        <f>IFERROR(VLOOKUP("UD",'Informacion '!P:Q,2,FALSE),"")</f>
        <v>Unidad</v>
      </c>
      <c r="D8508" s="94">
        <v>154</v>
      </c>
      <c r="E8508" s="84">
        <v>6.62</v>
      </c>
      <c r="F8508" s="83">
        <f t="shared" ca="1" si="327"/>
        <v>1019.48</v>
      </c>
    </row>
    <row r="8509" spans="1:6" ht="14.1" customHeight="1" x14ac:dyDescent="0.25">
      <c r="A8509" s="94" t="s">
        <v>12909</v>
      </c>
      <c r="B8509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509" s="95" t="str">
        <f>IFERROR(VLOOKUP("UD",'Informacion '!P:Q,2,FALSE),"")</f>
        <v>Unidad</v>
      </c>
      <c r="D8509" s="94">
        <v>11639</v>
      </c>
      <c r="E8509" s="84">
        <v>0.56999999999999995</v>
      </c>
      <c r="F8509" s="83">
        <f t="shared" ca="1" si="327"/>
        <v>6634.23</v>
      </c>
    </row>
    <row r="8510" spans="1:6" ht="14.1" customHeight="1" x14ac:dyDescent="0.25">
      <c r="A8510" s="94" t="s">
        <v>14958</v>
      </c>
      <c r="B8510" s="82" t="str">
        <f ca="1">IFERROR(INDEX(UNSPSCDes,MATCH(INDIRECT(ADDRESS(ROW(),COLUMN()-1,4)),UNSPSCCode,0)),IF(INDIRECT(ADDRESS(ROW(),COLUMN()-1,4))="42192603","Tazas o botellas para administrar medicamentos o accesorios",""))</f>
        <v>Tazas o botellas para administrar medicamentos o accesorios</v>
      </c>
      <c r="C8510" s="95" t="str">
        <f>IFERROR(VLOOKUP("UD",'Informacion '!P:Q,2,FALSE),"")</f>
        <v>Unidad</v>
      </c>
      <c r="D8510" s="94">
        <v>1295</v>
      </c>
      <c r="E8510" s="84">
        <v>11.92</v>
      </c>
      <c r="F8510" s="83">
        <f t="shared" ca="1" si="327"/>
        <v>15436.4</v>
      </c>
    </row>
    <row r="8511" spans="1:6" ht="14.1" customHeight="1" x14ac:dyDescent="0.25">
      <c r="A8511" s="94" t="s">
        <v>16391</v>
      </c>
      <c r="B8511" s="82" t="str">
        <f ca="1">IFERROR(INDEX(UNSPSCDes,MATCH(INDIRECT(ADDRESS(ROW(),COLUMN()-1,4)),UNSPSCCode,0)),IF(INDIRECT(ADDRESS(ROW(),COLUMN()-1,4))="42142615","Accesorios para jeringas",""))</f>
        <v>Accesorios para jeringas</v>
      </c>
      <c r="C8511" s="95" t="str">
        <f>IFERROR(VLOOKUP("UD",'Informacion '!P:Q,2,FALSE),"")</f>
        <v>Unidad</v>
      </c>
      <c r="D8511" s="94">
        <v>197</v>
      </c>
      <c r="E8511" s="84">
        <v>1.88</v>
      </c>
      <c r="F8511" s="83">
        <f t="shared" ca="1" si="327"/>
        <v>370.35999999999996</v>
      </c>
    </row>
    <row r="8512" spans="1:6" ht="14.1" customHeight="1" x14ac:dyDescent="0.25">
      <c r="A8512" s="94" t="s">
        <v>3216</v>
      </c>
      <c r="B8512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8512" s="95" t="str">
        <f>IFERROR(VLOOKUP("UD",'Informacion '!P:Q,2,FALSE),"")</f>
        <v>Unidad</v>
      </c>
      <c r="D8512" s="94">
        <v>7</v>
      </c>
      <c r="E8512" s="84">
        <v>25860.77</v>
      </c>
      <c r="F8512" s="83">
        <f t="shared" ca="1" si="327"/>
        <v>181025.39</v>
      </c>
    </row>
    <row r="8513" spans="1:6" ht="14.1" customHeight="1" x14ac:dyDescent="0.25">
      <c r="A8513" s="94" t="s">
        <v>6481</v>
      </c>
      <c r="B8513" s="82" t="str">
        <f ca="1">IFERROR(INDEX(UNSPSCDes,MATCH(INDIRECT(ADDRESS(ROW(),COLUMN()-1,4)),UNSPSCCode,0)),IF(INDIRECT(ADDRESS(ROW(),COLUMN()-1,4))="42293603","Sondas para uso quirúrgico",""))</f>
        <v>Sondas para uso quirúrgico</v>
      </c>
      <c r="C8513" s="95" t="str">
        <f>IFERROR(VLOOKUP("UD",'Informacion '!P:Q,2,FALSE),"")</f>
        <v>Unidad</v>
      </c>
      <c r="D8513" s="94">
        <v>6</v>
      </c>
      <c r="E8513" s="84">
        <v>25.38</v>
      </c>
      <c r="F8513" s="83">
        <f t="shared" ca="1" si="327"/>
        <v>152.28</v>
      </c>
    </row>
    <row r="8514" spans="1:6" ht="14.1" customHeight="1" x14ac:dyDescent="0.25">
      <c r="A8514" s="94" t="s">
        <v>3782</v>
      </c>
      <c r="B8514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8514" s="95" t="str">
        <f>IFERROR(VLOOKUP("UD",'Informacion '!P:Q,2,FALSE),"")</f>
        <v>Unidad</v>
      </c>
      <c r="D8514" s="94">
        <v>29</v>
      </c>
      <c r="E8514" s="84">
        <v>426.62</v>
      </c>
      <c r="F8514" s="83">
        <f t="shared" ca="1" si="327"/>
        <v>12371.98</v>
      </c>
    </row>
    <row r="8515" spans="1:6" ht="14.1" customHeight="1" x14ac:dyDescent="0.25">
      <c r="A8515" s="94" t="s">
        <v>16391</v>
      </c>
      <c r="B8515" s="82" t="str">
        <f ca="1">IFERROR(INDEX(UNSPSCDes,MATCH(INDIRECT(ADDRESS(ROW(),COLUMN()-1,4)),UNSPSCCode,0)),IF(INDIRECT(ADDRESS(ROW(),COLUMN()-1,4))="42142615","Accesorios para jeringas",""))</f>
        <v>Accesorios para jeringas</v>
      </c>
      <c r="C8515" s="95" t="str">
        <f>IFERROR(VLOOKUP("UD",'Informacion '!P:Q,2,FALSE),"")</f>
        <v>Unidad</v>
      </c>
      <c r="D8515" s="94">
        <v>25</v>
      </c>
      <c r="E8515" s="84">
        <v>5.31</v>
      </c>
      <c r="F8515" s="83">
        <f t="shared" ca="1" si="327"/>
        <v>132.75</v>
      </c>
    </row>
    <row r="8516" spans="1:6" ht="14.1" customHeight="1" x14ac:dyDescent="0.25">
      <c r="A8516" s="94" t="s">
        <v>16391</v>
      </c>
      <c r="B8516" s="82" t="str">
        <f ca="1">IFERROR(INDEX(UNSPSCDes,MATCH(INDIRECT(ADDRESS(ROW(),COLUMN()-1,4)),UNSPSCCode,0)),IF(INDIRECT(ADDRESS(ROW(),COLUMN()-1,4))="42142615","Accesorios para jeringas",""))</f>
        <v>Accesorios para jeringas</v>
      </c>
      <c r="C8516" s="95" t="str">
        <f>IFERROR(VLOOKUP("UD",'Informacion '!P:Q,2,FALSE),"")</f>
        <v>Unidad</v>
      </c>
      <c r="D8516" s="94">
        <v>1134</v>
      </c>
      <c r="E8516" s="84">
        <v>2.12</v>
      </c>
      <c r="F8516" s="83">
        <f t="shared" ca="1" si="327"/>
        <v>2404.08</v>
      </c>
    </row>
    <row r="8517" spans="1:6" ht="14.1" customHeight="1" x14ac:dyDescent="0.25">
      <c r="A8517" s="94" t="s">
        <v>6481</v>
      </c>
      <c r="B8517" s="82" t="str">
        <f ca="1">IFERROR(INDEX(UNSPSCDes,MATCH(INDIRECT(ADDRESS(ROW(),COLUMN()-1,4)),UNSPSCCode,0)),IF(INDIRECT(ADDRESS(ROW(),COLUMN()-1,4))="42293603","Sondas para uso quirúrgico",""))</f>
        <v>Sondas para uso quirúrgico</v>
      </c>
      <c r="C8517" s="95" t="str">
        <f>IFERROR(VLOOKUP("UD",'Informacion '!P:Q,2,FALSE),"")</f>
        <v>Unidad</v>
      </c>
      <c r="D8517" s="94">
        <v>13</v>
      </c>
      <c r="E8517" s="84">
        <v>30.68</v>
      </c>
      <c r="F8517" s="83">
        <f t="shared" ca="1" si="327"/>
        <v>398.84</v>
      </c>
    </row>
    <row r="8518" spans="1:6" ht="14.1" customHeight="1" x14ac:dyDescent="0.25">
      <c r="A8518" s="94" t="s">
        <v>14138</v>
      </c>
      <c r="B851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518" s="95" t="str">
        <f>IFERROR(VLOOKUP("UD",'Informacion '!P:Q,2,FALSE),"")</f>
        <v>Unidad</v>
      </c>
      <c r="D8518" s="94">
        <v>4</v>
      </c>
      <c r="E8518" s="84">
        <v>9.15</v>
      </c>
      <c r="F8518" s="83">
        <f t="shared" ca="1" si="327"/>
        <v>36.6</v>
      </c>
    </row>
    <row r="8519" spans="1:6" ht="14.1" customHeight="1" x14ac:dyDescent="0.25">
      <c r="A8519" s="94" t="s">
        <v>2726</v>
      </c>
      <c r="B8519" s="82" t="str">
        <f ca="1">IFERROR(INDEX(UNSPSCDes,MATCH(INDIRECT(ADDRESS(ROW(),COLUMN()-1,4)),UNSPSCCode,0)),IF(INDIRECT(ADDRESS(ROW(),COLUMN()-1,4))="24112602","Frascos",""))</f>
        <v>Frascos</v>
      </c>
      <c r="C8519" s="95" t="str">
        <f>IFERROR(VLOOKUP("UD",'Informacion '!P:Q,2,FALSE),"")</f>
        <v>Unidad</v>
      </c>
      <c r="D8519" s="94">
        <v>21</v>
      </c>
      <c r="E8519" s="84">
        <v>96.16</v>
      </c>
      <c r="F8519" s="83">
        <f t="shared" ca="1" si="327"/>
        <v>2019.36</v>
      </c>
    </row>
    <row r="8520" spans="1:6" ht="14.1" customHeight="1" x14ac:dyDescent="0.25">
      <c r="A8520" s="94" t="s">
        <v>7820</v>
      </c>
      <c r="B8520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520" s="95" t="str">
        <f>IFERROR(VLOOKUP("UD",'Informacion '!P:Q,2,FALSE),"")</f>
        <v>Unidad</v>
      </c>
      <c r="D8520" s="94">
        <v>8</v>
      </c>
      <c r="E8520" s="84">
        <v>95</v>
      </c>
      <c r="F8520" s="83">
        <f t="shared" ca="1" si="327"/>
        <v>760</v>
      </c>
    </row>
    <row r="8521" spans="1:6" ht="14.1" customHeight="1" x14ac:dyDescent="0.25">
      <c r="A8521" s="94" t="s">
        <v>6729</v>
      </c>
      <c r="B8521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521" s="95" t="str">
        <f>IFERROR(VLOOKUP("UD",'Informacion '!P:Q,2,FALSE),"")</f>
        <v>Unidad</v>
      </c>
      <c r="D8521" s="94">
        <v>9</v>
      </c>
      <c r="E8521" s="84">
        <v>253.28</v>
      </c>
      <c r="F8521" s="83">
        <f t="shared" ca="1" si="327"/>
        <v>2279.52</v>
      </c>
    </row>
    <row r="8522" spans="1:6" ht="14.1" customHeight="1" x14ac:dyDescent="0.25">
      <c r="A8522" s="94" t="s">
        <v>6729</v>
      </c>
      <c r="B8522" s="82" t="str">
        <f ca="1">IFERROR(INDEX(UNSPSCDes,MATCH(INDIRECT(ADDRESS(ROW(),COLUMN()-1,4)),UNSPSCCode,0)),IF(INDIRECT(ADDRESS(ROW(),COLUMN()-1,4))="42141601","Kits de admisión para el cuidado del paciente",""))</f>
        <v>Kits de admisión para el cuidado del paciente</v>
      </c>
      <c r="C8522" s="95" t="str">
        <f>IFERROR(VLOOKUP("UD",'Informacion '!P:Q,2,FALSE),"")</f>
        <v>Unidad</v>
      </c>
      <c r="D8522" s="94">
        <v>5</v>
      </c>
      <c r="E8522" s="84">
        <v>252.8</v>
      </c>
      <c r="F8522" s="83">
        <f t="shared" ca="1" si="327"/>
        <v>1264</v>
      </c>
    </row>
    <row r="8523" spans="1:6" ht="14.1" customHeight="1" x14ac:dyDescent="0.25">
      <c r="A8523" s="94" t="s">
        <v>6481</v>
      </c>
      <c r="B8523" s="82" t="str">
        <f ca="1">IFERROR(INDEX(UNSPSCDes,MATCH(INDIRECT(ADDRESS(ROW(),COLUMN()-1,4)),UNSPSCCode,0)),IF(INDIRECT(ADDRESS(ROW(),COLUMN()-1,4))="42293603","Sondas para uso quirúrgico",""))</f>
        <v>Sondas para uso quirúrgico</v>
      </c>
      <c r="C8523" s="95" t="str">
        <f>IFERROR(VLOOKUP("UD",'Informacion '!P:Q,2,FALSE),"")</f>
        <v>Unidad</v>
      </c>
      <c r="D8523" s="94">
        <v>4</v>
      </c>
      <c r="E8523" s="84">
        <v>21.77</v>
      </c>
      <c r="F8523" s="83">
        <f t="shared" ca="1" si="327"/>
        <v>87.08</v>
      </c>
    </row>
    <row r="8524" spans="1:6" ht="14.1" customHeight="1" x14ac:dyDescent="0.25">
      <c r="A8524" s="94" t="s">
        <v>12909</v>
      </c>
      <c r="B8524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524" s="95" t="str">
        <f>IFERROR(VLOOKUP("UD",'Informacion '!P:Q,2,FALSE),"")</f>
        <v>Unidad</v>
      </c>
      <c r="D8524" s="94">
        <v>5</v>
      </c>
      <c r="E8524" s="84">
        <v>99.33</v>
      </c>
      <c r="F8524" s="83">
        <f t="shared" ca="1" si="327"/>
        <v>496.65</v>
      </c>
    </row>
    <row r="8525" spans="1:6" ht="14.1" customHeight="1" x14ac:dyDescent="0.25">
      <c r="A8525" s="94" t="s">
        <v>6266</v>
      </c>
      <c r="B8525" s="82" t="str">
        <f ca="1">IFERROR(INDEX(UNSPSCDes,MATCH(INDIRECT(ADDRESS(ROW(),COLUMN()-1,4)),UNSPSCCode,0)),IF(INDIRECT(ADDRESS(ROW(),COLUMN()-1,4))="30151701","Boquillas de bajantes",""))</f>
        <v>Boquillas de bajantes</v>
      </c>
      <c r="C8525" s="95" t="str">
        <f>IFERROR(VLOOKUP("UD",'Informacion '!P:Q,2,FALSE),"")</f>
        <v>Unidad</v>
      </c>
      <c r="D8525" s="94">
        <v>1996</v>
      </c>
      <c r="E8525" s="84">
        <v>7.76</v>
      </c>
      <c r="F8525" s="83">
        <f t="shared" ca="1" si="327"/>
        <v>15488.96</v>
      </c>
    </row>
    <row r="8526" spans="1:6" ht="14.1" customHeight="1" x14ac:dyDescent="0.25">
      <c r="A8526" s="94" t="s">
        <v>6481</v>
      </c>
      <c r="B8526" s="82" t="str">
        <f ca="1">IFERROR(INDEX(UNSPSCDes,MATCH(INDIRECT(ADDRESS(ROW(),COLUMN()-1,4)),UNSPSCCode,0)),IF(INDIRECT(ADDRESS(ROW(),COLUMN()-1,4))="42293603","Sondas para uso quirúrgico",""))</f>
        <v>Sondas para uso quirúrgico</v>
      </c>
      <c r="C8526" s="95" t="str">
        <f>IFERROR(VLOOKUP("UD",'Informacion '!P:Q,2,FALSE),"")</f>
        <v>Unidad</v>
      </c>
      <c r="D8526" s="94">
        <v>5</v>
      </c>
      <c r="E8526" s="84">
        <v>17.34</v>
      </c>
      <c r="F8526" s="83">
        <f t="shared" ca="1" si="327"/>
        <v>86.7</v>
      </c>
    </row>
    <row r="8527" spans="1:6" ht="14.1" customHeight="1" x14ac:dyDescent="0.25">
      <c r="A8527" s="94" t="s">
        <v>16002</v>
      </c>
      <c r="B8527" s="82" t="str">
        <f ca="1">IFERROR(INDEX(UNSPSCDes,MATCH(INDIRECT(ADDRESS(ROW(),COLUMN()-1,4)),UNSPSCCode,0)),IF(INDIRECT(ADDRESS(ROW(),COLUMN()-1,4))="46181810","Lavadores de ojos o estaciones para lavado de ojos",""))</f>
        <v>Lavadores de ojos o estaciones para lavado de ojos</v>
      </c>
      <c r="C8527" s="95" t="str">
        <f>IFERROR(VLOOKUP("UD",'Informacion '!P:Q,2,FALSE),"")</f>
        <v>Unidad</v>
      </c>
      <c r="D8527" s="94">
        <v>4</v>
      </c>
      <c r="E8527" s="84">
        <v>231.8</v>
      </c>
      <c r="F8527" s="83">
        <f t="shared" ca="1" si="327"/>
        <v>927.2</v>
      </c>
    </row>
    <row r="8528" spans="1:6" ht="14.1" customHeight="1" x14ac:dyDescent="0.25">
      <c r="A8528" s="94" t="s">
        <v>11071</v>
      </c>
      <c r="B8528" s="82" t="str">
        <f ca="1">IFERROR(INDEX(UNSPSCDes,MATCH(INDIRECT(ADDRESS(ROW(),COLUMN()-1,4)),UNSPSCCode,0)),IF(INDIRECT(ADDRESS(ROW(),COLUMN()-1,4))="42142523","Agujas hipodérmicas",""))</f>
        <v>Agujas hipodérmicas</v>
      </c>
      <c r="C8528" s="95" t="str">
        <f>IFERROR(VLOOKUP("UD",'Informacion '!P:Q,2,FALSE),"")</f>
        <v>Unidad</v>
      </c>
      <c r="D8528" s="94">
        <v>24</v>
      </c>
      <c r="E8528" s="84">
        <v>1.06</v>
      </c>
      <c r="F8528" s="83">
        <f t="shared" ca="1" si="327"/>
        <v>25.44</v>
      </c>
    </row>
    <row r="8529" spans="1:10" ht="14.1" customHeight="1" x14ac:dyDescent="0.25">
      <c r="A8529" s="94" t="s">
        <v>14138</v>
      </c>
      <c r="B8529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529" s="95" t="str">
        <f>IFERROR(VLOOKUP("UD",'Informacion '!P:Q,2,FALSE),"")</f>
        <v>Unidad</v>
      </c>
      <c r="D8529" s="94">
        <v>5</v>
      </c>
      <c r="E8529" s="84">
        <v>55.05</v>
      </c>
      <c r="F8529" s="83">
        <f t="shared" ca="1" si="327"/>
        <v>275.25</v>
      </c>
    </row>
    <row r="8530" spans="1:10" ht="14.1" customHeight="1" x14ac:dyDescent="0.25">
      <c r="A8530" s="94" t="s">
        <v>16197</v>
      </c>
      <c r="B8530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8530" s="95" t="str">
        <f>IFERROR(VLOOKUP("UD",'Informacion '!P:Q,2,FALSE),"")</f>
        <v>Unidad</v>
      </c>
      <c r="D8530" s="94">
        <v>4</v>
      </c>
      <c r="E8530" s="84">
        <v>6088.51</v>
      </c>
      <c r="F8530" s="83">
        <f t="shared" ca="1" si="327"/>
        <v>24354.04</v>
      </c>
    </row>
    <row r="8531" spans="1:10" ht="14.1" customHeight="1" x14ac:dyDescent="0.25">
      <c r="A8531" s="94" t="s">
        <v>435</v>
      </c>
      <c r="B853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531" s="95" t="str">
        <f>IFERROR(VLOOKUP("UD",'Informacion '!P:Q,2,FALSE),"")</f>
        <v>Unidad</v>
      </c>
      <c r="D8531" s="94">
        <v>10</v>
      </c>
      <c r="E8531" s="84">
        <v>1106.25</v>
      </c>
      <c r="F8531" s="83">
        <f t="shared" ca="1" si="327"/>
        <v>11062.5</v>
      </c>
    </row>
    <row r="8532" spans="1:10" ht="14.1" customHeight="1" x14ac:dyDescent="0.25">
      <c r="A8532" s="94" t="s">
        <v>14286</v>
      </c>
      <c r="B8532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532" s="95" t="str">
        <f>IFERROR(VLOOKUP("UD",'Informacion '!P:Q,2,FALSE),"")</f>
        <v>Unidad</v>
      </c>
      <c r="D8532" s="94">
        <v>4</v>
      </c>
      <c r="E8532" s="84">
        <v>264.77</v>
      </c>
      <c r="F8532" s="83">
        <f t="shared" ca="1" si="327"/>
        <v>1059.08</v>
      </c>
    </row>
    <row r="8533" spans="1:10" ht="14.1" customHeight="1" x14ac:dyDescent="0.25">
      <c r="A8533" s="94" t="s">
        <v>7589</v>
      </c>
      <c r="B8533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533" s="95" t="str">
        <f>IFERROR(VLOOKUP("UD",'Informacion '!P:Q,2,FALSE),"")</f>
        <v>Unidad</v>
      </c>
      <c r="D8533" s="94">
        <v>26</v>
      </c>
      <c r="E8533" s="84">
        <v>630.84</v>
      </c>
      <c r="F8533" s="83">
        <f t="shared" ca="1" si="327"/>
        <v>16401.84</v>
      </c>
    </row>
    <row r="8534" spans="1:10" ht="14.1" customHeight="1" x14ac:dyDescent="0.25">
      <c r="A8534" s="94" t="s">
        <v>1865</v>
      </c>
      <c r="B8534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8534" s="95" t="str">
        <f>IFERROR(VLOOKUP("UD",'Informacion '!P:Q,2,FALSE),"")</f>
        <v>Unidad</v>
      </c>
      <c r="D8534" s="94">
        <v>111</v>
      </c>
      <c r="E8534" s="84">
        <v>15.34</v>
      </c>
      <c r="F8534" s="83">
        <f t="shared" ca="1" si="327"/>
        <v>1702.74</v>
      </c>
    </row>
    <row r="8535" spans="1:10" ht="14.1" customHeight="1" x14ac:dyDescent="0.25">
      <c r="A8535" s="94" t="s">
        <v>16391</v>
      </c>
      <c r="B8535" s="82" t="str">
        <f ca="1">IFERROR(INDEX(UNSPSCDes,MATCH(INDIRECT(ADDRESS(ROW(),COLUMN()-1,4)),UNSPSCCode,0)),IF(INDIRECT(ADDRESS(ROW(),COLUMN()-1,4))="42142615","Accesorios para jeringas",""))</f>
        <v>Accesorios para jeringas</v>
      </c>
      <c r="C8535" s="95" t="str">
        <f>IFERROR(VLOOKUP("UD",'Informacion '!P:Q,2,FALSE),"")</f>
        <v>Unidad</v>
      </c>
      <c r="D8535" s="94">
        <v>171</v>
      </c>
      <c r="E8535" s="84">
        <v>3.54</v>
      </c>
      <c r="F8535" s="83">
        <f t="shared" ca="1" si="327"/>
        <v>605.34</v>
      </c>
    </row>
    <row r="8536" spans="1:10" ht="14.1" customHeight="1" x14ac:dyDescent="0.25">
      <c r="A8536" s="94" t="s">
        <v>19401</v>
      </c>
      <c r="B8536" s="82" t="str">
        <f ca="1">IFERROR(INDEX(UNSPSCDes,MATCH(INDIRECT(ADDRESS(ROW(),COLUMN()-1,4)),UNSPSCCode,0)),IF(INDIRECT(ADDRESS(ROW(),COLUMN()-1,4))="42312311","Kits de desinfectantes",""))</f>
        <v>Kits de desinfectantes</v>
      </c>
      <c r="C8536" s="95" t="str">
        <f>IFERROR(VLOOKUP("UD",'Informacion '!P:Q,2,FALSE),"")</f>
        <v>Unidad</v>
      </c>
      <c r="D8536" s="94">
        <v>24</v>
      </c>
      <c r="E8536" s="84">
        <v>701.91</v>
      </c>
      <c r="F8536" s="83">
        <f t="shared" ca="1" si="327"/>
        <v>16845.84</v>
      </c>
    </row>
    <row r="8537" spans="1:10" ht="14.1" customHeight="1" x14ac:dyDescent="0.25">
      <c r="A8537" s="94" t="s">
        <v>6481</v>
      </c>
      <c r="B8537" s="82" t="str">
        <f ca="1">IFERROR(INDEX(UNSPSCDes,MATCH(INDIRECT(ADDRESS(ROW(),COLUMN()-1,4)),UNSPSCCode,0)),IF(INDIRECT(ADDRESS(ROW(),COLUMN()-1,4))="42293603","Sondas para uso quirúrgico",""))</f>
        <v>Sondas para uso quirúrgico</v>
      </c>
      <c r="C8537" s="95" t="str">
        <f>IFERROR(VLOOKUP("UD",'Informacion '!P:Q,2,FALSE),"")</f>
        <v>Unidad</v>
      </c>
      <c r="D8537" s="94">
        <v>124</v>
      </c>
      <c r="E8537" s="84">
        <v>27.1</v>
      </c>
      <c r="F8537" s="83">
        <f t="shared" ca="1" si="327"/>
        <v>3360.4</v>
      </c>
    </row>
    <row r="8538" spans="1:10" ht="14.1" customHeight="1" x14ac:dyDescent="0.25">
      <c r="A8538" s="94" t="s">
        <v>7820</v>
      </c>
      <c r="B853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538" s="95" t="str">
        <f>IFERROR(VLOOKUP("UD",'Informacion '!P:Q,2,FALSE),"")</f>
        <v>Unidad</v>
      </c>
      <c r="D8538" s="94">
        <v>122</v>
      </c>
      <c r="E8538" s="84">
        <v>100.89</v>
      </c>
      <c r="F8538" s="83">
        <f t="shared" ca="1" si="327"/>
        <v>12308.58</v>
      </c>
    </row>
    <row r="8539" spans="1:10" ht="14.1" customHeight="1" x14ac:dyDescent="0.25">
      <c r="A8539" s="94" t="s">
        <v>16391</v>
      </c>
      <c r="B8539" s="82" t="str">
        <f ca="1">IFERROR(INDEX(UNSPSCDes,MATCH(INDIRECT(ADDRESS(ROW(),COLUMN()-1,4)),UNSPSCCode,0)),IF(INDIRECT(ADDRESS(ROW(),COLUMN()-1,4))="42142615","Accesorios para jeringas",""))</f>
        <v>Accesorios para jeringas</v>
      </c>
      <c r="C8539" s="95" t="str">
        <f>IFERROR(VLOOKUP("UD",'Informacion '!P:Q,2,FALSE),"")</f>
        <v>Unidad</v>
      </c>
      <c r="D8539" s="94">
        <v>46</v>
      </c>
      <c r="E8539" s="84">
        <v>17.11</v>
      </c>
      <c r="F8539" s="83">
        <f t="shared" ca="1" si="327"/>
        <v>787.06</v>
      </c>
    </row>
    <row r="8540" spans="1:10" ht="14.1" customHeight="1" x14ac:dyDescent="0.25">
      <c r="A8540" s="94" t="s">
        <v>12107</v>
      </c>
      <c r="B8540" s="82" t="str">
        <f ca="1">IFERROR(INDEX(UNSPSCDes,MATCH(INDIRECT(ADDRESS(ROW(),COLUMN()-1,4)),UNSPSCCode,0)),IF(INDIRECT(ADDRESS(ROW(),COLUMN()-1,4))="27112105","Pinzas",""))</f>
        <v>Pinzas</v>
      </c>
      <c r="C8540" s="95" t="str">
        <f>IFERROR(VLOOKUP("UD",'Informacion '!P:Q,2,FALSE),"")</f>
        <v>Unidad</v>
      </c>
      <c r="D8540" s="94">
        <v>4</v>
      </c>
      <c r="E8540" s="84">
        <v>1888</v>
      </c>
      <c r="F8540" s="83">
        <f t="shared" ca="1" si="327"/>
        <v>7552</v>
      </c>
    </row>
    <row r="8541" spans="1:10" ht="14.1" customHeight="1" x14ac:dyDescent="0.25">
      <c r="A8541" s="94" t="s">
        <v>8223</v>
      </c>
      <c r="B8541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8541" s="95" t="str">
        <f>IFERROR(VLOOKUP("UD",'Informacion '!P:Q,2,FALSE),"")</f>
        <v>Unidad</v>
      </c>
      <c r="D8541" s="94">
        <v>42469</v>
      </c>
      <c r="E8541" s="84">
        <v>0.16</v>
      </c>
      <c r="F8541" s="83">
        <f t="shared" ca="1" si="327"/>
        <v>6795.04</v>
      </c>
    </row>
    <row r="8542" spans="1:10" ht="14.1" customHeight="1" x14ac:dyDescent="0.25">
      <c r="A8542" s="94" t="s">
        <v>7589</v>
      </c>
      <c r="B8542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542" s="95" t="str">
        <f>IFERROR(VLOOKUP("UD",'Informacion '!P:Q,2,FALSE),"")</f>
        <v>Unidad</v>
      </c>
      <c r="D8542" s="94">
        <v>4</v>
      </c>
      <c r="E8542" s="84">
        <v>802.4</v>
      </c>
      <c r="F8542" s="83">
        <f t="shared" ca="1" si="327"/>
        <v>3209.6</v>
      </c>
    </row>
    <row r="8543" spans="1:10" ht="14.1" customHeight="1" x14ac:dyDescent="0.25">
      <c r="E8543" s="96" t="s">
        <v>7213</v>
      </c>
      <c r="F8543" s="87">
        <f ca="1">SUM(Table219[MONTO TOTAL ESTIMADO])</f>
        <v>588302.49000000011</v>
      </c>
      <c r="H8543" s="39" t="str">
        <f>C8489</f>
        <v>Bienes</v>
      </c>
      <c r="I8543" s="39" t="str">
        <f>E8489</f>
        <v>No</v>
      </c>
      <c r="J8543" s="39" t="str">
        <f>D8489</f>
        <v>Compras Menores</v>
      </c>
    </row>
    <row r="8545" spans="1:6" ht="33.950000000000003" customHeight="1" x14ac:dyDescent="0.25">
      <c r="A8545" s="77" t="s">
        <v>17233</v>
      </c>
      <c r="B8545" s="77" t="s">
        <v>4237</v>
      </c>
      <c r="C8545" s="77" t="s">
        <v>4743</v>
      </c>
      <c r="D8545" s="77" t="s">
        <v>9891</v>
      </c>
      <c r="E8545" s="77" t="s">
        <v>3089</v>
      </c>
      <c r="F8545" s="77" t="s">
        <v>18141</v>
      </c>
    </row>
    <row r="8546" spans="1:6" ht="14.1" customHeight="1" x14ac:dyDescent="0.25">
      <c r="A8546" s="79" t="s">
        <v>17670</v>
      </c>
      <c r="B8546" s="79" t="s">
        <v>2182</v>
      </c>
      <c r="C8546" s="79" t="s">
        <v>17215</v>
      </c>
      <c r="D8546" s="79" t="s">
        <v>17798</v>
      </c>
      <c r="E8546" s="79" t="s">
        <v>18247</v>
      </c>
      <c r="F8546" s="79"/>
    </row>
    <row r="8547" spans="1:6" ht="14.1" customHeight="1" x14ac:dyDescent="0.25">
      <c r="A8547" s="2" t="s">
        <v>6643</v>
      </c>
      <c r="B8547" s="80" t="s">
        <v>1046</v>
      </c>
      <c r="C8547" s="90">
        <v>43489</v>
      </c>
      <c r="D8547" s="2" t="s">
        <v>59</v>
      </c>
      <c r="E8547" s="92" t="s">
        <v>20066</v>
      </c>
      <c r="F8547" s="93" t="s">
        <v>5684</v>
      </c>
    </row>
    <row r="8548" spans="1:6" ht="14.1" customHeight="1" x14ac:dyDescent="0.25">
      <c r="A8548" s="1"/>
      <c r="B8548" s="80" t="s">
        <v>10788</v>
      </c>
      <c r="C8548" s="91">
        <f>IF(C8547="","",IF(AND(MONTH(C8547)&gt;=1,MONTH(C8547)&lt;=3),1,IF(AND(MONTH(C8547)&gt;=4,MONTH(C8547)&lt;=6),2,IF(AND(MONTH(C8547)&gt;=7,MONTH(C8547)&lt;=9),3,4))))</f>
        <v>1</v>
      </c>
      <c r="D8548" s="1"/>
      <c r="E8548" s="92" t="s">
        <v>14822</v>
      </c>
      <c r="F8548" s="93"/>
    </row>
    <row r="8549" spans="1:6" ht="14.1" customHeight="1" x14ac:dyDescent="0.25">
      <c r="A8549" s="1"/>
      <c r="B8549" s="80" t="s">
        <v>13758</v>
      </c>
      <c r="C8549" s="90">
        <v>43555</v>
      </c>
      <c r="D8549" s="1"/>
      <c r="E8549" s="92" t="s">
        <v>18636</v>
      </c>
      <c r="F8549" s="93"/>
    </row>
    <row r="8550" spans="1:6" ht="14.1" customHeight="1" x14ac:dyDescent="0.25">
      <c r="A8550" s="1"/>
      <c r="B8550" s="80" t="s">
        <v>10788</v>
      </c>
      <c r="C8550" s="91">
        <f>IF(C8549="","",IF(AND(MONTH(C8549)&gt;=1,MONTH(C8549)&lt;=3),1,IF(AND(MONTH(C8549)&gt;=4,MONTH(C8549)&lt;=6),2,IF(AND(MONTH(C8549)&gt;=7,MONTH(C8549)&lt;=9),3,4))))</f>
        <v>1</v>
      </c>
      <c r="D8550" s="1"/>
      <c r="E8550" s="92" t="s">
        <v>15990</v>
      </c>
      <c r="F8550" s="93"/>
    </row>
    <row r="8552" spans="1:6" ht="14.1" customHeight="1" x14ac:dyDescent="0.25">
      <c r="A8552" s="85" t="s">
        <v>15474</v>
      </c>
      <c r="B8552" s="85" t="s">
        <v>5027</v>
      </c>
      <c r="C8552" s="85" t="s">
        <v>17461</v>
      </c>
      <c r="D8552" s="85" t="s">
        <v>3935</v>
      </c>
      <c r="E8552" s="85" t="s">
        <v>10722</v>
      </c>
      <c r="F8552" s="85" t="s">
        <v>18237</v>
      </c>
    </row>
    <row r="8553" spans="1:6" ht="14.1" customHeight="1" x14ac:dyDescent="0.25">
      <c r="A8553" s="94" t="s">
        <v>5138</v>
      </c>
      <c r="B8553" s="82" t="str">
        <f t="shared" ref="B8553:B8562" ca="1" si="328">IFERROR(INDEX(UNSPSCDes,MATCH(INDIRECT(ADDRESS(ROW(),COLUMN()-1,4)),UNSPSCCode,0)),IF(INDIRECT(ADDRESS(ROW(),COLUMN()-1,4))="41103801","Mezcladores de laboratorio",""))</f>
        <v>Mezcladores de laboratorio</v>
      </c>
      <c r="C8553" s="95" t="str">
        <f>IFERROR(VLOOKUP("UD",'Informacion '!P:Q,2,FALSE),"")</f>
        <v>Unidad</v>
      </c>
      <c r="D8553" s="94">
        <v>1</v>
      </c>
      <c r="E8553" s="84">
        <v>2570.4</v>
      </c>
      <c r="F8553" s="83">
        <f t="shared" ref="F8553:F8584" ca="1" si="329">INDIRECT(ADDRESS(ROW(),COLUMN()-2,4))*INDIRECT(ADDRESS(ROW(),COLUMN()-1,4))</f>
        <v>2570.4</v>
      </c>
    </row>
    <row r="8554" spans="1:6" ht="14.1" customHeight="1" x14ac:dyDescent="0.25">
      <c r="A8554" s="94" t="s">
        <v>5138</v>
      </c>
      <c r="B8554" s="82" t="str">
        <f t="shared" ca="1" si="328"/>
        <v>Mezcladores de laboratorio</v>
      </c>
      <c r="C8554" s="95" t="str">
        <f>IFERROR(VLOOKUP("UD",'Informacion '!P:Q,2,FALSE),"")</f>
        <v>Unidad</v>
      </c>
      <c r="D8554" s="94">
        <v>2</v>
      </c>
      <c r="E8554" s="84">
        <v>825.62</v>
      </c>
      <c r="F8554" s="83">
        <f t="shared" ca="1" si="329"/>
        <v>1651.24</v>
      </c>
    </row>
    <row r="8555" spans="1:6" ht="14.1" customHeight="1" x14ac:dyDescent="0.25">
      <c r="A8555" s="94" t="s">
        <v>5138</v>
      </c>
      <c r="B8555" s="82" t="str">
        <f t="shared" ca="1" si="328"/>
        <v>Mezcladores de laboratorio</v>
      </c>
      <c r="C8555" s="95" t="str">
        <f>IFERROR(VLOOKUP("UD",'Informacion '!P:Q,2,FALSE),"")</f>
        <v>Unidad</v>
      </c>
      <c r="D8555" s="94">
        <v>1</v>
      </c>
      <c r="E8555" s="84">
        <v>4894.72</v>
      </c>
      <c r="F8555" s="83">
        <f t="shared" ca="1" si="329"/>
        <v>4894.72</v>
      </c>
    </row>
    <row r="8556" spans="1:6" ht="14.1" customHeight="1" x14ac:dyDescent="0.25">
      <c r="A8556" s="94" t="s">
        <v>5138</v>
      </c>
      <c r="B8556" s="82" t="str">
        <f t="shared" ca="1" si="328"/>
        <v>Mezcladores de laboratorio</v>
      </c>
      <c r="C8556" s="95" t="str">
        <f>IFERROR(VLOOKUP("UD",'Informacion '!P:Q,2,FALSE),"")</f>
        <v>Unidad</v>
      </c>
      <c r="D8556" s="94">
        <v>7</v>
      </c>
      <c r="E8556" s="84">
        <v>1987.84</v>
      </c>
      <c r="F8556" s="83">
        <f t="shared" ca="1" si="329"/>
        <v>13914.88</v>
      </c>
    </row>
    <row r="8557" spans="1:6" ht="14.1" customHeight="1" x14ac:dyDescent="0.25">
      <c r="A8557" s="94" t="s">
        <v>5138</v>
      </c>
      <c r="B8557" s="82" t="str">
        <f t="shared" ca="1" si="328"/>
        <v>Mezcladores de laboratorio</v>
      </c>
      <c r="C8557" s="95" t="str">
        <f>IFERROR(VLOOKUP("UD",'Informacion '!P:Q,2,FALSE),"")</f>
        <v>Unidad</v>
      </c>
      <c r="D8557" s="94">
        <v>5</v>
      </c>
      <c r="E8557" s="84">
        <v>4021.74</v>
      </c>
      <c r="F8557" s="83">
        <f t="shared" ca="1" si="329"/>
        <v>20108.699999999997</v>
      </c>
    </row>
    <row r="8558" spans="1:6" ht="14.1" customHeight="1" x14ac:dyDescent="0.25">
      <c r="A8558" s="94" t="s">
        <v>5138</v>
      </c>
      <c r="B8558" s="82" t="str">
        <f t="shared" ca="1" si="328"/>
        <v>Mezcladores de laboratorio</v>
      </c>
      <c r="C8558" s="95" t="str">
        <f>IFERROR(VLOOKUP("UD",'Informacion '!P:Q,2,FALSE),"")</f>
        <v>Unidad</v>
      </c>
      <c r="D8558" s="94">
        <v>2</v>
      </c>
      <c r="E8558" s="84">
        <v>9962.94</v>
      </c>
      <c r="F8558" s="83">
        <f t="shared" ca="1" si="329"/>
        <v>19925.88</v>
      </c>
    </row>
    <row r="8559" spans="1:6" ht="14.1" customHeight="1" x14ac:dyDescent="0.25">
      <c r="A8559" s="94" t="s">
        <v>5138</v>
      </c>
      <c r="B8559" s="82" t="str">
        <f t="shared" ca="1" si="328"/>
        <v>Mezcladores de laboratorio</v>
      </c>
      <c r="C8559" s="95" t="str">
        <f>IFERROR(VLOOKUP("UD",'Informacion '!P:Q,2,FALSE),"")</f>
        <v>Unidad</v>
      </c>
      <c r="D8559" s="94">
        <v>20</v>
      </c>
      <c r="E8559" s="84">
        <v>5585.61</v>
      </c>
      <c r="F8559" s="83">
        <f t="shared" ca="1" si="329"/>
        <v>111712.2</v>
      </c>
    </row>
    <row r="8560" spans="1:6" ht="14.1" customHeight="1" x14ac:dyDescent="0.25">
      <c r="A8560" s="94" t="s">
        <v>5138</v>
      </c>
      <c r="B8560" s="82" t="str">
        <f t="shared" ca="1" si="328"/>
        <v>Mezcladores de laboratorio</v>
      </c>
      <c r="C8560" s="95" t="str">
        <f>IFERROR(VLOOKUP("UD",'Informacion '!P:Q,2,FALSE),"")</f>
        <v>Unidad</v>
      </c>
      <c r="D8560" s="94">
        <v>2</v>
      </c>
      <c r="E8560" s="84">
        <v>4866.29</v>
      </c>
      <c r="F8560" s="83">
        <f t="shared" ca="1" si="329"/>
        <v>9732.58</v>
      </c>
    </row>
    <row r="8561" spans="1:6" ht="14.1" customHeight="1" x14ac:dyDescent="0.25">
      <c r="A8561" s="94" t="s">
        <v>5138</v>
      </c>
      <c r="B8561" s="82" t="str">
        <f t="shared" ca="1" si="328"/>
        <v>Mezcladores de laboratorio</v>
      </c>
      <c r="C8561" s="95" t="str">
        <f>IFERROR(VLOOKUP("UD",'Informacion '!P:Q,2,FALSE),"")</f>
        <v>Unidad</v>
      </c>
      <c r="D8561" s="94">
        <v>230</v>
      </c>
      <c r="E8561" s="84">
        <v>14.42</v>
      </c>
      <c r="F8561" s="83">
        <f t="shared" ca="1" si="329"/>
        <v>3316.6</v>
      </c>
    </row>
    <row r="8562" spans="1:6" ht="14.1" customHeight="1" x14ac:dyDescent="0.25">
      <c r="A8562" s="94" t="s">
        <v>5138</v>
      </c>
      <c r="B8562" s="82" t="str">
        <f t="shared" ca="1" si="328"/>
        <v>Mezcladores de laboratorio</v>
      </c>
      <c r="C8562" s="95" t="str">
        <f>IFERROR(VLOOKUP("UD",'Informacion '!P:Q,2,FALSE),"")</f>
        <v>Unidad</v>
      </c>
      <c r="D8562" s="94">
        <v>3570</v>
      </c>
      <c r="E8562" s="84">
        <v>0.35</v>
      </c>
      <c r="F8562" s="83">
        <f t="shared" ca="1" si="329"/>
        <v>1249.5</v>
      </c>
    </row>
    <row r="8563" spans="1:6" ht="14.1" customHeight="1" x14ac:dyDescent="0.25">
      <c r="A8563" s="94" t="s">
        <v>3593</v>
      </c>
      <c r="B8563" s="82" t="str">
        <f t="shared" ref="B8563:B8568" ca="1" si="330">IFERROR(INDEX(UNSPSCDes,MATCH(INDIRECT(ADDRESS(ROW(),COLUMN()-1,4)),UNSPSCCode,0)),IF(INDIRECT(ADDRESS(ROW(),COLUMN()-1,4))="51181506","Insulina",""))</f>
        <v>Insulina</v>
      </c>
      <c r="C8563" s="95" t="str">
        <f>IFERROR(VLOOKUP("UD",'Informacion '!P:Q,2,FALSE),"")</f>
        <v>Unidad</v>
      </c>
      <c r="D8563" s="94">
        <v>1148</v>
      </c>
      <c r="E8563" s="84">
        <v>0.72</v>
      </c>
      <c r="F8563" s="83">
        <f t="shared" ca="1" si="329"/>
        <v>826.56</v>
      </c>
    </row>
    <row r="8564" spans="1:6" ht="14.1" customHeight="1" x14ac:dyDescent="0.25">
      <c r="A8564" s="94" t="s">
        <v>3593</v>
      </c>
      <c r="B8564" s="82" t="str">
        <f t="shared" ca="1" si="330"/>
        <v>Insulina</v>
      </c>
      <c r="C8564" s="95" t="str">
        <f>IFERROR(VLOOKUP("UD",'Informacion '!P:Q,2,FALSE),"")</f>
        <v>Unidad</v>
      </c>
      <c r="D8564" s="94">
        <v>2984</v>
      </c>
      <c r="E8564" s="84">
        <v>21.6</v>
      </c>
      <c r="F8564" s="83">
        <f t="shared" ca="1" si="329"/>
        <v>64454.400000000001</v>
      </c>
    </row>
    <row r="8565" spans="1:6" ht="14.1" customHeight="1" x14ac:dyDescent="0.25">
      <c r="A8565" s="94" t="s">
        <v>3593</v>
      </c>
      <c r="B8565" s="82" t="str">
        <f t="shared" ca="1" si="330"/>
        <v>Insulina</v>
      </c>
      <c r="C8565" s="95" t="str">
        <f>IFERROR(VLOOKUP("UD",'Informacion '!P:Q,2,FALSE),"")</f>
        <v>Unidad</v>
      </c>
      <c r="D8565" s="94">
        <v>1275</v>
      </c>
      <c r="E8565" s="84">
        <v>4.21</v>
      </c>
      <c r="F8565" s="83">
        <f t="shared" ca="1" si="329"/>
        <v>5367.75</v>
      </c>
    </row>
    <row r="8566" spans="1:6" ht="14.1" customHeight="1" x14ac:dyDescent="0.25">
      <c r="A8566" s="94" t="s">
        <v>3593</v>
      </c>
      <c r="B8566" s="82" t="str">
        <f t="shared" ca="1" si="330"/>
        <v>Insulina</v>
      </c>
      <c r="C8566" s="95" t="str">
        <f>IFERROR(VLOOKUP("UD",'Informacion '!P:Q,2,FALSE),"")</f>
        <v>Unidad</v>
      </c>
      <c r="D8566" s="94">
        <v>1020</v>
      </c>
      <c r="E8566" s="84">
        <v>12.64</v>
      </c>
      <c r="F8566" s="83">
        <f t="shared" ca="1" si="329"/>
        <v>12892.800000000001</v>
      </c>
    </row>
    <row r="8567" spans="1:6" ht="14.1" customHeight="1" x14ac:dyDescent="0.25">
      <c r="A8567" s="94" t="s">
        <v>3593</v>
      </c>
      <c r="B8567" s="82" t="str">
        <f t="shared" ca="1" si="330"/>
        <v>Insulina</v>
      </c>
      <c r="C8567" s="95" t="str">
        <f>IFERROR(VLOOKUP("UD",'Informacion '!P:Q,2,FALSE),"")</f>
        <v>Unidad</v>
      </c>
      <c r="D8567" s="94">
        <v>2295</v>
      </c>
      <c r="E8567" s="84">
        <v>0.66</v>
      </c>
      <c r="F8567" s="83">
        <f t="shared" ca="1" si="329"/>
        <v>1514.7</v>
      </c>
    </row>
    <row r="8568" spans="1:6" ht="14.1" customHeight="1" x14ac:dyDescent="0.25">
      <c r="A8568" s="94" t="s">
        <v>3593</v>
      </c>
      <c r="B8568" s="82" t="str">
        <f t="shared" ca="1" si="330"/>
        <v>Insulina</v>
      </c>
      <c r="C8568" s="95" t="str">
        <f>IFERROR(VLOOKUP("UD",'Informacion '!P:Q,2,FALSE),"")</f>
        <v>Unidad</v>
      </c>
      <c r="D8568" s="94">
        <v>13</v>
      </c>
      <c r="E8568" s="84">
        <v>116.82</v>
      </c>
      <c r="F8568" s="83">
        <f t="shared" ca="1" si="329"/>
        <v>1518.6599999999999</v>
      </c>
    </row>
    <row r="8569" spans="1:6" ht="14.1" customHeight="1" x14ac:dyDescent="0.25">
      <c r="A8569" s="94" t="s">
        <v>5138</v>
      </c>
      <c r="B8569" s="82" t="str">
        <f t="shared" ref="B8569:B8574" ca="1" si="331">IFERROR(INDEX(UNSPSCDes,MATCH(INDIRECT(ADDRESS(ROW(),COLUMN()-1,4)),UNSPSCCode,0)),IF(INDIRECT(ADDRESS(ROW(),COLUMN()-1,4))="41103801","Mezcladores de laboratorio",""))</f>
        <v>Mezcladores de laboratorio</v>
      </c>
      <c r="C8569" s="95" t="str">
        <f>IFERROR(VLOOKUP("UD",'Informacion '!P:Q,2,FALSE),"")</f>
        <v>Unidad</v>
      </c>
      <c r="D8569" s="94">
        <v>1</v>
      </c>
      <c r="E8569" s="84">
        <v>180.94</v>
      </c>
      <c r="F8569" s="83">
        <f t="shared" ca="1" si="329"/>
        <v>180.94</v>
      </c>
    </row>
    <row r="8570" spans="1:6" ht="14.1" customHeight="1" x14ac:dyDescent="0.25">
      <c r="A8570" s="94" t="s">
        <v>5138</v>
      </c>
      <c r="B8570" s="82" t="str">
        <f t="shared" ca="1" si="331"/>
        <v>Mezcladores de laboratorio</v>
      </c>
      <c r="C8570" s="95" t="str">
        <f>IFERROR(VLOOKUP("UD",'Informacion '!P:Q,2,FALSE),"")</f>
        <v>Unidad</v>
      </c>
      <c r="D8570" s="94">
        <v>77</v>
      </c>
      <c r="E8570" s="84">
        <v>151.59</v>
      </c>
      <c r="F8570" s="83">
        <f t="shared" ca="1" si="329"/>
        <v>11672.43</v>
      </c>
    </row>
    <row r="8571" spans="1:6" ht="14.1" customHeight="1" x14ac:dyDescent="0.25">
      <c r="A8571" s="94" t="s">
        <v>5138</v>
      </c>
      <c r="B8571" s="82" t="str">
        <f t="shared" ca="1" si="331"/>
        <v>Mezcladores de laboratorio</v>
      </c>
      <c r="C8571" s="95" t="str">
        <f>IFERROR(VLOOKUP("UD",'Informacion '!P:Q,2,FALSE),"")</f>
        <v>Unidad</v>
      </c>
      <c r="D8571" s="94">
        <v>4</v>
      </c>
      <c r="E8571" s="84">
        <v>62.24</v>
      </c>
      <c r="F8571" s="83">
        <f t="shared" ca="1" si="329"/>
        <v>248.96</v>
      </c>
    </row>
    <row r="8572" spans="1:6" ht="14.1" customHeight="1" x14ac:dyDescent="0.25">
      <c r="A8572" s="94" t="s">
        <v>5138</v>
      </c>
      <c r="B8572" s="82" t="str">
        <f t="shared" ca="1" si="331"/>
        <v>Mezcladores de laboratorio</v>
      </c>
      <c r="C8572" s="95" t="str">
        <f>IFERROR(VLOOKUP("UD",'Informacion '!P:Q,2,FALSE),"")</f>
        <v>Unidad</v>
      </c>
      <c r="D8572" s="94">
        <v>2550</v>
      </c>
      <c r="E8572" s="84">
        <v>0.32</v>
      </c>
      <c r="F8572" s="83">
        <f t="shared" ca="1" si="329"/>
        <v>816</v>
      </c>
    </row>
    <row r="8573" spans="1:6" ht="14.1" customHeight="1" x14ac:dyDescent="0.25">
      <c r="A8573" s="94" t="s">
        <v>5138</v>
      </c>
      <c r="B8573" s="82" t="str">
        <f t="shared" ca="1" si="331"/>
        <v>Mezcladores de laboratorio</v>
      </c>
      <c r="C8573" s="95" t="str">
        <f>IFERROR(VLOOKUP("UD",'Informacion '!P:Q,2,FALSE),"")</f>
        <v>Unidad</v>
      </c>
      <c r="D8573" s="94">
        <v>2959</v>
      </c>
      <c r="E8573" s="84">
        <v>9.5500000000000007</v>
      </c>
      <c r="F8573" s="83">
        <f t="shared" ca="1" si="329"/>
        <v>28258.45</v>
      </c>
    </row>
    <row r="8574" spans="1:6" ht="14.1" customHeight="1" x14ac:dyDescent="0.25">
      <c r="A8574" s="94" t="s">
        <v>5138</v>
      </c>
      <c r="B8574" s="82" t="str">
        <f t="shared" ca="1" si="331"/>
        <v>Mezcladores de laboratorio</v>
      </c>
      <c r="C8574" s="95" t="str">
        <f>IFERROR(VLOOKUP("UD",'Informacion '!P:Q,2,FALSE),"")</f>
        <v>Unidad</v>
      </c>
      <c r="D8574" s="94">
        <v>77</v>
      </c>
      <c r="E8574" s="84">
        <v>37.81</v>
      </c>
      <c r="F8574" s="83">
        <f t="shared" ca="1" si="329"/>
        <v>2911.3700000000003</v>
      </c>
    </row>
    <row r="8575" spans="1:6" ht="14.1" customHeight="1" x14ac:dyDescent="0.25">
      <c r="A8575" s="94" t="s">
        <v>16379</v>
      </c>
      <c r="B8575" s="82" t="str">
        <f t="shared" ref="B8575:B8606" ca="1" si="332">IFERROR(INDEX(UNSPSCDes,MATCH(INDIRECT(ADDRESS(ROW(),COLUMN()-1,4)),UNSPSCCode,0)),IF(INDIRECT(ADDRESS(ROW(),COLUMN()-1,4))="53131608","Jabones",""))</f>
        <v>Jabones</v>
      </c>
      <c r="C8575" s="95" t="str">
        <f>IFERROR(VLOOKUP("UD",'Informacion '!P:Q,2,FALSE),"")</f>
        <v>Unidad</v>
      </c>
      <c r="D8575" s="94">
        <v>2</v>
      </c>
      <c r="E8575" s="84">
        <v>1022.57</v>
      </c>
      <c r="F8575" s="83">
        <f t="shared" ca="1" si="329"/>
        <v>2045.14</v>
      </c>
    </row>
    <row r="8576" spans="1:6" ht="14.1" customHeight="1" x14ac:dyDescent="0.25">
      <c r="A8576" s="94" t="s">
        <v>16379</v>
      </c>
      <c r="B8576" s="82" t="str">
        <f t="shared" ca="1" si="332"/>
        <v>Jabones</v>
      </c>
      <c r="C8576" s="95" t="str">
        <f>IFERROR(VLOOKUP("UD",'Informacion '!P:Q,2,FALSE),"")</f>
        <v>Unidad</v>
      </c>
      <c r="D8576" s="94">
        <v>3</v>
      </c>
      <c r="E8576" s="84">
        <v>69.930000000000007</v>
      </c>
      <c r="F8576" s="83">
        <f t="shared" ca="1" si="329"/>
        <v>209.79000000000002</v>
      </c>
    </row>
    <row r="8577" spans="1:6" ht="14.1" customHeight="1" x14ac:dyDescent="0.25">
      <c r="A8577" s="94" t="s">
        <v>16379</v>
      </c>
      <c r="B8577" s="82" t="str">
        <f t="shared" ca="1" si="332"/>
        <v>Jabones</v>
      </c>
      <c r="C8577" s="95" t="str">
        <f>IFERROR(VLOOKUP("UD",'Informacion '!P:Q,2,FALSE),"")</f>
        <v>Unidad</v>
      </c>
      <c r="D8577" s="94">
        <v>383</v>
      </c>
      <c r="E8577" s="84">
        <v>40.58</v>
      </c>
      <c r="F8577" s="83">
        <f t="shared" ca="1" si="329"/>
        <v>15542.14</v>
      </c>
    </row>
    <row r="8578" spans="1:6" ht="14.1" customHeight="1" x14ac:dyDescent="0.25">
      <c r="A8578" s="94" t="s">
        <v>16379</v>
      </c>
      <c r="B8578" s="82" t="str">
        <f t="shared" ca="1" si="332"/>
        <v>Jabones</v>
      </c>
      <c r="C8578" s="95" t="str">
        <f>IFERROR(VLOOKUP("UD",'Informacion '!P:Q,2,FALSE),"")</f>
        <v>Unidad</v>
      </c>
      <c r="D8578" s="94">
        <v>408</v>
      </c>
      <c r="E8578" s="84">
        <v>11.52</v>
      </c>
      <c r="F8578" s="83">
        <f t="shared" ca="1" si="329"/>
        <v>4700.16</v>
      </c>
    </row>
    <row r="8579" spans="1:6" ht="14.1" customHeight="1" x14ac:dyDescent="0.25">
      <c r="A8579" s="94" t="s">
        <v>16379</v>
      </c>
      <c r="B8579" s="82" t="str">
        <f t="shared" ca="1" si="332"/>
        <v>Jabones</v>
      </c>
      <c r="C8579" s="95" t="str">
        <f>IFERROR(VLOOKUP("UD",'Informacion '!P:Q,2,FALSE),"")</f>
        <v>Unidad</v>
      </c>
      <c r="D8579" s="94">
        <v>1546</v>
      </c>
      <c r="E8579" s="84">
        <v>6</v>
      </c>
      <c r="F8579" s="83">
        <f t="shared" ca="1" si="329"/>
        <v>9276</v>
      </c>
    </row>
    <row r="8580" spans="1:6" ht="14.1" customHeight="1" x14ac:dyDescent="0.25">
      <c r="A8580" s="94" t="s">
        <v>16379</v>
      </c>
      <c r="B8580" s="82" t="str">
        <f t="shared" ca="1" si="332"/>
        <v>Jabones</v>
      </c>
      <c r="C8580" s="95" t="str">
        <f>IFERROR(VLOOKUP("UD",'Informacion '!P:Q,2,FALSE),"")</f>
        <v>Unidad</v>
      </c>
      <c r="D8580" s="94">
        <v>11067</v>
      </c>
      <c r="E8580" s="84">
        <v>6.25</v>
      </c>
      <c r="F8580" s="83">
        <f t="shared" ca="1" si="329"/>
        <v>69168.75</v>
      </c>
    </row>
    <row r="8581" spans="1:6" ht="14.1" customHeight="1" x14ac:dyDescent="0.25">
      <c r="A8581" s="94" t="s">
        <v>16379</v>
      </c>
      <c r="B8581" s="82" t="str">
        <f t="shared" ca="1" si="332"/>
        <v>Jabones</v>
      </c>
      <c r="C8581" s="95" t="str">
        <f>IFERROR(VLOOKUP("UD",'Informacion '!P:Q,2,FALSE),"")</f>
        <v>Unidad</v>
      </c>
      <c r="D8581" s="94">
        <v>5381</v>
      </c>
      <c r="E8581" s="84">
        <v>22180</v>
      </c>
      <c r="F8581" s="83">
        <f t="shared" ca="1" si="329"/>
        <v>119350580</v>
      </c>
    </row>
    <row r="8582" spans="1:6" ht="14.1" customHeight="1" x14ac:dyDescent="0.25">
      <c r="A8582" s="94" t="s">
        <v>16379</v>
      </c>
      <c r="B8582" s="82" t="str">
        <f t="shared" ca="1" si="332"/>
        <v>Jabones</v>
      </c>
      <c r="C8582" s="95" t="str">
        <f>IFERROR(VLOOKUP("UD",'Informacion '!P:Q,2,FALSE),"")</f>
        <v>Unidad</v>
      </c>
      <c r="D8582" s="94">
        <v>11</v>
      </c>
      <c r="E8582" s="84">
        <v>182.31</v>
      </c>
      <c r="F8582" s="83">
        <f t="shared" ca="1" si="329"/>
        <v>2005.41</v>
      </c>
    </row>
    <row r="8583" spans="1:6" ht="14.1" customHeight="1" x14ac:dyDescent="0.25">
      <c r="A8583" s="94" t="s">
        <v>16379</v>
      </c>
      <c r="B8583" s="82" t="str">
        <f t="shared" ca="1" si="332"/>
        <v>Jabones</v>
      </c>
      <c r="C8583" s="95" t="str">
        <f>IFERROR(VLOOKUP("UD",'Informacion '!P:Q,2,FALSE),"")</f>
        <v>Unidad</v>
      </c>
      <c r="D8583" s="94">
        <v>39</v>
      </c>
      <c r="E8583" s="84">
        <v>259.02999999999997</v>
      </c>
      <c r="F8583" s="83">
        <f t="shared" ca="1" si="329"/>
        <v>10102.169999999998</v>
      </c>
    </row>
    <row r="8584" spans="1:6" ht="14.1" customHeight="1" x14ac:dyDescent="0.25">
      <c r="A8584" s="94" t="s">
        <v>16379</v>
      </c>
      <c r="B8584" s="82" t="str">
        <f t="shared" ca="1" si="332"/>
        <v>Jabones</v>
      </c>
      <c r="C8584" s="95" t="str">
        <f>IFERROR(VLOOKUP("UD",'Informacion '!P:Q,2,FALSE),"")</f>
        <v>Unidad</v>
      </c>
      <c r="D8584" s="94">
        <v>7</v>
      </c>
      <c r="E8584" s="84">
        <v>828.36</v>
      </c>
      <c r="F8584" s="83">
        <f t="shared" ca="1" si="329"/>
        <v>5798.52</v>
      </c>
    </row>
    <row r="8585" spans="1:6" ht="14.1" customHeight="1" x14ac:dyDescent="0.25">
      <c r="A8585" s="94" t="s">
        <v>16379</v>
      </c>
      <c r="B8585" s="82" t="str">
        <f t="shared" ca="1" si="332"/>
        <v>Jabones</v>
      </c>
      <c r="C8585" s="95" t="str">
        <f>IFERROR(VLOOKUP("UD",'Informacion '!P:Q,2,FALSE),"")</f>
        <v>Unidad</v>
      </c>
      <c r="D8585" s="94">
        <v>113</v>
      </c>
      <c r="E8585" s="84">
        <v>367.1</v>
      </c>
      <c r="F8585" s="83">
        <f t="shared" ref="F8585:F8616" ca="1" si="333">INDIRECT(ADDRESS(ROW(),COLUMN()-2,4))*INDIRECT(ADDRESS(ROW(),COLUMN()-1,4))</f>
        <v>41482.300000000003</v>
      </c>
    </row>
    <row r="8586" spans="1:6" ht="14.1" customHeight="1" x14ac:dyDescent="0.25">
      <c r="A8586" s="94" t="s">
        <v>16379</v>
      </c>
      <c r="B8586" s="82" t="str">
        <f t="shared" ca="1" si="332"/>
        <v>Jabones</v>
      </c>
      <c r="C8586" s="95" t="str">
        <f>IFERROR(VLOOKUP("UD",'Informacion '!P:Q,2,FALSE),"")</f>
        <v>Unidad</v>
      </c>
      <c r="D8586" s="94">
        <v>179</v>
      </c>
      <c r="E8586" s="84">
        <v>12.71</v>
      </c>
      <c r="F8586" s="83">
        <f t="shared" ca="1" si="333"/>
        <v>2275.09</v>
      </c>
    </row>
    <row r="8587" spans="1:6" ht="14.1" customHeight="1" x14ac:dyDescent="0.25">
      <c r="A8587" s="94" t="s">
        <v>16379</v>
      </c>
      <c r="B8587" s="82" t="str">
        <f t="shared" ca="1" si="332"/>
        <v>Jabones</v>
      </c>
      <c r="C8587" s="95" t="str">
        <f>IFERROR(VLOOKUP("UD",'Informacion '!P:Q,2,FALSE),"")</f>
        <v>Unidad</v>
      </c>
      <c r="D8587" s="94">
        <v>204</v>
      </c>
      <c r="E8587" s="84">
        <v>11.73</v>
      </c>
      <c r="F8587" s="83">
        <f t="shared" ca="1" si="333"/>
        <v>2392.92</v>
      </c>
    </row>
    <row r="8588" spans="1:6" ht="14.1" customHeight="1" x14ac:dyDescent="0.25">
      <c r="A8588" s="94" t="s">
        <v>16379</v>
      </c>
      <c r="B8588" s="82" t="str">
        <f t="shared" ca="1" si="332"/>
        <v>Jabones</v>
      </c>
      <c r="C8588" s="95" t="str">
        <f>IFERROR(VLOOKUP("UD",'Informacion '!P:Q,2,FALSE),"")</f>
        <v>Unidad</v>
      </c>
      <c r="D8588" s="94">
        <v>21</v>
      </c>
      <c r="E8588" s="84">
        <v>100.8</v>
      </c>
      <c r="F8588" s="83">
        <f t="shared" ca="1" si="333"/>
        <v>2116.7999999999997</v>
      </c>
    </row>
    <row r="8589" spans="1:6" ht="14.1" customHeight="1" x14ac:dyDescent="0.25">
      <c r="A8589" s="94" t="s">
        <v>16379</v>
      </c>
      <c r="B8589" s="82" t="str">
        <f t="shared" ca="1" si="332"/>
        <v>Jabones</v>
      </c>
      <c r="C8589" s="95" t="str">
        <f>IFERROR(VLOOKUP("UD",'Informacion '!P:Q,2,FALSE),"")</f>
        <v>Unidad</v>
      </c>
      <c r="D8589" s="94">
        <v>1</v>
      </c>
      <c r="E8589" s="84">
        <v>3484.84</v>
      </c>
      <c r="F8589" s="83">
        <f t="shared" ca="1" si="333"/>
        <v>3484.84</v>
      </c>
    </row>
    <row r="8590" spans="1:6" ht="14.1" customHeight="1" x14ac:dyDescent="0.25">
      <c r="A8590" s="94" t="s">
        <v>16379</v>
      </c>
      <c r="B8590" s="82" t="str">
        <f t="shared" ca="1" si="332"/>
        <v>Jabones</v>
      </c>
      <c r="C8590" s="95" t="str">
        <f>IFERROR(VLOOKUP("UD",'Informacion '!P:Q,2,FALSE),"")</f>
        <v>Unidad</v>
      </c>
      <c r="D8590" s="94">
        <v>26</v>
      </c>
      <c r="E8590" s="84">
        <v>24.55</v>
      </c>
      <c r="F8590" s="83">
        <f t="shared" ca="1" si="333"/>
        <v>638.30000000000007</v>
      </c>
    </row>
    <row r="8591" spans="1:6" ht="14.1" customHeight="1" x14ac:dyDescent="0.25">
      <c r="A8591" s="94" t="s">
        <v>16379</v>
      </c>
      <c r="B8591" s="82" t="str">
        <f t="shared" ca="1" si="332"/>
        <v>Jabones</v>
      </c>
      <c r="C8591" s="95" t="str">
        <f>IFERROR(VLOOKUP("UD",'Informacion '!P:Q,2,FALSE),"")</f>
        <v>Unidad</v>
      </c>
      <c r="D8591" s="94">
        <v>51</v>
      </c>
      <c r="E8591" s="84">
        <v>207.36</v>
      </c>
      <c r="F8591" s="83">
        <f t="shared" ca="1" si="333"/>
        <v>10575.36</v>
      </c>
    </row>
    <row r="8592" spans="1:6" ht="14.1" customHeight="1" x14ac:dyDescent="0.25">
      <c r="A8592" s="94" t="s">
        <v>16379</v>
      </c>
      <c r="B8592" s="82" t="str">
        <f t="shared" ca="1" si="332"/>
        <v>Jabones</v>
      </c>
      <c r="C8592" s="95" t="str">
        <f>IFERROR(VLOOKUP("UD",'Informacion '!P:Q,2,FALSE),"")</f>
        <v>Unidad</v>
      </c>
      <c r="D8592" s="94">
        <v>143</v>
      </c>
      <c r="E8592" s="84">
        <v>207.36</v>
      </c>
      <c r="F8592" s="83">
        <f t="shared" ca="1" si="333"/>
        <v>29652.480000000003</v>
      </c>
    </row>
    <row r="8593" spans="1:6" ht="14.1" customHeight="1" x14ac:dyDescent="0.25">
      <c r="A8593" s="94" t="s">
        <v>16379</v>
      </c>
      <c r="B8593" s="82" t="str">
        <f t="shared" ca="1" si="332"/>
        <v>Jabones</v>
      </c>
      <c r="C8593" s="95" t="str">
        <f>IFERROR(VLOOKUP("UD",'Informacion '!P:Q,2,FALSE),"")</f>
        <v>Unidad</v>
      </c>
      <c r="D8593" s="94">
        <v>319</v>
      </c>
      <c r="E8593" s="84">
        <v>14.64</v>
      </c>
      <c r="F8593" s="83">
        <f t="shared" ca="1" si="333"/>
        <v>4670.16</v>
      </c>
    </row>
    <row r="8594" spans="1:6" ht="14.1" customHeight="1" x14ac:dyDescent="0.25">
      <c r="A8594" s="94" t="s">
        <v>16379</v>
      </c>
      <c r="B8594" s="82" t="str">
        <f t="shared" ca="1" si="332"/>
        <v>Jabones</v>
      </c>
      <c r="C8594" s="95" t="str">
        <f>IFERROR(VLOOKUP("UD",'Informacion '!P:Q,2,FALSE),"")</f>
        <v>Unidad</v>
      </c>
      <c r="D8594" s="94">
        <v>46</v>
      </c>
      <c r="E8594" s="84">
        <v>447.15</v>
      </c>
      <c r="F8594" s="83">
        <f t="shared" ca="1" si="333"/>
        <v>20568.899999999998</v>
      </c>
    </row>
    <row r="8595" spans="1:6" ht="14.1" customHeight="1" x14ac:dyDescent="0.25">
      <c r="A8595" s="94" t="s">
        <v>16379</v>
      </c>
      <c r="B8595" s="82" t="str">
        <f t="shared" ca="1" si="332"/>
        <v>Jabones</v>
      </c>
      <c r="C8595" s="95" t="str">
        <f>IFERROR(VLOOKUP("UD",'Informacion '!P:Q,2,FALSE),"")</f>
        <v>Unidad</v>
      </c>
      <c r="D8595" s="94">
        <v>2</v>
      </c>
      <c r="E8595" s="84">
        <v>79.650000000000006</v>
      </c>
      <c r="F8595" s="83">
        <f t="shared" ca="1" si="333"/>
        <v>159.30000000000001</v>
      </c>
    </row>
    <row r="8596" spans="1:6" ht="14.1" customHeight="1" x14ac:dyDescent="0.25">
      <c r="A8596" s="94" t="s">
        <v>16379</v>
      </c>
      <c r="B8596" s="82" t="str">
        <f t="shared" ca="1" si="332"/>
        <v>Jabones</v>
      </c>
      <c r="C8596" s="95" t="str">
        <f>IFERROR(VLOOKUP("UD",'Informacion '!P:Q,2,FALSE),"")</f>
        <v>Unidad</v>
      </c>
      <c r="D8596" s="94">
        <v>1</v>
      </c>
      <c r="E8596" s="84">
        <v>381.07</v>
      </c>
      <c r="F8596" s="83">
        <f t="shared" ca="1" si="333"/>
        <v>381.07</v>
      </c>
    </row>
    <row r="8597" spans="1:6" ht="14.1" customHeight="1" x14ac:dyDescent="0.25">
      <c r="A8597" s="94" t="s">
        <v>16379</v>
      </c>
      <c r="B8597" s="82" t="str">
        <f t="shared" ca="1" si="332"/>
        <v>Jabones</v>
      </c>
      <c r="C8597" s="95" t="str">
        <f>IFERROR(VLOOKUP("UD",'Informacion '!P:Q,2,FALSE),"")</f>
        <v>Unidad</v>
      </c>
      <c r="D8597" s="94">
        <v>9</v>
      </c>
      <c r="E8597" s="84">
        <v>115</v>
      </c>
      <c r="F8597" s="83">
        <f t="shared" ca="1" si="333"/>
        <v>1035</v>
      </c>
    </row>
    <row r="8598" spans="1:6" ht="14.1" customHeight="1" x14ac:dyDescent="0.25">
      <c r="A8598" s="94" t="s">
        <v>16379</v>
      </c>
      <c r="B8598" s="82" t="str">
        <f t="shared" ca="1" si="332"/>
        <v>Jabones</v>
      </c>
      <c r="C8598" s="95" t="str">
        <f>IFERROR(VLOOKUP("UD",'Informacion '!P:Q,2,FALSE),"")</f>
        <v>Unidad</v>
      </c>
      <c r="D8598" s="94">
        <v>1</v>
      </c>
      <c r="E8598" s="84">
        <v>815</v>
      </c>
      <c r="F8598" s="83">
        <f t="shared" ca="1" si="333"/>
        <v>815</v>
      </c>
    </row>
    <row r="8599" spans="1:6" ht="14.1" customHeight="1" x14ac:dyDescent="0.25">
      <c r="A8599" s="94" t="s">
        <v>16379</v>
      </c>
      <c r="B8599" s="82" t="str">
        <f t="shared" ca="1" si="332"/>
        <v>Jabones</v>
      </c>
      <c r="C8599" s="95" t="str">
        <f>IFERROR(VLOOKUP("UD",'Informacion '!P:Q,2,FALSE),"")</f>
        <v>Unidad</v>
      </c>
      <c r="D8599" s="94">
        <v>30</v>
      </c>
      <c r="E8599" s="84">
        <v>359.19</v>
      </c>
      <c r="F8599" s="83">
        <f t="shared" ca="1" si="333"/>
        <v>10775.7</v>
      </c>
    </row>
    <row r="8600" spans="1:6" ht="14.1" customHeight="1" x14ac:dyDescent="0.25">
      <c r="A8600" s="94" t="s">
        <v>16379</v>
      </c>
      <c r="B8600" s="82" t="str">
        <f t="shared" ca="1" si="332"/>
        <v>Jabones</v>
      </c>
      <c r="C8600" s="95" t="str">
        <f>IFERROR(VLOOKUP("UD",'Informacion '!P:Q,2,FALSE),"")</f>
        <v>Unidad</v>
      </c>
      <c r="D8600" s="94">
        <v>383</v>
      </c>
      <c r="E8600" s="84">
        <v>11.52</v>
      </c>
      <c r="F8600" s="83">
        <f t="shared" ca="1" si="333"/>
        <v>4412.16</v>
      </c>
    </row>
    <row r="8601" spans="1:6" ht="14.1" customHeight="1" x14ac:dyDescent="0.25">
      <c r="A8601" s="94" t="s">
        <v>16379</v>
      </c>
      <c r="B8601" s="82" t="str">
        <f t="shared" ca="1" si="332"/>
        <v>Jabones</v>
      </c>
      <c r="C8601" s="95" t="str">
        <f>IFERROR(VLOOKUP("UD",'Informacion '!P:Q,2,FALSE),"")</f>
        <v>Unidad</v>
      </c>
      <c r="D8601" s="94">
        <v>306</v>
      </c>
      <c r="E8601" s="84">
        <v>4.3</v>
      </c>
      <c r="F8601" s="83">
        <f t="shared" ca="1" si="333"/>
        <v>1315.8</v>
      </c>
    </row>
    <row r="8602" spans="1:6" ht="14.1" customHeight="1" x14ac:dyDescent="0.25">
      <c r="A8602" s="94" t="s">
        <v>16379</v>
      </c>
      <c r="B8602" s="82" t="str">
        <f t="shared" ca="1" si="332"/>
        <v>Jabones</v>
      </c>
      <c r="C8602" s="95" t="str">
        <f>IFERROR(VLOOKUP("UD",'Informacion '!P:Q,2,FALSE),"")</f>
        <v>Unidad</v>
      </c>
      <c r="D8602" s="94">
        <v>2</v>
      </c>
      <c r="E8602" s="84">
        <v>520</v>
      </c>
      <c r="F8602" s="83">
        <f t="shared" ca="1" si="333"/>
        <v>1040</v>
      </c>
    </row>
    <row r="8603" spans="1:6" ht="14.1" customHeight="1" x14ac:dyDescent="0.25">
      <c r="A8603" s="94" t="s">
        <v>16379</v>
      </c>
      <c r="B8603" s="82" t="str">
        <f t="shared" ca="1" si="332"/>
        <v>Jabones</v>
      </c>
      <c r="C8603" s="95" t="str">
        <f>IFERROR(VLOOKUP("UD",'Informacion '!P:Q,2,FALSE),"")</f>
        <v>Unidad</v>
      </c>
      <c r="D8603" s="94">
        <v>161</v>
      </c>
      <c r="E8603" s="84">
        <v>65.92</v>
      </c>
      <c r="F8603" s="83">
        <f t="shared" ca="1" si="333"/>
        <v>10613.12</v>
      </c>
    </row>
    <row r="8604" spans="1:6" ht="14.1" customHeight="1" x14ac:dyDescent="0.25">
      <c r="A8604" s="94" t="s">
        <v>16379</v>
      </c>
      <c r="B8604" s="82" t="str">
        <f t="shared" ca="1" si="332"/>
        <v>Jabones</v>
      </c>
      <c r="C8604" s="95" t="str">
        <f>IFERROR(VLOOKUP("UD",'Informacion '!P:Q,2,FALSE),"")</f>
        <v>Unidad</v>
      </c>
      <c r="D8604" s="94">
        <v>946</v>
      </c>
      <c r="E8604" s="84">
        <v>9.17</v>
      </c>
      <c r="F8604" s="83">
        <f t="shared" ca="1" si="333"/>
        <v>8674.82</v>
      </c>
    </row>
    <row r="8605" spans="1:6" ht="14.1" customHeight="1" x14ac:dyDescent="0.25">
      <c r="A8605" s="94" t="s">
        <v>16379</v>
      </c>
      <c r="B8605" s="82" t="str">
        <f t="shared" ca="1" si="332"/>
        <v>Jabones</v>
      </c>
      <c r="C8605" s="95" t="str">
        <f>IFERROR(VLOOKUP("UD",'Informacion '!P:Q,2,FALSE),"")</f>
        <v>Unidad</v>
      </c>
      <c r="D8605" s="94">
        <v>408</v>
      </c>
      <c r="E8605" s="84">
        <v>11.55</v>
      </c>
      <c r="F8605" s="83">
        <f t="shared" ca="1" si="333"/>
        <v>4712.4000000000005</v>
      </c>
    </row>
    <row r="8606" spans="1:6" ht="14.1" customHeight="1" x14ac:dyDescent="0.25">
      <c r="A8606" s="94" t="s">
        <v>16379</v>
      </c>
      <c r="B8606" s="82" t="str">
        <f t="shared" ca="1" si="332"/>
        <v>Jabones</v>
      </c>
      <c r="C8606" s="95" t="str">
        <f>IFERROR(VLOOKUP("UD",'Informacion '!P:Q,2,FALSE),"")</f>
        <v>Unidad</v>
      </c>
      <c r="D8606" s="94">
        <v>2</v>
      </c>
      <c r="E8606" s="84">
        <v>68.14</v>
      </c>
      <c r="F8606" s="83">
        <f t="shared" ca="1" si="333"/>
        <v>136.28</v>
      </c>
    </row>
    <row r="8607" spans="1:6" ht="14.1" customHeight="1" x14ac:dyDescent="0.25">
      <c r="A8607" s="94" t="s">
        <v>16379</v>
      </c>
      <c r="B8607" s="82" t="str">
        <f t="shared" ref="B8607:B8638" ca="1" si="334">IFERROR(INDEX(UNSPSCDes,MATCH(INDIRECT(ADDRESS(ROW(),COLUMN()-1,4)),UNSPSCCode,0)),IF(INDIRECT(ADDRESS(ROW(),COLUMN()-1,4))="53131608","Jabones",""))</f>
        <v>Jabones</v>
      </c>
      <c r="C8607" s="95" t="str">
        <f>IFERROR(VLOOKUP("UD",'Informacion '!P:Q,2,FALSE),"")</f>
        <v>Unidad</v>
      </c>
      <c r="D8607" s="94">
        <v>2</v>
      </c>
      <c r="E8607" s="84">
        <v>223.17</v>
      </c>
      <c r="F8607" s="83">
        <f t="shared" ca="1" si="333"/>
        <v>446.34</v>
      </c>
    </row>
    <row r="8608" spans="1:6" ht="14.1" customHeight="1" x14ac:dyDescent="0.25">
      <c r="A8608" s="94" t="s">
        <v>16379</v>
      </c>
      <c r="B8608" s="82" t="str">
        <f t="shared" ca="1" si="334"/>
        <v>Jabones</v>
      </c>
      <c r="C8608" s="95" t="str">
        <f>IFERROR(VLOOKUP("UD",'Informacion '!P:Q,2,FALSE),"")</f>
        <v>Unidad</v>
      </c>
      <c r="D8608" s="94">
        <v>1</v>
      </c>
      <c r="E8608" s="84">
        <v>63.99</v>
      </c>
      <c r="F8608" s="83">
        <f t="shared" ca="1" si="333"/>
        <v>63.99</v>
      </c>
    </row>
    <row r="8609" spans="1:6" ht="14.1" customHeight="1" x14ac:dyDescent="0.25">
      <c r="A8609" s="94" t="s">
        <v>16379</v>
      </c>
      <c r="B8609" s="82" t="str">
        <f t="shared" ca="1" si="334"/>
        <v>Jabones</v>
      </c>
      <c r="C8609" s="95" t="str">
        <f>IFERROR(VLOOKUP("UD",'Informacion '!P:Q,2,FALSE),"")</f>
        <v>Unidad</v>
      </c>
      <c r="D8609" s="94">
        <v>1</v>
      </c>
      <c r="E8609" s="84">
        <v>36</v>
      </c>
      <c r="F8609" s="83">
        <f t="shared" ca="1" si="333"/>
        <v>36</v>
      </c>
    </row>
    <row r="8610" spans="1:6" ht="14.1" customHeight="1" x14ac:dyDescent="0.25">
      <c r="A8610" s="94" t="s">
        <v>16379</v>
      </c>
      <c r="B8610" s="82" t="str">
        <f t="shared" ca="1" si="334"/>
        <v>Jabones</v>
      </c>
      <c r="C8610" s="95" t="str">
        <f>IFERROR(VLOOKUP("UD",'Informacion '!P:Q,2,FALSE),"")</f>
        <v>Unidad</v>
      </c>
      <c r="D8610" s="94">
        <v>28</v>
      </c>
      <c r="E8610" s="84">
        <v>21.13</v>
      </c>
      <c r="F8610" s="83">
        <f t="shared" ca="1" si="333"/>
        <v>591.64</v>
      </c>
    </row>
    <row r="8611" spans="1:6" ht="14.1" customHeight="1" x14ac:dyDescent="0.25">
      <c r="A8611" s="94" t="s">
        <v>16379</v>
      </c>
      <c r="B8611" s="82" t="str">
        <f t="shared" ca="1" si="334"/>
        <v>Jabones</v>
      </c>
      <c r="C8611" s="95" t="str">
        <f>IFERROR(VLOOKUP("UD",'Informacion '!P:Q,2,FALSE),"")</f>
        <v>Unidad</v>
      </c>
      <c r="D8611" s="94">
        <v>43</v>
      </c>
      <c r="E8611" s="84">
        <v>6.9</v>
      </c>
      <c r="F8611" s="83">
        <f t="shared" ca="1" si="333"/>
        <v>296.7</v>
      </c>
    </row>
    <row r="8612" spans="1:6" ht="14.1" customHeight="1" x14ac:dyDescent="0.25">
      <c r="A8612" s="94" t="s">
        <v>16379</v>
      </c>
      <c r="B8612" s="82" t="str">
        <f t="shared" ca="1" si="334"/>
        <v>Jabones</v>
      </c>
      <c r="C8612" s="95" t="str">
        <f>IFERROR(VLOOKUP("UD",'Informacion '!P:Q,2,FALSE),"")</f>
        <v>Unidad</v>
      </c>
      <c r="D8612" s="94">
        <v>1</v>
      </c>
      <c r="E8612" s="84">
        <v>1366.62</v>
      </c>
      <c r="F8612" s="83">
        <f t="shared" ca="1" si="333"/>
        <v>1366.62</v>
      </c>
    </row>
    <row r="8613" spans="1:6" ht="14.1" customHeight="1" x14ac:dyDescent="0.25">
      <c r="A8613" s="94" t="s">
        <v>16379</v>
      </c>
      <c r="B8613" s="82" t="str">
        <f t="shared" ca="1" si="334"/>
        <v>Jabones</v>
      </c>
      <c r="C8613" s="95" t="str">
        <f>IFERROR(VLOOKUP("UD",'Informacion '!P:Q,2,FALSE),"")</f>
        <v>Unidad</v>
      </c>
      <c r="D8613" s="94">
        <v>204</v>
      </c>
      <c r="E8613" s="84">
        <v>0.82</v>
      </c>
      <c r="F8613" s="83">
        <f t="shared" ca="1" si="333"/>
        <v>167.28</v>
      </c>
    </row>
    <row r="8614" spans="1:6" ht="14.1" customHeight="1" x14ac:dyDescent="0.25">
      <c r="A8614" s="94" t="s">
        <v>16379</v>
      </c>
      <c r="B8614" s="82" t="str">
        <f t="shared" ca="1" si="334"/>
        <v>Jabones</v>
      </c>
      <c r="C8614" s="95" t="str">
        <f>IFERROR(VLOOKUP("UD",'Informacion '!P:Q,2,FALSE),"")</f>
        <v>Unidad</v>
      </c>
      <c r="D8614" s="94">
        <v>36</v>
      </c>
      <c r="E8614" s="84">
        <v>171.1</v>
      </c>
      <c r="F8614" s="83">
        <f t="shared" ca="1" si="333"/>
        <v>6159.5999999999995</v>
      </c>
    </row>
    <row r="8615" spans="1:6" ht="14.1" customHeight="1" x14ac:dyDescent="0.25">
      <c r="A8615" s="94" t="s">
        <v>16379</v>
      </c>
      <c r="B8615" s="82" t="str">
        <f t="shared" ca="1" si="334"/>
        <v>Jabones</v>
      </c>
      <c r="C8615" s="95" t="str">
        <f>IFERROR(VLOOKUP("UD",'Informacion '!P:Q,2,FALSE),"")</f>
        <v>Unidad</v>
      </c>
      <c r="D8615" s="94">
        <v>42</v>
      </c>
      <c r="E8615" s="84">
        <v>13.82</v>
      </c>
      <c r="F8615" s="83">
        <f t="shared" ca="1" si="333"/>
        <v>580.44000000000005</v>
      </c>
    </row>
    <row r="8616" spans="1:6" ht="14.1" customHeight="1" x14ac:dyDescent="0.25">
      <c r="A8616" s="94" t="s">
        <v>16379</v>
      </c>
      <c r="B8616" s="82" t="str">
        <f t="shared" ca="1" si="334"/>
        <v>Jabones</v>
      </c>
      <c r="C8616" s="95" t="str">
        <f>IFERROR(VLOOKUP("UD",'Informacion '!P:Q,2,FALSE),"")</f>
        <v>Unidad</v>
      </c>
      <c r="D8616" s="94">
        <v>1</v>
      </c>
      <c r="E8616" s="84">
        <v>2950.59</v>
      </c>
      <c r="F8616" s="83">
        <f t="shared" ca="1" si="333"/>
        <v>2950.59</v>
      </c>
    </row>
    <row r="8617" spans="1:6" ht="14.1" customHeight="1" x14ac:dyDescent="0.25">
      <c r="A8617" s="94" t="s">
        <v>16379</v>
      </c>
      <c r="B8617" s="82" t="str">
        <f t="shared" ca="1" si="334"/>
        <v>Jabones</v>
      </c>
      <c r="C8617" s="95" t="str">
        <f>IFERROR(VLOOKUP("UD",'Informacion '!P:Q,2,FALSE),"")</f>
        <v>Unidad</v>
      </c>
      <c r="D8617" s="94">
        <v>1</v>
      </c>
      <c r="E8617" s="84">
        <v>887.36</v>
      </c>
      <c r="F8617" s="83">
        <f t="shared" ref="F8617:F8648" ca="1" si="335">INDIRECT(ADDRESS(ROW(),COLUMN()-2,4))*INDIRECT(ADDRESS(ROW(),COLUMN()-1,4))</f>
        <v>887.36</v>
      </c>
    </row>
    <row r="8618" spans="1:6" ht="14.1" customHeight="1" x14ac:dyDescent="0.25">
      <c r="A8618" s="94" t="s">
        <v>16379</v>
      </c>
      <c r="B8618" s="82" t="str">
        <f t="shared" ca="1" si="334"/>
        <v>Jabones</v>
      </c>
      <c r="C8618" s="95" t="str">
        <f>IFERROR(VLOOKUP("UD",'Informacion '!P:Q,2,FALSE),"")</f>
        <v>Unidad</v>
      </c>
      <c r="D8618" s="94">
        <v>62</v>
      </c>
      <c r="E8618" s="84">
        <v>95.65</v>
      </c>
      <c r="F8618" s="83">
        <f t="shared" ca="1" si="335"/>
        <v>5930.3</v>
      </c>
    </row>
    <row r="8619" spans="1:6" ht="14.1" customHeight="1" x14ac:dyDescent="0.25">
      <c r="A8619" s="94" t="s">
        <v>16379</v>
      </c>
      <c r="B8619" s="82" t="str">
        <f t="shared" ca="1" si="334"/>
        <v>Jabones</v>
      </c>
      <c r="C8619" s="95" t="str">
        <f>IFERROR(VLOOKUP("UD",'Informacion '!P:Q,2,FALSE),"")</f>
        <v>Unidad</v>
      </c>
      <c r="D8619" s="94">
        <v>62</v>
      </c>
      <c r="E8619" s="84">
        <v>33.67</v>
      </c>
      <c r="F8619" s="83">
        <f t="shared" ca="1" si="335"/>
        <v>2087.54</v>
      </c>
    </row>
    <row r="8620" spans="1:6" ht="14.1" customHeight="1" x14ac:dyDescent="0.25">
      <c r="A8620" s="94" t="s">
        <v>16379</v>
      </c>
      <c r="B8620" s="82" t="str">
        <f t="shared" ca="1" si="334"/>
        <v>Jabones</v>
      </c>
      <c r="C8620" s="95" t="str">
        <f>IFERROR(VLOOKUP("UD",'Informacion '!P:Q,2,FALSE),"")</f>
        <v>Unidad</v>
      </c>
      <c r="D8620" s="94">
        <v>46</v>
      </c>
      <c r="E8620" s="84">
        <v>82</v>
      </c>
      <c r="F8620" s="83">
        <f t="shared" ca="1" si="335"/>
        <v>3772</v>
      </c>
    </row>
    <row r="8621" spans="1:6" ht="14.1" customHeight="1" x14ac:dyDescent="0.25">
      <c r="A8621" s="94" t="s">
        <v>16379</v>
      </c>
      <c r="B8621" s="82" t="str">
        <f t="shared" ca="1" si="334"/>
        <v>Jabones</v>
      </c>
      <c r="C8621" s="95" t="str">
        <f>IFERROR(VLOOKUP("UD",'Informacion '!P:Q,2,FALSE),"")</f>
        <v>Unidad</v>
      </c>
      <c r="D8621" s="94">
        <v>58</v>
      </c>
      <c r="E8621" s="84">
        <v>12799.62</v>
      </c>
      <c r="F8621" s="83">
        <f t="shared" ca="1" si="335"/>
        <v>742377.96000000008</v>
      </c>
    </row>
    <row r="8622" spans="1:6" ht="14.1" customHeight="1" x14ac:dyDescent="0.25">
      <c r="A8622" s="94" t="s">
        <v>16379</v>
      </c>
      <c r="B8622" s="82" t="str">
        <f t="shared" ca="1" si="334"/>
        <v>Jabones</v>
      </c>
      <c r="C8622" s="95" t="str">
        <f>IFERROR(VLOOKUP("UD",'Informacion '!P:Q,2,FALSE),"")</f>
        <v>Unidad</v>
      </c>
      <c r="D8622" s="94">
        <v>248</v>
      </c>
      <c r="E8622" s="84">
        <v>2.84</v>
      </c>
      <c r="F8622" s="83">
        <f t="shared" ca="1" si="335"/>
        <v>704.31999999999994</v>
      </c>
    </row>
    <row r="8623" spans="1:6" ht="14.1" customHeight="1" x14ac:dyDescent="0.25">
      <c r="A8623" s="94" t="s">
        <v>16379</v>
      </c>
      <c r="B8623" s="82" t="str">
        <f t="shared" ca="1" si="334"/>
        <v>Jabones</v>
      </c>
      <c r="C8623" s="95" t="str">
        <f>IFERROR(VLOOKUP("UD",'Informacion '!P:Q,2,FALSE),"")</f>
        <v>Unidad</v>
      </c>
      <c r="D8623" s="94">
        <v>893</v>
      </c>
      <c r="E8623" s="84">
        <v>1.59</v>
      </c>
      <c r="F8623" s="83">
        <f t="shared" ca="1" si="335"/>
        <v>1419.8700000000001</v>
      </c>
    </row>
    <row r="8624" spans="1:6" ht="14.1" customHeight="1" x14ac:dyDescent="0.25">
      <c r="A8624" s="94" t="s">
        <v>16379</v>
      </c>
      <c r="B8624" s="82" t="str">
        <f t="shared" ca="1" si="334"/>
        <v>Jabones</v>
      </c>
      <c r="C8624" s="95" t="str">
        <f>IFERROR(VLOOKUP("UD",'Informacion '!P:Q,2,FALSE),"")</f>
        <v>Unidad</v>
      </c>
      <c r="D8624" s="94">
        <v>2</v>
      </c>
      <c r="E8624" s="84">
        <v>4506.74</v>
      </c>
      <c r="F8624" s="83">
        <f t="shared" ca="1" si="335"/>
        <v>9013.48</v>
      </c>
    </row>
    <row r="8625" spans="1:6" ht="14.1" customHeight="1" x14ac:dyDescent="0.25">
      <c r="A8625" s="94" t="s">
        <v>16379</v>
      </c>
      <c r="B8625" s="82" t="str">
        <f t="shared" ca="1" si="334"/>
        <v>Jabones</v>
      </c>
      <c r="C8625" s="95" t="str">
        <f>IFERROR(VLOOKUP("UD",'Informacion '!P:Q,2,FALSE),"")</f>
        <v>Unidad</v>
      </c>
      <c r="D8625" s="94">
        <v>8</v>
      </c>
      <c r="E8625" s="84">
        <v>2.4500000000000002</v>
      </c>
      <c r="F8625" s="83">
        <f t="shared" ca="1" si="335"/>
        <v>19.600000000000001</v>
      </c>
    </row>
    <row r="8626" spans="1:6" ht="14.1" customHeight="1" x14ac:dyDescent="0.25">
      <c r="A8626" s="94" t="s">
        <v>16379</v>
      </c>
      <c r="B8626" s="82" t="str">
        <f t="shared" ca="1" si="334"/>
        <v>Jabones</v>
      </c>
      <c r="C8626" s="95" t="str">
        <f>IFERROR(VLOOKUP("UD",'Informacion '!P:Q,2,FALSE),"")</f>
        <v>Unidad</v>
      </c>
      <c r="D8626" s="94">
        <v>1</v>
      </c>
      <c r="E8626" s="84">
        <v>1546.27</v>
      </c>
      <c r="F8626" s="83">
        <f t="shared" ca="1" si="335"/>
        <v>1546.27</v>
      </c>
    </row>
    <row r="8627" spans="1:6" ht="14.1" customHeight="1" x14ac:dyDescent="0.25">
      <c r="A8627" s="94" t="s">
        <v>16379</v>
      </c>
      <c r="B8627" s="82" t="str">
        <f t="shared" ca="1" si="334"/>
        <v>Jabones</v>
      </c>
      <c r="C8627" s="95" t="str">
        <f>IFERROR(VLOOKUP("UD",'Informacion '!P:Q,2,FALSE),"")</f>
        <v>Unidad</v>
      </c>
      <c r="D8627" s="94">
        <v>1</v>
      </c>
      <c r="E8627" s="84">
        <v>531.91999999999996</v>
      </c>
      <c r="F8627" s="83">
        <f t="shared" ca="1" si="335"/>
        <v>531.91999999999996</v>
      </c>
    </row>
    <row r="8628" spans="1:6" ht="14.1" customHeight="1" x14ac:dyDescent="0.25">
      <c r="A8628" s="94" t="s">
        <v>16379</v>
      </c>
      <c r="B8628" s="82" t="str">
        <f t="shared" ca="1" si="334"/>
        <v>Jabones</v>
      </c>
      <c r="C8628" s="95" t="str">
        <f>IFERROR(VLOOKUP("UD",'Informacion '!P:Q,2,FALSE),"")</f>
        <v>Unidad</v>
      </c>
      <c r="D8628" s="94">
        <v>4641</v>
      </c>
      <c r="E8628" s="84">
        <v>11.52</v>
      </c>
      <c r="F8628" s="83">
        <f t="shared" ca="1" si="335"/>
        <v>53464.32</v>
      </c>
    </row>
    <row r="8629" spans="1:6" ht="14.1" customHeight="1" x14ac:dyDescent="0.25">
      <c r="A8629" s="94" t="s">
        <v>16379</v>
      </c>
      <c r="B8629" s="82" t="str">
        <f t="shared" ca="1" si="334"/>
        <v>Jabones</v>
      </c>
      <c r="C8629" s="95" t="str">
        <f>IFERROR(VLOOKUP("UD",'Informacion '!P:Q,2,FALSE),"")</f>
        <v>Unidad</v>
      </c>
      <c r="D8629" s="94">
        <v>918</v>
      </c>
      <c r="E8629" s="84">
        <v>14.24</v>
      </c>
      <c r="F8629" s="83">
        <f t="shared" ca="1" si="335"/>
        <v>13072.32</v>
      </c>
    </row>
    <row r="8630" spans="1:6" ht="14.1" customHeight="1" x14ac:dyDescent="0.25">
      <c r="A8630" s="94" t="s">
        <v>16379</v>
      </c>
      <c r="B8630" s="82" t="str">
        <f t="shared" ca="1" si="334"/>
        <v>Jabones</v>
      </c>
      <c r="C8630" s="95" t="str">
        <f>IFERROR(VLOOKUP("UD",'Informacion '!P:Q,2,FALSE),"")</f>
        <v>Unidad</v>
      </c>
      <c r="D8630" s="94">
        <v>510</v>
      </c>
      <c r="E8630" s="84">
        <v>3.41</v>
      </c>
      <c r="F8630" s="83">
        <f t="shared" ca="1" si="335"/>
        <v>1739.1000000000001</v>
      </c>
    </row>
    <row r="8631" spans="1:6" ht="14.1" customHeight="1" x14ac:dyDescent="0.25">
      <c r="A8631" s="94" t="s">
        <v>16379</v>
      </c>
      <c r="B8631" s="82" t="str">
        <f t="shared" ca="1" si="334"/>
        <v>Jabones</v>
      </c>
      <c r="C8631" s="95" t="str">
        <f>IFERROR(VLOOKUP("UD",'Informacion '!P:Q,2,FALSE),"")</f>
        <v>Unidad</v>
      </c>
      <c r="D8631" s="94">
        <v>125</v>
      </c>
      <c r="E8631" s="84">
        <v>8.82</v>
      </c>
      <c r="F8631" s="83">
        <f t="shared" ca="1" si="335"/>
        <v>1102.5</v>
      </c>
    </row>
    <row r="8632" spans="1:6" ht="14.1" customHeight="1" x14ac:dyDescent="0.25">
      <c r="A8632" s="94" t="s">
        <v>16379</v>
      </c>
      <c r="B8632" s="82" t="str">
        <f t="shared" ca="1" si="334"/>
        <v>Jabones</v>
      </c>
      <c r="C8632" s="95" t="str">
        <f>IFERROR(VLOOKUP("UD",'Informacion '!P:Q,2,FALSE),"")</f>
        <v>Unidad</v>
      </c>
      <c r="D8632" s="94">
        <v>4595</v>
      </c>
      <c r="E8632" s="84">
        <v>157.93</v>
      </c>
      <c r="F8632" s="83">
        <f t="shared" ca="1" si="335"/>
        <v>725688.35</v>
      </c>
    </row>
    <row r="8633" spans="1:6" ht="14.1" customHeight="1" x14ac:dyDescent="0.25">
      <c r="A8633" s="94" t="s">
        <v>16379</v>
      </c>
      <c r="B8633" s="82" t="str">
        <f t="shared" ca="1" si="334"/>
        <v>Jabones</v>
      </c>
      <c r="C8633" s="95" t="str">
        <f>IFERROR(VLOOKUP("UD",'Informacion '!P:Q,2,FALSE),"")</f>
        <v>Unidad</v>
      </c>
      <c r="D8633" s="94">
        <v>1276</v>
      </c>
      <c r="E8633" s="84">
        <v>11.91</v>
      </c>
      <c r="F8633" s="83">
        <f t="shared" ca="1" si="335"/>
        <v>15197.16</v>
      </c>
    </row>
    <row r="8634" spans="1:6" ht="14.1" customHeight="1" x14ac:dyDescent="0.25">
      <c r="A8634" s="94" t="s">
        <v>16379</v>
      </c>
      <c r="B8634" s="82" t="str">
        <f t="shared" ca="1" si="334"/>
        <v>Jabones</v>
      </c>
      <c r="C8634" s="95" t="str">
        <f>IFERROR(VLOOKUP("UD",'Informacion '!P:Q,2,FALSE),"")</f>
        <v>Unidad</v>
      </c>
      <c r="D8634" s="94">
        <v>1</v>
      </c>
      <c r="E8634" s="84">
        <v>952.9</v>
      </c>
      <c r="F8634" s="83">
        <f t="shared" ca="1" si="335"/>
        <v>952.9</v>
      </c>
    </row>
    <row r="8635" spans="1:6" ht="14.1" customHeight="1" x14ac:dyDescent="0.25">
      <c r="A8635" s="94" t="s">
        <v>16379</v>
      </c>
      <c r="B8635" s="82" t="str">
        <f t="shared" ca="1" si="334"/>
        <v>Jabones</v>
      </c>
      <c r="C8635" s="95" t="str">
        <f>IFERROR(VLOOKUP("UD",'Informacion '!P:Q,2,FALSE),"")</f>
        <v>Unidad</v>
      </c>
      <c r="D8635" s="94">
        <v>1</v>
      </c>
      <c r="E8635" s="84">
        <v>1753.05</v>
      </c>
      <c r="F8635" s="83">
        <f t="shared" ca="1" si="335"/>
        <v>1753.05</v>
      </c>
    </row>
    <row r="8636" spans="1:6" ht="14.1" customHeight="1" x14ac:dyDescent="0.25">
      <c r="A8636" s="94" t="s">
        <v>16379</v>
      </c>
      <c r="B8636" s="82" t="str">
        <f t="shared" ca="1" si="334"/>
        <v>Jabones</v>
      </c>
      <c r="C8636" s="95" t="str">
        <f>IFERROR(VLOOKUP("UD",'Informacion '!P:Q,2,FALSE),"")</f>
        <v>Unidad</v>
      </c>
      <c r="D8636" s="94">
        <v>602</v>
      </c>
      <c r="E8636" s="84">
        <v>6.61</v>
      </c>
      <c r="F8636" s="83">
        <f t="shared" ca="1" si="335"/>
        <v>3979.2200000000003</v>
      </c>
    </row>
    <row r="8637" spans="1:6" ht="14.1" customHeight="1" x14ac:dyDescent="0.25">
      <c r="A8637" s="94" t="s">
        <v>16379</v>
      </c>
      <c r="B8637" s="82" t="str">
        <f t="shared" ca="1" si="334"/>
        <v>Jabones</v>
      </c>
      <c r="C8637" s="95" t="str">
        <f>IFERROR(VLOOKUP("UD",'Informacion '!P:Q,2,FALSE),"")</f>
        <v>Unidad</v>
      </c>
      <c r="D8637" s="94">
        <v>1</v>
      </c>
      <c r="E8637" s="84">
        <v>590.41999999999996</v>
      </c>
      <c r="F8637" s="83">
        <f t="shared" ca="1" si="335"/>
        <v>590.41999999999996</v>
      </c>
    </row>
    <row r="8638" spans="1:6" ht="14.1" customHeight="1" x14ac:dyDescent="0.25">
      <c r="A8638" s="94" t="s">
        <v>16379</v>
      </c>
      <c r="B8638" s="82" t="str">
        <f t="shared" ca="1" si="334"/>
        <v>Jabones</v>
      </c>
      <c r="C8638" s="95" t="str">
        <f>IFERROR(VLOOKUP("UD",'Informacion '!P:Q,2,FALSE),"")</f>
        <v>Unidad</v>
      </c>
      <c r="D8638" s="94">
        <v>1</v>
      </c>
      <c r="E8638" s="84">
        <v>590.41999999999996</v>
      </c>
      <c r="F8638" s="83">
        <f t="shared" ca="1" si="335"/>
        <v>590.41999999999996</v>
      </c>
    </row>
    <row r="8639" spans="1:6" ht="14.1" customHeight="1" x14ac:dyDescent="0.25">
      <c r="A8639" s="94" t="s">
        <v>16379</v>
      </c>
      <c r="B8639" s="82" t="str">
        <f t="shared" ref="B8639:B8659" ca="1" si="336">IFERROR(INDEX(UNSPSCDes,MATCH(INDIRECT(ADDRESS(ROW(),COLUMN()-1,4)),UNSPSCCode,0)),IF(INDIRECT(ADDRESS(ROW(),COLUMN()-1,4))="53131608","Jabones",""))</f>
        <v>Jabones</v>
      </c>
      <c r="C8639" s="95" t="str">
        <f>IFERROR(VLOOKUP("UD",'Informacion '!P:Q,2,FALSE),"")</f>
        <v>Unidad</v>
      </c>
      <c r="D8639" s="94">
        <v>108</v>
      </c>
      <c r="E8639" s="84">
        <v>115.68</v>
      </c>
      <c r="F8639" s="83">
        <f t="shared" ca="1" si="335"/>
        <v>12493.44</v>
      </c>
    </row>
    <row r="8640" spans="1:6" ht="14.1" customHeight="1" x14ac:dyDescent="0.25">
      <c r="A8640" s="94" t="s">
        <v>16379</v>
      </c>
      <c r="B8640" s="82" t="str">
        <f t="shared" ca="1" si="336"/>
        <v>Jabones</v>
      </c>
      <c r="C8640" s="95" t="str">
        <f>IFERROR(VLOOKUP("UD",'Informacion '!P:Q,2,FALSE),"")</f>
        <v>Unidad</v>
      </c>
      <c r="D8640" s="94">
        <v>1</v>
      </c>
      <c r="E8640" s="84">
        <v>590.41999999999996</v>
      </c>
      <c r="F8640" s="83">
        <f t="shared" ca="1" si="335"/>
        <v>590.41999999999996</v>
      </c>
    </row>
    <row r="8641" spans="1:6" ht="14.1" customHeight="1" x14ac:dyDescent="0.25">
      <c r="A8641" s="94" t="s">
        <v>16379</v>
      </c>
      <c r="B8641" s="82" t="str">
        <f t="shared" ca="1" si="336"/>
        <v>Jabones</v>
      </c>
      <c r="C8641" s="95" t="str">
        <f>IFERROR(VLOOKUP("UD",'Informacion '!P:Q,2,FALSE),"")</f>
        <v>Unidad</v>
      </c>
      <c r="D8641" s="94">
        <v>2</v>
      </c>
      <c r="E8641" s="84">
        <v>1107.98</v>
      </c>
      <c r="F8641" s="83">
        <f t="shared" ca="1" si="335"/>
        <v>2215.96</v>
      </c>
    </row>
    <row r="8642" spans="1:6" ht="14.1" customHeight="1" x14ac:dyDescent="0.25">
      <c r="A8642" s="94" t="s">
        <v>16379</v>
      </c>
      <c r="B8642" s="82" t="str">
        <f t="shared" ca="1" si="336"/>
        <v>Jabones</v>
      </c>
      <c r="C8642" s="95" t="str">
        <f>IFERROR(VLOOKUP("UD",'Informacion '!P:Q,2,FALSE),"")</f>
        <v>Unidad</v>
      </c>
      <c r="D8642" s="94">
        <v>1</v>
      </c>
      <c r="E8642" s="84">
        <v>615.25</v>
      </c>
      <c r="F8642" s="83">
        <f t="shared" ca="1" si="335"/>
        <v>615.25</v>
      </c>
    </row>
    <row r="8643" spans="1:6" ht="14.1" customHeight="1" x14ac:dyDescent="0.25">
      <c r="A8643" s="94" t="s">
        <v>16379</v>
      </c>
      <c r="B8643" s="82" t="str">
        <f t="shared" ca="1" si="336"/>
        <v>Jabones</v>
      </c>
      <c r="C8643" s="95" t="str">
        <f>IFERROR(VLOOKUP("UD",'Informacion '!P:Q,2,FALSE),"")</f>
        <v>Unidad</v>
      </c>
      <c r="D8643" s="94">
        <v>62</v>
      </c>
      <c r="E8643" s="84">
        <v>130.44999999999999</v>
      </c>
      <c r="F8643" s="83">
        <f t="shared" ca="1" si="335"/>
        <v>8087.9</v>
      </c>
    </row>
    <row r="8644" spans="1:6" ht="14.1" customHeight="1" x14ac:dyDescent="0.25">
      <c r="A8644" s="94" t="s">
        <v>16379</v>
      </c>
      <c r="B8644" s="82" t="str">
        <f t="shared" ca="1" si="336"/>
        <v>Jabones</v>
      </c>
      <c r="C8644" s="95" t="str">
        <f>IFERROR(VLOOKUP("UD",'Informacion '!P:Q,2,FALSE),"")</f>
        <v>Unidad</v>
      </c>
      <c r="D8644" s="94">
        <v>1</v>
      </c>
      <c r="E8644" s="84">
        <v>740.93</v>
      </c>
      <c r="F8644" s="83">
        <f t="shared" ca="1" si="335"/>
        <v>740.93</v>
      </c>
    </row>
    <row r="8645" spans="1:6" ht="14.1" customHeight="1" x14ac:dyDescent="0.25">
      <c r="A8645" s="94" t="s">
        <v>16379</v>
      </c>
      <c r="B8645" s="82" t="str">
        <f t="shared" ca="1" si="336"/>
        <v>Jabones</v>
      </c>
      <c r="C8645" s="95" t="str">
        <f>IFERROR(VLOOKUP("UD",'Informacion '!P:Q,2,FALSE),"")</f>
        <v>Unidad</v>
      </c>
      <c r="D8645" s="94">
        <v>1</v>
      </c>
      <c r="E8645" s="84">
        <v>641.70000000000005</v>
      </c>
      <c r="F8645" s="83">
        <f t="shared" ca="1" si="335"/>
        <v>641.70000000000005</v>
      </c>
    </row>
    <row r="8646" spans="1:6" ht="14.1" customHeight="1" x14ac:dyDescent="0.25">
      <c r="A8646" s="94" t="s">
        <v>16379</v>
      </c>
      <c r="B8646" s="82" t="str">
        <f t="shared" ca="1" si="336"/>
        <v>Jabones</v>
      </c>
      <c r="C8646" s="95" t="str">
        <f>IFERROR(VLOOKUP("UD",'Informacion '!P:Q,2,FALSE),"")</f>
        <v>Unidad</v>
      </c>
      <c r="D8646" s="94">
        <v>11</v>
      </c>
      <c r="E8646" s="84">
        <v>140.9</v>
      </c>
      <c r="F8646" s="83">
        <f t="shared" ca="1" si="335"/>
        <v>1549.9</v>
      </c>
    </row>
    <row r="8647" spans="1:6" ht="14.1" customHeight="1" x14ac:dyDescent="0.25">
      <c r="A8647" s="94" t="s">
        <v>16379</v>
      </c>
      <c r="B8647" s="82" t="str">
        <f t="shared" ca="1" si="336"/>
        <v>Jabones</v>
      </c>
      <c r="C8647" s="95" t="str">
        <f>IFERROR(VLOOKUP("UD",'Informacion '!P:Q,2,FALSE),"")</f>
        <v>Unidad</v>
      </c>
      <c r="D8647" s="94">
        <v>143</v>
      </c>
      <c r="E8647" s="84">
        <v>352.25</v>
      </c>
      <c r="F8647" s="83">
        <f t="shared" ca="1" si="335"/>
        <v>50371.75</v>
      </c>
    </row>
    <row r="8648" spans="1:6" ht="14.1" customHeight="1" x14ac:dyDescent="0.25">
      <c r="A8648" s="94" t="s">
        <v>16379</v>
      </c>
      <c r="B8648" s="82" t="str">
        <f t="shared" ca="1" si="336"/>
        <v>Jabones</v>
      </c>
      <c r="C8648" s="95" t="str">
        <f>IFERROR(VLOOKUP("UD",'Informacion '!P:Q,2,FALSE),"")</f>
        <v>Unidad</v>
      </c>
      <c r="D8648" s="94">
        <v>11</v>
      </c>
      <c r="E8648" s="84">
        <v>28.96</v>
      </c>
      <c r="F8648" s="83">
        <f t="shared" ca="1" si="335"/>
        <v>318.56</v>
      </c>
    </row>
    <row r="8649" spans="1:6" ht="14.1" customHeight="1" x14ac:dyDescent="0.25">
      <c r="A8649" s="94" t="s">
        <v>16379</v>
      </c>
      <c r="B8649" s="82" t="str">
        <f t="shared" ca="1" si="336"/>
        <v>Jabones</v>
      </c>
      <c r="C8649" s="95" t="str">
        <f>IFERROR(VLOOKUP("UD",'Informacion '!P:Q,2,FALSE),"")</f>
        <v>Unidad</v>
      </c>
      <c r="D8649" s="94">
        <v>1</v>
      </c>
      <c r="E8649" s="84">
        <v>211.57</v>
      </c>
      <c r="F8649" s="83">
        <f t="shared" ref="F8649:F8659" ca="1" si="337">INDIRECT(ADDRESS(ROW(),COLUMN()-2,4))*INDIRECT(ADDRESS(ROW(),COLUMN()-1,4))</f>
        <v>211.57</v>
      </c>
    </row>
    <row r="8650" spans="1:6" ht="14.1" customHeight="1" x14ac:dyDescent="0.25">
      <c r="A8650" s="94" t="s">
        <v>16379</v>
      </c>
      <c r="B8650" s="82" t="str">
        <f t="shared" ca="1" si="336"/>
        <v>Jabones</v>
      </c>
      <c r="C8650" s="95" t="str">
        <f>IFERROR(VLOOKUP("UD",'Informacion '!P:Q,2,FALSE),"")</f>
        <v>Unidad</v>
      </c>
      <c r="D8650" s="94">
        <v>1</v>
      </c>
      <c r="E8650" s="84">
        <v>4836</v>
      </c>
      <c r="F8650" s="83">
        <f t="shared" ca="1" si="337"/>
        <v>4836</v>
      </c>
    </row>
    <row r="8651" spans="1:6" ht="14.1" customHeight="1" x14ac:dyDescent="0.25">
      <c r="A8651" s="94" t="s">
        <v>16379</v>
      </c>
      <c r="B8651" s="82" t="str">
        <f t="shared" ca="1" si="336"/>
        <v>Jabones</v>
      </c>
      <c r="C8651" s="95" t="str">
        <f>IFERROR(VLOOKUP("UD",'Informacion '!P:Q,2,FALSE),"")</f>
        <v>Unidad</v>
      </c>
      <c r="D8651" s="94">
        <v>2</v>
      </c>
      <c r="E8651" s="84">
        <v>5487</v>
      </c>
      <c r="F8651" s="83">
        <f t="shared" ca="1" si="337"/>
        <v>10974</v>
      </c>
    </row>
    <row r="8652" spans="1:6" ht="14.1" customHeight="1" x14ac:dyDescent="0.25">
      <c r="A8652" s="94" t="s">
        <v>16379</v>
      </c>
      <c r="B8652" s="82" t="str">
        <f t="shared" ca="1" si="336"/>
        <v>Jabones</v>
      </c>
      <c r="C8652" s="95" t="str">
        <f>IFERROR(VLOOKUP("UD",'Informacion '!P:Q,2,FALSE),"")</f>
        <v>Unidad</v>
      </c>
      <c r="D8652" s="94">
        <v>1</v>
      </c>
      <c r="E8652" s="84">
        <v>300</v>
      </c>
      <c r="F8652" s="83">
        <f t="shared" ca="1" si="337"/>
        <v>300</v>
      </c>
    </row>
    <row r="8653" spans="1:6" ht="14.1" customHeight="1" x14ac:dyDescent="0.25">
      <c r="A8653" s="94" t="s">
        <v>16379</v>
      </c>
      <c r="B8653" s="82" t="str">
        <f t="shared" ca="1" si="336"/>
        <v>Jabones</v>
      </c>
      <c r="C8653" s="95" t="str">
        <f>IFERROR(VLOOKUP("UD",'Informacion '!P:Q,2,FALSE),"")</f>
        <v>Unidad</v>
      </c>
      <c r="D8653" s="94">
        <v>3</v>
      </c>
      <c r="E8653" s="84">
        <v>450</v>
      </c>
      <c r="F8653" s="83">
        <f t="shared" ca="1" si="337"/>
        <v>1350</v>
      </c>
    </row>
    <row r="8654" spans="1:6" ht="14.1" customHeight="1" x14ac:dyDescent="0.25">
      <c r="A8654" s="94" t="s">
        <v>16379</v>
      </c>
      <c r="B8654" s="82" t="str">
        <f t="shared" ca="1" si="336"/>
        <v>Jabones</v>
      </c>
      <c r="C8654" s="95" t="str">
        <f>IFERROR(VLOOKUP("UD",'Informacion '!P:Q,2,FALSE),"")</f>
        <v>Unidad</v>
      </c>
      <c r="D8654" s="94">
        <v>3</v>
      </c>
      <c r="E8654" s="84">
        <v>1434.92</v>
      </c>
      <c r="F8654" s="83">
        <f t="shared" ca="1" si="337"/>
        <v>4304.76</v>
      </c>
    </row>
    <row r="8655" spans="1:6" ht="14.1" customHeight="1" x14ac:dyDescent="0.25">
      <c r="A8655" s="94" t="s">
        <v>16379</v>
      </c>
      <c r="B8655" s="82" t="str">
        <f t="shared" ca="1" si="336"/>
        <v>Jabones</v>
      </c>
      <c r="C8655" s="95" t="str">
        <f>IFERROR(VLOOKUP("UD",'Informacion '!P:Q,2,FALSE),"")</f>
        <v>Unidad</v>
      </c>
      <c r="D8655" s="94">
        <v>34</v>
      </c>
      <c r="E8655" s="84">
        <v>100.8</v>
      </c>
      <c r="F8655" s="83">
        <f t="shared" ca="1" si="337"/>
        <v>3427.2</v>
      </c>
    </row>
    <row r="8656" spans="1:6" ht="14.1" customHeight="1" x14ac:dyDescent="0.25">
      <c r="A8656" s="94" t="s">
        <v>16379</v>
      </c>
      <c r="B8656" s="82" t="str">
        <f t="shared" ca="1" si="336"/>
        <v>Jabones</v>
      </c>
      <c r="C8656" s="95" t="str">
        <f>IFERROR(VLOOKUP("UD",'Informacion '!P:Q,2,FALSE),"")</f>
        <v>Unidad</v>
      </c>
      <c r="D8656" s="94">
        <v>1</v>
      </c>
      <c r="E8656" s="84">
        <v>1742</v>
      </c>
      <c r="F8656" s="83">
        <f t="shared" ca="1" si="337"/>
        <v>1742</v>
      </c>
    </row>
    <row r="8657" spans="1:10" ht="14.1" customHeight="1" x14ac:dyDescent="0.25">
      <c r="A8657" s="94" t="s">
        <v>16379</v>
      </c>
      <c r="B8657" s="82" t="str">
        <f t="shared" ca="1" si="336"/>
        <v>Jabones</v>
      </c>
      <c r="C8657" s="95" t="str">
        <f>IFERROR(VLOOKUP("UD",'Informacion '!P:Q,2,FALSE),"")</f>
        <v>Unidad</v>
      </c>
      <c r="D8657" s="94">
        <v>1</v>
      </c>
      <c r="E8657" s="84">
        <v>1742</v>
      </c>
      <c r="F8657" s="83">
        <f t="shared" ca="1" si="337"/>
        <v>1742</v>
      </c>
    </row>
    <row r="8658" spans="1:10" ht="14.1" customHeight="1" x14ac:dyDescent="0.25">
      <c r="A8658" s="94" t="s">
        <v>16379</v>
      </c>
      <c r="B8658" s="82" t="str">
        <f t="shared" ca="1" si="336"/>
        <v>Jabones</v>
      </c>
      <c r="C8658" s="95" t="str">
        <f>IFERROR(VLOOKUP("UD",'Informacion '!P:Q,2,FALSE),"")</f>
        <v>Unidad</v>
      </c>
      <c r="D8658" s="94">
        <v>1</v>
      </c>
      <c r="E8658" s="84">
        <v>1742</v>
      </c>
      <c r="F8658" s="83">
        <f t="shared" ca="1" si="337"/>
        <v>1742</v>
      </c>
    </row>
    <row r="8659" spans="1:10" ht="14.1" customHeight="1" x14ac:dyDescent="0.25">
      <c r="A8659" s="94" t="s">
        <v>16379</v>
      </c>
      <c r="B8659" s="82" t="str">
        <f t="shared" ca="1" si="336"/>
        <v>Jabones</v>
      </c>
      <c r="C8659" s="95" t="str">
        <f>IFERROR(VLOOKUP("UD",'Informacion '!P:Q,2,FALSE),"")</f>
        <v>Unidad</v>
      </c>
      <c r="D8659" s="94">
        <v>1</v>
      </c>
      <c r="E8659" s="84">
        <v>640</v>
      </c>
      <c r="F8659" s="83">
        <f t="shared" ca="1" si="337"/>
        <v>640</v>
      </c>
    </row>
    <row r="8660" spans="1:10" ht="14.1" customHeight="1" x14ac:dyDescent="0.25">
      <c r="E8660" s="96" t="s">
        <v>7213</v>
      </c>
      <c r="F8660" s="87">
        <f ca="1">SUM(Table220[MONTO TOTAL ESTIMADO])</f>
        <v>121659070.51999998</v>
      </c>
      <c r="H8660" s="39" t="str">
        <f>C8546</f>
        <v>Bienes</v>
      </c>
      <c r="I8660" s="39" t="str">
        <f>E8546</f>
        <v>No</v>
      </c>
      <c r="J8660" s="39" t="str">
        <f>D8546</f>
        <v>Compras Menores</v>
      </c>
    </row>
    <row r="8662" spans="1:10" ht="33.950000000000003" customHeight="1" x14ac:dyDescent="0.25">
      <c r="A8662" s="77" t="s">
        <v>17233</v>
      </c>
      <c r="B8662" s="77" t="s">
        <v>4237</v>
      </c>
      <c r="C8662" s="77" t="s">
        <v>4743</v>
      </c>
      <c r="D8662" s="77" t="s">
        <v>9891</v>
      </c>
      <c r="E8662" s="77" t="s">
        <v>3089</v>
      </c>
      <c r="F8662" s="77" t="s">
        <v>18141</v>
      </c>
    </row>
    <row r="8663" spans="1:10" ht="14.1" customHeight="1" x14ac:dyDescent="0.25">
      <c r="A8663" s="79" t="s">
        <v>2210</v>
      </c>
      <c r="B8663" s="79" t="s">
        <v>2182</v>
      </c>
      <c r="C8663" s="79" t="s">
        <v>17215</v>
      </c>
      <c r="D8663" s="79" t="s">
        <v>17798</v>
      </c>
      <c r="E8663" s="79" t="s">
        <v>18247</v>
      </c>
      <c r="F8663" s="79"/>
    </row>
    <row r="8664" spans="1:10" ht="14.1" customHeight="1" x14ac:dyDescent="0.25">
      <c r="A8664" s="2" t="s">
        <v>6643</v>
      </c>
      <c r="B8664" s="80" t="s">
        <v>1046</v>
      </c>
      <c r="C8664" s="90">
        <v>43556</v>
      </c>
      <c r="D8664" s="2" t="s">
        <v>59</v>
      </c>
      <c r="E8664" s="92" t="s">
        <v>20066</v>
      </c>
      <c r="F8664" s="93" t="s">
        <v>5684</v>
      </c>
    </row>
    <row r="8665" spans="1:10" ht="14.1" customHeight="1" x14ac:dyDescent="0.25">
      <c r="A8665" s="1"/>
      <c r="B8665" s="80" t="s">
        <v>10788</v>
      </c>
      <c r="C8665" s="91">
        <f>IF(C8664="","",IF(AND(MONTH(C8664)&gt;=1,MONTH(C8664)&lt;=3),1,IF(AND(MONTH(C8664)&gt;=4,MONTH(C8664)&lt;=6),2,IF(AND(MONTH(C8664)&gt;=7,MONTH(C8664)&lt;=9),3,4))))</f>
        <v>2</v>
      </c>
      <c r="D8665" s="1"/>
      <c r="E8665" s="92" t="s">
        <v>14822</v>
      </c>
      <c r="F8665" s="93"/>
    </row>
    <row r="8666" spans="1:10" ht="14.1" customHeight="1" x14ac:dyDescent="0.25">
      <c r="A8666" s="1"/>
      <c r="B8666" s="80" t="s">
        <v>13758</v>
      </c>
      <c r="C8666" s="90">
        <v>43644</v>
      </c>
      <c r="D8666" s="1"/>
      <c r="E8666" s="92" t="s">
        <v>18636</v>
      </c>
      <c r="F8666" s="93"/>
    </row>
    <row r="8667" spans="1:10" ht="14.1" customHeight="1" x14ac:dyDescent="0.25">
      <c r="A8667" s="1"/>
      <c r="B8667" s="80" t="s">
        <v>10788</v>
      </c>
      <c r="C8667" s="91">
        <f>IF(C8666="","",IF(AND(MONTH(C8666)&gt;=1,MONTH(C8666)&lt;=3),1,IF(AND(MONTH(C8666)&gt;=4,MONTH(C8666)&lt;=6),2,IF(AND(MONTH(C8666)&gt;=7,MONTH(C8666)&lt;=9),3,4))))</f>
        <v>2</v>
      </c>
      <c r="D8667" s="1"/>
      <c r="E8667" s="92" t="s">
        <v>15990</v>
      </c>
      <c r="F8667" s="93"/>
    </row>
    <row r="8669" spans="1:10" ht="14.1" customHeight="1" x14ac:dyDescent="0.25">
      <c r="A8669" s="85" t="s">
        <v>15474</v>
      </c>
      <c r="B8669" s="85" t="s">
        <v>5027</v>
      </c>
      <c r="C8669" s="85" t="s">
        <v>17461</v>
      </c>
      <c r="D8669" s="85" t="s">
        <v>3935</v>
      </c>
      <c r="E8669" s="85" t="s">
        <v>10722</v>
      </c>
      <c r="F8669" s="85" t="s">
        <v>18237</v>
      </c>
    </row>
    <row r="8670" spans="1:10" ht="14.1" customHeight="1" x14ac:dyDescent="0.25">
      <c r="A8670" s="94" t="s">
        <v>5138</v>
      </c>
      <c r="B8670" s="82" t="str">
        <f t="shared" ref="B8670:B8679" ca="1" si="338">IFERROR(INDEX(UNSPSCDes,MATCH(INDIRECT(ADDRESS(ROW(),COLUMN()-1,4)),UNSPSCCode,0)),IF(INDIRECT(ADDRESS(ROW(),COLUMN()-1,4))="41103801","Mezcladores de laboratorio",""))</f>
        <v>Mezcladores de laboratorio</v>
      </c>
      <c r="C8670" s="95" t="str">
        <f>IFERROR(VLOOKUP("UD",'Informacion '!P:Q,2,FALSE),"")</f>
        <v>Unidad</v>
      </c>
      <c r="D8670" s="94">
        <v>2</v>
      </c>
      <c r="E8670" s="84">
        <v>2571.4</v>
      </c>
      <c r="F8670" s="83">
        <f t="shared" ref="F8670:F8701" ca="1" si="339">INDIRECT(ADDRESS(ROW(),COLUMN()-2,4))*INDIRECT(ADDRESS(ROW(),COLUMN()-1,4))</f>
        <v>5142.8</v>
      </c>
    </row>
    <row r="8671" spans="1:10" ht="14.1" customHeight="1" x14ac:dyDescent="0.25">
      <c r="A8671" s="94" t="s">
        <v>5138</v>
      </c>
      <c r="B8671" s="82" t="str">
        <f t="shared" ca="1" si="338"/>
        <v>Mezcladores de laboratorio</v>
      </c>
      <c r="C8671" s="95" t="str">
        <f>IFERROR(VLOOKUP("UD",'Informacion '!P:Q,2,FALSE),"")</f>
        <v>Unidad</v>
      </c>
      <c r="D8671" s="94">
        <v>3</v>
      </c>
      <c r="E8671" s="84">
        <v>825.62</v>
      </c>
      <c r="F8671" s="83">
        <f t="shared" ca="1" si="339"/>
        <v>2476.86</v>
      </c>
    </row>
    <row r="8672" spans="1:10" ht="14.1" customHeight="1" x14ac:dyDescent="0.25">
      <c r="A8672" s="94" t="s">
        <v>5138</v>
      </c>
      <c r="B8672" s="82" t="str">
        <f t="shared" ca="1" si="338"/>
        <v>Mezcladores de laboratorio</v>
      </c>
      <c r="C8672" s="95" t="str">
        <f>IFERROR(VLOOKUP("UD",'Informacion '!P:Q,2,FALSE),"")</f>
        <v>Unidad</v>
      </c>
      <c r="D8672" s="94">
        <v>2</v>
      </c>
      <c r="E8672" s="84">
        <v>4894.72</v>
      </c>
      <c r="F8672" s="83">
        <f t="shared" ca="1" si="339"/>
        <v>9789.44</v>
      </c>
    </row>
    <row r="8673" spans="1:6" ht="14.1" customHeight="1" x14ac:dyDescent="0.25">
      <c r="A8673" s="94" t="s">
        <v>5138</v>
      </c>
      <c r="B8673" s="82" t="str">
        <f t="shared" ca="1" si="338"/>
        <v>Mezcladores de laboratorio</v>
      </c>
      <c r="C8673" s="95" t="str">
        <f>IFERROR(VLOOKUP("UD",'Informacion '!P:Q,2,FALSE),"")</f>
        <v>Unidad</v>
      </c>
      <c r="D8673" s="94">
        <v>8</v>
      </c>
      <c r="E8673" s="84">
        <v>1987.84</v>
      </c>
      <c r="F8673" s="83">
        <f t="shared" ca="1" si="339"/>
        <v>15902.72</v>
      </c>
    </row>
    <row r="8674" spans="1:6" ht="14.1" customHeight="1" x14ac:dyDescent="0.25">
      <c r="A8674" s="94" t="s">
        <v>5138</v>
      </c>
      <c r="B8674" s="82" t="str">
        <f t="shared" ca="1" si="338"/>
        <v>Mezcladores de laboratorio</v>
      </c>
      <c r="C8674" s="95" t="str">
        <f>IFERROR(VLOOKUP("UD",'Informacion '!P:Q,2,FALSE),"")</f>
        <v>Unidad</v>
      </c>
      <c r="D8674" s="94">
        <v>6</v>
      </c>
      <c r="E8674" s="84">
        <v>4021.84</v>
      </c>
      <c r="F8674" s="83">
        <f t="shared" ca="1" si="339"/>
        <v>24131.040000000001</v>
      </c>
    </row>
    <row r="8675" spans="1:6" ht="14.1" customHeight="1" x14ac:dyDescent="0.25">
      <c r="A8675" s="94" t="s">
        <v>5138</v>
      </c>
      <c r="B8675" s="82" t="str">
        <f t="shared" ca="1" si="338"/>
        <v>Mezcladores de laboratorio</v>
      </c>
      <c r="C8675" s="95" t="str">
        <f>IFERROR(VLOOKUP("UD",'Informacion '!P:Q,2,FALSE),"")</f>
        <v>Unidad</v>
      </c>
      <c r="D8675" s="94">
        <v>3</v>
      </c>
      <c r="E8675" s="84">
        <v>9962.94</v>
      </c>
      <c r="F8675" s="83">
        <f t="shared" ca="1" si="339"/>
        <v>29888.82</v>
      </c>
    </row>
    <row r="8676" spans="1:6" ht="14.1" customHeight="1" x14ac:dyDescent="0.25">
      <c r="A8676" s="94" t="s">
        <v>5138</v>
      </c>
      <c r="B8676" s="82" t="str">
        <f t="shared" ca="1" si="338"/>
        <v>Mezcladores de laboratorio</v>
      </c>
      <c r="C8676" s="95" t="str">
        <f>IFERROR(VLOOKUP("UD",'Informacion '!P:Q,2,FALSE),"")</f>
        <v>Unidad</v>
      </c>
      <c r="D8676" s="94">
        <v>21</v>
      </c>
      <c r="E8676" s="84">
        <v>5585.61</v>
      </c>
      <c r="F8676" s="83">
        <f t="shared" ca="1" si="339"/>
        <v>117297.81</v>
      </c>
    </row>
    <row r="8677" spans="1:6" ht="14.1" customHeight="1" x14ac:dyDescent="0.25">
      <c r="A8677" s="94" t="s">
        <v>5138</v>
      </c>
      <c r="B8677" s="82" t="str">
        <f t="shared" ca="1" si="338"/>
        <v>Mezcladores de laboratorio</v>
      </c>
      <c r="C8677" s="95" t="str">
        <f>IFERROR(VLOOKUP("UD",'Informacion '!P:Q,2,FALSE),"")</f>
        <v>Unidad</v>
      </c>
      <c r="D8677" s="94">
        <v>3</v>
      </c>
      <c r="E8677" s="84">
        <v>4866.29</v>
      </c>
      <c r="F8677" s="83">
        <f t="shared" ca="1" si="339"/>
        <v>14598.869999999999</v>
      </c>
    </row>
    <row r="8678" spans="1:6" ht="14.1" customHeight="1" x14ac:dyDescent="0.25">
      <c r="A8678" s="94" t="s">
        <v>5138</v>
      </c>
      <c r="B8678" s="82" t="str">
        <f t="shared" ca="1" si="338"/>
        <v>Mezcladores de laboratorio</v>
      </c>
      <c r="C8678" s="95" t="str">
        <f>IFERROR(VLOOKUP("UD",'Informacion '!P:Q,2,FALSE),"")</f>
        <v>Unidad</v>
      </c>
      <c r="D8678" s="94">
        <v>235</v>
      </c>
      <c r="E8678" s="84">
        <v>14.42</v>
      </c>
      <c r="F8678" s="83">
        <f t="shared" ca="1" si="339"/>
        <v>3388.7</v>
      </c>
    </row>
    <row r="8679" spans="1:6" ht="14.1" customHeight="1" x14ac:dyDescent="0.25">
      <c r="A8679" s="94" t="s">
        <v>5138</v>
      </c>
      <c r="B8679" s="82" t="str">
        <f t="shared" ca="1" si="338"/>
        <v>Mezcladores de laboratorio</v>
      </c>
      <c r="C8679" s="95" t="str">
        <f>IFERROR(VLOOKUP("UD",'Informacion '!P:Q,2,FALSE),"")</f>
        <v>Unidad</v>
      </c>
      <c r="D8679" s="94">
        <v>3570</v>
      </c>
      <c r="E8679" s="84">
        <v>0.35</v>
      </c>
      <c r="F8679" s="83">
        <f t="shared" ca="1" si="339"/>
        <v>1249.5</v>
      </c>
    </row>
    <row r="8680" spans="1:6" ht="14.1" customHeight="1" x14ac:dyDescent="0.25">
      <c r="A8680" s="94" t="s">
        <v>3593</v>
      </c>
      <c r="B8680" s="82" t="str">
        <f t="shared" ref="B8680:B8685" ca="1" si="340">IFERROR(INDEX(UNSPSCDes,MATCH(INDIRECT(ADDRESS(ROW(),COLUMN()-1,4)),UNSPSCCode,0)),IF(INDIRECT(ADDRESS(ROW(),COLUMN()-1,4))="51181506","Insulina",""))</f>
        <v>Insulina</v>
      </c>
      <c r="C8680" s="95" t="str">
        <f>IFERROR(VLOOKUP("UD",'Informacion '!P:Q,2,FALSE),"")</f>
        <v>Unidad</v>
      </c>
      <c r="D8680" s="94">
        <v>1171</v>
      </c>
      <c r="E8680" s="84">
        <v>0.72</v>
      </c>
      <c r="F8680" s="83">
        <f t="shared" ca="1" si="339"/>
        <v>843.12</v>
      </c>
    </row>
    <row r="8681" spans="1:6" ht="14.1" customHeight="1" x14ac:dyDescent="0.25">
      <c r="A8681" s="94" t="s">
        <v>3593</v>
      </c>
      <c r="B8681" s="82" t="str">
        <f t="shared" ca="1" si="340"/>
        <v>Insulina</v>
      </c>
      <c r="C8681" s="95" t="str">
        <f>IFERROR(VLOOKUP("UD",'Informacion '!P:Q,2,FALSE),"")</f>
        <v>Unidad</v>
      </c>
      <c r="D8681" s="94">
        <v>3044</v>
      </c>
      <c r="E8681" s="84">
        <v>21.6</v>
      </c>
      <c r="F8681" s="83">
        <f t="shared" ca="1" si="339"/>
        <v>65750.400000000009</v>
      </c>
    </row>
    <row r="8682" spans="1:6" ht="14.1" customHeight="1" x14ac:dyDescent="0.25">
      <c r="A8682" s="94" t="s">
        <v>3593</v>
      </c>
      <c r="B8682" s="82" t="str">
        <f t="shared" ca="1" si="340"/>
        <v>Insulina</v>
      </c>
      <c r="C8682" s="95" t="str">
        <f>IFERROR(VLOOKUP("UD",'Informacion '!P:Q,2,FALSE),"")</f>
        <v>Unidad</v>
      </c>
      <c r="D8682" s="94">
        <v>1301</v>
      </c>
      <c r="E8682" s="84">
        <v>4.21</v>
      </c>
      <c r="F8682" s="83">
        <f t="shared" ca="1" si="339"/>
        <v>5477.21</v>
      </c>
    </row>
    <row r="8683" spans="1:6" ht="14.1" customHeight="1" x14ac:dyDescent="0.25">
      <c r="A8683" s="94" t="s">
        <v>3593</v>
      </c>
      <c r="B8683" s="82" t="str">
        <f t="shared" ca="1" si="340"/>
        <v>Insulina</v>
      </c>
      <c r="C8683" s="95" t="str">
        <f>IFERROR(VLOOKUP("UD",'Informacion '!P:Q,2,FALSE),"")</f>
        <v>Unidad</v>
      </c>
      <c r="D8683" s="94">
        <v>1041</v>
      </c>
      <c r="E8683" s="84">
        <v>12.64</v>
      </c>
      <c r="F8683" s="83">
        <f t="shared" ca="1" si="339"/>
        <v>13158.24</v>
      </c>
    </row>
    <row r="8684" spans="1:6" ht="14.1" customHeight="1" x14ac:dyDescent="0.25">
      <c r="A8684" s="94" t="s">
        <v>3593</v>
      </c>
      <c r="B8684" s="82" t="str">
        <f t="shared" ca="1" si="340"/>
        <v>Insulina</v>
      </c>
      <c r="C8684" s="95" t="str">
        <f>IFERROR(VLOOKUP("UD",'Informacion '!P:Q,2,FALSE),"")</f>
        <v>Unidad</v>
      </c>
      <c r="D8684" s="94">
        <v>2341</v>
      </c>
      <c r="E8684" s="84">
        <v>0.66</v>
      </c>
      <c r="F8684" s="83">
        <f t="shared" ca="1" si="339"/>
        <v>1545.0600000000002</v>
      </c>
    </row>
    <row r="8685" spans="1:6" ht="14.1" customHeight="1" x14ac:dyDescent="0.25">
      <c r="A8685" s="94" t="s">
        <v>3593</v>
      </c>
      <c r="B8685" s="82" t="str">
        <f t="shared" ca="1" si="340"/>
        <v>Insulina</v>
      </c>
      <c r="C8685" s="95" t="str">
        <f>IFERROR(VLOOKUP("UD",'Informacion '!P:Q,2,FALSE),"")</f>
        <v>Unidad</v>
      </c>
      <c r="D8685" s="94">
        <v>14</v>
      </c>
      <c r="E8685" s="84">
        <v>116.82</v>
      </c>
      <c r="F8685" s="83">
        <f t="shared" ca="1" si="339"/>
        <v>1635.48</v>
      </c>
    </row>
    <row r="8686" spans="1:6" ht="14.1" customHeight="1" x14ac:dyDescent="0.25">
      <c r="A8686" s="94" t="s">
        <v>5138</v>
      </c>
      <c r="B8686" s="82" t="str">
        <f t="shared" ref="B8686:B8691" ca="1" si="341">IFERROR(INDEX(UNSPSCDes,MATCH(INDIRECT(ADDRESS(ROW(),COLUMN()-1,4)),UNSPSCCode,0)),IF(INDIRECT(ADDRESS(ROW(),COLUMN()-1,4))="41103801","Mezcladores de laboratorio",""))</f>
        <v>Mezcladores de laboratorio</v>
      </c>
      <c r="C8686" s="95" t="str">
        <f>IFERROR(VLOOKUP("UD",'Informacion '!P:Q,2,FALSE),"")</f>
        <v>Unidad</v>
      </c>
      <c r="D8686" s="94">
        <v>2</v>
      </c>
      <c r="E8686" s="84">
        <v>180.94</v>
      </c>
      <c r="F8686" s="83">
        <f t="shared" ca="1" si="339"/>
        <v>361.88</v>
      </c>
    </row>
    <row r="8687" spans="1:6" ht="14.1" customHeight="1" x14ac:dyDescent="0.25">
      <c r="A8687" s="94" t="s">
        <v>5138</v>
      </c>
      <c r="B8687" s="82" t="str">
        <f t="shared" ca="1" si="341"/>
        <v>Mezcladores de laboratorio</v>
      </c>
      <c r="C8687" s="95" t="str">
        <f>IFERROR(VLOOKUP("UD",'Informacion '!P:Q,2,FALSE),"")</f>
        <v>Unidad</v>
      </c>
      <c r="D8687" s="94">
        <v>79</v>
      </c>
      <c r="E8687" s="84">
        <v>151.59</v>
      </c>
      <c r="F8687" s="83">
        <f t="shared" ca="1" si="339"/>
        <v>11975.61</v>
      </c>
    </row>
    <row r="8688" spans="1:6" ht="14.1" customHeight="1" x14ac:dyDescent="0.25">
      <c r="A8688" s="94" t="s">
        <v>5138</v>
      </c>
      <c r="B8688" s="82" t="str">
        <f t="shared" ca="1" si="341"/>
        <v>Mezcladores de laboratorio</v>
      </c>
      <c r="C8688" s="95" t="str">
        <f>IFERROR(VLOOKUP("UD",'Informacion '!P:Q,2,FALSE),"")</f>
        <v>Unidad</v>
      </c>
      <c r="D8688" s="94">
        <v>5</v>
      </c>
      <c r="E8688" s="84">
        <v>62.24</v>
      </c>
      <c r="F8688" s="83">
        <f t="shared" ca="1" si="339"/>
        <v>311.2</v>
      </c>
    </row>
    <row r="8689" spans="1:6" ht="14.1" customHeight="1" x14ac:dyDescent="0.25">
      <c r="A8689" s="94" t="s">
        <v>5138</v>
      </c>
      <c r="B8689" s="82" t="str">
        <f t="shared" ca="1" si="341"/>
        <v>Mezcladores de laboratorio</v>
      </c>
      <c r="C8689" s="95" t="str">
        <f>IFERROR(VLOOKUP("UD",'Informacion '!P:Q,2,FALSE),"")</f>
        <v>Unidad</v>
      </c>
      <c r="D8689" s="94">
        <v>2601</v>
      </c>
      <c r="E8689" s="84">
        <v>0.32</v>
      </c>
      <c r="F8689" s="83">
        <f t="shared" ca="1" si="339"/>
        <v>832.32</v>
      </c>
    </row>
    <row r="8690" spans="1:6" ht="14.1" customHeight="1" x14ac:dyDescent="0.25">
      <c r="A8690" s="94" t="s">
        <v>5138</v>
      </c>
      <c r="B8690" s="82" t="str">
        <f t="shared" ca="1" si="341"/>
        <v>Mezcladores de laboratorio</v>
      </c>
      <c r="C8690" s="95" t="str">
        <f>IFERROR(VLOOKUP("UD",'Informacion '!P:Q,2,FALSE),"")</f>
        <v>Unidad</v>
      </c>
      <c r="D8690" s="94">
        <v>3019</v>
      </c>
      <c r="E8690" s="84">
        <v>9.5500000000000007</v>
      </c>
      <c r="F8690" s="83">
        <f t="shared" ca="1" si="339"/>
        <v>28831.45</v>
      </c>
    </row>
    <row r="8691" spans="1:6" ht="14.1" customHeight="1" x14ac:dyDescent="0.25">
      <c r="A8691" s="94" t="s">
        <v>5138</v>
      </c>
      <c r="B8691" s="82" t="str">
        <f t="shared" ca="1" si="341"/>
        <v>Mezcladores de laboratorio</v>
      </c>
      <c r="C8691" s="95" t="str">
        <f>IFERROR(VLOOKUP("UD",'Informacion '!P:Q,2,FALSE),"")</f>
        <v>Unidad</v>
      </c>
      <c r="D8691" s="94">
        <v>79</v>
      </c>
      <c r="E8691" s="84">
        <v>37.81</v>
      </c>
      <c r="F8691" s="83">
        <f t="shared" ca="1" si="339"/>
        <v>2986.9900000000002</v>
      </c>
    </row>
    <row r="8692" spans="1:6" ht="14.1" customHeight="1" x14ac:dyDescent="0.25">
      <c r="A8692" s="94" t="s">
        <v>16379</v>
      </c>
      <c r="B8692" s="82" t="str">
        <f t="shared" ref="B8692:B8723" ca="1" si="342">IFERROR(INDEX(UNSPSCDes,MATCH(INDIRECT(ADDRESS(ROW(),COLUMN()-1,4)),UNSPSCCode,0)),IF(INDIRECT(ADDRESS(ROW(),COLUMN()-1,4))="53131608","Jabones",""))</f>
        <v>Jabones</v>
      </c>
      <c r="C8692" s="95" t="str">
        <f>IFERROR(VLOOKUP("UD",'Informacion '!P:Q,2,FALSE),"")</f>
        <v>Unidad</v>
      </c>
      <c r="D8692" s="94">
        <v>3</v>
      </c>
      <c r="E8692" s="84">
        <v>1022.57</v>
      </c>
      <c r="F8692" s="83">
        <f t="shared" ca="1" si="339"/>
        <v>3067.71</v>
      </c>
    </row>
    <row r="8693" spans="1:6" ht="14.1" customHeight="1" x14ac:dyDescent="0.25">
      <c r="A8693" s="94" t="s">
        <v>16379</v>
      </c>
      <c r="B8693" s="82" t="str">
        <f t="shared" ca="1" si="342"/>
        <v>Jabones</v>
      </c>
      <c r="C8693" s="95" t="str">
        <f>IFERROR(VLOOKUP("UD",'Informacion '!P:Q,2,FALSE),"")</f>
        <v>Unidad</v>
      </c>
      <c r="D8693" s="94">
        <v>4</v>
      </c>
      <c r="E8693" s="84">
        <v>69.930000000000007</v>
      </c>
      <c r="F8693" s="83">
        <f t="shared" ca="1" si="339"/>
        <v>279.72000000000003</v>
      </c>
    </row>
    <row r="8694" spans="1:6" ht="14.1" customHeight="1" x14ac:dyDescent="0.25">
      <c r="A8694" s="94" t="s">
        <v>16379</v>
      </c>
      <c r="B8694" s="82" t="str">
        <f t="shared" ca="1" si="342"/>
        <v>Jabones</v>
      </c>
      <c r="C8694" s="95" t="str">
        <f>IFERROR(VLOOKUP("UD",'Informacion '!P:Q,2,FALSE),"")</f>
        <v>Unidad</v>
      </c>
      <c r="D8694" s="94">
        <v>391</v>
      </c>
      <c r="E8694" s="84">
        <v>40.58</v>
      </c>
      <c r="F8694" s="83">
        <f t="shared" ca="1" si="339"/>
        <v>15866.779999999999</v>
      </c>
    </row>
    <row r="8695" spans="1:6" ht="14.1" customHeight="1" x14ac:dyDescent="0.25">
      <c r="A8695" s="94" t="s">
        <v>16379</v>
      </c>
      <c r="B8695" s="82" t="str">
        <f t="shared" ca="1" si="342"/>
        <v>Jabones</v>
      </c>
      <c r="C8695" s="95" t="str">
        <f>IFERROR(VLOOKUP("UD",'Informacion '!P:Q,2,FALSE),"")</f>
        <v>Unidad</v>
      </c>
      <c r="D8695" s="94">
        <v>417</v>
      </c>
      <c r="E8695" s="84">
        <v>11.52</v>
      </c>
      <c r="F8695" s="83">
        <f t="shared" ca="1" si="339"/>
        <v>4803.84</v>
      </c>
    </row>
    <row r="8696" spans="1:6" ht="14.1" customHeight="1" x14ac:dyDescent="0.25">
      <c r="A8696" s="94" t="s">
        <v>16379</v>
      </c>
      <c r="B8696" s="82" t="str">
        <f t="shared" ca="1" si="342"/>
        <v>Jabones</v>
      </c>
      <c r="C8696" s="95" t="str">
        <f>IFERROR(VLOOKUP("UD",'Informacion '!P:Q,2,FALSE),"")</f>
        <v>Unidad</v>
      </c>
      <c r="D8696" s="94">
        <v>1574</v>
      </c>
      <c r="E8696" s="84">
        <v>6</v>
      </c>
      <c r="F8696" s="83">
        <f t="shared" ca="1" si="339"/>
        <v>9444</v>
      </c>
    </row>
    <row r="8697" spans="1:6" ht="14.1" customHeight="1" x14ac:dyDescent="0.25">
      <c r="A8697" s="94" t="s">
        <v>16379</v>
      </c>
      <c r="B8697" s="82" t="str">
        <f t="shared" ca="1" si="342"/>
        <v>Jabones</v>
      </c>
      <c r="C8697" s="95" t="str">
        <f>IFERROR(VLOOKUP("UD",'Informacion '!P:Q,2,FALSE),"")</f>
        <v>Unidad</v>
      </c>
      <c r="D8697" s="94">
        <v>11289</v>
      </c>
      <c r="E8697" s="84">
        <v>6.25</v>
      </c>
      <c r="F8697" s="83">
        <f t="shared" ca="1" si="339"/>
        <v>70556.25</v>
      </c>
    </row>
    <row r="8698" spans="1:6" ht="14.1" customHeight="1" x14ac:dyDescent="0.25">
      <c r="A8698" s="94" t="s">
        <v>16379</v>
      </c>
      <c r="B8698" s="82" t="str">
        <f t="shared" ca="1" si="342"/>
        <v>Jabones</v>
      </c>
      <c r="C8698" s="95" t="str">
        <f>IFERROR(VLOOKUP("UD",'Informacion '!P:Q,2,FALSE),"")</f>
        <v>Unidad</v>
      </c>
      <c r="D8698" s="94">
        <v>5489</v>
      </c>
      <c r="E8698" s="84">
        <v>5.76</v>
      </c>
      <c r="F8698" s="83">
        <f t="shared" ca="1" si="339"/>
        <v>31616.639999999999</v>
      </c>
    </row>
    <row r="8699" spans="1:6" ht="14.1" customHeight="1" x14ac:dyDescent="0.25">
      <c r="A8699" s="94" t="s">
        <v>16379</v>
      </c>
      <c r="B8699" s="82" t="str">
        <f t="shared" ca="1" si="342"/>
        <v>Jabones</v>
      </c>
      <c r="C8699" s="95" t="str">
        <f>IFERROR(VLOOKUP("UD",'Informacion '!P:Q,2,FALSE),"")</f>
        <v>Unidad</v>
      </c>
      <c r="D8699" s="94">
        <v>12</v>
      </c>
      <c r="E8699" s="84">
        <v>182.31</v>
      </c>
      <c r="F8699" s="83">
        <f t="shared" ca="1" si="339"/>
        <v>2187.7200000000003</v>
      </c>
    </row>
    <row r="8700" spans="1:6" ht="14.1" customHeight="1" x14ac:dyDescent="0.25">
      <c r="A8700" s="94" t="s">
        <v>16379</v>
      </c>
      <c r="B8700" s="82" t="str">
        <f t="shared" ca="1" si="342"/>
        <v>Jabones</v>
      </c>
      <c r="C8700" s="95" t="str">
        <f>IFERROR(VLOOKUP("UD",'Informacion '!P:Q,2,FALSE),"")</f>
        <v>Unidad</v>
      </c>
      <c r="D8700" s="94">
        <v>40</v>
      </c>
      <c r="E8700" s="84">
        <v>259.02999999999997</v>
      </c>
      <c r="F8700" s="83">
        <f t="shared" ca="1" si="339"/>
        <v>10361.199999999999</v>
      </c>
    </row>
    <row r="8701" spans="1:6" ht="14.1" customHeight="1" x14ac:dyDescent="0.25">
      <c r="A8701" s="94" t="s">
        <v>16379</v>
      </c>
      <c r="B8701" s="82" t="str">
        <f t="shared" ca="1" si="342"/>
        <v>Jabones</v>
      </c>
      <c r="C8701" s="95" t="str">
        <f>IFERROR(VLOOKUP("UD",'Informacion '!P:Q,2,FALSE),"")</f>
        <v>Unidad</v>
      </c>
      <c r="D8701" s="94">
        <v>8</v>
      </c>
      <c r="E8701" s="84">
        <v>828.36</v>
      </c>
      <c r="F8701" s="83">
        <f t="shared" ca="1" si="339"/>
        <v>6626.88</v>
      </c>
    </row>
    <row r="8702" spans="1:6" ht="14.1" customHeight="1" x14ac:dyDescent="0.25">
      <c r="A8702" s="94" t="s">
        <v>16379</v>
      </c>
      <c r="B8702" s="82" t="str">
        <f t="shared" ca="1" si="342"/>
        <v>Jabones</v>
      </c>
      <c r="C8702" s="95" t="str">
        <f>IFERROR(VLOOKUP("UD",'Informacion '!P:Q,2,FALSE),"")</f>
        <v>Unidad</v>
      </c>
      <c r="D8702" s="94">
        <v>116</v>
      </c>
      <c r="E8702" s="84">
        <v>367.1</v>
      </c>
      <c r="F8702" s="83">
        <f t="shared" ref="F8702:F8733" ca="1" si="343">INDIRECT(ADDRESS(ROW(),COLUMN()-2,4))*INDIRECT(ADDRESS(ROW(),COLUMN()-1,4))</f>
        <v>42583.600000000006</v>
      </c>
    </row>
    <row r="8703" spans="1:6" ht="14.1" customHeight="1" x14ac:dyDescent="0.25">
      <c r="A8703" s="94" t="s">
        <v>16379</v>
      </c>
      <c r="B8703" s="82" t="str">
        <f t="shared" ca="1" si="342"/>
        <v>Jabones</v>
      </c>
      <c r="C8703" s="95" t="str">
        <f>IFERROR(VLOOKUP("UD",'Informacion '!P:Q,2,FALSE),"")</f>
        <v>Unidad</v>
      </c>
      <c r="D8703" s="94">
        <v>183</v>
      </c>
      <c r="E8703" s="84">
        <v>12.71</v>
      </c>
      <c r="F8703" s="83">
        <f t="shared" ca="1" si="343"/>
        <v>2325.9300000000003</v>
      </c>
    </row>
    <row r="8704" spans="1:6" ht="14.1" customHeight="1" x14ac:dyDescent="0.25">
      <c r="A8704" s="94" t="s">
        <v>16379</v>
      </c>
      <c r="B8704" s="82" t="str">
        <f t="shared" ca="1" si="342"/>
        <v>Jabones</v>
      </c>
      <c r="C8704" s="95" t="str">
        <f>IFERROR(VLOOKUP("UD",'Informacion '!P:Q,2,FALSE),"")</f>
        <v>Unidad</v>
      </c>
      <c r="D8704" s="94">
        <v>209</v>
      </c>
      <c r="E8704" s="84">
        <v>11.73</v>
      </c>
      <c r="F8704" s="83">
        <f t="shared" ca="1" si="343"/>
        <v>2451.5700000000002</v>
      </c>
    </row>
    <row r="8705" spans="1:6" ht="14.1" customHeight="1" x14ac:dyDescent="0.25">
      <c r="A8705" s="94" t="s">
        <v>16379</v>
      </c>
      <c r="B8705" s="82" t="str">
        <f t="shared" ca="1" si="342"/>
        <v>Jabones</v>
      </c>
      <c r="C8705" s="95" t="str">
        <f>IFERROR(VLOOKUP("UD",'Informacion '!P:Q,2,FALSE),"")</f>
        <v>Unidad</v>
      </c>
      <c r="D8705" s="94">
        <v>22</v>
      </c>
      <c r="E8705" s="84">
        <v>100.8</v>
      </c>
      <c r="F8705" s="83">
        <f t="shared" ca="1" si="343"/>
        <v>2217.6</v>
      </c>
    </row>
    <row r="8706" spans="1:6" ht="14.1" customHeight="1" x14ac:dyDescent="0.25">
      <c r="A8706" s="94" t="s">
        <v>16379</v>
      </c>
      <c r="B8706" s="82" t="str">
        <f t="shared" ca="1" si="342"/>
        <v>Jabones</v>
      </c>
      <c r="C8706" s="95" t="str">
        <f>IFERROR(VLOOKUP("UD",'Informacion '!P:Q,2,FALSE),"")</f>
        <v>Unidad</v>
      </c>
      <c r="D8706" s="94">
        <v>2</v>
      </c>
      <c r="E8706" s="84">
        <v>3484.84</v>
      </c>
      <c r="F8706" s="83">
        <f t="shared" ca="1" si="343"/>
        <v>6969.68</v>
      </c>
    </row>
    <row r="8707" spans="1:6" ht="14.1" customHeight="1" x14ac:dyDescent="0.25">
      <c r="A8707" s="94" t="s">
        <v>16379</v>
      </c>
      <c r="B8707" s="82" t="str">
        <f t="shared" ca="1" si="342"/>
        <v>Jabones</v>
      </c>
      <c r="C8707" s="95" t="str">
        <f>IFERROR(VLOOKUP("UD",'Informacion '!P:Q,2,FALSE),"")</f>
        <v>Unidad</v>
      </c>
      <c r="D8707" s="94">
        <v>27</v>
      </c>
      <c r="E8707" s="84">
        <v>24.55</v>
      </c>
      <c r="F8707" s="83">
        <f t="shared" ca="1" si="343"/>
        <v>662.85</v>
      </c>
    </row>
    <row r="8708" spans="1:6" ht="14.1" customHeight="1" x14ac:dyDescent="0.25">
      <c r="A8708" s="94" t="s">
        <v>16379</v>
      </c>
      <c r="B8708" s="82" t="str">
        <f t="shared" ca="1" si="342"/>
        <v>Jabones</v>
      </c>
      <c r="C8708" s="95" t="str">
        <f>IFERROR(VLOOKUP("UD",'Informacion '!P:Q,2,FALSE),"")</f>
        <v>Unidad</v>
      </c>
      <c r="D8708" s="94">
        <v>53</v>
      </c>
      <c r="E8708" s="84">
        <v>207.36</v>
      </c>
      <c r="F8708" s="83">
        <f t="shared" ca="1" si="343"/>
        <v>10990.08</v>
      </c>
    </row>
    <row r="8709" spans="1:6" ht="14.1" customHeight="1" x14ac:dyDescent="0.25">
      <c r="A8709" s="94" t="s">
        <v>16379</v>
      </c>
      <c r="B8709" s="82" t="str">
        <f t="shared" ca="1" si="342"/>
        <v>Jabones</v>
      </c>
      <c r="C8709" s="95" t="str">
        <f>IFERROR(VLOOKUP("UD",'Informacion '!P:Q,2,FALSE),"")</f>
        <v>Unidad</v>
      </c>
      <c r="D8709" s="94">
        <v>146</v>
      </c>
      <c r="E8709" s="84">
        <v>207.36</v>
      </c>
      <c r="F8709" s="83">
        <f t="shared" ca="1" si="343"/>
        <v>30274.560000000001</v>
      </c>
    </row>
    <row r="8710" spans="1:6" ht="14.1" customHeight="1" x14ac:dyDescent="0.25">
      <c r="A8710" s="94" t="s">
        <v>16379</v>
      </c>
      <c r="B8710" s="82" t="str">
        <f t="shared" ca="1" si="342"/>
        <v>Jabones</v>
      </c>
      <c r="C8710" s="95" t="str">
        <f>IFERROR(VLOOKUP("UD",'Informacion '!P:Q,2,FALSE),"")</f>
        <v>Unidad</v>
      </c>
      <c r="D8710" s="94">
        <v>326</v>
      </c>
      <c r="E8710" s="84">
        <v>14.64</v>
      </c>
      <c r="F8710" s="83">
        <f t="shared" ca="1" si="343"/>
        <v>4772.6400000000003</v>
      </c>
    </row>
    <row r="8711" spans="1:6" ht="14.1" customHeight="1" x14ac:dyDescent="0.25">
      <c r="A8711" s="94" t="s">
        <v>16379</v>
      </c>
      <c r="B8711" s="82" t="str">
        <f t="shared" ca="1" si="342"/>
        <v>Jabones</v>
      </c>
      <c r="C8711" s="95" t="str">
        <f>IFERROR(VLOOKUP("UD",'Informacion '!P:Q,2,FALSE),"")</f>
        <v>Unidad</v>
      </c>
      <c r="D8711" s="94">
        <v>47</v>
      </c>
      <c r="E8711" s="84">
        <v>447.15</v>
      </c>
      <c r="F8711" s="83">
        <f t="shared" ca="1" si="343"/>
        <v>21016.05</v>
      </c>
    </row>
    <row r="8712" spans="1:6" ht="14.1" customHeight="1" x14ac:dyDescent="0.25">
      <c r="A8712" s="94" t="s">
        <v>16379</v>
      </c>
      <c r="B8712" s="82" t="str">
        <f t="shared" ca="1" si="342"/>
        <v>Jabones</v>
      </c>
      <c r="C8712" s="95" t="str">
        <f>IFERROR(VLOOKUP("UD",'Informacion '!P:Q,2,FALSE),"")</f>
        <v>Unidad</v>
      </c>
      <c r="D8712" s="94">
        <v>3</v>
      </c>
      <c r="E8712" s="84">
        <v>79.650000000000006</v>
      </c>
      <c r="F8712" s="83">
        <f t="shared" ca="1" si="343"/>
        <v>238.95000000000002</v>
      </c>
    </row>
    <row r="8713" spans="1:6" ht="14.1" customHeight="1" x14ac:dyDescent="0.25">
      <c r="A8713" s="94" t="s">
        <v>16379</v>
      </c>
      <c r="B8713" s="82" t="str">
        <f t="shared" ca="1" si="342"/>
        <v>Jabones</v>
      </c>
      <c r="C8713" s="95" t="str">
        <f>IFERROR(VLOOKUP("UD",'Informacion '!P:Q,2,FALSE),"")</f>
        <v>Unidad</v>
      </c>
      <c r="D8713" s="94">
        <v>2</v>
      </c>
      <c r="E8713" s="84">
        <v>381.07</v>
      </c>
      <c r="F8713" s="83">
        <f t="shared" ca="1" si="343"/>
        <v>762.14</v>
      </c>
    </row>
    <row r="8714" spans="1:6" ht="14.1" customHeight="1" x14ac:dyDescent="0.25">
      <c r="A8714" s="94" t="s">
        <v>16379</v>
      </c>
      <c r="B8714" s="82" t="str">
        <f t="shared" ca="1" si="342"/>
        <v>Jabones</v>
      </c>
      <c r="C8714" s="95" t="str">
        <f>IFERROR(VLOOKUP("UD",'Informacion '!P:Q,2,FALSE),"")</f>
        <v>Unidad</v>
      </c>
      <c r="D8714" s="94">
        <v>10</v>
      </c>
      <c r="E8714" s="84">
        <v>115</v>
      </c>
      <c r="F8714" s="83">
        <f t="shared" ca="1" si="343"/>
        <v>1150</v>
      </c>
    </row>
    <row r="8715" spans="1:6" ht="14.1" customHeight="1" x14ac:dyDescent="0.25">
      <c r="A8715" s="94" t="s">
        <v>16379</v>
      </c>
      <c r="B8715" s="82" t="str">
        <f t="shared" ca="1" si="342"/>
        <v>Jabones</v>
      </c>
      <c r="C8715" s="95" t="str">
        <f>IFERROR(VLOOKUP("UD",'Informacion '!P:Q,2,FALSE),"")</f>
        <v>Unidad</v>
      </c>
      <c r="D8715" s="94">
        <v>2</v>
      </c>
      <c r="E8715" s="84">
        <v>815</v>
      </c>
      <c r="F8715" s="83">
        <f t="shared" ca="1" si="343"/>
        <v>1630</v>
      </c>
    </row>
    <row r="8716" spans="1:6" ht="14.1" customHeight="1" x14ac:dyDescent="0.25">
      <c r="A8716" s="94" t="s">
        <v>16379</v>
      </c>
      <c r="B8716" s="82" t="str">
        <f t="shared" ca="1" si="342"/>
        <v>Jabones</v>
      </c>
      <c r="C8716" s="95" t="str">
        <f>IFERROR(VLOOKUP("UD",'Informacion '!P:Q,2,FALSE),"")</f>
        <v>Unidad</v>
      </c>
      <c r="D8716" s="94">
        <v>31</v>
      </c>
      <c r="E8716" s="84">
        <v>359.19</v>
      </c>
      <c r="F8716" s="83">
        <f t="shared" ca="1" si="343"/>
        <v>11134.89</v>
      </c>
    </row>
    <row r="8717" spans="1:6" ht="14.1" customHeight="1" x14ac:dyDescent="0.25">
      <c r="A8717" s="94" t="s">
        <v>16379</v>
      </c>
      <c r="B8717" s="82" t="str">
        <f t="shared" ca="1" si="342"/>
        <v>Jabones</v>
      </c>
      <c r="C8717" s="95" t="str">
        <f>IFERROR(VLOOKUP("UD",'Informacion '!P:Q,2,FALSE),"")</f>
        <v>Unidad</v>
      </c>
      <c r="D8717" s="94">
        <v>391</v>
      </c>
      <c r="E8717" s="84">
        <v>11.52</v>
      </c>
      <c r="F8717" s="83">
        <f t="shared" ca="1" si="343"/>
        <v>4504.32</v>
      </c>
    </row>
    <row r="8718" spans="1:6" ht="14.1" customHeight="1" x14ac:dyDescent="0.25">
      <c r="A8718" s="94" t="s">
        <v>16379</v>
      </c>
      <c r="B8718" s="82" t="str">
        <f t="shared" ca="1" si="342"/>
        <v>Jabones</v>
      </c>
      <c r="C8718" s="95" t="str">
        <f>IFERROR(VLOOKUP("UD",'Informacion '!P:Q,2,FALSE),"")</f>
        <v>Unidad</v>
      </c>
      <c r="D8718" s="94">
        <v>313</v>
      </c>
      <c r="E8718" s="84">
        <v>4.3</v>
      </c>
      <c r="F8718" s="83">
        <f t="shared" ca="1" si="343"/>
        <v>1345.8999999999999</v>
      </c>
    </row>
    <row r="8719" spans="1:6" ht="14.1" customHeight="1" x14ac:dyDescent="0.25">
      <c r="A8719" s="94" t="s">
        <v>16379</v>
      </c>
      <c r="B8719" s="82" t="str">
        <f t="shared" ca="1" si="342"/>
        <v>Jabones</v>
      </c>
      <c r="C8719" s="95" t="str">
        <f>IFERROR(VLOOKUP("UD",'Informacion '!P:Q,2,FALSE),"")</f>
        <v>Unidad</v>
      </c>
      <c r="D8719" s="94">
        <v>3</v>
      </c>
      <c r="E8719" s="84">
        <v>520</v>
      </c>
      <c r="F8719" s="83">
        <f t="shared" ca="1" si="343"/>
        <v>1560</v>
      </c>
    </row>
    <row r="8720" spans="1:6" ht="14.1" customHeight="1" x14ac:dyDescent="0.25">
      <c r="A8720" s="94" t="s">
        <v>16379</v>
      </c>
      <c r="B8720" s="82" t="str">
        <f t="shared" ca="1" si="342"/>
        <v>Jabones</v>
      </c>
      <c r="C8720" s="95" t="str">
        <f>IFERROR(VLOOKUP("UD",'Informacion '!P:Q,2,FALSE),"")</f>
        <v>Unidad</v>
      </c>
      <c r="D8720" s="94">
        <v>165</v>
      </c>
      <c r="E8720" s="84">
        <v>65.92</v>
      </c>
      <c r="F8720" s="83">
        <f t="shared" ca="1" si="343"/>
        <v>10876.800000000001</v>
      </c>
    </row>
    <row r="8721" spans="1:6" ht="14.1" customHeight="1" x14ac:dyDescent="0.25">
      <c r="A8721" s="94" t="s">
        <v>16379</v>
      </c>
      <c r="B8721" s="82" t="str">
        <f t="shared" ca="1" si="342"/>
        <v>Jabones</v>
      </c>
      <c r="C8721" s="95" t="str">
        <f>IFERROR(VLOOKUP("UD",'Informacion '!P:Q,2,FALSE),"")</f>
        <v>Unidad</v>
      </c>
      <c r="D8721" s="94">
        <v>965</v>
      </c>
      <c r="E8721" s="84">
        <v>9.17</v>
      </c>
      <c r="F8721" s="83">
        <f t="shared" ca="1" si="343"/>
        <v>8849.0499999999993</v>
      </c>
    </row>
    <row r="8722" spans="1:6" ht="14.1" customHeight="1" x14ac:dyDescent="0.25">
      <c r="A8722" s="94" t="s">
        <v>16379</v>
      </c>
      <c r="B8722" s="82" t="str">
        <f t="shared" ca="1" si="342"/>
        <v>Jabones</v>
      </c>
      <c r="C8722" s="95" t="str">
        <f>IFERROR(VLOOKUP("UD",'Informacion '!P:Q,2,FALSE),"")</f>
        <v>Unidad</v>
      </c>
      <c r="D8722" s="94">
        <v>417</v>
      </c>
      <c r="E8722" s="84">
        <v>11.55</v>
      </c>
      <c r="F8722" s="83">
        <f t="shared" ca="1" si="343"/>
        <v>4816.3500000000004</v>
      </c>
    </row>
    <row r="8723" spans="1:6" ht="14.1" customHeight="1" x14ac:dyDescent="0.25">
      <c r="A8723" s="94" t="s">
        <v>16379</v>
      </c>
      <c r="B8723" s="82" t="str">
        <f t="shared" ca="1" si="342"/>
        <v>Jabones</v>
      </c>
      <c r="C8723" s="95" t="str">
        <f>IFERROR(VLOOKUP("UD",'Informacion '!P:Q,2,FALSE),"")</f>
        <v>Unidad</v>
      </c>
      <c r="D8723" s="94">
        <v>3</v>
      </c>
      <c r="E8723" s="84">
        <v>68.14</v>
      </c>
      <c r="F8723" s="83">
        <f t="shared" ca="1" si="343"/>
        <v>204.42000000000002</v>
      </c>
    </row>
    <row r="8724" spans="1:6" ht="14.1" customHeight="1" x14ac:dyDescent="0.25">
      <c r="A8724" s="94" t="s">
        <v>16379</v>
      </c>
      <c r="B8724" s="82" t="str">
        <f t="shared" ref="B8724:B8755" ca="1" si="344">IFERROR(INDEX(UNSPSCDes,MATCH(INDIRECT(ADDRESS(ROW(),COLUMN()-1,4)),UNSPSCCode,0)),IF(INDIRECT(ADDRESS(ROW(),COLUMN()-1,4))="53131608","Jabones",""))</f>
        <v>Jabones</v>
      </c>
      <c r="C8724" s="95" t="str">
        <f>IFERROR(VLOOKUP("UD",'Informacion '!P:Q,2,FALSE),"")</f>
        <v>Unidad</v>
      </c>
      <c r="D8724" s="94">
        <v>3</v>
      </c>
      <c r="E8724" s="84">
        <v>223.17</v>
      </c>
      <c r="F8724" s="83">
        <f t="shared" ca="1" si="343"/>
        <v>669.51</v>
      </c>
    </row>
    <row r="8725" spans="1:6" ht="14.1" customHeight="1" x14ac:dyDescent="0.25">
      <c r="A8725" s="94" t="s">
        <v>16379</v>
      </c>
      <c r="B8725" s="82" t="str">
        <f t="shared" ca="1" si="344"/>
        <v>Jabones</v>
      </c>
      <c r="C8725" s="95" t="str">
        <f>IFERROR(VLOOKUP("UD",'Informacion '!P:Q,2,FALSE),"")</f>
        <v>Unidad</v>
      </c>
      <c r="D8725" s="94">
        <v>2</v>
      </c>
      <c r="E8725" s="84">
        <v>63.99</v>
      </c>
      <c r="F8725" s="83">
        <f t="shared" ca="1" si="343"/>
        <v>127.98</v>
      </c>
    </row>
    <row r="8726" spans="1:6" ht="14.1" customHeight="1" x14ac:dyDescent="0.25">
      <c r="A8726" s="94" t="s">
        <v>16379</v>
      </c>
      <c r="B8726" s="82" t="str">
        <f t="shared" ca="1" si="344"/>
        <v>Jabones</v>
      </c>
      <c r="C8726" s="95" t="str">
        <f>IFERROR(VLOOKUP("UD",'Informacion '!P:Q,2,FALSE),"")</f>
        <v>Unidad</v>
      </c>
      <c r="D8726" s="94">
        <v>2</v>
      </c>
      <c r="E8726" s="84">
        <v>36</v>
      </c>
      <c r="F8726" s="83">
        <f t="shared" ca="1" si="343"/>
        <v>72</v>
      </c>
    </row>
    <row r="8727" spans="1:6" ht="14.1" customHeight="1" x14ac:dyDescent="0.25">
      <c r="A8727" s="94" t="s">
        <v>16379</v>
      </c>
      <c r="B8727" s="82" t="str">
        <f t="shared" ca="1" si="344"/>
        <v>Jabones</v>
      </c>
      <c r="C8727" s="95" t="str">
        <f>IFERROR(VLOOKUP("UD",'Informacion '!P:Q,2,FALSE),"")</f>
        <v>Unidad</v>
      </c>
      <c r="D8727" s="94">
        <v>29</v>
      </c>
      <c r="E8727" s="84">
        <v>21.13</v>
      </c>
      <c r="F8727" s="83">
        <f t="shared" ca="1" si="343"/>
        <v>612.77</v>
      </c>
    </row>
    <row r="8728" spans="1:6" ht="14.1" customHeight="1" x14ac:dyDescent="0.25">
      <c r="A8728" s="94" t="s">
        <v>16379</v>
      </c>
      <c r="B8728" s="82" t="str">
        <f t="shared" ca="1" si="344"/>
        <v>Jabones</v>
      </c>
      <c r="C8728" s="95" t="str">
        <f>IFERROR(VLOOKUP("UD",'Informacion '!P:Q,2,FALSE),"")</f>
        <v>Unidad</v>
      </c>
      <c r="D8728" s="94">
        <v>44</v>
      </c>
      <c r="E8728" s="84">
        <v>6.9</v>
      </c>
      <c r="F8728" s="83">
        <f t="shared" ca="1" si="343"/>
        <v>303.60000000000002</v>
      </c>
    </row>
    <row r="8729" spans="1:6" ht="14.1" customHeight="1" x14ac:dyDescent="0.25">
      <c r="A8729" s="94" t="s">
        <v>16379</v>
      </c>
      <c r="B8729" s="82" t="str">
        <f t="shared" ca="1" si="344"/>
        <v>Jabones</v>
      </c>
      <c r="C8729" s="95" t="str">
        <f>IFERROR(VLOOKUP("UD",'Informacion '!P:Q,2,FALSE),"")</f>
        <v>Unidad</v>
      </c>
      <c r="D8729" s="94">
        <v>2</v>
      </c>
      <c r="E8729" s="84">
        <v>1366.62</v>
      </c>
      <c r="F8729" s="83">
        <f t="shared" ca="1" si="343"/>
        <v>2733.24</v>
      </c>
    </row>
    <row r="8730" spans="1:6" ht="14.1" customHeight="1" x14ac:dyDescent="0.25">
      <c r="A8730" s="94" t="s">
        <v>16379</v>
      </c>
      <c r="B8730" s="82" t="str">
        <f t="shared" ca="1" si="344"/>
        <v>Jabones</v>
      </c>
      <c r="C8730" s="95" t="str">
        <f>IFERROR(VLOOKUP("UD",'Informacion '!P:Q,2,FALSE),"")</f>
        <v>Unidad</v>
      </c>
      <c r="D8730" s="94">
        <v>209</v>
      </c>
      <c r="E8730" s="84">
        <v>0.82</v>
      </c>
      <c r="F8730" s="83">
        <f t="shared" ca="1" si="343"/>
        <v>171.38</v>
      </c>
    </row>
    <row r="8731" spans="1:6" ht="14.1" customHeight="1" x14ac:dyDescent="0.25">
      <c r="A8731" s="94" t="s">
        <v>16379</v>
      </c>
      <c r="B8731" s="82" t="str">
        <f t="shared" ca="1" si="344"/>
        <v>Jabones</v>
      </c>
      <c r="C8731" s="95" t="str">
        <f>IFERROR(VLOOKUP("UD",'Informacion '!P:Q,2,FALSE),"")</f>
        <v>Unidad</v>
      </c>
      <c r="D8731" s="94">
        <v>37</v>
      </c>
      <c r="E8731" s="84">
        <v>171.1</v>
      </c>
      <c r="F8731" s="83">
        <f t="shared" ca="1" si="343"/>
        <v>6330.7</v>
      </c>
    </row>
    <row r="8732" spans="1:6" ht="14.1" customHeight="1" x14ac:dyDescent="0.25">
      <c r="A8732" s="94" t="s">
        <v>16379</v>
      </c>
      <c r="B8732" s="82" t="str">
        <f t="shared" ca="1" si="344"/>
        <v>Jabones</v>
      </c>
      <c r="C8732" s="95" t="str">
        <f>IFERROR(VLOOKUP("UD",'Informacion '!P:Q,2,FALSE),"")</f>
        <v>Unidad</v>
      </c>
      <c r="D8732" s="94">
        <v>43</v>
      </c>
      <c r="E8732" s="84">
        <v>13.82</v>
      </c>
      <c r="F8732" s="83">
        <f t="shared" ca="1" si="343"/>
        <v>594.26</v>
      </c>
    </row>
    <row r="8733" spans="1:6" ht="14.1" customHeight="1" x14ac:dyDescent="0.25">
      <c r="A8733" s="94" t="s">
        <v>16379</v>
      </c>
      <c r="B8733" s="82" t="str">
        <f t="shared" ca="1" si="344"/>
        <v>Jabones</v>
      </c>
      <c r="C8733" s="95" t="str">
        <f>IFERROR(VLOOKUP("UD",'Informacion '!P:Q,2,FALSE),"")</f>
        <v>Unidad</v>
      </c>
      <c r="D8733" s="94">
        <v>2</v>
      </c>
      <c r="E8733" s="84">
        <v>2950.9</v>
      </c>
      <c r="F8733" s="83">
        <f t="shared" ca="1" si="343"/>
        <v>5901.8</v>
      </c>
    </row>
    <row r="8734" spans="1:6" ht="14.1" customHeight="1" x14ac:dyDescent="0.25">
      <c r="A8734" s="94" t="s">
        <v>16379</v>
      </c>
      <c r="B8734" s="82" t="str">
        <f t="shared" ca="1" si="344"/>
        <v>Jabones</v>
      </c>
      <c r="C8734" s="95" t="str">
        <f>IFERROR(VLOOKUP("UD",'Informacion '!P:Q,2,FALSE),"")</f>
        <v>Unidad</v>
      </c>
      <c r="D8734" s="94">
        <v>2</v>
      </c>
      <c r="E8734" s="84">
        <v>887.36</v>
      </c>
      <c r="F8734" s="83">
        <f t="shared" ref="F8734:F8765" ca="1" si="345">INDIRECT(ADDRESS(ROW(),COLUMN()-2,4))*INDIRECT(ADDRESS(ROW(),COLUMN()-1,4))</f>
        <v>1774.72</v>
      </c>
    </row>
    <row r="8735" spans="1:6" ht="14.1" customHeight="1" x14ac:dyDescent="0.25">
      <c r="A8735" s="94" t="s">
        <v>16379</v>
      </c>
      <c r="B8735" s="82" t="str">
        <f t="shared" ca="1" si="344"/>
        <v>Jabones</v>
      </c>
      <c r="C8735" s="95" t="str">
        <f>IFERROR(VLOOKUP("UD",'Informacion '!P:Q,2,FALSE),"")</f>
        <v>Unidad</v>
      </c>
      <c r="D8735" s="94">
        <v>64</v>
      </c>
      <c r="E8735" s="84">
        <v>95.65</v>
      </c>
      <c r="F8735" s="83">
        <f t="shared" ca="1" si="345"/>
        <v>6121.6</v>
      </c>
    </row>
    <row r="8736" spans="1:6" ht="14.1" customHeight="1" x14ac:dyDescent="0.25">
      <c r="A8736" s="94" t="s">
        <v>16379</v>
      </c>
      <c r="B8736" s="82" t="str">
        <f t="shared" ca="1" si="344"/>
        <v>Jabones</v>
      </c>
      <c r="C8736" s="95" t="str">
        <f>IFERROR(VLOOKUP("UD",'Informacion '!P:Q,2,FALSE),"")</f>
        <v>Unidad</v>
      </c>
      <c r="D8736" s="94">
        <v>64</v>
      </c>
      <c r="E8736" s="84">
        <v>33.67</v>
      </c>
      <c r="F8736" s="83">
        <f t="shared" ca="1" si="345"/>
        <v>2154.88</v>
      </c>
    </row>
    <row r="8737" spans="1:6" ht="14.1" customHeight="1" x14ac:dyDescent="0.25">
      <c r="A8737" s="94" t="s">
        <v>16379</v>
      </c>
      <c r="B8737" s="82" t="str">
        <f t="shared" ca="1" si="344"/>
        <v>Jabones</v>
      </c>
      <c r="C8737" s="95" t="str">
        <f>IFERROR(VLOOKUP("UD",'Informacion '!P:Q,2,FALSE),"")</f>
        <v>Unidad</v>
      </c>
      <c r="D8737" s="94">
        <v>47</v>
      </c>
      <c r="E8737" s="84">
        <v>82</v>
      </c>
      <c r="F8737" s="83">
        <f t="shared" ca="1" si="345"/>
        <v>3854</v>
      </c>
    </row>
    <row r="8738" spans="1:6" ht="14.1" customHeight="1" x14ac:dyDescent="0.25">
      <c r="A8738" s="94" t="s">
        <v>16379</v>
      </c>
      <c r="B8738" s="82" t="str">
        <f t="shared" ca="1" si="344"/>
        <v>Jabones</v>
      </c>
      <c r="C8738" s="95" t="str">
        <f>IFERROR(VLOOKUP("UD",'Informacion '!P:Q,2,FALSE),"")</f>
        <v>Unidad</v>
      </c>
      <c r="D8738" s="94">
        <v>60</v>
      </c>
      <c r="E8738" s="84">
        <v>12799.62</v>
      </c>
      <c r="F8738" s="83">
        <f t="shared" ca="1" si="345"/>
        <v>767977.20000000007</v>
      </c>
    </row>
    <row r="8739" spans="1:6" ht="14.1" customHeight="1" x14ac:dyDescent="0.25">
      <c r="A8739" s="94" t="s">
        <v>16379</v>
      </c>
      <c r="B8739" s="82" t="str">
        <f t="shared" ca="1" si="344"/>
        <v>Jabones</v>
      </c>
      <c r="C8739" s="95" t="str">
        <f>IFERROR(VLOOKUP("UD",'Informacion '!P:Q,2,FALSE),"")</f>
        <v>Unidad</v>
      </c>
      <c r="D8739" s="94">
        <v>253</v>
      </c>
      <c r="E8739" s="84">
        <v>2.84</v>
      </c>
      <c r="F8739" s="83">
        <f t="shared" ca="1" si="345"/>
        <v>718.52</v>
      </c>
    </row>
    <row r="8740" spans="1:6" ht="14.1" customHeight="1" x14ac:dyDescent="0.25">
      <c r="A8740" s="94" t="s">
        <v>16379</v>
      </c>
      <c r="B8740" s="82" t="str">
        <f t="shared" ca="1" si="344"/>
        <v>Jabones</v>
      </c>
      <c r="C8740" s="95" t="str">
        <f>IFERROR(VLOOKUP("UD",'Informacion '!P:Q,2,FALSE),"")</f>
        <v>Unidad</v>
      </c>
      <c r="D8740" s="94">
        <v>911</v>
      </c>
      <c r="E8740" s="84">
        <v>1.59</v>
      </c>
      <c r="F8740" s="83">
        <f t="shared" ca="1" si="345"/>
        <v>1448.49</v>
      </c>
    </row>
    <row r="8741" spans="1:6" ht="14.1" customHeight="1" x14ac:dyDescent="0.25">
      <c r="A8741" s="94" t="s">
        <v>16379</v>
      </c>
      <c r="B8741" s="82" t="str">
        <f t="shared" ca="1" si="344"/>
        <v>Jabones</v>
      </c>
      <c r="C8741" s="95" t="str">
        <f>IFERROR(VLOOKUP("UD",'Informacion '!P:Q,2,FALSE),"")</f>
        <v>Unidad</v>
      </c>
      <c r="D8741" s="94">
        <v>4</v>
      </c>
      <c r="E8741" s="84">
        <v>4506.74</v>
      </c>
      <c r="F8741" s="83">
        <f t="shared" ca="1" si="345"/>
        <v>18026.96</v>
      </c>
    </row>
    <row r="8742" spans="1:6" ht="14.1" customHeight="1" x14ac:dyDescent="0.25">
      <c r="A8742" s="94" t="s">
        <v>16379</v>
      </c>
      <c r="B8742" s="82" t="str">
        <f t="shared" ca="1" si="344"/>
        <v>Jabones</v>
      </c>
      <c r="C8742" s="95" t="str">
        <f>IFERROR(VLOOKUP("UD",'Informacion '!P:Q,2,FALSE),"")</f>
        <v>Unidad</v>
      </c>
      <c r="D8742" s="94">
        <v>9</v>
      </c>
      <c r="E8742" s="84">
        <v>2.4500000000000002</v>
      </c>
      <c r="F8742" s="83">
        <f t="shared" ca="1" si="345"/>
        <v>22.05</v>
      </c>
    </row>
    <row r="8743" spans="1:6" ht="14.1" customHeight="1" x14ac:dyDescent="0.25">
      <c r="A8743" s="94" t="s">
        <v>16379</v>
      </c>
      <c r="B8743" s="82" t="str">
        <f t="shared" ca="1" si="344"/>
        <v>Jabones</v>
      </c>
      <c r="C8743" s="95" t="str">
        <f>IFERROR(VLOOKUP("UD",'Informacion '!P:Q,2,FALSE),"")</f>
        <v>Unidad</v>
      </c>
      <c r="D8743" s="94">
        <v>2</v>
      </c>
      <c r="E8743" s="84">
        <v>1546.27</v>
      </c>
      <c r="F8743" s="83">
        <f t="shared" ca="1" si="345"/>
        <v>3092.54</v>
      </c>
    </row>
    <row r="8744" spans="1:6" ht="14.1" customHeight="1" x14ac:dyDescent="0.25">
      <c r="A8744" s="94" t="s">
        <v>16379</v>
      </c>
      <c r="B8744" s="82" t="str">
        <f t="shared" ca="1" si="344"/>
        <v>Jabones</v>
      </c>
      <c r="C8744" s="95" t="str">
        <f>IFERROR(VLOOKUP("UD",'Informacion '!P:Q,2,FALSE),"")</f>
        <v>Unidad</v>
      </c>
      <c r="D8744" s="94">
        <v>2</v>
      </c>
      <c r="E8744" s="84">
        <v>531.91999999999996</v>
      </c>
      <c r="F8744" s="83">
        <f t="shared" ca="1" si="345"/>
        <v>1063.8399999999999</v>
      </c>
    </row>
    <row r="8745" spans="1:6" ht="14.1" customHeight="1" x14ac:dyDescent="0.25">
      <c r="A8745" s="94" t="s">
        <v>16379</v>
      </c>
      <c r="B8745" s="82" t="str">
        <f t="shared" ca="1" si="344"/>
        <v>Jabones</v>
      </c>
      <c r="C8745" s="95" t="str">
        <f>IFERROR(VLOOKUP("UD",'Informacion '!P:Q,2,FALSE),"")</f>
        <v>Unidad</v>
      </c>
      <c r="D8745" s="94">
        <v>4734</v>
      </c>
      <c r="E8745" s="84">
        <v>11.52</v>
      </c>
      <c r="F8745" s="83">
        <f t="shared" ca="1" si="345"/>
        <v>54535.68</v>
      </c>
    </row>
    <row r="8746" spans="1:6" ht="14.1" customHeight="1" x14ac:dyDescent="0.25">
      <c r="A8746" s="94" t="s">
        <v>16379</v>
      </c>
      <c r="B8746" s="82" t="str">
        <f t="shared" ca="1" si="344"/>
        <v>Jabones</v>
      </c>
      <c r="C8746" s="95" t="str">
        <f>IFERROR(VLOOKUP("UD",'Informacion '!P:Q,2,FALSE),"")</f>
        <v>Unidad</v>
      </c>
      <c r="D8746" s="94">
        <v>937</v>
      </c>
      <c r="E8746" s="84">
        <v>14.24</v>
      </c>
      <c r="F8746" s="83">
        <f t="shared" ca="1" si="345"/>
        <v>13342.880000000001</v>
      </c>
    </row>
    <row r="8747" spans="1:6" ht="14.1" customHeight="1" x14ac:dyDescent="0.25">
      <c r="A8747" s="94" t="s">
        <v>16379</v>
      </c>
      <c r="B8747" s="82" t="str">
        <f t="shared" ca="1" si="344"/>
        <v>Jabones</v>
      </c>
      <c r="C8747" s="95" t="str">
        <f>IFERROR(VLOOKUP("UD",'Informacion '!P:Q,2,FALSE),"")</f>
        <v>Unidad</v>
      </c>
      <c r="D8747" s="94">
        <v>521</v>
      </c>
      <c r="E8747" s="84">
        <v>3.41</v>
      </c>
      <c r="F8747" s="83">
        <f t="shared" ca="1" si="345"/>
        <v>1776.6100000000001</v>
      </c>
    </row>
    <row r="8748" spans="1:6" ht="14.1" customHeight="1" x14ac:dyDescent="0.25">
      <c r="A8748" s="94" t="s">
        <v>16379</v>
      </c>
      <c r="B8748" s="82" t="str">
        <f t="shared" ca="1" si="344"/>
        <v>Jabones</v>
      </c>
      <c r="C8748" s="95" t="str">
        <f>IFERROR(VLOOKUP("UD",'Informacion '!P:Q,2,FALSE),"")</f>
        <v>Unidad</v>
      </c>
      <c r="D8748" s="94">
        <v>128</v>
      </c>
      <c r="E8748" s="84">
        <v>8.82</v>
      </c>
      <c r="F8748" s="83">
        <f t="shared" ca="1" si="345"/>
        <v>1128.96</v>
      </c>
    </row>
    <row r="8749" spans="1:6" ht="14.1" customHeight="1" x14ac:dyDescent="0.25">
      <c r="A8749" s="94" t="s">
        <v>16379</v>
      </c>
      <c r="B8749" s="82" t="str">
        <f t="shared" ca="1" si="344"/>
        <v>Jabones</v>
      </c>
      <c r="C8749" s="95" t="str">
        <f>IFERROR(VLOOKUP("UD",'Informacion '!P:Q,2,FALSE),"")</f>
        <v>Unidad</v>
      </c>
      <c r="D8749" s="94">
        <v>4687</v>
      </c>
      <c r="E8749" s="84">
        <v>157.93</v>
      </c>
      <c r="F8749" s="83">
        <f t="shared" ca="1" si="345"/>
        <v>740217.91</v>
      </c>
    </row>
    <row r="8750" spans="1:6" ht="14.1" customHeight="1" x14ac:dyDescent="0.25">
      <c r="A8750" s="94" t="s">
        <v>16379</v>
      </c>
      <c r="B8750" s="82" t="str">
        <f t="shared" ca="1" si="344"/>
        <v>Jabones</v>
      </c>
      <c r="C8750" s="95" t="str">
        <f>IFERROR(VLOOKUP("UD",'Informacion '!P:Q,2,FALSE),"")</f>
        <v>Unidad</v>
      </c>
      <c r="D8750" s="94">
        <v>1302</v>
      </c>
      <c r="E8750" s="84">
        <v>11.91</v>
      </c>
      <c r="F8750" s="83">
        <f t="shared" ca="1" si="345"/>
        <v>15506.82</v>
      </c>
    </row>
    <row r="8751" spans="1:6" ht="14.1" customHeight="1" x14ac:dyDescent="0.25">
      <c r="A8751" s="94" t="s">
        <v>16379</v>
      </c>
      <c r="B8751" s="82" t="str">
        <f t="shared" ca="1" si="344"/>
        <v>Jabones</v>
      </c>
      <c r="C8751" s="95" t="str">
        <f>IFERROR(VLOOKUP("UD",'Informacion '!P:Q,2,FALSE),"")</f>
        <v>Unidad</v>
      </c>
      <c r="D8751" s="94">
        <v>2</v>
      </c>
      <c r="E8751" s="84">
        <v>952.9</v>
      </c>
      <c r="F8751" s="83">
        <f t="shared" ca="1" si="345"/>
        <v>1905.8</v>
      </c>
    </row>
    <row r="8752" spans="1:6" ht="14.1" customHeight="1" x14ac:dyDescent="0.25">
      <c r="A8752" s="94" t="s">
        <v>16379</v>
      </c>
      <c r="B8752" s="82" t="str">
        <f t="shared" ca="1" si="344"/>
        <v>Jabones</v>
      </c>
      <c r="C8752" s="95" t="str">
        <f>IFERROR(VLOOKUP("UD",'Informacion '!P:Q,2,FALSE),"")</f>
        <v>Unidad</v>
      </c>
      <c r="D8752" s="94">
        <v>2</v>
      </c>
      <c r="E8752" s="84">
        <v>1753.05</v>
      </c>
      <c r="F8752" s="83">
        <f t="shared" ca="1" si="345"/>
        <v>3506.1</v>
      </c>
    </row>
    <row r="8753" spans="1:6" ht="14.1" customHeight="1" x14ac:dyDescent="0.25">
      <c r="A8753" s="94" t="s">
        <v>16379</v>
      </c>
      <c r="B8753" s="82" t="str">
        <f t="shared" ca="1" si="344"/>
        <v>Jabones</v>
      </c>
      <c r="C8753" s="95" t="str">
        <f>IFERROR(VLOOKUP("UD",'Informacion '!P:Q,2,FALSE),"")</f>
        <v>Unidad</v>
      </c>
      <c r="D8753" s="94">
        <v>615</v>
      </c>
      <c r="E8753" s="84">
        <v>6.61</v>
      </c>
      <c r="F8753" s="83">
        <f t="shared" ca="1" si="345"/>
        <v>4065.15</v>
      </c>
    </row>
    <row r="8754" spans="1:6" ht="14.1" customHeight="1" x14ac:dyDescent="0.25">
      <c r="A8754" s="94" t="s">
        <v>16379</v>
      </c>
      <c r="B8754" s="82" t="str">
        <f t="shared" ca="1" si="344"/>
        <v>Jabones</v>
      </c>
      <c r="C8754" s="95" t="str">
        <f>IFERROR(VLOOKUP("UD",'Informacion '!P:Q,2,FALSE),"")</f>
        <v>Unidad</v>
      </c>
      <c r="D8754" s="94">
        <v>2</v>
      </c>
      <c r="E8754" s="84">
        <v>590.41999999999996</v>
      </c>
      <c r="F8754" s="83">
        <f t="shared" ca="1" si="345"/>
        <v>1180.8399999999999</v>
      </c>
    </row>
    <row r="8755" spans="1:6" ht="14.1" customHeight="1" x14ac:dyDescent="0.25">
      <c r="A8755" s="94" t="s">
        <v>16379</v>
      </c>
      <c r="B8755" s="82" t="str">
        <f t="shared" ca="1" si="344"/>
        <v>Jabones</v>
      </c>
      <c r="C8755" s="95" t="str">
        <f>IFERROR(VLOOKUP("UD",'Informacion '!P:Q,2,FALSE),"")</f>
        <v>Unidad</v>
      </c>
      <c r="D8755" s="94">
        <v>2</v>
      </c>
      <c r="E8755" s="84">
        <v>590.41999999999996</v>
      </c>
      <c r="F8755" s="83">
        <f t="shared" ca="1" si="345"/>
        <v>1180.8399999999999</v>
      </c>
    </row>
    <row r="8756" spans="1:6" ht="14.1" customHeight="1" x14ac:dyDescent="0.25">
      <c r="A8756" s="94" t="s">
        <v>16379</v>
      </c>
      <c r="B8756" s="82" t="str">
        <f t="shared" ref="B8756:B8776" ca="1" si="346">IFERROR(INDEX(UNSPSCDes,MATCH(INDIRECT(ADDRESS(ROW(),COLUMN()-1,4)),UNSPSCCode,0)),IF(INDIRECT(ADDRESS(ROW(),COLUMN()-1,4))="53131608","Jabones",""))</f>
        <v>Jabones</v>
      </c>
      <c r="C8756" s="95" t="str">
        <f>IFERROR(VLOOKUP("UD",'Informacion '!P:Q,2,FALSE),"")</f>
        <v>Unidad</v>
      </c>
      <c r="D8756" s="94">
        <v>111</v>
      </c>
      <c r="E8756" s="84">
        <v>115.68</v>
      </c>
      <c r="F8756" s="83">
        <f t="shared" ca="1" si="345"/>
        <v>12840.480000000001</v>
      </c>
    </row>
    <row r="8757" spans="1:6" ht="14.1" customHeight="1" x14ac:dyDescent="0.25">
      <c r="A8757" s="94" t="s">
        <v>16379</v>
      </c>
      <c r="B8757" s="82" t="str">
        <f t="shared" ca="1" si="346"/>
        <v>Jabones</v>
      </c>
      <c r="C8757" s="95" t="str">
        <f>IFERROR(VLOOKUP("UD",'Informacion '!P:Q,2,FALSE),"")</f>
        <v>Unidad</v>
      </c>
      <c r="D8757" s="94">
        <v>2</v>
      </c>
      <c r="E8757" s="84">
        <v>590.41999999999996</v>
      </c>
      <c r="F8757" s="83">
        <f t="shared" ca="1" si="345"/>
        <v>1180.8399999999999</v>
      </c>
    </row>
    <row r="8758" spans="1:6" ht="14.1" customHeight="1" x14ac:dyDescent="0.25">
      <c r="A8758" s="94" t="s">
        <v>16379</v>
      </c>
      <c r="B8758" s="82" t="str">
        <f t="shared" ca="1" si="346"/>
        <v>Jabones</v>
      </c>
      <c r="C8758" s="95" t="str">
        <f>IFERROR(VLOOKUP("UD",'Informacion '!P:Q,2,FALSE),"")</f>
        <v>Unidad</v>
      </c>
      <c r="D8758" s="94">
        <v>3</v>
      </c>
      <c r="E8758" s="84">
        <v>1107.98</v>
      </c>
      <c r="F8758" s="83">
        <f t="shared" ca="1" si="345"/>
        <v>3323.94</v>
      </c>
    </row>
    <row r="8759" spans="1:6" ht="14.1" customHeight="1" x14ac:dyDescent="0.25">
      <c r="A8759" s="94" t="s">
        <v>16379</v>
      </c>
      <c r="B8759" s="82" t="str">
        <f t="shared" ca="1" si="346"/>
        <v>Jabones</v>
      </c>
      <c r="C8759" s="95" t="str">
        <f>IFERROR(VLOOKUP("UD",'Informacion '!P:Q,2,FALSE),"")</f>
        <v>Unidad</v>
      </c>
      <c r="D8759" s="94">
        <v>2</v>
      </c>
      <c r="E8759" s="84">
        <v>615.25</v>
      </c>
      <c r="F8759" s="83">
        <f t="shared" ca="1" si="345"/>
        <v>1230.5</v>
      </c>
    </row>
    <row r="8760" spans="1:6" ht="14.1" customHeight="1" x14ac:dyDescent="0.25">
      <c r="A8760" s="94" t="s">
        <v>16379</v>
      </c>
      <c r="B8760" s="82" t="str">
        <f t="shared" ca="1" si="346"/>
        <v>Jabones</v>
      </c>
      <c r="C8760" s="95" t="str">
        <f>IFERROR(VLOOKUP("UD",'Informacion '!P:Q,2,FALSE),"")</f>
        <v>Unidad</v>
      </c>
      <c r="D8760" s="94">
        <v>64</v>
      </c>
      <c r="E8760" s="84">
        <v>130.44999999999999</v>
      </c>
      <c r="F8760" s="83">
        <f t="shared" ca="1" si="345"/>
        <v>8348.7999999999993</v>
      </c>
    </row>
    <row r="8761" spans="1:6" ht="14.1" customHeight="1" x14ac:dyDescent="0.25">
      <c r="A8761" s="94" t="s">
        <v>16379</v>
      </c>
      <c r="B8761" s="82" t="str">
        <f t="shared" ca="1" si="346"/>
        <v>Jabones</v>
      </c>
      <c r="C8761" s="95" t="str">
        <f>IFERROR(VLOOKUP("UD",'Informacion '!P:Q,2,FALSE),"")</f>
        <v>Unidad</v>
      </c>
      <c r="D8761" s="94">
        <v>2</v>
      </c>
      <c r="E8761" s="84">
        <v>740.93</v>
      </c>
      <c r="F8761" s="83">
        <f t="shared" ca="1" si="345"/>
        <v>1481.86</v>
      </c>
    </row>
    <row r="8762" spans="1:6" ht="14.1" customHeight="1" x14ac:dyDescent="0.25">
      <c r="A8762" s="94" t="s">
        <v>16379</v>
      </c>
      <c r="B8762" s="82" t="str">
        <f t="shared" ca="1" si="346"/>
        <v>Jabones</v>
      </c>
      <c r="C8762" s="95" t="str">
        <f>IFERROR(VLOOKUP("UD",'Informacion '!P:Q,2,FALSE),"")</f>
        <v>Unidad</v>
      </c>
      <c r="D8762" s="94">
        <v>2</v>
      </c>
      <c r="E8762" s="84">
        <v>641.70000000000005</v>
      </c>
      <c r="F8762" s="83">
        <f t="shared" ca="1" si="345"/>
        <v>1283.4000000000001</v>
      </c>
    </row>
    <row r="8763" spans="1:6" ht="14.1" customHeight="1" x14ac:dyDescent="0.25">
      <c r="A8763" s="94" t="s">
        <v>16379</v>
      </c>
      <c r="B8763" s="82" t="str">
        <f t="shared" ca="1" si="346"/>
        <v>Jabones</v>
      </c>
      <c r="C8763" s="95" t="str">
        <f>IFERROR(VLOOKUP("UD",'Informacion '!P:Q,2,FALSE),"")</f>
        <v>Unidad</v>
      </c>
      <c r="D8763" s="94">
        <v>12</v>
      </c>
      <c r="E8763" s="84">
        <v>140.9</v>
      </c>
      <c r="F8763" s="83">
        <f t="shared" ca="1" si="345"/>
        <v>1690.8000000000002</v>
      </c>
    </row>
    <row r="8764" spans="1:6" ht="14.1" customHeight="1" x14ac:dyDescent="0.25">
      <c r="A8764" s="94" t="s">
        <v>16379</v>
      </c>
      <c r="B8764" s="82" t="str">
        <f t="shared" ca="1" si="346"/>
        <v>Jabones</v>
      </c>
      <c r="C8764" s="95" t="str">
        <f>IFERROR(VLOOKUP("UD",'Informacion '!P:Q,2,FALSE),"")</f>
        <v>Unidad</v>
      </c>
      <c r="D8764" s="94">
        <v>146</v>
      </c>
      <c r="E8764" s="84">
        <v>352.25</v>
      </c>
      <c r="F8764" s="83">
        <f t="shared" ca="1" si="345"/>
        <v>51428.5</v>
      </c>
    </row>
    <row r="8765" spans="1:6" ht="14.1" customHeight="1" x14ac:dyDescent="0.25">
      <c r="A8765" s="94" t="s">
        <v>16379</v>
      </c>
      <c r="B8765" s="82" t="str">
        <f t="shared" ca="1" si="346"/>
        <v>Jabones</v>
      </c>
      <c r="C8765" s="95" t="str">
        <f>IFERROR(VLOOKUP("UD",'Informacion '!P:Q,2,FALSE),"")</f>
        <v>Unidad</v>
      </c>
      <c r="D8765" s="94">
        <v>12</v>
      </c>
      <c r="E8765" s="84">
        <v>28.96</v>
      </c>
      <c r="F8765" s="83">
        <f t="shared" ca="1" si="345"/>
        <v>347.52</v>
      </c>
    </row>
    <row r="8766" spans="1:6" ht="14.1" customHeight="1" x14ac:dyDescent="0.25">
      <c r="A8766" s="94" t="s">
        <v>16379</v>
      </c>
      <c r="B8766" s="82" t="str">
        <f t="shared" ca="1" si="346"/>
        <v>Jabones</v>
      </c>
      <c r="C8766" s="95" t="str">
        <f>IFERROR(VLOOKUP("UD",'Informacion '!P:Q,2,FALSE),"")</f>
        <v>Unidad</v>
      </c>
      <c r="D8766" s="94">
        <v>2</v>
      </c>
      <c r="E8766" s="84">
        <v>277.57</v>
      </c>
      <c r="F8766" s="83">
        <f t="shared" ref="F8766:F8776" ca="1" si="347">INDIRECT(ADDRESS(ROW(),COLUMN()-2,4))*INDIRECT(ADDRESS(ROW(),COLUMN()-1,4))</f>
        <v>555.14</v>
      </c>
    </row>
    <row r="8767" spans="1:6" ht="14.1" customHeight="1" x14ac:dyDescent="0.25">
      <c r="A8767" s="94" t="s">
        <v>16379</v>
      </c>
      <c r="B8767" s="82" t="str">
        <f t="shared" ca="1" si="346"/>
        <v>Jabones</v>
      </c>
      <c r="C8767" s="95" t="str">
        <f>IFERROR(VLOOKUP("UD",'Informacion '!P:Q,2,FALSE),"")</f>
        <v>Unidad</v>
      </c>
      <c r="D8767" s="94">
        <v>2</v>
      </c>
      <c r="E8767" s="84">
        <v>4836</v>
      </c>
      <c r="F8767" s="83">
        <f t="shared" ca="1" si="347"/>
        <v>9672</v>
      </c>
    </row>
    <row r="8768" spans="1:6" ht="14.1" customHeight="1" x14ac:dyDescent="0.25">
      <c r="A8768" s="94" t="s">
        <v>16379</v>
      </c>
      <c r="B8768" s="82" t="str">
        <f t="shared" ca="1" si="346"/>
        <v>Jabones</v>
      </c>
      <c r="C8768" s="95" t="str">
        <f>IFERROR(VLOOKUP("UD",'Informacion '!P:Q,2,FALSE),"")</f>
        <v>Unidad</v>
      </c>
      <c r="D8768" s="94">
        <v>3</v>
      </c>
      <c r="E8768" s="84">
        <v>5487</v>
      </c>
      <c r="F8768" s="83">
        <f t="shared" ca="1" si="347"/>
        <v>16461</v>
      </c>
    </row>
    <row r="8769" spans="1:10" ht="14.1" customHeight="1" x14ac:dyDescent="0.25">
      <c r="A8769" s="94" t="s">
        <v>16379</v>
      </c>
      <c r="B8769" s="82" t="str">
        <f t="shared" ca="1" si="346"/>
        <v>Jabones</v>
      </c>
      <c r="C8769" s="95" t="str">
        <f>IFERROR(VLOOKUP("UD",'Informacion '!P:Q,2,FALSE),"")</f>
        <v>Unidad</v>
      </c>
      <c r="D8769" s="94">
        <v>2</v>
      </c>
      <c r="E8769" s="84">
        <v>300</v>
      </c>
      <c r="F8769" s="83">
        <f t="shared" ca="1" si="347"/>
        <v>600</v>
      </c>
    </row>
    <row r="8770" spans="1:10" ht="14.1" customHeight="1" x14ac:dyDescent="0.25">
      <c r="A8770" s="94" t="s">
        <v>16379</v>
      </c>
      <c r="B8770" s="82" t="str">
        <f t="shared" ca="1" si="346"/>
        <v>Jabones</v>
      </c>
      <c r="C8770" s="95" t="str">
        <f>IFERROR(VLOOKUP("UD",'Informacion '!P:Q,2,FALSE),"")</f>
        <v>Unidad</v>
      </c>
      <c r="D8770" s="94">
        <v>4</v>
      </c>
      <c r="E8770" s="84">
        <v>450</v>
      </c>
      <c r="F8770" s="83">
        <f t="shared" ca="1" si="347"/>
        <v>1800</v>
      </c>
    </row>
    <row r="8771" spans="1:10" ht="14.1" customHeight="1" x14ac:dyDescent="0.25">
      <c r="A8771" s="94" t="s">
        <v>16379</v>
      </c>
      <c r="B8771" s="82" t="str">
        <f t="shared" ca="1" si="346"/>
        <v>Jabones</v>
      </c>
      <c r="C8771" s="95" t="str">
        <f>IFERROR(VLOOKUP("UD",'Informacion '!P:Q,2,FALSE),"")</f>
        <v>Unidad</v>
      </c>
      <c r="D8771" s="94">
        <v>4</v>
      </c>
      <c r="E8771" s="84">
        <v>1434.92</v>
      </c>
      <c r="F8771" s="83">
        <f t="shared" ca="1" si="347"/>
        <v>5739.68</v>
      </c>
    </row>
    <row r="8772" spans="1:10" ht="14.1" customHeight="1" x14ac:dyDescent="0.25">
      <c r="A8772" s="94" t="s">
        <v>16379</v>
      </c>
      <c r="B8772" s="82" t="str">
        <f t="shared" ca="1" si="346"/>
        <v>Jabones</v>
      </c>
      <c r="C8772" s="95" t="str">
        <f>IFERROR(VLOOKUP("UD",'Informacion '!P:Q,2,FALSE),"")</f>
        <v>Unidad</v>
      </c>
      <c r="D8772" s="94">
        <v>35</v>
      </c>
      <c r="E8772" s="84">
        <v>100.8</v>
      </c>
      <c r="F8772" s="83">
        <f t="shared" ca="1" si="347"/>
        <v>3528</v>
      </c>
    </row>
    <row r="8773" spans="1:10" ht="14.1" customHeight="1" x14ac:dyDescent="0.25">
      <c r="A8773" s="94" t="s">
        <v>16379</v>
      </c>
      <c r="B8773" s="82" t="str">
        <f t="shared" ca="1" si="346"/>
        <v>Jabones</v>
      </c>
      <c r="C8773" s="95" t="str">
        <f>IFERROR(VLOOKUP("UD",'Informacion '!P:Q,2,FALSE),"")</f>
        <v>Unidad</v>
      </c>
      <c r="D8773" s="94">
        <v>2</v>
      </c>
      <c r="E8773" s="84">
        <v>1742</v>
      </c>
      <c r="F8773" s="83">
        <f t="shared" ca="1" si="347"/>
        <v>3484</v>
      </c>
    </row>
    <row r="8774" spans="1:10" ht="14.1" customHeight="1" x14ac:dyDescent="0.25">
      <c r="A8774" s="94" t="s">
        <v>16379</v>
      </c>
      <c r="B8774" s="82" t="str">
        <f t="shared" ca="1" si="346"/>
        <v>Jabones</v>
      </c>
      <c r="C8774" s="95" t="str">
        <f>IFERROR(VLOOKUP("UD",'Informacion '!P:Q,2,FALSE),"")</f>
        <v>Unidad</v>
      </c>
      <c r="D8774" s="94">
        <v>2</v>
      </c>
      <c r="E8774" s="84">
        <v>1742</v>
      </c>
      <c r="F8774" s="83">
        <f t="shared" ca="1" si="347"/>
        <v>3484</v>
      </c>
    </row>
    <row r="8775" spans="1:10" ht="14.1" customHeight="1" x14ac:dyDescent="0.25">
      <c r="A8775" s="94" t="s">
        <v>16379</v>
      </c>
      <c r="B8775" s="82" t="str">
        <f t="shared" ca="1" si="346"/>
        <v>Jabones</v>
      </c>
      <c r="C8775" s="95" t="str">
        <f>IFERROR(VLOOKUP("UD",'Informacion '!P:Q,2,FALSE),"")</f>
        <v>Unidad</v>
      </c>
      <c r="D8775" s="94">
        <v>2</v>
      </c>
      <c r="E8775" s="84">
        <v>1742</v>
      </c>
      <c r="F8775" s="83">
        <f t="shared" ca="1" si="347"/>
        <v>3484</v>
      </c>
    </row>
    <row r="8776" spans="1:10" ht="14.1" customHeight="1" x14ac:dyDescent="0.25">
      <c r="A8776" s="94" t="s">
        <v>16379</v>
      </c>
      <c r="B8776" s="82" t="str">
        <f t="shared" ca="1" si="346"/>
        <v>Jabones</v>
      </c>
      <c r="C8776" s="95" t="str">
        <f>IFERROR(VLOOKUP("UD",'Informacion '!P:Q,2,FALSE),"")</f>
        <v>Unidad</v>
      </c>
      <c r="D8776" s="94">
        <v>2</v>
      </c>
      <c r="E8776" s="84">
        <v>640</v>
      </c>
      <c r="F8776" s="83">
        <f t="shared" ca="1" si="347"/>
        <v>1280</v>
      </c>
    </row>
    <row r="8777" spans="1:10" ht="14.1" customHeight="1" x14ac:dyDescent="0.25">
      <c r="E8777" s="96" t="s">
        <v>7213</v>
      </c>
      <c r="F8777" s="87">
        <f ca="1">SUM(Table221[MONTO TOTAL ESTIMADO])</f>
        <v>2479087.7299999991</v>
      </c>
      <c r="H8777" s="39" t="str">
        <f>C8663</f>
        <v>Bienes</v>
      </c>
      <c r="I8777" s="39" t="str">
        <f>E8663</f>
        <v>No</v>
      </c>
      <c r="J8777" s="39" t="str">
        <f>D8663</f>
        <v>Compras Menores</v>
      </c>
    </row>
    <row r="8779" spans="1:10" ht="33.950000000000003" customHeight="1" x14ac:dyDescent="0.25">
      <c r="A8779" s="77" t="s">
        <v>17233</v>
      </c>
      <c r="B8779" s="77" t="s">
        <v>4237</v>
      </c>
      <c r="C8779" s="77" t="s">
        <v>4743</v>
      </c>
      <c r="D8779" s="77" t="s">
        <v>9891</v>
      </c>
      <c r="E8779" s="77" t="s">
        <v>3089</v>
      </c>
      <c r="F8779" s="77" t="s">
        <v>18141</v>
      </c>
    </row>
    <row r="8780" spans="1:10" ht="14.1" customHeight="1" x14ac:dyDescent="0.25">
      <c r="A8780" s="79" t="s">
        <v>9766</v>
      </c>
      <c r="B8780" s="79" t="s">
        <v>2182</v>
      </c>
      <c r="C8780" s="79" t="s">
        <v>17215</v>
      </c>
      <c r="D8780" s="79" t="s">
        <v>17798</v>
      </c>
      <c r="E8780" s="79" t="s">
        <v>18247</v>
      </c>
      <c r="F8780" s="79"/>
    </row>
    <row r="8781" spans="1:10" ht="14.1" customHeight="1" x14ac:dyDescent="0.25">
      <c r="A8781" s="2" t="s">
        <v>6643</v>
      </c>
      <c r="B8781" s="80" t="s">
        <v>1046</v>
      </c>
      <c r="C8781" s="90">
        <v>43647</v>
      </c>
      <c r="D8781" s="2" t="s">
        <v>59</v>
      </c>
      <c r="E8781" s="92" t="s">
        <v>20066</v>
      </c>
      <c r="F8781" s="93" t="s">
        <v>5684</v>
      </c>
    </row>
    <row r="8782" spans="1:10" ht="14.1" customHeight="1" x14ac:dyDescent="0.25">
      <c r="A8782" s="1"/>
      <c r="B8782" s="80" t="s">
        <v>10788</v>
      </c>
      <c r="C8782" s="91">
        <f>IF(C8781="","",IF(AND(MONTH(C8781)&gt;=1,MONTH(C8781)&lt;=3),1,IF(AND(MONTH(C8781)&gt;=4,MONTH(C8781)&lt;=6),2,IF(AND(MONTH(C8781)&gt;=7,MONTH(C8781)&lt;=9),3,4))))</f>
        <v>3</v>
      </c>
      <c r="D8782" s="1"/>
      <c r="E8782" s="92" t="s">
        <v>14822</v>
      </c>
      <c r="F8782" s="93"/>
    </row>
    <row r="8783" spans="1:10" ht="14.1" customHeight="1" x14ac:dyDescent="0.25">
      <c r="A8783" s="1"/>
      <c r="B8783" s="80" t="s">
        <v>13758</v>
      </c>
      <c r="C8783" s="90">
        <v>43738</v>
      </c>
      <c r="D8783" s="1"/>
      <c r="E8783" s="92" t="s">
        <v>18636</v>
      </c>
      <c r="F8783" s="93"/>
    </row>
    <row r="8784" spans="1:10" ht="14.1" customHeight="1" x14ac:dyDescent="0.25">
      <c r="A8784" s="1"/>
      <c r="B8784" s="80" t="s">
        <v>10788</v>
      </c>
      <c r="C8784" s="91">
        <f>IF(C8783="","",IF(AND(MONTH(C8783)&gt;=1,MONTH(C8783)&lt;=3),1,IF(AND(MONTH(C8783)&gt;=4,MONTH(C8783)&lt;=6),2,IF(AND(MONTH(C8783)&gt;=7,MONTH(C8783)&lt;=9),3,4))))</f>
        <v>3</v>
      </c>
      <c r="D8784" s="1"/>
      <c r="E8784" s="92" t="s">
        <v>15990</v>
      </c>
      <c r="F8784" s="93"/>
    </row>
    <row r="8786" spans="1:6" ht="14.1" customHeight="1" x14ac:dyDescent="0.25">
      <c r="A8786" s="85" t="s">
        <v>15474</v>
      </c>
      <c r="B8786" s="85" t="s">
        <v>5027</v>
      </c>
      <c r="C8786" s="85" t="s">
        <v>17461</v>
      </c>
      <c r="D8786" s="85" t="s">
        <v>3935</v>
      </c>
      <c r="E8786" s="85" t="s">
        <v>10722</v>
      </c>
      <c r="F8786" s="85" t="s">
        <v>18237</v>
      </c>
    </row>
    <row r="8787" spans="1:6" ht="14.1" customHeight="1" x14ac:dyDescent="0.25">
      <c r="A8787" s="94" t="s">
        <v>5138</v>
      </c>
      <c r="B8787" s="82" t="str">
        <f t="shared" ref="B8787:B8796" ca="1" si="348">IFERROR(INDEX(UNSPSCDes,MATCH(INDIRECT(ADDRESS(ROW(),COLUMN()-1,4)),UNSPSCCode,0)),IF(INDIRECT(ADDRESS(ROW(),COLUMN()-1,4))="41103801","Mezcladores de laboratorio",""))</f>
        <v>Mezcladores de laboratorio</v>
      </c>
      <c r="C8787" s="95" t="str">
        <f>IFERROR(VLOOKUP("UD",'Informacion '!P:Q,2,FALSE),"")</f>
        <v>Unidad</v>
      </c>
      <c r="D8787" s="94">
        <v>3</v>
      </c>
      <c r="E8787" s="84">
        <v>2257.4</v>
      </c>
      <c r="F8787" s="83">
        <f t="shared" ref="F8787:F8818" ca="1" si="349">INDIRECT(ADDRESS(ROW(),COLUMN()-2,4))*INDIRECT(ADDRESS(ROW(),COLUMN()-1,4))</f>
        <v>6772.2000000000007</v>
      </c>
    </row>
    <row r="8788" spans="1:6" ht="14.1" customHeight="1" x14ac:dyDescent="0.25">
      <c r="A8788" s="94" t="s">
        <v>5138</v>
      </c>
      <c r="B8788" s="82" t="str">
        <f t="shared" ca="1" si="348"/>
        <v>Mezcladores de laboratorio</v>
      </c>
      <c r="C8788" s="95" t="str">
        <f>IFERROR(VLOOKUP("UD",'Informacion '!P:Q,2,FALSE),"")</f>
        <v>Unidad</v>
      </c>
      <c r="D8788" s="94">
        <v>4</v>
      </c>
      <c r="E8788" s="84">
        <v>825.62</v>
      </c>
      <c r="F8788" s="83">
        <f t="shared" ca="1" si="349"/>
        <v>3302.48</v>
      </c>
    </row>
    <row r="8789" spans="1:6" ht="14.1" customHeight="1" x14ac:dyDescent="0.25">
      <c r="A8789" s="94" t="s">
        <v>5138</v>
      </c>
      <c r="B8789" s="82" t="str">
        <f t="shared" ca="1" si="348"/>
        <v>Mezcladores de laboratorio</v>
      </c>
      <c r="C8789" s="95" t="str">
        <f>IFERROR(VLOOKUP("UD",'Informacion '!P:Q,2,FALSE),"")</f>
        <v>Unidad</v>
      </c>
      <c r="D8789" s="94">
        <v>3</v>
      </c>
      <c r="E8789" s="84">
        <v>4894.72</v>
      </c>
      <c r="F8789" s="83">
        <f t="shared" ca="1" si="349"/>
        <v>14684.16</v>
      </c>
    </row>
    <row r="8790" spans="1:6" ht="14.1" customHeight="1" x14ac:dyDescent="0.25">
      <c r="A8790" s="94" t="s">
        <v>5138</v>
      </c>
      <c r="B8790" s="82" t="str">
        <f t="shared" ca="1" si="348"/>
        <v>Mezcladores de laboratorio</v>
      </c>
      <c r="C8790" s="95" t="str">
        <f>IFERROR(VLOOKUP("UD",'Informacion '!P:Q,2,FALSE),"")</f>
        <v>Unidad</v>
      </c>
      <c r="D8790" s="94">
        <v>9</v>
      </c>
      <c r="E8790" s="84">
        <v>1987.84</v>
      </c>
      <c r="F8790" s="83">
        <f t="shared" ca="1" si="349"/>
        <v>17890.559999999998</v>
      </c>
    </row>
    <row r="8791" spans="1:6" ht="14.1" customHeight="1" x14ac:dyDescent="0.25">
      <c r="A8791" s="94" t="s">
        <v>5138</v>
      </c>
      <c r="B8791" s="82" t="str">
        <f t="shared" ca="1" si="348"/>
        <v>Mezcladores de laboratorio</v>
      </c>
      <c r="C8791" s="95" t="str">
        <f>IFERROR(VLOOKUP("UD",'Informacion '!P:Q,2,FALSE),"")</f>
        <v>Unidad</v>
      </c>
      <c r="D8791" s="94">
        <v>7</v>
      </c>
      <c r="E8791" s="84">
        <v>4021.74</v>
      </c>
      <c r="F8791" s="83">
        <f t="shared" ca="1" si="349"/>
        <v>28152.18</v>
      </c>
    </row>
    <row r="8792" spans="1:6" ht="14.1" customHeight="1" x14ac:dyDescent="0.25">
      <c r="A8792" s="94" t="s">
        <v>5138</v>
      </c>
      <c r="B8792" s="82" t="str">
        <f t="shared" ca="1" si="348"/>
        <v>Mezcladores de laboratorio</v>
      </c>
      <c r="C8792" s="95" t="str">
        <f>IFERROR(VLOOKUP("UD",'Informacion '!P:Q,2,FALSE),"")</f>
        <v>Unidad</v>
      </c>
      <c r="D8792" s="94">
        <v>4</v>
      </c>
      <c r="E8792" s="84">
        <v>9962.94</v>
      </c>
      <c r="F8792" s="83">
        <f t="shared" ca="1" si="349"/>
        <v>39851.760000000002</v>
      </c>
    </row>
    <row r="8793" spans="1:6" ht="14.1" customHeight="1" x14ac:dyDescent="0.25">
      <c r="A8793" s="94" t="s">
        <v>5138</v>
      </c>
      <c r="B8793" s="82" t="str">
        <f t="shared" ca="1" si="348"/>
        <v>Mezcladores de laboratorio</v>
      </c>
      <c r="C8793" s="95" t="str">
        <f>IFERROR(VLOOKUP("UD",'Informacion '!P:Q,2,FALSE),"")</f>
        <v>Unidad</v>
      </c>
      <c r="D8793" s="94">
        <v>22</v>
      </c>
      <c r="E8793" s="84">
        <v>5585.61</v>
      </c>
      <c r="F8793" s="83">
        <f t="shared" ca="1" si="349"/>
        <v>122883.42</v>
      </c>
    </row>
    <row r="8794" spans="1:6" ht="14.1" customHeight="1" x14ac:dyDescent="0.25">
      <c r="A8794" s="94" t="s">
        <v>5138</v>
      </c>
      <c r="B8794" s="82" t="str">
        <f t="shared" ca="1" si="348"/>
        <v>Mezcladores de laboratorio</v>
      </c>
      <c r="C8794" s="95" t="str">
        <f>IFERROR(VLOOKUP("UD",'Informacion '!P:Q,2,FALSE),"")</f>
        <v>Unidad</v>
      </c>
      <c r="D8794" s="94">
        <v>4</v>
      </c>
      <c r="E8794" s="84">
        <v>4866.29</v>
      </c>
      <c r="F8794" s="83">
        <f t="shared" ca="1" si="349"/>
        <v>19465.16</v>
      </c>
    </row>
    <row r="8795" spans="1:6" ht="14.1" customHeight="1" x14ac:dyDescent="0.25">
      <c r="A8795" s="94" t="s">
        <v>5138</v>
      </c>
      <c r="B8795" s="82" t="str">
        <f t="shared" ca="1" si="348"/>
        <v>Mezcladores de laboratorio</v>
      </c>
      <c r="C8795" s="95" t="str">
        <f>IFERROR(VLOOKUP("UD",'Informacion '!P:Q,2,FALSE),"")</f>
        <v>Unidad</v>
      </c>
      <c r="D8795" s="94">
        <v>240</v>
      </c>
      <c r="E8795" s="84">
        <v>14.42</v>
      </c>
      <c r="F8795" s="83">
        <f t="shared" ca="1" si="349"/>
        <v>3460.8</v>
      </c>
    </row>
    <row r="8796" spans="1:6" ht="14.1" customHeight="1" x14ac:dyDescent="0.25">
      <c r="A8796" s="94" t="s">
        <v>5138</v>
      </c>
      <c r="B8796" s="82" t="str">
        <f t="shared" ca="1" si="348"/>
        <v>Mezcladores de laboratorio</v>
      </c>
      <c r="C8796" s="95" t="str">
        <f>IFERROR(VLOOKUP("UD",'Informacion '!P:Q,2,FALSE),"")</f>
        <v>Unidad</v>
      </c>
      <c r="D8796" s="94">
        <v>3715</v>
      </c>
      <c r="E8796" s="84">
        <v>0.35</v>
      </c>
      <c r="F8796" s="83">
        <f t="shared" ca="1" si="349"/>
        <v>1300.25</v>
      </c>
    </row>
    <row r="8797" spans="1:6" ht="14.1" customHeight="1" x14ac:dyDescent="0.25">
      <c r="A8797" s="94" t="s">
        <v>3593</v>
      </c>
      <c r="B8797" s="82" t="str">
        <f t="shared" ref="B8797:B8802" ca="1" si="350">IFERROR(INDEX(UNSPSCDes,MATCH(INDIRECT(ADDRESS(ROW(),COLUMN()-1,4)),UNSPSCCode,0)),IF(INDIRECT(ADDRESS(ROW(),COLUMN()-1,4))="51181506","Insulina",""))</f>
        <v>Insulina</v>
      </c>
      <c r="C8797" s="95" t="str">
        <f>IFERROR(VLOOKUP("UD",'Informacion '!P:Q,2,FALSE),"")</f>
        <v>Unidad</v>
      </c>
      <c r="D8797" s="94">
        <v>1195</v>
      </c>
      <c r="E8797" s="84">
        <v>0.72</v>
      </c>
      <c r="F8797" s="83">
        <f t="shared" ca="1" si="349"/>
        <v>860.4</v>
      </c>
    </row>
    <row r="8798" spans="1:6" ht="14.1" customHeight="1" x14ac:dyDescent="0.25">
      <c r="A8798" s="94" t="s">
        <v>3593</v>
      </c>
      <c r="B8798" s="82" t="str">
        <f t="shared" ca="1" si="350"/>
        <v>Insulina</v>
      </c>
      <c r="C8798" s="95" t="str">
        <f>IFERROR(VLOOKUP("UD",'Informacion '!P:Q,2,FALSE),"")</f>
        <v>Unidad</v>
      </c>
      <c r="D8798" s="94">
        <v>3105</v>
      </c>
      <c r="E8798" s="84">
        <v>21.6</v>
      </c>
      <c r="F8798" s="83">
        <f t="shared" ca="1" si="349"/>
        <v>67068</v>
      </c>
    </row>
    <row r="8799" spans="1:6" ht="14.1" customHeight="1" x14ac:dyDescent="0.25">
      <c r="A8799" s="94" t="s">
        <v>3593</v>
      </c>
      <c r="B8799" s="82" t="str">
        <f t="shared" ca="1" si="350"/>
        <v>Insulina</v>
      </c>
      <c r="C8799" s="95" t="str">
        <f>IFERROR(VLOOKUP("UD",'Informacion '!P:Q,2,FALSE),"")</f>
        <v>Unidad</v>
      </c>
      <c r="D8799" s="94">
        <v>1328</v>
      </c>
      <c r="E8799" s="84">
        <v>4.21</v>
      </c>
      <c r="F8799" s="83">
        <f t="shared" ca="1" si="349"/>
        <v>5590.88</v>
      </c>
    </row>
    <row r="8800" spans="1:6" ht="14.1" customHeight="1" x14ac:dyDescent="0.25">
      <c r="A8800" s="94" t="s">
        <v>3593</v>
      </c>
      <c r="B8800" s="82" t="str">
        <f t="shared" ca="1" si="350"/>
        <v>Insulina</v>
      </c>
      <c r="C8800" s="95" t="str">
        <f>IFERROR(VLOOKUP("UD",'Informacion '!P:Q,2,FALSE),"")</f>
        <v>Unidad</v>
      </c>
      <c r="D8800" s="94">
        <v>1062</v>
      </c>
      <c r="E8800" s="84">
        <v>12.64</v>
      </c>
      <c r="F8800" s="83">
        <f t="shared" ca="1" si="349"/>
        <v>13423.68</v>
      </c>
    </row>
    <row r="8801" spans="1:6" ht="14.1" customHeight="1" x14ac:dyDescent="0.25">
      <c r="A8801" s="94" t="s">
        <v>3593</v>
      </c>
      <c r="B8801" s="82" t="str">
        <f t="shared" ca="1" si="350"/>
        <v>Insulina</v>
      </c>
      <c r="C8801" s="95" t="str">
        <f>IFERROR(VLOOKUP("UD",'Informacion '!P:Q,2,FALSE),"")</f>
        <v>Unidad</v>
      </c>
      <c r="D8801" s="94">
        <v>2388</v>
      </c>
      <c r="E8801" s="84">
        <v>0.66</v>
      </c>
      <c r="F8801" s="83">
        <f t="shared" ca="1" si="349"/>
        <v>1576.0800000000002</v>
      </c>
    </row>
    <row r="8802" spans="1:6" ht="14.1" customHeight="1" x14ac:dyDescent="0.25">
      <c r="A8802" s="94" t="s">
        <v>3593</v>
      </c>
      <c r="B8802" s="82" t="str">
        <f t="shared" ca="1" si="350"/>
        <v>Insulina</v>
      </c>
      <c r="C8802" s="95" t="str">
        <f>IFERROR(VLOOKUP("UD",'Informacion '!P:Q,2,FALSE),"")</f>
        <v>Unidad</v>
      </c>
      <c r="D8802" s="94">
        <v>15</v>
      </c>
      <c r="E8802" s="84">
        <v>116.82</v>
      </c>
      <c r="F8802" s="83">
        <f t="shared" ca="1" si="349"/>
        <v>1752.3</v>
      </c>
    </row>
    <row r="8803" spans="1:6" ht="14.1" customHeight="1" x14ac:dyDescent="0.25">
      <c r="A8803" s="94" t="s">
        <v>5138</v>
      </c>
      <c r="B8803" s="82" t="str">
        <f t="shared" ref="B8803:B8808" ca="1" si="351">IFERROR(INDEX(UNSPSCDes,MATCH(INDIRECT(ADDRESS(ROW(),COLUMN()-1,4)),UNSPSCCode,0)),IF(INDIRECT(ADDRESS(ROW(),COLUMN()-1,4))="41103801","Mezcladores de laboratorio",""))</f>
        <v>Mezcladores de laboratorio</v>
      </c>
      <c r="C8803" s="95" t="str">
        <f>IFERROR(VLOOKUP("UD",'Informacion '!P:Q,2,FALSE),"")</f>
        <v>Unidad</v>
      </c>
      <c r="D8803" s="94">
        <v>3</v>
      </c>
      <c r="E8803" s="84">
        <v>180.94</v>
      </c>
      <c r="F8803" s="83">
        <f t="shared" ca="1" si="349"/>
        <v>542.81999999999994</v>
      </c>
    </row>
    <row r="8804" spans="1:6" ht="14.1" customHeight="1" x14ac:dyDescent="0.25">
      <c r="A8804" s="94" t="s">
        <v>5138</v>
      </c>
      <c r="B8804" s="82" t="str">
        <f t="shared" ca="1" si="351"/>
        <v>Mezcladores de laboratorio</v>
      </c>
      <c r="C8804" s="95" t="str">
        <f>IFERROR(VLOOKUP("UD",'Informacion '!P:Q,2,FALSE),"")</f>
        <v>Unidad</v>
      </c>
      <c r="D8804" s="94">
        <v>81</v>
      </c>
      <c r="E8804" s="84">
        <v>151.59</v>
      </c>
      <c r="F8804" s="83">
        <f t="shared" ca="1" si="349"/>
        <v>12278.79</v>
      </c>
    </row>
    <row r="8805" spans="1:6" ht="14.1" customHeight="1" x14ac:dyDescent="0.25">
      <c r="A8805" s="94" t="s">
        <v>5138</v>
      </c>
      <c r="B8805" s="82" t="str">
        <f t="shared" ca="1" si="351"/>
        <v>Mezcladores de laboratorio</v>
      </c>
      <c r="C8805" s="95" t="str">
        <f>IFERROR(VLOOKUP("UD",'Informacion '!P:Q,2,FALSE),"")</f>
        <v>Unidad</v>
      </c>
      <c r="D8805" s="94">
        <v>6</v>
      </c>
      <c r="E8805" s="84">
        <v>62.24</v>
      </c>
      <c r="F8805" s="83">
        <f t="shared" ca="1" si="349"/>
        <v>373.44</v>
      </c>
    </row>
    <row r="8806" spans="1:6" ht="14.1" customHeight="1" x14ac:dyDescent="0.25">
      <c r="A8806" s="94" t="s">
        <v>5138</v>
      </c>
      <c r="B8806" s="82" t="str">
        <f t="shared" ca="1" si="351"/>
        <v>Mezcladores de laboratorio</v>
      </c>
      <c r="C8806" s="95" t="str">
        <f>IFERROR(VLOOKUP("UD",'Informacion '!P:Q,2,FALSE),"")</f>
        <v>Unidad</v>
      </c>
      <c r="D8806" s="94">
        <v>2654</v>
      </c>
      <c r="E8806" s="84">
        <v>0.32</v>
      </c>
      <c r="F8806" s="83">
        <f t="shared" ca="1" si="349"/>
        <v>849.28</v>
      </c>
    </row>
    <row r="8807" spans="1:6" ht="14.1" customHeight="1" x14ac:dyDescent="0.25">
      <c r="A8807" s="94" t="s">
        <v>5138</v>
      </c>
      <c r="B8807" s="82" t="str">
        <f t="shared" ca="1" si="351"/>
        <v>Mezcladores de laboratorio</v>
      </c>
      <c r="C8807" s="95" t="str">
        <f>IFERROR(VLOOKUP("UD",'Informacion '!P:Q,2,FALSE),"")</f>
        <v>Unidad</v>
      </c>
      <c r="D8807" s="94">
        <v>3080</v>
      </c>
      <c r="E8807" s="84">
        <v>9.5500000000000007</v>
      </c>
      <c r="F8807" s="83">
        <f t="shared" ca="1" si="349"/>
        <v>29414.000000000004</v>
      </c>
    </row>
    <row r="8808" spans="1:6" ht="14.1" customHeight="1" x14ac:dyDescent="0.25">
      <c r="A8808" s="94" t="s">
        <v>5138</v>
      </c>
      <c r="B8808" s="82" t="str">
        <f t="shared" ca="1" si="351"/>
        <v>Mezcladores de laboratorio</v>
      </c>
      <c r="C8808" s="95" t="str">
        <f>IFERROR(VLOOKUP("UD",'Informacion '!P:Q,2,FALSE),"")</f>
        <v>Unidad</v>
      </c>
      <c r="D8808" s="94">
        <v>81</v>
      </c>
      <c r="E8808" s="84">
        <v>37.81</v>
      </c>
      <c r="F8808" s="83">
        <f t="shared" ca="1" si="349"/>
        <v>3062.61</v>
      </c>
    </row>
    <row r="8809" spans="1:6" ht="14.1" customHeight="1" x14ac:dyDescent="0.25">
      <c r="A8809" s="94" t="s">
        <v>16379</v>
      </c>
      <c r="B8809" s="82" t="str">
        <f t="shared" ref="B8809:B8816" ca="1" si="352">IFERROR(INDEX(UNSPSCDes,MATCH(INDIRECT(ADDRESS(ROW(),COLUMN()-1,4)),UNSPSCCode,0)),IF(INDIRECT(ADDRESS(ROW(),COLUMN()-1,4))="53131608","Jabones",""))</f>
        <v>Jabones</v>
      </c>
      <c r="C8809" s="95" t="str">
        <f>IFERROR(VLOOKUP("UD",'Informacion '!P:Q,2,FALSE),"")</f>
        <v>Unidad</v>
      </c>
      <c r="D8809" s="94">
        <v>4</v>
      </c>
      <c r="E8809" s="84">
        <v>1022.57</v>
      </c>
      <c r="F8809" s="83">
        <f t="shared" ca="1" si="349"/>
        <v>4090.28</v>
      </c>
    </row>
    <row r="8810" spans="1:6" ht="14.1" customHeight="1" x14ac:dyDescent="0.25">
      <c r="A8810" s="94" t="s">
        <v>16379</v>
      </c>
      <c r="B8810" s="82" t="str">
        <f t="shared" ca="1" si="352"/>
        <v>Jabones</v>
      </c>
      <c r="C8810" s="95" t="str">
        <f>IFERROR(VLOOKUP("UD",'Informacion '!P:Q,2,FALSE),"")</f>
        <v>Unidad</v>
      </c>
      <c r="D8810" s="94">
        <v>5</v>
      </c>
      <c r="E8810" s="84">
        <v>69.930000000000007</v>
      </c>
      <c r="F8810" s="83">
        <f t="shared" ca="1" si="349"/>
        <v>349.65000000000003</v>
      </c>
    </row>
    <row r="8811" spans="1:6" ht="14.1" customHeight="1" x14ac:dyDescent="0.25">
      <c r="A8811" s="94" t="s">
        <v>16379</v>
      </c>
      <c r="B8811" s="82" t="str">
        <f t="shared" ca="1" si="352"/>
        <v>Jabones</v>
      </c>
      <c r="C8811" s="95" t="str">
        <f>IFERROR(VLOOKUP("UD",'Informacion '!P:Q,2,FALSE),"")</f>
        <v>Unidad</v>
      </c>
      <c r="D8811" s="94">
        <v>399</v>
      </c>
      <c r="E8811" s="84">
        <v>40.58</v>
      </c>
      <c r="F8811" s="83">
        <f t="shared" ca="1" si="349"/>
        <v>16191.42</v>
      </c>
    </row>
    <row r="8812" spans="1:6" ht="14.1" customHeight="1" x14ac:dyDescent="0.25">
      <c r="A8812" s="94" t="s">
        <v>16379</v>
      </c>
      <c r="B8812" s="82" t="str">
        <f t="shared" ca="1" si="352"/>
        <v>Jabones</v>
      </c>
      <c r="C8812" s="95" t="str">
        <f>IFERROR(VLOOKUP("UD",'Informacion '!P:Q,2,FALSE),"")</f>
        <v>Unidad</v>
      </c>
      <c r="D8812" s="94">
        <v>426</v>
      </c>
      <c r="E8812" s="84">
        <v>11.52</v>
      </c>
      <c r="F8812" s="83">
        <f t="shared" ca="1" si="349"/>
        <v>4907.5199999999995</v>
      </c>
    </row>
    <row r="8813" spans="1:6" ht="14.1" customHeight="1" x14ac:dyDescent="0.25">
      <c r="A8813" s="94" t="s">
        <v>16379</v>
      </c>
      <c r="B8813" s="82" t="str">
        <f t="shared" ca="1" si="352"/>
        <v>Jabones</v>
      </c>
      <c r="C8813" s="95" t="str">
        <f>IFERROR(VLOOKUP("UD",'Informacion '!P:Q,2,FALSE),"")</f>
        <v>Unidad</v>
      </c>
      <c r="D8813" s="94">
        <v>1606</v>
      </c>
      <c r="E8813" s="84">
        <v>6</v>
      </c>
      <c r="F8813" s="83">
        <f t="shared" ca="1" si="349"/>
        <v>9636</v>
      </c>
    </row>
    <row r="8814" spans="1:6" ht="14.1" customHeight="1" x14ac:dyDescent="0.25">
      <c r="A8814" s="94" t="s">
        <v>16379</v>
      </c>
      <c r="B8814" s="82" t="str">
        <f t="shared" ca="1" si="352"/>
        <v>Jabones</v>
      </c>
      <c r="C8814" s="95" t="str">
        <f>IFERROR(VLOOKUP("UD",'Informacion '!P:Q,2,FALSE),"")</f>
        <v>Unidad</v>
      </c>
      <c r="D8814" s="94">
        <v>11515</v>
      </c>
      <c r="E8814" s="84">
        <v>6.25</v>
      </c>
      <c r="F8814" s="83">
        <f t="shared" ca="1" si="349"/>
        <v>71968.75</v>
      </c>
    </row>
    <row r="8815" spans="1:6" ht="14.1" customHeight="1" x14ac:dyDescent="0.25">
      <c r="A8815" s="94" t="s">
        <v>16379</v>
      </c>
      <c r="B8815" s="82" t="str">
        <f t="shared" ca="1" si="352"/>
        <v>Jabones</v>
      </c>
      <c r="C8815" s="95" t="str">
        <f>IFERROR(VLOOKUP("UD",'Informacion '!P:Q,2,FALSE),"")</f>
        <v>Unidad</v>
      </c>
      <c r="D8815" s="94">
        <v>5599</v>
      </c>
      <c r="E8815" s="84">
        <v>5.76</v>
      </c>
      <c r="F8815" s="83">
        <f t="shared" ca="1" si="349"/>
        <v>32250.239999999998</v>
      </c>
    </row>
    <row r="8816" spans="1:6" ht="14.1" customHeight="1" x14ac:dyDescent="0.25">
      <c r="A8816" s="94" t="s">
        <v>16379</v>
      </c>
      <c r="B8816" s="82" t="str">
        <f t="shared" ca="1" si="352"/>
        <v>Jabones</v>
      </c>
      <c r="C8816" s="95" t="str">
        <f>IFERROR(VLOOKUP("UD",'Informacion '!P:Q,2,FALSE),"")</f>
        <v>Unidad</v>
      </c>
      <c r="D8816" s="94">
        <v>13</v>
      </c>
      <c r="E8816" s="84">
        <v>182.31</v>
      </c>
      <c r="F8816" s="83">
        <f t="shared" ca="1" si="349"/>
        <v>2370.0300000000002</v>
      </c>
    </row>
    <row r="8817" spans="1:6" ht="14.1" customHeight="1" x14ac:dyDescent="0.25">
      <c r="A8817" s="94" t="s">
        <v>12734</v>
      </c>
      <c r="B8817" s="82" t="str">
        <f ca="1">IFERROR(INDEX(UNSPSCDes,MATCH(INDIRECT(ADDRESS(ROW(),COLUMN()-1,4)),UNSPSCCode,0)),IF(INDIRECT(ADDRESS(ROW(),COLUMN()-1,4))="23153130","Soportes de máquina o aisladores de vibración",""))</f>
        <v>Soportes de máquina o aisladores de vibración</v>
      </c>
      <c r="C8817" s="95" t="str">
        <f>IFERROR(VLOOKUP("UD",'Informacion '!P:Q,2,FALSE),"")</f>
        <v>Unidad</v>
      </c>
      <c r="D8817" s="94">
        <v>41</v>
      </c>
      <c r="E8817" s="84">
        <v>259.02999999999997</v>
      </c>
      <c r="F8817" s="83">
        <f t="shared" ca="1" si="349"/>
        <v>10620.23</v>
      </c>
    </row>
    <row r="8818" spans="1:6" ht="14.1" customHeight="1" x14ac:dyDescent="0.25">
      <c r="A8818" s="94" t="s">
        <v>16379</v>
      </c>
      <c r="B8818" s="82" t="str">
        <f t="shared" ref="B8818:B8849" ca="1" si="353">IFERROR(INDEX(UNSPSCDes,MATCH(INDIRECT(ADDRESS(ROW(),COLUMN()-1,4)),UNSPSCCode,0)),IF(INDIRECT(ADDRESS(ROW(),COLUMN()-1,4))="53131608","Jabones",""))</f>
        <v>Jabones</v>
      </c>
      <c r="C8818" s="95" t="str">
        <f>IFERROR(VLOOKUP("UD",'Informacion '!P:Q,2,FALSE),"")</f>
        <v>Unidad</v>
      </c>
      <c r="D8818" s="94">
        <v>9</v>
      </c>
      <c r="E8818" s="84">
        <v>828.36</v>
      </c>
      <c r="F8818" s="83">
        <f t="shared" ca="1" si="349"/>
        <v>7455.24</v>
      </c>
    </row>
    <row r="8819" spans="1:6" ht="14.1" customHeight="1" x14ac:dyDescent="0.25">
      <c r="A8819" s="94" t="s">
        <v>16379</v>
      </c>
      <c r="B8819" s="82" t="str">
        <f t="shared" ca="1" si="353"/>
        <v>Jabones</v>
      </c>
      <c r="C8819" s="95" t="str">
        <f>IFERROR(VLOOKUP("UD",'Informacion '!P:Q,2,FALSE),"")</f>
        <v>Unidad</v>
      </c>
      <c r="D8819" s="94">
        <v>119</v>
      </c>
      <c r="E8819" s="84">
        <v>367.1</v>
      </c>
      <c r="F8819" s="83">
        <f t="shared" ref="F8819:F8850" ca="1" si="354">INDIRECT(ADDRESS(ROW(),COLUMN()-2,4))*INDIRECT(ADDRESS(ROW(),COLUMN()-1,4))</f>
        <v>43684.9</v>
      </c>
    </row>
    <row r="8820" spans="1:6" ht="14.1" customHeight="1" x14ac:dyDescent="0.25">
      <c r="A8820" s="94" t="s">
        <v>16379</v>
      </c>
      <c r="B8820" s="82" t="str">
        <f t="shared" ca="1" si="353"/>
        <v>Jabones</v>
      </c>
      <c r="C8820" s="95" t="str">
        <f>IFERROR(VLOOKUP("UD",'Informacion '!P:Q,2,FALSE),"")</f>
        <v>Unidad</v>
      </c>
      <c r="D8820" s="94">
        <v>187</v>
      </c>
      <c r="E8820" s="84">
        <v>12.71</v>
      </c>
      <c r="F8820" s="83">
        <f t="shared" ca="1" si="354"/>
        <v>2376.77</v>
      </c>
    </row>
    <row r="8821" spans="1:6" ht="14.1" customHeight="1" x14ac:dyDescent="0.25">
      <c r="A8821" s="94" t="s">
        <v>16379</v>
      </c>
      <c r="B8821" s="82" t="str">
        <f t="shared" ca="1" si="353"/>
        <v>Jabones</v>
      </c>
      <c r="C8821" s="95" t="str">
        <f>IFERROR(VLOOKUP("UD",'Informacion '!P:Q,2,FALSE),"")</f>
        <v>Unidad</v>
      </c>
      <c r="D8821" s="94">
        <v>214</v>
      </c>
      <c r="E8821" s="84">
        <v>11.73</v>
      </c>
      <c r="F8821" s="83">
        <f t="shared" ca="1" si="354"/>
        <v>2510.2200000000003</v>
      </c>
    </row>
    <row r="8822" spans="1:6" ht="14.1" customHeight="1" x14ac:dyDescent="0.25">
      <c r="A8822" s="94" t="s">
        <v>16379</v>
      </c>
      <c r="B8822" s="82" t="str">
        <f t="shared" ca="1" si="353"/>
        <v>Jabones</v>
      </c>
      <c r="C8822" s="95" t="str">
        <f>IFERROR(VLOOKUP("UD",'Informacion '!P:Q,2,FALSE),"")</f>
        <v>Unidad</v>
      </c>
      <c r="D8822" s="94">
        <v>23</v>
      </c>
      <c r="E8822" s="84">
        <v>100.8</v>
      </c>
      <c r="F8822" s="83">
        <f t="shared" ca="1" si="354"/>
        <v>2318.4</v>
      </c>
    </row>
    <row r="8823" spans="1:6" ht="14.1" customHeight="1" x14ac:dyDescent="0.25">
      <c r="A8823" s="94" t="s">
        <v>16379</v>
      </c>
      <c r="B8823" s="82" t="str">
        <f t="shared" ca="1" si="353"/>
        <v>Jabones</v>
      </c>
      <c r="C8823" s="95" t="str">
        <f>IFERROR(VLOOKUP("UD",'Informacion '!P:Q,2,FALSE),"")</f>
        <v>Unidad</v>
      </c>
      <c r="D8823" s="94">
        <v>3</v>
      </c>
      <c r="E8823" s="84">
        <v>3484.84</v>
      </c>
      <c r="F8823" s="83">
        <f t="shared" ca="1" si="354"/>
        <v>10454.52</v>
      </c>
    </row>
    <row r="8824" spans="1:6" ht="14.1" customHeight="1" x14ac:dyDescent="0.25">
      <c r="A8824" s="94" t="s">
        <v>16379</v>
      </c>
      <c r="B8824" s="82" t="str">
        <f t="shared" ca="1" si="353"/>
        <v>Jabones</v>
      </c>
      <c r="C8824" s="95" t="str">
        <f>IFERROR(VLOOKUP("UD",'Informacion '!P:Q,2,FALSE),"")</f>
        <v>Unidad</v>
      </c>
      <c r="D8824" s="94">
        <v>28</v>
      </c>
      <c r="E8824" s="84">
        <v>24.55</v>
      </c>
      <c r="F8824" s="83">
        <f t="shared" ca="1" si="354"/>
        <v>687.4</v>
      </c>
    </row>
    <row r="8825" spans="1:6" ht="14.1" customHeight="1" x14ac:dyDescent="0.25">
      <c r="A8825" s="94" t="s">
        <v>16379</v>
      </c>
      <c r="B8825" s="82" t="str">
        <f t="shared" ca="1" si="353"/>
        <v>Jabones</v>
      </c>
      <c r="C8825" s="95" t="str">
        <f>IFERROR(VLOOKUP("UD",'Informacion '!P:Q,2,FALSE),"")</f>
        <v>Unidad</v>
      </c>
      <c r="D8825" s="94">
        <v>55</v>
      </c>
      <c r="E8825" s="84">
        <v>207.36</v>
      </c>
      <c r="F8825" s="83">
        <f t="shared" ca="1" si="354"/>
        <v>11404.800000000001</v>
      </c>
    </row>
    <row r="8826" spans="1:6" ht="14.1" customHeight="1" x14ac:dyDescent="0.25">
      <c r="A8826" s="94" t="s">
        <v>16379</v>
      </c>
      <c r="B8826" s="82" t="str">
        <f t="shared" ca="1" si="353"/>
        <v>Jabones</v>
      </c>
      <c r="C8826" s="95" t="str">
        <f>IFERROR(VLOOKUP("UD",'Informacion '!P:Q,2,FALSE),"")</f>
        <v>Unidad</v>
      </c>
      <c r="D8826" s="94">
        <v>149</v>
      </c>
      <c r="E8826" s="84">
        <v>207.36</v>
      </c>
      <c r="F8826" s="83">
        <f t="shared" ca="1" si="354"/>
        <v>30896.640000000003</v>
      </c>
    </row>
    <row r="8827" spans="1:6" ht="14.1" customHeight="1" x14ac:dyDescent="0.25">
      <c r="A8827" s="94" t="s">
        <v>16379</v>
      </c>
      <c r="B8827" s="82" t="str">
        <f t="shared" ca="1" si="353"/>
        <v>Jabones</v>
      </c>
      <c r="C8827" s="95" t="str">
        <f>IFERROR(VLOOKUP("UD",'Informacion '!P:Q,2,FALSE),"")</f>
        <v>Unidad</v>
      </c>
      <c r="D8827" s="94">
        <v>333</v>
      </c>
      <c r="E8827" s="84">
        <v>14.64</v>
      </c>
      <c r="F8827" s="83">
        <f t="shared" ca="1" si="354"/>
        <v>4875.12</v>
      </c>
    </row>
    <row r="8828" spans="1:6" ht="14.1" customHeight="1" x14ac:dyDescent="0.25">
      <c r="A8828" s="94" t="s">
        <v>16379</v>
      </c>
      <c r="B8828" s="82" t="str">
        <f t="shared" ca="1" si="353"/>
        <v>Jabones</v>
      </c>
      <c r="C8828" s="95" t="str">
        <f>IFERROR(VLOOKUP("UD",'Informacion '!P:Q,2,FALSE),"")</f>
        <v>Unidad</v>
      </c>
      <c r="D8828" s="94">
        <v>48</v>
      </c>
      <c r="E8828" s="84">
        <v>447.15</v>
      </c>
      <c r="F8828" s="83">
        <f t="shared" ca="1" si="354"/>
        <v>21463.199999999997</v>
      </c>
    </row>
    <row r="8829" spans="1:6" ht="14.1" customHeight="1" x14ac:dyDescent="0.25">
      <c r="A8829" s="94" t="s">
        <v>16379</v>
      </c>
      <c r="B8829" s="82" t="str">
        <f t="shared" ca="1" si="353"/>
        <v>Jabones</v>
      </c>
      <c r="C8829" s="95" t="str">
        <f>IFERROR(VLOOKUP("UD",'Informacion '!P:Q,2,FALSE),"")</f>
        <v>Unidad</v>
      </c>
      <c r="D8829" s="94">
        <v>4</v>
      </c>
      <c r="E8829" s="84">
        <v>79.650000000000006</v>
      </c>
      <c r="F8829" s="83">
        <f t="shared" ca="1" si="354"/>
        <v>318.60000000000002</v>
      </c>
    </row>
    <row r="8830" spans="1:6" ht="14.1" customHeight="1" x14ac:dyDescent="0.25">
      <c r="A8830" s="94" t="s">
        <v>16379</v>
      </c>
      <c r="B8830" s="82" t="str">
        <f t="shared" ca="1" si="353"/>
        <v>Jabones</v>
      </c>
      <c r="C8830" s="95" t="str">
        <f>IFERROR(VLOOKUP("UD",'Informacion '!P:Q,2,FALSE),"")</f>
        <v>Unidad</v>
      </c>
      <c r="D8830" s="94">
        <v>3</v>
      </c>
      <c r="E8830" s="84">
        <v>381.07</v>
      </c>
      <c r="F8830" s="83">
        <f t="shared" ca="1" si="354"/>
        <v>1143.21</v>
      </c>
    </row>
    <row r="8831" spans="1:6" ht="14.1" customHeight="1" x14ac:dyDescent="0.25">
      <c r="A8831" s="94" t="s">
        <v>16379</v>
      </c>
      <c r="B8831" s="82" t="str">
        <f t="shared" ca="1" si="353"/>
        <v>Jabones</v>
      </c>
      <c r="C8831" s="95" t="str">
        <f>IFERROR(VLOOKUP("UD",'Informacion '!P:Q,2,FALSE),"")</f>
        <v>Unidad</v>
      </c>
      <c r="D8831" s="94">
        <v>11</v>
      </c>
      <c r="E8831" s="84">
        <v>115</v>
      </c>
      <c r="F8831" s="83">
        <f t="shared" ca="1" si="354"/>
        <v>1265</v>
      </c>
    </row>
    <row r="8832" spans="1:6" ht="14.1" customHeight="1" x14ac:dyDescent="0.25">
      <c r="A8832" s="94" t="s">
        <v>16379</v>
      </c>
      <c r="B8832" s="82" t="str">
        <f t="shared" ca="1" si="353"/>
        <v>Jabones</v>
      </c>
      <c r="C8832" s="95" t="str">
        <f>IFERROR(VLOOKUP("UD",'Informacion '!P:Q,2,FALSE),"")</f>
        <v>Unidad</v>
      </c>
      <c r="D8832" s="94">
        <v>3</v>
      </c>
      <c r="E8832" s="84">
        <v>815</v>
      </c>
      <c r="F8832" s="83">
        <f t="shared" ca="1" si="354"/>
        <v>2445</v>
      </c>
    </row>
    <row r="8833" spans="1:6" ht="14.1" customHeight="1" x14ac:dyDescent="0.25">
      <c r="A8833" s="94" t="s">
        <v>16379</v>
      </c>
      <c r="B8833" s="82" t="str">
        <f t="shared" ca="1" si="353"/>
        <v>Jabones</v>
      </c>
      <c r="C8833" s="95" t="str">
        <f>IFERROR(VLOOKUP("UD",'Informacion '!P:Q,2,FALSE),"")</f>
        <v>Unidad</v>
      </c>
      <c r="D8833" s="94">
        <v>32</v>
      </c>
      <c r="E8833" s="84">
        <v>359.19</v>
      </c>
      <c r="F8833" s="83">
        <f t="shared" ca="1" si="354"/>
        <v>11494.08</v>
      </c>
    </row>
    <row r="8834" spans="1:6" ht="14.1" customHeight="1" x14ac:dyDescent="0.25">
      <c r="A8834" s="94" t="s">
        <v>16379</v>
      </c>
      <c r="B8834" s="82" t="str">
        <f t="shared" ca="1" si="353"/>
        <v>Jabones</v>
      </c>
      <c r="C8834" s="95" t="str">
        <f>IFERROR(VLOOKUP("UD",'Informacion '!P:Q,2,FALSE),"")</f>
        <v>Unidad</v>
      </c>
      <c r="D8834" s="94">
        <v>399</v>
      </c>
      <c r="E8834" s="84">
        <v>11.52</v>
      </c>
      <c r="F8834" s="83">
        <f t="shared" ca="1" si="354"/>
        <v>4596.4799999999996</v>
      </c>
    </row>
    <row r="8835" spans="1:6" ht="14.1" customHeight="1" x14ac:dyDescent="0.25">
      <c r="A8835" s="94" t="s">
        <v>16379</v>
      </c>
      <c r="B8835" s="82" t="str">
        <f t="shared" ca="1" si="353"/>
        <v>Jabones</v>
      </c>
      <c r="C8835" s="95" t="str">
        <f>IFERROR(VLOOKUP("UD",'Informacion '!P:Q,2,FALSE),"")</f>
        <v>Unidad</v>
      </c>
      <c r="D8835" s="94">
        <v>320</v>
      </c>
      <c r="E8835" s="84">
        <v>4.3</v>
      </c>
      <c r="F8835" s="83">
        <f t="shared" ca="1" si="354"/>
        <v>1376</v>
      </c>
    </row>
    <row r="8836" spans="1:6" ht="14.1" customHeight="1" x14ac:dyDescent="0.25">
      <c r="A8836" s="94" t="s">
        <v>16379</v>
      </c>
      <c r="B8836" s="82" t="str">
        <f t="shared" ca="1" si="353"/>
        <v>Jabones</v>
      </c>
      <c r="C8836" s="95" t="str">
        <f>IFERROR(VLOOKUP("UD",'Informacion '!P:Q,2,FALSE),"")</f>
        <v>Unidad</v>
      </c>
      <c r="D8836" s="94">
        <v>4</v>
      </c>
      <c r="E8836" s="84">
        <v>520</v>
      </c>
      <c r="F8836" s="83">
        <f t="shared" ca="1" si="354"/>
        <v>2080</v>
      </c>
    </row>
    <row r="8837" spans="1:6" ht="14.1" customHeight="1" x14ac:dyDescent="0.25">
      <c r="A8837" s="94" t="s">
        <v>16379</v>
      </c>
      <c r="B8837" s="82" t="str">
        <f t="shared" ca="1" si="353"/>
        <v>Jabones</v>
      </c>
      <c r="C8837" s="95" t="str">
        <f>IFERROR(VLOOKUP("UD",'Informacion '!P:Q,2,FALSE),"")</f>
        <v>Unidad</v>
      </c>
      <c r="D8837" s="94">
        <v>169</v>
      </c>
      <c r="E8837" s="84">
        <v>65.92</v>
      </c>
      <c r="F8837" s="83">
        <f t="shared" ca="1" si="354"/>
        <v>11140.48</v>
      </c>
    </row>
    <row r="8838" spans="1:6" ht="14.1" customHeight="1" x14ac:dyDescent="0.25">
      <c r="A8838" s="94" t="s">
        <v>16379</v>
      </c>
      <c r="B8838" s="82" t="str">
        <f t="shared" ca="1" si="353"/>
        <v>Jabones</v>
      </c>
      <c r="C8838" s="95" t="str">
        <f>IFERROR(VLOOKUP("UD",'Informacion '!P:Q,2,FALSE),"")</f>
        <v>Unidad</v>
      </c>
      <c r="D8838" s="94">
        <v>985</v>
      </c>
      <c r="E8838" s="84">
        <v>9.17</v>
      </c>
      <c r="F8838" s="83">
        <f t="shared" ca="1" si="354"/>
        <v>9032.4500000000007</v>
      </c>
    </row>
    <row r="8839" spans="1:6" ht="14.1" customHeight="1" x14ac:dyDescent="0.25">
      <c r="A8839" s="94" t="s">
        <v>16379</v>
      </c>
      <c r="B8839" s="82" t="str">
        <f t="shared" ca="1" si="353"/>
        <v>Jabones</v>
      </c>
      <c r="C8839" s="95" t="str">
        <f>IFERROR(VLOOKUP("UD",'Informacion '!P:Q,2,FALSE),"")</f>
        <v>Unidad</v>
      </c>
      <c r="D8839" s="94">
        <v>426</v>
      </c>
      <c r="E8839" s="84">
        <v>11.55</v>
      </c>
      <c r="F8839" s="83">
        <f t="shared" ca="1" si="354"/>
        <v>4920.3</v>
      </c>
    </row>
    <row r="8840" spans="1:6" ht="14.1" customHeight="1" x14ac:dyDescent="0.25">
      <c r="A8840" s="94" t="s">
        <v>16379</v>
      </c>
      <c r="B8840" s="82" t="str">
        <f t="shared" ca="1" si="353"/>
        <v>Jabones</v>
      </c>
      <c r="C8840" s="95" t="str">
        <f>IFERROR(VLOOKUP("UD",'Informacion '!P:Q,2,FALSE),"")</f>
        <v>Unidad</v>
      </c>
      <c r="D8840" s="94">
        <v>4</v>
      </c>
      <c r="E8840" s="84">
        <v>68.14</v>
      </c>
      <c r="F8840" s="83">
        <f t="shared" ca="1" si="354"/>
        <v>272.56</v>
      </c>
    </row>
    <row r="8841" spans="1:6" ht="14.1" customHeight="1" x14ac:dyDescent="0.25">
      <c r="A8841" s="94" t="s">
        <v>16379</v>
      </c>
      <c r="B8841" s="82" t="str">
        <f t="shared" ca="1" si="353"/>
        <v>Jabones</v>
      </c>
      <c r="C8841" s="95" t="str">
        <f>IFERROR(VLOOKUP("UD",'Informacion '!P:Q,2,FALSE),"")</f>
        <v>Unidad</v>
      </c>
      <c r="D8841" s="94">
        <v>4</v>
      </c>
      <c r="E8841" s="84">
        <v>223.17</v>
      </c>
      <c r="F8841" s="83">
        <f t="shared" ca="1" si="354"/>
        <v>892.68</v>
      </c>
    </row>
    <row r="8842" spans="1:6" ht="14.1" customHeight="1" x14ac:dyDescent="0.25">
      <c r="A8842" s="94" t="s">
        <v>16379</v>
      </c>
      <c r="B8842" s="82" t="str">
        <f t="shared" ca="1" si="353"/>
        <v>Jabones</v>
      </c>
      <c r="C8842" s="95" t="str">
        <f>IFERROR(VLOOKUP("UD",'Informacion '!P:Q,2,FALSE),"")</f>
        <v>Unidad</v>
      </c>
      <c r="D8842" s="94">
        <v>3</v>
      </c>
      <c r="E8842" s="84">
        <v>63.99</v>
      </c>
      <c r="F8842" s="83">
        <f t="shared" ca="1" si="354"/>
        <v>191.97</v>
      </c>
    </row>
    <row r="8843" spans="1:6" ht="14.1" customHeight="1" x14ac:dyDescent="0.25">
      <c r="A8843" s="94" t="s">
        <v>16379</v>
      </c>
      <c r="B8843" s="82" t="str">
        <f t="shared" ca="1" si="353"/>
        <v>Jabones</v>
      </c>
      <c r="C8843" s="95" t="str">
        <f>IFERROR(VLOOKUP("UD",'Informacion '!P:Q,2,FALSE),"")</f>
        <v>Unidad</v>
      </c>
      <c r="D8843" s="94">
        <v>3</v>
      </c>
      <c r="E8843" s="84">
        <v>36</v>
      </c>
      <c r="F8843" s="83">
        <f t="shared" ca="1" si="354"/>
        <v>108</v>
      </c>
    </row>
    <row r="8844" spans="1:6" ht="14.1" customHeight="1" x14ac:dyDescent="0.25">
      <c r="A8844" s="94" t="s">
        <v>16379</v>
      </c>
      <c r="B8844" s="82" t="str">
        <f t="shared" ca="1" si="353"/>
        <v>Jabones</v>
      </c>
      <c r="C8844" s="95" t="str">
        <f>IFERROR(VLOOKUP("UD",'Informacion '!P:Q,2,FALSE),"")</f>
        <v>Unidad</v>
      </c>
      <c r="D8844" s="94">
        <v>30</v>
      </c>
      <c r="E8844" s="84">
        <v>21.13</v>
      </c>
      <c r="F8844" s="83">
        <f t="shared" ca="1" si="354"/>
        <v>633.9</v>
      </c>
    </row>
    <row r="8845" spans="1:6" ht="14.1" customHeight="1" x14ac:dyDescent="0.25">
      <c r="A8845" s="94" t="s">
        <v>16379</v>
      </c>
      <c r="B8845" s="82" t="str">
        <f t="shared" ca="1" si="353"/>
        <v>Jabones</v>
      </c>
      <c r="C8845" s="95" t="str">
        <f>IFERROR(VLOOKUP("UD",'Informacion '!P:Q,2,FALSE),"")</f>
        <v>Unidad</v>
      </c>
      <c r="D8845" s="94">
        <v>45</v>
      </c>
      <c r="E8845" s="84">
        <v>6.9</v>
      </c>
      <c r="F8845" s="83">
        <f t="shared" ca="1" si="354"/>
        <v>310.5</v>
      </c>
    </row>
    <row r="8846" spans="1:6" ht="14.1" customHeight="1" x14ac:dyDescent="0.25">
      <c r="A8846" s="94" t="s">
        <v>16379</v>
      </c>
      <c r="B8846" s="82" t="str">
        <f t="shared" ca="1" si="353"/>
        <v>Jabones</v>
      </c>
      <c r="C8846" s="95" t="str">
        <f>IFERROR(VLOOKUP("UD",'Informacion '!P:Q,2,FALSE),"")</f>
        <v>Unidad</v>
      </c>
      <c r="D8846" s="94">
        <v>3</v>
      </c>
      <c r="E8846" s="84">
        <v>1366.62</v>
      </c>
      <c r="F8846" s="83">
        <f t="shared" ca="1" si="354"/>
        <v>4099.8599999999997</v>
      </c>
    </row>
    <row r="8847" spans="1:6" ht="14.1" customHeight="1" x14ac:dyDescent="0.25">
      <c r="A8847" s="94" t="s">
        <v>16379</v>
      </c>
      <c r="B8847" s="82" t="str">
        <f t="shared" ca="1" si="353"/>
        <v>Jabones</v>
      </c>
      <c r="C8847" s="95" t="str">
        <f>IFERROR(VLOOKUP("UD",'Informacion '!P:Q,2,FALSE),"")</f>
        <v>Unidad</v>
      </c>
      <c r="D8847" s="94">
        <v>214</v>
      </c>
      <c r="E8847" s="84">
        <v>0.82</v>
      </c>
      <c r="F8847" s="83">
        <f t="shared" ca="1" si="354"/>
        <v>175.48</v>
      </c>
    </row>
    <row r="8848" spans="1:6" ht="14.1" customHeight="1" x14ac:dyDescent="0.25">
      <c r="A8848" s="94" t="s">
        <v>16379</v>
      </c>
      <c r="B8848" s="82" t="str">
        <f t="shared" ca="1" si="353"/>
        <v>Jabones</v>
      </c>
      <c r="C8848" s="95" t="str">
        <f>IFERROR(VLOOKUP("UD",'Informacion '!P:Q,2,FALSE),"")</f>
        <v>Unidad</v>
      </c>
      <c r="D8848" s="94">
        <v>38</v>
      </c>
      <c r="E8848" s="84">
        <v>171.1</v>
      </c>
      <c r="F8848" s="83">
        <f t="shared" ca="1" si="354"/>
        <v>6501.8</v>
      </c>
    </row>
    <row r="8849" spans="1:6" ht="14.1" customHeight="1" x14ac:dyDescent="0.25">
      <c r="A8849" s="94" t="s">
        <v>16379</v>
      </c>
      <c r="B8849" s="82" t="str">
        <f t="shared" ca="1" si="353"/>
        <v>Jabones</v>
      </c>
      <c r="C8849" s="95" t="str">
        <f>IFERROR(VLOOKUP("UD",'Informacion '!P:Q,2,FALSE),"")</f>
        <v>Unidad</v>
      </c>
      <c r="D8849" s="94">
        <v>44</v>
      </c>
      <c r="E8849" s="84">
        <v>13.82</v>
      </c>
      <c r="F8849" s="83">
        <f t="shared" ca="1" si="354"/>
        <v>608.08000000000004</v>
      </c>
    </row>
    <row r="8850" spans="1:6" ht="14.1" customHeight="1" x14ac:dyDescent="0.25">
      <c r="A8850" s="94" t="s">
        <v>16379</v>
      </c>
      <c r="B8850" s="82" t="str">
        <f t="shared" ref="B8850:B8881" ca="1" si="355">IFERROR(INDEX(UNSPSCDes,MATCH(INDIRECT(ADDRESS(ROW(),COLUMN()-1,4)),UNSPSCCode,0)),IF(INDIRECT(ADDRESS(ROW(),COLUMN()-1,4))="53131608","Jabones",""))</f>
        <v>Jabones</v>
      </c>
      <c r="C8850" s="95" t="str">
        <f>IFERROR(VLOOKUP("UD",'Informacion '!P:Q,2,FALSE),"")</f>
        <v>Unidad</v>
      </c>
      <c r="D8850" s="94">
        <v>3</v>
      </c>
      <c r="E8850" s="84">
        <v>2950.59</v>
      </c>
      <c r="F8850" s="83">
        <f t="shared" ca="1" si="354"/>
        <v>8851.77</v>
      </c>
    </row>
    <row r="8851" spans="1:6" ht="14.1" customHeight="1" x14ac:dyDescent="0.25">
      <c r="A8851" s="94" t="s">
        <v>16379</v>
      </c>
      <c r="B8851" s="82" t="str">
        <f t="shared" ca="1" si="355"/>
        <v>Jabones</v>
      </c>
      <c r="C8851" s="95" t="str">
        <f>IFERROR(VLOOKUP("UD",'Informacion '!P:Q,2,FALSE),"")</f>
        <v>Unidad</v>
      </c>
      <c r="D8851" s="94">
        <v>3</v>
      </c>
      <c r="E8851" s="84">
        <v>887.36</v>
      </c>
      <c r="F8851" s="83">
        <f t="shared" ref="F8851:F8882" ca="1" si="356">INDIRECT(ADDRESS(ROW(),COLUMN()-2,4))*INDIRECT(ADDRESS(ROW(),COLUMN()-1,4))</f>
        <v>2662.08</v>
      </c>
    </row>
    <row r="8852" spans="1:6" ht="14.1" customHeight="1" x14ac:dyDescent="0.25">
      <c r="A8852" s="94" t="s">
        <v>16379</v>
      </c>
      <c r="B8852" s="82" t="str">
        <f t="shared" ca="1" si="355"/>
        <v>Jabones</v>
      </c>
      <c r="C8852" s="95" t="str">
        <f>IFERROR(VLOOKUP("UD",'Informacion '!P:Q,2,FALSE),"")</f>
        <v>Unidad</v>
      </c>
      <c r="D8852" s="94">
        <v>66</v>
      </c>
      <c r="E8852" s="84">
        <v>95.65</v>
      </c>
      <c r="F8852" s="83">
        <f t="shared" ca="1" si="356"/>
        <v>6312.9000000000005</v>
      </c>
    </row>
    <row r="8853" spans="1:6" ht="14.1" customHeight="1" x14ac:dyDescent="0.25">
      <c r="A8853" s="94" t="s">
        <v>16379</v>
      </c>
      <c r="B8853" s="82" t="str">
        <f t="shared" ca="1" si="355"/>
        <v>Jabones</v>
      </c>
      <c r="C8853" s="95" t="str">
        <f>IFERROR(VLOOKUP("UD",'Informacion '!P:Q,2,FALSE),"")</f>
        <v>Unidad</v>
      </c>
      <c r="D8853" s="94">
        <v>66</v>
      </c>
      <c r="E8853" s="84">
        <v>33.67</v>
      </c>
      <c r="F8853" s="83">
        <f t="shared" ca="1" si="356"/>
        <v>2222.2200000000003</v>
      </c>
    </row>
    <row r="8854" spans="1:6" ht="14.1" customHeight="1" x14ac:dyDescent="0.25">
      <c r="A8854" s="94" t="s">
        <v>16379</v>
      </c>
      <c r="B8854" s="82" t="str">
        <f t="shared" ca="1" si="355"/>
        <v>Jabones</v>
      </c>
      <c r="C8854" s="95" t="str">
        <f>IFERROR(VLOOKUP("UD",'Informacion '!P:Q,2,FALSE),"")</f>
        <v>Unidad</v>
      </c>
      <c r="D8854" s="94">
        <v>48</v>
      </c>
      <c r="E8854" s="84">
        <v>82</v>
      </c>
      <c r="F8854" s="83">
        <f t="shared" ca="1" si="356"/>
        <v>3936</v>
      </c>
    </row>
    <row r="8855" spans="1:6" ht="14.1" customHeight="1" x14ac:dyDescent="0.25">
      <c r="A8855" s="94" t="s">
        <v>16379</v>
      </c>
      <c r="B8855" s="82" t="str">
        <f t="shared" ca="1" si="355"/>
        <v>Jabones</v>
      </c>
      <c r="C8855" s="95" t="str">
        <f>IFERROR(VLOOKUP("UD",'Informacion '!P:Q,2,FALSE),"")</f>
        <v>Unidad</v>
      </c>
      <c r="D8855" s="94">
        <v>62</v>
      </c>
      <c r="E8855" s="84">
        <v>12799.62</v>
      </c>
      <c r="F8855" s="83">
        <f t="shared" ca="1" si="356"/>
        <v>793576.44000000006</v>
      </c>
    </row>
    <row r="8856" spans="1:6" ht="14.1" customHeight="1" x14ac:dyDescent="0.25">
      <c r="A8856" s="94" t="s">
        <v>16379</v>
      </c>
      <c r="B8856" s="82" t="str">
        <f t="shared" ca="1" si="355"/>
        <v>Jabones</v>
      </c>
      <c r="C8856" s="95" t="str">
        <f>IFERROR(VLOOKUP("UD",'Informacion '!P:Q,2,FALSE),"")</f>
        <v>Unidad</v>
      </c>
      <c r="D8856" s="94">
        <v>259</v>
      </c>
      <c r="E8856" s="84">
        <v>2.84</v>
      </c>
      <c r="F8856" s="83">
        <f t="shared" ca="1" si="356"/>
        <v>735.56</v>
      </c>
    </row>
    <row r="8857" spans="1:6" ht="14.1" customHeight="1" x14ac:dyDescent="0.25">
      <c r="A8857" s="94" t="s">
        <v>16379</v>
      </c>
      <c r="B8857" s="82" t="str">
        <f t="shared" ca="1" si="355"/>
        <v>Jabones</v>
      </c>
      <c r="C8857" s="95" t="str">
        <f>IFERROR(VLOOKUP("UD",'Informacion '!P:Q,2,FALSE),"")</f>
        <v>Unidad</v>
      </c>
      <c r="D8857" s="94">
        <v>930</v>
      </c>
      <c r="E8857" s="84">
        <v>1.59</v>
      </c>
      <c r="F8857" s="83">
        <f t="shared" ca="1" si="356"/>
        <v>1478.7</v>
      </c>
    </row>
    <row r="8858" spans="1:6" ht="14.1" customHeight="1" x14ac:dyDescent="0.25">
      <c r="A8858" s="94" t="s">
        <v>16379</v>
      </c>
      <c r="B8858" s="82" t="str">
        <f t="shared" ca="1" si="355"/>
        <v>Jabones</v>
      </c>
      <c r="C8858" s="95" t="str">
        <f>IFERROR(VLOOKUP("UD",'Informacion '!P:Q,2,FALSE),"")</f>
        <v>Unidad</v>
      </c>
      <c r="D8858" s="94">
        <v>6</v>
      </c>
      <c r="E8858" s="84">
        <v>4506.74</v>
      </c>
      <c r="F8858" s="83">
        <f t="shared" ca="1" si="356"/>
        <v>27040.44</v>
      </c>
    </row>
    <row r="8859" spans="1:6" ht="14.1" customHeight="1" x14ac:dyDescent="0.25">
      <c r="A8859" s="94" t="s">
        <v>16379</v>
      </c>
      <c r="B8859" s="82" t="str">
        <f t="shared" ca="1" si="355"/>
        <v>Jabones</v>
      </c>
      <c r="C8859" s="95" t="str">
        <f>IFERROR(VLOOKUP("UD",'Informacion '!P:Q,2,FALSE),"")</f>
        <v>Unidad</v>
      </c>
      <c r="D8859" s="94">
        <v>10</v>
      </c>
      <c r="E8859" s="84">
        <v>2.4500000000000002</v>
      </c>
      <c r="F8859" s="83">
        <f t="shared" ca="1" si="356"/>
        <v>24.5</v>
      </c>
    </row>
    <row r="8860" spans="1:6" ht="14.1" customHeight="1" x14ac:dyDescent="0.25">
      <c r="A8860" s="94" t="s">
        <v>16379</v>
      </c>
      <c r="B8860" s="82" t="str">
        <f t="shared" ca="1" si="355"/>
        <v>Jabones</v>
      </c>
      <c r="C8860" s="95" t="str">
        <f>IFERROR(VLOOKUP("UD",'Informacion '!P:Q,2,FALSE),"")</f>
        <v>Unidad</v>
      </c>
      <c r="D8860" s="94">
        <v>3</v>
      </c>
      <c r="E8860" s="84">
        <v>1546.27</v>
      </c>
      <c r="F8860" s="83">
        <f t="shared" ca="1" si="356"/>
        <v>4638.8099999999995</v>
      </c>
    </row>
    <row r="8861" spans="1:6" ht="14.1" customHeight="1" x14ac:dyDescent="0.25">
      <c r="A8861" s="94" t="s">
        <v>16379</v>
      </c>
      <c r="B8861" s="82" t="str">
        <f t="shared" ca="1" si="355"/>
        <v>Jabones</v>
      </c>
      <c r="C8861" s="95" t="str">
        <f>IFERROR(VLOOKUP("UD",'Informacion '!P:Q,2,FALSE),"")</f>
        <v>Unidad</v>
      </c>
      <c r="D8861" s="94">
        <v>3</v>
      </c>
      <c r="E8861" s="84">
        <v>531.91999999999996</v>
      </c>
      <c r="F8861" s="83">
        <f t="shared" ca="1" si="356"/>
        <v>1595.7599999999998</v>
      </c>
    </row>
    <row r="8862" spans="1:6" ht="14.1" customHeight="1" x14ac:dyDescent="0.25">
      <c r="A8862" s="94" t="s">
        <v>16379</v>
      </c>
      <c r="B8862" s="82" t="str">
        <f t="shared" ca="1" si="355"/>
        <v>Jabones</v>
      </c>
      <c r="C8862" s="95" t="str">
        <f>IFERROR(VLOOKUP("UD",'Informacion '!P:Q,2,FALSE),"")</f>
        <v>Unidad</v>
      </c>
      <c r="D8862" s="94">
        <v>4829</v>
      </c>
      <c r="E8862" s="84">
        <v>11.52</v>
      </c>
      <c r="F8862" s="83">
        <f t="shared" ca="1" si="356"/>
        <v>55630.079999999994</v>
      </c>
    </row>
    <row r="8863" spans="1:6" ht="14.1" customHeight="1" x14ac:dyDescent="0.25">
      <c r="A8863" s="94" t="s">
        <v>16379</v>
      </c>
      <c r="B8863" s="82" t="str">
        <f t="shared" ca="1" si="355"/>
        <v>Jabones</v>
      </c>
      <c r="C8863" s="95" t="str">
        <f>IFERROR(VLOOKUP("UD",'Informacion '!P:Q,2,FALSE),"")</f>
        <v>Unidad</v>
      </c>
      <c r="D8863" s="94">
        <v>936</v>
      </c>
      <c r="E8863" s="84">
        <v>14.24</v>
      </c>
      <c r="F8863" s="83">
        <f t="shared" ca="1" si="356"/>
        <v>13328.64</v>
      </c>
    </row>
    <row r="8864" spans="1:6" ht="14.1" customHeight="1" x14ac:dyDescent="0.25">
      <c r="A8864" s="94" t="s">
        <v>16379</v>
      </c>
      <c r="B8864" s="82" t="str">
        <f t="shared" ca="1" si="355"/>
        <v>Jabones</v>
      </c>
      <c r="C8864" s="95" t="str">
        <f>IFERROR(VLOOKUP("UD",'Informacion '!P:Q,2,FALSE),"")</f>
        <v>Unidad</v>
      </c>
      <c r="D8864" s="94">
        <v>532</v>
      </c>
      <c r="E8864" s="84">
        <v>3.41</v>
      </c>
      <c r="F8864" s="83">
        <f t="shared" ca="1" si="356"/>
        <v>1814.1200000000001</v>
      </c>
    </row>
    <row r="8865" spans="1:6" ht="14.1" customHeight="1" x14ac:dyDescent="0.25">
      <c r="A8865" s="94" t="s">
        <v>16379</v>
      </c>
      <c r="B8865" s="82" t="str">
        <f t="shared" ca="1" si="355"/>
        <v>Jabones</v>
      </c>
      <c r="C8865" s="95" t="str">
        <f>IFERROR(VLOOKUP("UD",'Informacion '!P:Q,2,FALSE),"")</f>
        <v>Unidad</v>
      </c>
      <c r="D8865" s="94">
        <v>131</v>
      </c>
      <c r="E8865" s="84">
        <v>8.82</v>
      </c>
      <c r="F8865" s="83">
        <f t="shared" ca="1" si="356"/>
        <v>1155.42</v>
      </c>
    </row>
    <row r="8866" spans="1:6" ht="14.1" customHeight="1" x14ac:dyDescent="0.25">
      <c r="A8866" s="94" t="s">
        <v>16379</v>
      </c>
      <c r="B8866" s="82" t="str">
        <f t="shared" ca="1" si="355"/>
        <v>Jabones</v>
      </c>
      <c r="C8866" s="95" t="str">
        <f>IFERROR(VLOOKUP("UD",'Informacion '!P:Q,2,FALSE),"")</f>
        <v>Unidad</v>
      </c>
      <c r="D8866" s="94">
        <v>4871</v>
      </c>
      <c r="E8866" s="84">
        <v>157.93</v>
      </c>
      <c r="F8866" s="83">
        <f t="shared" ca="1" si="356"/>
        <v>769277.03</v>
      </c>
    </row>
    <row r="8867" spans="1:6" ht="14.1" customHeight="1" x14ac:dyDescent="0.25">
      <c r="A8867" s="94" t="s">
        <v>16379</v>
      </c>
      <c r="B8867" s="82" t="str">
        <f t="shared" ca="1" si="355"/>
        <v>Jabones</v>
      </c>
      <c r="C8867" s="95" t="str">
        <f>IFERROR(VLOOKUP("UD",'Informacion '!P:Q,2,FALSE),"")</f>
        <v>Unidad</v>
      </c>
      <c r="D8867" s="94">
        <v>1329</v>
      </c>
      <c r="E8867" s="84">
        <v>11.91</v>
      </c>
      <c r="F8867" s="83">
        <f t="shared" ca="1" si="356"/>
        <v>15828.39</v>
      </c>
    </row>
    <row r="8868" spans="1:6" ht="14.1" customHeight="1" x14ac:dyDescent="0.25">
      <c r="A8868" s="94" t="s">
        <v>16379</v>
      </c>
      <c r="B8868" s="82" t="str">
        <f t="shared" ca="1" si="355"/>
        <v>Jabones</v>
      </c>
      <c r="C8868" s="95" t="str">
        <f>IFERROR(VLOOKUP("UD",'Informacion '!P:Q,2,FALSE),"")</f>
        <v>Unidad</v>
      </c>
      <c r="D8868" s="94">
        <v>3</v>
      </c>
      <c r="E8868" s="84">
        <v>952.9</v>
      </c>
      <c r="F8868" s="83">
        <f t="shared" ca="1" si="356"/>
        <v>2858.7</v>
      </c>
    </row>
    <row r="8869" spans="1:6" ht="14.1" customHeight="1" x14ac:dyDescent="0.25">
      <c r="A8869" s="94" t="s">
        <v>16379</v>
      </c>
      <c r="B8869" s="82" t="str">
        <f t="shared" ca="1" si="355"/>
        <v>Jabones</v>
      </c>
      <c r="C8869" s="95" t="str">
        <f>IFERROR(VLOOKUP("UD",'Informacion '!P:Q,2,FALSE),"")</f>
        <v>Unidad</v>
      </c>
      <c r="D8869" s="94">
        <v>3</v>
      </c>
      <c r="E8869" s="84">
        <v>1753.05</v>
      </c>
      <c r="F8869" s="83">
        <f t="shared" ca="1" si="356"/>
        <v>5259.15</v>
      </c>
    </row>
    <row r="8870" spans="1:6" ht="14.1" customHeight="1" x14ac:dyDescent="0.25">
      <c r="A8870" s="94" t="s">
        <v>16379</v>
      </c>
      <c r="B8870" s="82" t="str">
        <f t="shared" ca="1" si="355"/>
        <v>Jabones</v>
      </c>
      <c r="C8870" s="95" t="str">
        <f>IFERROR(VLOOKUP("UD",'Informacion '!P:Q,2,FALSE),"")</f>
        <v>Unidad</v>
      </c>
      <c r="D8870" s="94">
        <v>628</v>
      </c>
      <c r="E8870" s="84">
        <v>6.61</v>
      </c>
      <c r="F8870" s="83">
        <f t="shared" ca="1" si="356"/>
        <v>4151.08</v>
      </c>
    </row>
    <row r="8871" spans="1:6" ht="14.1" customHeight="1" x14ac:dyDescent="0.25">
      <c r="A8871" s="94" t="s">
        <v>16379</v>
      </c>
      <c r="B8871" s="82" t="str">
        <f t="shared" ca="1" si="355"/>
        <v>Jabones</v>
      </c>
      <c r="C8871" s="95" t="str">
        <f>IFERROR(VLOOKUP("UD",'Informacion '!P:Q,2,FALSE),"")</f>
        <v>Unidad</v>
      </c>
      <c r="D8871" s="94">
        <v>3</v>
      </c>
      <c r="E8871" s="84">
        <v>590.41999999999996</v>
      </c>
      <c r="F8871" s="83">
        <f t="shared" ca="1" si="356"/>
        <v>1771.2599999999998</v>
      </c>
    </row>
    <row r="8872" spans="1:6" ht="14.1" customHeight="1" x14ac:dyDescent="0.25">
      <c r="A8872" s="94" t="s">
        <v>16379</v>
      </c>
      <c r="B8872" s="82" t="str">
        <f t="shared" ca="1" si="355"/>
        <v>Jabones</v>
      </c>
      <c r="C8872" s="95" t="str">
        <f>IFERROR(VLOOKUP("UD",'Informacion '!P:Q,2,FALSE),"")</f>
        <v>Unidad</v>
      </c>
      <c r="D8872" s="94">
        <v>3</v>
      </c>
      <c r="E8872" s="84">
        <v>590.41999999999996</v>
      </c>
      <c r="F8872" s="83">
        <f t="shared" ca="1" si="356"/>
        <v>1771.2599999999998</v>
      </c>
    </row>
    <row r="8873" spans="1:6" ht="14.1" customHeight="1" x14ac:dyDescent="0.25">
      <c r="A8873" s="94" t="s">
        <v>16379</v>
      </c>
      <c r="B8873" s="82" t="str">
        <f t="shared" ca="1" si="355"/>
        <v>Jabones</v>
      </c>
      <c r="C8873" s="95" t="str">
        <f>IFERROR(VLOOKUP("UD",'Informacion '!P:Q,2,FALSE),"")</f>
        <v>Unidad</v>
      </c>
      <c r="D8873" s="94">
        <v>114</v>
      </c>
      <c r="E8873" s="84">
        <v>115.68</v>
      </c>
      <c r="F8873" s="83">
        <f t="shared" ca="1" si="356"/>
        <v>13187.52</v>
      </c>
    </row>
    <row r="8874" spans="1:6" ht="14.1" customHeight="1" x14ac:dyDescent="0.25">
      <c r="A8874" s="94" t="s">
        <v>16379</v>
      </c>
      <c r="B8874" s="82" t="str">
        <f t="shared" ca="1" si="355"/>
        <v>Jabones</v>
      </c>
      <c r="C8874" s="95" t="str">
        <f>IFERROR(VLOOKUP("UD",'Informacion '!P:Q,2,FALSE),"")</f>
        <v>Unidad</v>
      </c>
      <c r="D8874" s="94">
        <v>3</v>
      </c>
      <c r="E8874" s="84">
        <v>590.41999999999996</v>
      </c>
      <c r="F8874" s="83">
        <f t="shared" ca="1" si="356"/>
        <v>1771.2599999999998</v>
      </c>
    </row>
    <row r="8875" spans="1:6" ht="14.1" customHeight="1" x14ac:dyDescent="0.25">
      <c r="A8875" s="94" t="s">
        <v>16379</v>
      </c>
      <c r="B8875" s="82" t="str">
        <f t="shared" ca="1" si="355"/>
        <v>Jabones</v>
      </c>
      <c r="C8875" s="95" t="str">
        <f>IFERROR(VLOOKUP("UD",'Informacion '!P:Q,2,FALSE),"")</f>
        <v>Unidad</v>
      </c>
      <c r="D8875" s="94">
        <v>4</v>
      </c>
      <c r="E8875" s="84">
        <v>1107.98</v>
      </c>
      <c r="F8875" s="83">
        <f t="shared" ca="1" si="356"/>
        <v>4431.92</v>
      </c>
    </row>
    <row r="8876" spans="1:6" ht="14.1" customHeight="1" x14ac:dyDescent="0.25">
      <c r="A8876" s="94" t="s">
        <v>16379</v>
      </c>
      <c r="B8876" s="82" t="str">
        <f t="shared" ca="1" si="355"/>
        <v>Jabones</v>
      </c>
      <c r="C8876" s="95" t="str">
        <f>IFERROR(VLOOKUP("UD",'Informacion '!P:Q,2,FALSE),"")</f>
        <v>Unidad</v>
      </c>
      <c r="D8876" s="94">
        <v>3</v>
      </c>
      <c r="E8876" s="84">
        <v>615.25</v>
      </c>
      <c r="F8876" s="83">
        <f t="shared" ca="1" si="356"/>
        <v>1845.75</v>
      </c>
    </row>
    <row r="8877" spans="1:6" ht="14.1" customHeight="1" x14ac:dyDescent="0.25">
      <c r="A8877" s="94" t="s">
        <v>16379</v>
      </c>
      <c r="B8877" s="82" t="str">
        <f t="shared" ca="1" si="355"/>
        <v>Jabones</v>
      </c>
      <c r="C8877" s="95" t="str">
        <f>IFERROR(VLOOKUP("UD",'Informacion '!P:Q,2,FALSE),"")</f>
        <v>Unidad</v>
      </c>
      <c r="D8877" s="94">
        <v>66</v>
      </c>
      <c r="E8877" s="84">
        <v>130.44999999999999</v>
      </c>
      <c r="F8877" s="83">
        <f t="shared" ca="1" si="356"/>
        <v>8609.6999999999989</v>
      </c>
    </row>
    <row r="8878" spans="1:6" ht="14.1" customHeight="1" x14ac:dyDescent="0.25">
      <c r="A8878" s="94" t="s">
        <v>16379</v>
      </c>
      <c r="B8878" s="82" t="str">
        <f t="shared" ca="1" si="355"/>
        <v>Jabones</v>
      </c>
      <c r="C8878" s="95" t="str">
        <f>IFERROR(VLOOKUP("UD",'Informacion '!P:Q,2,FALSE),"")</f>
        <v>Unidad</v>
      </c>
      <c r="D8878" s="94">
        <v>3</v>
      </c>
      <c r="E8878" s="84">
        <v>740.93</v>
      </c>
      <c r="F8878" s="83">
        <f t="shared" ca="1" si="356"/>
        <v>2222.79</v>
      </c>
    </row>
    <row r="8879" spans="1:6" ht="14.1" customHeight="1" x14ac:dyDescent="0.25">
      <c r="A8879" s="94" t="s">
        <v>16379</v>
      </c>
      <c r="B8879" s="82" t="str">
        <f t="shared" ca="1" si="355"/>
        <v>Jabones</v>
      </c>
      <c r="C8879" s="95" t="str">
        <f>IFERROR(VLOOKUP("UD",'Informacion '!P:Q,2,FALSE),"")</f>
        <v>Unidad</v>
      </c>
      <c r="D8879" s="94">
        <v>3</v>
      </c>
      <c r="E8879" s="84">
        <v>641.70000000000005</v>
      </c>
      <c r="F8879" s="83">
        <f t="shared" ca="1" si="356"/>
        <v>1925.1000000000001</v>
      </c>
    </row>
    <row r="8880" spans="1:6" ht="14.1" customHeight="1" x14ac:dyDescent="0.25">
      <c r="A8880" s="94" t="s">
        <v>16379</v>
      </c>
      <c r="B8880" s="82" t="str">
        <f t="shared" ca="1" si="355"/>
        <v>Jabones</v>
      </c>
      <c r="C8880" s="95" t="str">
        <f>IFERROR(VLOOKUP("UD",'Informacion '!P:Q,2,FALSE),"")</f>
        <v>Unidad</v>
      </c>
      <c r="D8880" s="94">
        <v>13</v>
      </c>
      <c r="E8880" s="84">
        <v>140.9</v>
      </c>
      <c r="F8880" s="83">
        <f t="shared" ca="1" si="356"/>
        <v>1831.7</v>
      </c>
    </row>
    <row r="8881" spans="1:10" ht="14.1" customHeight="1" x14ac:dyDescent="0.25">
      <c r="A8881" s="94" t="s">
        <v>16379</v>
      </c>
      <c r="B8881" s="82" t="str">
        <f t="shared" ca="1" si="355"/>
        <v>Jabones</v>
      </c>
      <c r="C8881" s="95" t="str">
        <f>IFERROR(VLOOKUP("UD",'Informacion '!P:Q,2,FALSE),"")</f>
        <v>Unidad</v>
      </c>
      <c r="D8881" s="94">
        <v>149</v>
      </c>
      <c r="E8881" s="84">
        <v>352.25</v>
      </c>
      <c r="F8881" s="83">
        <f t="shared" ca="1" si="356"/>
        <v>52485.25</v>
      </c>
    </row>
    <row r="8882" spans="1:10" ht="14.1" customHeight="1" x14ac:dyDescent="0.25">
      <c r="A8882" s="94" t="s">
        <v>16379</v>
      </c>
      <c r="B8882" s="82" t="str">
        <f t="shared" ref="B8882:B8893" ca="1" si="357">IFERROR(INDEX(UNSPSCDes,MATCH(INDIRECT(ADDRESS(ROW(),COLUMN()-1,4)),UNSPSCCode,0)),IF(INDIRECT(ADDRESS(ROW(),COLUMN()-1,4))="53131608","Jabones",""))</f>
        <v>Jabones</v>
      </c>
      <c r="C8882" s="95" t="str">
        <f>IFERROR(VLOOKUP("UD",'Informacion '!P:Q,2,FALSE),"")</f>
        <v>Unidad</v>
      </c>
      <c r="D8882" s="94">
        <v>13</v>
      </c>
      <c r="E8882" s="84">
        <v>28.96</v>
      </c>
      <c r="F8882" s="83">
        <f t="shared" ca="1" si="356"/>
        <v>376.48</v>
      </c>
    </row>
    <row r="8883" spans="1:10" ht="14.1" customHeight="1" x14ac:dyDescent="0.25">
      <c r="A8883" s="94" t="s">
        <v>16379</v>
      </c>
      <c r="B8883" s="82" t="str">
        <f t="shared" ca="1" si="357"/>
        <v>Jabones</v>
      </c>
      <c r="C8883" s="95" t="str">
        <f>IFERROR(VLOOKUP("UD",'Informacion '!P:Q,2,FALSE),"")</f>
        <v>Unidad</v>
      </c>
      <c r="D8883" s="94">
        <v>3</v>
      </c>
      <c r="E8883" s="84">
        <v>211.57</v>
      </c>
      <c r="F8883" s="83">
        <f t="shared" ref="F8883:F8893" ca="1" si="358">INDIRECT(ADDRESS(ROW(),COLUMN()-2,4))*INDIRECT(ADDRESS(ROW(),COLUMN()-1,4))</f>
        <v>634.71</v>
      </c>
    </row>
    <row r="8884" spans="1:10" ht="14.1" customHeight="1" x14ac:dyDescent="0.25">
      <c r="A8884" s="94" t="s">
        <v>16379</v>
      </c>
      <c r="B8884" s="82" t="str">
        <f t="shared" ca="1" si="357"/>
        <v>Jabones</v>
      </c>
      <c r="C8884" s="95" t="str">
        <f>IFERROR(VLOOKUP("UD",'Informacion '!P:Q,2,FALSE),"")</f>
        <v>Unidad</v>
      </c>
      <c r="D8884" s="94">
        <v>3</v>
      </c>
      <c r="E8884" s="84">
        <v>4836</v>
      </c>
      <c r="F8884" s="83">
        <f t="shared" ca="1" si="358"/>
        <v>14508</v>
      </c>
    </row>
    <row r="8885" spans="1:10" ht="14.1" customHeight="1" x14ac:dyDescent="0.25">
      <c r="A8885" s="94" t="s">
        <v>16379</v>
      </c>
      <c r="B8885" s="82" t="str">
        <f t="shared" ca="1" si="357"/>
        <v>Jabones</v>
      </c>
      <c r="C8885" s="95" t="str">
        <f>IFERROR(VLOOKUP("UD",'Informacion '!P:Q,2,FALSE),"")</f>
        <v>Unidad</v>
      </c>
      <c r="D8885" s="94">
        <v>4</v>
      </c>
      <c r="E8885" s="84">
        <v>5487</v>
      </c>
      <c r="F8885" s="83">
        <f t="shared" ca="1" si="358"/>
        <v>21948</v>
      </c>
    </row>
    <row r="8886" spans="1:10" ht="14.1" customHeight="1" x14ac:dyDescent="0.25">
      <c r="A8886" s="94" t="s">
        <v>16379</v>
      </c>
      <c r="B8886" s="82" t="str">
        <f t="shared" ca="1" si="357"/>
        <v>Jabones</v>
      </c>
      <c r="C8886" s="95" t="str">
        <f>IFERROR(VLOOKUP("UD",'Informacion '!P:Q,2,FALSE),"")</f>
        <v>Unidad</v>
      </c>
      <c r="D8886" s="94">
        <v>3</v>
      </c>
      <c r="E8886" s="84">
        <v>300</v>
      </c>
      <c r="F8886" s="83">
        <f t="shared" ca="1" si="358"/>
        <v>900</v>
      </c>
    </row>
    <row r="8887" spans="1:10" ht="14.1" customHeight="1" x14ac:dyDescent="0.25">
      <c r="A8887" s="94" t="s">
        <v>16379</v>
      </c>
      <c r="B8887" s="82" t="str">
        <f t="shared" ca="1" si="357"/>
        <v>Jabones</v>
      </c>
      <c r="C8887" s="95" t="str">
        <f>IFERROR(VLOOKUP("UD",'Informacion '!P:Q,2,FALSE),"")</f>
        <v>Unidad</v>
      </c>
      <c r="D8887" s="94">
        <v>5</v>
      </c>
      <c r="E8887" s="84">
        <v>450</v>
      </c>
      <c r="F8887" s="83">
        <f t="shared" ca="1" si="358"/>
        <v>2250</v>
      </c>
    </row>
    <row r="8888" spans="1:10" ht="14.1" customHeight="1" x14ac:dyDescent="0.25">
      <c r="A8888" s="94" t="s">
        <v>16379</v>
      </c>
      <c r="B8888" s="82" t="str">
        <f t="shared" ca="1" si="357"/>
        <v>Jabones</v>
      </c>
      <c r="C8888" s="95" t="str">
        <f>IFERROR(VLOOKUP("UD",'Informacion '!P:Q,2,FALSE),"")</f>
        <v>Unidad</v>
      </c>
      <c r="D8888" s="94">
        <v>5</v>
      </c>
      <c r="E8888" s="84">
        <v>1434.92</v>
      </c>
      <c r="F8888" s="83">
        <f t="shared" ca="1" si="358"/>
        <v>7174.6</v>
      </c>
    </row>
    <row r="8889" spans="1:10" ht="14.1" customHeight="1" x14ac:dyDescent="0.25">
      <c r="A8889" s="94" t="s">
        <v>16379</v>
      </c>
      <c r="B8889" s="82" t="str">
        <f t="shared" ca="1" si="357"/>
        <v>Jabones</v>
      </c>
      <c r="C8889" s="95" t="str">
        <f>IFERROR(VLOOKUP("UD",'Informacion '!P:Q,2,FALSE),"")</f>
        <v>Unidad</v>
      </c>
      <c r="D8889" s="94">
        <v>36</v>
      </c>
      <c r="E8889" s="84">
        <v>100.8</v>
      </c>
      <c r="F8889" s="83">
        <f t="shared" ca="1" si="358"/>
        <v>3628.7999999999997</v>
      </c>
    </row>
    <row r="8890" spans="1:10" ht="14.1" customHeight="1" x14ac:dyDescent="0.25">
      <c r="A8890" s="94" t="s">
        <v>16379</v>
      </c>
      <c r="B8890" s="82" t="str">
        <f t="shared" ca="1" si="357"/>
        <v>Jabones</v>
      </c>
      <c r="C8890" s="95" t="str">
        <f>IFERROR(VLOOKUP("UD",'Informacion '!P:Q,2,FALSE),"")</f>
        <v>Unidad</v>
      </c>
      <c r="D8890" s="94">
        <v>3</v>
      </c>
      <c r="E8890" s="84">
        <v>1742</v>
      </c>
      <c r="F8890" s="83">
        <f t="shared" ca="1" si="358"/>
        <v>5226</v>
      </c>
    </row>
    <row r="8891" spans="1:10" ht="14.1" customHeight="1" x14ac:dyDescent="0.25">
      <c r="A8891" s="94" t="s">
        <v>16379</v>
      </c>
      <c r="B8891" s="82" t="str">
        <f t="shared" ca="1" si="357"/>
        <v>Jabones</v>
      </c>
      <c r="C8891" s="95" t="str">
        <f>IFERROR(VLOOKUP("UD",'Informacion '!P:Q,2,FALSE),"")</f>
        <v>Unidad</v>
      </c>
      <c r="D8891" s="94">
        <v>3</v>
      </c>
      <c r="E8891" s="84">
        <v>1742</v>
      </c>
      <c r="F8891" s="83">
        <f t="shared" ca="1" si="358"/>
        <v>5226</v>
      </c>
    </row>
    <row r="8892" spans="1:10" ht="14.1" customHeight="1" x14ac:dyDescent="0.25">
      <c r="A8892" s="94" t="s">
        <v>16379</v>
      </c>
      <c r="B8892" s="82" t="str">
        <f t="shared" ca="1" si="357"/>
        <v>Jabones</v>
      </c>
      <c r="C8892" s="95" t="str">
        <f>IFERROR(VLOOKUP("UD",'Informacion '!P:Q,2,FALSE),"")</f>
        <v>Unidad</v>
      </c>
      <c r="D8892" s="94">
        <v>3</v>
      </c>
      <c r="E8892" s="84">
        <v>1742</v>
      </c>
      <c r="F8892" s="83">
        <f t="shared" ca="1" si="358"/>
        <v>5226</v>
      </c>
    </row>
    <row r="8893" spans="1:10" ht="14.1" customHeight="1" x14ac:dyDescent="0.25">
      <c r="A8893" s="94" t="s">
        <v>16379</v>
      </c>
      <c r="B8893" s="82" t="str">
        <f t="shared" ca="1" si="357"/>
        <v>Jabones</v>
      </c>
      <c r="C8893" s="95" t="str">
        <f>IFERROR(VLOOKUP("UD",'Informacion '!P:Q,2,FALSE),"")</f>
        <v>Unidad</v>
      </c>
      <c r="D8893" s="94">
        <v>3</v>
      </c>
      <c r="E8893" s="84">
        <v>640</v>
      </c>
      <c r="F8893" s="83">
        <f t="shared" ca="1" si="358"/>
        <v>1920</v>
      </c>
    </row>
    <row r="8894" spans="1:10" ht="14.1" customHeight="1" x14ac:dyDescent="0.25">
      <c r="E8894" s="96" t="s">
        <v>7213</v>
      </c>
      <c r="F8894" s="87">
        <f ca="1">SUM(Table222[MONTO TOTAL ESTIMADO])</f>
        <v>2631922.9000000004</v>
      </c>
      <c r="H8894" s="39" t="str">
        <f>C8780</f>
        <v>Bienes</v>
      </c>
      <c r="I8894" s="39" t="str">
        <f>E8780</f>
        <v>No</v>
      </c>
      <c r="J8894" s="39" t="str">
        <f>D8780</f>
        <v>Compras Menores</v>
      </c>
    </row>
    <row r="8896" spans="1:10" ht="33.950000000000003" customHeight="1" x14ac:dyDescent="0.25">
      <c r="A8896" s="77" t="s">
        <v>17233</v>
      </c>
      <c r="B8896" s="77" t="s">
        <v>4237</v>
      </c>
      <c r="C8896" s="77" t="s">
        <v>4743</v>
      </c>
      <c r="D8896" s="77" t="s">
        <v>9891</v>
      </c>
      <c r="E8896" s="77" t="s">
        <v>3089</v>
      </c>
      <c r="F8896" s="77" t="s">
        <v>18141</v>
      </c>
    </row>
    <row r="8897" spans="1:6" ht="14.1" customHeight="1" x14ac:dyDescent="0.25">
      <c r="A8897" s="79" t="s">
        <v>5369</v>
      </c>
      <c r="B8897" s="79" t="s">
        <v>2182</v>
      </c>
      <c r="C8897" s="79" t="s">
        <v>17215</v>
      </c>
      <c r="D8897" s="79" t="s">
        <v>17798</v>
      </c>
      <c r="E8897" s="79" t="s">
        <v>18247</v>
      </c>
      <c r="F8897" s="79"/>
    </row>
    <row r="8898" spans="1:6" ht="14.1" customHeight="1" x14ac:dyDescent="0.25">
      <c r="A8898" s="2" t="s">
        <v>6643</v>
      </c>
      <c r="B8898" s="80" t="s">
        <v>1046</v>
      </c>
      <c r="C8898" s="90">
        <v>43739</v>
      </c>
      <c r="D8898" s="2" t="s">
        <v>59</v>
      </c>
      <c r="E8898" s="92" t="s">
        <v>20066</v>
      </c>
      <c r="F8898" s="93" t="s">
        <v>5684</v>
      </c>
    </row>
    <row r="8899" spans="1:6" ht="14.1" customHeight="1" x14ac:dyDescent="0.25">
      <c r="A8899" s="1"/>
      <c r="B8899" s="80" t="s">
        <v>10788</v>
      </c>
      <c r="C8899" s="91">
        <f>IF(C8898="","",IF(AND(MONTH(C8898)&gt;=1,MONTH(C8898)&lt;=3),1,IF(AND(MONTH(C8898)&gt;=4,MONTH(C8898)&lt;=6),2,IF(AND(MONTH(C8898)&gt;=7,MONTH(C8898)&lt;=9),3,4))))</f>
        <v>4</v>
      </c>
      <c r="D8899" s="1"/>
      <c r="E8899" s="92" t="s">
        <v>14822</v>
      </c>
      <c r="F8899" s="93"/>
    </row>
    <row r="8900" spans="1:6" ht="14.1" customHeight="1" x14ac:dyDescent="0.25">
      <c r="A8900" s="1"/>
      <c r="B8900" s="80" t="s">
        <v>13758</v>
      </c>
      <c r="C8900" s="90">
        <v>43830</v>
      </c>
      <c r="D8900" s="1"/>
      <c r="E8900" s="92" t="s">
        <v>18636</v>
      </c>
      <c r="F8900" s="93"/>
    </row>
    <row r="8901" spans="1:6" ht="14.1" customHeight="1" x14ac:dyDescent="0.25">
      <c r="A8901" s="1"/>
      <c r="B8901" s="80" t="s">
        <v>10788</v>
      </c>
      <c r="C8901" s="91">
        <f>IF(C8900="","",IF(AND(MONTH(C8900)&gt;=1,MONTH(C8900)&lt;=3),1,IF(AND(MONTH(C8900)&gt;=4,MONTH(C8900)&lt;=6),2,IF(AND(MONTH(C8900)&gt;=7,MONTH(C8900)&lt;=9),3,4))))</f>
        <v>4</v>
      </c>
      <c r="D8901" s="1"/>
      <c r="E8901" s="92" t="s">
        <v>15990</v>
      </c>
      <c r="F8901" s="93"/>
    </row>
    <row r="8903" spans="1:6" ht="14.1" customHeight="1" x14ac:dyDescent="0.25">
      <c r="A8903" s="85" t="s">
        <v>15474</v>
      </c>
      <c r="B8903" s="85" t="s">
        <v>5027</v>
      </c>
      <c r="C8903" s="85" t="s">
        <v>17461</v>
      </c>
      <c r="D8903" s="85" t="s">
        <v>3935</v>
      </c>
      <c r="E8903" s="85" t="s">
        <v>10722</v>
      </c>
      <c r="F8903" s="85" t="s">
        <v>18237</v>
      </c>
    </row>
    <row r="8904" spans="1:6" ht="14.1" customHeight="1" x14ac:dyDescent="0.25">
      <c r="A8904" s="94" t="s">
        <v>5138</v>
      </c>
      <c r="B8904" s="82" t="str">
        <f t="shared" ref="B8904:B8913" ca="1" si="359">IFERROR(INDEX(UNSPSCDes,MATCH(INDIRECT(ADDRESS(ROW(),COLUMN()-1,4)),UNSPSCCode,0)),IF(INDIRECT(ADDRESS(ROW(),COLUMN()-1,4))="41103801","Mezcladores de laboratorio",""))</f>
        <v>Mezcladores de laboratorio</v>
      </c>
      <c r="C8904" s="95" t="str">
        <f>IFERROR(VLOOKUP("UD",'Informacion '!P:Q,2,FALSE),"")</f>
        <v>Unidad</v>
      </c>
      <c r="D8904" s="94">
        <v>4</v>
      </c>
      <c r="E8904" s="84">
        <v>2571</v>
      </c>
      <c r="F8904" s="83">
        <f t="shared" ref="F8904:F8935" ca="1" si="360">INDIRECT(ADDRESS(ROW(),COLUMN()-2,4))*INDIRECT(ADDRESS(ROW(),COLUMN()-1,4))</f>
        <v>10284</v>
      </c>
    </row>
    <row r="8905" spans="1:6" ht="14.1" customHeight="1" x14ac:dyDescent="0.25">
      <c r="A8905" s="94" t="s">
        <v>5138</v>
      </c>
      <c r="B8905" s="82" t="str">
        <f t="shared" ca="1" si="359"/>
        <v>Mezcladores de laboratorio</v>
      </c>
      <c r="C8905" s="95" t="str">
        <f>IFERROR(VLOOKUP("UD",'Informacion '!P:Q,2,FALSE),"")</f>
        <v>Unidad</v>
      </c>
      <c r="D8905" s="94">
        <v>5</v>
      </c>
      <c r="E8905" s="84">
        <v>825.62</v>
      </c>
      <c r="F8905" s="83">
        <f t="shared" ca="1" si="360"/>
        <v>4128.1000000000004</v>
      </c>
    </row>
    <row r="8906" spans="1:6" ht="14.1" customHeight="1" x14ac:dyDescent="0.25">
      <c r="A8906" s="94" t="s">
        <v>5138</v>
      </c>
      <c r="B8906" s="82" t="str">
        <f t="shared" ca="1" si="359"/>
        <v>Mezcladores de laboratorio</v>
      </c>
      <c r="C8906" s="95" t="str">
        <f>IFERROR(VLOOKUP("UD",'Informacion '!P:Q,2,FALSE),"")</f>
        <v>Unidad</v>
      </c>
      <c r="D8906" s="94">
        <v>4</v>
      </c>
      <c r="E8906" s="84">
        <v>4894.72</v>
      </c>
      <c r="F8906" s="83">
        <f t="shared" ca="1" si="360"/>
        <v>19578.88</v>
      </c>
    </row>
    <row r="8907" spans="1:6" ht="14.1" customHeight="1" x14ac:dyDescent="0.25">
      <c r="A8907" s="94" t="s">
        <v>5138</v>
      </c>
      <c r="B8907" s="82" t="str">
        <f t="shared" ca="1" si="359"/>
        <v>Mezcladores de laboratorio</v>
      </c>
      <c r="C8907" s="95" t="str">
        <f>IFERROR(VLOOKUP("UD",'Informacion '!P:Q,2,FALSE),"")</f>
        <v>Unidad</v>
      </c>
      <c r="D8907" s="94">
        <v>10</v>
      </c>
      <c r="E8907" s="84">
        <v>1987.84</v>
      </c>
      <c r="F8907" s="83">
        <f t="shared" ca="1" si="360"/>
        <v>19878.399999999998</v>
      </c>
    </row>
    <row r="8908" spans="1:6" ht="14.1" customHeight="1" x14ac:dyDescent="0.25">
      <c r="A8908" s="94" t="s">
        <v>5138</v>
      </c>
      <c r="B8908" s="82" t="str">
        <f t="shared" ca="1" si="359"/>
        <v>Mezcladores de laboratorio</v>
      </c>
      <c r="C8908" s="95" t="str">
        <f>IFERROR(VLOOKUP("UD",'Informacion '!P:Q,2,FALSE),"")</f>
        <v>Unidad</v>
      </c>
      <c r="D8908" s="94">
        <v>8</v>
      </c>
      <c r="E8908" s="84">
        <v>4021.74</v>
      </c>
      <c r="F8908" s="83">
        <f t="shared" ca="1" si="360"/>
        <v>32173.919999999998</v>
      </c>
    </row>
    <row r="8909" spans="1:6" ht="14.1" customHeight="1" x14ac:dyDescent="0.25">
      <c r="A8909" s="94" t="s">
        <v>5138</v>
      </c>
      <c r="B8909" s="82" t="str">
        <f t="shared" ca="1" si="359"/>
        <v>Mezcladores de laboratorio</v>
      </c>
      <c r="C8909" s="95" t="str">
        <f>IFERROR(VLOOKUP("UD",'Informacion '!P:Q,2,FALSE),"")</f>
        <v>Unidad</v>
      </c>
      <c r="D8909" s="94">
        <v>5</v>
      </c>
      <c r="E8909" s="84">
        <v>9962.94</v>
      </c>
      <c r="F8909" s="83">
        <f t="shared" ca="1" si="360"/>
        <v>49814.700000000004</v>
      </c>
    </row>
    <row r="8910" spans="1:6" ht="14.1" customHeight="1" x14ac:dyDescent="0.25">
      <c r="A8910" s="94" t="s">
        <v>5138</v>
      </c>
      <c r="B8910" s="82" t="str">
        <f t="shared" ca="1" si="359"/>
        <v>Mezcladores de laboratorio</v>
      </c>
      <c r="C8910" s="95" t="str">
        <f>IFERROR(VLOOKUP("UD",'Informacion '!P:Q,2,FALSE),"")</f>
        <v>Unidad</v>
      </c>
      <c r="D8910" s="94">
        <v>23</v>
      </c>
      <c r="E8910" s="84">
        <v>5585.61</v>
      </c>
      <c r="F8910" s="83">
        <f t="shared" ca="1" si="360"/>
        <v>128469.03</v>
      </c>
    </row>
    <row r="8911" spans="1:6" ht="14.1" customHeight="1" x14ac:dyDescent="0.25">
      <c r="A8911" s="94" t="s">
        <v>5138</v>
      </c>
      <c r="B8911" s="82" t="str">
        <f t="shared" ca="1" si="359"/>
        <v>Mezcladores de laboratorio</v>
      </c>
      <c r="C8911" s="95" t="str">
        <f>IFERROR(VLOOKUP("UD",'Informacion '!P:Q,2,FALSE),"")</f>
        <v>Unidad</v>
      </c>
      <c r="D8911" s="94">
        <v>5</v>
      </c>
      <c r="E8911" s="84">
        <v>4866.29</v>
      </c>
      <c r="F8911" s="83">
        <f t="shared" ca="1" si="360"/>
        <v>24331.45</v>
      </c>
    </row>
    <row r="8912" spans="1:6" ht="14.1" customHeight="1" x14ac:dyDescent="0.25">
      <c r="A8912" s="94" t="s">
        <v>5138</v>
      </c>
      <c r="B8912" s="82" t="str">
        <f t="shared" ca="1" si="359"/>
        <v>Mezcladores de laboratorio</v>
      </c>
      <c r="C8912" s="95" t="str">
        <f>IFERROR(VLOOKUP("UD",'Informacion '!P:Q,2,FALSE),"")</f>
        <v>Unidad</v>
      </c>
      <c r="D8912" s="94">
        <v>251</v>
      </c>
      <c r="E8912" s="84">
        <v>14.42</v>
      </c>
      <c r="F8912" s="83">
        <f t="shared" ca="1" si="360"/>
        <v>3619.42</v>
      </c>
    </row>
    <row r="8913" spans="1:6" ht="14.1" customHeight="1" x14ac:dyDescent="0.25">
      <c r="A8913" s="94" t="s">
        <v>5138</v>
      </c>
      <c r="B8913" s="82" t="str">
        <f t="shared" ca="1" si="359"/>
        <v>Mezcladores de laboratorio</v>
      </c>
      <c r="C8913" s="95" t="str">
        <f>IFERROR(VLOOKUP("UD",'Informacion '!P:Q,2,FALSE),"")</f>
        <v>Unidad</v>
      </c>
      <c r="D8913" s="94">
        <v>4848</v>
      </c>
      <c r="E8913" s="84">
        <v>0.35</v>
      </c>
      <c r="F8913" s="83">
        <f t="shared" ca="1" si="360"/>
        <v>1696.8</v>
      </c>
    </row>
    <row r="8914" spans="1:6" ht="14.1" customHeight="1" x14ac:dyDescent="0.25">
      <c r="A8914" s="94" t="s">
        <v>3593</v>
      </c>
      <c r="B8914" s="82" t="str">
        <f t="shared" ref="B8914:B8919" ca="1" si="361">IFERROR(INDEX(UNSPSCDes,MATCH(INDIRECT(ADDRESS(ROW(),COLUMN()-1,4)),UNSPSCCode,0)),IF(INDIRECT(ADDRESS(ROW(),COLUMN()-1,4))="51181506","Insulina",""))</f>
        <v>Insulina</v>
      </c>
      <c r="C8914" s="95" t="str">
        <f>IFERROR(VLOOKUP("UD",'Informacion '!P:Q,2,FALSE),"")</f>
        <v>Unidad</v>
      </c>
      <c r="D8914" s="94">
        <v>1222</v>
      </c>
      <c r="E8914" s="84">
        <v>0.72</v>
      </c>
      <c r="F8914" s="83">
        <f t="shared" ca="1" si="360"/>
        <v>879.83999999999992</v>
      </c>
    </row>
    <row r="8915" spans="1:6" ht="14.1" customHeight="1" x14ac:dyDescent="0.25">
      <c r="A8915" s="94" t="s">
        <v>3593</v>
      </c>
      <c r="B8915" s="82" t="str">
        <f t="shared" ca="1" si="361"/>
        <v>Insulina</v>
      </c>
      <c r="C8915" s="95" t="str">
        <f>IFERROR(VLOOKUP("UD",'Informacion '!P:Q,2,FALSE),"")</f>
        <v>Unidad</v>
      </c>
      <c r="D8915" s="94">
        <v>3176</v>
      </c>
      <c r="E8915" s="84">
        <v>21.6</v>
      </c>
      <c r="F8915" s="83">
        <f t="shared" ca="1" si="360"/>
        <v>68601.600000000006</v>
      </c>
    </row>
    <row r="8916" spans="1:6" ht="14.1" customHeight="1" x14ac:dyDescent="0.25">
      <c r="A8916" s="94" t="s">
        <v>3593</v>
      </c>
      <c r="B8916" s="82" t="str">
        <f t="shared" ca="1" si="361"/>
        <v>Insulina</v>
      </c>
      <c r="C8916" s="95" t="str">
        <f>IFERROR(VLOOKUP("UD",'Informacion '!P:Q,2,FALSE),"")</f>
        <v>Unidad</v>
      </c>
      <c r="D8916" s="94">
        <v>1358</v>
      </c>
      <c r="E8916" s="84">
        <v>4.21</v>
      </c>
      <c r="F8916" s="83">
        <f t="shared" ca="1" si="360"/>
        <v>5717.18</v>
      </c>
    </row>
    <row r="8917" spans="1:6" ht="14.1" customHeight="1" x14ac:dyDescent="0.25">
      <c r="A8917" s="94" t="s">
        <v>3593</v>
      </c>
      <c r="B8917" s="82" t="str">
        <f t="shared" ca="1" si="361"/>
        <v>Insulina</v>
      </c>
      <c r="C8917" s="95" t="str">
        <f>IFERROR(VLOOKUP("UD",'Informacion '!P:Q,2,FALSE),"")</f>
        <v>Unidad</v>
      </c>
      <c r="D8917" s="94">
        <v>1084</v>
      </c>
      <c r="E8917" s="84">
        <v>4207</v>
      </c>
      <c r="F8917" s="83">
        <f t="shared" ca="1" si="360"/>
        <v>4560388</v>
      </c>
    </row>
    <row r="8918" spans="1:6" ht="14.1" customHeight="1" x14ac:dyDescent="0.25">
      <c r="A8918" s="94" t="s">
        <v>3593</v>
      </c>
      <c r="B8918" s="82" t="str">
        <f t="shared" ca="1" si="361"/>
        <v>Insulina</v>
      </c>
      <c r="C8918" s="95" t="str">
        <f>IFERROR(VLOOKUP("UD",'Informacion '!P:Q,2,FALSE),"")</f>
        <v>Unidad</v>
      </c>
      <c r="D8918" s="94">
        <v>2442</v>
      </c>
      <c r="E8918" s="84">
        <v>0.66</v>
      </c>
      <c r="F8918" s="83">
        <f t="shared" ca="1" si="360"/>
        <v>1611.72</v>
      </c>
    </row>
    <row r="8919" spans="1:6" ht="14.1" customHeight="1" x14ac:dyDescent="0.25">
      <c r="A8919" s="94" t="s">
        <v>3593</v>
      </c>
      <c r="B8919" s="82" t="str">
        <f t="shared" ca="1" si="361"/>
        <v>Insulina</v>
      </c>
      <c r="C8919" s="95" t="str">
        <f>IFERROR(VLOOKUP("UD",'Informacion '!P:Q,2,FALSE),"")</f>
        <v>Unidad</v>
      </c>
      <c r="D8919" s="94">
        <v>16</v>
      </c>
      <c r="E8919" s="84">
        <v>116.82</v>
      </c>
      <c r="F8919" s="83">
        <f t="shared" ca="1" si="360"/>
        <v>1869.12</v>
      </c>
    </row>
    <row r="8920" spans="1:6" ht="14.1" customHeight="1" x14ac:dyDescent="0.25">
      <c r="A8920" s="94" t="s">
        <v>5138</v>
      </c>
      <c r="B8920" s="82" t="str">
        <f t="shared" ref="B8920:B8925" ca="1" si="362">IFERROR(INDEX(UNSPSCDes,MATCH(INDIRECT(ADDRESS(ROW(),COLUMN()-1,4)),UNSPSCCode,0)),IF(INDIRECT(ADDRESS(ROW(),COLUMN()-1,4))="41103801","Mezcladores de laboratorio",""))</f>
        <v>Mezcladores de laboratorio</v>
      </c>
      <c r="C8920" s="95" t="str">
        <f>IFERROR(VLOOKUP("UD",'Informacion '!P:Q,2,FALSE),"")</f>
        <v>Unidad</v>
      </c>
      <c r="D8920" s="94">
        <v>4</v>
      </c>
      <c r="E8920" s="84">
        <v>180.94</v>
      </c>
      <c r="F8920" s="83">
        <f t="shared" ca="1" si="360"/>
        <v>723.76</v>
      </c>
    </row>
    <row r="8921" spans="1:6" ht="14.1" customHeight="1" x14ac:dyDescent="0.25">
      <c r="A8921" s="94" t="s">
        <v>5138</v>
      </c>
      <c r="B8921" s="82" t="str">
        <f t="shared" ca="1" si="362"/>
        <v>Mezcladores de laboratorio</v>
      </c>
      <c r="C8921" s="95" t="str">
        <f>IFERROR(VLOOKUP("UD",'Informacion '!P:Q,2,FALSE),"")</f>
        <v>Unidad</v>
      </c>
      <c r="D8921" s="94">
        <v>83</v>
      </c>
      <c r="E8921" s="84">
        <v>151.59</v>
      </c>
      <c r="F8921" s="83">
        <f t="shared" ca="1" si="360"/>
        <v>12581.970000000001</v>
      </c>
    </row>
    <row r="8922" spans="1:6" ht="14.1" customHeight="1" x14ac:dyDescent="0.25">
      <c r="A8922" s="94" t="s">
        <v>5138</v>
      </c>
      <c r="B8922" s="82" t="str">
        <f t="shared" ca="1" si="362"/>
        <v>Mezcladores de laboratorio</v>
      </c>
      <c r="C8922" s="95" t="str">
        <f>IFERROR(VLOOKUP("UD",'Informacion '!P:Q,2,FALSE),"")</f>
        <v>Unidad</v>
      </c>
      <c r="D8922" s="94">
        <v>7</v>
      </c>
      <c r="E8922" s="84">
        <v>62.24</v>
      </c>
      <c r="F8922" s="83">
        <f t="shared" ca="1" si="360"/>
        <v>435.68</v>
      </c>
    </row>
    <row r="8923" spans="1:6" ht="14.1" customHeight="1" x14ac:dyDescent="0.25">
      <c r="A8923" s="94" t="s">
        <v>5138</v>
      </c>
      <c r="B8923" s="82" t="str">
        <f t="shared" ca="1" si="362"/>
        <v>Mezcladores de laboratorio</v>
      </c>
      <c r="C8923" s="95" t="str">
        <f>IFERROR(VLOOKUP("UD",'Informacion '!P:Q,2,FALSE),"")</f>
        <v>Unidad</v>
      </c>
      <c r="D8923" s="94">
        <v>2708</v>
      </c>
      <c r="E8923" s="84">
        <v>10513</v>
      </c>
      <c r="F8923" s="83">
        <f t="shared" ca="1" si="360"/>
        <v>28469204</v>
      </c>
    </row>
    <row r="8924" spans="1:6" ht="14.1" customHeight="1" x14ac:dyDescent="0.25">
      <c r="A8924" s="94" t="s">
        <v>5138</v>
      </c>
      <c r="B8924" s="82" t="str">
        <f t="shared" ca="1" si="362"/>
        <v>Mezcladores de laboratorio</v>
      </c>
      <c r="C8924" s="95" t="str">
        <f>IFERROR(VLOOKUP("UD",'Informacion '!P:Q,2,FALSE),"")</f>
        <v>Unidad</v>
      </c>
      <c r="D8924" s="94">
        <v>3142</v>
      </c>
      <c r="E8924" s="84">
        <v>12200</v>
      </c>
      <c r="F8924" s="83">
        <f t="shared" ca="1" si="360"/>
        <v>38332400</v>
      </c>
    </row>
    <row r="8925" spans="1:6" ht="14.1" customHeight="1" x14ac:dyDescent="0.25">
      <c r="A8925" s="94" t="s">
        <v>5138</v>
      </c>
      <c r="B8925" s="82" t="str">
        <f t="shared" ca="1" si="362"/>
        <v>Mezcladores de laboratorio</v>
      </c>
      <c r="C8925" s="95" t="str">
        <f>IFERROR(VLOOKUP("UD",'Informacion '!P:Q,2,FALSE),"")</f>
        <v>Unidad</v>
      </c>
      <c r="D8925" s="94">
        <v>83</v>
      </c>
      <c r="E8925" s="84">
        <v>37.81</v>
      </c>
      <c r="F8925" s="83">
        <f t="shared" ca="1" si="360"/>
        <v>3138.23</v>
      </c>
    </row>
    <row r="8926" spans="1:6" ht="14.1" customHeight="1" x14ac:dyDescent="0.25">
      <c r="A8926" s="94" t="s">
        <v>16379</v>
      </c>
      <c r="B8926" s="82" t="str">
        <f t="shared" ref="B8926:B8957" ca="1" si="363">IFERROR(INDEX(UNSPSCDes,MATCH(INDIRECT(ADDRESS(ROW(),COLUMN()-1,4)),UNSPSCCode,0)),IF(INDIRECT(ADDRESS(ROW(),COLUMN()-1,4))="53131608","Jabones",""))</f>
        <v>Jabones</v>
      </c>
      <c r="C8926" s="95" t="str">
        <f>IFERROR(VLOOKUP("UD",'Informacion '!P:Q,2,FALSE),"")</f>
        <v>Unidad</v>
      </c>
      <c r="D8926" s="94">
        <v>5</v>
      </c>
      <c r="E8926" s="84">
        <v>1022.57</v>
      </c>
      <c r="F8926" s="83">
        <f t="shared" ca="1" si="360"/>
        <v>5112.8500000000004</v>
      </c>
    </row>
    <row r="8927" spans="1:6" ht="14.1" customHeight="1" x14ac:dyDescent="0.25">
      <c r="A8927" s="94" t="s">
        <v>16379</v>
      </c>
      <c r="B8927" s="82" t="str">
        <f t="shared" ca="1" si="363"/>
        <v>Jabones</v>
      </c>
      <c r="C8927" s="95" t="str">
        <f>IFERROR(VLOOKUP("UD",'Informacion '!P:Q,2,FALSE),"")</f>
        <v>Unidad</v>
      </c>
      <c r="D8927" s="94">
        <v>6</v>
      </c>
      <c r="E8927" s="84">
        <v>69.930000000000007</v>
      </c>
      <c r="F8927" s="83">
        <f t="shared" ca="1" si="360"/>
        <v>419.58000000000004</v>
      </c>
    </row>
    <row r="8928" spans="1:6" ht="14.1" customHeight="1" x14ac:dyDescent="0.25">
      <c r="A8928" s="94" t="s">
        <v>16379</v>
      </c>
      <c r="B8928" s="82" t="str">
        <f t="shared" ca="1" si="363"/>
        <v>Jabones</v>
      </c>
      <c r="C8928" s="95" t="str">
        <f>IFERROR(VLOOKUP("UD",'Informacion '!P:Q,2,FALSE),"")</f>
        <v>Unidad</v>
      </c>
      <c r="D8928" s="94">
        <v>407</v>
      </c>
      <c r="E8928" s="84">
        <v>40.58</v>
      </c>
      <c r="F8928" s="83">
        <f t="shared" ca="1" si="360"/>
        <v>16516.059999999998</v>
      </c>
    </row>
    <row r="8929" spans="1:6" ht="14.1" customHeight="1" x14ac:dyDescent="0.25">
      <c r="A8929" s="94" t="s">
        <v>16379</v>
      </c>
      <c r="B8929" s="82" t="str">
        <f t="shared" ca="1" si="363"/>
        <v>Jabones</v>
      </c>
      <c r="C8929" s="95" t="str">
        <f>IFERROR(VLOOKUP("UD",'Informacion '!P:Q,2,FALSE),"")</f>
        <v>Unidad</v>
      </c>
      <c r="D8929" s="94">
        <v>435</v>
      </c>
      <c r="E8929" s="84">
        <v>11.52</v>
      </c>
      <c r="F8929" s="83">
        <f t="shared" ca="1" si="360"/>
        <v>5011.2</v>
      </c>
    </row>
    <row r="8930" spans="1:6" ht="14.1" customHeight="1" x14ac:dyDescent="0.25">
      <c r="A8930" s="94" t="s">
        <v>16379</v>
      </c>
      <c r="B8930" s="82" t="str">
        <f t="shared" ca="1" si="363"/>
        <v>Jabones</v>
      </c>
      <c r="C8930" s="95" t="str">
        <f>IFERROR(VLOOKUP("UD",'Informacion '!P:Q,2,FALSE),"")</f>
        <v>Unidad</v>
      </c>
      <c r="D8930" s="94">
        <v>1642</v>
      </c>
      <c r="E8930" s="84">
        <v>6</v>
      </c>
      <c r="F8930" s="83">
        <f t="shared" ca="1" si="360"/>
        <v>9852</v>
      </c>
    </row>
    <row r="8931" spans="1:6" ht="14.1" customHeight="1" x14ac:dyDescent="0.25">
      <c r="A8931" s="94" t="s">
        <v>16379</v>
      </c>
      <c r="B8931" s="82" t="str">
        <f t="shared" ca="1" si="363"/>
        <v>Jabones</v>
      </c>
      <c r="C8931" s="95" t="str">
        <f>IFERROR(VLOOKUP("UD",'Informacion '!P:Q,2,FALSE),"")</f>
        <v>Unidad</v>
      </c>
      <c r="D8931" s="94">
        <v>11752</v>
      </c>
      <c r="E8931" s="84">
        <v>4.3</v>
      </c>
      <c r="F8931" s="83">
        <f t="shared" ca="1" si="360"/>
        <v>50533.599999999999</v>
      </c>
    </row>
    <row r="8932" spans="1:6" ht="14.1" customHeight="1" x14ac:dyDescent="0.25">
      <c r="A8932" s="94" t="s">
        <v>16379</v>
      </c>
      <c r="B8932" s="82" t="str">
        <f t="shared" ca="1" si="363"/>
        <v>Jabones</v>
      </c>
      <c r="C8932" s="95" t="str">
        <f>IFERROR(VLOOKUP("UD",'Informacion '!P:Q,2,FALSE),"")</f>
        <v>Unidad</v>
      </c>
      <c r="D8932" s="94">
        <v>6878</v>
      </c>
      <c r="E8932" s="84">
        <v>5.76</v>
      </c>
      <c r="F8932" s="83">
        <f t="shared" ca="1" si="360"/>
        <v>39617.279999999999</v>
      </c>
    </row>
    <row r="8933" spans="1:6" ht="14.1" customHeight="1" x14ac:dyDescent="0.25">
      <c r="A8933" s="94" t="s">
        <v>16379</v>
      </c>
      <c r="B8933" s="82" t="str">
        <f t="shared" ca="1" si="363"/>
        <v>Jabones</v>
      </c>
      <c r="C8933" s="95" t="str">
        <f>IFERROR(VLOOKUP("UD",'Informacion '!P:Q,2,FALSE),"")</f>
        <v>Unidad</v>
      </c>
      <c r="D8933" s="94">
        <v>14</v>
      </c>
      <c r="E8933" s="84">
        <v>182.31</v>
      </c>
      <c r="F8933" s="83">
        <f t="shared" ca="1" si="360"/>
        <v>2552.34</v>
      </c>
    </row>
    <row r="8934" spans="1:6" ht="14.1" customHeight="1" x14ac:dyDescent="0.25">
      <c r="A8934" s="94" t="s">
        <v>16379</v>
      </c>
      <c r="B8934" s="82" t="str">
        <f t="shared" ca="1" si="363"/>
        <v>Jabones</v>
      </c>
      <c r="C8934" s="95" t="str">
        <f>IFERROR(VLOOKUP("UD",'Informacion '!P:Q,2,FALSE),"")</f>
        <v>Unidad</v>
      </c>
      <c r="D8934" s="94">
        <v>52</v>
      </c>
      <c r="E8934" s="84">
        <v>259.02999999999997</v>
      </c>
      <c r="F8934" s="83">
        <f t="shared" ca="1" si="360"/>
        <v>13469.559999999998</v>
      </c>
    </row>
    <row r="8935" spans="1:6" ht="14.1" customHeight="1" x14ac:dyDescent="0.25">
      <c r="A8935" s="94" t="s">
        <v>16379</v>
      </c>
      <c r="B8935" s="82" t="str">
        <f t="shared" ca="1" si="363"/>
        <v>Jabones</v>
      </c>
      <c r="C8935" s="95" t="str">
        <f>IFERROR(VLOOKUP("UD",'Informacion '!P:Q,2,FALSE),"")</f>
        <v>Unidad</v>
      </c>
      <c r="D8935" s="94">
        <v>30</v>
      </c>
      <c r="E8935" s="84">
        <v>828.36</v>
      </c>
      <c r="F8935" s="83">
        <f t="shared" ca="1" si="360"/>
        <v>24850.799999999999</v>
      </c>
    </row>
    <row r="8936" spans="1:6" ht="14.1" customHeight="1" x14ac:dyDescent="0.25">
      <c r="A8936" s="94" t="s">
        <v>16379</v>
      </c>
      <c r="B8936" s="82" t="str">
        <f t="shared" ca="1" si="363"/>
        <v>Jabones</v>
      </c>
      <c r="C8936" s="95" t="str">
        <f>IFERROR(VLOOKUP("UD",'Informacion '!P:Q,2,FALSE),"")</f>
        <v>Unidad</v>
      </c>
      <c r="D8936" s="94">
        <v>122</v>
      </c>
      <c r="E8936" s="84">
        <v>367.1</v>
      </c>
      <c r="F8936" s="83">
        <f t="shared" ref="F8936:F8967" ca="1" si="364">INDIRECT(ADDRESS(ROW(),COLUMN()-2,4))*INDIRECT(ADDRESS(ROW(),COLUMN()-1,4))</f>
        <v>44786.200000000004</v>
      </c>
    </row>
    <row r="8937" spans="1:6" ht="14.1" customHeight="1" x14ac:dyDescent="0.25">
      <c r="A8937" s="94" t="s">
        <v>16379</v>
      </c>
      <c r="B8937" s="82" t="str">
        <f t="shared" ca="1" si="363"/>
        <v>Jabones</v>
      </c>
      <c r="C8937" s="95" t="str">
        <f>IFERROR(VLOOKUP("UD",'Informacion '!P:Q,2,FALSE),"")</f>
        <v>Unidad</v>
      </c>
      <c r="D8937" s="94">
        <v>191</v>
      </c>
      <c r="E8937" s="84">
        <v>12.71</v>
      </c>
      <c r="F8937" s="83">
        <f t="shared" ca="1" si="364"/>
        <v>2427.61</v>
      </c>
    </row>
    <row r="8938" spans="1:6" ht="14.1" customHeight="1" x14ac:dyDescent="0.25">
      <c r="A8938" s="94" t="s">
        <v>16379</v>
      </c>
      <c r="B8938" s="82" t="str">
        <f t="shared" ca="1" si="363"/>
        <v>Jabones</v>
      </c>
      <c r="C8938" s="95" t="str">
        <f>IFERROR(VLOOKUP("UD",'Informacion '!P:Q,2,FALSE),"")</f>
        <v>Unidad</v>
      </c>
      <c r="D8938" s="94">
        <v>219</v>
      </c>
      <c r="E8938" s="84">
        <v>11.73</v>
      </c>
      <c r="F8938" s="83">
        <f t="shared" ca="1" si="364"/>
        <v>2568.87</v>
      </c>
    </row>
    <row r="8939" spans="1:6" ht="14.1" customHeight="1" x14ac:dyDescent="0.25">
      <c r="A8939" s="94" t="s">
        <v>16379</v>
      </c>
      <c r="B8939" s="82" t="str">
        <f t="shared" ca="1" si="363"/>
        <v>Jabones</v>
      </c>
      <c r="C8939" s="95" t="str">
        <f>IFERROR(VLOOKUP("UD",'Informacion '!P:Q,2,FALSE),"")</f>
        <v>Unidad</v>
      </c>
      <c r="D8939" s="94">
        <v>30</v>
      </c>
      <c r="E8939" s="84">
        <v>100.8</v>
      </c>
      <c r="F8939" s="83">
        <f t="shared" ca="1" si="364"/>
        <v>3024</v>
      </c>
    </row>
    <row r="8940" spans="1:6" ht="14.1" customHeight="1" x14ac:dyDescent="0.25">
      <c r="A8940" s="94" t="s">
        <v>16379</v>
      </c>
      <c r="B8940" s="82" t="str">
        <f t="shared" ca="1" si="363"/>
        <v>Jabones</v>
      </c>
      <c r="C8940" s="95" t="str">
        <f>IFERROR(VLOOKUP("UD",'Informacion '!P:Q,2,FALSE),"")</f>
        <v>Unidad</v>
      </c>
      <c r="D8940" s="94">
        <v>4</v>
      </c>
      <c r="E8940" s="84">
        <v>3484.84</v>
      </c>
      <c r="F8940" s="83">
        <f t="shared" ca="1" si="364"/>
        <v>13939.36</v>
      </c>
    </row>
    <row r="8941" spans="1:6" ht="14.1" customHeight="1" x14ac:dyDescent="0.25">
      <c r="A8941" s="94" t="s">
        <v>16379</v>
      </c>
      <c r="B8941" s="82" t="str">
        <f t="shared" ca="1" si="363"/>
        <v>Jabones</v>
      </c>
      <c r="C8941" s="95" t="str">
        <f>IFERROR(VLOOKUP("UD",'Informacion '!P:Q,2,FALSE),"")</f>
        <v>Unidad</v>
      </c>
      <c r="D8941" s="94">
        <v>35</v>
      </c>
      <c r="E8941" s="84">
        <v>24.55</v>
      </c>
      <c r="F8941" s="83">
        <f t="shared" ca="1" si="364"/>
        <v>859.25</v>
      </c>
    </row>
    <row r="8942" spans="1:6" ht="14.1" customHeight="1" x14ac:dyDescent="0.25">
      <c r="A8942" s="94" t="s">
        <v>16379</v>
      </c>
      <c r="B8942" s="82" t="str">
        <f t="shared" ca="1" si="363"/>
        <v>Jabones</v>
      </c>
      <c r="C8942" s="95" t="str">
        <f>IFERROR(VLOOKUP("UD",'Informacion '!P:Q,2,FALSE),"")</f>
        <v>Unidad</v>
      </c>
      <c r="D8942" s="94">
        <v>66</v>
      </c>
      <c r="E8942" s="84">
        <v>207.36</v>
      </c>
      <c r="F8942" s="83">
        <f t="shared" ca="1" si="364"/>
        <v>13685.76</v>
      </c>
    </row>
    <row r="8943" spans="1:6" ht="14.1" customHeight="1" x14ac:dyDescent="0.25">
      <c r="A8943" s="94" t="s">
        <v>16379</v>
      </c>
      <c r="B8943" s="82" t="str">
        <f t="shared" ca="1" si="363"/>
        <v>Jabones</v>
      </c>
      <c r="C8943" s="95" t="str">
        <f>IFERROR(VLOOKUP("UD",'Informacion '!P:Q,2,FALSE),"")</f>
        <v>Unidad</v>
      </c>
      <c r="D8943" s="94">
        <v>158</v>
      </c>
      <c r="E8943" s="84">
        <v>207.36</v>
      </c>
      <c r="F8943" s="83">
        <f t="shared" ca="1" si="364"/>
        <v>32762.880000000001</v>
      </c>
    </row>
    <row r="8944" spans="1:6" ht="14.1" customHeight="1" x14ac:dyDescent="0.25">
      <c r="A8944" s="94" t="s">
        <v>16379</v>
      </c>
      <c r="B8944" s="82" t="str">
        <f t="shared" ca="1" si="363"/>
        <v>Jabones</v>
      </c>
      <c r="C8944" s="95" t="str">
        <f>IFERROR(VLOOKUP("UD",'Informacion '!P:Q,2,FALSE),"")</f>
        <v>Unidad</v>
      </c>
      <c r="D8944" s="94">
        <v>345</v>
      </c>
      <c r="E8944" s="84">
        <v>14.64</v>
      </c>
      <c r="F8944" s="83">
        <f t="shared" ca="1" si="364"/>
        <v>5050.8</v>
      </c>
    </row>
    <row r="8945" spans="1:6" ht="14.1" customHeight="1" x14ac:dyDescent="0.25">
      <c r="A8945" s="94" t="s">
        <v>16379</v>
      </c>
      <c r="B8945" s="82" t="str">
        <f t="shared" ca="1" si="363"/>
        <v>Jabones</v>
      </c>
      <c r="C8945" s="95" t="str">
        <f>IFERROR(VLOOKUP("UD",'Informacion '!P:Q,2,FALSE),"")</f>
        <v>Unidad</v>
      </c>
      <c r="D8945" s="94">
        <v>55</v>
      </c>
      <c r="E8945" s="84">
        <v>447.15</v>
      </c>
      <c r="F8945" s="83">
        <f t="shared" ca="1" si="364"/>
        <v>24593.25</v>
      </c>
    </row>
    <row r="8946" spans="1:6" ht="14.1" customHeight="1" x14ac:dyDescent="0.25">
      <c r="A8946" s="94" t="s">
        <v>16379</v>
      </c>
      <c r="B8946" s="82" t="str">
        <f t="shared" ca="1" si="363"/>
        <v>Jabones</v>
      </c>
      <c r="C8946" s="95" t="str">
        <f>IFERROR(VLOOKUP("UD",'Informacion '!P:Q,2,FALSE),"")</f>
        <v>Unidad</v>
      </c>
      <c r="D8946" s="94">
        <v>11</v>
      </c>
      <c r="E8946" s="84">
        <v>79.650000000000006</v>
      </c>
      <c r="F8946" s="83">
        <f t="shared" ca="1" si="364"/>
        <v>876.15000000000009</v>
      </c>
    </row>
    <row r="8947" spans="1:6" ht="14.1" customHeight="1" x14ac:dyDescent="0.25">
      <c r="A8947" s="94" t="s">
        <v>16379</v>
      </c>
      <c r="B8947" s="82" t="str">
        <f t="shared" ca="1" si="363"/>
        <v>Jabones</v>
      </c>
      <c r="C8947" s="95" t="str">
        <f>IFERROR(VLOOKUP("UD",'Informacion '!P:Q,2,FALSE),"")</f>
        <v>Unidad</v>
      </c>
      <c r="D8947" s="94">
        <v>14</v>
      </c>
      <c r="E8947" s="84">
        <v>381.07</v>
      </c>
      <c r="F8947" s="83">
        <f t="shared" ca="1" si="364"/>
        <v>5334.98</v>
      </c>
    </row>
    <row r="8948" spans="1:6" ht="14.1" customHeight="1" x14ac:dyDescent="0.25">
      <c r="A8948" s="94" t="s">
        <v>16379</v>
      </c>
      <c r="B8948" s="82" t="str">
        <f t="shared" ca="1" si="363"/>
        <v>Jabones</v>
      </c>
      <c r="C8948" s="95" t="str">
        <f>IFERROR(VLOOKUP("UD",'Informacion '!P:Q,2,FALSE),"")</f>
        <v>Unidad</v>
      </c>
      <c r="D8948" s="94">
        <v>12</v>
      </c>
      <c r="E8948" s="84">
        <v>115</v>
      </c>
      <c r="F8948" s="83">
        <f t="shared" ca="1" si="364"/>
        <v>1380</v>
      </c>
    </row>
    <row r="8949" spans="1:6" ht="14.1" customHeight="1" x14ac:dyDescent="0.25">
      <c r="A8949" s="94" t="s">
        <v>16379</v>
      </c>
      <c r="B8949" s="82" t="str">
        <f t="shared" ca="1" si="363"/>
        <v>Jabones</v>
      </c>
      <c r="C8949" s="95" t="str">
        <f>IFERROR(VLOOKUP("UD",'Informacion '!P:Q,2,FALSE),"")</f>
        <v>Unidad</v>
      </c>
      <c r="D8949" s="94">
        <v>4</v>
      </c>
      <c r="E8949" s="84">
        <v>815</v>
      </c>
      <c r="F8949" s="83">
        <f t="shared" ca="1" si="364"/>
        <v>3260</v>
      </c>
    </row>
    <row r="8950" spans="1:6" ht="14.1" customHeight="1" x14ac:dyDescent="0.25">
      <c r="A8950" s="94" t="s">
        <v>16379</v>
      </c>
      <c r="B8950" s="82" t="str">
        <f t="shared" ca="1" si="363"/>
        <v>Jabones</v>
      </c>
      <c r="C8950" s="95" t="str">
        <f>IFERROR(VLOOKUP("UD",'Informacion '!P:Q,2,FALSE),"")</f>
        <v>Unidad</v>
      </c>
      <c r="D8950" s="94">
        <v>39</v>
      </c>
      <c r="E8950" s="84">
        <v>359.19</v>
      </c>
      <c r="F8950" s="83">
        <f t="shared" ca="1" si="364"/>
        <v>14008.41</v>
      </c>
    </row>
    <row r="8951" spans="1:6" ht="14.1" customHeight="1" x14ac:dyDescent="0.25">
      <c r="A8951" s="94" t="s">
        <v>16379</v>
      </c>
      <c r="B8951" s="82" t="str">
        <f t="shared" ca="1" si="363"/>
        <v>Jabones</v>
      </c>
      <c r="C8951" s="95" t="str">
        <f>IFERROR(VLOOKUP("UD",'Informacion '!P:Q,2,FALSE),"")</f>
        <v>Unidad</v>
      </c>
      <c r="D8951" s="94">
        <v>421</v>
      </c>
      <c r="E8951" s="84">
        <v>11.92</v>
      </c>
      <c r="F8951" s="83">
        <f t="shared" ca="1" si="364"/>
        <v>5018.32</v>
      </c>
    </row>
    <row r="8952" spans="1:6" ht="14.1" customHeight="1" x14ac:dyDescent="0.25">
      <c r="A8952" s="94" t="s">
        <v>16379</v>
      </c>
      <c r="B8952" s="82" t="str">
        <f t="shared" ca="1" si="363"/>
        <v>Jabones</v>
      </c>
      <c r="C8952" s="95" t="str">
        <f>IFERROR(VLOOKUP("UD",'Informacion '!P:Q,2,FALSE),"")</f>
        <v>Unidad</v>
      </c>
      <c r="D8952" s="94">
        <v>327</v>
      </c>
      <c r="E8952" s="84">
        <v>4.3</v>
      </c>
      <c r="F8952" s="83">
        <f t="shared" ca="1" si="364"/>
        <v>1406.1</v>
      </c>
    </row>
    <row r="8953" spans="1:6" ht="14.1" customHeight="1" x14ac:dyDescent="0.25">
      <c r="A8953" s="94" t="s">
        <v>16379</v>
      </c>
      <c r="B8953" s="82" t="str">
        <f t="shared" ca="1" si="363"/>
        <v>Jabones</v>
      </c>
      <c r="C8953" s="95" t="str">
        <f>IFERROR(VLOOKUP("UD",'Informacion '!P:Q,2,FALSE),"")</f>
        <v>Unidad</v>
      </c>
      <c r="D8953" s="94">
        <v>5</v>
      </c>
      <c r="E8953" s="84">
        <v>520</v>
      </c>
      <c r="F8953" s="83">
        <f t="shared" ca="1" si="364"/>
        <v>2600</v>
      </c>
    </row>
    <row r="8954" spans="1:6" ht="14.1" customHeight="1" x14ac:dyDescent="0.25">
      <c r="A8954" s="94" t="s">
        <v>16379</v>
      </c>
      <c r="B8954" s="82" t="str">
        <f t="shared" ca="1" si="363"/>
        <v>Jabones</v>
      </c>
      <c r="C8954" s="95" t="str">
        <f>IFERROR(VLOOKUP("UD",'Informacion '!P:Q,2,FALSE),"")</f>
        <v>Unidad</v>
      </c>
      <c r="D8954" s="94">
        <v>173</v>
      </c>
      <c r="E8954" s="84">
        <v>65.92</v>
      </c>
      <c r="F8954" s="83">
        <f t="shared" ca="1" si="364"/>
        <v>11404.16</v>
      </c>
    </row>
    <row r="8955" spans="1:6" ht="14.1" customHeight="1" x14ac:dyDescent="0.25">
      <c r="A8955" s="94" t="s">
        <v>16379</v>
      </c>
      <c r="B8955" s="82" t="str">
        <f t="shared" ca="1" si="363"/>
        <v>Jabones</v>
      </c>
      <c r="C8955" s="95" t="str">
        <f>IFERROR(VLOOKUP("UD",'Informacion '!P:Q,2,FALSE),"")</f>
        <v>Unidad</v>
      </c>
      <c r="D8955" s="94">
        <v>1021</v>
      </c>
      <c r="E8955" s="84">
        <v>9.17</v>
      </c>
      <c r="F8955" s="83">
        <f t="shared" ca="1" si="364"/>
        <v>9362.57</v>
      </c>
    </row>
    <row r="8956" spans="1:6" ht="14.1" customHeight="1" x14ac:dyDescent="0.25">
      <c r="A8956" s="94" t="s">
        <v>16379</v>
      </c>
      <c r="B8956" s="82" t="str">
        <f t="shared" ca="1" si="363"/>
        <v>Jabones</v>
      </c>
      <c r="C8956" s="95" t="str">
        <f>IFERROR(VLOOKUP("UD",'Informacion '!P:Q,2,FALSE),"")</f>
        <v>Unidad</v>
      </c>
      <c r="D8956" s="94">
        <v>441</v>
      </c>
      <c r="E8956" s="84">
        <v>11.55</v>
      </c>
      <c r="F8956" s="83">
        <f t="shared" ca="1" si="364"/>
        <v>5093.55</v>
      </c>
    </row>
    <row r="8957" spans="1:6" ht="14.1" customHeight="1" x14ac:dyDescent="0.25">
      <c r="A8957" s="94" t="s">
        <v>16379</v>
      </c>
      <c r="B8957" s="82" t="str">
        <f t="shared" ca="1" si="363"/>
        <v>Jabones</v>
      </c>
      <c r="C8957" s="95" t="str">
        <f>IFERROR(VLOOKUP("UD",'Informacion '!P:Q,2,FALSE),"")</f>
        <v>Unidad</v>
      </c>
      <c r="D8957" s="94">
        <v>5</v>
      </c>
      <c r="E8957" s="84">
        <v>68.14</v>
      </c>
      <c r="F8957" s="83">
        <f t="shared" ca="1" si="364"/>
        <v>340.7</v>
      </c>
    </row>
    <row r="8958" spans="1:6" ht="14.1" customHeight="1" x14ac:dyDescent="0.25">
      <c r="A8958" s="94" t="s">
        <v>16379</v>
      </c>
      <c r="B8958" s="82" t="str">
        <f t="shared" ref="B8958:B8989" ca="1" si="365">IFERROR(INDEX(UNSPSCDes,MATCH(INDIRECT(ADDRESS(ROW(),COLUMN()-1,4)),UNSPSCCode,0)),IF(INDIRECT(ADDRESS(ROW(),COLUMN()-1,4))="53131608","Jabones",""))</f>
        <v>Jabones</v>
      </c>
      <c r="C8958" s="95" t="str">
        <f>IFERROR(VLOOKUP("UD",'Informacion '!P:Q,2,FALSE),"")</f>
        <v>Unidad</v>
      </c>
      <c r="D8958" s="94">
        <v>15</v>
      </c>
      <c r="E8958" s="84">
        <v>223.17</v>
      </c>
      <c r="F8958" s="83">
        <f t="shared" ca="1" si="364"/>
        <v>3347.5499999999997</v>
      </c>
    </row>
    <row r="8959" spans="1:6" ht="14.1" customHeight="1" x14ac:dyDescent="0.25">
      <c r="A8959" s="94" t="s">
        <v>16379</v>
      </c>
      <c r="B8959" s="82" t="str">
        <f t="shared" ca="1" si="365"/>
        <v>Jabones</v>
      </c>
      <c r="C8959" s="95" t="str">
        <f>IFERROR(VLOOKUP("UD",'Informacion '!P:Q,2,FALSE),"")</f>
        <v>Unidad</v>
      </c>
      <c r="D8959" s="94">
        <v>4</v>
      </c>
      <c r="E8959" s="84">
        <v>63.99</v>
      </c>
      <c r="F8959" s="83">
        <f t="shared" ca="1" si="364"/>
        <v>255.96</v>
      </c>
    </row>
    <row r="8960" spans="1:6" ht="14.1" customHeight="1" x14ac:dyDescent="0.25">
      <c r="A8960" s="94" t="s">
        <v>16379</v>
      </c>
      <c r="B8960" s="82" t="str">
        <f t="shared" ca="1" si="365"/>
        <v>Jabones</v>
      </c>
      <c r="C8960" s="95" t="str">
        <f>IFERROR(VLOOKUP("UD",'Informacion '!P:Q,2,FALSE),"")</f>
        <v>Unidad</v>
      </c>
      <c r="D8960" s="94">
        <v>4</v>
      </c>
      <c r="E8960" s="84">
        <v>36</v>
      </c>
      <c r="F8960" s="83">
        <f t="shared" ca="1" si="364"/>
        <v>144</v>
      </c>
    </row>
    <row r="8961" spans="1:6" ht="14.1" customHeight="1" x14ac:dyDescent="0.25">
      <c r="A8961" s="94" t="s">
        <v>16379</v>
      </c>
      <c r="B8961" s="82" t="str">
        <f t="shared" ca="1" si="365"/>
        <v>Jabones</v>
      </c>
      <c r="C8961" s="95" t="str">
        <f>IFERROR(VLOOKUP("UD",'Informacion '!P:Q,2,FALSE),"")</f>
        <v>Unidad</v>
      </c>
      <c r="D8961" s="94">
        <v>47</v>
      </c>
      <c r="E8961" s="84">
        <v>21.13</v>
      </c>
      <c r="F8961" s="83">
        <f t="shared" ca="1" si="364"/>
        <v>993.1099999999999</v>
      </c>
    </row>
    <row r="8962" spans="1:6" ht="14.1" customHeight="1" x14ac:dyDescent="0.25">
      <c r="A8962" s="94" t="s">
        <v>16379</v>
      </c>
      <c r="B8962" s="82" t="str">
        <f t="shared" ca="1" si="365"/>
        <v>Jabones</v>
      </c>
      <c r="C8962" s="95" t="str">
        <f>IFERROR(VLOOKUP("UD",'Informacion '!P:Q,2,FALSE),"")</f>
        <v>Unidad</v>
      </c>
      <c r="D8962" s="94">
        <v>56</v>
      </c>
      <c r="E8962" s="84">
        <v>6.9</v>
      </c>
      <c r="F8962" s="83">
        <f t="shared" ca="1" si="364"/>
        <v>386.40000000000003</v>
      </c>
    </row>
    <row r="8963" spans="1:6" ht="14.1" customHeight="1" x14ac:dyDescent="0.25">
      <c r="A8963" s="94" t="s">
        <v>16379</v>
      </c>
      <c r="B8963" s="82" t="str">
        <f t="shared" ca="1" si="365"/>
        <v>Jabones</v>
      </c>
      <c r="C8963" s="95" t="str">
        <f>IFERROR(VLOOKUP("UD",'Informacion '!P:Q,2,FALSE),"")</f>
        <v>Unidad</v>
      </c>
      <c r="D8963" s="94">
        <v>4</v>
      </c>
      <c r="E8963" s="84">
        <v>1366.62</v>
      </c>
      <c r="F8963" s="83">
        <f t="shared" ca="1" si="364"/>
        <v>5466.48</v>
      </c>
    </row>
    <row r="8964" spans="1:6" ht="14.1" customHeight="1" x14ac:dyDescent="0.25">
      <c r="A8964" s="94" t="s">
        <v>16379</v>
      </c>
      <c r="B8964" s="82" t="str">
        <f t="shared" ca="1" si="365"/>
        <v>Jabones</v>
      </c>
      <c r="C8964" s="95" t="str">
        <f>IFERROR(VLOOKUP("UD",'Informacion '!P:Q,2,FALSE),"")</f>
        <v>Unidad</v>
      </c>
      <c r="D8964" s="94">
        <v>223</v>
      </c>
      <c r="E8964" s="84">
        <v>0.82</v>
      </c>
      <c r="F8964" s="83">
        <f t="shared" ca="1" si="364"/>
        <v>182.85999999999999</v>
      </c>
    </row>
    <row r="8965" spans="1:6" ht="14.1" customHeight="1" x14ac:dyDescent="0.25">
      <c r="A8965" s="94" t="s">
        <v>16379</v>
      </c>
      <c r="B8965" s="82" t="str">
        <f t="shared" ca="1" si="365"/>
        <v>Jabones</v>
      </c>
      <c r="C8965" s="95" t="str">
        <f>IFERROR(VLOOKUP("UD",'Informacion '!P:Q,2,FALSE),"")</f>
        <v>Unidad</v>
      </c>
      <c r="D8965" s="94">
        <v>39</v>
      </c>
      <c r="E8965" s="84">
        <v>171.1</v>
      </c>
      <c r="F8965" s="83">
        <f t="shared" ca="1" si="364"/>
        <v>6672.9</v>
      </c>
    </row>
    <row r="8966" spans="1:6" ht="14.1" customHeight="1" x14ac:dyDescent="0.25">
      <c r="A8966" s="94" t="s">
        <v>16379</v>
      </c>
      <c r="B8966" s="82" t="str">
        <f t="shared" ca="1" si="365"/>
        <v>Jabones</v>
      </c>
      <c r="C8966" s="95" t="str">
        <f>IFERROR(VLOOKUP("UD",'Informacion '!P:Q,2,FALSE),"")</f>
        <v>Unidad</v>
      </c>
      <c r="D8966" s="94">
        <v>55</v>
      </c>
      <c r="E8966" s="84">
        <v>13.82</v>
      </c>
      <c r="F8966" s="83">
        <f t="shared" ca="1" si="364"/>
        <v>760.1</v>
      </c>
    </row>
    <row r="8967" spans="1:6" ht="14.1" customHeight="1" x14ac:dyDescent="0.25">
      <c r="A8967" s="94" t="s">
        <v>16379</v>
      </c>
      <c r="B8967" s="82" t="str">
        <f t="shared" ca="1" si="365"/>
        <v>Jabones</v>
      </c>
      <c r="C8967" s="95" t="str">
        <f>IFERROR(VLOOKUP("UD",'Informacion '!P:Q,2,FALSE),"")</f>
        <v>Unidad</v>
      </c>
      <c r="D8967" s="94">
        <v>4</v>
      </c>
      <c r="E8967" s="84">
        <v>2950.59</v>
      </c>
      <c r="F8967" s="83">
        <f t="shared" ca="1" si="364"/>
        <v>11802.36</v>
      </c>
    </row>
    <row r="8968" spans="1:6" ht="14.1" customHeight="1" x14ac:dyDescent="0.25">
      <c r="A8968" s="94" t="s">
        <v>16379</v>
      </c>
      <c r="B8968" s="82" t="str">
        <f t="shared" ca="1" si="365"/>
        <v>Jabones</v>
      </c>
      <c r="C8968" s="95" t="str">
        <f>IFERROR(VLOOKUP("UD",'Informacion '!P:Q,2,FALSE),"")</f>
        <v>Unidad</v>
      </c>
      <c r="D8968" s="94">
        <v>4</v>
      </c>
      <c r="E8968" s="84">
        <v>887.36</v>
      </c>
      <c r="F8968" s="83">
        <f t="shared" ref="F8968:F8999" ca="1" si="366">INDIRECT(ADDRESS(ROW(),COLUMN()-2,4))*INDIRECT(ADDRESS(ROW(),COLUMN()-1,4))</f>
        <v>3549.44</v>
      </c>
    </row>
    <row r="8969" spans="1:6" ht="14.1" customHeight="1" x14ac:dyDescent="0.25">
      <c r="A8969" s="94" t="s">
        <v>16379</v>
      </c>
      <c r="B8969" s="82" t="str">
        <f t="shared" ca="1" si="365"/>
        <v>Jabones</v>
      </c>
      <c r="C8969" s="95" t="str">
        <f>IFERROR(VLOOKUP("UD",'Informacion '!P:Q,2,FALSE),"")</f>
        <v>Unidad</v>
      </c>
      <c r="D8969" s="94">
        <v>68</v>
      </c>
      <c r="E8969" s="84">
        <v>95.65</v>
      </c>
      <c r="F8969" s="83">
        <f t="shared" ca="1" si="366"/>
        <v>6504.2000000000007</v>
      </c>
    </row>
    <row r="8970" spans="1:6" ht="14.1" customHeight="1" x14ac:dyDescent="0.25">
      <c r="A8970" s="94" t="s">
        <v>16379</v>
      </c>
      <c r="B8970" s="82" t="str">
        <f t="shared" ca="1" si="365"/>
        <v>Jabones</v>
      </c>
      <c r="C8970" s="95" t="str">
        <f>IFERROR(VLOOKUP("UD",'Informacion '!P:Q,2,FALSE),"")</f>
        <v>Unidad</v>
      </c>
      <c r="D8970" s="94">
        <v>74</v>
      </c>
      <c r="E8970" s="84">
        <v>33.67</v>
      </c>
      <c r="F8970" s="83">
        <f t="shared" ca="1" si="366"/>
        <v>2491.58</v>
      </c>
    </row>
    <row r="8971" spans="1:6" ht="14.1" customHeight="1" x14ac:dyDescent="0.25">
      <c r="A8971" s="94" t="s">
        <v>16379</v>
      </c>
      <c r="B8971" s="82" t="str">
        <f t="shared" ca="1" si="365"/>
        <v>Jabones</v>
      </c>
      <c r="C8971" s="95" t="str">
        <f>IFERROR(VLOOKUP("UD",'Informacion '!P:Q,2,FALSE),"")</f>
        <v>Unidad</v>
      </c>
      <c r="D8971" s="94">
        <v>59</v>
      </c>
      <c r="E8971" s="84">
        <v>82</v>
      </c>
      <c r="F8971" s="83">
        <f t="shared" ca="1" si="366"/>
        <v>4838</v>
      </c>
    </row>
    <row r="8972" spans="1:6" ht="14.1" customHeight="1" x14ac:dyDescent="0.25">
      <c r="A8972" s="94" t="s">
        <v>16379</v>
      </c>
      <c r="B8972" s="82" t="str">
        <f t="shared" ca="1" si="365"/>
        <v>Jabones</v>
      </c>
      <c r="C8972" s="95" t="str">
        <f>IFERROR(VLOOKUP("UD",'Informacion '!P:Q,2,FALSE),"")</f>
        <v>Unidad</v>
      </c>
      <c r="D8972" s="94">
        <v>64</v>
      </c>
      <c r="E8972" s="84">
        <v>12799.62</v>
      </c>
      <c r="F8972" s="83">
        <f t="shared" ca="1" si="366"/>
        <v>819175.68</v>
      </c>
    </row>
    <row r="8973" spans="1:6" ht="14.1" customHeight="1" x14ac:dyDescent="0.25">
      <c r="A8973" s="94" t="s">
        <v>16379</v>
      </c>
      <c r="B8973" s="82" t="str">
        <f t="shared" ca="1" si="365"/>
        <v>Jabones</v>
      </c>
      <c r="C8973" s="95" t="str">
        <f>IFERROR(VLOOKUP("UD",'Informacion '!P:Q,2,FALSE),"")</f>
        <v>Unidad</v>
      </c>
      <c r="D8973" s="94">
        <v>279</v>
      </c>
      <c r="E8973" s="84">
        <v>2.84</v>
      </c>
      <c r="F8973" s="83">
        <f t="shared" ca="1" si="366"/>
        <v>792.36</v>
      </c>
    </row>
    <row r="8974" spans="1:6" ht="14.1" customHeight="1" x14ac:dyDescent="0.25">
      <c r="A8974" s="94" t="s">
        <v>16379</v>
      </c>
      <c r="B8974" s="82" t="str">
        <f t="shared" ca="1" si="365"/>
        <v>Jabones</v>
      </c>
      <c r="C8974" s="95" t="str">
        <f>IFERROR(VLOOKUP("UD",'Informacion '!P:Q,2,FALSE),"")</f>
        <v>Unidad</v>
      </c>
      <c r="D8974" s="94">
        <v>949</v>
      </c>
      <c r="E8974" s="84">
        <v>1.59</v>
      </c>
      <c r="F8974" s="83">
        <f t="shared" ca="1" si="366"/>
        <v>1508.91</v>
      </c>
    </row>
    <row r="8975" spans="1:6" ht="14.1" customHeight="1" x14ac:dyDescent="0.25">
      <c r="A8975" s="94" t="s">
        <v>16379</v>
      </c>
      <c r="B8975" s="82" t="str">
        <f t="shared" ca="1" si="365"/>
        <v>Jabones</v>
      </c>
      <c r="C8975" s="95" t="str">
        <f>IFERROR(VLOOKUP("UD",'Informacion '!P:Q,2,FALSE),"")</f>
        <v>Unidad</v>
      </c>
      <c r="D8975" s="94">
        <v>8</v>
      </c>
      <c r="E8975" s="84">
        <v>4506.74</v>
      </c>
      <c r="F8975" s="83">
        <f t="shared" ca="1" si="366"/>
        <v>36053.919999999998</v>
      </c>
    </row>
    <row r="8976" spans="1:6" ht="14.1" customHeight="1" x14ac:dyDescent="0.25">
      <c r="A8976" s="94" t="s">
        <v>16379</v>
      </c>
      <c r="B8976" s="82" t="str">
        <f t="shared" ca="1" si="365"/>
        <v>Jabones</v>
      </c>
      <c r="C8976" s="95" t="str">
        <f>IFERROR(VLOOKUP("UD",'Informacion '!P:Q,2,FALSE),"")</f>
        <v>Unidad</v>
      </c>
      <c r="D8976" s="94">
        <v>11</v>
      </c>
      <c r="E8976" s="84">
        <v>2.4500000000000002</v>
      </c>
      <c r="F8976" s="83">
        <f t="shared" ca="1" si="366"/>
        <v>26.950000000000003</v>
      </c>
    </row>
    <row r="8977" spans="1:6" ht="14.1" customHeight="1" x14ac:dyDescent="0.25">
      <c r="A8977" s="94" t="s">
        <v>16379</v>
      </c>
      <c r="B8977" s="82" t="str">
        <f t="shared" ca="1" si="365"/>
        <v>Jabones</v>
      </c>
      <c r="C8977" s="95" t="str">
        <f>IFERROR(VLOOKUP("UD",'Informacion '!P:Q,2,FALSE),"")</f>
        <v>Unidad</v>
      </c>
      <c r="D8977" s="94">
        <v>4</v>
      </c>
      <c r="E8977" s="84">
        <v>1546.27</v>
      </c>
      <c r="F8977" s="83">
        <f t="shared" ca="1" si="366"/>
        <v>6185.08</v>
      </c>
    </row>
    <row r="8978" spans="1:6" ht="14.1" customHeight="1" x14ac:dyDescent="0.25">
      <c r="A8978" s="94" t="s">
        <v>16379</v>
      </c>
      <c r="B8978" s="82" t="str">
        <f t="shared" ca="1" si="365"/>
        <v>Jabones</v>
      </c>
      <c r="C8978" s="95" t="str">
        <f>IFERROR(VLOOKUP("UD",'Informacion '!P:Q,2,FALSE),"")</f>
        <v>Unidad</v>
      </c>
      <c r="D8978" s="94">
        <v>4</v>
      </c>
      <c r="E8978" s="84">
        <v>531.91999999999996</v>
      </c>
      <c r="F8978" s="83">
        <f t="shared" ca="1" si="366"/>
        <v>2127.6799999999998</v>
      </c>
    </row>
    <row r="8979" spans="1:6" ht="14.1" customHeight="1" x14ac:dyDescent="0.25">
      <c r="A8979" s="94" t="s">
        <v>16379</v>
      </c>
      <c r="B8979" s="82" t="str">
        <f t="shared" ca="1" si="365"/>
        <v>Jabones</v>
      </c>
      <c r="C8979" s="95" t="str">
        <f>IFERROR(VLOOKUP("UD",'Informacion '!P:Q,2,FALSE),"")</f>
        <v>Unidad</v>
      </c>
      <c r="D8979" s="94">
        <v>4935</v>
      </c>
      <c r="E8979" s="84">
        <v>11.52</v>
      </c>
      <c r="F8979" s="83">
        <f t="shared" ca="1" si="366"/>
        <v>56851.199999999997</v>
      </c>
    </row>
    <row r="8980" spans="1:6" ht="14.1" customHeight="1" x14ac:dyDescent="0.25">
      <c r="A8980" s="94" t="s">
        <v>16379</v>
      </c>
      <c r="B8980" s="82" t="str">
        <f t="shared" ca="1" si="365"/>
        <v>Jabones</v>
      </c>
      <c r="C8980" s="95" t="str">
        <f>IFERROR(VLOOKUP("UD",'Informacion '!P:Q,2,FALSE),"")</f>
        <v>Unidad</v>
      </c>
      <c r="D8980" s="94">
        <v>981</v>
      </c>
      <c r="E8980" s="84">
        <v>14.24</v>
      </c>
      <c r="F8980" s="83">
        <f t="shared" ca="1" si="366"/>
        <v>13969.44</v>
      </c>
    </row>
    <row r="8981" spans="1:6" ht="14.1" customHeight="1" x14ac:dyDescent="0.25">
      <c r="A8981" s="94" t="s">
        <v>16379</v>
      </c>
      <c r="B8981" s="82" t="str">
        <f t="shared" ca="1" si="365"/>
        <v>Jabones</v>
      </c>
      <c r="C8981" s="95" t="str">
        <f>IFERROR(VLOOKUP("UD",'Informacion '!P:Q,2,FALSE),"")</f>
        <v>Unidad</v>
      </c>
      <c r="D8981" s="94">
        <v>543</v>
      </c>
      <c r="E8981" s="84">
        <v>3.41</v>
      </c>
      <c r="F8981" s="83">
        <f t="shared" ca="1" si="366"/>
        <v>1851.63</v>
      </c>
    </row>
    <row r="8982" spans="1:6" ht="14.1" customHeight="1" x14ac:dyDescent="0.25">
      <c r="A8982" s="94" t="s">
        <v>16379</v>
      </c>
      <c r="B8982" s="82" t="str">
        <f t="shared" ca="1" si="365"/>
        <v>Jabones</v>
      </c>
      <c r="C8982" s="95" t="str">
        <f>IFERROR(VLOOKUP("UD",'Informacion '!P:Q,2,FALSE),"")</f>
        <v>Unidad</v>
      </c>
      <c r="D8982" s="94">
        <v>134</v>
      </c>
      <c r="E8982" s="84">
        <v>8.82</v>
      </c>
      <c r="F8982" s="83">
        <f t="shared" ca="1" si="366"/>
        <v>1181.8800000000001</v>
      </c>
    </row>
    <row r="8983" spans="1:6" ht="14.1" customHeight="1" x14ac:dyDescent="0.25">
      <c r="A8983" s="94" t="s">
        <v>16379</v>
      </c>
      <c r="B8983" s="82" t="str">
        <f t="shared" ca="1" si="365"/>
        <v>Jabones</v>
      </c>
      <c r="C8983" s="95" t="str">
        <f>IFERROR(VLOOKUP("UD",'Informacion '!P:Q,2,FALSE),"")</f>
        <v>Unidad</v>
      </c>
      <c r="D8983" s="94">
        <v>4887</v>
      </c>
      <c r="E8983" s="84">
        <v>157.93</v>
      </c>
      <c r="F8983" s="83">
        <f t="shared" ca="1" si="366"/>
        <v>771803.91</v>
      </c>
    </row>
    <row r="8984" spans="1:6" ht="14.1" customHeight="1" x14ac:dyDescent="0.25">
      <c r="A8984" s="94" t="s">
        <v>16379</v>
      </c>
      <c r="B8984" s="82" t="str">
        <f t="shared" ca="1" si="365"/>
        <v>Jabones</v>
      </c>
      <c r="C8984" s="95" t="str">
        <f>IFERROR(VLOOKUP("UD",'Informacion '!P:Q,2,FALSE),"")</f>
        <v>Unidad</v>
      </c>
      <c r="D8984" s="94">
        <v>1360</v>
      </c>
      <c r="E8984" s="84">
        <v>11.91</v>
      </c>
      <c r="F8984" s="83">
        <f t="shared" ca="1" si="366"/>
        <v>16197.6</v>
      </c>
    </row>
    <row r="8985" spans="1:6" ht="14.1" customHeight="1" x14ac:dyDescent="0.25">
      <c r="A8985" s="94" t="s">
        <v>16379</v>
      </c>
      <c r="B8985" s="82" t="str">
        <f t="shared" ca="1" si="365"/>
        <v>Jabones</v>
      </c>
      <c r="C8985" s="95" t="str">
        <f>IFERROR(VLOOKUP("UD",'Informacion '!P:Q,2,FALSE),"")</f>
        <v>Unidad</v>
      </c>
      <c r="D8985" s="94">
        <v>4</v>
      </c>
      <c r="E8985" s="84">
        <v>952.9</v>
      </c>
      <c r="F8985" s="83">
        <f t="shared" ca="1" si="366"/>
        <v>3811.6</v>
      </c>
    </row>
    <row r="8986" spans="1:6" ht="14.1" customHeight="1" x14ac:dyDescent="0.25">
      <c r="A8986" s="94" t="s">
        <v>16379</v>
      </c>
      <c r="B8986" s="82" t="str">
        <f t="shared" ca="1" si="365"/>
        <v>Jabones</v>
      </c>
      <c r="C8986" s="95" t="str">
        <f>IFERROR(VLOOKUP("UD",'Informacion '!P:Q,2,FALSE),"")</f>
        <v>Unidad</v>
      </c>
      <c r="D8986" s="94">
        <v>4</v>
      </c>
      <c r="E8986" s="84">
        <v>1753.05</v>
      </c>
      <c r="F8986" s="83">
        <f t="shared" ca="1" si="366"/>
        <v>7012.2</v>
      </c>
    </row>
    <row r="8987" spans="1:6" ht="14.1" customHeight="1" x14ac:dyDescent="0.25">
      <c r="A8987" s="94" t="s">
        <v>16379</v>
      </c>
      <c r="B8987" s="82" t="str">
        <f t="shared" ca="1" si="365"/>
        <v>Jabones</v>
      </c>
      <c r="C8987" s="95" t="str">
        <f>IFERROR(VLOOKUP("UD",'Informacion '!P:Q,2,FALSE),"")</f>
        <v>Unidad</v>
      </c>
      <c r="D8987" s="94">
        <v>641</v>
      </c>
      <c r="E8987" s="84">
        <v>6.61</v>
      </c>
      <c r="F8987" s="83">
        <f t="shared" ca="1" si="366"/>
        <v>4237.01</v>
      </c>
    </row>
    <row r="8988" spans="1:6" ht="14.1" customHeight="1" x14ac:dyDescent="0.25">
      <c r="A8988" s="94" t="s">
        <v>16379</v>
      </c>
      <c r="B8988" s="82" t="str">
        <f t="shared" ca="1" si="365"/>
        <v>Jabones</v>
      </c>
      <c r="C8988" s="95" t="str">
        <f>IFERROR(VLOOKUP("UD",'Informacion '!P:Q,2,FALSE),"")</f>
        <v>Unidad</v>
      </c>
      <c r="D8988" s="94">
        <v>14</v>
      </c>
      <c r="E8988" s="84">
        <v>590.41999999999996</v>
      </c>
      <c r="F8988" s="83">
        <f t="shared" ca="1" si="366"/>
        <v>8265.8799999999992</v>
      </c>
    </row>
    <row r="8989" spans="1:6" ht="14.1" customHeight="1" x14ac:dyDescent="0.25">
      <c r="A8989" s="94" t="s">
        <v>16379</v>
      </c>
      <c r="B8989" s="82" t="str">
        <f t="shared" ca="1" si="365"/>
        <v>Jabones</v>
      </c>
      <c r="C8989" s="95" t="str">
        <f>IFERROR(VLOOKUP("UD",'Informacion '!P:Q,2,FALSE),"")</f>
        <v>Unidad</v>
      </c>
      <c r="D8989" s="94">
        <v>14</v>
      </c>
      <c r="E8989" s="84">
        <v>590.41999999999996</v>
      </c>
      <c r="F8989" s="83">
        <f t="shared" ca="1" si="366"/>
        <v>8265.8799999999992</v>
      </c>
    </row>
    <row r="8990" spans="1:6" ht="14.1" customHeight="1" x14ac:dyDescent="0.25">
      <c r="A8990" s="94" t="s">
        <v>16379</v>
      </c>
      <c r="B8990" s="82" t="str">
        <f t="shared" ref="B8990:B9010" ca="1" si="367">IFERROR(INDEX(UNSPSCDes,MATCH(INDIRECT(ADDRESS(ROW(),COLUMN()-1,4)),UNSPSCCode,0)),IF(INDIRECT(ADDRESS(ROW(),COLUMN()-1,4))="53131608","Jabones",""))</f>
        <v>Jabones</v>
      </c>
      <c r="C8990" s="95" t="str">
        <f>IFERROR(VLOOKUP("UD",'Informacion '!P:Q,2,FALSE),"")</f>
        <v>Unidad</v>
      </c>
      <c r="D8990" s="94">
        <v>117</v>
      </c>
      <c r="E8990" s="84">
        <v>115.68</v>
      </c>
      <c r="F8990" s="83">
        <f t="shared" ca="1" si="366"/>
        <v>13534.560000000001</v>
      </c>
    </row>
    <row r="8991" spans="1:6" ht="14.1" customHeight="1" x14ac:dyDescent="0.25">
      <c r="A8991" s="94" t="s">
        <v>16379</v>
      </c>
      <c r="B8991" s="82" t="str">
        <f t="shared" ca="1" si="367"/>
        <v>Jabones</v>
      </c>
      <c r="C8991" s="95" t="str">
        <f>IFERROR(VLOOKUP("UD",'Informacion '!P:Q,2,FALSE),"")</f>
        <v>Unidad</v>
      </c>
      <c r="D8991" s="94">
        <v>14</v>
      </c>
      <c r="E8991" s="84">
        <v>590.41999999999996</v>
      </c>
      <c r="F8991" s="83">
        <f t="shared" ca="1" si="366"/>
        <v>8265.8799999999992</v>
      </c>
    </row>
    <row r="8992" spans="1:6" ht="14.1" customHeight="1" x14ac:dyDescent="0.25">
      <c r="A8992" s="94" t="s">
        <v>16379</v>
      </c>
      <c r="B8992" s="82" t="str">
        <f t="shared" ca="1" si="367"/>
        <v>Jabones</v>
      </c>
      <c r="C8992" s="95" t="str">
        <f>IFERROR(VLOOKUP("UD",'Informacion '!P:Q,2,FALSE),"")</f>
        <v>Unidad</v>
      </c>
      <c r="D8992" s="94">
        <v>15</v>
      </c>
      <c r="E8992" s="84">
        <v>1107.98</v>
      </c>
      <c r="F8992" s="83">
        <f t="shared" ca="1" si="366"/>
        <v>16619.7</v>
      </c>
    </row>
    <row r="8993" spans="1:6" ht="14.1" customHeight="1" x14ac:dyDescent="0.25">
      <c r="A8993" s="94" t="s">
        <v>16379</v>
      </c>
      <c r="B8993" s="82" t="str">
        <f t="shared" ca="1" si="367"/>
        <v>Jabones</v>
      </c>
      <c r="C8993" s="95" t="str">
        <f>IFERROR(VLOOKUP("UD",'Informacion '!P:Q,2,FALSE),"")</f>
        <v>Unidad</v>
      </c>
      <c r="D8993" s="94">
        <v>4</v>
      </c>
      <c r="E8993" s="84">
        <v>615.25</v>
      </c>
      <c r="F8993" s="83">
        <f t="shared" ca="1" si="366"/>
        <v>2461</v>
      </c>
    </row>
    <row r="8994" spans="1:6" ht="14.1" customHeight="1" x14ac:dyDescent="0.25">
      <c r="A8994" s="94" t="s">
        <v>16379</v>
      </c>
      <c r="B8994" s="82" t="str">
        <f t="shared" ca="1" si="367"/>
        <v>Jabones</v>
      </c>
      <c r="C8994" s="95" t="str">
        <f>IFERROR(VLOOKUP("UD",'Informacion '!P:Q,2,FALSE),"")</f>
        <v>Unidad</v>
      </c>
      <c r="D8994" s="94">
        <v>68</v>
      </c>
      <c r="E8994" s="84">
        <v>130.44999999999999</v>
      </c>
      <c r="F8994" s="83">
        <f t="shared" ca="1" si="366"/>
        <v>8870.5999999999985</v>
      </c>
    </row>
    <row r="8995" spans="1:6" ht="14.1" customHeight="1" x14ac:dyDescent="0.25">
      <c r="A8995" s="94" t="s">
        <v>16379</v>
      </c>
      <c r="B8995" s="82" t="str">
        <f t="shared" ca="1" si="367"/>
        <v>Jabones</v>
      </c>
      <c r="C8995" s="95" t="str">
        <f>IFERROR(VLOOKUP("UD",'Informacion '!P:Q,2,FALSE),"")</f>
        <v>Unidad</v>
      </c>
      <c r="D8995" s="94">
        <v>14</v>
      </c>
      <c r="E8995" s="84">
        <v>740.93</v>
      </c>
      <c r="F8995" s="83">
        <f t="shared" ca="1" si="366"/>
        <v>10373.019999999999</v>
      </c>
    </row>
    <row r="8996" spans="1:6" ht="14.1" customHeight="1" x14ac:dyDescent="0.25">
      <c r="A8996" s="94" t="s">
        <v>16379</v>
      </c>
      <c r="B8996" s="82" t="str">
        <f t="shared" ca="1" si="367"/>
        <v>Jabones</v>
      </c>
      <c r="C8996" s="95" t="str">
        <f>IFERROR(VLOOKUP("UD",'Informacion '!P:Q,2,FALSE),"")</f>
        <v>Unidad</v>
      </c>
      <c r="D8996" s="94">
        <v>4</v>
      </c>
      <c r="E8996" s="84">
        <v>641.70000000000005</v>
      </c>
      <c r="F8996" s="83">
        <f t="shared" ca="1" si="366"/>
        <v>2566.8000000000002</v>
      </c>
    </row>
    <row r="8997" spans="1:6" ht="14.1" customHeight="1" x14ac:dyDescent="0.25">
      <c r="A8997" s="94" t="s">
        <v>16379</v>
      </c>
      <c r="B8997" s="82" t="str">
        <f t="shared" ca="1" si="367"/>
        <v>Jabones</v>
      </c>
      <c r="C8997" s="95" t="str">
        <f>IFERROR(VLOOKUP("UD",'Informacion '!P:Q,2,FALSE),"")</f>
        <v>Unidad</v>
      </c>
      <c r="D8997" s="94">
        <v>14</v>
      </c>
      <c r="E8997" s="84">
        <v>140.9</v>
      </c>
      <c r="F8997" s="83">
        <f t="shared" ca="1" si="366"/>
        <v>1972.6000000000001</v>
      </c>
    </row>
    <row r="8998" spans="1:6" ht="14.1" customHeight="1" x14ac:dyDescent="0.25">
      <c r="A8998" s="94" t="s">
        <v>16379</v>
      </c>
      <c r="B8998" s="82" t="str">
        <f t="shared" ca="1" si="367"/>
        <v>Jabones</v>
      </c>
      <c r="C8998" s="95" t="str">
        <f>IFERROR(VLOOKUP("UD",'Informacion '!P:Q,2,FALSE),"")</f>
        <v>Unidad</v>
      </c>
      <c r="D8998" s="94">
        <v>152</v>
      </c>
      <c r="E8998" s="84">
        <v>352.25</v>
      </c>
      <c r="F8998" s="83">
        <f t="shared" ca="1" si="366"/>
        <v>53542</v>
      </c>
    </row>
    <row r="8999" spans="1:6" ht="14.1" customHeight="1" x14ac:dyDescent="0.25">
      <c r="A8999" s="94" t="s">
        <v>16379</v>
      </c>
      <c r="B8999" s="82" t="str">
        <f t="shared" ca="1" si="367"/>
        <v>Jabones</v>
      </c>
      <c r="C8999" s="95" t="str">
        <f>IFERROR(VLOOKUP("UD",'Informacion '!P:Q,2,FALSE),"")</f>
        <v>Unidad</v>
      </c>
      <c r="D8999" s="94">
        <v>14</v>
      </c>
      <c r="E8999" s="84">
        <v>28.96</v>
      </c>
      <c r="F8999" s="83">
        <f t="shared" ca="1" si="366"/>
        <v>405.44</v>
      </c>
    </row>
    <row r="9000" spans="1:6" ht="14.1" customHeight="1" x14ac:dyDescent="0.25">
      <c r="A9000" s="94" t="s">
        <v>16379</v>
      </c>
      <c r="B9000" s="82" t="str">
        <f t="shared" ca="1" si="367"/>
        <v>Jabones</v>
      </c>
      <c r="C9000" s="95" t="str">
        <f>IFERROR(VLOOKUP("UD",'Informacion '!P:Q,2,FALSE),"")</f>
        <v>Unidad</v>
      </c>
      <c r="D9000" s="94">
        <v>4</v>
      </c>
      <c r="E9000" s="84">
        <v>211.57</v>
      </c>
      <c r="F9000" s="83">
        <f t="shared" ref="F9000:F9031" ca="1" si="368">INDIRECT(ADDRESS(ROW(),COLUMN()-2,4))*INDIRECT(ADDRESS(ROW(),COLUMN()-1,4))</f>
        <v>846.28</v>
      </c>
    </row>
    <row r="9001" spans="1:6" ht="14.1" customHeight="1" x14ac:dyDescent="0.25">
      <c r="A9001" s="94" t="s">
        <v>16379</v>
      </c>
      <c r="B9001" s="82" t="str">
        <f t="shared" ca="1" si="367"/>
        <v>Jabones</v>
      </c>
      <c r="C9001" s="95" t="str">
        <f>IFERROR(VLOOKUP("UD",'Informacion '!P:Q,2,FALSE),"")</f>
        <v>Unidad</v>
      </c>
      <c r="D9001" s="94">
        <v>4</v>
      </c>
      <c r="E9001" s="84">
        <v>4836</v>
      </c>
      <c r="F9001" s="83">
        <f t="shared" ca="1" si="368"/>
        <v>19344</v>
      </c>
    </row>
    <row r="9002" spans="1:6" ht="14.1" customHeight="1" x14ac:dyDescent="0.25">
      <c r="A9002" s="94" t="s">
        <v>16379</v>
      </c>
      <c r="B9002" s="82" t="str">
        <f t="shared" ca="1" si="367"/>
        <v>Jabones</v>
      </c>
      <c r="C9002" s="95" t="str">
        <f>IFERROR(VLOOKUP("UD",'Informacion '!P:Q,2,FALSE),"")</f>
        <v>Unidad</v>
      </c>
      <c r="D9002" s="94">
        <v>5</v>
      </c>
      <c r="E9002" s="84">
        <v>5487</v>
      </c>
      <c r="F9002" s="83">
        <f t="shared" ca="1" si="368"/>
        <v>27435</v>
      </c>
    </row>
    <row r="9003" spans="1:6" ht="14.1" customHeight="1" x14ac:dyDescent="0.25">
      <c r="A9003" s="94" t="s">
        <v>16379</v>
      </c>
      <c r="B9003" s="82" t="str">
        <f t="shared" ca="1" si="367"/>
        <v>Jabones</v>
      </c>
      <c r="C9003" s="95" t="str">
        <f>IFERROR(VLOOKUP("UD",'Informacion '!P:Q,2,FALSE),"")</f>
        <v>Unidad</v>
      </c>
      <c r="D9003" s="94">
        <v>4</v>
      </c>
      <c r="E9003" s="84">
        <v>300</v>
      </c>
      <c r="F9003" s="83">
        <f t="shared" ca="1" si="368"/>
        <v>1200</v>
      </c>
    </row>
    <row r="9004" spans="1:6" ht="14.1" customHeight="1" x14ac:dyDescent="0.25">
      <c r="A9004" s="94" t="s">
        <v>16379</v>
      </c>
      <c r="B9004" s="82" t="str">
        <f t="shared" ca="1" si="367"/>
        <v>Jabones</v>
      </c>
      <c r="C9004" s="95" t="str">
        <f>IFERROR(VLOOKUP("UD",'Informacion '!P:Q,2,FALSE),"")</f>
        <v>Unidad</v>
      </c>
      <c r="D9004" s="94">
        <v>6</v>
      </c>
      <c r="E9004" s="84">
        <v>450</v>
      </c>
      <c r="F9004" s="83">
        <f t="shared" ca="1" si="368"/>
        <v>2700</v>
      </c>
    </row>
    <row r="9005" spans="1:6" ht="14.1" customHeight="1" x14ac:dyDescent="0.25">
      <c r="A9005" s="94" t="s">
        <v>16379</v>
      </c>
      <c r="B9005" s="82" t="str">
        <f t="shared" ca="1" si="367"/>
        <v>Jabones</v>
      </c>
      <c r="C9005" s="95" t="str">
        <f>IFERROR(VLOOKUP("UD",'Informacion '!P:Q,2,FALSE),"")</f>
        <v>Unidad</v>
      </c>
      <c r="D9005" s="94">
        <v>6</v>
      </c>
      <c r="E9005" s="84">
        <v>4134.92</v>
      </c>
      <c r="F9005" s="83">
        <f t="shared" ca="1" si="368"/>
        <v>24809.52</v>
      </c>
    </row>
    <row r="9006" spans="1:6" ht="14.1" customHeight="1" x14ac:dyDescent="0.25">
      <c r="A9006" s="94" t="s">
        <v>16379</v>
      </c>
      <c r="B9006" s="82" t="str">
        <f t="shared" ca="1" si="367"/>
        <v>Jabones</v>
      </c>
      <c r="C9006" s="95" t="str">
        <f>IFERROR(VLOOKUP("UD",'Informacion '!P:Q,2,FALSE),"")</f>
        <v>Unidad</v>
      </c>
      <c r="D9006" s="94">
        <v>37</v>
      </c>
      <c r="E9006" s="84">
        <v>100.8</v>
      </c>
      <c r="F9006" s="83">
        <f t="shared" ca="1" si="368"/>
        <v>3729.6</v>
      </c>
    </row>
    <row r="9007" spans="1:6" ht="14.1" customHeight="1" x14ac:dyDescent="0.25">
      <c r="A9007" s="94" t="s">
        <v>16379</v>
      </c>
      <c r="B9007" s="82" t="str">
        <f t="shared" ca="1" si="367"/>
        <v>Jabones</v>
      </c>
      <c r="C9007" s="95" t="str">
        <f>IFERROR(VLOOKUP("UD",'Informacion '!P:Q,2,FALSE),"")</f>
        <v>Unidad</v>
      </c>
      <c r="D9007" s="94">
        <v>4</v>
      </c>
      <c r="E9007" s="84">
        <v>1742</v>
      </c>
      <c r="F9007" s="83">
        <f t="shared" ca="1" si="368"/>
        <v>6968</v>
      </c>
    </row>
    <row r="9008" spans="1:6" ht="14.1" customHeight="1" x14ac:dyDescent="0.25">
      <c r="A9008" s="94" t="s">
        <v>16379</v>
      </c>
      <c r="B9008" s="82" t="str">
        <f t="shared" ca="1" si="367"/>
        <v>Jabones</v>
      </c>
      <c r="C9008" s="95" t="str">
        <f>IFERROR(VLOOKUP("UD",'Informacion '!P:Q,2,FALSE),"")</f>
        <v>Unidad</v>
      </c>
      <c r="D9008" s="94">
        <v>4</v>
      </c>
      <c r="E9008" s="84">
        <v>1742</v>
      </c>
      <c r="F9008" s="83">
        <f t="shared" ca="1" si="368"/>
        <v>6968</v>
      </c>
    </row>
    <row r="9009" spans="1:6" ht="14.1" customHeight="1" x14ac:dyDescent="0.25">
      <c r="A9009" s="94" t="s">
        <v>16379</v>
      </c>
      <c r="B9009" s="82" t="str">
        <f t="shared" ca="1" si="367"/>
        <v>Jabones</v>
      </c>
      <c r="C9009" s="95" t="str">
        <f>IFERROR(VLOOKUP("UD",'Informacion '!P:Q,2,FALSE),"")</f>
        <v>Unidad</v>
      </c>
      <c r="D9009" s="94">
        <v>4</v>
      </c>
      <c r="E9009" s="84">
        <v>1742</v>
      </c>
      <c r="F9009" s="83">
        <f t="shared" ca="1" si="368"/>
        <v>6968</v>
      </c>
    </row>
    <row r="9010" spans="1:6" ht="14.1" customHeight="1" x14ac:dyDescent="0.25">
      <c r="A9010" s="94" t="s">
        <v>16379</v>
      </c>
      <c r="B9010" s="82" t="str">
        <f t="shared" ca="1" si="367"/>
        <v>Jabones</v>
      </c>
      <c r="C9010" s="95" t="str">
        <f>IFERROR(VLOOKUP("UD",'Informacion '!P:Q,2,FALSE),"")</f>
        <v>Unidad</v>
      </c>
      <c r="D9010" s="94">
        <v>4</v>
      </c>
      <c r="E9010" s="84">
        <v>640</v>
      </c>
      <c r="F9010" s="83">
        <f t="shared" ca="1" si="368"/>
        <v>2560</v>
      </c>
    </row>
    <row r="9011" spans="1:6" ht="14.1" customHeight="1" x14ac:dyDescent="0.25">
      <c r="A9011" s="94" t="s">
        <v>3593</v>
      </c>
      <c r="B9011" s="82" t="str">
        <f ca="1">IFERROR(INDEX(UNSPSCDes,MATCH(INDIRECT(ADDRESS(ROW(),COLUMN()-1,4)),UNSPSCCode,0)),IF(INDIRECT(ADDRESS(ROW(),COLUMN()-1,4))="51181506","Insulina",""))</f>
        <v>Insulina</v>
      </c>
      <c r="C9011" s="95" t="str">
        <f>IFERROR(VLOOKUP("UD",'Informacion '!P:Q,2,FALSE),"")</f>
        <v>Unidad</v>
      </c>
      <c r="D9011" s="94">
        <v>109</v>
      </c>
      <c r="E9011" s="84">
        <v>17.55</v>
      </c>
      <c r="F9011" s="83">
        <f t="shared" ca="1" si="368"/>
        <v>1912.95</v>
      </c>
    </row>
    <row r="9012" spans="1:6" ht="14.1" customHeight="1" x14ac:dyDescent="0.25">
      <c r="A9012" s="94" t="s">
        <v>3552</v>
      </c>
      <c r="B901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9012" s="95" t="str">
        <f>IFERROR(VLOOKUP("UD",'Informacion '!P:Q,2,FALSE),"")</f>
        <v>Unidad</v>
      </c>
      <c r="D9012" s="94">
        <v>700</v>
      </c>
      <c r="E9012" s="84">
        <v>123.36</v>
      </c>
      <c r="F9012" s="83">
        <f t="shared" ca="1" si="368"/>
        <v>86352</v>
      </c>
    </row>
    <row r="9013" spans="1:6" ht="14.1" customHeight="1" x14ac:dyDescent="0.25">
      <c r="A9013" s="94" t="s">
        <v>3552</v>
      </c>
      <c r="B9013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9013" s="95" t="str">
        <f>IFERROR(VLOOKUP("UD",'Informacion '!P:Q,2,FALSE),"")</f>
        <v>Unidad</v>
      </c>
      <c r="D9013" s="94">
        <v>57</v>
      </c>
      <c r="E9013" s="84">
        <v>112.14</v>
      </c>
      <c r="F9013" s="83">
        <f t="shared" ca="1" si="368"/>
        <v>6391.9800000000005</v>
      </c>
    </row>
    <row r="9014" spans="1:6" ht="14.1" customHeight="1" x14ac:dyDescent="0.25">
      <c r="A9014" s="94" t="s">
        <v>3552</v>
      </c>
      <c r="B9014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9014" s="95" t="str">
        <f>IFERROR(VLOOKUP("UD",'Informacion '!P:Q,2,FALSE),"")</f>
        <v>Unidad</v>
      </c>
      <c r="D9014" s="94">
        <v>26</v>
      </c>
      <c r="E9014" s="84">
        <v>171.1</v>
      </c>
      <c r="F9014" s="83">
        <f t="shared" ca="1" si="368"/>
        <v>4448.5999999999995</v>
      </c>
    </row>
    <row r="9015" spans="1:6" ht="14.1" customHeight="1" x14ac:dyDescent="0.25">
      <c r="A9015" s="94" t="s">
        <v>5138</v>
      </c>
      <c r="B9015" s="82" t="str">
        <f ca="1">IFERROR(INDEX(UNSPSCDes,MATCH(INDIRECT(ADDRESS(ROW(),COLUMN()-1,4)),UNSPSCCode,0)),IF(INDIRECT(ADDRESS(ROW(),COLUMN()-1,4))="41103801","Mezcladores de laboratorio",""))</f>
        <v>Mezcladores de laboratorio</v>
      </c>
      <c r="C9015" s="95" t="str">
        <f>IFERROR(VLOOKUP("UD",'Informacion '!P:Q,2,FALSE),"")</f>
        <v>Unidad</v>
      </c>
      <c r="D9015" s="94">
        <v>6</v>
      </c>
      <c r="E9015" s="84">
        <v>62.24</v>
      </c>
      <c r="F9015" s="83">
        <f t="shared" ca="1" si="368"/>
        <v>373.44</v>
      </c>
    </row>
    <row r="9016" spans="1:6" ht="14.1" customHeight="1" x14ac:dyDescent="0.25">
      <c r="A9016" s="94" t="s">
        <v>16379</v>
      </c>
      <c r="B9016" s="82" t="str">
        <f t="shared" ref="B9016:B9047" ca="1" si="369">IFERROR(INDEX(UNSPSCDes,MATCH(INDIRECT(ADDRESS(ROW(),COLUMN()-1,4)),UNSPSCCode,0)),IF(INDIRECT(ADDRESS(ROW(),COLUMN()-1,4))="53131608","Jabones",""))</f>
        <v>Jabones</v>
      </c>
      <c r="C9016" s="95" t="str">
        <f>IFERROR(VLOOKUP("UD",'Informacion '!P:Q,2,FALSE),"")</f>
        <v>Unidad</v>
      </c>
      <c r="D9016" s="94">
        <v>6</v>
      </c>
      <c r="E9016" s="84">
        <v>1022.57</v>
      </c>
      <c r="F9016" s="83">
        <f t="shared" ca="1" si="368"/>
        <v>6135.42</v>
      </c>
    </row>
    <row r="9017" spans="1:6" ht="14.1" customHeight="1" x14ac:dyDescent="0.25">
      <c r="A9017" s="94" t="s">
        <v>16379</v>
      </c>
      <c r="B9017" s="82" t="str">
        <f t="shared" ca="1" si="369"/>
        <v>Jabones</v>
      </c>
      <c r="C9017" s="95" t="str">
        <f>IFERROR(VLOOKUP("UD",'Informacion '!P:Q,2,FALSE),"")</f>
        <v>Unidad</v>
      </c>
      <c r="D9017" s="94">
        <v>6</v>
      </c>
      <c r="E9017" s="84">
        <v>40.58</v>
      </c>
      <c r="F9017" s="83">
        <f t="shared" ca="1" si="368"/>
        <v>243.48</v>
      </c>
    </row>
    <row r="9018" spans="1:6" ht="14.1" customHeight="1" x14ac:dyDescent="0.25">
      <c r="A9018" s="94" t="s">
        <v>16379</v>
      </c>
      <c r="B9018" s="82" t="str">
        <f t="shared" ca="1" si="369"/>
        <v>Jabones</v>
      </c>
      <c r="C9018" s="95" t="str">
        <f>IFERROR(VLOOKUP("UD",'Informacion '!P:Q,2,FALSE),"")</f>
        <v>Unidad</v>
      </c>
      <c r="D9018" s="94">
        <v>10</v>
      </c>
      <c r="E9018" s="84">
        <v>105.8</v>
      </c>
      <c r="F9018" s="83">
        <f t="shared" ca="1" si="368"/>
        <v>1058</v>
      </c>
    </row>
    <row r="9019" spans="1:6" ht="14.1" customHeight="1" x14ac:dyDescent="0.25">
      <c r="A9019" s="94" t="s">
        <v>16379</v>
      </c>
      <c r="B9019" s="82" t="str">
        <f t="shared" ca="1" si="369"/>
        <v>Jabones</v>
      </c>
      <c r="C9019" s="95" t="str">
        <f>IFERROR(VLOOKUP("UD",'Informacion '!P:Q,2,FALSE),"")</f>
        <v>Unidad</v>
      </c>
      <c r="D9019" s="94">
        <v>6</v>
      </c>
      <c r="E9019" s="84">
        <v>5.94</v>
      </c>
      <c r="F9019" s="83">
        <f t="shared" ca="1" si="368"/>
        <v>35.64</v>
      </c>
    </row>
    <row r="9020" spans="1:6" ht="14.1" customHeight="1" x14ac:dyDescent="0.25">
      <c r="A9020" s="94" t="s">
        <v>16379</v>
      </c>
      <c r="B9020" s="82" t="str">
        <f t="shared" ca="1" si="369"/>
        <v>Jabones</v>
      </c>
      <c r="C9020" s="95" t="str">
        <f>IFERROR(VLOOKUP("UD",'Informacion '!P:Q,2,FALSE),"")</f>
        <v>Unidad</v>
      </c>
      <c r="D9020" s="94">
        <v>510</v>
      </c>
      <c r="E9020" s="84">
        <v>21.83</v>
      </c>
      <c r="F9020" s="83">
        <f t="shared" ca="1" si="368"/>
        <v>11133.3</v>
      </c>
    </row>
    <row r="9021" spans="1:6" ht="14.1" customHeight="1" x14ac:dyDescent="0.25">
      <c r="A9021" s="94" t="s">
        <v>16379</v>
      </c>
      <c r="B9021" s="82" t="str">
        <f t="shared" ca="1" si="369"/>
        <v>Jabones</v>
      </c>
      <c r="C9021" s="95" t="str">
        <f>IFERROR(VLOOKUP("UD",'Informacion '!P:Q,2,FALSE),"")</f>
        <v>Unidad</v>
      </c>
      <c r="D9021" s="94">
        <v>1246</v>
      </c>
      <c r="E9021" s="84">
        <v>21.84</v>
      </c>
      <c r="F9021" s="83">
        <f t="shared" ca="1" si="368"/>
        <v>27212.639999999999</v>
      </c>
    </row>
    <row r="9022" spans="1:6" ht="14.1" customHeight="1" x14ac:dyDescent="0.25">
      <c r="A9022" s="94" t="s">
        <v>16379</v>
      </c>
      <c r="B9022" s="82" t="str">
        <f t="shared" ca="1" si="369"/>
        <v>Jabones</v>
      </c>
      <c r="C9022" s="95" t="str">
        <f>IFERROR(VLOOKUP("UD",'Informacion '!P:Q,2,FALSE),"")</f>
        <v>Unidad</v>
      </c>
      <c r="D9022" s="94">
        <v>1180</v>
      </c>
      <c r="E9022" s="84">
        <v>21.84</v>
      </c>
      <c r="F9022" s="83">
        <f t="shared" ca="1" si="368"/>
        <v>25771.200000000001</v>
      </c>
    </row>
    <row r="9023" spans="1:6" ht="14.1" customHeight="1" x14ac:dyDescent="0.25">
      <c r="A9023" s="94" t="s">
        <v>16379</v>
      </c>
      <c r="B9023" s="82" t="str">
        <f t="shared" ca="1" si="369"/>
        <v>Jabones</v>
      </c>
      <c r="C9023" s="95" t="str">
        <f>IFERROR(VLOOKUP("UD",'Informacion '!P:Q,2,FALSE),"")</f>
        <v>Unidad</v>
      </c>
      <c r="D9023" s="94">
        <v>846</v>
      </c>
      <c r="E9023" s="84">
        <v>21.84</v>
      </c>
      <c r="F9023" s="83">
        <f t="shared" ca="1" si="368"/>
        <v>18476.64</v>
      </c>
    </row>
    <row r="9024" spans="1:6" ht="14.1" customHeight="1" x14ac:dyDescent="0.25">
      <c r="A9024" s="94" t="s">
        <v>16379</v>
      </c>
      <c r="B9024" s="82" t="str">
        <f t="shared" ca="1" si="369"/>
        <v>Jabones</v>
      </c>
      <c r="C9024" s="95" t="str">
        <f>IFERROR(VLOOKUP("UD",'Informacion '!P:Q,2,FALSE),"")</f>
        <v>Unidad</v>
      </c>
      <c r="D9024" s="94">
        <v>2211</v>
      </c>
      <c r="E9024" s="84">
        <v>21.84</v>
      </c>
      <c r="F9024" s="83">
        <f t="shared" ca="1" si="368"/>
        <v>48288.24</v>
      </c>
    </row>
    <row r="9025" spans="1:6" ht="14.1" customHeight="1" x14ac:dyDescent="0.25">
      <c r="A9025" s="94" t="s">
        <v>16379</v>
      </c>
      <c r="B9025" s="82" t="str">
        <f t="shared" ca="1" si="369"/>
        <v>Jabones</v>
      </c>
      <c r="C9025" s="95" t="str">
        <f>IFERROR(VLOOKUP("UD",'Informacion '!P:Q,2,FALSE),"")</f>
        <v>Unidad</v>
      </c>
      <c r="D9025" s="94">
        <v>950</v>
      </c>
      <c r="E9025" s="84">
        <v>21.84</v>
      </c>
      <c r="F9025" s="83">
        <f t="shared" ca="1" si="368"/>
        <v>20748</v>
      </c>
    </row>
    <row r="9026" spans="1:6" ht="14.1" customHeight="1" x14ac:dyDescent="0.25">
      <c r="A9026" s="94" t="s">
        <v>16379</v>
      </c>
      <c r="B9026" s="82" t="str">
        <f t="shared" ca="1" si="369"/>
        <v>Jabones</v>
      </c>
      <c r="C9026" s="95" t="str">
        <f>IFERROR(VLOOKUP("UD",'Informacion '!P:Q,2,FALSE),"")</f>
        <v>Unidad</v>
      </c>
      <c r="D9026" s="94">
        <v>1686</v>
      </c>
      <c r="E9026" s="84">
        <v>21.84</v>
      </c>
      <c r="F9026" s="83">
        <f t="shared" ca="1" si="368"/>
        <v>36822.239999999998</v>
      </c>
    </row>
    <row r="9027" spans="1:6" ht="14.1" customHeight="1" x14ac:dyDescent="0.25">
      <c r="A9027" s="94" t="s">
        <v>16379</v>
      </c>
      <c r="B9027" s="82" t="str">
        <f t="shared" ca="1" si="369"/>
        <v>Jabones</v>
      </c>
      <c r="C9027" s="95" t="str">
        <f>IFERROR(VLOOKUP("UD",'Informacion '!P:Q,2,FALSE),"")</f>
        <v>Unidad</v>
      </c>
      <c r="D9027" s="94">
        <v>2696</v>
      </c>
      <c r="E9027" s="84">
        <v>21.84</v>
      </c>
      <c r="F9027" s="83">
        <f t="shared" ca="1" si="368"/>
        <v>58880.639999999999</v>
      </c>
    </row>
    <row r="9028" spans="1:6" ht="14.1" customHeight="1" x14ac:dyDescent="0.25">
      <c r="A9028" s="94" t="s">
        <v>16379</v>
      </c>
      <c r="B9028" s="82" t="str">
        <f t="shared" ca="1" si="369"/>
        <v>Jabones</v>
      </c>
      <c r="C9028" s="95" t="str">
        <f>IFERROR(VLOOKUP("UD",'Informacion '!P:Q,2,FALSE),"")</f>
        <v>Unidad</v>
      </c>
      <c r="D9028" s="94">
        <v>636</v>
      </c>
      <c r="E9028" s="84">
        <v>21.84</v>
      </c>
      <c r="F9028" s="83">
        <f t="shared" ca="1" si="368"/>
        <v>13890.24</v>
      </c>
    </row>
    <row r="9029" spans="1:6" ht="14.1" customHeight="1" x14ac:dyDescent="0.25">
      <c r="A9029" s="94" t="s">
        <v>16379</v>
      </c>
      <c r="B9029" s="82" t="str">
        <f t="shared" ca="1" si="369"/>
        <v>Jabones</v>
      </c>
      <c r="C9029" s="95" t="str">
        <f>IFERROR(VLOOKUP("UD",'Informacion '!P:Q,2,FALSE),"")</f>
        <v>Unidad</v>
      </c>
      <c r="D9029" s="94">
        <v>1686</v>
      </c>
      <c r="E9029" s="84">
        <v>321.83999999999997</v>
      </c>
      <c r="F9029" s="83">
        <f t="shared" ca="1" si="368"/>
        <v>542622.24</v>
      </c>
    </row>
    <row r="9030" spans="1:6" ht="14.1" customHeight="1" x14ac:dyDescent="0.25">
      <c r="A9030" s="94" t="s">
        <v>16379</v>
      </c>
      <c r="B9030" s="82" t="str">
        <f t="shared" ca="1" si="369"/>
        <v>Jabones</v>
      </c>
      <c r="C9030" s="95" t="str">
        <f>IFERROR(VLOOKUP("UD",'Informacion '!P:Q,2,FALSE),"")</f>
        <v>Unidad</v>
      </c>
      <c r="D9030" s="94">
        <v>1853</v>
      </c>
      <c r="E9030" s="84">
        <v>21.84</v>
      </c>
      <c r="F9030" s="83">
        <f t="shared" ca="1" si="368"/>
        <v>40469.519999999997</v>
      </c>
    </row>
    <row r="9031" spans="1:6" ht="14.1" customHeight="1" x14ac:dyDescent="0.25">
      <c r="A9031" s="94" t="s">
        <v>16379</v>
      </c>
      <c r="B9031" s="82" t="str">
        <f t="shared" ca="1" si="369"/>
        <v>Jabones</v>
      </c>
      <c r="C9031" s="95" t="str">
        <f>IFERROR(VLOOKUP("UD",'Informacion '!P:Q,2,FALSE),"")</f>
        <v>Unidad</v>
      </c>
      <c r="D9031" s="94">
        <v>2021</v>
      </c>
      <c r="E9031" s="84">
        <v>21.84</v>
      </c>
      <c r="F9031" s="83">
        <f t="shared" ca="1" si="368"/>
        <v>44138.64</v>
      </c>
    </row>
    <row r="9032" spans="1:6" ht="14.1" customHeight="1" x14ac:dyDescent="0.25">
      <c r="A9032" s="94" t="s">
        <v>16379</v>
      </c>
      <c r="B9032" s="82" t="str">
        <f t="shared" ca="1" si="369"/>
        <v>Jabones</v>
      </c>
      <c r="C9032" s="95" t="str">
        <f>IFERROR(VLOOKUP("UD",'Informacion '!P:Q,2,FALSE),"")</f>
        <v>Unidad</v>
      </c>
      <c r="D9032" s="94">
        <v>14</v>
      </c>
      <c r="E9032" s="84">
        <v>484.73</v>
      </c>
      <c r="F9032" s="83">
        <f t="shared" ref="F9032:F9063" ca="1" si="370">INDIRECT(ADDRESS(ROW(),COLUMN()-2,4))*INDIRECT(ADDRESS(ROW(),COLUMN()-1,4))</f>
        <v>6786.22</v>
      </c>
    </row>
    <row r="9033" spans="1:6" ht="14.1" customHeight="1" x14ac:dyDescent="0.25">
      <c r="A9033" s="94" t="s">
        <v>16379</v>
      </c>
      <c r="B9033" s="82" t="str">
        <f t="shared" ca="1" si="369"/>
        <v>Jabones</v>
      </c>
      <c r="C9033" s="95" t="str">
        <f>IFERROR(VLOOKUP("UD",'Informacion '!P:Q,2,FALSE),"")</f>
        <v>Unidad</v>
      </c>
      <c r="D9033" s="94">
        <v>1011</v>
      </c>
      <c r="E9033" s="84">
        <v>21.84</v>
      </c>
      <c r="F9033" s="83">
        <f t="shared" ca="1" si="370"/>
        <v>22080.240000000002</v>
      </c>
    </row>
    <row r="9034" spans="1:6" ht="14.1" customHeight="1" x14ac:dyDescent="0.25">
      <c r="A9034" s="94" t="s">
        <v>16379</v>
      </c>
      <c r="B9034" s="82" t="str">
        <f t="shared" ca="1" si="369"/>
        <v>Jabones</v>
      </c>
      <c r="C9034" s="95" t="str">
        <f>IFERROR(VLOOKUP("UD",'Informacion '!P:Q,2,FALSE),"")</f>
        <v>Unidad</v>
      </c>
      <c r="D9034" s="94">
        <v>1266</v>
      </c>
      <c r="E9034" s="84">
        <v>65.5</v>
      </c>
      <c r="F9034" s="83">
        <f t="shared" ca="1" si="370"/>
        <v>82923</v>
      </c>
    </row>
    <row r="9035" spans="1:6" ht="14.1" customHeight="1" x14ac:dyDescent="0.25">
      <c r="A9035" s="94" t="s">
        <v>16379</v>
      </c>
      <c r="B9035" s="82" t="str">
        <f t="shared" ca="1" si="369"/>
        <v>Jabones</v>
      </c>
      <c r="C9035" s="95" t="str">
        <f>IFERROR(VLOOKUP("UD",'Informacion '!P:Q,2,FALSE),"")</f>
        <v>Unidad</v>
      </c>
      <c r="D9035" s="94">
        <v>550</v>
      </c>
      <c r="E9035" s="84">
        <v>75.23</v>
      </c>
      <c r="F9035" s="83">
        <f t="shared" ca="1" si="370"/>
        <v>41376.5</v>
      </c>
    </row>
    <row r="9036" spans="1:6" ht="14.1" customHeight="1" x14ac:dyDescent="0.25">
      <c r="A9036" s="94" t="s">
        <v>16379</v>
      </c>
      <c r="B9036" s="82" t="str">
        <f t="shared" ca="1" si="369"/>
        <v>Jabones</v>
      </c>
      <c r="C9036" s="95" t="str">
        <f>IFERROR(VLOOKUP("UD",'Informacion '!P:Q,2,FALSE),"")</f>
        <v>Unidad</v>
      </c>
      <c r="D9036" s="94">
        <v>320</v>
      </c>
      <c r="E9036" s="84">
        <v>21.67</v>
      </c>
      <c r="F9036" s="83">
        <f t="shared" ca="1" si="370"/>
        <v>6934.4000000000005</v>
      </c>
    </row>
    <row r="9037" spans="1:6" ht="14.1" customHeight="1" x14ac:dyDescent="0.25">
      <c r="A9037" s="94" t="s">
        <v>16379</v>
      </c>
      <c r="B9037" s="82" t="str">
        <f t="shared" ca="1" si="369"/>
        <v>Jabones</v>
      </c>
      <c r="C9037" s="95" t="str">
        <f>IFERROR(VLOOKUP("UD",'Informacion '!P:Q,2,FALSE),"")</f>
        <v>Unidad</v>
      </c>
      <c r="D9037" s="94">
        <v>510</v>
      </c>
      <c r="E9037" s="84">
        <v>19.75</v>
      </c>
      <c r="F9037" s="83">
        <f t="shared" ca="1" si="370"/>
        <v>10072.5</v>
      </c>
    </row>
    <row r="9038" spans="1:6" ht="14.1" customHeight="1" x14ac:dyDescent="0.25">
      <c r="A9038" s="94" t="s">
        <v>16379</v>
      </c>
      <c r="B9038" s="82" t="str">
        <f t="shared" ca="1" si="369"/>
        <v>Jabones</v>
      </c>
      <c r="C9038" s="95" t="str">
        <f>IFERROR(VLOOKUP("UD",'Informacion '!P:Q,2,FALSE),"")</f>
        <v>Unidad</v>
      </c>
      <c r="D9038" s="94">
        <v>1180</v>
      </c>
      <c r="E9038" s="84">
        <v>21.84</v>
      </c>
      <c r="F9038" s="83">
        <f t="shared" ca="1" si="370"/>
        <v>25771.200000000001</v>
      </c>
    </row>
    <row r="9039" spans="1:6" ht="14.1" customHeight="1" x14ac:dyDescent="0.25">
      <c r="A9039" s="94" t="s">
        <v>16379</v>
      </c>
      <c r="B9039" s="82" t="str">
        <f t="shared" ca="1" si="369"/>
        <v>Jabones</v>
      </c>
      <c r="C9039" s="95" t="str">
        <f>IFERROR(VLOOKUP("UD",'Informacion '!P:Q,2,FALSE),"")</f>
        <v>Unidad</v>
      </c>
      <c r="D9039" s="94">
        <v>1686</v>
      </c>
      <c r="E9039" s="84">
        <v>21.84</v>
      </c>
      <c r="F9039" s="83">
        <f t="shared" ca="1" si="370"/>
        <v>36822.239999999998</v>
      </c>
    </row>
    <row r="9040" spans="1:6" ht="14.1" customHeight="1" x14ac:dyDescent="0.25">
      <c r="A9040" s="94" t="s">
        <v>16379</v>
      </c>
      <c r="B9040" s="82" t="str">
        <f t="shared" ca="1" si="369"/>
        <v>Jabones</v>
      </c>
      <c r="C9040" s="95" t="str">
        <f>IFERROR(VLOOKUP("UD",'Informacion '!P:Q,2,FALSE),"")</f>
        <v>Unidad</v>
      </c>
      <c r="D9040" s="94">
        <v>1686</v>
      </c>
      <c r="E9040" s="84">
        <v>21.84</v>
      </c>
      <c r="F9040" s="83">
        <f t="shared" ca="1" si="370"/>
        <v>36822.239999999998</v>
      </c>
    </row>
    <row r="9041" spans="1:6" ht="14.1" customHeight="1" x14ac:dyDescent="0.25">
      <c r="A9041" s="94" t="s">
        <v>16379</v>
      </c>
      <c r="B9041" s="82" t="str">
        <f t="shared" ca="1" si="369"/>
        <v>Jabones</v>
      </c>
      <c r="C9041" s="95" t="str">
        <f>IFERROR(VLOOKUP("UD",'Informacion '!P:Q,2,FALSE),"")</f>
        <v>Unidad</v>
      </c>
      <c r="D9041" s="94">
        <v>1686</v>
      </c>
      <c r="E9041" s="84">
        <v>21.84</v>
      </c>
      <c r="F9041" s="83">
        <f t="shared" ca="1" si="370"/>
        <v>36822.239999999998</v>
      </c>
    </row>
    <row r="9042" spans="1:6" ht="14.1" customHeight="1" x14ac:dyDescent="0.25">
      <c r="A9042" s="94" t="s">
        <v>16379</v>
      </c>
      <c r="B9042" s="82" t="str">
        <f t="shared" ca="1" si="369"/>
        <v>Jabones</v>
      </c>
      <c r="C9042" s="95" t="str">
        <f>IFERROR(VLOOKUP("UD",'Informacion '!P:Q,2,FALSE),"")</f>
        <v>Unidad</v>
      </c>
      <c r="D9042" s="94">
        <v>1350</v>
      </c>
      <c r="E9042" s="84">
        <v>21.84</v>
      </c>
      <c r="F9042" s="83">
        <f t="shared" ca="1" si="370"/>
        <v>29484</v>
      </c>
    </row>
    <row r="9043" spans="1:6" ht="14.1" customHeight="1" x14ac:dyDescent="0.25">
      <c r="A9043" s="94" t="s">
        <v>16379</v>
      </c>
      <c r="B9043" s="82" t="str">
        <f t="shared" ca="1" si="369"/>
        <v>Jabones</v>
      </c>
      <c r="C9043" s="95" t="str">
        <f>IFERROR(VLOOKUP("UD",'Informacion '!P:Q,2,FALSE),"")</f>
        <v>Unidad</v>
      </c>
      <c r="D9043" s="94">
        <v>2191</v>
      </c>
      <c r="E9043" s="84">
        <v>21.84</v>
      </c>
      <c r="F9043" s="83">
        <f t="shared" ca="1" si="370"/>
        <v>47851.44</v>
      </c>
    </row>
    <row r="9044" spans="1:6" ht="14.1" customHeight="1" x14ac:dyDescent="0.25">
      <c r="A9044" s="94" t="s">
        <v>16379</v>
      </c>
      <c r="B9044" s="82" t="str">
        <f t="shared" ca="1" si="369"/>
        <v>Jabones</v>
      </c>
      <c r="C9044" s="95" t="str">
        <f>IFERROR(VLOOKUP("UD",'Informacion '!P:Q,2,FALSE),"")</f>
        <v>Unidad</v>
      </c>
      <c r="D9044" s="94">
        <v>1160</v>
      </c>
      <c r="E9044" s="84">
        <v>167.78</v>
      </c>
      <c r="F9044" s="83">
        <f t="shared" ca="1" si="370"/>
        <v>194624.8</v>
      </c>
    </row>
    <row r="9045" spans="1:6" ht="14.1" customHeight="1" x14ac:dyDescent="0.25">
      <c r="A9045" s="94" t="s">
        <v>16379</v>
      </c>
      <c r="B9045" s="82" t="str">
        <f t="shared" ca="1" si="369"/>
        <v>Jabones</v>
      </c>
      <c r="C9045" s="95" t="str">
        <f>IFERROR(VLOOKUP("UD",'Informacion '!P:Q,2,FALSE),"")</f>
        <v>Unidad</v>
      </c>
      <c r="D9045" s="94">
        <v>530</v>
      </c>
      <c r="E9045" s="84">
        <v>248.07</v>
      </c>
      <c r="F9045" s="83">
        <f t="shared" ca="1" si="370"/>
        <v>131477.1</v>
      </c>
    </row>
    <row r="9046" spans="1:6" ht="14.1" customHeight="1" x14ac:dyDescent="0.25">
      <c r="A9046" s="94" t="s">
        <v>16379</v>
      </c>
      <c r="B9046" s="82" t="str">
        <f t="shared" ca="1" si="369"/>
        <v>Jabones</v>
      </c>
      <c r="C9046" s="95" t="str">
        <f>IFERROR(VLOOKUP("UD",'Informacion '!P:Q,2,FALSE),"")</f>
        <v>Unidad</v>
      </c>
      <c r="D9046" s="94">
        <v>740</v>
      </c>
      <c r="E9046" s="84">
        <v>252</v>
      </c>
      <c r="F9046" s="83">
        <f t="shared" ca="1" si="370"/>
        <v>186480</v>
      </c>
    </row>
    <row r="9047" spans="1:6" ht="14.1" customHeight="1" x14ac:dyDescent="0.25">
      <c r="A9047" s="94" t="s">
        <v>16379</v>
      </c>
      <c r="B9047" s="82" t="str">
        <f t="shared" ca="1" si="369"/>
        <v>Jabones</v>
      </c>
      <c r="C9047" s="95" t="str">
        <f>IFERROR(VLOOKUP("UD",'Informacion '!P:Q,2,FALSE),"")</f>
        <v>Unidad</v>
      </c>
      <c r="D9047" s="94">
        <v>950</v>
      </c>
      <c r="E9047" s="84">
        <v>114.82</v>
      </c>
      <c r="F9047" s="83">
        <f t="shared" ca="1" si="370"/>
        <v>109079</v>
      </c>
    </row>
    <row r="9048" spans="1:6" ht="14.1" customHeight="1" x14ac:dyDescent="0.25">
      <c r="A9048" s="94" t="s">
        <v>16379</v>
      </c>
      <c r="B9048" s="82" t="str">
        <f t="shared" ref="B9048:B9079" ca="1" si="371">IFERROR(INDEX(UNSPSCDes,MATCH(INDIRECT(ADDRESS(ROW(),COLUMN()-1,4)),UNSPSCCode,0)),IF(INDIRECT(ADDRESS(ROW(),COLUMN()-1,4))="53131608","Jabones",""))</f>
        <v>Jabones</v>
      </c>
      <c r="C9048" s="95" t="str">
        <f>IFERROR(VLOOKUP("UD",'Informacion '!P:Q,2,FALSE),"")</f>
        <v>Unidad</v>
      </c>
      <c r="D9048" s="94">
        <v>1425</v>
      </c>
      <c r="E9048" s="84">
        <v>247.37</v>
      </c>
      <c r="F9048" s="83">
        <f t="shared" ca="1" si="370"/>
        <v>352502.25</v>
      </c>
    </row>
    <row r="9049" spans="1:6" ht="14.1" customHeight="1" x14ac:dyDescent="0.25">
      <c r="A9049" s="94" t="s">
        <v>16379</v>
      </c>
      <c r="B9049" s="82" t="str">
        <f t="shared" ca="1" si="371"/>
        <v>Jabones</v>
      </c>
      <c r="C9049" s="95" t="str">
        <f>IFERROR(VLOOKUP("UD",'Informacion '!P:Q,2,FALSE),"")</f>
        <v>Unidad</v>
      </c>
      <c r="D9049" s="94">
        <v>1056</v>
      </c>
      <c r="E9049" s="84">
        <v>248</v>
      </c>
      <c r="F9049" s="83">
        <f t="shared" ca="1" si="370"/>
        <v>261888</v>
      </c>
    </row>
    <row r="9050" spans="1:6" ht="14.1" customHeight="1" x14ac:dyDescent="0.25">
      <c r="A9050" s="94" t="s">
        <v>16379</v>
      </c>
      <c r="B9050" s="82" t="str">
        <f t="shared" ca="1" si="371"/>
        <v>Jabones</v>
      </c>
      <c r="C9050" s="95" t="str">
        <f>IFERROR(VLOOKUP("UD",'Informacion '!P:Q,2,FALSE),"")</f>
        <v>Unidad</v>
      </c>
      <c r="D9050" s="94">
        <v>846</v>
      </c>
      <c r="E9050" s="84">
        <v>245.5</v>
      </c>
      <c r="F9050" s="83">
        <f t="shared" ca="1" si="370"/>
        <v>207693</v>
      </c>
    </row>
    <row r="9051" spans="1:6" ht="14.1" customHeight="1" x14ac:dyDescent="0.25">
      <c r="A9051" s="94" t="s">
        <v>16379</v>
      </c>
      <c r="B9051" s="82" t="str">
        <f t="shared" ca="1" si="371"/>
        <v>Jabones</v>
      </c>
      <c r="C9051" s="95" t="str">
        <f>IFERROR(VLOOKUP("UD",'Informacion '!P:Q,2,FALSE),"")</f>
        <v>Unidad</v>
      </c>
      <c r="D9051" s="94">
        <v>2633</v>
      </c>
      <c r="E9051" s="84">
        <v>223.74</v>
      </c>
      <c r="F9051" s="83">
        <f t="shared" ca="1" si="370"/>
        <v>589107.42000000004</v>
      </c>
    </row>
    <row r="9052" spans="1:6" ht="14.1" customHeight="1" x14ac:dyDescent="0.25">
      <c r="A9052" s="94" t="s">
        <v>16379</v>
      </c>
      <c r="B9052" s="82" t="str">
        <f t="shared" ca="1" si="371"/>
        <v>Jabones</v>
      </c>
      <c r="C9052" s="95" t="str">
        <f>IFERROR(VLOOKUP("UD",'Informacion '!P:Q,2,FALSE),"")</f>
        <v>Unidad</v>
      </c>
      <c r="D9052" s="94">
        <v>792</v>
      </c>
      <c r="E9052" s="84">
        <v>162.1</v>
      </c>
      <c r="F9052" s="83">
        <f t="shared" ca="1" si="370"/>
        <v>128383.2</v>
      </c>
    </row>
    <row r="9053" spans="1:6" ht="14.1" customHeight="1" x14ac:dyDescent="0.25">
      <c r="A9053" s="94" t="s">
        <v>16379</v>
      </c>
      <c r="B9053" s="82" t="str">
        <f t="shared" ca="1" si="371"/>
        <v>Jabones</v>
      </c>
      <c r="C9053" s="95" t="str">
        <f>IFERROR(VLOOKUP("UD",'Informacion '!P:Q,2,FALSE),"")</f>
        <v>Unidad</v>
      </c>
      <c r="D9053" s="94">
        <v>688</v>
      </c>
      <c r="E9053" s="84">
        <v>148.16999999999999</v>
      </c>
      <c r="F9053" s="83">
        <f t="shared" ca="1" si="370"/>
        <v>101940.95999999999</v>
      </c>
    </row>
    <row r="9054" spans="1:6" ht="14.1" customHeight="1" x14ac:dyDescent="0.25">
      <c r="A9054" s="94" t="s">
        <v>16379</v>
      </c>
      <c r="B9054" s="82" t="str">
        <f t="shared" ca="1" si="371"/>
        <v>Jabones</v>
      </c>
      <c r="C9054" s="95" t="str">
        <f>IFERROR(VLOOKUP("UD",'Informacion '!P:Q,2,FALSE),"")</f>
        <v>Unidad</v>
      </c>
      <c r="D9054" s="94">
        <v>478</v>
      </c>
      <c r="E9054" s="84">
        <v>121.2</v>
      </c>
      <c r="F9054" s="83">
        <f t="shared" ca="1" si="370"/>
        <v>57933.599999999999</v>
      </c>
    </row>
    <row r="9055" spans="1:6" ht="14.1" customHeight="1" x14ac:dyDescent="0.25">
      <c r="A9055" s="94" t="s">
        <v>16379</v>
      </c>
      <c r="B9055" s="82" t="str">
        <f t="shared" ca="1" si="371"/>
        <v>Jabones</v>
      </c>
      <c r="C9055" s="95" t="str">
        <f>IFERROR(VLOOKUP("UD",'Informacion '!P:Q,2,FALSE),"")</f>
        <v>Unidad</v>
      </c>
      <c r="D9055" s="94">
        <v>8862</v>
      </c>
      <c r="E9055" s="84">
        <v>129.32</v>
      </c>
      <c r="F9055" s="83">
        <f t="shared" ca="1" si="370"/>
        <v>1146033.8399999999</v>
      </c>
    </row>
    <row r="9056" spans="1:6" ht="14.1" customHeight="1" x14ac:dyDescent="0.25">
      <c r="A9056" s="94" t="s">
        <v>16379</v>
      </c>
      <c r="B9056" s="82" t="str">
        <f t="shared" ca="1" si="371"/>
        <v>Jabones</v>
      </c>
      <c r="C9056" s="95" t="str">
        <f>IFERROR(VLOOKUP("UD",'Informacion '!P:Q,2,FALSE),"")</f>
        <v>Unidad</v>
      </c>
      <c r="D9056" s="94">
        <v>9020</v>
      </c>
      <c r="E9056" s="84">
        <v>247.97</v>
      </c>
      <c r="F9056" s="83">
        <f t="shared" ca="1" si="370"/>
        <v>2236689.4</v>
      </c>
    </row>
    <row r="9057" spans="1:6" ht="14.1" customHeight="1" x14ac:dyDescent="0.25">
      <c r="A9057" s="94" t="s">
        <v>16379</v>
      </c>
      <c r="B9057" s="82" t="str">
        <f t="shared" ca="1" si="371"/>
        <v>Jabones</v>
      </c>
      <c r="C9057" s="95" t="str">
        <f>IFERROR(VLOOKUP("UD",'Informacion '!P:Q,2,FALSE),"")</f>
        <v>Unidad</v>
      </c>
      <c r="D9057" s="94">
        <v>8410</v>
      </c>
      <c r="E9057" s="84">
        <v>131.07</v>
      </c>
      <c r="F9057" s="83">
        <f t="shared" ca="1" si="370"/>
        <v>1102298.7</v>
      </c>
    </row>
    <row r="9058" spans="1:6" ht="14.1" customHeight="1" x14ac:dyDescent="0.25">
      <c r="A9058" s="94" t="s">
        <v>16379</v>
      </c>
      <c r="B9058" s="82" t="str">
        <f t="shared" ca="1" si="371"/>
        <v>Jabones</v>
      </c>
      <c r="C9058" s="95" t="str">
        <f>IFERROR(VLOOKUP("UD",'Informacion '!P:Q,2,FALSE),"")</f>
        <v>Unidad</v>
      </c>
      <c r="D9058" s="94">
        <v>878</v>
      </c>
      <c r="E9058" s="84">
        <v>121.2</v>
      </c>
      <c r="F9058" s="83">
        <f t="shared" ca="1" si="370"/>
        <v>106413.6</v>
      </c>
    </row>
    <row r="9059" spans="1:6" ht="14.1" customHeight="1" x14ac:dyDescent="0.25">
      <c r="A9059" s="94" t="s">
        <v>16379</v>
      </c>
      <c r="B9059" s="82" t="str">
        <f t="shared" ca="1" si="371"/>
        <v>Jabones</v>
      </c>
      <c r="C9059" s="95" t="str">
        <f>IFERROR(VLOOKUP("UD",'Informacion '!P:Q,2,FALSE),"")</f>
        <v>Unidad</v>
      </c>
      <c r="D9059" s="94">
        <v>426</v>
      </c>
      <c r="E9059" s="84">
        <v>121.2</v>
      </c>
      <c r="F9059" s="83">
        <f t="shared" ca="1" si="370"/>
        <v>51631.200000000004</v>
      </c>
    </row>
    <row r="9060" spans="1:6" ht="14.1" customHeight="1" x14ac:dyDescent="0.25">
      <c r="A9060" s="94" t="s">
        <v>16379</v>
      </c>
      <c r="B9060" s="82" t="str">
        <f t="shared" ca="1" si="371"/>
        <v>Jabones</v>
      </c>
      <c r="C9060" s="95" t="str">
        <f>IFERROR(VLOOKUP("UD",'Informacion '!P:Q,2,FALSE),"")</f>
        <v>Unidad</v>
      </c>
      <c r="D9060" s="94">
        <v>530</v>
      </c>
      <c r="E9060" s="84">
        <v>122.17</v>
      </c>
      <c r="F9060" s="83">
        <f t="shared" ca="1" si="370"/>
        <v>64750.1</v>
      </c>
    </row>
    <row r="9061" spans="1:6" ht="14.1" customHeight="1" x14ac:dyDescent="0.25">
      <c r="A9061" s="94" t="s">
        <v>16379</v>
      </c>
      <c r="B9061" s="82" t="str">
        <f t="shared" ca="1" si="371"/>
        <v>Jabones</v>
      </c>
      <c r="C9061" s="95" t="str">
        <f>IFERROR(VLOOKUP("UD",'Informacion '!P:Q,2,FALSE),"")</f>
        <v>Unidad</v>
      </c>
      <c r="D9061" s="94">
        <v>1635</v>
      </c>
      <c r="E9061" s="84">
        <v>224.15</v>
      </c>
      <c r="F9061" s="83">
        <f t="shared" ca="1" si="370"/>
        <v>366485.25</v>
      </c>
    </row>
    <row r="9062" spans="1:6" ht="14.1" customHeight="1" x14ac:dyDescent="0.25">
      <c r="A9062" s="94" t="s">
        <v>16379</v>
      </c>
      <c r="B9062" s="82" t="str">
        <f t="shared" ca="1" si="371"/>
        <v>Jabones</v>
      </c>
      <c r="C9062" s="95" t="str">
        <f>IFERROR(VLOOKUP("UD",'Informacion '!P:Q,2,FALSE),"")</f>
        <v>Unidad</v>
      </c>
      <c r="D9062" s="94">
        <v>2898</v>
      </c>
      <c r="E9062" s="84">
        <v>206.29</v>
      </c>
      <c r="F9062" s="83">
        <f t="shared" ca="1" si="370"/>
        <v>597828.41999999993</v>
      </c>
    </row>
    <row r="9063" spans="1:6" ht="14.1" customHeight="1" x14ac:dyDescent="0.25">
      <c r="A9063" s="94" t="s">
        <v>16379</v>
      </c>
      <c r="B9063" s="82" t="str">
        <f t="shared" ca="1" si="371"/>
        <v>Jabones</v>
      </c>
      <c r="C9063" s="95" t="str">
        <f>IFERROR(VLOOKUP("UD",'Informacion '!P:Q,2,FALSE),"")</f>
        <v>Unidad</v>
      </c>
      <c r="D9063" s="94">
        <v>67891</v>
      </c>
      <c r="E9063" s="84">
        <v>11.52</v>
      </c>
      <c r="F9063" s="83">
        <f t="shared" ca="1" si="370"/>
        <v>782104.32</v>
      </c>
    </row>
    <row r="9064" spans="1:6" ht="14.1" customHeight="1" x14ac:dyDescent="0.25">
      <c r="A9064" s="94" t="s">
        <v>16379</v>
      </c>
      <c r="B9064" s="82" t="str">
        <f t="shared" ca="1" si="371"/>
        <v>Jabones</v>
      </c>
      <c r="C9064" s="95" t="str">
        <f>IFERROR(VLOOKUP("UD",'Informacion '!P:Q,2,FALSE),"")</f>
        <v>Unidad</v>
      </c>
      <c r="D9064" s="94">
        <v>2579</v>
      </c>
      <c r="E9064" s="84">
        <v>103.27</v>
      </c>
      <c r="F9064" s="83">
        <f t="shared" ref="F9064:F9091" ca="1" si="372">INDIRECT(ADDRESS(ROW(),COLUMN()-2,4))*INDIRECT(ADDRESS(ROW(),COLUMN()-1,4))</f>
        <v>266333.33</v>
      </c>
    </row>
    <row r="9065" spans="1:6" ht="14.1" customHeight="1" x14ac:dyDescent="0.25">
      <c r="A9065" s="94" t="s">
        <v>16379</v>
      </c>
      <c r="B9065" s="82" t="str">
        <f t="shared" ca="1" si="371"/>
        <v>Jabones</v>
      </c>
      <c r="C9065" s="95" t="str">
        <f>IFERROR(VLOOKUP("UD",'Informacion '!P:Q,2,FALSE),"")</f>
        <v>Unidad</v>
      </c>
      <c r="D9065" s="94">
        <v>2265</v>
      </c>
      <c r="E9065" s="84">
        <v>103.56</v>
      </c>
      <c r="F9065" s="83">
        <f t="shared" ca="1" si="372"/>
        <v>234563.4</v>
      </c>
    </row>
    <row r="9066" spans="1:6" ht="14.1" customHeight="1" x14ac:dyDescent="0.25">
      <c r="A9066" s="94" t="s">
        <v>16379</v>
      </c>
      <c r="B9066" s="82" t="str">
        <f t="shared" ca="1" si="371"/>
        <v>Jabones</v>
      </c>
      <c r="C9066" s="95" t="str">
        <f>IFERROR(VLOOKUP("UD",'Informacion '!P:Q,2,FALSE),"")</f>
        <v>Unidad</v>
      </c>
      <c r="D9066" s="94">
        <v>3528</v>
      </c>
      <c r="E9066" s="84">
        <v>119.31</v>
      </c>
      <c r="F9066" s="83">
        <f t="shared" ca="1" si="372"/>
        <v>420925.68</v>
      </c>
    </row>
    <row r="9067" spans="1:6" ht="14.1" customHeight="1" x14ac:dyDescent="0.25">
      <c r="A9067" s="94" t="s">
        <v>16379</v>
      </c>
      <c r="B9067" s="82" t="str">
        <f t="shared" ca="1" si="371"/>
        <v>Jabones</v>
      </c>
      <c r="C9067" s="95" t="str">
        <f>IFERROR(VLOOKUP("UD",'Informacion '!P:Q,2,FALSE),"")</f>
        <v>Unidad</v>
      </c>
      <c r="D9067" s="94">
        <v>426</v>
      </c>
      <c r="E9067" s="84">
        <v>126.48</v>
      </c>
      <c r="F9067" s="83">
        <f t="shared" ca="1" si="372"/>
        <v>53880.480000000003</v>
      </c>
    </row>
    <row r="9068" spans="1:6" ht="14.1" customHeight="1" x14ac:dyDescent="0.25">
      <c r="A9068" s="94" t="s">
        <v>16379</v>
      </c>
      <c r="B9068" s="82" t="str">
        <f t="shared" ca="1" si="371"/>
        <v>Jabones</v>
      </c>
      <c r="C9068" s="95" t="str">
        <f>IFERROR(VLOOKUP("UD",'Informacion '!P:Q,2,FALSE),"")</f>
        <v>Unidad</v>
      </c>
      <c r="D9068" s="94">
        <v>530</v>
      </c>
      <c r="E9068" s="84">
        <v>156.29</v>
      </c>
      <c r="F9068" s="83">
        <f t="shared" ca="1" si="372"/>
        <v>82833.7</v>
      </c>
    </row>
    <row r="9069" spans="1:6" ht="14.1" customHeight="1" x14ac:dyDescent="0.25">
      <c r="A9069" s="94" t="s">
        <v>16379</v>
      </c>
      <c r="B9069" s="82" t="str">
        <f t="shared" ca="1" si="371"/>
        <v>Jabones</v>
      </c>
      <c r="C9069" s="95" t="str">
        <f>IFERROR(VLOOKUP("UD",'Informacion '!P:Q,2,FALSE),"")</f>
        <v>Unidad</v>
      </c>
      <c r="D9069" s="94">
        <v>478</v>
      </c>
      <c r="E9069" s="84">
        <v>186.03</v>
      </c>
      <c r="F9069" s="83">
        <f t="shared" ca="1" si="372"/>
        <v>88922.34</v>
      </c>
    </row>
    <row r="9070" spans="1:6" ht="14.1" customHeight="1" x14ac:dyDescent="0.25">
      <c r="A9070" s="94" t="s">
        <v>16379</v>
      </c>
      <c r="B9070" s="82" t="str">
        <f t="shared" ca="1" si="371"/>
        <v>Jabones</v>
      </c>
      <c r="C9070" s="95" t="str">
        <f>IFERROR(VLOOKUP("UD",'Informacion '!P:Q,2,FALSE),"")</f>
        <v>Unidad</v>
      </c>
      <c r="D9070" s="94">
        <v>3997</v>
      </c>
      <c r="E9070" s="84">
        <v>104.93</v>
      </c>
      <c r="F9070" s="83">
        <f t="shared" ca="1" si="372"/>
        <v>419405.21</v>
      </c>
    </row>
    <row r="9071" spans="1:6" ht="14.1" customHeight="1" x14ac:dyDescent="0.25">
      <c r="A9071" s="94" t="s">
        <v>16379</v>
      </c>
      <c r="B9071" s="82" t="str">
        <f t="shared" ca="1" si="371"/>
        <v>Jabones</v>
      </c>
      <c r="C9071" s="95" t="str">
        <f>IFERROR(VLOOKUP("UD",'Informacion '!P:Q,2,FALSE),"")</f>
        <v>Unidad</v>
      </c>
      <c r="D9071" s="94">
        <v>50</v>
      </c>
      <c r="E9071" s="84">
        <v>283.54000000000002</v>
      </c>
      <c r="F9071" s="83">
        <f t="shared" ca="1" si="372"/>
        <v>14177.000000000002</v>
      </c>
    </row>
    <row r="9072" spans="1:6" ht="14.1" customHeight="1" x14ac:dyDescent="0.25">
      <c r="A9072" s="94" t="s">
        <v>16379</v>
      </c>
      <c r="B9072" s="82" t="str">
        <f t="shared" ca="1" si="371"/>
        <v>Jabones</v>
      </c>
      <c r="C9072" s="95" t="str">
        <f>IFERROR(VLOOKUP("UD",'Informacion '!P:Q,2,FALSE),"")</f>
        <v>Unidad</v>
      </c>
      <c r="D9072" s="94">
        <v>18</v>
      </c>
      <c r="E9072" s="84">
        <v>920.4</v>
      </c>
      <c r="F9072" s="83">
        <f t="shared" ca="1" si="372"/>
        <v>16567.2</v>
      </c>
    </row>
    <row r="9073" spans="1:6" ht="14.1" customHeight="1" x14ac:dyDescent="0.25">
      <c r="A9073" s="94" t="s">
        <v>16379</v>
      </c>
      <c r="B9073" s="82" t="str">
        <f t="shared" ca="1" si="371"/>
        <v>Jabones</v>
      </c>
      <c r="C9073" s="95" t="str">
        <f>IFERROR(VLOOKUP("UD",'Informacion '!P:Q,2,FALSE),"")</f>
        <v>Unidad</v>
      </c>
      <c r="D9073" s="94">
        <v>14</v>
      </c>
      <c r="E9073" s="84">
        <v>4204.3599999999997</v>
      </c>
      <c r="F9073" s="83">
        <f t="shared" ca="1" si="372"/>
        <v>58861.039999999994</v>
      </c>
    </row>
    <row r="9074" spans="1:6" ht="14.1" customHeight="1" x14ac:dyDescent="0.25">
      <c r="A9074" s="94" t="s">
        <v>16379</v>
      </c>
      <c r="B9074" s="82" t="str">
        <f t="shared" ca="1" si="371"/>
        <v>Jabones</v>
      </c>
      <c r="C9074" s="95" t="str">
        <f>IFERROR(VLOOKUP("UD",'Informacion '!P:Q,2,FALSE),"")</f>
        <v>Unidad</v>
      </c>
      <c r="D9074" s="94">
        <v>14</v>
      </c>
      <c r="E9074" s="84">
        <v>3854.83</v>
      </c>
      <c r="F9074" s="83">
        <f t="shared" ca="1" si="372"/>
        <v>53967.619999999995</v>
      </c>
    </row>
    <row r="9075" spans="1:6" ht="14.1" customHeight="1" x14ac:dyDescent="0.25">
      <c r="A9075" s="94" t="s">
        <v>16379</v>
      </c>
      <c r="B9075" s="82" t="str">
        <f t="shared" ca="1" si="371"/>
        <v>Jabones</v>
      </c>
      <c r="C9075" s="95" t="str">
        <f>IFERROR(VLOOKUP("UD",'Informacion '!P:Q,2,FALSE),"")</f>
        <v>Unidad</v>
      </c>
      <c r="D9075" s="94">
        <v>14</v>
      </c>
      <c r="E9075" s="84">
        <v>973.35</v>
      </c>
      <c r="F9075" s="83">
        <f t="shared" ca="1" si="372"/>
        <v>13626.9</v>
      </c>
    </row>
    <row r="9076" spans="1:6" ht="14.1" customHeight="1" x14ac:dyDescent="0.25">
      <c r="A9076" s="94" t="s">
        <v>16379</v>
      </c>
      <c r="B9076" s="82" t="str">
        <f t="shared" ca="1" si="371"/>
        <v>Jabones</v>
      </c>
      <c r="C9076" s="95" t="str">
        <f>IFERROR(VLOOKUP("UD",'Informacion '!P:Q,2,FALSE),"")</f>
        <v>Unidad</v>
      </c>
      <c r="D9076" s="94">
        <v>70</v>
      </c>
      <c r="E9076" s="84">
        <v>5288.28</v>
      </c>
      <c r="F9076" s="83">
        <f t="shared" ca="1" si="372"/>
        <v>370179.6</v>
      </c>
    </row>
    <row r="9077" spans="1:6" ht="14.1" customHeight="1" x14ac:dyDescent="0.25">
      <c r="A9077" s="94" t="s">
        <v>16379</v>
      </c>
      <c r="B9077" s="82" t="str">
        <f t="shared" ca="1" si="371"/>
        <v>Jabones</v>
      </c>
      <c r="C9077" s="95" t="str">
        <f>IFERROR(VLOOKUP("UD",'Informacion '!P:Q,2,FALSE),"")</f>
        <v>Unidad</v>
      </c>
      <c r="D9077" s="94">
        <v>10</v>
      </c>
      <c r="E9077" s="84">
        <v>3371</v>
      </c>
      <c r="F9077" s="83">
        <f t="shared" ca="1" si="372"/>
        <v>33710</v>
      </c>
    </row>
    <row r="9078" spans="1:6" ht="14.1" customHeight="1" x14ac:dyDescent="0.25">
      <c r="A9078" s="94" t="s">
        <v>16379</v>
      </c>
      <c r="B9078" s="82" t="str">
        <f t="shared" ca="1" si="371"/>
        <v>Jabones</v>
      </c>
      <c r="C9078" s="95" t="str">
        <f>IFERROR(VLOOKUP("UD",'Informacion '!P:Q,2,FALSE),"")</f>
        <v>Unidad</v>
      </c>
      <c r="D9078" s="94">
        <v>10</v>
      </c>
      <c r="E9078" s="84">
        <v>4161.5600000000004</v>
      </c>
      <c r="F9078" s="83">
        <f t="shared" ca="1" si="372"/>
        <v>41615.600000000006</v>
      </c>
    </row>
    <row r="9079" spans="1:6" ht="14.1" customHeight="1" x14ac:dyDescent="0.25">
      <c r="A9079" s="94" t="s">
        <v>16379</v>
      </c>
      <c r="B9079" s="82" t="str">
        <f t="shared" ca="1" si="371"/>
        <v>Jabones</v>
      </c>
      <c r="C9079" s="95" t="str">
        <f>IFERROR(VLOOKUP("UD",'Informacion '!P:Q,2,FALSE),"")</f>
        <v>Unidad</v>
      </c>
      <c r="D9079" s="94">
        <v>86</v>
      </c>
      <c r="E9079" s="84">
        <v>38.659999999999997</v>
      </c>
      <c r="F9079" s="83">
        <f t="shared" ca="1" si="372"/>
        <v>3324.7599999999998</v>
      </c>
    </row>
    <row r="9080" spans="1:6" ht="14.1" customHeight="1" x14ac:dyDescent="0.25">
      <c r="A9080" s="94" t="s">
        <v>16379</v>
      </c>
      <c r="B9080" s="82" t="str">
        <f t="shared" ref="B9080:B9091" ca="1" si="373">IFERROR(INDEX(UNSPSCDes,MATCH(INDIRECT(ADDRESS(ROW(),COLUMN()-1,4)),UNSPSCCode,0)),IF(INDIRECT(ADDRESS(ROW(),COLUMN()-1,4))="53131608","Jabones",""))</f>
        <v>Jabones</v>
      </c>
      <c r="C9080" s="95" t="str">
        <f>IFERROR(VLOOKUP("UD",'Informacion '!P:Q,2,FALSE),"")</f>
        <v>Unidad</v>
      </c>
      <c r="D9080" s="94">
        <v>62</v>
      </c>
      <c r="E9080" s="84">
        <v>365</v>
      </c>
      <c r="F9080" s="83">
        <f t="shared" ca="1" si="372"/>
        <v>22630</v>
      </c>
    </row>
    <row r="9081" spans="1:6" ht="14.1" customHeight="1" x14ac:dyDescent="0.25">
      <c r="A9081" s="94" t="s">
        <v>16379</v>
      </c>
      <c r="B9081" s="82" t="str">
        <f t="shared" ca="1" si="373"/>
        <v>Jabones</v>
      </c>
      <c r="C9081" s="95" t="str">
        <f>IFERROR(VLOOKUP("UD",'Informacion '!P:Q,2,FALSE),"")</f>
        <v>Unidad</v>
      </c>
      <c r="D9081" s="94">
        <v>86</v>
      </c>
      <c r="E9081" s="84">
        <v>338.66</v>
      </c>
      <c r="F9081" s="83">
        <f t="shared" ca="1" si="372"/>
        <v>29124.760000000002</v>
      </c>
    </row>
    <row r="9082" spans="1:6" ht="14.1" customHeight="1" x14ac:dyDescent="0.25">
      <c r="A9082" s="94" t="s">
        <v>16379</v>
      </c>
      <c r="B9082" s="82" t="str">
        <f t="shared" ca="1" si="373"/>
        <v>Jabones</v>
      </c>
      <c r="C9082" s="95" t="str">
        <f>IFERROR(VLOOKUP("UD",'Informacion '!P:Q,2,FALSE),"")</f>
        <v>Unidad</v>
      </c>
      <c r="D9082" s="94">
        <v>86</v>
      </c>
      <c r="E9082" s="84">
        <v>490.88</v>
      </c>
      <c r="F9082" s="83">
        <f t="shared" ca="1" si="372"/>
        <v>42215.68</v>
      </c>
    </row>
    <row r="9083" spans="1:6" ht="14.1" customHeight="1" x14ac:dyDescent="0.25">
      <c r="A9083" s="94" t="s">
        <v>16379</v>
      </c>
      <c r="B9083" s="82" t="str">
        <f t="shared" ca="1" si="373"/>
        <v>Jabones</v>
      </c>
      <c r="C9083" s="95" t="str">
        <f>IFERROR(VLOOKUP("UD",'Informacion '!P:Q,2,FALSE),"")</f>
        <v>Unidad</v>
      </c>
      <c r="D9083" s="94">
        <v>18</v>
      </c>
      <c r="E9083" s="84">
        <v>315</v>
      </c>
      <c r="F9083" s="83">
        <f t="shared" ca="1" si="372"/>
        <v>5670</v>
      </c>
    </row>
    <row r="9084" spans="1:6" ht="14.1" customHeight="1" x14ac:dyDescent="0.25">
      <c r="A9084" s="94" t="s">
        <v>16379</v>
      </c>
      <c r="B9084" s="82" t="str">
        <f t="shared" ca="1" si="373"/>
        <v>Jabones</v>
      </c>
      <c r="C9084" s="95" t="str">
        <f>IFERROR(VLOOKUP("UD",'Informacion '!P:Q,2,FALSE),"")</f>
        <v>Unidad</v>
      </c>
      <c r="D9084" s="94">
        <v>74</v>
      </c>
      <c r="E9084" s="84">
        <v>921.41</v>
      </c>
      <c r="F9084" s="83">
        <f t="shared" ca="1" si="372"/>
        <v>68184.34</v>
      </c>
    </row>
    <row r="9085" spans="1:6" ht="14.1" customHeight="1" x14ac:dyDescent="0.25">
      <c r="A9085" s="94" t="s">
        <v>16379</v>
      </c>
      <c r="B9085" s="82" t="str">
        <f t="shared" ca="1" si="373"/>
        <v>Jabones</v>
      </c>
      <c r="C9085" s="95" t="str">
        <f>IFERROR(VLOOKUP("UD",'Informacion '!P:Q,2,FALSE),"")</f>
        <v>Unidad</v>
      </c>
      <c r="D9085" s="94">
        <v>10</v>
      </c>
      <c r="E9085" s="84">
        <v>2760.38</v>
      </c>
      <c r="F9085" s="83">
        <f t="shared" ca="1" si="372"/>
        <v>27603.800000000003</v>
      </c>
    </row>
    <row r="9086" spans="1:6" ht="14.1" customHeight="1" x14ac:dyDescent="0.25">
      <c r="A9086" s="94" t="s">
        <v>16379</v>
      </c>
      <c r="B9086" s="82" t="str">
        <f t="shared" ca="1" si="373"/>
        <v>Jabones</v>
      </c>
      <c r="C9086" s="95" t="str">
        <f>IFERROR(VLOOKUP("UD",'Informacion '!P:Q,2,FALSE),"")</f>
        <v>Unidad</v>
      </c>
      <c r="D9086" s="94">
        <v>10</v>
      </c>
      <c r="E9086" s="84">
        <v>2688</v>
      </c>
      <c r="F9086" s="83">
        <f t="shared" ca="1" si="372"/>
        <v>26880</v>
      </c>
    </row>
    <row r="9087" spans="1:6" ht="14.1" customHeight="1" x14ac:dyDescent="0.25">
      <c r="A9087" s="94" t="s">
        <v>16379</v>
      </c>
      <c r="B9087" s="82" t="str">
        <f t="shared" ca="1" si="373"/>
        <v>Jabones</v>
      </c>
      <c r="C9087" s="95" t="str">
        <f>IFERROR(VLOOKUP("UD",'Informacion '!P:Q,2,FALSE),"")</f>
        <v>Unidad</v>
      </c>
      <c r="D9087" s="94">
        <v>10</v>
      </c>
      <c r="E9087" s="84">
        <v>2688</v>
      </c>
      <c r="F9087" s="83">
        <f t="shared" ca="1" si="372"/>
        <v>26880</v>
      </c>
    </row>
    <row r="9088" spans="1:6" ht="14.1" customHeight="1" x14ac:dyDescent="0.25">
      <c r="A9088" s="94" t="s">
        <v>16379</v>
      </c>
      <c r="B9088" s="82" t="str">
        <f t="shared" ca="1" si="373"/>
        <v>Jabones</v>
      </c>
      <c r="C9088" s="95" t="str">
        <f>IFERROR(VLOOKUP("UD",'Informacion '!P:Q,2,FALSE),"")</f>
        <v>Unidad</v>
      </c>
      <c r="D9088" s="94">
        <v>950</v>
      </c>
      <c r="E9088" s="84">
        <v>14.33</v>
      </c>
      <c r="F9088" s="83">
        <f t="shared" ca="1" si="372"/>
        <v>13613.5</v>
      </c>
    </row>
    <row r="9089" spans="1:10" ht="14.1" customHeight="1" x14ac:dyDescent="0.25">
      <c r="A9089" s="94" t="s">
        <v>16379</v>
      </c>
      <c r="B9089" s="82" t="str">
        <f t="shared" ca="1" si="373"/>
        <v>Jabones</v>
      </c>
      <c r="C9089" s="95" t="str">
        <f>IFERROR(VLOOKUP("UD",'Informacion '!P:Q,2,FALSE),"")</f>
        <v>Unidad</v>
      </c>
      <c r="D9089" s="94">
        <v>20</v>
      </c>
      <c r="E9089" s="84">
        <v>83.8</v>
      </c>
      <c r="F9089" s="83">
        <f t="shared" ca="1" si="372"/>
        <v>1676</v>
      </c>
    </row>
    <row r="9090" spans="1:10" ht="14.1" customHeight="1" x14ac:dyDescent="0.25">
      <c r="A9090" s="94" t="s">
        <v>16379</v>
      </c>
      <c r="B9090" s="82" t="str">
        <f t="shared" ca="1" si="373"/>
        <v>Jabones</v>
      </c>
      <c r="C9090" s="95" t="str">
        <f>IFERROR(VLOOKUP("UD",'Informacion '!P:Q,2,FALSE),"")</f>
        <v>Unidad</v>
      </c>
      <c r="D9090" s="94">
        <v>10</v>
      </c>
      <c r="E9090" s="84">
        <v>14120.4</v>
      </c>
      <c r="F9090" s="83">
        <f t="shared" ca="1" si="372"/>
        <v>141204</v>
      </c>
    </row>
    <row r="9091" spans="1:10" ht="14.1" customHeight="1" x14ac:dyDescent="0.25">
      <c r="A9091" s="94" t="s">
        <v>16379</v>
      </c>
      <c r="B9091" s="82" t="str">
        <f t="shared" ca="1" si="373"/>
        <v>Jabones</v>
      </c>
      <c r="C9091" s="95" t="str">
        <f>IFERROR(VLOOKUP("UD",'Informacion '!P:Q,2,FALSE),"")</f>
        <v>Unidad</v>
      </c>
      <c r="D9091" s="94">
        <v>20</v>
      </c>
      <c r="E9091" s="84">
        <v>910.15</v>
      </c>
      <c r="F9091" s="83">
        <f t="shared" ca="1" si="372"/>
        <v>18203</v>
      </c>
    </row>
    <row r="9092" spans="1:10" ht="14.1" customHeight="1" x14ac:dyDescent="0.25">
      <c r="E9092" s="96" t="s">
        <v>7213</v>
      </c>
      <c r="F9092" s="87">
        <f ca="1">SUM(Table223[MONTO TOTAL ESTIMADO])</f>
        <v>86903372.109999925</v>
      </c>
      <c r="H9092" s="39" t="str">
        <f>C8897</f>
        <v>Bienes</v>
      </c>
      <c r="I9092" s="39" t="str">
        <f>E8897</f>
        <v>No</v>
      </c>
      <c r="J9092" s="39" t="str">
        <f>D8897</f>
        <v>Compras Menores</v>
      </c>
    </row>
    <row r="9094" spans="1:10" ht="33.950000000000003" customHeight="1" x14ac:dyDescent="0.25">
      <c r="A9094" s="77" t="s">
        <v>17233</v>
      </c>
      <c r="B9094" s="77" t="s">
        <v>4237</v>
      </c>
      <c r="C9094" s="77" t="s">
        <v>4743</v>
      </c>
      <c r="D9094" s="77" t="s">
        <v>9891</v>
      </c>
      <c r="E9094" s="77" t="s">
        <v>3089</v>
      </c>
      <c r="F9094" s="77" t="s">
        <v>18141</v>
      </c>
    </row>
    <row r="9095" spans="1:10" ht="14.1" customHeight="1" x14ac:dyDescent="0.25">
      <c r="A9095" s="79" t="s">
        <v>18431</v>
      </c>
      <c r="B9095" s="79" t="s">
        <v>79</v>
      </c>
      <c r="C9095" s="79" t="s">
        <v>17215</v>
      </c>
      <c r="D9095" s="79" t="s">
        <v>17798</v>
      </c>
      <c r="E9095" s="79" t="s">
        <v>18247</v>
      </c>
      <c r="F9095" s="79"/>
    </row>
    <row r="9096" spans="1:10" ht="14.1" customHeight="1" x14ac:dyDescent="0.25">
      <c r="A9096" s="2" t="s">
        <v>6643</v>
      </c>
      <c r="B9096" s="80" t="s">
        <v>1046</v>
      </c>
      <c r="C9096" s="90">
        <v>43556</v>
      </c>
      <c r="D9096" s="2" t="s">
        <v>59</v>
      </c>
      <c r="E9096" s="92" t="s">
        <v>20066</v>
      </c>
      <c r="F9096" s="93" t="s">
        <v>5684</v>
      </c>
    </row>
    <row r="9097" spans="1:10" ht="14.1" customHeight="1" x14ac:dyDescent="0.25">
      <c r="A9097" s="1"/>
      <c r="B9097" s="80" t="s">
        <v>10788</v>
      </c>
      <c r="C9097" s="91">
        <f>IF(C9096="","",IF(AND(MONTH(C9096)&gt;=1,MONTH(C9096)&lt;=3),1,IF(AND(MONTH(C9096)&gt;=4,MONTH(C9096)&lt;=6),2,IF(AND(MONTH(C9096)&gt;=7,MONTH(C9096)&lt;=9),3,4))))</f>
        <v>2</v>
      </c>
      <c r="D9097" s="1"/>
      <c r="E9097" s="92" t="s">
        <v>14822</v>
      </c>
      <c r="F9097" s="93"/>
    </row>
    <row r="9098" spans="1:10" ht="14.1" customHeight="1" x14ac:dyDescent="0.25">
      <c r="A9098" s="1"/>
      <c r="B9098" s="80" t="s">
        <v>13758</v>
      </c>
      <c r="C9098" s="90">
        <v>43645</v>
      </c>
      <c r="D9098" s="1"/>
      <c r="E9098" s="92" t="s">
        <v>18636</v>
      </c>
      <c r="F9098" s="93"/>
    </row>
    <row r="9099" spans="1:10" ht="14.1" customHeight="1" x14ac:dyDescent="0.25">
      <c r="A9099" s="1"/>
      <c r="B9099" s="80" t="s">
        <v>10788</v>
      </c>
      <c r="C9099" s="91">
        <f>IF(C9098="","",IF(AND(MONTH(C9098)&gt;=1,MONTH(C9098)&lt;=3),1,IF(AND(MONTH(C9098)&gt;=4,MONTH(C9098)&lt;=6),2,IF(AND(MONTH(C9098)&gt;=7,MONTH(C9098)&lt;=9),3,4))))</f>
        <v>2</v>
      </c>
      <c r="D9099" s="1"/>
      <c r="E9099" s="92" t="s">
        <v>15990</v>
      </c>
      <c r="F9099" s="93"/>
    </row>
    <row r="9101" spans="1:10" ht="14.1" customHeight="1" x14ac:dyDescent="0.25">
      <c r="A9101" s="85" t="s">
        <v>15474</v>
      </c>
      <c r="B9101" s="85" t="s">
        <v>5027</v>
      </c>
      <c r="C9101" s="85" t="s">
        <v>17461</v>
      </c>
      <c r="D9101" s="85" t="s">
        <v>3935</v>
      </c>
      <c r="E9101" s="85" t="s">
        <v>10722</v>
      </c>
      <c r="F9101" s="85" t="s">
        <v>18237</v>
      </c>
    </row>
    <row r="9102" spans="1:10" ht="14.1" customHeight="1" x14ac:dyDescent="0.25">
      <c r="A9102" s="94" t="s">
        <v>16020</v>
      </c>
      <c r="B9102" s="82" t="str">
        <f ca="1">IFERROR(INDEX(UNSPSCDes,MATCH(INDIRECT(ADDRESS(ROW(),COLUMN()-1,4)),UNSPSCCode,0)),IF(INDIRECT(ADDRESS(ROW(),COLUMN()-1,4))="30181508","Divisiones de baños",""))</f>
        <v>Divisiones de baños</v>
      </c>
      <c r="C9102" s="95" t="str">
        <f>IFERROR(VLOOKUP("UD",'Informacion '!P:Q,2,FALSE),"")</f>
        <v>Unidad</v>
      </c>
      <c r="D9102" s="94">
        <v>6</v>
      </c>
      <c r="E9102" s="84">
        <v>20000</v>
      </c>
      <c r="F9102" s="83">
        <f t="shared" ref="F9102:F9133" ca="1" si="374">INDIRECT(ADDRESS(ROW(),COLUMN()-2,4))*INDIRECT(ADDRESS(ROW(),COLUMN()-1,4))</f>
        <v>120000</v>
      </c>
    </row>
    <row r="9103" spans="1:10" ht="14.1" customHeight="1" x14ac:dyDescent="0.25">
      <c r="A9103" s="94" t="s">
        <v>4141</v>
      </c>
      <c r="B9103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9103" s="95" t="str">
        <f>IFERROR(VLOOKUP("UD",'Informacion '!P:Q,2,FALSE),"")</f>
        <v>Unidad</v>
      </c>
      <c r="D9103" s="94">
        <v>1</v>
      </c>
      <c r="E9103" s="84">
        <v>100000</v>
      </c>
      <c r="F9103" s="83">
        <f t="shared" ca="1" si="374"/>
        <v>100000</v>
      </c>
    </row>
    <row r="9104" spans="1:10" ht="14.1" customHeight="1" x14ac:dyDescent="0.25">
      <c r="A9104" s="94" t="s">
        <v>4141</v>
      </c>
      <c r="B9104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9104" s="95" t="str">
        <f>IFERROR(VLOOKUP("UD",'Informacion '!P:Q,2,FALSE),"")</f>
        <v>Unidad</v>
      </c>
      <c r="D9104" s="94">
        <v>1</v>
      </c>
      <c r="E9104" s="84">
        <v>100000</v>
      </c>
      <c r="F9104" s="83">
        <f t="shared" ca="1" si="374"/>
        <v>100000</v>
      </c>
    </row>
    <row r="9105" spans="1:6" ht="14.1" customHeight="1" x14ac:dyDescent="0.25">
      <c r="A9105" s="94" t="s">
        <v>7524</v>
      </c>
      <c r="B9105" s="82" t="str">
        <f ca="1">IFERROR(INDEX(UNSPSCDes,MATCH(INDIRECT(ADDRESS(ROW(),COLUMN()-1,4)),UNSPSCCode,0)),IF(INDIRECT(ADDRESS(ROW(),COLUMN()-1,4))="72103003","Servicios de demolición",""))</f>
        <v>Servicios de demolición</v>
      </c>
      <c r="C9105" s="95" t="str">
        <f>IFERROR(VLOOKUP("UD",'Informacion '!P:Q,2,FALSE),"")</f>
        <v>Unidad</v>
      </c>
      <c r="D9105" s="94">
        <v>6</v>
      </c>
      <c r="E9105" s="84">
        <v>6000</v>
      </c>
      <c r="F9105" s="83">
        <f t="shared" ca="1" si="374"/>
        <v>36000</v>
      </c>
    </row>
    <row r="9106" spans="1:6" ht="14.1" customHeight="1" x14ac:dyDescent="0.25">
      <c r="A9106" s="94" t="s">
        <v>13331</v>
      </c>
      <c r="B9106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9106" s="95" t="str">
        <f>IFERROR(VLOOKUP("M2",'Informacion '!P:Q,2,FALSE),"")</f>
        <v>Metro cuadrado</v>
      </c>
      <c r="D9106" s="94">
        <v>14.02</v>
      </c>
      <c r="E9106" s="84">
        <v>150</v>
      </c>
      <c r="F9106" s="83">
        <f t="shared" ca="1" si="374"/>
        <v>2103</v>
      </c>
    </row>
    <row r="9107" spans="1:6" ht="14.1" customHeight="1" x14ac:dyDescent="0.25">
      <c r="A9107" s="94" t="s">
        <v>13331</v>
      </c>
      <c r="B9107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9107" s="95" t="str">
        <f>IFERROR(VLOOKUP("M2",'Informacion '!P:Q,2,FALSE),"")</f>
        <v>Metro cuadrado</v>
      </c>
      <c r="D9107" s="94">
        <v>12</v>
      </c>
      <c r="E9107" s="84">
        <v>1087</v>
      </c>
      <c r="F9107" s="83">
        <f t="shared" ca="1" si="374"/>
        <v>13044</v>
      </c>
    </row>
    <row r="9108" spans="1:6" ht="14.1" customHeight="1" x14ac:dyDescent="0.25">
      <c r="A9108" s="94" t="s">
        <v>15131</v>
      </c>
      <c r="B9108" s="82" t="str">
        <f ca="1">IFERROR(INDEX(UNSPSCDes,MATCH(INDIRECT(ADDRESS(ROW(),COLUMN()-1,4)),UNSPSCCode,0)),IF(INDIRECT(ADDRESS(ROW(),COLUMN()-1,4))="22101720","Zapatas perfiladoras de zanjadora",""))</f>
        <v>Zapatas perfiladoras de zanjadora</v>
      </c>
      <c r="C9108" s="95" t="str">
        <f>IFERROR(VLOOKUP("M3",'Informacion '!P:Q,2,FALSE),"")</f>
        <v>Metro cúbico</v>
      </c>
      <c r="D9108" s="94">
        <v>4</v>
      </c>
      <c r="E9108" s="84">
        <v>12812.27</v>
      </c>
      <c r="F9108" s="83">
        <f t="shared" ca="1" si="374"/>
        <v>51249.08</v>
      </c>
    </row>
    <row r="9109" spans="1:6" ht="14.1" customHeight="1" x14ac:dyDescent="0.25">
      <c r="A9109" s="94" t="s">
        <v>10971</v>
      </c>
      <c r="B9109" s="82" t="str">
        <f ca="1">IFERROR(INDEX(UNSPSCDes,MATCH(INDIRECT(ADDRESS(ROW(),COLUMN()-1,4)),UNSPSCCode,0)),IF(INDIRECT(ADDRESS(ROW(),COLUMN()-1,4))="30161902","Columnas",""))</f>
        <v>Columnas</v>
      </c>
      <c r="C9109" s="95" t="str">
        <f>IFERROR(VLOOKUP("M3",'Informacion '!P:Q,2,FALSE),"")</f>
        <v>Metro cúbico</v>
      </c>
      <c r="D9109" s="94">
        <v>2.88</v>
      </c>
      <c r="E9109" s="84">
        <v>18645.560000000001</v>
      </c>
      <c r="F9109" s="83">
        <f t="shared" ca="1" si="374"/>
        <v>53699.212800000001</v>
      </c>
    </row>
    <row r="9110" spans="1:6" ht="14.1" customHeight="1" x14ac:dyDescent="0.25">
      <c r="A9110" s="94" t="s">
        <v>2243</v>
      </c>
      <c r="B9110" s="82" t="str">
        <f ca="1">IFERROR(INDEX(UNSPSCDes,MATCH(INDIRECT(ADDRESS(ROW(),COLUMN()-1,4)),UNSPSCCode,0)),IF(INDIRECT(ADDRESS(ROW(),COLUMN()-1,4))="30101717","Vigas de concreto",""))</f>
        <v>Vigas de concreto</v>
      </c>
      <c r="C9110" s="95" t="str">
        <f>IFERROR(VLOOKUP("M3",'Informacion '!P:Q,2,FALSE),"")</f>
        <v>Metro cúbico</v>
      </c>
      <c r="D9110" s="94">
        <v>3</v>
      </c>
      <c r="E9110" s="84">
        <v>18228.29</v>
      </c>
      <c r="F9110" s="83">
        <f t="shared" ca="1" si="374"/>
        <v>54684.87</v>
      </c>
    </row>
    <row r="9111" spans="1:6" ht="14.1" customHeight="1" x14ac:dyDescent="0.25">
      <c r="A9111" s="94" t="s">
        <v>1981</v>
      </c>
      <c r="B9111" s="82" t="str">
        <f ca="1">IFERROR(INDEX(UNSPSCDes,MATCH(INDIRECT(ADDRESS(ROW(),COLUMN()-1,4)),UNSPSCCode,0)),IF(INDIRECT(ADDRESS(ROW(),COLUMN()-1,4))="30131703","Losas o baldosas de concreto",""))</f>
        <v>Losas o baldosas de concreto</v>
      </c>
      <c r="C9111" s="95" t="str">
        <f>IFERROR(VLOOKUP("M3",'Informacion '!P:Q,2,FALSE),"")</f>
        <v>Metro cúbico</v>
      </c>
      <c r="D9111" s="94">
        <v>7.7</v>
      </c>
      <c r="E9111" s="84">
        <v>14321.61</v>
      </c>
      <c r="F9111" s="83">
        <f t="shared" ca="1" si="374"/>
        <v>110276.39700000001</v>
      </c>
    </row>
    <row r="9112" spans="1:6" ht="14.1" customHeight="1" x14ac:dyDescent="0.25">
      <c r="A9112" s="94" t="s">
        <v>5110</v>
      </c>
      <c r="B9112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9112" s="95" t="str">
        <f>IFERROR(VLOOKUP("M2",'Informacion '!P:Q,2,FALSE),"")</f>
        <v>Metro cuadrado</v>
      </c>
      <c r="D9112" s="94">
        <v>25.6</v>
      </c>
      <c r="E9112" s="84">
        <v>397</v>
      </c>
      <c r="F9112" s="83">
        <f t="shared" ca="1" si="374"/>
        <v>10163.200000000001</v>
      </c>
    </row>
    <row r="9113" spans="1:6" ht="14.1" customHeight="1" x14ac:dyDescent="0.25">
      <c r="A9113" s="94" t="s">
        <v>5110</v>
      </c>
      <c r="B9113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9113" s="95" t="str">
        <f>IFERROR(VLOOKUP("M2",'Informacion '!P:Q,2,FALSE),"")</f>
        <v>Metro cuadrado</v>
      </c>
      <c r="D9113" s="94">
        <v>26</v>
      </c>
      <c r="E9113" s="84">
        <v>397</v>
      </c>
      <c r="F9113" s="83">
        <f t="shared" ca="1" si="374"/>
        <v>10322</v>
      </c>
    </row>
    <row r="9114" spans="1:6" ht="14.1" customHeight="1" x14ac:dyDescent="0.25">
      <c r="A9114" s="94" t="s">
        <v>5110</v>
      </c>
      <c r="B9114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9114" s="95" t="str">
        <f>IFERROR(VLOOKUP("M2",'Informacion '!P:Q,2,FALSE),"")</f>
        <v>Metro cuadrado</v>
      </c>
      <c r="D9114" s="94">
        <v>51.16</v>
      </c>
      <c r="E9114" s="84">
        <v>397</v>
      </c>
      <c r="F9114" s="83">
        <f t="shared" ca="1" si="374"/>
        <v>20310.52</v>
      </c>
    </row>
    <row r="9115" spans="1:6" ht="14.1" customHeight="1" x14ac:dyDescent="0.25">
      <c r="A9115" s="94" t="s">
        <v>5110</v>
      </c>
      <c r="B9115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9115" s="95" t="str">
        <f>IFERROR(VLOOKUP("M2",'Informacion '!P:Q,2,FALSE),"")</f>
        <v>Metro cuadrado</v>
      </c>
      <c r="D9115" s="94">
        <v>24</v>
      </c>
      <c r="E9115" s="84">
        <v>397</v>
      </c>
      <c r="F9115" s="83">
        <f t="shared" ca="1" si="374"/>
        <v>9528</v>
      </c>
    </row>
    <row r="9116" spans="1:6" ht="14.1" customHeight="1" x14ac:dyDescent="0.25">
      <c r="A9116" s="94" t="s">
        <v>10743</v>
      </c>
      <c r="B9116" s="82" t="str">
        <f ca="1">IFERROR(INDEX(UNSPSCDes,MATCH(INDIRECT(ADDRESS(ROW(),COLUMN()-1,4)),UNSPSCCode,0)),IF(INDIRECT(ADDRESS(ROW(),COLUMN()-1,4))="27111807","Bordes rectos",""))</f>
        <v>Bordes rectos</v>
      </c>
      <c r="C9116" s="95" t="str">
        <f>IFERROR(VLOOKUP("M",'Informacion '!P:Q,2,FALSE),"")</f>
        <v>Metro</v>
      </c>
      <c r="D9116" s="94">
        <v>154.19999999999999</v>
      </c>
      <c r="E9116" s="84">
        <v>83.3</v>
      </c>
      <c r="F9116" s="83">
        <f t="shared" ca="1" si="374"/>
        <v>12844.859999999999</v>
      </c>
    </row>
    <row r="9117" spans="1:6" ht="14.1" customHeight="1" x14ac:dyDescent="0.25">
      <c r="A9117" s="94" t="s">
        <v>10743</v>
      </c>
      <c r="B9117" s="82" t="str">
        <f ca="1">IFERROR(INDEX(UNSPSCDes,MATCH(INDIRECT(ADDRESS(ROW(),COLUMN()-1,4)),UNSPSCCode,0)),IF(INDIRECT(ADDRESS(ROW(),COLUMN()-1,4))="27111807","Bordes rectos",""))</f>
        <v>Bordes rectos</v>
      </c>
      <c r="C9117" s="95" t="str">
        <f>IFERROR(VLOOKUP("M",'Informacion '!P:Q,2,FALSE),"")</f>
        <v>Metro</v>
      </c>
      <c r="D9117" s="94">
        <v>77.099999999999994</v>
      </c>
      <c r="E9117" s="84">
        <v>83.3</v>
      </c>
      <c r="F9117" s="83">
        <f t="shared" ca="1" si="374"/>
        <v>6422.4299999999994</v>
      </c>
    </row>
    <row r="9118" spans="1:6" ht="14.1" customHeight="1" x14ac:dyDescent="0.25">
      <c r="A9118" s="94" t="s">
        <v>2584</v>
      </c>
      <c r="B9118" s="82" t="str">
        <f ca="1">IFERROR(INDEX(UNSPSCDes,MATCH(INDIRECT(ADDRESS(ROW(),COLUMN()-1,4)),UNSPSCCode,0)),IF(INDIRECT(ADDRESS(ROW(),COLUMN()-1,4))="20131308","Pozo petrolero cemento estándar fino tipo iii",""))</f>
        <v>Pozo petrolero cemento estándar fino tipo iii</v>
      </c>
      <c r="C9118" s="95" t="str">
        <f>IFERROR(VLOOKUP("M2",'Informacion '!P:Q,2,FALSE),"")</f>
        <v>Metro cuadrado</v>
      </c>
      <c r="D9118" s="94">
        <v>51.16</v>
      </c>
      <c r="E9118" s="84">
        <v>478.68</v>
      </c>
      <c r="F9118" s="83">
        <f t="shared" ca="1" si="374"/>
        <v>24489.268799999998</v>
      </c>
    </row>
    <row r="9119" spans="1:6" ht="14.1" customHeight="1" x14ac:dyDescent="0.25">
      <c r="A9119" s="94" t="s">
        <v>8027</v>
      </c>
      <c r="B9119" s="82" t="str">
        <f ca="1">IFERROR(INDEX(UNSPSCDes,MATCH(INDIRECT(ADDRESS(ROW(),COLUMN()-1,4)),UNSPSCCode,0)),IF(INDIRECT(ADDRESS(ROW(),COLUMN()-1,4))="30171513","Rodapiés",""))</f>
        <v>Rodapiés</v>
      </c>
      <c r="C9119" s="95" t="str">
        <f>IFERROR(VLOOKUP("M",'Informacion '!P:Q,2,FALSE),"")</f>
        <v>Metro</v>
      </c>
      <c r="D9119" s="94">
        <v>20</v>
      </c>
      <c r="E9119" s="84">
        <v>99.44</v>
      </c>
      <c r="F9119" s="83">
        <f t="shared" ca="1" si="374"/>
        <v>1988.8</v>
      </c>
    </row>
    <row r="9120" spans="1:6" ht="14.1" customHeight="1" x14ac:dyDescent="0.25">
      <c r="A9120" s="94" t="s">
        <v>4672</v>
      </c>
      <c r="B9120" s="82" t="str">
        <f ca="1">IFERROR(INDEX(UNSPSCDes,MATCH(INDIRECT(ADDRESS(ROW(),COLUMN()-1,4)),UNSPSCCode,0)),IF(INDIRECT(ADDRESS(ROW(),COLUMN()-1,4))="72102004","Impermeabilización",""))</f>
        <v>Impermeabilización</v>
      </c>
      <c r="C9120" s="95" t="str">
        <f>IFERROR(VLOOKUP("M2",'Informacion '!P:Q,2,FALSE),"")</f>
        <v>Metro cuadrado</v>
      </c>
      <c r="D9120" s="94">
        <v>51.16</v>
      </c>
      <c r="E9120" s="84">
        <v>350</v>
      </c>
      <c r="F9120" s="83">
        <f t="shared" ca="1" si="374"/>
        <v>17906</v>
      </c>
    </row>
    <row r="9121" spans="1:6" ht="14.1" customHeight="1" x14ac:dyDescent="0.25">
      <c r="A9121" s="94" t="s">
        <v>12382</v>
      </c>
      <c r="B9121" s="82" t="str">
        <f ca="1">IFERROR(INDEX(UNSPSCDes,MATCH(INDIRECT(ADDRESS(ROW(),COLUMN()-1,4)),UNSPSCCode,0)),IF(INDIRECT(ADDRESS(ROW(),COLUMN()-1,4))="31211508","Pinturas acrílicas",""))</f>
        <v>Pinturas acrílicas</v>
      </c>
      <c r="C9121" s="95" t="str">
        <f>IFERROR(VLOOKUP("M2",'Informacion '!P:Q,2,FALSE),"")</f>
        <v>Metro cuadrado</v>
      </c>
      <c r="D9121" s="94">
        <v>102.8</v>
      </c>
      <c r="E9121" s="84">
        <v>126.28</v>
      </c>
      <c r="F9121" s="83">
        <f t="shared" ca="1" si="374"/>
        <v>12981.583999999999</v>
      </c>
    </row>
    <row r="9122" spans="1:6" ht="14.1" customHeight="1" x14ac:dyDescent="0.25">
      <c r="A9122" s="94" t="s">
        <v>19089</v>
      </c>
      <c r="B9122" s="82" t="str">
        <f ca="1">IFERROR(INDEX(UNSPSCDes,MATCH(INDIRECT(ADDRESS(ROW(),COLUMN()-1,4)),UNSPSCCode,0)),IF(INDIRECT(ADDRESS(ROW(),COLUMN()-1,4))="31211505","Pinturas de aceite",""))</f>
        <v>Pinturas de aceite</v>
      </c>
      <c r="C9122" s="95" t="str">
        <f>IFERROR(VLOOKUP("M2",'Informacion '!P:Q,2,FALSE),"")</f>
        <v>Metro cuadrado</v>
      </c>
      <c r="D9122" s="94">
        <v>20</v>
      </c>
      <c r="E9122" s="84">
        <v>180</v>
      </c>
      <c r="F9122" s="83">
        <f t="shared" ca="1" si="374"/>
        <v>3600</v>
      </c>
    </row>
    <row r="9123" spans="1:6" ht="14.1" customHeight="1" x14ac:dyDescent="0.25">
      <c r="A9123" s="94" t="s">
        <v>8166</v>
      </c>
      <c r="B9123" s="82" t="str">
        <f ca="1">IFERROR(INDEX(UNSPSCDes,MATCH(INDIRECT(ADDRESS(ROW(),COLUMN()-1,4)),UNSPSCCode,0)),IF(INDIRECT(ADDRESS(ROW(),COLUMN()-1,4))="30161706","Pisos de baldosa o piedra",""))</f>
        <v>Pisos de baldosa o piedra</v>
      </c>
      <c r="C9123" s="95" t="str">
        <f>IFERROR(VLOOKUP("M2",'Informacion '!P:Q,2,FALSE),"")</f>
        <v>Metro cuadrado</v>
      </c>
      <c r="D9123" s="94">
        <v>38.380000000000003</v>
      </c>
      <c r="E9123" s="84">
        <v>2200</v>
      </c>
      <c r="F9123" s="83">
        <f t="shared" ca="1" si="374"/>
        <v>84436</v>
      </c>
    </row>
    <row r="9124" spans="1:6" ht="14.1" customHeight="1" x14ac:dyDescent="0.25">
      <c r="A9124" s="94" t="s">
        <v>18941</v>
      </c>
      <c r="B9124" s="82" t="str">
        <f ca="1">IFERROR(INDEX(UNSPSCDes,MATCH(INDIRECT(ADDRESS(ROW(),COLUMN()-1,4)),UNSPSCCode,0)),IF(INDIRECT(ADDRESS(ROW(),COLUMN()-1,4))="47121611","Raspadores de pisos",""))</f>
        <v>Raspadores de pisos</v>
      </c>
      <c r="C9124" s="95" t="str">
        <f>IFERROR(VLOOKUP("UD",'Informacion '!P:Q,2,FALSE),"")</f>
        <v>Unidad</v>
      </c>
      <c r="D9124" s="94">
        <v>1</v>
      </c>
      <c r="E9124" s="84">
        <v>5000</v>
      </c>
      <c r="F9124" s="83">
        <f t="shared" ca="1" si="374"/>
        <v>5000</v>
      </c>
    </row>
    <row r="9125" spans="1:6" ht="14.1" customHeight="1" x14ac:dyDescent="0.25">
      <c r="A9125" s="94" t="s">
        <v>13207</v>
      </c>
      <c r="B9125" s="82" t="str">
        <f ca="1">IFERROR(INDEX(UNSPSCDes,MATCH(INDIRECT(ADDRESS(ROW(),COLUMN()-1,4)),UNSPSCCode,0)),IF(INDIRECT(ADDRESS(ROW(),COLUMN()-1,4))="20101804","Equipo para aplicar concreto lanzado o shotcrete",""))</f>
        <v>Equipo para aplicar concreto lanzado o shotcrete</v>
      </c>
      <c r="C9125" s="95" t="str">
        <f>IFERROR(VLOOKUP("M2",'Informacion '!P:Q,2,FALSE),"")</f>
        <v>Metro cuadrado</v>
      </c>
      <c r="D9125" s="94">
        <v>8.7799999999999994</v>
      </c>
      <c r="E9125" s="84">
        <v>1331.82</v>
      </c>
      <c r="F9125" s="83">
        <f t="shared" ca="1" si="374"/>
        <v>11693.379599999998</v>
      </c>
    </row>
    <row r="9126" spans="1:6" ht="14.1" customHeight="1" x14ac:dyDescent="0.25">
      <c r="A9126" s="94" t="s">
        <v>1803</v>
      </c>
      <c r="B9126" s="82" t="str">
        <f ca="1">IFERROR(INDEX(UNSPSCDes,MATCH(INDIRECT(ADDRESS(ROW(),COLUMN()-1,4)),UNSPSCCode,0)),IF(INDIRECT(ADDRESS(ROW(),COLUMN()-1,4))="70171802","Drenaje de agua pluviales",""))</f>
        <v>Drenaje de agua pluviales</v>
      </c>
      <c r="C9126" s="95" t="str">
        <f>IFERROR(VLOOKUP("UD",'Informacion '!P:Q,2,FALSE),"")</f>
        <v>Unidad</v>
      </c>
      <c r="D9126" s="94">
        <v>1</v>
      </c>
      <c r="E9126" s="84">
        <v>5000</v>
      </c>
      <c r="F9126" s="83">
        <f t="shared" ca="1" si="374"/>
        <v>5000</v>
      </c>
    </row>
    <row r="9127" spans="1:6" ht="14.1" customHeight="1" x14ac:dyDescent="0.25">
      <c r="A9127" s="94" t="s">
        <v>9883</v>
      </c>
      <c r="B9127" s="82" t="str">
        <f ca="1">IFERROR(INDEX(UNSPSCDes,MATCH(INDIRECT(ADDRESS(ROW(),COLUMN()-1,4)),UNSPSCCode,0)),IF(INDIRECT(ADDRESS(ROW(),COLUMN()-1,4))="39101601","Lámparas halógenas",""))</f>
        <v>Lámparas halógenas</v>
      </c>
      <c r="C9127" s="95" t="str">
        <f>IFERROR(VLOOKUP("UD",'Informacion '!P:Q,2,FALSE),"")</f>
        <v>Unidad</v>
      </c>
      <c r="D9127" s="94">
        <v>1</v>
      </c>
      <c r="E9127" s="84">
        <v>20000</v>
      </c>
      <c r="F9127" s="83">
        <f t="shared" ca="1" si="374"/>
        <v>20000</v>
      </c>
    </row>
    <row r="9128" spans="1:6" ht="14.1" customHeight="1" x14ac:dyDescent="0.25">
      <c r="A9128" s="94" t="s">
        <v>5060</v>
      </c>
      <c r="B9128" s="82" t="str">
        <f ca="1">IFERROR(INDEX(UNSPSCDes,MATCH(INDIRECT(ADDRESS(ROW(),COLUMN()-1,4)),UNSPSCCode,0)),IF(INDIRECT(ADDRESS(ROW(),COLUMN()-1,4))="73111503","Servicios de fabricación de paneles de base de madera",""))</f>
        <v>Servicios de fabricación de paneles de base de madera</v>
      </c>
      <c r="C9128" s="95" t="str">
        <f>IFERROR(VLOOKUP("M2",'Informacion '!P:Q,2,FALSE),"")</f>
        <v>Metro cuadrado</v>
      </c>
      <c r="D9128" s="94">
        <v>60</v>
      </c>
      <c r="E9128" s="84">
        <v>440</v>
      </c>
      <c r="F9128" s="83">
        <f t="shared" ca="1" si="374"/>
        <v>26400</v>
      </c>
    </row>
    <row r="9129" spans="1:6" ht="14.1" customHeight="1" x14ac:dyDescent="0.25">
      <c r="A9129" s="94" t="s">
        <v>19337</v>
      </c>
      <c r="B9129" s="82" t="str">
        <f ca="1">IFERROR(INDEX(UNSPSCDes,MATCH(INDIRECT(ADDRESS(ROW(),COLUMN()-1,4)),UNSPSCCode,0)),IF(INDIRECT(ADDRESS(ROW(),COLUMN()-1,4))="30171504","Puertas de madera",""))</f>
        <v>Puertas de madera</v>
      </c>
      <c r="C9129" s="95" t="str">
        <f>IFERROR(VLOOKUP("UD",'Informacion '!P:Q,2,FALSE),"")</f>
        <v>Unidad</v>
      </c>
      <c r="D9129" s="94">
        <v>1</v>
      </c>
      <c r="E9129" s="84">
        <v>40000</v>
      </c>
      <c r="F9129" s="83">
        <f t="shared" ca="1" si="374"/>
        <v>40000</v>
      </c>
    </row>
    <row r="9130" spans="1:6" ht="14.1" customHeight="1" x14ac:dyDescent="0.25">
      <c r="A9130" s="94" t="s">
        <v>10002</v>
      </c>
      <c r="B9130" s="82" t="str">
        <f ca="1">IFERROR(INDEX(UNSPSCDes,MATCH(INDIRECT(ADDRESS(ROW(),COLUMN()-1,4)),UNSPSCCode,0)),IF(INDIRECT(ADDRESS(ROW(),COLUMN()-1,4))="72102403","Servicios de revestimientos de muros",""))</f>
        <v>Servicios de revestimientos de muros</v>
      </c>
      <c r="C9130" s="95" t="str">
        <f>IFERROR(VLOOKUP("UD",'Informacion '!P:Q,2,FALSE),"")</f>
        <v>Unidad</v>
      </c>
      <c r="D9130" s="94">
        <v>1</v>
      </c>
      <c r="E9130" s="84">
        <v>30000</v>
      </c>
      <c r="F9130" s="83">
        <f t="shared" ca="1" si="374"/>
        <v>30000</v>
      </c>
    </row>
    <row r="9131" spans="1:6" ht="14.1" customHeight="1" x14ac:dyDescent="0.25">
      <c r="A9131" s="94" t="s">
        <v>8503</v>
      </c>
      <c r="B9131" s="82" t="str">
        <f ca="1">IFERROR(INDEX(UNSPSCDes,MATCH(INDIRECT(ADDRESS(ROW(),COLUMN()-1,4)),UNSPSCCode,0)),IF(INDIRECT(ADDRESS(ROW(),COLUMN()-1,4))="21101512","Gastos generales de riego",""))</f>
        <v>Gastos generales de riego</v>
      </c>
      <c r="C9131" s="95" t="str">
        <f>IFERROR(VLOOKUP("UD",'Informacion '!P:Q,2,FALSE),"")</f>
        <v>Unidad</v>
      </c>
      <c r="D9131" s="94">
        <v>1</v>
      </c>
      <c r="E9131" s="84">
        <v>160000</v>
      </c>
      <c r="F9131" s="83">
        <f t="shared" ca="1" si="374"/>
        <v>160000</v>
      </c>
    </row>
    <row r="9132" spans="1:6" ht="14.1" customHeight="1" x14ac:dyDescent="0.25">
      <c r="A9132" s="94" t="s">
        <v>7524</v>
      </c>
      <c r="B9132" s="82" t="str">
        <f ca="1">IFERROR(INDEX(UNSPSCDes,MATCH(INDIRECT(ADDRESS(ROW(),COLUMN()-1,4)),UNSPSCCode,0)),IF(INDIRECT(ADDRESS(ROW(),COLUMN()-1,4))="72103003","Servicios de demolición",""))</f>
        <v>Servicios de demolición</v>
      </c>
      <c r="C9132" s="95" t="str">
        <f>IFERROR(VLOOKUP("UD",'Informacion '!P:Q,2,FALSE),"")</f>
        <v>Unidad</v>
      </c>
      <c r="D9132" s="94">
        <v>3</v>
      </c>
      <c r="E9132" s="84">
        <v>6000</v>
      </c>
      <c r="F9132" s="83">
        <f t="shared" ca="1" si="374"/>
        <v>18000</v>
      </c>
    </row>
    <row r="9133" spans="1:6" ht="14.1" customHeight="1" x14ac:dyDescent="0.25">
      <c r="A9133" s="94" t="s">
        <v>13331</v>
      </c>
      <c r="B9133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9133" s="95" t="str">
        <f>IFERROR(VLOOKUP("M2",'Informacion '!P:Q,2,FALSE),"")</f>
        <v>Metro cuadrado</v>
      </c>
      <c r="D9133" s="94">
        <v>78.760000000000005</v>
      </c>
      <c r="E9133" s="84">
        <v>1087</v>
      </c>
      <c r="F9133" s="83">
        <f t="shared" ca="1" si="374"/>
        <v>85612.12000000001</v>
      </c>
    </row>
    <row r="9134" spans="1:6" ht="14.1" customHeight="1" x14ac:dyDescent="0.25">
      <c r="A9134" s="94" t="s">
        <v>13331</v>
      </c>
      <c r="B9134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9134" s="95" t="str">
        <f>IFERROR(VLOOKUP("M3",'Informacion '!P:Q,2,FALSE),"")</f>
        <v>Metro cúbico</v>
      </c>
      <c r="D9134" s="94">
        <v>17.829999999999998</v>
      </c>
      <c r="E9134" s="84">
        <v>1087</v>
      </c>
      <c r="F9134" s="83">
        <f t="shared" ref="F9134:F9165" ca="1" si="375">INDIRECT(ADDRESS(ROW(),COLUMN()-2,4))*INDIRECT(ADDRESS(ROW(),COLUMN()-1,4))</f>
        <v>19381.21</v>
      </c>
    </row>
    <row r="9135" spans="1:6" ht="14.1" customHeight="1" x14ac:dyDescent="0.25">
      <c r="A9135" s="94" t="s">
        <v>10002</v>
      </c>
      <c r="B9135" s="82" t="str">
        <f ca="1">IFERROR(INDEX(UNSPSCDes,MATCH(INDIRECT(ADDRESS(ROW(),COLUMN()-1,4)),UNSPSCCode,0)),IF(INDIRECT(ADDRESS(ROW(),COLUMN()-1,4))="72102403","Servicios de revestimientos de muros",""))</f>
        <v>Servicios de revestimientos de muros</v>
      </c>
      <c r="C9135" s="95" t="str">
        <f>IFERROR(VLOOKUP("UD",'Informacion '!P:Q,2,FALSE),"")</f>
        <v>Unidad</v>
      </c>
      <c r="D9135" s="94">
        <v>1</v>
      </c>
      <c r="E9135" s="84">
        <v>23000</v>
      </c>
      <c r="F9135" s="83">
        <f t="shared" ca="1" si="375"/>
        <v>23000</v>
      </c>
    </row>
    <row r="9136" spans="1:6" ht="14.1" customHeight="1" x14ac:dyDescent="0.25">
      <c r="A9136" s="94" t="s">
        <v>1899</v>
      </c>
      <c r="B9136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9136" s="95" t="str">
        <f>IFERROR(VLOOKUP("M2",'Informacion '!P:Q,2,FALSE),"")</f>
        <v>Metro cuadrado</v>
      </c>
      <c r="D9136" s="94">
        <v>22.5</v>
      </c>
      <c r="E9136" s="84">
        <v>1200</v>
      </c>
      <c r="F9136" s="83">
        <f t="shared" ca="1" si="375"/>
        <v>27000</v>
      </c>
    </row>
    <row r="9137" spans="1:6" ht="14.1" customHeight="1" x14ac:dyDescent="0.25">
      <c r="A9137" s="94" t="s">
        <v>5110</v>
      </c>
      <c r="B9137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9137" s="95" t="str">
        <f>IFERROR(VLOOKUP("M2",'Informacion '!P:Q,2,FALSE),"")</f>
        <v>Metro cuadrado</v>
      </c>
      <c r="D9137" s="94">
        <v>157.53</v>
      </c>
      <c r="E9137" s="84">
        <v>300</v>
      </c>
      <c r="F9137" s="83">
        <f t="shared" ca="1" si="375"/>
        <v>47259</v>
      </c>
    </row>
    <row r="9138" spans="1:6" ht="14.1" customHeight="1" x14ac:dyDescent="0.25">
      <c r="A9138" s="94" t="s">
        <v>10743</v>
      </c>
      <c r="B9138" s="82" t="str">
        <f ca="1">IFERROR(INDEX(UNSPSCDes,MATCH(INDIRECT(ADDRESS(ROW(),COLUMN()-1,4)),UNSPSCCode,0)),IF(INDIRECT(ADDRESS(ROW(),COLUMN()-1,4))="27111807","Bordes rectos",""))</f>
        <v>Bordes rectos</v>
      </c>
      <c r="C9138" s="95" t="str">
        <f>IFERROR(VLOOKUP("UD",'Informacion '!P:Q,2,FALSE),"")</f>
        <v>Unidad</v>
      </c>
      <c r="D9138" s="94">
        <v>15.6</v>
      </c>
      <c r="E9138" s="84">
        <v>63</v>
      </c>
      <c r="F9138" s="83">
        <f t="shared" ca="1" si="375"/>
        <v>982.8</v>
      </c>
    </row>
    <row r="9139" spans="1:6" ht="14.1" customHeight="1" x14ac:dyDescent="0.25">
      <c r="A9139" s="94" t="s">
        <v>10743</v>
      </c>
      <c r="B9139" s="82" t="str">
        <f ca="1">IFERROR(INDEX(UNSPSCDes,MATCH(INDIRECT(ADDRESS(ROW(),COLUMN()-1,4)),UNSPSCCode,0)),IF(INDIRECT(ADDRESS(ROW(),COLUMN()-1,4))="27111807","Bordes rectos",""))</f>
        <v>Bordes rectos</v>
      </c>
      <c r="C9139" s="95" t="str">
        <f>IFERROR(VLOOKUP("UD",'Informacion '!P:Q,2,FALSE),"")</f>
        <v>Unidad</v>
      </c>
      <c r="D9139" s="94">
        <v>31.2</v>
      </c>
      <c r="E9139" s="84">
        <v>63</v>
      </c>
      <c r="F9139" s="83">
        <f t="shared" ca="1" si="375"/>
        <v>1965.6</v>
      </c>
    </row>
    <row r="9140" spans="1:6" ht="14.1" customHeight="1" x14ac:dyDescent="0.25">
      <c r="A9140" s="94" t="s">
        <v>19089</v>
      </c>
      <c r="B9140" s="82" t="str">
        <f ca="1">IFERROR(INDEX(UNSPSCDes,MATCH(INDIRECT(ADDRESS(ROW(),COLUMN()-1,4)),UNSPSCCode,0)),IF(INDIRECT(ADDRESS(ROW(),COLUMN()-1,4))="31211505","Pinturas de aceite",""))</f>
        <v>Pinturas de aceite</v>
      </c>
      <c r="C9140" s="95" t="str">
        <f>IFERROR(VLOOKUP("M2",'Informacion '!P:Q,2,FALSE),"")</f>
        <v>Metro cuadrado</v>
      </c>
      <c r="D9140" s="94">
        <v>157.53</v>
      </c>
      <c r="E9140" s="84">
        <v>180</v>
      </c>
      <c r="F9140" s="83">
        <f t="shared" ca="1" si="375"/>
        <v>28355.4</v>
      </c>
    </row>
    <row r="9141" spans="1:6" ht="14.1" customHeight="1" x14ac:dyDescent="0.25">
      <c r="A9141" s="94" t="s">
        <v>12382</v>
      </c>
      <c r="B9141" s="82" t="str">
        <f ca="1">IFERROR(INDEX(UNSPSCDes,MATCH(INDIRECT(ADDRESS(ROW(),COLUMN()-1,4)),UNSPSCCode,0)),IF(INDIRECT(ADDRESS(ROW(),COLUMN()-1,4))="31211508","Pinturas acrílicas",""))</f>
        <v>Pinturas acrílicas</v>
      </c>
      <c r="C9141" s="95" t="str">
        <f>IFERROR(VLOOKUP("M2",'Informacion '!P:Q,2,FALSE),"")</f>
        <v>Metro cuadrado</v>
      </c>
      <c r="D9141" s="94">
        <v>157.53</v>
      </c>
      <c r="E9141" s="84">
        <v>157.53</v>
      </c>
      <c r="F9141" s="83">
        <f t="shared" ca="1" si="375"/>
        <v>24815.7009</v>
      </c>
    </row>
    <row r="9142" spans="1:6" ht="14.1" customHeight="1" x14ac:dyDescent="0.25">
      <c r="A9142" s="94" t="s">
        <v>2061</v>
      </c>
      <c r="B9142" s="82" t="str">
        <f ca="1">IFERROR(INDEX(UNSPSCDes,MATCH(INDIRECT(ADDRESS(ROW(),COLUMN()-1,4)),UNSPSCCode,0)),IF(INDIRECT(ADDRESS(ROW(),COLUMN()-1,4))="72101703","Construcción de aceras o bordillos",""))</f>
        <v>Construcción de aceras o bordillos</v>
      </c>
      <c r="C9142" s="95" t="str">
        <f>IFERROR(VLOOKUP("M2",'Informacion '!P:Q,2,FALSE),"")</f>
        <v>Metro cuadrado</v>
      </c>
      <c r="D9142" s="94">
        <v>1</v>
      </c>
      <c r="E9142" s="84">
        <v>1100</v>
      </c>
      <c r="F9142" s="83">
        <f t="shared" ca="1" si="375"/>
        <v>1100</v>
      </c>
    </row>
    <row r="9143" spans="1:6" ht="14.1" customHeight="1" x14ac:dyDescent="0.25">
      <c r="A9143" s="94" t="s">
        <v>1899</v>
      </c>
      <c r="B9143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9143" s="95" t="str">
        <f>IFERROR(VLOOKUP("M2",'Informacion '!P:Q,2,FALSE),"")</f>
        <v>Metro cuadrado</v>
      </c>
      <c r="D9143" s="94">
        <v>36.700000000000003</v>
      </c>
      <c r="E9143" s="84">
        <v>1100</v>
      </c>
      <c r="F9143" s="83">
        <f t="shared" ca="1" si="375"/>
        <v>40370</v>
      </c>
    </row>
    <row r="9144" spans="1:6" ht="14.1" customHeight="1" x14ac:dyDescent="0.25">
      <c r="A9144" s="94" t="s">
        <v>5924</v>
      </c>
      <c r="B9144" s="82" t="str">
        <f ca="1">IFERROR(INDEX(UNSPSCDes,MATCH(INDIRECT(ADDRESS(ROW(),COLUMN()-1,4)),UNSPSCCode,0)),IF(INDIRECT(ADDRESS(ROW(),COLUMN()-1,4))="32141107","Zócalos de tubo",""))</f>
        <v>Zócalos de tubo</v>
      </c>
      <c r="C9144" s="95" t="str">
        <f>IFERROR(VLOOKUP("UD",'Informacion '!P:Q,2,FALSE),"")</f>
        <v>Unidad</v>
      </c>
      <c r="D9144" s="94">
        <v>71.14</v>
      </c>
      <c r="E9144" s="84">
        <v>186.97</v>
      </c>
      <c r="F9144" s="83">
        <f t="shared" ca="1" si="375"/>
        <v>13301.0458</v>
      </c>
    </row>
    <row r="9145" spans="1:6" ht="14.1" customHeight="1" x14ac:dyDescent="0.25">
      <c r="A9145" s="94" t="s">
        <v>11424</v>
      </c>
      <c r="B9145" s="82" t="str">
        <f ca="1">IFERROR(INDEX(UNSPSCDes,MATCH(INDIRECT(ADDRESS(ROW(),COLUMN()-1,4)),UNSPSCCode,0)),IF(INDIRECT(ADDRESS(ROW(),COLUMN()-1,4))="30171505","Puertas de metal",""))</f>
        <v>Puertas de metal</v>
      </c>
      <c r="C9145" s="95" t="str">
        <f>IFERROR(VLOOKUP("UD",'Informacion '!P:Q,2,FALSE),"")</f>
        <v>Unidad</v>
      </c>
      <c r="D9145" s="94">
        <v>2</v>
      </c>
      <c r="E9145" s="84">
        <v>13000</v>
      </c>
      <c r="F9145" s="83">
        <f t="shared" ca="1" si="375"/>
        <v>26000</v>
      </c>
    </row>
    <row r="9146" spans="1:6" ht="14.1" customHeight="1" x14ac:dyDescent="0.25">
      <c r="A9146" s="94" t="s">
        <v>9738</v>
      </c>
      <c r="B9146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9146" s="95" t="str">
        <f>IFERROR(VLOOKUP("UD",'Informacion '!P:Q,2,FALSE),"")</f>
        <v>Unidad</v>
      </c>
      <c r="D9146" s="94">
        <v>1</v>
      </c>
      <c r="E9146" s="84">
        <v>3500</v>
      </c>
      <c r="F9146" s="83">
        <f t="shared" ca="1" si="375"/>
        <v>3500</v>
      </c>
    </row>
    <row r="9147" spans="1:6" ht="14.1" customHeight="1" x14ac:dyDescent="0.25">
      <c r="A9147" s="94" t="s">
        <v>10330</v>
      </c>
      <c r="B9147" s="82" t="str">
        <f ca="1">IFERROR(INDEX(UNSPSCDes,MATCH(INDIRECT(ADDRESS(ROW(),COLUMN()-1,4)),UNSPSCCode,0)),IF(INDIRECT(ADDRESS(ROW(),COLUMN()-1,4))="30181504","Lavamanos",""))</f>
        <v>Lavamanos</v>
      </c>
      <c r="C9147" s="95" t="str">
        <f>IFERROR(VLOOKUP("UD",'Informacion '!P:Q,2,FALSE),"")</f>
        <v>Unidad</v>
      </c>
      <c r="D9147" s="94">
        <v>3</v>
      </c>
      <c r="E9147" s="84">
        <v>1400</v>
      </c>
      <c r="F9147" s="83">
        <f t="shared" ca="1" si="375"/>
        <v>4200</v>
      </c>
    </row>
    <row r="9148" spans="1:6" ht="14.1" customHeight="1" x14ac:dyDescent="0.25">
      <c r="A9148" s="94" t="s">
        <v>17140</v>
      </c>
      <c r="B9148" s="82" t="str">
        <f ca="1">IFERROR(INDEX(UNSPSCDes,MATCH(INDIRECT(ADDRESS(ROW(),COLUMN()-1,4)),UNSPSCCode,0)),IF(INDIRECT(ADDRESS(ROW(),COLUMN()-1,4))="30181505","Inodoros o excusados",""))</f>
        <v>Inodoros o excusados</v>
      </c>
      <c r="C9148" s="95" t="str">
        <f>IFERROR(VLOOKUP("UD",'Informacion '!P:Q,2,FALSE),"")</f>
        <v>Unidad</v>
      </c>
      <c r="D9148" s="94">
        <v>1</v>
      </c>
      <c r="E9148" s="84">
        <v>4200</v>
      </c>
      <c r="F9148" s="83">
        <f t="shared" ca="1" si="375"/>
        <v>4200</v>
      </c>
    </row>
    <row r="9149" spans="1:6" ht="14.1" customHeight="1" x14ac:dyDescent="0.25">
      <c r="A9149" s="94" t="s">
        <v>6734</v>
      </c>
      <c r="B9149" s="82" t="str">
        <f ca="1">IFERROR(INDEX(UNSPSCDes,MATCH(INDIRECT(ADDRESS(ROW(),COLUMN()-1,4)),UNSPSCCode,0)),IF(INDIRECT(ADDRESS(ROW(),COLUMN()-1,4))="30181503","Duchas",""))</f>
        <v>Duchas</v>
      </c>
      <c r="C9149" s="95" t="str">
        <f>IFERROR(VLOOKUP("UD",'Informacion '!P:Q,2,FALSE),"")</f>
        <v>Unidad</v>
      </c>
      <c r="D9149" s="94">
        <v>1</v>
      </c>
      <c r="E9149" s="84">
        <v>5000</v>
      </c>
      <c r="F9149" s="83">
        <f t="shared" ca="1" si="375"/>
        <v>5000</v>
      </c>
    </row>
    <row r="9150" spans="1:6" ht="14.1" customHeight="1" x14ac:dyDescent="0.25">
      <c r="A9150" s="94" t="s">
        <v>11656</v>
      </c>
      <c r="B9150" s="82" t="str">
        <f ca="1">IFERROR(INDEX(UNSPSCDes,MATCH(INDIRECT(ADDRESS(ROW(),COLUMN()-1,4)),UNSPSCCode,0)),IF(INDIRECT(ADDRESS(ROW(),COLUMN()-1,4))="40141702","Grifos",""))</f>
        <v>Grifos</v>
      </c>
      <c r="C9150" s="95" t="str">
        <f>IFERROR(VLOOKUP("UD",'Informacion '!P:Q,2,FALSE),"")</f>
        <v>Unidad</v>
      </c>
      <c r="D9150" s="94">
        <v>1</v>
      </c>
      <c r="E9150" s="84">
        <v>1900</v>
      </c>
      <c r="F9150" s="83">
        <f t="shared" ca="1" si="375"/>
        <v>1900</v>
      </c>
    </row>
    <row r="9151" spans="1:6" ht="14.1" customHeight="1" x14ac:dyDescent="0.25">
      <c r="A9151" s="94" t="s">
        <v>11656</v>
      </c>
      <c r="B9151" s="82" t="str">
        <f ca="1">IFERROR(INDEX(UNSPSCDes,MATCH(INDIRECT(ADDRESS(ROW(),COLUMN()-1,4)),UNSPSCCode,0)),IF(INDIRECT(ADDRESS(ROW(),COLUMN()-1,4))="40141702","Grifos",""))</f>
        <v>Grifos</v>
      </c>
      <c r="C9151" s="95" t="str">
        <f>IFERROR(VLOOKUP("UD",'Informacion '!P:Q,2,FALSE),"")</f>
        <v>Unidad</v>
      </c>
      <c r="D9151" s="94">
        <v>1</v>
      </c>
      <c r="E9151" s="84">
        <v>1450</v>
      </c>
      <c r="F9151" s="83">
        <f t="shared" ca="1" si="375"/>
        <v>1450</v>
      </c>
    </row>
    <row r="9152" spans="1:6" ht="14.1" customHeight="1" x14ac:dyDescent="0.25">
      <c r="A9152" s="94" t="s">
        <v>9336</v>
      </c>
      <c r="B9152" s="82" t="str">
        <f ca="1">IFERROR(INDEX(UNSPSCDes,MATCH(INDIRECT(ADDRESS(ROW(),COLUMN()-1,4)),UNSPSCCode,0)),IF(INDIRECT(ADDRESS(ROW(),COLUMN()-1,4))="31101506","Piezas de acero fundidas a presión",""))</f>
        <v>Piezas de acero fundidas a presión</v>
      </c>
      <c r="C9152" s="95" t="str">
        <f>IFERROR(VLOOKUP("UD",'Informacion '!P:Q,2,FALSE),"")</f>
        <v>Unidad</v>
      </c>
      <c r="D9152" s="94">
        <v>1</v>
      </c>
      <c r="E9152" s="84">
        <v>20000</v>
      </c>
      <c r="F9152" s="83">
        <f t="shared" ca="1" si="375"/>
        <v>20000</v>
      </c>
    </row>
    <row r="9153" spans="1:6" ht="14.1" customHeight="1" x14ac:dyDescent="0.25">
      <c r="A9153" s="94" t="s">
        <v>14287</v>
      </c>
      <c r="B9153" s="82" t="str">
        <f ca="1">IFERROR(INDEX(UNSPSCDes,MATCH(INDIRECT(ADDRESS(ROW(),COLUMN()-1,4)),UNSPSCCode,0)),IF(INDIRECT(ADDRESS(ROW(),COLUMN()-1,4))="22101708","Extractores",""))</f>
        <v>Extractores</v>
      </c>
      <c r="C9153" s="95" t="str">
        <f>IFERROR(VLOOKUP("UD",'Informacion '!P:Q,2,FALSE),"")</f>
        <v>Unidad</v>
      </c>
      <c r="D9153" s="94">
        <v>4</v>
      </c>
      <c r="E9153" s="84">
        <v>16000</v>
      </c>
      <c r="F9153" s="83">
        <f t="shared" ca="1" si="375"/>
        <v>64000</v>
      </c>
    </row>
    <row r="9154" spans="1:6" ht="14.1" customHeight="1" x14ac:dyDescent="0.25">
      <c r="A9154" s="94" t="s">
        <v>1887</v>
      </c>
      <c r="B9154" s="82" t="str">
        <f ca="1">IFERROR(INDEX(UNSPSCDes,MATCH(INDIRECT(ADDRESS(ROW(),COLUMN()-1,4)),UNSPSCCode,0)),IF(INDIRECT(ADDRESS(ROW(),COLUMN()-1,4))="56122004","Unidades de bases para lavamanos",""))</f>
        <v>Unidades de bases para lavamanos</v>
      </c>
      <c r="C9154" s="95" t="str">
        <f>IFERROR(VLOOKUP("UD",'Informacion '!P:Q,2,FALSE),"")</f>
        <v>Unidad</v>
      </c>
      <c r="D9154" s="94">
        <v>2</v>
      </c>
      <c r="E9154" s="84">
        <v>12500</v>
      </c>
      <c r="F9154" s="83">
        <f t="shared" ca="1" si="375"/>
        <v>25000</v>
      </c>
    </row>
    <row r="9155" spans="1:6" ht="14.1" customHeight="1" x14ac:dyDescent="0.25">
      <c r="A9155" s="94" t="s">
        <v>18025</v>
      </c>
      <c r="B9155" s="82" t="str">
        <f ca="1">IFERROR(INDEX(UNSPSCDes,MATCH(INDIRECT(ADDRESS(ROW(),COLUMN()-1,4)),UNSPSCCode,0)),IF(INDIRECT(ADDRESS(ROW(),COLUMN()-1,4))="30191502","Andamios",""))</f>
        <v>Andamios</v>
      </c>
      <c r="C9155" s="95" t="str">
        <f>IFERROR(VLOOKUP("UD",'Informacion '!P:Q,2,FALSE),"")</f>
        <v>Unidad</v>
      </c>
      <c r="D9155" s="94">
        <v>1</v>
      </c>
      <c r="E9155" s="84">
        <v>15000</v>
      </c>
      <c r="F9155" s="83">
        <f t="shared" ca="1" si="375"/>
        <v>15000</v>
      </c>
    </row>
    <row r="9156" spans="1:6" ht="14.1" customHeight="1" x14ac:dyDescent="0.25">
      <c r="A9156" s="94" t="s">
        <v>6863</v>
      </c>
      <c r="B9156" s="82" t="str">
        <f ca="1">IFERROR(INDEX(UNSPSCDes,MATCH(INDIRECT(ADDRESS(ROW(),COLUMN()-1,4)),UNSPSCCode,0)),IF(INDIRECT(ADDRESS(ROW(),COLUMN()-1,4))="56101532","Set de muebles",""))</f>
        <v>Set de muebles</v>
      </c>
      <c r="C9156" s="95" t="str">
        <f>IFERROR(VLOOKUP("UD",'Informacion '!P:Q,2,FALSE),"")</f>
        <v>Unidad</v>
      </c>
      <c r="D9156" s="94">
        <v>2</v>
      </c>
      <c r="E9156" s="84">
        <v>10000</v>
      </c>
      <c r="F9156" s="83">
        <f t="shared" ca="1" si="375"/>
        <v>20000</v>
      </c>
    </row>
    <row r="9157" spans="1:6" ht="14.1" customHeight="1" x14ac:dyDescent="0.25">
      <c r="A9157" s="94" t="s">
        <v>17151</v>
      </c>
      <c r="B9157" s="82" t="str">
        <f ca="1">IFERROR(INDEX(UNSPSCDes,MATCH(INDIRECT(ADDRESS(ROW(),COLUMN()-1,4)),UNSPSCCode,0)),IF(INDIRECT(ADDRESS(ROW(),COLUMN()-1,4))="56111514","Paquetes de muebles de mostrador modulares",""))</f>
        <v>Paquetes de muebles de mostrador modulares</v>
      </c>
      <c r="C9157" s="95" t="str">
        <f>IFERROR(VLOOKUP("UD",'Informacion '!P:Q,2,FALSE),"")</f>
        <v>Unidad</v>
      </c>
      <c r="D9157" s="94">
        <v>1</v>
      </c>
      <c r="E9157" s="84">
        <v>15000</v>
      </c>
      <c r="F9157" s="83">
        <f t="shared" ca="1" si="375"/>
        <v>15000</v>
      </c>
    </row>
    <row r="9158" spans="1:6" ht="14.1" customHeight="1" x14ac:dyDescent="0.25">
      <c r="A9158" s="94" t="s">
        <v>9605</v>
      </c>
      <c r="B9158" s="82" t="str">
        <f ca="1">IFERROR(INDEX(UNSPSCDes,MATCH(INDIRECT(ADDRESS(ROW(),COLUMN()-1,4)),UNSPSCCode,0)),IF(INDIRECT(ADDRESS(ROW(),COLUMN()-1,4))="56101522","Sillas de brazos",""))</f>
        <v>Sillas de brazos</v>
      </c>
      <c r="C9158" s="95" t="str">
        <f>IFERROR(VLOOKUP("UD",'Informacion '!P:Q,2,FALSE),"")</f>
        <v>Unidad</v>
      </c>
      <c r="D9158" s="94">
        <v>1</v>
      </c>
      <c r="E9158" s="84">
        <v>8500</v>
      </c>
      <c r="F9158" s="83">
        <f t="shared" ca="1" si="375"/>
        <v>8500</v>
      </c>
    </row>
    <row r="9159" spans="1:6" ht="14.1" customHeight="1" x14ac:dyDescent="0.25">
      <c r="A9159" s="94" t="s">
        <v>11262</v>
      </c>
      <c r="B9159" s="82" t="str">
        <f ca="1">IFERROR(INDEX(UNSPSCDes,MATCH(INDIRECT(ADDRESS(ROW(),COLUMN()-1,4)),UNSPSCCode,0)),IF(INDIRECT(ADDRESS(ROW(),COLUMN()-1,4))="12142105","Aire industrial",""))</f>
        <v>Aire industrial</v>
      </c>
      <c r="C9159" s="95" t="str">
        <f>IFERROR(VLOOKUP("UD",'Informacion '!P:Q,2,FALSE),"")</f>
        <v>Unidad</v>
      </c>
      <c r="D9159" s="94">
        <v>1</v>
      </c>
      <c r="E9159" s="84">
        <v>170000</v>
      </c>
      <c r="F9159" s="83">
        <f t="shared" ca="1" si="375"/>
        <v>170000</v>
      </c>
    </row>
    <row r="9160" spans="1:6" ht="14.1" customHeight="1" x14ac:dyDescent="0.25">
      <c r="A9160" s="94" t="s">
        <v>8503</v>
      </c>
      <c r="B9160" s="82" t="str">
        <f ca="1">IFERROR(INDEX(UNSPSCDes,MATCH(INDIRECT(ADDRESS(ROW(),COLUMN()-1,4)),UNSPSCCode,0)),IF(INDIRECT(ADDRESS(ROW(),COLUMN()-1,4))="21101512","Gastos generales de riego",""))</f>
        <v>Gastos generales de riego</v>
      </c>
      <c r="C9160" s="95" t="str">
        <f>IFERROR(VLOOKUP("UD",'Informacion '!P:Q,2,FALSE),"")</f>
        <v>Unidad</v>
      </c>
      <c r="D9160" s="94">
        <v>1</v>
      </c>
      <c r="E9160" s="84">
        <v>170000</v>
      </c>
      <c r="F9160" s="83">
        <f t="shared" ca="1" si="375"/>
        <v>170000</v>
      </c>
    </row>
    <row r="9161" spans="1:6" ht="14.1" customHeight="1" x14ac:dyDescent="0.25">
      <c r="A9161" s="94" t="s">
        <v>7524</v>
      </c>
      <c r="B9161" s="82" t="str">
        <f ca="1">IFERROR(INDEX(UNSPSCDes,MATCH(INDIRECT(ADDRESS(ROW(),COLUMN()-1,4)),UNSPSCCode,0)),IF(INDIRECT(ADDRESS(ROW(),COLUMN()-1,4))="72103003","Servicios de demolición",""))</f>
        <v>Servicios de demolición</v>
      </c>
      <c r="C9161" s="95" t="str">
        <f>IFERROR(VLOOKUP("UD",'Informacion '!P:Q,2,FALSE),"")</f>
        <v>Unidad</v>
      </c>
      <c r="D9161" s="94">
        <v>2</v>
      </c>
      <c r="E9161" s="84">
        <v>6000</v>
      </c>
      <c r="F9161" s="83">
        <f t="shared" ca="1" si="375"/>
        <v>12000</v>
      </c>
    </row>
    <row r="9162" spans="1:6" ht="14.1" customHeight="1" x14ac:dyDescent="0.25">
      <c r="A9162" s="94" t="s">
        <v>13331</v>
      </c>
      <c r="B9162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9162" s="95" t="str">
        <f>IFERROR(VLOOKUP("M2",'Informacion '!P:Q,2,FALSE),"")</f>
        <v>Metro cuadrado</v>
      </c>
      <c r="D9162" s="94">
        <v>21.77</v>
      </c>
      <c r="E9162" s="84">
        <v>1087</v>
      </c>
      <c r="F9162" s="83">
        <f t="shared" ca="1" si="375"/>
        <v>23663.989999999998</v>
      </c>
    </row>
    <row r="9163" spans="1:6" ht="14.1" customHeight="1" x14ac:dyDescent="0.25">
      <c r="A9163" s="94" t="s">
        <v>1899</v>
      </c>
      <c r="B9163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9163" s="95" t="str">
        <f>IFERROR(VLOOKUP("M2",'Informacion '!P:Q,2,FALSE),"")</f>
        <v>Metro cuadrado</v>
      </c>
      <c r="D9163" s="94">
        <v>168</v>
      </c>
      <c r="E9163" s="84">
        <v>1200</v>
      </c>
      <c r="F9163" s="83">
        <f t="shared" ca="1" si="375"/>
        <v>201600</v>
      </c>
    </row>
    <row r="9164" spans="1:6" ht="14.1" customHeight="1" x14ac:dyDescent="0.25">
      <c r="A9164" s="94" t="s">
        <v>5110</v>
      </c>
      <c r="B9164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9164" s="95" t="str">
        <f>IFERROR(VLOOKUP("M2",'Informacion '!P:Q,2,FALSE),"")</f>
        <v>Metro cuadrado</v>
      </c>
      <c r="D9164" s="94">
        <v>43.54</v>
      </c>
      <c r="E9164" s="84">
        <v>300</v>
      </c>
      <c r="F9164" s="83">
        <f t="shared" ca="1" si="375"/>
        <v>13062</v>
      </c>
    </row>
    <row r="9165" spans="1:6" ht="14.1" customHeight="1" x14ac:dyDescent="0.25">
      <c r="A9165" s="94" t="s">
        <v>4543</v>
      </c>
      <c r="B9165" s="82" t="str">
        <f ca="1">IFERROR(INDEX(UNSPSCDes,MATCH(INDIRECT(ADDRESS(ROW(),COLUMN()-1,4)),UNSPSCCode,0)),IF(INDIRECT(ADDRESS(ROW(),COLUMN()-1,4))="27113201","Conjuntos generales de herramientas",""))</f>
        <v>Conjuntos generales de herramientas</v>
      </c>
      <c r="C9165" s="95" t="str">
        <f>IFERROR(VLOOKUP("UD",'Informacion '!P:Q,2,FALSE),"")</f>
        <v>Unidad</v>
      </c>
      <c r="D9165" s="94">
        <v>15.3</v>
      </c>
      <c r="E9165" s="84">
        <v>63</v>
      </c>
      <c r="F9165" s="83">
        <f t="shared" ca="1" si="375"/>
        <v>963.90000000000009</v>
      </c>
    </row>
    <row r="9166" spans="1:6" ht="14.1" customHeight="1" x14ac:dyDescent="0.25">
      <c r="A9166" s="94" t="s">
        <v>10743</v>
      </c>
      <c r="B9166" s="82" t="str">
        <f ca="1">IFERROR(INDEX(UNSPSCDes,MATCH(INDIRECT(ADDRESS(ROW(),COLUMN()-1,4)),UNSPSCCode,0)),IF(INDIRECT(ADDRESS(ROW(),COLUMN()-1,4))="27111807","Bordes rectos",""))</f>
        <v>Bordes rectos</v>
      </c>
      <c r="C9166" s="95" t="str">
        <f>IFERROR(VLOOKUP("UD",'Informacion '!P:Q,2,FALSE),"")</f>
        <v>Unidad</v>
      </c>
      <c r="D9166" s="94">
        <v>30.6</v>
      </c>
      <c r="E9166" s="84">
        <v>63</v>
      </c>
      <c r="F9166" s="83">
        <f t="shared" ref="F9166:F9197" ca="1" si="376">INDIRECT(ADDRESS(ROW(),COLUMN()-2,4))*INDIRECT(ADDRESS(ROW(),COLUMN()-1,4))</f>
        <v>1927.8000000000002</v>
      </c>
    </row>
    <row r="9167" spans="1:6" ht="14.1" customHeight="1" x14ac:dyDescent="0.25">
      <c r="A9167" s="94" t="s">
        <v>19089</v>
      </c>
      <c r="B9167" s="82" t="str">
        <f ca="1">IFERROR(INDEX(UNSPSCDes,MATCH(INDIRECT(ADDRESS(ROW(),COLUMN()-1,4)),UNSPSCCode,0)),IF(INDIRECT(ADDRESS(ROW(),COLUMN()-1,4))="31211505","Pinturas de aceite",""))</f>
        <v>Pinturas de aceite</v>
      </c>
      <c r="C9167" s="95" t="str">
        <f>IFERROR(VLOOKUP("M2",'Informacion '!P:Q,2,FALSE),"")</f>
        <v>Metro cuadrado</v>
      </c>
      <c r="D9167" s="94">
        <v>50</v>
      </c>
      <c r="E9167" s="84">
        <v>180</v>
      </c>
      <c r="F9167" s="83">
        <f t="shared" ca="1" si="376"/>
        <v>9000</v>
      </c>
    </row>
    <row r="9168" spans="1:6" ht="14.1" customHeight="1" x14ac:dyDescent="0.25">
      <c r="A9168" s="94" t="s">
        <v>12382</v>
      </c>
      <c r="B9168" s="82" t="str">
        <f ca="1">IFERROR(INDEX(UNSPSCDes,MATCH(INDIRECT(ADDRESS(ROW(),COLUMN()-1,4)),UNSPSCCode,0)),IF(INDIRECT(ADDRESS(ROW(),COLUMN()-1,4))="31211508","Pinturas acrílicas",""))</f>
        <v>Pinturas acrílicas</v>
      </c>
      <c r="C9168" s="95" t="str">
        <f>IFERROR(VLOOKUP("M2",'Informacion '!P:Q,2,FALSE),"")</f>
        <v>Metro cuadrado</v>
      </c>
      <c r="D9168" s="94">
        <v>50</v>
      </c>
      <c r="E9168" s="84">
        <v>115.3</v>
      </c>
      <c r="F9168" s="83">
        <f t="shared" ca="1" si="376"/>
        <v>5765</v>
      </c>
    </row>
    <row r="9169" spans="1:6" ht="14.1" customHeight="1" x14ac:dyDescent="0.25">
      <c r="A9169" s="94" t="s">
        <v>1899</v>
      </c>
      <c r="B9169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9169" s="95" t="str">
        <f>IFERROR(VLOOKUP("M2",'Informacion '!P:Q,2,FALSE),"")</f>
        <v>Metro cuadrado</v>
      </c>
      <c r="D9169" s="94">
        <v>6.5</v>
      </c>
      <c r="E9169" s="84">
        <v>1100</v>
      </c>
      <c r="F9169" s="83">
        <f t="shared" ca="1" si="376"/>
        <v>7150</v>
      </c>
    </row>
    <row r="9170" spans="1:6" ht="14.1" customHeight="1" x14ac:dyDescent="0.25">
      <c r="A9170" s="94" t="s">
        <v>5924</v>
      </c>
      <c r="B9170" s="82" t="str">
        <f ca="1">IFERROR(INDEX(UNSPSCDes,MATCH(INDIRECT(ADDRESS(ROW(),COLUMN()-1,4)),UNSPSCCode,0)),IF(INDIRECT(ADDRESS(ROW(),COLUMN()-1,4))="32141107","Zócalos de tubo",""))</f>
        <v>Zócalos de tubo</v>
      </c>
      <c r="C9170" s="95" t="str">
        <f>IFERROR(VLOOKUP("UD",'Informacion '!P:Q,2,FALSE),"")</f>
        <v>Unidad</v>
      </c>
      <c r="D9170" s="94">
        <v>16.5</v>
      </c>
      <c r="E9170" s="84">
        <v>186.97</v>
      </c>
      <c r="F9170" s="83">
        <f t="shared" ca="1" si="376"/>
        <v>3085.0050000000001</v>
      </c>
    </row>
    <row r="9171" spans="1:6" ht="14.1" customHeight="1" x14ac:dyDescent="0.25">
      <c r="A9171" s="94" t="s">
        <v>11424</v>
      </c>
      <c r="B9171" s="82" t="str">
        <f ca="1">IFERROR(INDEX(UNSPSCDes,MATCH(INDIRECT(ADDRESS(ROW(),COLUMN()-1,4)),UNSPSCCode,0)),IF(INDIRECT(ADDRESS(ROW(),COLUMN()-1,4))="30171505","Puertas de metal",""))</f>
        <v>Puertas de metal</v>
      </c>
      <c r="C9171" s="95" t="str">
        <f>IFERROR(VLOOKUP("UD",'Informacion '!P:Q,2,FALSE),"")</f>
        <v>Unidad</v>
      </c>
      <c r="D9171" s="94">
        <v>5</v>
      </c>
      <c r="E9171" s="84">
        <v>13000</v>
      </c>
      <c r="F9171" s="83">
        <f t="shared" ca="1" si="376"/>
        <v>65000</v>
      </c>
    </row>
    <row r="9172" spans="1:6" ht="14.1" customHeight="1" x14ac:dyDescent="0.25">
      <c r="A9172" s="94" t="s">
        <v>10330</v>
      </c>
      <c r="B9172" s="82" t="str">
        <f ca="1">IFERROR(INDEX(UNSPSCDes,MATCH(INDIRECT(ADDRESS(ROW(),COLUMN()-1,4)),UNSPSCCode,0)),IF(INDIRECT(ADDRESS(ROW(),COLUMN()-1,4))="30181504","Lavamanos",""))</f>
        <v>Lavamanos</v>
      </c>
      <c r="C9172" s="95" t="str">
        <f>IFERROR(VLOOKUP("UD",'Informacion '!P:Q,2,FALSE),"")</f>
        <v>Unidad</v>
      </c>
      <c r="D9172" s="94">
        <v>1</v>
      </c>
      <c r="E9172" s="84">
        <v>1400</v>
      </c>
      <c r="F9172" s="83">
        <f t="shared" ca="1" si="376"/>
        <v>1400</v>
      </c>
    </row>
    <row r="9173" spans="1:6" ht="14.1" customHeight="1" x14ac:dyDescent="0.25">
      <c r="A9173" s="94" t="s">
        <v>17140</v>
      </c>
      <c r="B9173" s="82" t="str">
        <f ca="1">IFERROR(INDEX(UNSPSCDes,MATCH(INDIRECT(ADDRESS(ROW(),COLUMN()-1,4)),UNSPSCCode,0)),IF(INDIRECT(ADDRESS(ROW(),COLUMN()-1,4))="30181505","Inodoros o excusados",""))</f>
        <v>Inodoros o excusados</v>
      </c>
      <c r="C9173" s="95" t="str">
        <f>IFERROR(VLOOKUP("UD",'Informacion '!P:Q,2,FALSE),"")</f>
        <v>Unidad</v>
      </c>
      <c r="D9173" s="94">
        <v>1</v>
      </c>
      <c r="E9173" s="84">
        <v>4200</v>
      </c>
      <c r="F9173" s="83">
        <f t="shared" ca="1" si="376"/>
        <v>4200</v>
      </c>
    </row>
    <row r="9174" spans="1:6" ht="14.1" customHeight="1" x14ac:dyDescent="0.25">
      <c r="A9174" s="94" t="s">
        <v>11656</v>
      </c>
      <c r="B9174" s="82" t="str">
        <f ca="1">IFERROR(INDEX(UNSPSCDes,MATCH(INDIRECT(ADDRESS(ROW(),COLUMN()-1,4)),UNSPSCCode,0)),IF(INDIRECT(ADDRESS(ROW(),COLUMN()-1,4))="40141702","Grifos",""))</f>
        <v>Grifos</v>
      </c>
      <c r="C9174" s="95" t="str">
        <f>IFERROR(VLOOKUP("UD",'Informacion '!P:Q,2,FALSE),"")</f>
        <v>Unidad</v>
      </c>
      <c r="D9174" s="94">
        <v>1</v>
      </c>
      <c r="E9174" s="84">
        <v>1450</v>
      </c>
      <c r="F9174" s="83">
        <f t="shared" ca="1" si="376"/>
        <v>1450</v>
      </c>
    </row>
    <row r="9175" spans="1:6" ht="14.1" customHeight="1" x14ac:dyDescent="0.25">
      <c r="A9175" s="94" t="s">
        <v>9336</v>
      </c>
      <c r="B9175" s="82" t="str">
        <f ca="1">IFERROR(INDEX(UNSPSCDes,MATCH(INDIRECT(ADDRESS(ROW(),COLUMN()-1,4)),UNSPSCCode,0)),IF(INDIRECT(ADDRESS(ROW(),COLUMN()-1,4))="31101506","Piezas de acero fundidas a presión",""))</f>
        <v>Piezas de acero fundidas a presión</v>
      </c>
      <c r="C9175" s="95" t="str">
        <f>IFERROR(VLOOKUP("UD",'Informacion '!P:Q,2,FALSE),"")</f>
        <v>Unidad</v>
      </c>
      <c r="D9175" s="94">
        <v>1</v>
      </c>
      <c r="E9175" s="84">
        <v>20000</v>
      </c>
      <c r="F9175" s="83">
        <f t="shared" ca="1" si="376"/>
        <v>20000</v>
      </c>
    </row>
    <row r="9176" spans="1:6" ht="14.1" customHeight="1" x14ac:dyDescent="0.25">
      <c r="A9176" s="94" t="s">
        <v>14287</v>
      </c>
      <c r="B9176" s="82" t="str">
        <f ca="1">IFERROR(INDEX(UNSPSCDes,MATCH(INDIRECT(ADDRESS(ROW(),COLUMN()-1,4)),UNSPSCCode,0)),IF(INDIRECT(ADDRESS(ROW(),COLUMN()-1,4))="22101708","Extractores",""))</f>
        <v>Extractores</v>
      </c>
      <c r="C9176" s="95" t="str">
        <f>IFERROR(VLOOKUP("UD",'Informacion '!P:Q,2,FALSE),"")</f>
        <v>Unidad</v>
      </c>
      <c r="D9176" s="94">
        <v>1</v>
      </c>
      <c r="E9176" s="84">
        <v>20200</v>
      </c>
      <c r="F9176" s="83">
        <f t="shared" ca="1" si="376"/>
        <v>20200</v>
      </c>
    </row>
    <row r="9177" spans="1:6" ht="14.1" customHeight="1" x14ac:dyDescent="0.25">
      <c r="A9177" s="94" t="s">
        <v>1887</v>
      </c>
      <c r="B9177" s="82" t="str">
        <f ca="1">IFERROR(INDEX(UNSPSCDes,MATCH(INDIRECT(ADDRESS(ROW(),COLUMN()-1,4)),UNSPSCCode,0)),IF(INDIRECT(ADDRESS(ROW(),COLUMN()-1,4))="56122004","Unidades de bases para lavamanos",""))</f>
        <v>Unidades de bases para lavamanos</v>
      </c>
      <c r="C9177" s="95" t="str">
        <f>IFERROR(VLOOKUP("UD",'Informacion '!P:Q,2,FALSE),"")</f>
        <v>Unidad</v>
      </c>
      <c r="D9177" s="94">
        <v>1</v>
      </c>
      <c r="E9177" s="84">
        <v>12500</v>
      </c>
      <c r="F9177" s="83">
        <f t="shared" ca="1" si="376"/>
        <v>12500</v>
      </c>
    </row>
    <row r="9178" spans="1:6" ht="14.1" customHeight="1" x14ac:dyDescent="0.25">
      <c r="A9178" s="94" t="s">
        <v>17151</v>
      </c>
      <c r="B9178" s="82" t="str">
        <f ca="1">IFERROR(INDEX(UNSPSCDes,MATCH(INDIRECT(ADDRESS(ROW(),COLUMN()-1,4)),UNSPSCCode,0)),IF(INDIRECT(ADDRESS(ROW(),COLUMN()-1,4))="56111514","Paquetes de muebles de mostrador modulares",""))</f>
        <v>Paquetes de muebles de mostrador modulares</v>
      </c>
      <c r="C9178" s="95" t="str">
        <f>IFERROR(VLOOKUP("UD",'Informacion '!P:Q,2,FALSE),"")</f>
        <v>Unidad</v>
      </c>
      <c r="D9178" s="94">
        <v>1</v>
      </c>
      <c r="E9178" s="84">
        <v>100000</v>
      </c>
      <c r="F9178" s="83">
        <f t="shared" ca="1" si="376"/>
        <v>100000</v>
      </c>
    </row>
    <row r="9179" spans="1:6" ht="14.1" customHeight="1" x14ac:dyDescent="0.25">
      <c r="A9179" s="94" t="s">
        <v>17151</v>
      </c>
      <c r="B9179" s="82" t="str">
        <f ca="1">IFERROR(INDEX(UNSPSCDes,MATCH(INDIRECT(ADDRESS(ROW(),COLUMN()-1,4)),UNSPSCCode,0)),IF(INDIRECT(ADDRESS(ROW(),COLUMN()-1,4))="56111514","Paquetes de muebles de mostrador modulares",""))</f>
        <v>Paquetes de muebles de mostrador modulares</v>
      </c>
      <c r="C9179" s="95" t="str">
        <f>IFERROR(VLOOKUP("UD",'Informacion '!P:Q,2,FALSE),"")</f>
        <v>Unidad</v>
      </c>
      <c r="D9179" s="94">
        <v>1</v>
      </c>
      <c r="E9179" s="84">
        <v>25000</v>
      </c>
      <c r="F9179" s="83">
        <f t="shared" ca="1" si="376"/>
        <v>25000</v>
      </c>
    </row>
    <row r="9180" spans="1:6" ht="14.1" customHeight="1" x14ac:dyDescent="0.25">
      <c r="A9180" s="94" t="s">
        <v>9605</v>
      </c>
      <c r="B9180" s="82" t="str">
        <f ca="1">IFERROR(INDEX(UNSPSCDes,MATCH(INDIRECT(ADDRESS(ROW(),COLUMN()-1,4)),UNSPSCCode,0)),IF(INDIRECT(ADDRESS(ROW(),COLUMN()-1,4))="56101522","Sillas de brazos",""))</f>
        <v>Sillas de brazos</v>
      </c>
      <c r="C9180" s="95" t="str">
        <f>IFERROR(VLOOKUP("UD",'Informacion '!P:Q,2,FALSE),"")</f>
        <v>Unidad</v>
      </c>
      <c r="D9180" s="94">
        <v>3</v>
      </c>
      <c r="E9180" s="84">
        <v>8500</v>
      </c>
      <c r="F9180" s="83">
        <f t="shared" ca="1" si="376"/>
        <v>25500</v>
      </c>
    </row>
    <row r="9181" spans="1:6" ht="14.1" customHeight="1" x14ac:dyDescent="0.25">
      <c r="A9181" s="94" t="s">
        <v>8503</v>
      </c>
      <c r="B9181" s="82" t="str">
        <f ca="1">IFERROR(INDEX(UNSPSCDes,MATCH(INDIRECT(ADDRESS(ROW(),COLUMN()-1,4)),UNSPSCCode,0)),IF(INDIRECT(ADDRESS(ROW(),COLUMN()-1,4))="21101512","Gastos generales de riego",""))</f>
        <v>Gastos generales de riego</v>
      </c>
      <c r="C9181" s="95" t="str">
        <f>IFERROR(VLOOKUP("UD",'Informacion '!P:Q,2,FALSE),"")</f>
        <v>Unidad</v>
      </c>
      <c r="D9181" s="94">
        <v>1</v>
      </c>
      <c r="E9181" s="84">
        <v>138366.92000000001</v>
      </c>
      <c r="F9181" s="83">
        <f t="shared" ca="1" si="376"/>
        <v>138366.92000000001</v>
      </c>
    </row>
    <row r="9182" spans="1:6" ht="14.1" customHeight="1" x14ac:dyDescent="0.25">
      <c r="A9182" s="94" t="s">
        <v>15226</v>
      </c>
      <c r="B9182" s="82" t="str">
        <f ca="1">IFERROR(INDEX(UNSPSCDes,MATCH(INDIRECT(ADDRESS(ROW(),COLUMN()-1,4)),UNSPSCCode,0)),IF(INDIRECT(ADDRESS(ROW(),COLUMN()-1,4))="72101701","Servicios de hormigón o estuco para exteriores",""))</f>
        <v>Servicios de hormigón o estuco para exteriores</v>
      </c>
      <c r="C9182" s="95" t="str">
        <f>IFERROR(VLOOKUP("M3",'Informacion '!P:Q,2,FALSE),"")</f>
        <v>Metro cúbico</v>
      </c>
      <c r="D9182" s="94">
        <v>12</v>
      </c>
      <c r="E9182" s="84">
        <v>10000</v>
      </c>
      <c r="F9182" s="83">
        <f t="shared" ca="1" si="376"/>
        <v>120000</v>
      </c>
    </row>
    <row r="9183" spans="1:6" ht="14.1" customHeight="1" x14ac:dyDescent="0.25">
      <c r="A9183" s="94" t="s">
        <v>5565</v>
      </c>
      <c r="B9183" s="82" t="str">
        <f ca="1">IFERROR(INDEX(UNSPSCDes,MATCH(INDIRECT(ADDRESS(ROW(),COLUMN()-1,4)),UNSPSCCode,0)),IF(INDIRECT(ADDRESS(ROW(),COLUMN()-1,4))="11151511","Fibras de polipropileno",""))</f>
        <v>Fibras de polipropileno</v>
      </c>
      <c r="C9183" s="95" t="str">
        <f>IFERROR(VLOOKUP("UD",'Informacion '!P:Q,2,FALSE),"")</f>
        <v>Unidad</v>
      </c>
      <c r="D9183" s="94">
        <v>12</v>
      </c>
      <c r="E9183" s="84">
        <v>400</v>
      </c>
      <c r="F9183" s="83">
        <f t="shared" ca="1" si="376"/>
        <v>4800</v>
      </c>
    </row>
    <row r="9184" spans="1:6" ht="14.1" customHeight="1" x14ac:dyDescent="0.25">
      <c r="A9184" s="94" t="s">
        <v>4479</v>
      </c>
      <c r="B9184" s="82" t="str">
        <f ca="1">IFERROR(INDEX(UNSPSCDes,MATCH(INDIRECT(ADDRESS(ROW(),COLUMN()-1,4)),UNSPSCCode,0)),IF(INDIRECT(ADDRESS(ROW(),COLUMN()-1,4))="22101618","Equipos de preparación de superficies de rodamiento o mecanismos para su colocación",""))</f>
        <v>Equipos de preparación de superficies de rodamiento o mecanismos para su colocación</v>
      </c>
      <c r="C9184" s="95" t="str">
        <f>IFERROR(VLOOKUP("M2",'Informacion '!P:Q,2,FALSE),"")</f>
        <v>Metro cuadrado</v>
      </c>
      <c r="D9184" s="94">
        <v>226.56</v>
      </c>
      <c r="E9184" s="84">
        <v>100</v>
      </c>
      <c r="F9184" s="83">
        <f t="shared" ca="1" si="376"/>
        <v>22656</v>
      </c>
    </row>
    <row r="9185" spans="1:6" ht="14.1" customHeight="1" x14ac:dyDescent="0.25">
      <c r="A9185" s="94" t="s">
        <v>18992</v>
      </c>
      <c r="B9185" s="82" t="str">
        <f ca="1">IFERROR(INDEX(UNSPSCDes,MATCH(INDIRECT(ADDRESS(ROW(),COLUMN()-1,4)),UNSPSCCode,0)),IF(INDIRECT(ADDRESS(ROW(),COLUMN()-1,4))="32101527","Terminaciones",""))</f>
        <v>Terminaciones</v>
      </c>
      <c r="C9185" s="95" t="str">
        <f>IFERROR(VLOOKUP("M2",'Informacion '!P:Q,2,FALSE),"")</f>
        <v>Metro cuadrado</v>
      </c>
      <c r="D9185" s="94">
        <v>226.56</v>
      </c>
      <c r="E9185" s="84">
        <v>140</v>
      </c>
      <c r="F9185" s="83">
        <f t="shared" ca="1" si="376"/>
        <v>31718.400000000001</v>
      </c>
    </row>
    <row r="9186" spans="1:6" ht="14.1" customHeight="1" x14ac:dyDescent="0.25">
      <c r="A9186" s="94" t="s">
        <v>8503</v>
      </c>
      <c r="B9186" s="82" t="str">
        <f ca="1">IFERROR(INDEX(UNSPSCDes,MATCH(INDIRECT(ADDRESS(ROW(),COLUMN()-1,4)),UNSPSCCode,0)),IF(INDIRECT(ADDRESS(ROW(),COLUMN()-1,4))="21101512","Gastos generales de riego",""))</f>
        <v>Gastos generales de riego</v>
      </c>
      <c r="C9186" s="95" t="str">
        <f>IFERROR(VLOOKUP("UD",'Informacion '!P:Q,2,FALSE),"")</f>
        <v>Unidad</v>
      </c>
      <c r="D9186" s="94">
        <v>1</v>
      </c>
      <c r="E9186" s="84">
        <v>40000</v>
      </c>
      <c r="F9186" s="83">
        <f t="shared" ca="1" si="376"/>
        <v>40000</v>
      </c>
    </row>
    <row r="9187" spans="1:6" ht="14.1" customHeight="1" x14ac:dyDescent="0.25">
      <c r="A9187" s="94" t="s">
        <v>7524</v>
      </c>
      <c r="B9187" s="82" t="str">
        <f ca="1">IFERROR(INDEX(UNSPSCDes,MATCH(INDIRECT(ADDRESS(ROW(),COLUMN()-1,4)),UNSPSCCode,0)),IF(INDIRECT(ADDRESS(ROW(),COLUMN()-1,4))="72103003","Servicios de demolición",""))</f>
        <v>Servicios de demolición</v>
      </c>
      <c r="C9187" s="95" t="str">
        <f>IFERROR(VLOOKUP("UD",'Informacion '!P:Q,2,FALSE),"")</f>
        <v>Unidad</v>
      </c>
      <c r="D9187" s="94">
        <v>3</v>
      </c>
      <c r="E9187" s="84">
        <v>6000</v>
      </c>
      <c r="F9187" s="83">
        <f t="shared" ca="1" si="376"/>
        <v>18000</v>
      </c>
    </row>
    <row r="9188" spans="1:6" ht="14.1" customHeight="1" x14ac:dyDescent="0.25">
      <c r="A9188" s="94" t="s">
        <v>18068</v>
      </c>
      <c r="B9188" s="82" t="str">
        <f ca="1">IFERROR(INDEX(UNSPSCDes,MATCH(INDIRECT(ADDRESS(ROW(),COLUMN()-1,4)),UNSPSCCode,0)),IF(INDIRECT(ADDRESS(ROW(),COLUMN()-1,4))="72103004","Servicios de excavación",""))</f>
        <v>Servicios de excavación</v>
      </c>
      <c r="C9188" s="95" t="str">
        <f>IFERROR(VLOOKUP("M3",'Informacion '!P:Q,2,FALSE),"")</f>
        <v>Metro cúbico</v>
      </c>
      <c r="D9188" s="94">
        <v>1.43</v>
      </c>
      <c r="E9188" s="84">
        <v>6201.95</v>
      </c>
      <c r="F9188" s="83">
        <f t="shared" ca="1" si="376"/>
        <v>8868.7884999999987</v>
      </c>
    </row>
    <row r="9189" spans="1:6" ht="14.1" customHeight="1" x14ac:dyDescent="0.25">
      <c r="A9189" s="94" t="s">
        <v>2243</v>
      </c>
      <c r="B9189" s="82" t="str">
        <f ca="1">IFERROR(INDEX(UNSPSCDes,MATCH(INDIRECT(ADDRESS(ROW(),COLUMN()-1,4)),UNSPSCCode,0)),IF(INDIRECT(ADDRESS(ROW(),COLUMN()-1,4))="30101717","Vigas de concreto",""))</f>
        <v>Vigas de concreto</v>
      </c>
      <c r="C9189" s="95" t="str">
        <f>IFERROR(VLOOKUP("M2",'Informacion '!P:Q,2,FALSE),"")</f>
        <v>Metro cuadrado</v>
      </c>
      <c r="D9189" s="94">
        <v>0.5</v>
      </c>
      <c r="E9189" s="84">
        <v>25054.58</v>
      </c>
      <c r="F9189" s="83">
        <f t="shared" ca="1" si="376"/>
        <v>12527.29</v>
      </c>
    </row>
    <row r="9190" spans="1:6" ht="14.1" customHeight="1" x14ac:dyDescent="0.25">
      <c r="A9190" s="94" t="s">
        <v>12385</v>
      </c>
      <c r="B9190" s="82" t="str">
        <f ca="1">IFERROR(INDEX(UNSPSCDes,MATCH(INDIRECT(ADDRESS(ROW(),COLUMN()-1,4)),UNSPSCCode,0)),IF(INDIRECT(ADDRESS(ROW(),COLUMN()-1,4))="30103603","Madera para marcos",""))</f>
        <v>Madera para marcos</v>
      </c>
      <c r="C9190" s="95" t="str">
        <f>IFERROR(VLOOKUP("M3",'Informacion '!P:Q,2,FALSE),"")</f>
        <v>Metro cúbico</v>
      </c>
      <c r="D9190" s="94">
        <v>0.09</v>
      </c>
      <c r="E9190" s="84">
        <v>25054.58</v>
      </c>
      <c r="F9190" s="83">
        <f t="shared" ca="1" si="376"/>
        <v>2254.9122000000002</v>
      </c>
    </row>
    <row r="9191" spans="1:6" ht="14.1" customHeight="1" x14ac:dyDescent="0.25">
      <c r="A9191" s="94" t="s">
        <v>8482</v>
      </c>
      <c r="B9191" s="82" t="str">
        <f ca="1">IFERROR(INDEX(UNSPSCDes,MATCH(INDIRECT(ADDRESS(ROW(),COLUMN()-1,4)),UNSPSCCode,0)),IF(INDIRECT(ADDRESS(ROW(),COLUMN()-1,4))="30131704","Losas o baldosas de cerámica",""))</f>
        <v>Losas o baldosas de cerámica</v>
      </c>
      <c r="C9191" s="95" t="str">
        <f>IFERROR(VLOOKUP("M3",'Informacion '!P:Q,2,FALSE),"")</f>
        <v>Metro cúbico</v>
      </c>
      <c r="D9191" s="94">
        <v>1.75</v>
      </c>
      <c r="E9191" s="84">
        <v>14321.61</v>
      </c>
      <c r="F9191" s="83">
        <f t="shared" ca="1" si="376"/>
        <v>25062.817500000001</v>
      </c>
    </row>
    <row r="9192" spans="1:6" ht="14.1" customHeight="1" x14ac:dyDescent="0.25">
      <c r="A9192" s="94" t="s">
        <v>13331</v>
      </c>
      <c r="B9192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9192" s="95" t="str">
        <f>IFERROR(VLOOKUP("M2",'Informacion '!P:Q,2,FALSE),"")</f>
        <v>Metro cuadrado</v>
      </c>
      <c r="D9192" s="94">
        <v>42.54</v>
      </c>
      <c r="E9192" s="84">
        <v>1087</v>
      </c>
      <c r="F9192" s="83">
        <f t="shared" ca="1" si="376"/>
        <v>46240.979999999996</v>
      </c>
    </row>
    <row r="9193" spans="1:6" ht="14.1" customHeight="1" x14ac:dyDescent="0.25">
      <c r="A9193" s="94" t="s">
        <v>5110</v>
      </c>
      <c r="B9193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9193" s="95" t="str">
        <f>IFERROR(VLOOKUP("M2",'Informacion '!P:Q,2,FALSE),"")</f>
        <v>Metro cuadrado</v>
      </c>
      <c r="D9193" s="94">
        <v>85.08</v>
      </c>
      <c r="E9193" s="84">
        <v>397</v>
      </c>
      <c r="F9193" s="83">
        <f t="shared" ca="1" si="376"/>
        <v>33776.76</v>
      </c>
    </row>
    <row r="9194" spans="1:6" ht="14.1" customHeight="1" x14ac:dyDescent="0.25">
      <c r="A9194" s="94" t="s">
        <v>5110</v>
      </c>
      <c r="B9194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9194" s="95" t="str">
        <f>IFERROR(VLOOKUP("M3",'Informacion '!P:Q,2,FALSE),"")</f>
        <v>Metro cúbico</v>
      </c>
      <c r="D9194" s="94">
        <v>13.2</v>
      </c>
      <c r="E9194" s="84">
        <v>397</v>
      </c>
      <c r="F9194" s="83">
        <f t="shared" ca="1" si="376"/>
        <v>5240.3999999999996</v>
      </c>
    </row>
    <row r="9195" spans="1:6" ht="14.1" customHeight="1" x14ac:dyDescent="0.25">
      <c r="A9195" s="94" t="s">
        <v>10743</v>
      </c>
      <c r="B9195" s="82" t="str">
        <f ca="1">IFERROR(INDEX(UNSPSCDes,MATCH(INDIRECT(ADDRESS(ROW(),COLUMN()-1,4)),UNSPSCCode,0)),IF(INDIRECT(ADDRESS(ROW(),COLUMN()-1,4))="27111807","Bordes rectos",""))</f>
        <v>Bordes rectos</v>
      </c>
      <c r="C9195" s="95" t="str">
        <f>IFERROR(VLOOKUP("UD",'Informacion '!P:Q,2,FALSE),"")</f>
        <v>Unidad</v>
      </c>
      <c r="D9195" s="94">
        <v>38.799999999999997</v>
      </c>
      <c r="E9195" s="84">
        <v>83.3</v>
      </c>
      <c r="F9195" s="83">
        <f t="shared" ca="1" si="376"/>
        <v>3232.0399999999995</v>
      </c>
    </row>
    <row r="9196" spans="1:6" ht="14.1" customHeight="1" x14ac:dyDescent="0.25">
      <c r="A9196" s="94" t="s">
        <v>4543</v>
      </c>
      <c r="B9196" s="82" t="str">
        <f ca="1">IFERROR(INDEX(UNSPSCDes,MATCH(INDIRECT(ADDRESS(ROW(),COLUMN()-1,4)),UNSPSCCode,0)),IF(INDIRECT(ADDRESS(ROW(),COLUMN()-1,4))="27113201","Conjuntos generales de herramientas",""))</f>
        <v>Conjuntos generales de herramientas</v>
      </c>
      <c r="C9196" s="95" t="str">
        <f>IFERROR(VLOOKUP("UD",'Informacion '!P:Q,2,FALSE),"")</f>
        <v>Unidad</v>
      </c>
      <c r="D9196" s="94">
        <v>19.399999999999999</v>
      </c>
      <c r="E9196" s="84">
        <v>83.3</v>
      </c>
      <c r="F9196" s="83">
        <f t="shared" ca="1" si="376"/>
        <v>1616.0199999999998</v>
      </c>
    </row>
    <row r="9197" spans="1:6" ht="14.1" customHeight="1" x14ac:dyDescent="0.25">
      <c r="A9197" s="94" t="s">
        <v>12382</v>
      </c>
      <c r="B9197" s="82" t="str">
        <f ca="1">IFERROR(INDEX(UNSPSCDes,MATCH(INDIRECT(ADDRESS(ROW(),COLUMN()-1,4)),UNSPSCCode,0)),IF(INDIRECT(ADDRESS(ROW(),COLUMN()-1,4))="31211508","Pinturas acrílicas",""))</f>
        <v>Pinturas acrílicas</v>
      </c>
      <c r="C9197" s="95" t="str">
        <f>IFERROR(VLOOKUP("M2",'Informacion '!P:Q,2,FALSE),"")</f>
        <v>Metro cuadrado</v>
      </c>
      <c r="D9197" s="94">
        <v>85.08</v>
      </c>
      <c r="E9197" s="84">
        <v>180</v>
      </c>
      <c r="F9197" s="83">
        <f t="shared" ca="1" si="376"/>
        <v>15314.4</v>
      </c>
    </row>
    <row r="9198" spans="1:6" ht="14.1" customHeight="1" x14ac:dyDescent="0.25">
      <c r="A9198" s="94" t="s">
        <v>12382</v>
      </c>
      <c r="B9198" s="82" t="str">
        <f ca="1">IFERROR(INDEX(UNSPSCDes,MATCH(INDIRECT(ADDRESS(ROW(),COLUMN()-1,4)),UNSPSCCode,0)),IF(INDIRECT(ADDRESS(ROW(),COLUMN()-1,4))="31211508","Pinturas acrílicas",""))</f>
        <v>Pinturas acrílicas</v>
      </c>
      <c r="C9198" s="95" t="str">
        <f>IFERROR(VLOOKUP("M2",'Informacion '!P:Q,2,FALSE),"")</f>
        <v>Metro cuadrado</v>
      </c>
      <c r="D9198" s="94">
        <v>13.2</v>
      </c>
      <c r="E9198" s="84">
        <v>180</v>
      </c>
      <c r="F9198" s="83">
        <f t="shared" ref="F9198:F9222" ca="1" si="377">INDIRECT(ADDRESS(ROW(),COLUMN()-2,4))*INDIRECT(ADDRESS(ROW(),COLUMN()-1,4))</f>
        <v>2376</v>
      </c>
    </row>
    <row r="9199" spans="1:6" ht="14.1" customHeight="1" x14ac:dyDescent="0.25">
      <c r="A9199" s="94" t="s">
        <v>17967</v>
      </c>
      <c r="B9199" s="82" t="str">
        <f ca="1">IFERROR(INDEX(UNSPSCDes,MATCH(INDIRECT(ADDRESS(ROW(),COLUMN()-1,4)),UNSPSCCode,0)),IF(INDIRECT(ADDRESS(ROW(),COLUMN()-1,4))="30171609","Ventanas fijas",""))</f>
        <v>Ventanas fijas</v>
      </c>
      <c r="C9199" s="95" t="str">
        <f>IFERROR(VLOOKUP("UD",'Informacion '!P:Q,2,FALSE),"")</f>
        <v>Unidad</v>
      </c>
      <c r="D9199" s="94">
        <v>53.25</v>
      </c>
      <c r="E9199" s="84">
        <v>350</v>
      </c>
      <c r="F9199" s="83">
        <f t="shared" ca="1" si="377"/>
        <v>18637.5</v>
      </c>
    </row>
    <row r="9200" spans="1:6" ht="14.1" customHeight="1" x14ac:dyDescent="0.25">
      <c r="A9200" s="94" t="s">
        <v>19337</v>
      </c>
      <c r="B9200" s="82" t="str">
        <f ca="1">IFERROR(INDEX(UNSPSCDes,MATCH(INDIRECT(ADDRESS(ROW(),COLUMN()-1,4)),UNSPSCCode,0)),IF(INDIRECT(ADDRESS(ROW(),COLUMN()-1,4))="30171504","Puertas de madera",""))</f>
        <v>Puertas de madera</v>
      </c>
      <c r="C9200" s="95" t="str">
        <f>IFERROR(VLOOKUP("UD",'Informacion '!P:Q,2,FALSE),"")</f>
        <v>Unidad</v>
      </c>
      <c r="D9200" s="94">
        <v>1</v>
      </c>
      <c r="E9200" s="84">
        <v>13000</v>
      </c>
      <c r="F9200" s="83">
        <f t="shared" ca="1" si="377"/>
        <v>13000</v>
      </c>
    </row>
    <row r="9201" spans="1:6" ht="14.1" customHeight="1" x14ac:dyDescent="0.25">
      <c r="A9201" s="94" t="s">
        <v>1899</v>
      </c>
      <c r="B9201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9201" s="95" t="str">
        <f>IFERROR(VLOOKUP("UD",'Informacion '!P:Q,2,FALSE),"")</f>
        <v>Unidad</v>
      </c>
      <c r="D9201" s="94">
        <v>6.12</v>
      </c>
      <c r="E9201" s="84">
        <v>1447.54</v>
      </c>
      <c r="F9201" s="83">
        <f t="shared" ca="1" si="377"/>
        <v>8858.9447999999993</v>
      </c>
    </row>
    <row r="9202" spans="1:6" ht="14.1" customHeight="1" x14ac:dyDescent="0.25">
      <c r="A9202" s="94" t="s">
        <v>5924</v>
      </c>
      <c r="B9202" s="82" t="str">
        <f ca="1">IFERROR(INDEX(UNSPSCDes,MATCH(INDIRECT(ADDRESS(ROW(),COLUMN()-1,4)),UNSPSCCode,0)),IF(INDIRECT(ADDRESS(ROW(),COLUMN()-1,4))="32141107","Zócalos de tubo",""))</f>
        <v>Zócalos de tubo</v>
      </c>
      <c r="C9202" s="95" t="str">
        <f>IFERROR(VLOOKUP("UD",'Informacion '!P:Q,2,FALSE),"")</f>
        <v>Unidad</v>
      </c>
      <c r="D9202" s="94">
        <v>7.5</v>
      </c>
      <c r="E9202" s="84">
        <v>210</v>
      </c>
      <c r="F9202" s="83">
        <f t="shared" ca="1" si="377"/>
        <v>1575</v>
      </c>
    </row>
    <row r="9203" spans="1:6" ht="14.1" customHeight="1" x14ac:dyDescent="0.25">
      <c r="A9203" s="94" t="s">
        <v>2061</v>
      </c>
      <c r="B9203" s="82" t="str">
        <f ca="1">IFERROR(INDEX(UNSPSCDes,MATCH(INDIRECT(ADDRESS(ROW(),COLUMN()-1,4)),UNSPSCCode,0)),IF(INDIRECT(ADDRESS(ROW(),COLUMN()-1,4))="72101703","Construcción de aceras o bordillos",""))</f>
        <v>Construcción de aceras o bordillos</v>
      </c>
      <c r="C9203" s="95" t="str">
        <f>IFERROR(VLOOKUP("UD",'Informacion '!P:Q,2,FALSE),"")</f>
        <v>Unidad</v>
      </c>
      <c r="D9203" s="94">
        <v>3.6</v>
      </c>
      <c r="E9203" s="84">
        <v>890</v>
      </c>
      <c r="F9203" s="83">
        <f t="shared" ca="1" si="377"/>
        <v>3204</v>
      </c>
    </row>
    <row r="9204" spans="1:6" ht="14.1" customHeight="1" x14ac:dyDescent="0.25">
      <c r="A9204" s="94" t="s">
        <v>2342</v>
      </c>
      <c r="B9204" s="82" t="str">
        <f ca="1">IFERROR(INDEX(UNSPSCDes,MATCH(INDIRECT(ADDRESS(ROW(),COLUMN()-1,4)),UNSPSCCode,0)),IF(INDIRECT(ADDRESS(ROW(),COLUMN()-1,4))="46171610","Cámaras de seguridad",""))</f>
        <v>Cámaras de seguridad</v>
      </c>
      <c r="C9204" s="95" t="str">
        <f>IFERROR(VLOOKUP("UD",'Informacion '!P:Q,2,FALSE),"")</f>
        <v>Unidad</v>
      </c>
      <c r="D9204" s="94">
        <v>1</v>
      </c>
      <c r="E9204" s="84">
        <v>2938</v>
      </c>
      <c r="F9204" s="83">
        <f t="shared" ca="1" si="377"/>
        <v>2938</v>
      </c>
    </row>
    <row r="9205" spans="1:6" ht="14.1" customHeight="1" x14ac:dyDescent="0.25">
      <c r="A9205" s="94" t="s">
        <v>9336</v>
      </c>
      <c r="B9205" s="82" t="str">
        <f ca="1">IFERROR(INDEX(UNSPSCDes,MATCH(INDIRECT(ADDRESS(ROW(),COLUMN()-1,4)),UNSPSCCode,0)),IF(INDIRECT(ADDRESS(ROW(),COLUMN()-1,4))="31101506","Piezas de acero fundidas a presión",""))</f>
        <v>Piezas de acero fundidas a presión</v>
      </c>
      <c r="C9205" s="95" t="str">
        <f>IFERROR(VLOOKUP("UD",'Informacion '!P:Q,2,FALSE),"")</f>
        <v>Unidad</v>
      </c>
      <c r="D9205" s="94">
        <v>1</v>
      </c>
      <c r="E9205" s="84">
        <v>5000</v>
      </c>
      <c r="F9205" s="83">
        <f t="shared" ca="1" si="377"/>
        <v>5000</v>
      </c>
    </row>
    <row r="9206" spans="1:6" ht="14.1" customHeight="1" x14ac:dyDescent="0.25">
      <c r="A9206" s="94" t="s">
        <v>2440</v>
      </c>
      <c r="B9206" s="82" t="str">
        <f ca="1">IFERROR(INDEX(UNSPSCDes,MATCH(INDIRECT(ADDRESS(ROW(),COLUMN()-1,4)),UNSPSCCode,0)),IF(INDIRECT(ADDRESS(ROW(),COLUMN()-1,4))="23171619","Herramientas de perforación",""))</f>
        <v>Herramientas de perforación</v>
      </c>
      <c r="C9206" s="95" t="str">
        <f>IFERROR(VLOOKUP("UD",'Informacion '!P:Q,2,FALSE),"")</f>
        <v>Unidad</v>
      </c>
      <c r="D9206" s="94">
        <v>3</v>
      </c>
      <c r="E9206" s="84">
        <v>1125</v>
      </c>
      <c r="F9206" s="83">
        <f t="shared" ca="1" si="377"/>
        <v>3375</v>
      </c>
    </row>
    <row r="9207" spans="1:6" ht="14.1" customHeight="1" x14ac:dyDescent="0.25">
      <c r="A9207" s="94" t="s">
        <v>561</v>
      </c>
      <c r="B9207" s="82" t="str">
        <f ca="1">IFERROR(INDEX(UNSPSCDes,MATCH(INDIRECT(ADDRESS(ROW(),COLUMN()-1,4)),UNSPSCCode,0)),IF(INDIRECT(ADDRESS(ROW(),COLUMN()-1,4))="39121402","Enchufes eléctricos",""))</f>
        <v>Enchufes eléctricos</v>
      </c>
      <c r="C9207" s="95" t="str">
        <f>IFERROR(VLOOKUP("UD",'Informacion '!P:Q,2,FALSE),"")</f>
        <v>Unidad</v>
      </c>
      <c r="D9207" s="94">
        <v>2</v>
      </c>
      <c r="E9207" s="84">
        <v>131.80000000000001</v>
      </c>
      <c r="F9207" s="83">
        <f t="shared" ca="1" si="377"/>
        <v>263.60000000000002</v>
      </c>
    </row>
    <row r="9208" spans="1:6" ht="14.1" customHeight="1" x14ac:dyDescent="0.25">
      <c r="A9208" s="94" t="s">
        <v>8630</v>
      </c>
      <c r="B9208" s="82" t="str">
        <f ca="1">IFERROR(INDEX(UNSPSCDes,MATCH(INDIRECT(ADDRESS(ROW(),COLUMN()-1,4)),UNSPSCCode,0)),IF(INDIRECT(ADDRESS(ROW(),COLUMN()-1,4))="26121636","Cables de alimentación",""))</f>
        <v>Cables de alimentación</v>
      </c>
      <c r="C9208" s="95" t="str">
        <f>IFERROR(VLOOKUP("UD",'Informacion '!P:Q,2,FALSE),"")</f>
        <v>Unidad</v>
      </c>
      <c r="D9208" s="94">
        <v>1</v>
      </c>
      <c r="E9208" s="84">
        <v>5000</v>
      </c>
      <c r="F9208" s="83">
        <f t="shared" ca="1" si="377"/>
        <v>5000</v>
      </c>
    </row>
    <row r="9209" spans="1:6" ht="14.1" customHeight="1" x14ac:dyDescent="0.25">
      <c r="A9209" s="94" t="s">
        <v>8503</v>
      </c>
      <c r="B9209" s="82" t="str">
        <f ca="1">IFERROR(INDEX(UNSPSCDes,MATCH(INDIRECT(ADDRESS(ROW(),COLUMN()-1,4)),UNSPSCCode,0)),IF(INDIRECT(ADDRESS(ROW(),COLUMN()-1,4))="21101512","Gastos generales de riego",""))</f>
        <v>Gastos generales de riego</v>
      </c>
      <c r="C9209" s="95" t="str">
        <f>IFERROR(VLOOKUP("DEC",'Informacion '!P:Q,2,FALSE),"")</f>
        <v>Decena</v>
      </c>
      <c r="D9209" s="94">
        <v>1</v>
      </c>
      <c r="E9209" s="84">
        <v>50000</v>
      </c>
      <c r="F9209" s="83">
        <f t="shared" ca="1" si="377"/>
        <v>50000</v>
      </c>
    </row>
    <row r="9210" spans="1:6" ht="14.1" customHeight="1" x14ac:dyDescent="0.25">
      <c r="A9210" s="94" t="s">
        <v>13331</v>
      </c>
      <c r="B9210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9210" s="95" t="str">
        <f>IFERROR(VLOOKUP("UD",'Informacion '!P:Q,2,FALSE),"")</f>
        <v>Unidad</v>
      </c>
      <c r="D9210" s="94">
        <v>1</v>
      </c>
      <c r="E9210" s="84">
        <v>15000</v>
      </c>
      <c r="F9210" s="83">
        <f t="shared" ca="1" si="377"/>
        <v>15000</v>
      </c>
    </row>
    <row r="9211" spans="1:6" ht="14.1" customHeight="1" x14ac:dyDescent="0.25">
      <c r="A9211" s="94" t="s">
        <v>19337</v>
      </c>
      <c r="B9211" s="82" t="str">
        <f ca="1">IFERROR(INDEX(UNSPSCDes,MATCH(INDIRECT(ADDRESS(ROW(),COLUMN()-1,4)),UNSPSCCode,0)),IF(INDIRECT(ADDRESS(ROW(),COLUMN()-1,4))="30171504","Puertas de madera",""))</f>
        <v>Puertas de madera</v>
      </c>
      <c r="C9211" s="95" t="str">
        <f>IFERROR(VLOOKUP("UD",'Informacion '!P:Q,2,FALSE),"")</f>
        <v>Unidad</v>
      </c>
      <c r="D9211" s="94">
        <v>1</v>
      </c>
      <c r="E9211" s="84">
        <v>25000</v>
      </c>
      <c r="F9211" s="83">
        <f t="shared" ca="1" si="377"/>
        <v>25000</v>
      </c>
    </row>
    <row r="9212" spans="1:6" ht="14.1" customHeight="1" x14ac:dyDescent="0.25">
      <c r="A9212" s="94" t="s">
        <v>4435</v>
      </c>
      <c r="B9212" s="82" t="str">
        <f ca="1">IFERROR(INDEX(UNSPSCDes,MATCH(INDIRECT(ADDRESS(ROW(),COLUMN()-1,4)),UNSPSCCode,0)),IF(INDIRECT(ADDRESS(ROW(),COLUMN()-1,4))="56101703","Escritorios",""))</f>
        <v>Escritorios</v>
      </c>
      <c r="C9212" s="95" t="str">
        <f>IFERROR(VLOOKUP("UD",'Informacion '!P:Q,2,FALSE),"")</f>
        <v>Unidad</v>
      </c>
      <c r="D9212" s="94">
        <v>1</v>
      </c>
      <c r="E9212" s="84">
        <v>5500</v>
      </c>
      <c r="F9212" s="83">
        <f t="shared" ca="1" si="377"/>
        <v>5500</v>
      </c>
    </row>
    <row r="9213" spans="1:6" ht="14.1" customHeight="1" x14ac:dyDescent="0.25">
      <c r="A9213" s="94" t="s">
        <v>19089</v>
      </c>
      <c r="B9213" s="82" t="str">
        <f ca="1">IFERROR(INDEX(UNSPSCDes,MATCH(INDIRECT(ADDRESS(ROW(),COLUMN()-1,4)),UNSPSCCode,0)),IF(INDIRECT(ADDRESS(ROW(),COLUMN()-1,4))="31211505","Pinturas de aceite",""))</f>
        <v>Pinturas de aceite</v>
      </c>
      <c r="C9213" s="95" t="str">
        <f>IFERROR(VLOOKUP("GAL",'Informacion '!P:Q,2,FALSE),"")</f>
        <v>Galón</v>
      </c>
      <c r="D9213" s="94">
        <v>2</v>
      </c>
      <c r="E9213" s="84">
        <v>10000</v>
      </c>
      <c r="F9213" s="83">
        <f t="shared" ca="1" si="377"/>
        <v>20000</v>
      </c>
    </row>
    <row r="9214" spans="1:6" ht="14.1" customHeight="1" x14ac:dyDescent="0.25">
      <c r="A9214" s="94" t="s">
        <v>12382</v>
      </c>
      <c r="B9214" s="82" t="str">
        <f ca="1">IFERROR(INDEX(UNSPSCDes,MATCH(INDIRECT(ADDRESS(ROW(),COLUMN()-1,4)),UNSPSCCode,0)),IF(INDIRECT(ADDRESS(ROW(),COLUMN()-1,4))="31211508","Pinturas acrílicas",""))</f>
        <v>Pinturas acrílicas</v>
      </c>
      <c r="C9214" s="95" t="str">
        <f>IFERROR(VLOOKUP("GAL",'Informacion '!P:Q,2,FALSE),"")</f>
        <v>Galón</v>
      </c>
      <c r="D9214" s="94">
        <v>3</v>
      </c>
      <c r="E9214" s="84">
        <v>900</v>
      </c>
      <c r="F9214" s="83">
        <f t="shared" ca="1" si="377"/>
        <v>2700</v>
      </c>
    </row>
    <row r="9215" spans="1:6" ht="14.1" customHeight="1" x14ac:dyDescent="0.25">
      <c r="A9215" s="94" t="s">
        <v>9605</v>
      </c>
      <c r="B9215" s="82" t="str">
        <f ca="1">IFERROR(INDEX(UNSPSCDes,MATCH(INDIRECT(ADDRESS(ROW(),COLUMN()-1,4)),UNSPSCCode,0)),IF(INDIRECT(ADDRESS(ROW(),COLUMN()-1,4))="56101522","Sillas de brazos",""))</f>
        <v>Sillas de brazos</v>
      </c>
      <c r="C9215" s="95" t="str">
        <f>IFERROR(VLOOKUP("UD",'Informacion '!P:Q,2,FALSE),"")</f>
        <v>Unidad</v>
      </c>
      <c r="D9215" s="94">
        <v>1</v>
      </c>
      <c r="E9215" s="84">
        <v>7000</v>
      </c>
      <c r="F9215" s="83">
        <f t="shared" ca="1" si="377"/>
        <v>7000</v>
      </c>
    </row>
    <row r="9216" spans="1:6" ht="14.1" customHeight="1" x14ac:dyDescent="0.25">
      <c r="A9216" s="94" t="s">
        <v>1973</v>
      </c>
      <c r="B9216" s="82" t="str">
        <f ca="1">IFERROR(INDEX(UNSPSCDes,MATCH(INDIRECT(ADDRESS(ROW(),COLUMN()-1,4)),UNSPSCCode,0)),IF(INDIRECT(ADDRESS(ROW(),COLUMN()-1,4))="55121721","Caracteres de señalización",""))</f>
        <v>Caracteres de señalización</v>
      </c>
      <c r="C9216" s="95" t="str">
        <f>IFERROR(VLOOKUP("UD",'Informacion '!P:Q,2,FALSE),"")</f>
        <v>Unidad</v>
      </c>
      <c r="D9216" s="94">
        <v>1</v>
      </c>
      <c r="E9216" s="84">
        <v>50000</v>
      </c>
      <c r="F9216" s="83">
        <f t="shared" ca="1" si="377"/>
        <v>50000</v>
      </c>
    </row>
    <row r="9217" spans="1:10" ht="14.1" customHeight="1" x14ac:dyDescent="0.25">
      <c r="A9217" s="94" t="s">
        <v>11262</v>
      </c>
      <c r="B9217" s="82" t="str">
        <f ca="1">IFERROR(INDEX(UNSPSCDes,MATCH(INDIRECT(ADDRESS(ROW(),COLUMN()-1,4)),UNSPSCCode,0)),IF(INDIRECT(ADDRESS(ROW(),COLUMN()-1,4))="12142105","Aire industrial",""))</f>
        <v>Aire industrial</v>
      </c>
      <c r="C9217" s="95" t="str">
        <f>IFERROR(VLOOKUP("UD",'Informacion '!P:Q,2,FALSE),"")</f>
        <v>Unidad</v>
      </c>
      <c r="D9217" s="94">
        <v>1</v>
      </c>
      <c r="E9217" s="84">
        <v>230000</v>
      </c>
      <c r="F9217" s="83">
        <f t="shared" ca="1" si="377"/>
        <v>230000</v>
      </c>
    </row>
    <row r="9218" spans="1:10" ht="14.1" customHeight="1" x14ac:dyDescent="0.25">
      <c r="A9218" s="94" t="s">
        <v>16128</v>
      </c>
      <c r="B9218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9218" s="95" t="str">
        <f>IFERROR(VLOOKUP("UD",'Informacion '!P:Q,2,FALSE),"")</f>
        <v>Unidad</v>
      </c>
      <c r="D9218" s="94">
        <v>1</v>
      </c>
      <c r="E9218" s="84">
        <v>80000</v>
      </c>
      <c r="F9218" s="83">
        <f t="shared" ca="1" si="377"/>
        <v>80000</v>
      </c>
    </row>
    <row r="9219" spans="1:10" ht="14.1" customHeight="1" x14ac:dyDescent="0.25">
      <c r="A9219" s="94" t="s">
        <v>10330</v>
      </c>
      <c r="B9219" s="82" t="str">
        <f ca="1">IFERROR(INDEX(UNSPSCDes,MATCH(INDIRECT(ADDRESS(ROW(),COLUMN()-1,4)),UNSPSCCode,0)),IF(INDIRECT(ADDRESS(ROW(),COLUMN()-1,4))="30181504","Lavamanos",""))</f>
        <v>Lavamanos</v>
      </c>
      <c r="C9219" s="95" t="str">
        <f>IFERROR(VLOOKUP("UD",'Informacion '!P:Q,2,FALSE),"")</f>
        <v>Unidad</v>
      </c>
      <c r="D9219" s="94">
        <v>1</v>
      </c>
      <c r="E9219" s="84">
        <v>50000</v>
      </c>
      <c r="F9219" s="83">
        <f t="shared" ca="1" si="377"/>
        <v>50000</v>
      </c>
    </row>
    <row r="9220" spans="1:10" ht="14.1" customHeight="1" x14ac:dyDescent="0.25">
      <c r="A9220" s="94" t="s">
        <v>1803</v>
      </c>
      <c r="B9220" s="82" t="str">
        <f ca="1">IFERROR(INDEX(UNSPSCDes,MATCH(INDIRECT(ADDRESS(ROW(),COLUMN()-1,4)),UNSPSCCode,0)),IF(INDIRECT(ADDRESS(ROW(),COLUMN()-1,4))="70171802","Drenaje de agua pluviales",""))</f>
        <v>Drenaje de agua pluviales</v>
      </c>
      <c r="C9220" s="95" t="str">
        <f>IFERROR(VLOOKUP("UD",'Informacion '!P:Q,2,FALSE),"")</f>
        <v>Unidad</v>
      </c>
      <c r="D9220" s="94">
        <v>1</v>
      </c>
      <c r="E9220" s="84">
        <v>15000</v>
      </c>
      <c r="F9220" s="83">
        <f t="shared" ca="1" si="377"/>
        <v>15000</v>
      </c>
    </row>
    <row r="9221" spans="1:10" ht="14.1" customHeight="1" x14ac:dyDescent="0.25">
      <c r="A9221" s="94" t="s">
        <v>9605</v>
      </c>
      <c r="B9221" s="82" t="str">
        <f ca="1">IFERROR(INDEX(UNSPSCDes,MATCH(INDIRECT(ADDRESS(ROW(),COLUMN()-1,4)),UNSPSCCode,0)),IF(INDIRECT(ADDRESS(ROW(),COLUMN()-1,4))="56101522","Sillas de brazos",""))</f>
        <v>Sillas de brazos</v>
      </c>
      <c r="C9221" s="95" t="str">
        <f>IFERROR(VLOOKUP("UD",'Informacion '!P:Q,2,FALSE),"")</f>
        <v>Unidad</v>
      </c>
      <c r="D9221" s="94">
        <v>8</v>
      </c>
      <c r="E9221" s="84">
        <v>9000</v>
      </c>
      <c r="F9221" s="83">
        <f t="shared" ca="1" si="377"/>
        <v>72000</v>
      </c>
    </row>
    <row r="9222" spans="1:10" ht="14.1" customHeight="1" x14ac:dyDescent="0.25">
      <c r="A9222" s="94" t="s">
        <v>12643</v>
      </c>
      <c r="B9222" s="82" t="str">
        <f ca="1">IFERROR(INDEX(UNSPSCDes,MATCH(INDIRECT(ADDRESS(ROW(),COLUMN()-1,4)),UNSPSCCode,0)),IF(INDIRECT(ADDRESS(ROW(),COLUMN()-1,4))="46191601","Extintores",""))</f>
        <v>Extintores</v>
      </c>
      <c r="C9222" s="95" t="str">
        <f>IFERROR(VLOOKUP("UD",'Informacion '!P:Q,2,FALSE),"")</f>
        <v>Unidad</v>
      </c>
      <c r="D9222" s="94">
        <v>4</v>
      </c>
      <c r="E9222" s="84">
        <v>5000</v>
      </c>
      <c r="F9222" s="83">
        <f t="shared" ca="1" si="377"/>
        <v>20000</v>
      </c>
    </row>
    <row r="9223" spans="1:10" ht="14.1" customHeight="1" x14ac:dyDescent="0.25">
      <c r="E9223" s="96" t="s">
        <v>7213</v>
      </c>
      <c r="F9223" s="87">
        <f ca="1">SUM(Table224[MONTO TOTAL ESTIMADO])</f>
        <v>3828606.9468999994</v>
      </c>
      <c r="H9223" s="39" t="str">
        <f>C9095</f>
        <v>Bienes</v>
      </c>
      <c r="I9223" s="39" t="str">
        <f>E9095</f>
        <v>No</v>
      </c>
      <c r="J9223" s="39" t="str">
        <f>D9095</f>
        <v>Compras Menores</v>
      </c>
    </row>
    <row r="9225" spans="1:10" ht="33.950000000000003" customHeight="1" x14ac:dyDescent="0.25">
      <c r="A9225" s="77" t="s">
        <v>17233</v>
      </c>
      <c r="B9225" s="77" t="s">
        <v>4237</v>
      </c>
      <c r="C9225" s="77" t="s">
        <v>4743</v>
      </c>
      <c r="D9225" s="77" t="s">
        <v>9891</v>
      </c>
      <c r="E9225" s="77" t="s">
        <v>3089</v>
      </c>
      <c r="F9225" s="77" t="s">
        <v>18141</v>
      </c>
    </row>
    <row r="9226" spans="1:10" ht="14.1" customHeight="1" x14ac:dyDescent="0.25">
      <c r="A9226" s="79" t="s">
        <v>5373</v>
      </c>
      <c r="B9226" s="79" t="s">
        <v>6410</v>
      </c>
      <c r="C9226" s="79" t="s">
        <v>17215</v>
      </c>
      <c r="D9226" s="79" t="s">
        <v>17798</v>
      </c>
      <c r="E9226" s="79" t="s">
        <v>18247</v>
      </c>
      <c r="F9226" s="79"/>
    </row>
    <row r="9227" spans="1:10" ht="14.1" customHeight="1" x14ac:dyDescent="0.25">
      <c r="A9227" s="2" t="s">
        <v>6643</v>
      </c>
      <c r="B9227" s="80" t="s">
        <v>1046</v>
      </c>
      <c r="C9227" s="90">
        <v>43647</v>
      </c>
      <c r="D9227" s="2" t="s">
        <v>59</v>
      </c>
      <c r="E9227" s="92" t="s">
        <v>20066</v>
      </c>
      <c r="F9227" s="93" t="s">
        <v>5684</v>
      </c>
    </row>
    <row r="9228" spans="1:10" ht="14.1" customHeight="1" x14ac:dyDescent="0.25">
      <c r="A9228" s="1"/>
      <c r="B9228" s="80" t="s">
        <v>10788</v>
      </c>
      <c r="C9228" s="91">
        <f>IF(C9227="","",IF(AND(MONTH(C9227)&gt;=1,MONTH(C9227)&lt;=3),1,IF(AND(MONTH(C9227)&gt;=4,MONTH(C9227)&lt;=6),2,IF(AND(MONTH(C9227)&gt;=7,MONTH(C9227)&lt;=9),3,4))))</f>
        <v>3</v>
      </c>
      <c r="D9228" s="1"/>
      <c r="E9228" s="92" t="s">
        <v>14822</v>
      </c>
      <c r="F9228" s="93" t="s">
        <v>3622</v>
      </c>
    </row>
    <row r="9229" spans="1:10" ht="14.1" customHeight="1" x14ac:dyDescent="0.25">
      <c r="A9229" s="1"/>
      <c r="B9229" s="80" t="s">
        <v>13758</v>
      </c>
      <c r="C9229" s="90">
        <v>43738</v>
      </c>
      <c r="D9229" s="1"/>
      <c r="E9229" s="92" t="s">
        <v>18636</v>
      </c>
      <c r="F9229" s="93"/>
    </row>
    <row r="9230" spans="1:10" ht="14.1" customHeight="1" x14ac:dyDescent="0.25">
      <c r="A9230" s="1"/>
      <c r="B9230" s="80" t="s">
        <v>10788</v>
      </c>
      <c r="C9230" s="91">
        <f>IF(C9229="","",IF(AND(MONTH(C9229)&gt;=1,MONTH(C9229)&lt;=3),1,IF(AND(MONTH(C9229)&gt;=4,MONTH(C9229)&lt;=6),2,IF(AND(MONTH(C9229)&gt;=7,MONTH(C9229)&lt;=9),3,4))))</f>
        <v>3</v>
      </c>
      <c r="D9230" s="1"/>
      <c r="E9230" s="92" t="s">
        <v>15990</v>
      </c>
      <c r="F9230" s="93"/>
    </row>
    <row r="9232" spans="1:10" ht="14.1" customHeight="1" x14ac:dyDescent="0.25">
      <c r="A9232" s="85" t="s">
        <v>15474</v>
      </c>
      <c r="B9232" s="85" t="s">
        <v>5027</v>
      </c>
      <c r="C9232" s="85" t="s">
        <v>17461</v>
      </c>
      <c r="D9232" s="85" t="s">
        <v>3935</v>
      </c>
      <c r="E9232" s="85" t="s">
        <v>10722</v>
      </c>
      <c r="F9232" s="85" t="s">
        <v>18237</v>
      </c>
    </row>
    <row r="9233" spans="1:10" ht="14.1" customHeight="1" x14ac:dyDescent="0.25">
      <c r="A9233" s="94" t="s">
        <v>12084</v>
      </c>
      <c r="B9233" s="82" t="str">
        <f ca="1">IFERROR(INDEX(UNSPSCDes,MATCH(INDIRECT(ADDRESS(ROW(),COLUMN()-1,4)),UNSPSCCode,0)),IF(INDIRECT(ADDRESS(ROW(),COLUMN()-1,4))="49101705","Certificados",""))</f>
        <v>Certificados</v>
      </c>
      <c r="C9233" s="95" t="str">
        <f>IFERROR(VLOOKUP("UD",'Informacion '!P:Q,2,FALSE),"")</f>
        <v>Unidad</v>
      </c>
      <c r="D9233" s="94">
        <v>1</v>
      </c>
      <c r="E9233" s="84">
        <v>600000</v>
      </c>
      <c r="F9233" s="83">
        <f ca="1">INDIRECT(ADDRESS(ROW(),COLUMN()-2,4))*INDIRECT(ADDRESS(ROW(),COLUMN()-1,4))</f>
        <v>600000</v>
      </c>
    </row>
    <row r="9234" spans="1:10" ht="14.1" customHeight="1" x14ac:dyDescent="0.25">
      <c r="E9234" s="96" t="s">
        <v>7213</v>
      </c>
      <c r="F9234" s="87">
        <f ca="1">SUM(Table225[MONTO TOTAL ESTIMADO])</f>
        <v>600000</v>
      </c>
      <c r="H9234" s="39" t="str">
        <f>C9226</f>
        <v>Bienes</v>
      </c>
      <c r="I9234" s="39" t="str">
        <f>E9226</f>
        <v>No</v>
      </c>
      <c r="J9234" s="39" t="str">
        <f>D9226</f>
        <v>Compras Menores</v>
      </c>
    </row>
    <row r="9236" spans="1:10" ht="33.950000000000003" customHeight="1" x14ac:dyDescent="0.25">
      <c r="A9236" s="77" t="s">
        <v>17233</v>
      </c>
      <c r="B9236" s="77" t="s">
        <v>4237</v>
      </c>
      <c r="C9236" s="77" t="s">
        <v>4743</v>
      </c>
      <c r="D9236" s="77" t="s">
        <v>9891</v>
      </c>
      <c r="E9236" s="77" t="s">
        <v>3089</v>
      </c>
      <c r="F9236" s="77" t="s">
        <v>18141</v>
      </c>
    </row>
    <row r="9237" spans="1:10" ht="14.1" customHeight="1" x14ac:dyDescent="0.25">
      <c r="A9237" s="79" t="s">
        <v>13478</v>
      </c>
      <c r="B9237" s="79" t="s">
        <v>6014</v>
      </c>
      <c r="C9237" s="79" t="s">
        <v>17215</v>
      </c>
      <c r="D9237" s="79" t="s">
        <v>17798</v>
      </c>
      <c r="E9237" s="79" t="s">
        <v>18247</v>
      </c>
      <c r="F9237" s="79"/>
    </row>
    <row r="9238" spans="1:10" ht="14.1" customHeight="1" x14ac:dyDescent="0.25">
      <c r="A9238" s="2" t="s">
        <v>6643</v>
      </c>
      <c r="B9238" s="80" t="s">
        <v>1046</v>
      </c>
      <c r="C9238" s="90">
        <v>43739</v>
      </c>
      <c r="D9238" s="2" t="s">
        <v>59</v>
      </c>
      <c r="E9238" s="92" t="s">
        <v>20066</v>
      </c>
      <c r="F9238" s="93" t="s">
        <v>5684</v>
      </c>
    </row>
    <row r="9239" spans="1:10" ht="14.1" customHeight="1" x14ac:dyDescent="0.25">
      <c r="A9239" s="1"/>
      <c r="B9239" s="80" t="s">
        <v>10788</v>
      </c>
      <c r="C9239" s="91">
        <f>IF(C9238="","",IF(AND(MONTH(C9238)&gt;=1,MONTH(C9238)&lt;=3),1,IF(AND(MONTH(C9238)&gt;=4,MONTH(C9238)&lt;=6),2,IF(AND(MONTH(C9238)&gt;=7,MONTH(C9238)&lt;=9),3,4))))</f>
        <v>4</v>
      </c>
      <c r="D9239" s="1"/>
      <c r="E9239" s="92" t="s">
        <v>14822</v>
      </c>
      <c r="F9239" s="93" t="s">
        <v>3622</v>
      </c>
    </row>
    <row r="9240" spans="1:10" ht="14.1" customHeight="1" x14ac:dyDescent="0.25">
      <c r="A9240" s="1"/>
      <c r="B9240" s="80" t="s">
        <v>13758</v>
      </c>
      <c r="C9240" s="90">
        <v>43830</v>
      </c>
      <c r="D9240" s="1"/>
      <c r="E9240" s="92" t="s">
        <v>18636</v>
      </c>
      <c r="F9240" s="93"/>
    </row>
    <row r="9241" spans="1:10" ht="14.1" customHeight="1" x14ac:dyDescent="0.25">
      <c r="A9241" s="1"/>
      <c r="B9241" s="80" t="s">
        <v>10788</v>
      </c>
      <c r="C9241" s="91">
        <f>IF(C9240="","",IF(AND(MONTH(C9240)&gt;=1,MONTH(C9240)&lt;=3),1,IF(AND(MONTH(C9240)&gt;=4,MONTH(C9240)&lt;=6),2,IF(AND(MONTH(C9240)&gt;=7,MONTH(C9240)&lt;=9),3,4))))</f>
        <v>4</v>
      </c>
      <c r="D9241" s="1"/>
      <c r="E9241" s="92" t="s">
        <v>15990</v>
      </c>
      <c r="F9241" s="93"/>
    </row>
    <row r="9243" spans="1:10" ht="14.1" customHeight="1" x14ac:dyDescent="0.25">
      <c r="A9243" s="85" t="s">
        <v>15474</v>
      </c>
      <c r="B9243" s="85" t="s">
        <v>5027</v>
      </c>
      <c r="C9243" s="85" t="s">
        <v>17461</v>
      </c>
      <c r="D9243" s="85" t="s">
        <v>3935</v>
      </c>
      <c r="E9243" s="85" t="s">
        <v>10722</v>
      </c>
      <c r="F9243" s="85" t="s">
        <v>18237</v>
      </c>
    </row>
    <row r="9244" spans="1:10" ht="14.1" customHeight="1" x14ac:dyDescent="0.25">
      <c r="A9244" s="94" t="s">
        <v>19640</v>
      </c>
      <c r="B9244" s="82" t="str">
        <f ca="1">IFERROR(INDEX(UNSPSCDes,MATCH(INDIRECT(ADDRESS(ROW(),COLUMN()-1,4)),UNSPSCCode,0)),IF(INDIRECT(ADDRESS(ROW(),COLUMN()-1,4))="80101505","Desarrollo de políticas u objetivos empresariales",""))</f>
        <v>Desarrollo de políticas u objetivos empresariales</v>
      </c>
      <c r="C9244" s="95" t="str">
        <f>IFERROR(VLOOKUP("UD",'Informacion '!P:Q,2,FALSE),"")</f>
        <v>Unidad</v>
      </c>
      <c r="D9244" s="94">
        <v>1</v>
      </c>
      <c r="E9244" s="84">
        <v>600000</v>
      </c>
      <c r="F9244" s="83">
        <f ca="1">INDIRECT(ADDRESS(ROW(),COLUMN()-2,4))*INDIRECT(ADDRESS(ROW(),COLUMN()-1,4))</f>
        <v>600000</v>
      </c>
    </row>
    <row r="9245" spans="1:10" ht="14.1" customHeight="1" x14ac:dyDescent="0.25">
      <c r="E9245" s="96" t="s">
        <v>7213</v>
      </c>
      <c r="F9245" s="87">
        <f ca="1">SUM(Table226[MONTO TOTAL ESTIMADO])</f>
        <v>600000</v>
      </c>
      <c r="H9245" s="39" t="str">
        <f>C9237</f>
        <v>Bienes</v>
      </c>
      <c r="I9245" s="39" t="str">
        <f>E9237</f>
        <v>No</v>
      </c>
      <c r="J9245" s="39" t="str">
        <f>D9237</f>
        <v>Compras Menores</v>
      </c>
    </row>
    <row r="9247" spans="1:10" ht="33.950000000000003" customHeight="1" x14ac:dyDescent="0.25">
      <c r="A9247" s="77" t="s">
        <v>17233</v>
      </c>
      <c r="B9247" s="77" t="s">
        <v>4237</v>
      </c>
      <c r="C9247" s="77" t="s">
        <v>4743</v>
      </c>
      <c r="D9247" s="77" t="s">
        <v>9891</v>
      </c>
      <c r="E9247" s="77" t="s">
        <v>3089</v>
      </c>
      <c r="F9247" s="77" t="s">
        <v>18141</v>
      </c>
    </row>
    <row r="9248" spans="1:10" ht="14.1" customHeight="1" x14ac:dyDescent="0.25">
      <c r="A9248" s="79" t="s">
        <v>14758</v>
      </c>
      <c r="B9248" s="79" t="s">
        <v>2182</v>
      </c>
      <c r="C9248" s="79" t="s">
        <v>17215</v>
      </c>
      <c r="D9248" s="79" t="s">
        <v>17798</v>
      </c>
      <c r="E9248" s="79" t="s">
        <v>18247</v>
      </c>
      <c r="F9248" s="79"/>
    </row>
    <row r="9249" spans="1:6" ht="14.1" customHeight="1" x14ac:dyDescent="0.25">
      <c r="A9249" s="2" t="s">
        <v>6643</v>
      </c>
      <c r="B9249" s="80" t="s">
        <v>1046</v>
      </c>
      <c r="C9249" s="90">
        <v>43515</v>
      </c>
      <c r="D9249" s="2" t="s">
        <v>59</v>
      </c>
      <c r="E9249" s="92" t="s">
        <v>20066</v>
      </c>
      <c r="F9249" s="93" t="s">
        <v>5684</v>
      </c>
    </row>
    <row r="9250" spans="1:6" ht="14.1" customHeight="1" x14ac:dyDescent="0.25">
      <c r="A9250" s="1"/>
      <c r="B9250" s="80" t="s">
        <v>10788</v>
      </c>
      <c r="C9250" s="91">
        <f>IF(C9249="","",IF(AND(MONTH(C9249)&gt;=1,MONTH(C9249)&lt;=3),1,IF(AND(MONTH(C9249)&gt;=4,MONTH(C9249)&lt;=6),2,IF(AND(MONTH(C9249)&gt;=7,MONTH(C9249)&lt;=9),3,4))))</f>
        <v>1</v>
      </c>
      <c r="D9250" s="1"/>
      <c r="E9250" s="92" t="s">
        <v>14822</v>
      </c>
      <c r="F9250" s="93" t="s">
        <v>17690</v>
      </c>
    </row>
    <row r="9251" spans="1:6" ht="14.1" customHeight="1" x14ac:dyDescent="0.25">
      <c r="A9251" s="1"/>
      <c r="B9251" s="80" t="s">
        <v>13758</v>
      </c>
      <c r="C9251" s="90">
        <v>43555</v>
      </c>
      <c r="D9251" s="1"/>
      <c r="E9251" s="92" t="s">
        <v>18636</v>
      </c>
      <c r="F9251" s="93"/>
    </row>
    <row r="9252" spans="1:6" ht="14.1" customHeight="1" x14ac:dyDescent="0.25">
      <c r="A9252" s="1"/>
      <c r="B9252" s="80" t="s">
        <v>10788</v>
      </c>
      <c r="C9252" s="91">
        <f>IF(C9251="","",IF(AND(MONTH(C9251)&gt;=1,MONTH(C9251)&lt;=3),1,IF(AND(MONTH(C9251)&gt;=4,MONTH(C9251)&lt;=6),2,IF(AND(MONTH(C9251)&gt;=7,MONTH(C9251)&lt;=9),3,4))))</f>
        <v>1</v>
      </c>
      <c r="D9252" s="1"/>
      <c r="E9252" s="92" t="s">
        <v>15990</v>
      </c>
      <c r="F9252" s="93"/>
    </row>
    <row r="9254" spans="1:6" ht="14.1" customHeight="1" x14ac:dyDescent="0.25">
      <c r="A9254" s="85" t="s">
        <v>15474</v>
      </c>
      <c r="B9254" s="85" t="s">
        <v>5027</v>
      </c>
      <c r="C9254" s="85" t="s">
        <v>17461</v>
      </c>
      <c r="D9254" s="85" t="s">
        <v>3935</v>
      </c>
      <c r="E9254" s="85" t="s">
        <v>10722</v>
      </c>
      <c r="F9254" s="85" t="s">
        <v>18237</v>
      </c>
    </row>
    <row r="9255" spans="1:6" ht="14.1" customHeight="1" x14ac:dyDescent="0.25">
      <c r="A9255" s="94" t="s">
        <v>19305</v>
      </c>
      <c r="B9255" s="82" t="str">
        <f ca="1">IFERROR(INDEX(UNSPSCDes,MATCH(INDIRECT(ADDRESS(ROW(),COLUMN()-1,4)),UNSPSCCode,0)),IF(INDIRECT(ADDRESS(ROW(),COLUMN()-1,4))="51111807","Acetato de leuprolide",""))</f>
        <v>Acetato de leuprolide</v>
      </c>
      <c r="C9255" s="95" t="str">
        <f>IFERROR(VLOOKUP("UD",'Informacion '!P:Q,2,FALSE),"")</f>
        <v>Unidad</v>
      </c>
      <c r="D9255" s="94">
        <v>8</v>
      </c>
      <c r="E9255" s="84">
        <v>5200</v>
      </c>
      <c r="F9255" s="83">
        <f t="shared" ref="F9255:F9286" ca="1" si="378">INDIRECT(ADDRESS(ROW(),COLUMN()-2,4))*INDIRECT(ADDRESS(ROW(),COLUMN()-1,4))</f>
        <v>41600</v>
      </c>
    </row>
    <row r="9256" spans="1:6" ht="14.1" customHeight="1" x14ac:dyDescent="0.25">
      <c r="A9256" s="94" t="s">
        <v>19305</v>
      </c>
      <c r="B9256" s="82" t="str">
        <f ca="1">IFERROR(INDEX(UNSPSCDes,MATCH(INDIRECT(ADDRESS(ROW(),COLUMN()-1,4)),UNSPSCCode,0)),IF(INDIRECT(ADDRESS(ROW(),COLUMN()-1,4))="51111807","Acetato de leuprolide",""))</f>
        <v>Acetato de leuprolide</v>
      </c>
      <c r="C9256" s="95" t="str">
        <f>IFERROR(VLOOKUP("UD",'Informacion '!P:Q,2,FALSE),"")</f>
        <v>Unidad</v>
      </c>
      <c r="D9256" s="94">
        <v>87</v>
      </c>
      <c r="E9256" s="84">
        <v>3490</v>
      </c>
      <c r="F9256" s="83">
        <f t="shared" ca="1" si="378"/>
        <v>303630</v>
      </c>
    </row>
    <row r="9257" spans="1:6" ht="14.1" customHeight="1" x14ac:dyDescent="0.25">
      <c r="A9257" s="94" t="s">
        <v>11307</v>
      </c>
      <c r="B9257" s="82" t="str">
        <f ca="1">IFERROR(INDEX(UNSPSCDes,MATCH(INDIRECT(ADDRESS(ROW(),COLUMN()-1,4)),UNSPSCCode,0)),IF(INDIRECT(ADDRESS(ROW(),COLUMN()-1,4))="51182415","Ácido zoledrónico",""))</f>
        <v>Ácido zoledrónico</v>
      </c>
      <c r="C9257" s="95" t="str">
        <f>IFERROR(VLOOKUP("UD",'Informacion '!P:Q,2,FALSE),"")</f>
        <v>Unidad</v>
      </c>
      <c r="D9257" s="94">
        <v>30</v>
      </c>
      <c r="E9257" s="84">
        <v>5100</v>
      </c>
      <c r="F9257" s="83">
        <f t="shared" ca="1" si="378"/>
        <v>153000</v>
      </c>
    </row>
    <row r="9258" spans="1:6" ht="14.1" customHeight="1" x14ac:dyDescent="0.25">
      <c r="A9258" s="94" t="s">
        <v>11307</v>
      </c>
      <c r="B9258" s="82" t="str">
        <f ca="1">IFERROR(INDEX(UNSPSCDes,MATCH(INDIRECT(ADDRESS(ROW(),COLUMN()-1,4)),UNSPSCCode,0)),IF(INDIRECT(ADDRESS(ROW(),COLUMN()-1,4))="51182415","Ácido zoledrónico",""))</f>
        <v>Ácido zoledrónico</v>
      </c>
      <c r="C9258" s="95" t="str">
        <f>IFERROR(VLOOKUP("UD",'Informacion '!P:Q,2,FALSE),"")</f>
        <v>Unidad</v>
      </c>
      <c r="D9258" s="94">
        <v>2</v>
      </c>
      <c r="E9258" s="84">
        <v>15670.55</v>
      </c>
      <c r="F9258" s="83">
        <f t="shared" ca="1" si="378"/>
        <v>31341.1</v>
      </c>
    </row>
    <row r="9259" spans="1:6" ht="14.1" customHeight="1" x14ac:dyDescent="0.25">
      <c r="A9259" s="94" t="s">
        <v>11307</v>
      </c>
      <c r="B9259" s="82" t="str">
        <f ca="1">IFERROR(INDEX(UNSPSCDes,MATCH(INDIRECT(ADDRESS(ROW(),COLUMN()-1,4)),UNSPSCCode,0)),IF(INDIRECT(ADDRESS(ROW(),COLUMN()-1,4))="51182415","Ácido zoledrónico",""))</f>
        <v>Ácido zoledrónico</v>
      </c>
      <c r="C9259" s="95" t="str">
        <f>IFERROR(VLOOKUP("UD",'Informacion '!P:Q,2,FALSE),"")</f>
        <v>Unidad</v>
      </c>
      <c r="D9259" s="94">
        <v>48</v>
      </c>
      <c r="E9259" s="84">
        <v>2294.6799999999998</v>
      </c>
      <c r="F9259" s="83">
        <f t="shared" ca="1" si="378"/>
        <v>110144.63999999998</v>
      </c>
    </row>
    <row r="9260" spans="1:6" ht="14.1" customHeight="1" x14ac:dyDescent="0.25">
      <c r="A9260" s="94" t="s">
        <v>693</v>
      </c>
      <c r="B9260" s="82" t="str">
        <f t="shared" ref="B9260:B9266" ca="1" si="379">IFERROR(INDEX(UNSPSCDes,MATCH(INDIRECT(ADDRESS(ROW(),COLUMN()-1,4)),UNSPSCCode,0)),IF(INDIRECT(ADDRESS(ROW(),COLUMN()-1,4))="51111716","Rituximab",""))</f>
        <v>Rituximab</v>
      </c>
      <c r="C9260" s="95" t="str">
        <f>IFERROR(VLOOKUP("UD",'Informacion '!P:Q,2,FALSE),"")</f>
        <v>Unidad</v>
      </c>
      <c r="D9260" s="94">
        <v>4</v>
      </c>
      <c r="E9260" s="84">
        <v>28221.43</v>
      </c>
      <c r="F9260" s="83">
        <f t="shared" ca="1" si="378"/>
        <v>112885.72</v>
      </c>
    </row>
    <row r="9261" spans="1:6" ht="14.1" customHeight="1" x14ac:dyDescent="0.25">
      <c r="A9261" s="94" t="s">
        <v>693</v>
      </c>
      <c r="B9261" s="82" t="str">
        <f t="shared" ca="1" si="379"/>
        <v>Rituximab</v>
      </c>
      <c r="C9261" s="95" t="str">
        <f>IFERROR(VLOOKUP("UD",'Informacion '!P:Q,2,FALSE),"")</f>
        <v>Unidad</v>
      </c>
      <c r="D9261" s="94">
        <v>1</v>
      </c>
      <c r="E9261" s="84">
        <v>50500</v>
      </c>
      <c r="F9261" s="83">
        <f t="shared" ca="1" si="378"/>
        <v>50500</v>
      </c>
    </row>
    <row r="9262" spans="1:6" ht="14.1" customHeight="1" x14ac:dyDescent="0.25">
      <c r="A9262" s="94" t="s">
        <v>693</v>
      </c>
      <c r="B9262" s="82" t="str">
        <f t="shared" ca="1" si="379"/>
        <v>Rituximab</v>
      </c>
      <c r="C9262" s="95" t="str">
        <f>IFERROR(VLOOKUP("UD",'Informacion '!P:Q,2,FALSE),"")</f>
        <v>Unidad</v>
      </c>
      <c r="D9262" s="94">
        <v>10</v>
      </c>
      <c r="E9262" s="84">
        <v>10437.36</v>
      </c>
      <c r="F9262" s="83">
        <f t="shared" ca="1" si="378"/>
        <v>104373.6</v>
      </c>
    </row>
    <row r="9263" spans="1:6" ht="14.1" customHeight="1" x14ac:dyDescent="0.25">
      <c r="A9263" s="94" t="s">
        <v>693</v>
      </c>
      <c r="B9263" s="82" t="str">
        <f t="shared" ca="1" si="379"/>
        <v>Rituximab</v>
      </c>
      <c r="C9263" s="95" t="str">
        <f>IFERROR(VLOOKUP("UD",'Informacion '!P:Q,2,FALSE),"")</f>
        <v>Unidad</v>
      </c>
      <c r="D9263" s="94">
        <v>5</v>
      </c>
      <c r="E9263" s="84">
        <v>9022.2099999999991</v>
      </c>
      <c r="F9263" s="83">
        <f t="shared" ca="1" si="378"/>
        <v>45111.049999999996</v>
      </c>
    </row>
    <row r="9264" spans="1:6" ht="14.1" customHeight="1" x14ac:dyDescent="0.25">
      <c r="A9264" s="94" t="s">
        <v>693</v>
      </c>
      <c r="B9264" s="82" t="str">
        <f t="shared" ca="1" si="379"/>
        <v>Rituximab</v>
      </c>
      <c r="C9264" s="95" t="str">
        <f>IFERROR(VLOOKUP("UD",'Informacion '!P:Q,2,FALSE),"")</f>
        <v>Unidad</v>
      </c>
      <c r="D9264" s="94">
        <v>6</v>
      </c>
      <c r="E9264" s="84">
        <v>14500</v>
      </c>
      <c r="F9264" s="83">
        <f t="shared" ca="1" si="378"/>
        <v>87000</v>
      </c>
    </row>
    <row r="9265" spans="1:6" ht="14.1" customHeight="1" x14ac:dyDescent="0.25">
      <c r="A9265" s="94" t="s">
        <v>693</v>
      </c>
      <c r="B9265" s="82" t="str">
        <f t="shared" ca="1" si="379"/>
        <v>Rituximab</v>
      </c>
      <c r="C9265" s="95" t="str">
        <f>IFERROR(VLOOKUP("UD",'Informacion '!P:Q,2,FALSE),"")</f>
        <v>Unidad</v>
      </c>
      <c r="D9265" s="94">
        <v>1</v>
      </c>
      <c r="E9265" s="84">
        <v>36924.75</v>
      </c>
      <c r="F9265" s="83">
        <f t="shared" ca="1" si="378"/>
        <v>36924.75</v>
      </c>
    </row>
    <row r="9266" spans="1:6" ht="14.1" customHeight="1" x14ac:dyDescent="0.25">
      <c r="A9266" s="94" t="s">
        <v>693</v>
      </c>
      <c r="B9266" s="82" t="str">
        <f t="shared" ca="1" si="379"/>
        <v>Rituximab</v>
      </c>
      <c r="C9266" s="95" t="str">
        <f>IFERROR(VLOOKUP("UD",'Informacion '!P:Q,2,FALSE),"")</f>
        <v>Unidad</v>
      </c>
      <c r="D9266" s="94">
        <v>2</v>
      </c>
      <c r="E9266" s="84">
        <v>10530</v>
      </c>
      <c r="F9266" s="83">
        <f t="shared" ca="1" si="378"/>
        <v>21060</v>
      </c>
    </row>
    <row r="9267" spans="1:6" ht="14.1" customHeight="1" x14ac:dyDescent="0.25">
      <c r="A9267" s="94" t="s">
        <v>1085</v>
      </c>
      <c r="B9267" s="82" t="str">
        <f ca="1">IFERROR(INDEX(UNSPSCDes,MATCH(INDIRECT(ADDRESS(ROW(),COLUMN()-1,4)),UNSPSCCode,0)),IF(INDIRECT(ADDRESS(ROW(),COLUMN()-1,4))="51111802","Bicalutamida",""))</f>
        <v>Bicalutamida</v>
      </c>
      <c r="C9267" s="95" t="str">
        <f>IFERROR(VLOOKUP("UD",'Informacion '!P:Q,2,FALSE),"")</f>
        <v>Unidad</v>
      </c>
      <c r="D9267" s="94">
        <v>8</v>
      </c>
      <c r="E9267" s="84">
        <v>389.29</v>
      </c>
      <c r="F9267" s="83">
        <f t="shared" ca="1" si="378"/>
        <v>3114.32</v>
      </c>
    </row>
    <row r="9268" spans="1:6" ht="14.1" customHeight="1" x14ac:dyDescent="0.25">
      <c r="A9268" s="94" t="s">
        <v>1751</v>
      </c>
      <c r="B9268" s="82" t="str">
        <f ca="1">IFERROR(INDEX(UNSPSCDes,MATCH(INDIRECT(ADDRESS(ROW(),COLUMN()-1,4)),UNSPSCCode,0)),IF(INDIRECT(ADDRESS(ROW(),COLUMN()-1,4))="51111701","Sulfato de bleomicina",""))</f>
        <v>Sulfato de bleomicina</v>
      </c>
      <c r="C9268" s="95" t="str">
        <f>IFERROR(VLOOKUP("UD",'Informacion '!P:Q,2,FALSE),"")</f>
        <v>Unidad</v>
      </c>
      <c r="D9268" s="94">
        <v>38</v>
      </c>
      <c r="E9268" s="84">
        <v>1100</v>
      </c>
      <c r="F9268" s="83">
        <f t="shared" ca="1" si="378"/>
        <v>41800</v>
      </c>
    </row>
    <row r="9269" spans="1:6" ht="14.1" customHeight="1" x14ac:dyDescent="0.25">
      <c r="A9269" s="94" t="s">
        <v>1751</v>
      </c>
      <c r="B9269" s="82" t="str">
        <f ca="1">IFERROR(INDEX(UNSPSCDes,MATCH(INDIRECT(ADDRESS(ROW(),COLUMN()-1,4)),UNSPSCCode,0)),IF(INDIRECT(ADDRESS(ROW(),COLUMN()-1,4))="51111701","Sulfato de bleomicina",""))</f>
        <v>Sulfato de bleomicina</v>
      </c>
      <c r="C9269" s="95" t="str">
        <f>IFERROR(VLOOKUP("UD",'Informacion '!P:Q,2,FALSE),"")</f>
        <v>Unidad</v>
      </c>
      <c r="D9269" s="94">
        <v>10</v>
      </c>
      <c r="E9269" s="84">
        <v>924.78</v>
      </c>
      <c r="F9269" s="83">
        <f t="shared" ca="1" si="378"/>
        <v>9247.7999999999993</v>
      </c>
    </row>
    <row r="9270" spans="1:6" ht="14.1" customHeight="1" x14ac:dyDescent="0.25">
      <c r="A9270" s="94" t="s">
        <v>19295</v>
      </c>
      <c r="B9270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9270" s="95" t="str">
        <f>IFERROR(VLOOKUP("UD",'Informacion '!P:Q,2,FALSE),"")</f>
        <v>Unidad</v>
      </c>
      <c r="D9270" s="94">
        <v>29</v>
      </c>
      <c r="E9270" s="84">
        <v>35500</v>
      </c>
      <c r="F9270" s="83">
        <f t="shared" ca="1" si="378"/>
        <v>1029500</v>
      </c>
    </row>
    <row r="9271" spans="1:6" ht="14.1" customHeight="1" x14ac:dyDescent="0.25">
      <c r="A9271" s="94" t="s">
        <v>2868</v>
      </c>
      <c r="B9271" s="82" t="str">
        <f ca="1">IFERROR(INDEX(UNSPSCDes,MATCH(INDIRECT(ADDRESS(ROW(),COLUMN()-1,4)),UNSPSCCode,0)),IF(INDIRECT(ADDRESS(ROW(),COLUMN()-1,4))="51111616","Capecitabina",""))</f>
        <v>Capecitabina</v>
      </c>
      <c r="C9271" s="95" t="str">
        <f>IFERROR(VLOOKUP("UD",'Informacion '!P:Q,2,FALSE),"")</f>
        <v>Unidad</v>
      </c>
      <c r="D9271" s="94">
        <v>808</v>
      </c>
      <c r="E9271" s="84">
        <v>179.17</v>
      </c>
      <c r="F9271" s="83">
        <f t="shared" ca="1" si="378"/>
        <v>144769.35999999999</v>
      </c>
    </row>
    <row r="9272" spans="1:6" ht="14.1" customHeight="1" x14ac:dyDescent="0.25">
      <c r="A9272" s="94" t="s">
        <v>2868</v>
      </c>
      <c r="B9272" s="82" t="str">
        <f ca="1">IFERROR(INDEX(UNSPSCDes,MATCH(INDIRECT(ADDRESS(ROW(),COLUMN()-1,4)),UNSPSCCode,0)),IF(INDIRECT(ADDRESS(ROW(),COLUMN()-1,4))="51111616","Capecitabina",""))</f>
        <v>Capecitabina</v>
      </c>
      <c r="C9272" s="95" t="str">
        <f>IFERROR(VLOOKUP("UD",'Informacion '!P:Q,2,FALSE),"")</f>
        <v>Unidad</v>
      </c>
      <c r="D9272" s="94">
        <v>3890</v>
      </c>
      <c r="E9272" s="84">
        <v>168.33</v>
      </c>
      <c r="F9272" s="83">
        <f t="shared" ca="1" si="378"/>
        <v>654803.70000000007</v>
      </c>
    </row>
    <row r="9273" spans="1:6" ht="14.1" customHeight="1" x14ac:dyDescent="0.25">
      <c r="A9273" s="94" t="s">
        <v>17588</v>
      </c>
      <c r="B9273" s="82" t="str">
        <f ca="1">IFERROR(INDEX(UNSPSCDes,MATCH(INDIRECT(ADDRESS(ROW(),COLUMN()-1,4)),UNSPSCCode,0)),IF(INDIRECT(ADDRESS(ROW(),COLUMN()-1,4))="51111503","Carboplatino",""))</f>
        <v>Carboplatino</v>
      </c>
      <c r="C9273" s="95" t="str">
        <f>IFERROR(VLOOKUP("UD",'Informacion '!P:Q,2,FALSE),"")</f>
        <v>Unidad</v>
      </c>
      <c r="D9273" s="94">
        <v>24</v>
      </c>
      <c r="E9273" s="84">
        <v>791.72</v>
      </c>
      <c r="F9273" s="83">
        <f t="shared" ca="1" si="378"/>
        <v>19001.28</v>
      </c>
    </row>
    <row r="9274" spans="1:6" ht="14.1" customHeight="1" x14ac:dyDescent="0.25">
      <c r="A9274" s="94" t="s">
        <v>17703</v>
      </c>
      <c r="B9274" s="82" t="str">
        <f ca="1">IFERROR(INDEX(UNSPSCDes,MATCH(INDIRECT(ADDRESS(ROW(),COLUMN()-1,4)),UNSPSCCode,0)),IF(INDIRECT(ADDRESS(ROW(),COLUMN()-1,4))="15111503","Propileno",""))</f>
        <v>Propileno</v>
      </c>
      <c r="C9274" s="95" t="str">
        <f>IFERROR(VLOOKUP("UD",'Informacion '!P:Q,2,FALSE),"")</f>
        <v>Unidad</v>
      </c>
      <c r="D9274" s="94">
        <v>70</v>
      </c>
      <c r="E9274" s="84">
        <v>800.69</v>
      </c>
      <c r="F9274" s="83">
        <f t="shared" ca="1" si="378"/>
        <v>56048.3</v>
      </c>
    </row>
    <row r="9275" spans="1:6" ht="14.1" customHeight="1" x14ac:dyDescent="0.25">
      <c r="A9275" s="94" t="s">
        <v>17588</v>
      </c>
      <c r="B9275" s="82" t="str">
        <f ca="1">IFERROR(INDEX(UNSPSCDes,MATCH(INDIRECT(ADDRESS(ROW(),COLUMN()-1,4)),UNSPSCCode,0)),IF(INDIRECT(ADDRESS(ROW(),COLUMN()-1,4))="51111503","Carboplatino",""))</f>
        <v>Carboplatino</v>
      </c>
      <c r="C9275" s="95" t="str">
        <f>IFERROR(VLOOKUP("UD",'Informacion '!P:Q,2,FALSE),"")</f>
        <v>Unidad</v>
      </c>
      <c r="D9275" s="94">
        <v>7</v>
      </c>
      <c r="E9275" s="84">
        <v>968</v>
      </c>
      <c r="F9275" s="83">
        <f t="shared" ca="1" si="378"/>
        <v>6776</v>
      </c>
    </row>
    <row r="9276" spans="1:6" ht="14.1" customHeight="1" x14ac:dyDescent="0.25">
      <c r="A9276" s="94" t="s">
        <v>17588</v>
      </c>
      <c r="B9276" s="82" t="str">
        <f ca="1">IFERROR(INDEX(UNSPSCDes,MATCH(INDIRECT(ADDRESS(ROW(),COLUMN()-1,4)),UNSPSCCode,0)),IF(INDIRECT(ADDRESS(ROW(),COLUMN()-1,4))="51111503","Carboplatino",""))</f>
        <v>Carboplatino</v>
      </c>
      <c r="C9276" s="95" t="str">
        <f>IFERROR(VLOOKUP("UD",'Informacion '!P:Q,2,FALSE),"")</f>
        <v>Unidad</v>
      </c>
      <c r="D9276" s="94">
        <v>44</v>
      </c>
      <c r="E9276" s="84">
        <v>1550.18</v>
      </c>
      <c r="F9276" s="83">
        <f t="shared" ca="1" si="378"/>
        <v>68207.92</v>
      </c>
    </row>
    <row r="9277" spans="1:6" ht="14.1" customHeight="1" x14ac:dyDescent="0.25">
      <c r="A9277" s="94" t="s">
        <v>17588</v>
      </c>
      <c r="B9277" s="82" t="str">
        <f ca="1">IFERROR(INDEX(UNSPSCDes,MATCH(INDIRECT(ADDRESS(ROW(),COLUMN()-1,4)),UNSPSCCode,0)),IF(INDIRECT(ADDRESS(ROW(),COLUMN()-1,4))="51111503","Carboplatino",""))</f>
        <v>Carboplatino</v>
      </c>
      <c r="C9277" s="95" t="str">
        <f>IFERROR(VLOOKUP("UD",'Informacion '!P:Q,2,FALSE),"")</f>
        <v>Unidad</v>
      </c>
      <c r="D9277" s="94">
        <v>8</v>
      </c>
      <c r="E9277" s="84">
        <v>2261</v>
      </c>
      <c r="F9277" s="83">
        <f t="shared" ca="1" si="378"/>
        <v>18088</v>
      </c>
    </row>
    <row r="9278" spans="1:6" ht="14.1" customHeight="1" x14ac:dyDescent="0.25">
      <c r="A9278" s="94" t="s">
        <v>17588</v>
      </c>
      <c r="B9278" s="82" t="str">
        <f ca="1">IFERROR(INDEX(UNSPSCDes,MATCH(INDIRECT(ADDRESS(ROW(),COLUMN()-1,4)),UNSPSCCode,0)),IF(INDIRECT(ADDRESS(ROW(),COLUMN()-1,4))="51111503","Carboplatino",""))</f>
        <v>Carboplatino</v>
      </c>
      <c r="C9278" s="95" t="str">
        <f>IFERROR(VLOOKUP("UD",'Informacion '!P:Q,2,FALSE),"")</f>
        <v>Unidad</v>
      </c>
      <c r="D9278" s="94">
        <v>21</v>
      </c>
      <c r="E9278" s="84">
        <v>1761.19</v>
      </c>
      <c r="F9278" s="83">
        <f t="shared" ca="1" si="378"/>
        <v>36984.99</v>
      </c>
    </row>
    <row r="9279" spans="1:6" ht="14.1" customHeight="1" x14ac:dyDescent="0.25">
      <c r="A9279" s="94" t="s">
        <v>17588</v>
      </c>
      <c r="B9279" s="82" t="str">
        <f ca="1">IFERROR(INDEX(UNSPSCDes,MATCH(INDIRECT(ADDRESS(ROW(),COLUMN()-1,4)),UNSPSCCode,0)),IF(INDIRECT(ADDRESS(ROW(),COLUMN()-1,4))="51111503","Carboplatino",""))</f>
        <v>Carboplatino</v>
      </c>
      <c r="C9279" s="95" t="str">
        <f>IFERROR(VLOOKUP("UD",'Informacion '!P:Q,2,FALSE),"")</f>
        <v>Unidad</v>
      </c>
      <c r="D9279" s="94">
        <v>1</v>
      </c>
      <c r="E9279" s="84">
        <v>1865.69</v>
      </c>
      <c r="F9279" s="83">
        <f t="shared" ca="1" si="378"/>
        <v>1865.69</v>
      </c>
    </row>
    <row r="9280" spans="1:6" ht="14.1" customHeight="1" x14ac:dyDescent="0.25">
      <c r="A9280" s="94" t="s">
        <v>6655</v>
      </c>
      <c r="B9280" s="82" t="str">
        <f ca="1">IFERROR(INDEX(UNSPSCDes,MATCH(INDIRECT(ADDRESS(ROW(),COLUMN()-1,4)),UNSPSCCode,0)),IF(INDIRECT(ADDRESS(ROW(),COLUMN()-1,4))="51111717","Trastuzumab",""))</f>
        <v>Trastuzumab</v>
      </c>
      <c r="C9280" s="95" t="str">
        <f>IFERROR(VLOOKUP("UD",'Informacion '!P:Q,2,FALSE),"")</f>
        <v>Unidad</v>
      </c>
      <c r="D9280" s="94">
        <v>33</v>
      </c>
      <c r="E9280" s="84">
        <v>25265.33</v>
      </c>
      <c r="F9280" s="83">
        <f t="shared" ca="1" si="378"/>
        <v>833755.89</v>
      </c>
    </row>
    <row r="9281" spans="1:6" ht="14.1" customHeight="1" x14ac:dyDescent="0.25">
      <c r="A9281" s="94" t="s">
        <v>11096</v>
      </c>
      <c r="B9281" s="82" t="str">
        <f ca="1">IFERROR(INDEX(UNSPSCDes,MATCH(INDIRECT(ADDRESS(ROW(),COLUMN()-1,4)),UNSPSCCode,0)),IF(INDIRECT(ADDRESS(ROW(),COLUMN()-1,4))="51111507","Ciclofosfamida",""))</f>
        <v>Ciclofosfamida</v>
      </c>
      <c r="C9281" s="95" t="str">
        <f>IFERROR(VLOOKUP("UD",'Informacion '!P:Q,2,FALSE),"")</f>
        <v>Unidad</v>
      </c>
      <c r="D9281" s="94">
        <v>49</v>
      </c>
      <c r="E9281" s="84">
        <v>350.63</v>
      </c>
      <c r="F9281" s="83">
        <f t="shared" ca="1" si="378"/>
        <v>17180.87</v>
      </c>
    </row>
    <row r="9282" spans="1:6" ht="14.1" customHeight="1" x14ac:dyDescent="0.25">
      <c r="A9282" s="94" t="s">
        <v>11096</v>
      </c>
      <c r="B9282" s="82" t="str">
        <f ca="1">IFERROR(INDEX(UNSPSCDes,MATCH(INDIRECT(ADDRESS(ROW(),COLUMN()-1,4)),UNSPSCCode,0)),IF(INDIRECT(ADDRESS(ROW(),COLUMN()-1,4))="51111507","Ciclofosfamida",""))</f>
        <v>Ciclofosfamida</v>
      </c>
      <c r="C9282" s="95" t="str">
        <f>IFERROR(VLOOKUP("UD",'Informacion '!P:Q,2,FALSE),"")</f>
        <v>Unidad</v>
      </c>
      <c r="D9282" s="94">
        <v>93</v>
      </c>
      <c r="E9282" s="84">
        <v>730</v>
      </c>
      <c r="F9282" s="83">
        <f t="shared" ca="1" si="378"/>
        <v>67890</v>
      </c>
    </row>
    <row r="9283" spans="1:6" ht="14.1" customHeight="1" x14ac:dyDescent="0.25">
      <c r="A9283" s="94" t="s">
        <v>10585</v>
      </c>
      <c r="B9283" s="82" t="str">
        <f ca="1">IFERROR(INDEX(UNSPSCDes,MATCH(INDIRECT(ADDRESS(ROW(),COLUMN()-1,4)),UNSPSCCode,0)),IF(INDIRECT(ADDRESS(ROW(),COLUMN()-1,4))="51111506","Cisplatino",""))</f>
        <v>Cisplatino</v>
      </c>
      <c r="C9283" s="95" t="str">
        <f>IFERROR(VLOOKUP("UD",'Informacion '!P:Q,2,FALSE),"")</f>
        <v>Unidad</v>
      </c>
      <c r="D9283" s="94">
        <v>39</v>
      </c>
      <c r="E9283" s="84">
        <v>285.95999999999998</v>
      </c>
      <c r="F9283" s="83">
        <f t="shared" ca="1" si="378"/>
        <v>11152.439999999999</v>
      </c>
    </row>
    <row r="9284" spans="1:6" ht="14.1" customHeight="1" x14ac:dyDescent="0.25">
      <c r="A9284" s="94" t="s">
        <v>10585</v>
      </c>
      <c r="B9284" s="82" t="str">
        <f ca="1">IFERROR(INDEX(UNSPSCDes,MATCH(INDIRECT(ADDRESS(ROW(),COLUMN()-1,4)),UNSPSCCode,0)),IF(INDIRECT(ADDRESS(ROW(),COLUMN()-1,4))="51111506","Cisplatino",""))</f>
        <v>Cisplatino</v>
      </c>
      <c r="C9284" s="95" t="str">
        <f>IFERROR(VLOOKUP("UD",'Informacion '!P:Q,2,FALSE),"")</f>
        <v>Unidad</v>
      </c>
      <c r="D9284" s="94">
        <v>13</v>
      </c>
      <c r="E9284" s="84">
        <v>372.36</v>
      </c>
      <c r="F9284" s="83">
        <f t="shared" ca="1" si="378"/>
        <v>4840.68</v>
      </c>
    </row>
    <row r="9285" spans="1:6" ht="14.1" customHeight="1" x14ac:dyDescent="0.25">
      <c r="A9285" s="94" t="s">
        <v>10585</v>
      </c>
      <c r="B9285" s="82" t="str">
        <f ca="1">IFERROR(INDEX(UNSPSCDes,MATCH(INDIRECT(ADDRESS(ROW(),COLUMN()-1,4)),UNSPSCCode,0)),IF(INDIRECT(ADDRESS(ROW(),COLUMN()-1,4))="51111506","Cisplatino",""))</f>
        <v>Cisplatino</v>
      </c>
      <c r="C9285" s="95" t="str">
        <f>IFERROR(VLOOKUP("UD",'Informacion '!P:Q,2,FALSE),"")</f>
        <v>Unidad</v>
      </c>
      <c r="D9285" s="94">
        <v>2</v>
      </c>
      <c r="E9285" s="84">
        <v>372.63</v>
      </c>
      <c r="F9285" s="83">
        <f t="shared" ca="1" si="378"/>
        <v>745.26</v>
      </c>
    </row>
    <row r="9286" spans="1:6" ht="14.1" customHeight="1" x14ac:dyDescent="0.25">
      <c r="A9286" s="94" t="s">
        <v>10585</v>
      </c>
      <c r="B9286" s="82" t="str">
        <f ca="1">IFERROR(INDEX(UNSPSCDes,MATCH(INDIRECT(ADDRESS(ROW(),COLUMN()-1,4)),UNSPSCCode,0)),IF(INDIRECT(ADDRESS(ROW(),COLUMN()-1,4))="51111506","Cisplatino",""))</f>
        <v>Cisplatino</v>
      </c>
      <c r="C9286" s="95" t="str">
        <f>IFERROR(VLOOKUP("UD",'Informacion '!P:Q,2,FALSE),"")</f>
        <v>Unidad</v>
      </c>
      <c r="D9286" s="94">
        <v>65</v>
      </c>
      <c r="E9286" s="84">
        <v>246.71</v>
      </c>
      <c r="F9286" s="83">
        <f t="shared" ca="1" si="378"/>
        <v>16036.15</v>
      </c>
    </row>
    <row r="9287" spans="1:6" ht="14.1" customHeight="1" x14ac:dyDescent="0.25">
      <c r="A9287" s="94" t="s">
        <v>10585</v>
      </c>
      <c r="B9287" s="82" t="str">
        <f ca="1">IFERROR(INDEX(UNSPSCDes,MATCH(INDIRECT(ADDRESS(ROW(),COLUMN()-1,4)),UNSPSCCode,0)),IF(INDIRECT(ADDRESS(ROW(),COLUMN()-1,4))="51111506","Cisplatino",""))</f>
        <v>Cisplatino</v>
      </c>
      <c r="C9287" s="95" t="str">
        <f>IFERROR(VLOOKUP("UD",'Informacion '!P:Q,2,FALSE),"")</f>
        <v>Unidad</v>
      </c>
      <c r="D9287" s="94">
        <v>88</v>
      </c>
      <c r="E9287" s="84">
        <v>871.47</v>
      </c>
      <c r="F9287" s="83">
        <f t="shared" ref="F9287:F9318" ca="1" si="380">INDIRECT(ADDRESS(ROW(),COLUMN()-2,4))*INDIRECT(ADDRESS(ROW(),COLUMN()-1,4))</f>
        <v>76689.36</v>
      </c>
    </row>
    <row r="9288" spans="1:6" ht="14.1" customHeight="1" x14ac:dyDescent="0.25">
      <c r="A9288" s="94" t="s">
        <v>12627</v>
      </c>
      <c r="B9288" s="82" t="str">
        <f ca="1">IFERROR(INDEX(UNSPSCDes,MATCH(INDIRECT(ADDRESS(ROW(),COLUMN()-1,4)),UNSPSCCode,0)),IF(INDIRECT(ADDRESS(ROW(),COLUMN()-1,4))="31351111","Ensambles de tubos soldados con soldadura ultra violeta de aleación wasp",""))</f>
        <v>Ensambles de tubos soldados con soldadura ultra violeta de aleación wasp</v>
      </c>
      <c r="C9288" s="95" t="str">
        <f>IFERROR(VLOOKUP("UD",'Informacion '!P:Q,2,FALSE),"")</f>
        <v>Unidad</v>
      </c>
      <c r="D9288" s="94">
        <v>3</v>
      </c>
      <c r="E9288" s="84">
        <v>869.18</v>
      </c>
      <c r="F9288" s="83">
        <f t="shared" ca="1" si="380"/>
        <v>2607.54</v>
      </c>
    </row>
    <row r="9289" spans="1:6" ht="14.1" customHeight="1" x14ac:dyDescent="0.25">
      <c r="A9289" s="94" t="s">
        <v>14357</v>
      </c>
      <c r="B9289" s="82" t="str">
        <f ca="1">IFERROR(INDEX(UNSPSCDes,MATCH(INDIRECT(ADDRESS(ROW(),COLUMN()-1,4)),UNSPSCCode,0)),IF(INDIRECT(ADDRESS(ROW(),COLUMN()-1,4))="51111602","Citarabina",""))</f>
        <v>Citarabina</v>
      </c>
      <c r="C9289" s="95" t="str">
        <f>IFERROR(VLOOKUP("UD",'Informacion '!P:Q,2,FALSE),"")</f>
        <v>Unidad</v>
      </c>
      <c r="D9289" s="94">
        <v>6</v>
      </c>
      <c r="E9289" s="84">
        <v>151.26</v>
      </c>
      <c r="F9289" s="83">
        <f t="shared" ca="1" si="380"/>
        <v>907.56</v>
      </c>
    </row>
    <row r="9290" spans="1:6" ht="14.1" customHeight="1" x14ac:dyDescent="0.25">
      <c r="A9290" s="94" t="s">
        <v>14357</v>
      </c>
      <c r="B9290" s="82" t="str">
        <f ca="1">IFERROR(INDEX(UNSPSCDes,MATCH(INDIRECT(ADDRESS(ROW(),COLUMN()-1,4)),UNSPSCCode,0)),IF(INDIRECT(ADDRESS(ROW(),COLUMN()-1,4))="51111602","Citarabina",""))</f>
        <v>Citarabina</v>
      </c>
      <c r="C9290" s="95" t="str">
        <f>IFERROR(VLOOKUP("UD",'Informacion '!P:Q,2,FALSE),"")</f>
        <v>Unidad</v>
      </c>
      <c r="D9290" s="94">
        <v>85</v>
      </c>
      <c r="E9290" s="84">
        <v>341</v>
      </c>
      <c r="F9290" s="83">
        <f t="shared" ca="1" si="380"/>
        <v>28985</v>
      </c>
    </row>
    <row r="9291" spans="1:6" ht="14.1" customHeight="1" x14ac:dyDescent="0.25">
      <c r="A9291" s="94" t="s">
        <v>14357</v>
      </c>
      <c r="B9291" s="82" t="str">
        <f ca="1">IFERROR(INDEX(UNSPSCDes,MATCH(INDIRECT(ADDRESS(ROW(),COLUMN()-1,4)),UNSPSCCode,0)),IF(INDIRECT(ADDRESS(ROW(),COLUMN()-1,4))="51111602","Citarabina",""))</f>
        <v>Citarabina</v>
      </c>
      <c r="C9291" s="95" t="str">
        <f>IFERROR(VLOOKUP("UD",'Informacion '!P:Q,2,FALSE),"")</f>
        <v>Unidad</v>
      </c>
      <c r="D9291" s="94">
        <v>42</v>
      </c>
      <c r="E9291" s="84">
        <v>300.82</v>
      </c>
      <c r="F9291" s="83">
        <f t="shared" ca="1" si="380"/>
        <v>12634.44</v>
      </c>
    </row>
    <row r="9292" spans="1:6" ht="14.1" customHeight="1" x14ac:dyDescent="0.25">
      <c r="A9292" s="94" t="s">
        <v>14357</v>
      </c>
      <c r="B9292" s="82" t="str">
        <f ca="1">IFERROR(INDEX(UNSPSCDes,MATCH(INDIRECT(ADDRESS(ROW(),COLUMN()-1,4)),UNSPSCCode,0)),IF(INDIRECT(ADDRESS(ROW(),COLUMN()-1,4))="51111602","Citarabina",""))</f>
        <v>Citarabina</v>
      </c>
      <c r="C9292" s="95" t="str">
        <f>IFERROR(VLOOKUP("UD",'Informacion '!P:Q,2,FALSE),"")</f>
        <v>Unidad</v>
      </c>
      <c r="D9292" s="94">
        <v>45</v>
      </c>
      <c r="E9292" s="84">
        <v>459.4</v>
      </c>
      <c r="F9292" s="83">
        <f t="shared" ca="1" si="380"/>
        <v>20673</v>
      </c>
    </row>
    <row r="9293" spans="1:6" ht="14.1" customHeight="1" x14ac:dyDescent="0.25">
      <c r="A9293" s="94" t="s">
        <v>14357</v>
      </c>
      <c r="B9293" s="82" t="str">
        <f ca="1">IFERROR(INDEX(UNSPSCDes,MATCH(INDIRECT(ADDRESS(ROW(),COLUMN()-1,4)),UNSPSCCode,0)),IF(INDIRECT(ADDRESS(ROW(),COLUMN()-1,4))="51111602","Citarabina",""))</f>
        <v>Citarabina</v>
      </c>
      <c r="C9293" s="95" t="str">
        <f>IFERROR(VLOOKUP("UD",'Informacion '!P:Q,2,FALSE),"")</f>
        <v>Unidad</v>
      </c>
      <c r="D9293" s="94">
        <v>15</v>
      </c>
      <c r="E9293" s="84">
        <v>660</v>
      </c>
      <c r="F9293" s="83">
        <f t="shared" ca="1" si="380"/>
        <v>9900</v>
      </c>
    </row>
    <row r="9294" spans="1:6" ht="14.1" customHeight="1" x14ac:dyDescent="0.25">
      <c r="A9294" s="94" t="s">
        <v>6233</v>
      </c>
      <c r="B9294" s="82" t="str">
        <f ca="1">IFERROR(INDEX(UNSPSCDes,MATCH(INDIRECT(ADDRESS(ROW(),COLUMN()-1,4)),UNSPSCCode,0)),IF(INDIRECT(ADDRESS(ROW(),COLUMN()-1,4))="51111508","Dacarbazina",""))</f>
        <v>Dacarbazina</v>
      </c>
      <c r="C9294" s="95" t="str">
        <f>IFERROR(VLOOKUP("UD",'Informacion '!P:Q,2,FALSE),"")</f>
        <v>Unidad</v>
      </c>
      <c r="D9294" s="94">
        <v>24</v>
      </c>
      <c r="E9294" s="84">
        <v>880</v>
      </c>
      <c r="F9294" s="83">
        <f t="shared" ca="1" si="380"/>
        <v>21120</v>
      </c>
    </row>
    <row r="9295" spans="1:6" ht="14.1" customHeight="1" x14ac:dyDescent="0.25">
      <c r="A9295" s="94" t="s">
        <v>6233</v>
      </c>
      <c r="B9295" s="82" t="str">
        <f ca="1">IFERROR(INDEX(UNSPSCDes,MATCH(INDIRECT(ADDRESS(ROW(),COLUMN()-1,4)),UNSPSCCode,0)),IF(INDIRECT(ADDRESS(ROW(),COLUMN()-1,4))="51111508","Dacarbazina",""))</f>
        <v>Dacarbazina</v>
      </c>
      <c r="C9295" s="95" t="str">
        <f>IFERROR(VLOOKUP("UD",'Informacion '!P:Q,2,FALSE),"")</f>
        <v>Unidad</v>
      </c>
      <c r="D9295" s="94">
        <v>39</v>
      </c>
      <c r="E9295" s="84">
        <v>873.85</v>
      </c>
      <c r="F9295" s="83">
        <f t="shared" ca="1" si="380"/>
        <v>34080.15</v>
      </c>
    </row>
    <row r="9296" spans="1:6" ht="14.1" customHeight="1" x14ac:dyDescent="0.25">
      <c r="A9296" s="94" t="s">
        <v>6233</v>
      </c>
      <c r="B9296" s="82" t="str">
        <f ca="1">IFERROR(INDEX(UNSPSCDes,MATCH(INDIRECT(ADDRESS(ROW(),COLUMN()-1,4)),UNSPSCCode,0)),IF(INDIRECT(ADDRESS(ROW(),COLUMN()-1,4))="51111508","Dacarbazina",""))</f>
        <v>Dacarbazina</v>
      </c>
      <c r="C9296" s="95" t="str">
        <f>IFERROR(VLOOKUP("UD",'Informacion '!P:Q,2,FALSE),"")</f>
        <v>Unidad</v>
      </c>
      <c r="D9296" s="94">
        <v>8</v>
      </c>
      <c r="E9296" s="84">
        <v>990.81</v>
      </c>
      <c r="F9296" s="83">
        <f t="shared" ca="1" si="380"/>
        <v>7926.48</v>
      </c>
    </row>
    <row r="9297" spans="1:6" ht="14.1" customHeight="1" x14ac:dyDescent="0.25">
      <c r="A9297" s="94" t="s">
        <v>3201</v>
      </c>
      <c r="B9297" s="82" t="str">
        <f ca="1">IFERROR(INDEX(UNSPSCDes,MATCH(INDIRECT(ADDRESS(ROW(),COLUMN()-1,4)),UNSPSCCode,0)),IF(INDIRECT(ADDRESS(ROW(),COLUMN()-1,4))="51111702","Dactinomicina",""))</f>
        <v>Dactinomicina</v>
      </c>
      <c r="C9297" s="95" t="str">
        <f>IFERROR(VLOOKUP("UD",'Informacion '!P:Q,2,FALSE),"")</f>
        <v>Unidad</v>
      </c>
      <c r="D9297" s="94">
        <v>7</v>
      </c>
      <c r="E9297" s="84">
        <v>1450</v>
      </c>
      <c r="F9297" s="83">
        <f t="shared" ca="1" si="380"/>
        <v>10150</v>
      </c>
    </row>
    <row r="9298" spans="1:6" ht="14.1" customHeight="1" x14ac:dyDescent="0.25">
      <c r="A9298" s="94" t="s">
        <v>14635</v>
      </c>
      <c r="B9298" s="82" t="str">
        <f ca="1">IFERROR(INDEX(UNSPSCDes,MATCH(INDIRECT(ADDRESS(ROW(),COLUMN()-1,4)),UNSPSCCode,0)),IF(INDIRECT(ADDRESS(ROW(),COLUMN()-1,4))="51111703","Daunorubicinas",""))</f>
        <v>Daunorubicinas</v>
      </c>
      <c r="C9298" s="95" t="str">
        <f>IFERROR(VLOOKUP("UD",'Informacion '!P:Q,2,FALSE),"")</f>
        <v>Unidad</v>
      </c>
      <c r="D9298" s="94">
        <v>50</v>
      </c>
      <c r="E9298" s="84">
        <v>917.26</v>
      </c>
      <c r="F9298" s="83">
        <f t="shared" ca="1" si="380"/>
        <v>45863</v>
      </c>
    </row>
    <row r="9299" spans="1:6" ht="14.1" customHeight="1" x14ac:dyDescent="0.25">
      <c r="A9299" s="94" t="s">
        <v>983</v>
      </c>
      <c r="B9299" s="82" t="str">
        <f t="shared" ref="B9299:B9307" ca="1" si="381">IFERROR(INDEX(UNSPSCDes,MATCH(INDIRECT(ADDRESS(ROW(),COLUMN()-1,4)),UNSPSCCode,0)),IF(INDIRECT(ADDRESS(ROW(),COLUMN()-1,4))="51111902","Docetaxel",""))</f>
        <v>Docetaxel</v>
      </c>
      <c r="C9299" s="95" t="str">
        <f>IFERROR(VLOOKUP("UD",'Informacion '!P:Q,2,FALSE),"")</f>
        <v>Unidad</v>
      </c>
      <c r="D9299" s="94">
        <v>42</v>
      </c>
      <c r="E9299" s="84">
        <v>1080.1600000000001</v>
      </c>
      <c r="F9299" s="83">
        <f t="shared" ca="1" si="380"/>
        <v>45366.720000000001</v>
      </c>
    </row>
    <row r="9300" spans="1:6" ht="14.1" customHeight="1" x14ac:dyDescent="0.25">
      <c r="A9300" s="94" t="s">
        <v>983</v>
      </c>
      <c r="B9300" s="82" t="str">
        <f t="shared" ca="1" si="381"/>
        <v>Docetaxel</v>
      </c>
      <c r="C9300" s="95" t="str">
        <f>IFERROR(VLOOKUP("UD",'Informacion '!P:Q,2,FALSE),"")</f>
        <v>Unidad</v>
      </c>
      <c r="D9300" s="94">
        <v>36</v>
      </c>
      <c r="E9300" s="84">
        <v>910</v>
      </c>
      <c r="F9300" s="83">
        <f t="shared" ca="1" si="380"/>
        <v>32760</v>
      </c>
    </row>
    <row r="9301" spans="1:6" ht="14.1" customHeight="1" x14ac:dyDescent="0.25">
      <c r="A9301" s="94" t="s">
        <v>983</v>
      </c>
      <c r="B9301" s="82" t="str">
        <f t="shared" ca="1" si="381"/>
        <v>Docetaxel</v>
      </c>
      <c r="C9301" s="95" t="str">
        <f>IFERROR(VLOOKUP("UD",'Informacion '!P:Q,2,FALSE),"")</f>
        <v>Unidad</v>
      </c>
      <c r="D9301" s="94">
        <v>35</v>
      </c>
      <c r="E9301" s="84">
        <v>1400</v>
      </c>
      <c r="F9301" s="83">
        <f t="shared" ca="1" si="380"/>
        <v>49000</v>
      </c>
    </row>
    <row r="9302" spans="1:6" ht="14.1" customHeight="1" x14ac:dyDescent="0.25">
      <c r="A9302" s="94" t="s">
        <v>983</v>
      </c>
      <c r="B9302" s="82" t="str">
        <f t="shared" ca="1" si="381"/>
        <v>Docetaxel</v>
      </c>
      <c r="C9302" s="95" t="str">
        <f>IFERROR(VLOOKUP("UD",'Informacion '!P:Q,2,FALSE),"")</f>
        <v>Unidad</v>
      </c>
      <c r="D9302" s="94">
        <v>50</v>
      </c>
      <c r="E9302" s="84">
        <v>1353</v>
      </c>
      <c r="F9302" s="83">
        <f t="shared" ca="1" si="380"/>
        <v>67650</v>
      </c>
    </row>
    <row r="9303" spans="1:6" ht="14.1" customHeight="1" x14ac:dyDescent="0.25">
      <c r="A9303" s="94" t="s">
        <v>983</v>
      </c>
      <c r="B9303" s="82" t="str">
        <f t="shared" ca="1" si="381"/>
        <v>Docetaxel</v>
      </c>
      <c r="C9303" s="95" t="str">
        <f>IFERROR(VLOOKUP("UD",'Informacion '!P:Q,2,FALSE),"")</f>
        <v>Unidad</v>
      </c>
      <c r="D9303" s="94">
        <v>20</v>
      </c>
      <c r="E9303" s="84">
        <v>2995</v>
      </c>
      <c r="F9303" s="83">
        <f t="shared" ca="1" si="380"/>
        <v>59900</v>
      </c>
    </row>
    <row r="9304" spans="1:6" ht="14.1" customHeight="1" x14ac:dyDescent="0.25">
      <c r="A9304" s="94" t="s">
        <v>983</v>
      </c>
      <c r="B9304" s="82" t="str">
        <f t="shared" ca="1" si="381"/>
        <v>Docetaxel</v>
      </c>
      <c r="C9304" s="95" t="str">
        <f>IFERROR(VLOOKUP("UD",'Informacion '!P:Q,2,FALSE),"")</f>
        <v>Unidad</v>
      </c>
      <c r="D9304" s="94">
        <v>29</v>
      </c>
      <c r="E9304" s="84">
        <v>2216.4299999999998</v>
      </c>
      <c r="F9304" s="83">
        <f t="shared" ca="1" si="380"/>
        <v>64276.469999999994</v>
      </c>
    </row>
    <row r="9305" spans="1:6" ht="14.1" customHeight="1" x14ac:dyDescent="0.25">
      <c r="A9305" s="94" t="s">
        <v>983</v>
      </c>
      <c r="B9305" s="82" t="str">
        <f t="shared" ca="1" si="381"/>
        <v>Docetaxel</v>
      </c>
      <c r="C9305" s="95" t="str">
        <f>IFERROR(VLOOKUP("UD",'Informacion '!P:Q,2,FALSE),"")</f>
        <v>Unidad</v>
      </c>
      <c r="D9305" s="94">
        <v>23</v>
      </c>
      <c r="E9305" s="84">
        <v>4500</v>
      </c>
      <c r="F9305" s="83">
        <f t="shared" ca="1" si="380"/>
        <v>103500</v>
      </c>
    </row>
    <row r="9306" spans="1:6" ht="14.1" customHeight="1" x14ac:dyDescent="0.25">
      <c r="A9306" s="94" t="s">
        <v>983</v>
      </c>
      <c r="B9306" s="82" t="str">
        <f t="shared" ca="1" si="381"/>
        <v>Docetaxel</v>
      </c>
      <c r="C9306" s="95" t="str">
        <f>IFERROR(VLOOKUP("UD",'Informacion '!P:Q,2,FALSE),"")</f>
        <v>Unidad</v>
      </c>
      <c r="D9306" s="94">
        <v>34</v>
      </c>
      <c r="E9306" s="84">
        <v>3098.04</v>
      </c>
      <c r="F9306" s="83">
        <f t="shared" ca="1" si="380"/>
        <v>105333.36</v>
      </c>
    </row>
    <row r="9307" spans="1:6" ht="14.1" customHeight="1" x14ac:dyDescent="0.25">
      <c r="A9307" s="94" t="s">
        <v>983</v>
      </c>
      <c r="B9307" s="82" t="str">
        <f t="shared" ca="1" si="381"/>
        <v>Docetaxel</v>
      </c>
      <c r="C9307" s="95" t="str">
        <f>IFERROR(VLOOKUP("UD",'Informacion '!P:Q,2,FALSE),"")</f>
        <v>Unidad</v>
      </c>
      <c r="D9307" s="94">
        <v>16</v>
      </c>
      <c r="E9307" s="84">
        <v>3297.98</v>
      </c>
      <c r="F9307" s="83">
        <f t="shared" ca="1" si="380"/>
        <v>52767.68</v>
      </c>
    </row>
    <row r="9308" spans="1:6" ht="14.1" customHeight="1" x14ac:dyDescent="0.25">
      <c r="A9308" s="94" t="s">
        <v>1883</v>
      </c>
      <c r="B9308" s="82" t="str">
        <f t="shared" ref="B9308:B9317" ca="1" si="382">IFERROR(INDEX(UNSPSCDes,MATCH(INDIRECT(ADDRESS(ROW(),COLUMN()-1,4)),UNSPSCCode,0)),IF(INDIRECT(ADDRESS(ROW(),COLUMN()-1,4))="51111711","Clorhidrato de doxorubicina",""))</f>
        <v>Clorhidrato de doxorubicina</v>
      </c>
      <c r="C9308" s="95" t="str">
        <f>IFERROR(VLOOKUP("UD",'Informacion '!P:Q,2,FALSE),"")</f>
        <v>Unidad</v>
      </c>
      <c r="D9308" s="94">
        <v>47</v>
      </c>
      <c r="E9308" s="84">
        <v>159.09</v>
      </c>
      <c r="F9308" s="83">
        <f t="shared" ca="1" si="380"/>
        <v>7477.2300000000005</v>
      </c>
    </row>
    <row r="9309" spans="1:6" ht="14.1" customHeight="1" x14ac:dyDescent="0.25">
      <c r="A9309" s="94" t="s">
        <v>1883</v>
      </c>
      <c r="B9309" s="82" t="str">
        <f t="shared" ca="1" si="382"/>
        <v>Clorhidrato de doxorubicina</v>
      </c>
      <c r="C9309" s="95" t="str">
        <f>IFERROR(VLOOKUP("UD",'Informacion '!P:Q,2,FALSE),"")</f>
        <v>Unidad</v>
      </c>
      <c r="D9309" s="94">
        <v>165</v>
      </c>
      <c r="E9309" s="84">
        <v>172.11</v>
      </c>
      <c r="F9309" s="83">
        <f t="shared" ca="1" si="380"/>
        <v>28398.15</v>
      </c>
    </row>
    <row r="9310" spans="1:6" ht="14.1" customHeight="1" x14ac:dyDescent="0.25">
      <c r="A9310" s="94" t="s">
        <v>1883</v>
      </c>
      <c r="B9310" s="82" t="str">
        <f t="shared" ca="1" si="382"/>
        <v>Clorhidrato de doxorubicina</v>
      </c>
      <c r="C9310" s="95" t="str">
        <f>IFERROR(VLOOKUP("UD",'Informacion '!P:Q,2,FALSE),"")</f>
        <v>Unidad</v>
      </c>
      <c r="D9310" s="94">
        <v>5</v>
      </c>
      <c r="E9310" s="84">
        <v>13672.08</v>
      </c>
      <c r="F9310" s="83">
        <f t="shared" ca="1" si="380"/>
        <v>68360.399999999994</v>
      </c>
    </row>
    <row r="9311" spans="1:6" ht="14.1" customHeight="1" x14ac:dyDescent="0.25">
      <c r="A9311" s="94" t="s">
        <v>1883</v>
      </c>
      <c r="B9311" s="82" t="str">
        <f t="shared" ca="1" si="382"/>
        <v>Clorhidrato de doxorubicina</v>
      </c>
      <c r="C9311" s="95" t="str">
        <f>IFERROR(VLOOKUP("UD",'Informacion '!P:Q,2,FALSE),"")</f>
        <v>Unidad</v>
      </c>
      <c r="D9311" s="94">
        <v>1</v>
      </c>
      <c r="E9311" s="84">
        <v>520</v>
      </c>
      <c r="F9311" s="83">
        <f t="shared" ca="1" si="380"/>
        <v>520</v>
      </c>
    </row>
    <row r="9312" spans="1:6" ht="14.1" customHeight="1" x14ac:dyDescent="0.25">
      <c r="A9312" s="94" t="s">
        <v>1883</v>
      </c>
      <c r="B9312" s="82" t="str">
        <f t="shared" ca="1" si="382"/>
        <v>Clorhidrato de doxorubicina</v>
      </c>
      <c r="C9312" s="95" t="str">
        <f>IFERROR(VLOOKUP("UD",'Informacion '!P:Q,2,FALSE),"")</f>
        <v>Unidad</v>
      </c>
      <c r="D9312" s="94">
        <v>3</v>
      </c>
      <c r="E9312" s="84">
        <v>423.92</v>
      </c>
      <c r="F9312" s="83">
        <f t="shared" ca="1" si="380"/>
        <v>1271.76</v>
      </c>
    </row>
    <row r="9313" spans="1:6" ht="14.1" customHeight="1" x14ac:dyDescent="0.25">
      <c r="A9313" s="94" t="s">
        <v>1883</v>
      </c>
      <c r="B9313" s="82" t="str">
        <f t="shared" ca="1" si="382"/>
        <v>Clorhidrato de doxorubicina</v>
      </c>
      <c r="C9313" s="95" t="str">
        <f>IFERROR(VLOOKUP("UD",'Informacion '!P:Q,2,FALSE),"")</f>
        <v>Unidad</v>
      </c>
      <c r="D9313" s="94">
        <v>107</v>
      </c>
      <c r="E9313" s="84">
        <v>567.94000000000005</v>
      </c>
      <c r="F9313" s="83">
        <f t="shared" ca="1" si="380"/>
        <v>60769.580000000009</v>
      </c>
    </row>
    <row r="9314" spans="1:6" ht="14.1" customHeight="1" x14ac:dyDescent="0.25">
      <c r="A9314" s="94" t="s">
        <v>1883</v>
      </c>
      <c r="B9314" s="82" t="str">
        <f t="shared" ca="1" si="382"/>
        <v>Clorhidrato de doxorubicina</v>
      </c>
      <c r="C9314" s="95" t="str">
        <f>IFERROR(VLOOKUP("UD",'Informacion '!P:Q,2,FALSE),"")</f>
        <v>Unidad</v>
      </c>
      <c r="D9314" s="94">
        <v>55</v>
      </c>
      <c r="E9314" s="84">
        <v>424.99</v>
      </c>
      <c r="F9314" s="83">
        <f t="shared" ca="1" si="380"/>
        <v>23374.45</v>
      </c>
    </row>
    <row r="9315" spans="1:6" ht="14.1" customHeight="1" x14ac:dyDescent="0.25">
      <c r="A9315" s="94" t="s">
        <v>1883</v>
      </c>
      <c r="B9315" s="82" t="str">
        <f t="shared" ca="1" si="382"/>
        <v>Clorhidrato de doxorubicina</v>
      </c>
      <c r="C9315" s="95" t="str">
        <f>IFERROR(VLOOKUP("UD",'Informacion '!P:Q,2,FALSE),"")</f>
        <v>Unidad</v>
      </c>
      <c r="D9315" s="94">
        <v>3</v>
      </c>
      <c r="E9315" s="84">
        <v>465</v>
      </c>
      <c r="F9315" s="83">
        <f t="shared" ca="1" si="380"/>
        <v>1395</v>
      </c>
    </row>
    <row r="9316" spans="1:6" ht="14.1" customHeight="1" x14ac:dyDescent="0.25">
      <c r="A9316" s="94" t="s">
        <v>1883</v>
      </c>
      <c r="B9316" s="82" t="str">
        <f t="shared" ca="1" si="382"/>
        <v>Clorhidrato de doxorubicina</v>
      </c>
      <c r="C9316" s="95" t="str">
        <f>IFERROR(VLOOKUP("UD",'Informacion '!P:Q,2,FALSE),"")</f>
        <v>Unidad</v>
      </c>
      <c r="D9316" s="94">
        <v>47</v>
      </c>
      <c r="E9316" s="84">
        <v>607.89</v>
      </c>
      <c r="F9316" s="83">
        <f t="shared" ca="1" si="380"/>
        <v>28570.829999999998</v>
      </c>
    </row>
    <row r="9317" spans="1:6" ht="14.1" customHeight="1" x14ac:dyDescent="0.25">
      <c r="A9317" s="94" t="s">
        <v>1883</v>
      </c>
      <c r="B9317" s="82" t="str">
        <f t="shared" ca="1" si="382"/>
        <v>Clorhidrato de doxorubicina</v>
      </c>
      <c r="C9317" s="95" t="str">
        <f>IFERROR(VLOOKUP("UD",'Informacion '!P:Q,2,FALSE),"")</f>
        <v>Unidad</v>
      </c>
      <c r="D9317" s="94">
        <v>2</v>
      </c>
      <c r="E9317" s="84">
        <v>8010.87</v>
      </c>
      <c r="F9317" s="83">
        <f t="shared" ca="1" si="380"/>
        <v>16021.74</v>
      </c>
    </row>
    <row r="9318" spans="1:6" ht="14.1" customHeight="1" x14ac:dyDescent="0.25">
      <c r="A9318" s="94" t="s">
        <v>11437</v>
      </c>
      <c r="B9318" s="82" t="str">
        <f ca="1">IFERROR(INDEX(UNSPSCDes,MATCH(INDIRECT(ADDRESS(ROW(),COLUMN()-1,4)),UNSPSCCode,0)),IF(INDIRECT(ADDRESS(ROW(),COLUMN()-1,4))="51111710","Epirubicina",""))</f>
        <v>Epirubicina</v>
      </c>
      <c r="C9318" s="95" t="str">
        <f>IFERROR(VLOOKUP("UD",'Informacion '!P:Q,2,FALSE),"")</f>
        <v>Unidad</v>
      </c>
      <c r="D9318" s="94">
        <v>3</v>
      </c>
      <c r="E9318" s="84">
        <v>540</v>
      </c>
      <c r="F9318" s="83">
        <f t="shared" ca="1" si="380"/>
        <v>1620</v>
      </c>
    </row>
    <row r="9319" spans="1:6" ht="14.1" customHeight="1" x14ac:dyDescent="0.25">
      <c r="A9319" s="94" t="s">
        <v>2493</v>
      </c>
      <c r="B9319" s="82" t="str">
        <f ca="1">IFERROR(INDEX(UNSPSCDes,MATCH(INDIRECT(ADDRESS(ROW(),COLUMN()-1,4)),UNSPSCCode,0)),IF(INDIRECT(ADDRESS(ROW(),COLUMN()-1,4))="25111710","Buques de desembarco",""))</f>
        <v>Buques de desembarco</v>
      </c>
      <c r="C9319" s="95" t="str">
        <f>IFERROR(VLOOKUP("UD",'Informacion '!P:Q,2,FALSE),"")</f>
        <v>Unidad</v>
      </c>
      <c r="D9319" s="94">
        <v>3</v>
      </c>
      <c r="E9319" s="84">
        <v>796.62</v>
      </c>
      <c r="F9319" s="83">
        <f t="shared" ref="F9319:F9350" ca="1" si="383">INDIRECT(ADDRESS(ROW(),COLUMN()-2,4))*INDIRECT(ADDRESS(ROW(),COLUMN()-1,4))</f>
        <v>2389.86</v>
      </c>
    </row>
    <row r="9320" spans="1:6" ht="14.1" customHeight="1" x14ac:dyDescent="0.25">
      <c r="A9320" s="94" t="s">
        <v>11437</v>
      </c>
      <c r="B9320" s="82" t="str">
        <f ca="1">IFERROR(INDEX(UNSPSCDes,MATCH(INDIRECT(ADDRESS(ROW(),COLUMN()-1,4)),UNSPSCCode,0)),IF(INDIRECT(ADDRESS(ROW(),COLUMN()-1,4))="51111710","Epirubicina",""))</f>
        <v>Epirubicina</v>
      </c>
      <c r="C9320" s="95" t="str">
        <f>IFERROR(VLOOKUP("UD",'Informacion '!P:Q,2,FALSE),"")</f>
        <v>Unidad</v>
      </c>
      <c r="D9320" s="94">
        <v>10</v>
      </c>
      <c r="E9320" s="84">
        <v>2982.9</v>
      </c>
      <c r="F9320" s="83">
        <f t="shared" ca="1" si="383"/>
        <v>29829</v>
      </c>
    </row>
    <row r="9321" spans="1:6" ht="14.1" customHeight="1" x14ac:dyDescent="0.25">
      <c r="A9321" s="94" t="s">
        <v>11115</v>
      </c>
      <c r="B9321" s="82" t="str">
        <f ca="1">IFERROR(INDEX(UNSPSCDes,MATCH(INDIRECT(ADDRESS(ROW(),COLUMN()-1,4)),UNSPSCCode,0)),IF(INDIRECT(ADDRESS(ROW(),COLUMN()-1,4))="51131506","Eritropoyetina",""))</f>
        <v>Eritropoyetina</v>
      </c>
      <c r="C9321" s="95" t="str">
        <f>IFERROR(VLOOKUP("UD",'Informacion '!P:Q,2,FALSE),"")</f>
        <v>Unidad</v>
      </c>
      <c r="D9321" s="94">
        <v>16</v>
      </c>
      <c r="E9321" s="84">
        <v>690</v>
      </c>
      <c r="F9321" s="83">
        <f t="shared" ca="1" si="383"/>
        <v>11040</v>
      </c>
    </row>
    <row r="9322" spans="1:6" ht="14.1" customHeight="1" x14ac:dyDescent="0.25">
      <c r="A9322" s="94" t="s">
        <v>11115</v>
      </c>
      <c r="B9322" s="82" t="str">
        <f ca="1">IFERROR(INDEX(UNSPSCDes,MATCH(INDIRECT(ADDRESS(ROW(),COLUMN()-1,4)),UNSPSCCode,0)),IF(INDIRECT(ADDRESS(ROW(),COLUMN()-1,4))="51131506","Eritropoyetina",""))</f>
        <v>Eritropoyetina</v>
      </c>
      <c r="C9322" s="95" t="str">
        <f>IFERROR(VLOOKUP("UD",'Informacion '!P:Q,2,FALSE),"")</f>
        <v>Unidad</v>
      </c>
      <c r="D9322" s="94">
        <v>67</v>
      </c>
      <c r="E9322" s="84">
        <v>939.49</v>
      </c>
      <c r="F9322" s="83">
        <f t="shared" ca="1" si="383"/>
        <v>62945.83</v>
      </c>
    </row>
    <row r="9323" spans="1:6" ht="14.1" customHeight="1" x14ac:dyDescent="0.25">
      <c r="A9323" s="94" t="s">
        <v>11115</v>
      </c>
      <c r="B9323" s="82" t="str">
        <f ca="1">IFERROR(INDEX(UNSPSCDes,MATCH(INDIRECT(ADDRESS(ROW(),COLUMN()-1,4)),UNSPSCCode,0)),IF(INDIRECT(ADDRESS(ROW(),COLUMN()-1,4))="51131506","Eritropoyetina",""))</f>
        <v>Eritropoyetina</v>
      </c>
      <c r="C9323" s="95" t="str">
        <f>IFERROR(VLOOKUP("UD",'Informacion '!P:Q,2,FALSE),"")</f>
        <v>Unidad</v>
      </c>
      <c r="D9323" s="94">
        <v>1</v>
      </c>
      <c r="E9323" s="84">
        <v>6800</v>
      </c>
      <c r="F9323" s="83">
        <f t="shared" ca="1" si="383"/>
        <v>6800</v>
      </c>
    </row>
    <row r="9324" spans="1:6" ht="14.1" customHeight="1" x14ac:dyDescent="0.25">
      <c r="A9324" s="94" t="s">
        <v>11115</v>
      </c>
      <c r="B9324" s="82" t="str">
        <f ca="1">IFERROR(INDEX(UNSPSCDes,MATCH(INDIRECT(ADDRESS(ROW(),COLUMN()-1,4)),UNSPSCCode,0)),IF(INDIRECT(ADDRESS(ROW(),COLUMN()-1,4))="51131506","Eritropoyetina",""))</f>
        <v>Eritropoyetina</v>
      </c>
      <c r="C9324" s="95" t="str">
        <f>IFERROR(VLOOKUP("UD",'Informacion '!P:Q,2,FALSE),"")</f>
        <v>Unidad</v>
      </c>
      <c r="D9324" s="94">
        <v>91</v>
      </c>
      <c r="E9324" s="84">
        <v>320</v>
      </c>
      <c r="F9324" s="83">
        <f t="shared" ca="1" si="383"/>
        <v>29120</v>
      </c>
    </row>
    <row r="9325" spans="1:6" ht="14.1" customHeight="1" x14ac:dyDescent="0.25">
      <c r="A9325" s="94" t="s">
        <v>10087</v>
      </c>
      <c r="B9325" s="82" t="str">
        <f ca="1">IFERROR(INDEX(UNSPSCDes,MATCH(INDIRECT(ADDRESS(ROW(),COLUMN()-1,4)),UNSPSCCode,0)),IF(INDIRECT(ADDRESS(ROW(),COLUMN()-1,4))="51111614","Etopósido",""))</f>
        <v>Etopósido</v>
      </c>
      <c r="C9325" s="95" t="str">
        <f>IFERROR(VLOOKUP("UD",'Informacion '!P:Q,2,FALSE),"")</f>
        <v>Unidad</v>
      </c>
      <c r="D9325" s="94">
        <v>10</v>
      </c>
      <c r="E9325" s="84">
        <v>522</v>
      </c>
      <c r="F9325" s="83">
        <f t="shared" ca="1" si="383"/>
        <v>5220</v>
      </c>
    </row>
    <row r="9326" spans="1:6" ht="14.1" customHeight="1" x14ac:dyDescent="0.25">
      <c r="A9326" s="94" t="s">
        <v>10087</v>
      </c>
      <c r="B9326" s="82" t="str">
        <f ca="1">IFERROR(INDEX(UNSPSCDes,MATCH(INDIRECT(ADDRESS(ROW(),COLUMN()-1,4)),UNSPSCCode,0)),IF(INDIRECT(ADDRESS(ROW(),COLUMN()-1,4))="51111614","Etopósido",""))</f>
        <v>Etopósido</v>
      </c>
      <c r="C9326" s="95" t="str">
        <f>IFERROR(VLOOKUP("UD",'Informacion '!P:Q,2,FALSE),"")</f>
        <v>Unidad</v>
      </c>
      <c r="D9326" s="94">
        <v>64</v>
      </c>
      <c r="E9326" s="84">
        <v>200.89</v>
      </c>
      <c r="F9326" s="83">
        <f t="shared" ca="1" si="383"/>
        <v>12856.96</v>
      </c>
    </row>
    <row r="9327" spans="1:6" ht="14.1" customHeight="1" x14ac:dyDescent="0.25">
      <c r="A9327" s="94" t="s">
        <v>10087</v>
      </c>
      <c r="B9327" s="82" t="str">
        <f ca="1">IFERROR(INDEX(UNSPSCDes,MATCH(INDIRECT(ADDRESS(ROW(),COLUMN()-1,4)),UNSPSCCode,0)),IF(INDIRECT(ADDRESS(ROW(),COLUMN()-1,4))="51111614","Etopósido",""))</f>
        <v>Etopósido</v>
      </c>
      <c r="C9327" s="95" t="str">
        <f>IFERROR(VLOOKUP("UD",'Informacion '!P:Q,2,FALSE),"")</f>
        <v>Unidad</v>
      </c>
      <c r="D9327" s="94">
        <v>3</v>
      </c>
      <c r="E9327" s="84">
        <v>200</v>
      </c>
      <c r="F9327" s="83">
        <f t="shared" ca="1" si="383"/>
        <v>600</v>
      </c>
    </row>
    <row r="9328" spans="1:6" ht="14.1" customHeight="1" x14ac:dyDescent="0.25">
      <c r="A9328" s="94" t="s">
        <v>4544</v>
      </c>
      <c r="B9328" s="82" t="str">
        <f ca="1">IFERROR(INDEX(UNSPSCDes,MATCH(INDIRECT(ADDRESS(ROW(),COLUMN()-1,4)),UNSPSCCode,0)),IF(INDIRECT(ADDRESS(ROW(),COLUMN()-1,4))="51201802","Filgrastim",""))</f>
        <v>Filgrastim</v>
      </c>
      <c r="C9328" s="95" t="str">
        <f>IFERROR(VLOOKUP("UD",'Informacion '!P:Q,2,FALSE),"")</f>
        <v>Unidad</v>
      </c>
      <c r="D9328" s="94">
        <v>3</v>
      </c>
      <c r="E9328" s="84">
        <v>1701.7</v>
      </c>
      <c r="F9328" s="83">
        <f t="shared" ca="1" si="383"/>
        <v>5105.1000000000004</v>
      </c>
    </row>
    <row r="9329" spans="1:6" ht="14.1" customHeight="1" x14ac:dyDescent="0.25">
      <c r="A9329" s="94" t="s">
        <v>14363</v>
      </c>
      <c r="B9329" s="82" t="str">
        <f ca="1">IFERROR(INDEX(UNSPSCDes,MATCH(INDIRECT(ADDRESS(ROW(),COLUMN()-1,4)),UNSPSCCode,0)),IF(INDIRECT(ADDRESS(ROW(),COLUMN()-1,4))="51111604","Fosfato de fludarabina",""))</f>
        <v>Fosfato de fludarabina</v>
      </c>
      <c r="C9329" s="95" t="str">
        <f>IFERROR(VLOOKUP("UD",'Informacion '!P:Q,2,FALSE),"")</f>
        <v>Unidad</v>
      </c>
      <c r="D9329" s="94">
        <v>23</v>
      </c>
      <c r="E9329" s="84">
        <v>3345.56</v>
      </c>
      <c r="F9329" s="83">
        <f t="shared" ca="1" si="383"/>
        <v>76947.88</v>
      </c>
    </row>
    <row r="9330" spans="1:6" ht="14.1" customHeight="1" x14ac:dyDescent="0.25">
      <c r="A9330" s="94" t="s">
        <v>13176</v>
      </c>
      <c r="B9330" s="82" t="str">
        <f ca="1">IFERROR(INDEX(UNSPSCDes,MATCH(INDIRECT(ADDRESS(ROW(),COLUMN()-1,4)),UNSPSCCode,0)),IF(INDIRECT(ADDRESS(ROW(),COLUMN()-1,4))="51111605","Fluorouracilo",""))</f>
        <v>Fluorouracilo</v>
      </c>
      <c r="C9330" s="95" t="str">
        <f>IFERROR(VLOOKUP("UD",'Informacion '!P:Q,2,FALSE),"")</f>
        <v>Unidad</v>
      </c>
      <c r="D9330" s="94">
        <v>6</v>
      </c>
      <c r="E9330" s="84">
        <v>125</v>
      </c>
      <c r="F9330" s="83">
        <f t="shared" ca="1" si="383"/>
        <v>750</v>
      </c>
    </row>
    <row r="9331" spans="1:6" ht="14.1" customHeight="1" x14ac:dyDescent="0.25">
      <c r="A9331" s="94" t="s">
        <v>14143</v>
      </c>
      <c r="B9331" s="82" t="str">
        <f t="shared" ref="B9331:B9340" ca="1" si="384">IFERROR(INDEX(UNSPSCDes,MATCH(INDIRECT(ADDRESS(ROW(),COLUMN()-1,4)),UNSPSCCode,0)),IF(INDIRECT(ADDRESS(ROW(),COLUMN()-1,4))="51111617","Clorhidrato de gemcitabina",""))</f>
        <v>Clorhidrato de gemcitabina</v>
      </c>
      <c r="C9331" s="95" t="str">
        <f>IFERROR(VLOOKUP("UD",'Informacion '!P:Q,2,FALSE),"")</f>
        <v>Unidad</v>
      </c>
      <c r="D9331" s="94">
        <v>13</v>
      </c>
      <c r="E9331" s="84">
        <v>2479</v>
      </c>
      <c r="F9331" s="83">
        <f t="shared" ca="1" si="383"/>
        <v>32227</v>
      </c>
    </row>
    <row r="9332" spans="1:6" ht="14.1" customHeight="1" x14ac:dyDescent="0.25">
      <c r="A9332" s="94" t="s">
        <v>14143</v>
      </c>
      <c r="B9332" s="82" t="str">
        <f t="shared" ca="1" si="384"/>
        <v>Clorhidrato de gemcitabina</v>
      </c>
      <c r="C9332" s="95" t="str">
        <f>IFERROR(VLOOKUP("UD",'Informacion '!P:Q,2,FALSE),"")</f>
        <v>Unidad</v>
      </c>
      <c r="D9332" s="94">
        <v>25</v>
      </c>
      <c r="E9332" s="84">
        <v>3900</v>
      </c>
      <c r="F9332" s="83">
        <f t="shared" ca="1" si="383"/>
        <v>97500</v>
      </c>
    </row>
    <row r="9333" spans="1:6" ht="14.1" customHeight="1" x14ac:dyDescent="0.25">
      <c r="A9333" s="94" t="s">
        <v>14143</v>
      </c>
      <c r="B9333" s="82" t="str">
        <f t="shared" ca="1" si="384"/>
        <v>Clorhidrato de gemcitabina</v>
      </c>
      <c r="C9333" s="95" t="str">
        <f>IFERROR(VLOOKUP("UD",'Informacion '!P:Q,2,FALSE),"")</f>
        <v>Unidad</v>
      </c>
      <c r="D9333" s="94">
        <v>2</v>
      </c>
      <c r="E9333" s="84">
        <v>2479</v>
      </c>
      <c r="F9333" s="83">
        <f t="shared" ca="1" si="383"/>
        <v>4958</v>
      </c>
    </row>
    <row r="9334" spans="1:6" ht="14.1" customHeight="1" x14ac:dyDescent="0.25">
      <c r="A9334" s="94" t="s">
        <v>14143</v>
      </c>
      <c r="B9334" s="82" t="str">
        <f t="shared" ca="1" si="384"/>
        <v>Clorhidrato de gemcitabina</v>
      </c>
      <c r="C9334" s="95" t="str">
        <f>IFERROR(VLOOKUP("UD",'Informacion '!P:Q,2,FALSE),"")</f>
        <v>Unidad</v>
      </c>
      <c r="D9334" s="94">
        <v>4</v>
      </c>
      <c r="E9334" s="84">
        <v>4583.33</v>
      </c>
      <c r="F9334" s="83">
        <f t="shared" ca="1" si="383"/>
        <v>18333.32</v>
      </c>
    </row>
    <row r="9335" spans="1:6" ht="14.1" customHeight="1" x14ac:dyDescent="0.25">
      <c r="A9335" s="94" t="s">
        <v>14143</v>
      </c>
      <c r="B9335" s="82" t="str">
        <f t="shared" ca="1" si="384"/>
        <v>Clorhidrato de gemcitabina</v>
      </c>
      <c r="C9335" s="95" t="str">
        <f>IFERROR(VLOOKUP("UD",'Informacion '!P:Q,2,FALSE),"")</f>
        <v>Unidad</v>
      </c>
      <c r="D9335" s="94">
        <v>6</v>
      </c>
      <c r="E9335" s="84">
        <v>495.8</v>
      </c>
      <c r="F9335" s="83">
        <f t="shared" ca="1" si="383"/>
        <v>2974.8</v>
      </c>
    </row>
    <row r="9336" spans="1:6" ht="14.1" customHeight="1" x14ac:dyDescent="0.25">
      <c r="A9336" s="94" t="s">
        <v>14143</v>
      </c>
      <c r="B9336" s="82" t="str">
        <f t="shared" ca="1" si="384"/>
        <v>Clorhidrato de gemcitabina</v>
      </c>
      <c r="C9336" s="95" t="str">
        <f>IFERROR(VLOOKUP("UD",'Informacion '!P:Q,2,FALSE),"")</f>
        <v>Unidad</v>
      </c>
      <c r="D9336" s="94">
        <v>21</v>
      </c>
      <c r="E9336" s="84">
        <v>979</v>
      </c>
      <c r="F9336" s="83">
        <f t="shared" ca="1" si="383"/>
        <v>20559</v>
      </c>
    </row>
    <row r="9337" spans="1:6" ht="14.1" customHeight="1" x14ac:dyDescent="0.25">
      <c r="A9337" s="94" t="s">
        <v>14143</v>
      </c>
      <c r="B9337" s="82" t="str">
        <f t="shared" ca="1" si="384"/>
        <v>Clorhidrato de gemcitabina</v>
      </c>
      <c r="C9337" s="95" t="str">
        <f>IFERROR(VLOOKUP("UD",'Informacion '!P:Q,2,FALSE),"")</f>
        <v>Unidad</v>
      </c>
      <c r="D9337" s="94">
        <v>2</v>
      </c>
      <c r="E9337" s="84">
        <v>2995</v>
      </c>
      <c r="F9337" s="83">
        <f t="shared" ca="1" si="383"/>
        <v>5990</v>
      </c>
    </row>
    <row r="9338" spans="1:6" ht="14.1" customHeight="1" x14ac:dyDescent="0.25">
      <c r="A9338" s="94" t="s">
        <v>14143</v>
      </c>
      <c r="B9338" s="82" t="str">
        <f t="shared" ca="1" si="384"/>
        <v>Clorhidrato de gemcitabina</v>
      </c>
      <c r="C9338" s="95" t="str">
        <f>IFERROR(VLOOKUP("UD",'Informacion '!P:Q,2,FALSE),"")</f>
        <v>Unidad</v>
      </c>
      <c r="D9338" s="94">
        <v>18</v>
      </c>
      <c r="E9338" s="84">
        <v>450</v>
      </c>
      <c r="F9338" s="83">
        <f t="shared" ca="1" si="383"/>
        <v>8100</v>
      </c>
    </row>
    <row r="9339" spans="1:6" ht="14.1" customHeight="1" x14ac:dyDescent="0.25">
      <c r="A9339" s="94" t="s">
        <v>14143</v>
      </c>
      <c r="B9339" s="82" t="str">
        <f t="shared" ca="1" si="384"/>
        <v>Clorhidrato de gemcitabina</v>
      </c>
      <c r="C9339" s="95" t="str">
        <f>IFERROR(VLOOKUP("UD",'Informacion '!P:Q,2,FALSE),"")</f>
        <v>Unidad</v>
      </c>
      <c r="D9339" s="94">
        <v>6</v>
      </c>
      <c r="E9339" s="84">
        <v>941.67</v>
      </c>
      <c r="F9339" s="83">
        <f t="shared" ca="1" si="383"/>
        <v>5650.0199999999995</v>
      </c>
    </row>
    <row r="9340" spans="1:6" ht="14.1" customHeight="1" x14ac:dyDescent="0.25">
      <c r="A9340" s="94" t="s">
        <v>14143</v>
      </c>
      <c r="B9340" s="82" t="str">
        <f t="shared" ca="1" si="384"/>
        <v>Clorhidrato de gemcitabina</v>
      </c>
      <c r="C9340" s="95" t="str">
        <f>IFERROR(VLOOKUP("UD",'Informacion '!P:Q,2,FALSE),"")</f>
        <v>Unidad</v>
      </c>
      <c r="D9340" s="94">
        <v>76</v>
      </c>
      <c r="E9340" s="84">
        <v>485.74</v>
      </c>
      <c r="F9340" s="83">
        <f t="shared" ca="1" si="383"/>
        <v>36916.239999999998</v>
      </c>
    </row>
    <row r="9341" spans="1:6" ht="14.1" customHeight="1" x14ac:dyDescent="0.25">
      <c r="A9341" s="94" t="s">
        <v>9538</v>
      </c>
      <c r="B9341" s="82" t="str">
        <f ca="1">IFERROR(INDEX(UNSPSCDes,MATCH(INDIRECT(ADDRESS(ROW(),COLUMN()-1,4)),UNSPSCCode,0)),IF(INDIRECT(ADDRESS(ROW(),COLUMN()-1,4))="51171802","Clorhidrato de granisetrón",""))</f>
        <v>Clorhidrato de granisetrón</v>
      </c>
      <c r="C9341" s="95" t="str">
        <f>IFERROR(VLOOKUP("UD",'Informacion '!P:Q,2,FALSE),"")</f>
        <v>Unidad</v>
      </c>
      <c r="D9341" s="94">
        <v>479</v>
      </c>
      <c r="E9341" s="84">
        <v>420.01</v>
      </c>
      <c r="F9341" s="83">
        <f t="shared" ca="1" si="383"/>
        <v>201184.79</v>
      </c>
    </row>
    <row r="9342" spans="1:6" ht="14.1" customHeight="1" x14ac:dyDescent="0.25">
      <c r="A9342" s="94" t="s">
        <v>9538</v>
      </c>
      <c r="B9342" s="82" t="str">
        <f ca="1">IFERROR(INDEX(UNSPSCDes,MATCH(INDIRECT(ADDRESS(ROW(),COLUMN()-1,4)),UNSPSCCode,0)),IF(INDIRECT(ADDRESS(ROW(),COLUMN()-1,4))="51171802","Clorhidrato de granisetrón",""))</f>
        <v>Clorhidrato de granisetrón</v>
      </c>
      <c r="C9342" s="95" t="str">
        <f>IFERROR(VLOOKUP("UD",'Informacion '!P:Q,2,FALSE),"")</f>
        <v>Unidad</v>
      </c>
      <c r="D9342" s="94">
        <v>82</v>
      </c>
      <c r="E9342" s="84">
        <v>250</v>
      </c>
      <c r="F9342" s="83">
        <f t="shared" ca="1" si="383"/>
        <v>20500</v>
      </c>
    </row>
    <row r="9343" spans="1:6" ht="14.1" customHeight="1" x14ac:dyDescent="0.25">
      <c r="A9343" s="94" t="s">
        <v>9538</v>
      </c>
      <c r="B9343" s="82" t="str">
        <f ca="1">IFERROR(INDEX(UNSPSCDes,MATCH(INDIRECT(ADDRESS(ROW(),COLUMN()-1,4)),UNSPSCCode,0)),IF(INDIRECT(ADDRESS(ROW(),COLUMN()-1,4))="51171802","Clorhidrato de granisetrón",""))</f>
        <v>Clorhidrato de granisetrón</v>
      </c>
      <c r="C9343" s="95" t="str">
        <f>IFERROR(VLOOKUP("UD",'Informacion '!P:Q,2,FALSE),"")</f>
        <v>Unidad</v>
      </c>
      <c r="D9343" s="94">
        <v>201</v>
      </c>
      <c r="E9343" s="84">
        <v>420</v>
      </c>
      <c r="F9343" s="83">
        <f t="shared" ca="1" si="383"/>
        <v>84420</v>
      </c>
    </row>
    <row r="9344" spans="1:6" ht="14.1" customHeight="1" x14ac:dyDescent="0.25">
      <c r="A9344" s="94" t="s">
        <v>15292</v>
      </c>
      <c r="B9344" s="82" t="str">
        <f ca="1">IFERROR(INDEX(UNSPSCDes,MATCH(INDIRECT(ADDRESS(ROW(),COLUMN()-1,4)),UNSPSCCode,0)),IF(INDIRECT(ADDRESS(ROW(),COLUMN()-1,4))="51111806","Clorhidrato de irinotecan",""))</f>
        <v>Clorhidrato de irinotecan</v>
      </c>
      <c r="C9344" s="95" t="str">
        <f>IFERROR(VLOOKUP("UD",'Informacion '!P:Q,2,FALSE),"")</f>
        <v>Unidad</v>
      </c>
      <c r="D9344" s="94">
        <v>6</v>
      </c>
      <c r="E9344" s="84">
        <v>2654.67</v>
      </c>
      <c r="F9344" s="83">
        <f t="shared" ca="1" si="383"/>
        <v>15928.02</v>
      </c>
    </row>
    <row r="9345" spans="1:6" ht="14.1" customHeight="1" x14ac:dyDescent="0.25">
      <c r="A9345" s="94" t="s">
        <v>9065</v>
      </c>
      <c r="B9345" s="82" t="str">
        <f ca="1">IFERROR(INDEX(UNSPSCDes,MATCH(INDIRECT(ADDRESS(ROW(),COLUMN()-1,4)),UNSPSCCode,0)),IF(INDIRECT(ADDRESS(ROW(),COLUMN()-1,4))="51111820","Letrozol",""))</f>
        <v>Letrozol</v>
      </c>
      <c r="C9345" s="95" t="str">
        <f>IFERROR(VLOOKUP("UD",'Informacion '!P:Q,2,FALSE),"")</f>
        <v>Unidad</v>
      </c>
      <c r="D9345" s="94">
        <v>153</v>
      </c>
      <c r="E9345" s="84">
        <v>46.67</v>
      </c>
      <c r="F9345" s="83">
        <f t="shared" ca="1" si="383"/>
        <v>7140.51</v>
      </c>
    </row>
    <row r="9346" spans="1:6" ht="14.1" customHeight="1" x14ac:dyDescent="0.25">
      <c r="A9346" s="94" t="s">
        <v>693</v>
      </c>
      <c r="B9346" s="82" t="str">
        <f ca="1">IFERROR(INDEX(UNSPSCDes,MATCH(INDIRECT(ADDRESS(ROW(),COLUMN()-1,4)),UNSPSCCode,0)),IF(INDIRECT(ADDRESS(ROW(),COLUMN()-1,4))="51111716","Rituximab",""))</f>
        <v>Rituximab</v>
      </c>
      <c r="C9346" s="95" t="str">
        <f>IFERROR(VLOOKUP("UD",'Informacion '!P:Q,2,FALSE),"")</f>
        <v>Unidad</v>
      </c>
      <c r="D9346" s="94">
        <v>101</v>
      </c>
      <c r="E9346" s="84">
        <v>17207</v>
      </c>
      <c r="F9346" s="83">
        <f t="shared" ca="1" si="383"/>
        <v>1737907</v>
      </c>
    </row>
    <row r="9347" spans="1:6" ht="14.1" customHeight="1" x14ac:dyDescent="0.25">
      <c r="A9347" s="94" t="s">
        <v>14991</v>
      </c>
      <c r="B9347" s="82" t="str">
        <f ca="1">IFERROR(INDEX(UNSPSCDes,MATCH(INDIRECT(ADDRESS(ROW(),COLUMN()-1,4)),UNSPSCCode,0)),IF(INDIRECT(ADDRESS(ROW(),COLUMN()-1,4))="51111706","Clorhidrato de mitoxantrona",""))</f>
        <v>Clorhidrato de mitoxantrona</v>
      </c>
      <c r="C9347" s="95" t="str">
        <f>IFERROR(VLOOKUP("UD",'Informacion '!P:Q,2,FALSE),"")</f>
        <v>Unidad</v>
      </c>
      <c r="D9347" s="94">
        <v>12</v>
      </c>
      <c r="E9347" s="84">
        <v>107468</v>
      </c>
      <c r="F9347" s="83">
        <f t="shared" ca="1" si="383"/>
        <v>1289616</v>
      </c>
    </row>
    <row r="9348" spans="1:6" ht="14.1" customHeight="1" x14ac:dyDescent="0.25">
      <c r="A9348" s="94" t="s">
        <v>4050</v>
      </c>
      <c r="B9348" s="82" t="str">
        <f ca="1">IFERROR(INDEX(UNSPSCDes,MATCH(INDIRECT(ADDRESS(ROW(),COLUMN()-1,4)),UNSPSCCode,0)),IF(INDIRECT(ADDRESS(ROW(),COLUMN()-1,4))="51181806","Acetato de megestrol",""))</f>
        <v>Acetato de megestrol</v>
      </c>
      <c r="C9348" s="95" t="str">
        <f>IFERROR(VLOOKUP("UD",'Informacion '!P:Q,2,FALSE),"")</f>
        <v>Unidad</v>
      </c>
      <c r="D9348" s="94">
        <v>4</v>
      </c>
      <c r="E9348" s="84">
        <v>1500</v>
      </c>
      <c r="F9348" s="83">
        <f t="shared" ca="1" si="383"/>
        <v>6000</v>
      </c>
    </row>
    <row r="9349" spans="1:6" ht="14.1" customHeight="1" x14ac:dyDescent="0.25">
      <c r="A9349" s="94" t="s">
        <v>11400</v>
      </c>
      <c r="B9349" s="82" t="str">
        <f ca="1">IFERROR(INDEX(UNSPSCDes,MATCH(INDIRECT(ADDRESS(ROW(),COLUMN()-1,4)),UNSPSCCode,0)),IF(INDIRECT(ADDRESS(ROW(),COLUMN()-1,4))="51111609","Mercaptopurina",""))</f>
        <v>Mercaptopurina</v>
      </c>
      <c r="C9349" s="95" t="str">
        <f>IFERROR(VLOOKUP("UD",'Informacion '!P:Q,2,FALSE),"")</f>
        <v>Unidad</v>
      </c>
      <c r="D9349" s="94">
        <v>60</v>
      </c>
      <c r="E9349" s="84">
        <v>14.82</v>
      </c>
      <c r="F9349" s="83">
        <f t="shared" ca="1" si="383"/>
        <v>889.2</v>
      </c>
    </row>
    <row r="9350" spans="1:6" ht="14.1" customHeight="1" x14ac:dyDescent="0.25">
      <c r="A9350" s="94" t="s">
        <v>16400</v>
      </c>
      <c r="B9350" s="82" t="str">
        <f ca="1">IFERROR(INDEX(UNSPSCDes,MATCH(INDIRECT(ADDRESS(ROW(),COLUMN()-1,4)),UNSPSCCode,0)),IF(INDIRECT(ADDRESS(ROW(),COLUMN()-1,4))="51111610","Metotrexato",""))</f>
        <v>Metotrexato</v>
      </c>
      <c r="C9350" s="95" t="str">
        <f>IFERROR(VLOOKUP("UD",'Informacion '!P:Q,2,FALSE),"")</f>
        <v>Unidad</v>
      </c>
      <c r="D9350" s="94">
        <v>6</v>
      </c>
      <c r="E9350" s="84">
        <v>394.19</v>
      </c>
      <c r="F9350" s="83">
        <f t="shared" ca="1" si="383"/>
        <v>2365.14</v>
      </c>
    </row>
    <row r="9351" spans="1:6" ht="14.1" customHeight="1" x14ac:dyDescent="0.25">
      <c r="A9351" s="94" t="s">
        <v>7570</v>
      </c>
      <c r="B9351" s="82" t="str">
        <f t="shared" ref="B9351:B9356" ca="1" si="385">IFERROR(INDEX(UNSPSCDes,MATCH(INDIRECT(ADDRESS(ROW(),COLUMN()-1,4)),UNSPSCCode,0)),IF(INDIRECT(ADDRESS(ROW(),COLUMN()-1,4))="51171816","Ondansetrón",""))</f>
        <v>Ondansetrón</v>
      </c>
      <c r="C9351" s="95" t="str">
        <f>IFERROR(VLOOKUP("UD",'Informacion '!P:Q,2,FALSE),"")</f>
        <v>Unidad</v>
      </c>
      <c r="D9351" s="94">
        <v>23</v>
      </c>
      <c r="E9351" s="84">
        <v>33</v>
      </c>
      <c r="F9351" s="83">
        <f t="shared" ref="F9351:F9381" ca="1" si="386">INDIRECT(ADDRESS(ROW(),COLUMN()-2,4))*INDIRECT(ADDRESS(ROW(),COLUMN()-1,4))</f>
        <v>759</v>
      </c>
    </row>
    <row r="9352" spans="1:6" ht="14.1" customHeight="1" x14ac:dyDescent="0.25">
      <c r="A9352" s="94" t="s">
        <v>7570</v>
      </c>
      <c r="B9352" s="82" t="str">
        <f t="shared" ca="1" si="385"/>
        <v>Ondansetrón</v>
      </c>
      <c r="C9352" s="95" t="str">
        <f>IFERROR(VLOOKUP("UD",'Informacion '!P:Q,2,FALSE),"")</f>
        <v>Unidad</v>
      </c>
      <c r="D9352" s="94">
        <v>8</v>
      </c>
      <c r="E9352" s="84">
        <v>56.25</v>
      </c>
      <c r="F9352" s="83">
        <f t="shared" ca="1" si="386"/>
        <v>450</v>
      </c>
    </row>
    <row r="9353" spans="1:6" ht="14.1" customHeight="1" x14ac:dyDescent="0.25">
      <c r="A9353" s="94" t="s">
        <v>7570</v>
      </c>
      <c r="B9353" s="82" t="str">
        <f t="shared" ca="1" si="385"/>
        <v>Ondansetrón</v>
      </c>
      <c r="C9353" s="95" t="str">
        <f>IFERROR(VLOOKUP("UD",'Informacion '!P:Q,2,FALSE),"")</f>
        <v>Unidad</v>
      </c>
      <c r="D9353" s="94">
        <v>27</v>
      </c>
      <c r="E9353" s="84">
        <v>40</v>
      </c>
      <c r="F9353" s="83">
        <f t="shared" ca="1" si="386"/>
        <v>1080</v>
      </c>
    </row>
    <row r="9354" spans="1:6" ht="14.1" customHeight="1" x14ac:dyDescent="0.25">
      <c r="A9354" s="94" t="s">
        <v>7570</v>
      </c>
      <c r="B9354" s="82" t="str">
        <f t="shared" ca="1" si="385"/>
        <v>Ondansetrón</v>
      </c>
      <c r="C9354" s="95" t="str">
        <f>IFERROR(VLOOKUP("UD",'Informacion '!P:Q,2,FALSE),"")</f>
        <v>Unidad</v>
      </c>
      <c r="D9354" s="94">
        <v>492</v>
      </c>
      <c r="E9354" s="84">
        <v>139.29</v>
      </c>
      <c r="F9354" s="83">
        <f t="shared" ca="1" si="386"/>
        <v>68530.679999999993</v>
      </c>
    </row>
    <row r="9355" spans="1:6" ht="14.1" customHeight="1" x14ac:dyDescent="0.25">
      <c r="A9355" s="94" t="s">
        <v>7570</v>
      </c>
      <c r="B9355" s="82" t="str">
        <f t="shared" ca="1" si="385"/>
        <v>Ondansetrón</v>
      </c>
      <c r="C9355" s="95" t="str">
        <f>IFERROR(VLOOKUP("UD",'Informacion '!P:Q,2,FALSE),"")</f>
        <v>Unidad</v>
      </c>
      <c r="D9355" s="94">
        <v>86</v>
      </c>
      <c r="E9355" s="84">
        <v>75</v>
      </c>
      <c r="F9355" s="83">
        <f t="shared" ca="1" si="386"/>
        <v>6450</v>
      </c>
    </row>
    <row r="9356" spans="1:6" ht="14.1" customHeight="1" x14ac:dyDescent="0.25">
      <c r="A9356" s="94" t="s">
        <v>7570</v>
      </c>
      <c r="B9356" s="82" t="str">
        <f t="shared" ca="1" si="385"/>
        <v>Ondansetrón</v>
      </c>
      <c r="C9356" s="95" t="str">
        <f>IFERROR(VLOOKUP("UD",'Informacion '!P:Q,2,FALSE),"")</f>
        <v>Unidad</v>
      </c>
      <c r="D9356" s="94">
        <v>144</v>
      </c>
      <c r="E9356" s="84">
        <v>49.5</v>
      </c>
      <c r="F9356" s="83">
        <f t="shared" ca="1" si="386"/>
        <v>7128</v>
      </c>
    </row>
    <row r="9357" spans="1:6" ht="14.1" customHeight="1" x14ac:dyDescent="0.25">
      <c r="A9357" s="94" t="s">
        <v>10585</v>
      </c>
      <c r="B9357" s="82" t="str">
        <f ca="1">IFERROR(INDEX(UNSPSCDes,MATCH(INDIRECT(ADDRESS(ROW(),COLUMN()-1,4)),UNSPSCCode,0)),IF(INDIRECT(ADDRESS(ROW(),COLUMN()-1,4))="51111506","Cisplatino",""))</f>
        <v>Cisplatino</v>
      </c>
      <c r="C9357" s="95" t="str">
        <f>IFERROR(VLOOKUP("UD",'Informacion '!P:Q,2,FALSE),"")</f>
        <v>Unidad</v>
      </c>
      <c r="D9357" s="94">
        <v>1</v>
      </c>
      <c r="E9357" s="84">
        <v>3732</v>
      </c>
      <c r="F9357" s="83">
        <f t="shared" ca="1" si="386"/>
        <v>3732</v>
      </c>
    </row>
    <row r="9358" spans="1:6" ht="14.1" customHeight="1" x14ac:dyDescent="0.25">
      <c r="A9358" s="94" t="s">
        <v>10585</v>
      </c>
      <c r="B9358" s="82" t="str">
        <f ca="1">IFERROR(INDEX(UNSPSCDes,MATCH(INDIRECT(ADDRESS(ROW(),COLUMN()-1,4)),UNSPSCCode,0)),IF(INDIRECT(ADDRESS(ROW(),COLUMN()-1,4))="51111506","Cisplatino",""))</f>
        <v>Cisplatino</v>
      </c>
      <c r="C9358" s="95" t="str">
        <f>IFERROR(VLOOKUP("UD",'Informacion '!P:Q,2,FALSE),"")</f>
        <v>Unidad</v>
      </c>
      <c r="D9358" s="94">
        <v>65</v>
      </c>
      <c r="E9358" s="84">
        <v>2001.14</v>
      </c>
      <c r="F9358" s="83">
        <f t="shared" ca="1" si="386"/>
        <v>130074.1</v>
      </c>
    </row>
    <row r="9359" spans="1:6" ht="14.1" customHeight="1" x14ac:dyDescent="0.25">
      <c r="A9359" s="94" t="s">
        <v>10585</v>
      </c>
      <c r="B9359" s="82" t="str">
        <f ca="1">IFERROR(INDEX(UNSPSCDes,MATCH(INDIRECT(ADDRESS(ROW(),COLUMN()-1,4)),UNSPSCCode,0)),IF(INDIRECT(ADDRESS(ROW(),COLUMN()-1,4))="51111506","Cisplatino",""))</f>
        <v>Cisplatino</v>
      </c>
      <c r="C9359" s="95" t="str">
        <f>IFERROR(VLOOKUP("UD",'Informacion '!P:Q,2,FALSE),"")</f>
        <v>Unidad</v>
      </c>
      <c r="D9359" s="94">
        <v>11</v>
      </c>
      <c r="E9359" s="84">
        <v>1600</v>
      </c>
      <c r="F9359" s="83">
        <f t="shared" ca="1" si="386"/>
        <v>17600</v>
      </c>
    </row>
    <row r="9360" spans="1:6" ht="14.1" customHeight="1" x14ac:dyDescent="0.25">
      <c r="A9360" s="94" t="s">
        <v>10585</v>
      </c>
      <c r="B9360" s="82" t="str">
        <f ca="1">IFERROR(INDEX(UNSPSCDes,MATCH(INDIRECT(ADDRESS(ROW(),COLUMN()-1,4)),UNSPSCCode,0)),IF(INDIRECT(ADDRESS(ROW(),COLUMN()-1,4))="51111506","Cisplatino",""))</f>
        <v>Cisplatino</v>
      </c>
      <c r="C9360" s="95" t="str">
        <f>IFERROR(VLOOKUP("UD",'Informacion '!P:Q,2,FALSE),"")</f>
        <v>Unidad</v>
      </c>
      <c r="D9360" s="94">
        <v>70</v>
      </c>
      <c r="E9360" s="84">
        <v>1173.26</v>
      </c>
      <c r="F9360" s="83">
        <f t="shared" ca="1" si="386"/>
        <v>82128.2</v>
      </c>
    </row>
    <row r="9361" spans="1:6" ht="14.1" customHeight="1" x14ac:dyDescent="0.25">
      <c r="A9361" s="94" t="s">
        <v>5102</v>
      </c>
      <c r="B9361" s="82" t="str">
        <f t="shared" ref="B9361:B9370" ca="1" si="387">IFERROR(INDEX(UNSPSCDes,MATCH(INDIRECT(ADDRESS(ROW(),COLUMN()-1,4)),UNSPSCCode,0)),IF(INDIRECT(ADDRESS(ROW(),COLUMN()-1,4))="51111904","Paclitaxel",""))</f>
        <v>Paclitaxel</v>
      </c>
      <c r="C9361" s="95" t="str">
        <f>IFERROR(VLOOKUP("UD",'Informacion '!P:Q,2,FALSE),"")</f>
        <v>Unidad</v>
      </c>
      <c r="D9361" s="94">
        <v>1</v>
      </c>
      <c r="E9361" s="84">
        <v>1857</v>
      </c>
      <c r="F9361" s="83">
        <f t="shared" ca="1" si="386"/>
        <v>1857</v>
      </c>
    </row>
    <row r="9362" spans="1:6" ht="14.1" customHeight="1" x14ac:dyDescent="0.25">
      <c r="A9362" s="94" t="s">
        <v>5102</v>
      </c>
      <c r="B9362" s="82" t="str">
        <f t="shared" ca="1" si="387"/>
        <v>Paclitaxel</v>
      </c>
      <c r="C9362" s="95" t="str">
        <f>IFERROR(VLOOKUP("UD",'Informacion '!P:Q,2,FALSE),"")</f>
        <v>Unidad</v>
      </c>
      <c r="D9362" s="94">
        <v>24</v>
      </c>
      <c r="E9362" s="84">
        <v>1300.3900000000001</v>
      </c>
      <c r="F9362" s="83">
        <f t="shared" ca="1" si="386"/>
        <v>31209.360000000001</v>
      </c>
    </row>
    <row r="9363" spans="1:6" ht="14.1" customHeight="1" x14ac:dyDescent="0.25">
      <c r="A9363" s="94" t="s">
        <v>5102</v>
      </c>
      <c r="B9363" s="82" t="str">
        <f t="shared" ca="1" si="387"/>
        <v>Paclitaxel</v>
      </c>
      <c r="C9363" s="95" t="str">
        <f>IFERROR(VLOOKUP("UD",'Informacion '!P:Q,2,FALSE),"")</f>
        <v>Unidad</v>
      </c>
      <c r="D9363" s="94">
        <v>2</v>
      </c>
      <c r="E9363" s="84">
        <v>1031.7</v>
      </c>
      <c r="F9363" s="83">
        <f t="shared" ca="1" si="386"/>
        <v>2063.4</v>
      </c>
    </row>
    <row r="9364" spans="1:6" ht="14.1" customHeight="1" x14ac:dyDescent="0.25">
      <c r="A9364" s="94" t="s">
        <v>5102</v>
      </c>
      <c r="B9364" s="82" t="str">
        <f t="shared" ca="1" si="387"/>
        <v>Paclitaxel</v>
      </c>
      <c r="C9364" s="95" t="str">
        <f>IFERROR(VLOOKUP("UD",'Informacion '!P:Q,2,FALSE),"")</f>
        <v>Unidad</v>
      </c>
      <c r="D9364" s="94">
        <v>41</v>
      </c>
      <c r="E9364" s="84">
        <v>1847.69</v>
      </c>
      <c r="F9364" s="83">
        <f t="shared" ca="1" si="386"/>
        <v>75755.290000000008</v>
      </c>
    </row>
    <row r="9365" spans="1:6" ht="14.1" customHeight="1" x14ac:dyDescent="0.25">
      <c r="A9365" s="94" t="s">
        <v>5102</v>
      </c>
      <c r="B9365" s="82" t="str">
        <f t="shared" ca="1" si="387"/>
        <v>Paclitaxel</v>
      </c>
      <c r="C9365" s="95" t="str">
        <f>IFERROR(VLOOKUP("UD",'Informacion '!P:Q,2,FALSE),"")</f>
        <v>Unidad</v>
      </c>
      <c r="D9365" s="94">
        <v>11</v>
      </c>
      <c r="E9365" s="84">
        <v>3325</v>
      </c>
      <c r="F9365" s="83">
        <f t="shared" ca="1" si="386"/>
        <v>36575</v>
      </c>
    </row>
    <row r="9366" spans="1:6" ht="14.1" customHeight="1" x14ac:dyDescent="0.25">
      <c r="A9366" s="94" t="s">
        <v>5102</v>
      </c>
      <c r="B9366" s="82" t="str">
        <f t="shared" ca="1" si="387"/>
        <v>Paclitaxel</v>
      </c>
      <c r="C9366" s="95" t="str">
        <f>IFERROR(VLOOKUP("UD",'Informacion '!P:Q,2,FALSE),"")</f>
        <v>Unidad</v>
      </c>
      <c r="D9366" s="94">
        <v>36</v>
      </c>
      <c r="E9366" s="84">
        <v>546.80999999999995</v>
      </c>
      <c r="F9366" s="83">
        <f t="shared" ca="1" si="386"/>
        <v>19685.159999999996</v>
      </c>
    </row>
    <row r="9367" spans="1:6" ht="14.1" customHeight="1" x14ac:dyDescent="0.25">
      <c r="A9367" s="94" t="s">
        <v>5102</v>
      </c>
      <c r="B9367" s="82" t="str">
        <f t="shared" ca="1" si="387"/>
        <v>Paclitaxel</v>
      </c>
      <c r="C9367" s="95" t="str">
        <f>IFERROR(VLOOKUP("UD",'Informacion '!P:Q,2,FALSE),"")</f>
        <v>Unidad</v>
      </c>
      <c r="D9367" s="94">
        <v>1</v>
      </c>
      <c r="E9367" s="84">
        <v>450</v>
      </c>
      <c r="F9367" s="83">
        <f t="shared" ca="1" si="386"/>
        <v>450</v>
      </c>
    </row>
    <row r="9368" spans="1:6" ht="14.1" customHeight="1" x14ac:dyDescent="0.25">
      <c r="A9368" s="94" t="s">
        <v>5102</v>
      </c>
      <c r="B9368" s="82" t="str">
        <f t="shared" ca="1" si="387"/>
        <v>Paclitaxel</v>
      </c>
      <c r="C9368" s="95" t="str">
        <f>IFERROR(VLOOKUP("UD",'Informacion '!P:Q,2,FALSE),"")</f>
        <v>Unidad</v>
      </c>
      <c r="D9368" s="94">
        <v>25</v>
      </c>
      <c r="E9368" s="84">
        <v>3093.21</v>
      </c>
      <c r="F9368" s="83">
        <f t="shared" ca="1" si="386"/>
        <v>77330.25</v>
      </c>
    </row>
    <row r="9369" spans="1:6" ht="14.1" customHeight="1" x14ac:dyDescent="0.25">
      <c r="A9369" s="94" t="s">
        <v>5102</v>
      </c>
      <c r="B9369" s="82" t="str">
        <f t="shared" ca="1" si="387"/>
        <v>Paclitaxel</v>
      </c>
      <c r="C9369" s="95" t="str">
        <f>IFERROR(VLOOKUP("UD",'Informacion '!P:Q,2,FALSE),"")</f>
        <v>Unidad</v>
      </c>
      <c r="D9369" s="94">
        <v>1</v>
      </c>
      <c r="E9369" s="84">
        <v>3000</v>
      </c>
      <c r="F9369" s="83">
        <f t="shared" ca="1" si="386"/>
        <v>3000</v>
      </c>
    </row>
    <row r="9370" spans="1:6" ht="14.1" customHeight="1" x14ac:dyDescent="0.25">
      <c r="A9370" s="94" t="s">
        <v>5102</v>
      </c>
      <c r="B9370" s="82" t="str">
        <f t="shared" ca="1" si="387"/>
        <v>Paclitaxel</v>
      </c>
      <c r="C9370" s="95" t="str">
        <f>IFERROR(VLOOKUP("UD",'Informacion '!P:Q,2,FALSE),"")</f>
        <v>Unidad</v>
      </c>
      <c r="D9370" s="94">
        <v>404</v>
      </c>
      <c r="E9370" s="84">
        <v>518.08000000000004</v>
      </c>
      <c r="F9370" s="83">
        <f t="shared" ca="1" si="386"/>
        <v>209304.32000000001</v>
      </c>
    </row>
    <row r="9371" spans="1:6" ht="14.1" customHeight="1" x14ac:dyDescent="0.25">
      <c r="A9371" s="94" t="s">
        <v>3969</v>
      </c>
      <c r="B9371" s="82" t="str">
        <f ca="1">IFERROR(INDEX(UNSPSCDes,MATCH(INDIRECT(ADDRESS(ROW(),COLUMN()-1,4)),UNSPSCCode,0)),IF(INDIRECT(ADDRESS(ROW(),COLUMN()-1,4))="51142608","Trimetilxantina",""))</f>
        <v>Trimetilxantina</v>
      </c>
      <c r="C9371" s="95" t="str">
        <f>IFERROR(VLOOKUP("UD",'Informacion '!P:Q,2,FALSE),"")</f>
        <v>Unidad</v>
      </c>
      <c r="D9371" s="94">
        <v>5</v>
      </c>
      <c r="E9371" s="84">
        <v>13890</v>
      </c>
      <c r="F9371" s="83">
        <f t="shared" ca="1" si="386"/>
        <v>69450</v>
      </c>
    </row>
    <row r="9372" spans="1:6" ht="14.1" customHeight="1" x14ac:dyDescent="0.25">
      <c r="A9372" s="94" t="s">
        <v>3969</v>
      </c>
      <c r="B9372" s="82" t="str">
        <f ca="1">IFERROR(INDEX(UNSPSCDes,MATCH(INDIRECT(ADDRESS(ROW(),COLUMN()-1,4)),UNSPSCCode,0)),IF(INDIRECT(ADDRESS(ROW(),COLUMN()-1,4))="51142608","Trimetilxantina",""))</f>
        <v>Trimetilxantina</v>
      </c>
      <c r="C9372" s="95" t="str">
        <f>IFERROR(VLOOKUP("UD",'Informacion '!P:Q,2,FALSE),"")</f>
        <v>Unidad</v>
      </c>
      <c r="D9372" s="94">
        <v>3</v>
      </c>
      <c r="E9372" s="84">
        <v>11300</v>
      </c>
      <c r="F9372" s="83">
        <f t="shared" ca="1" si="386"/>
        <v>33900</v>
      </c>
    </row>
    <row r="9373" spans="1:6" ht="14.1" customHeight="1" x14ac:dyDescent="0.25">
      <c r="A9373" s="94" t="s">
        <v>3969</v>
      </c>
      <c r="B9373" s="82" t="str">
        <f ca="1">IFERROR(INDEX(UNSPSCDes,MATCH(INDIRECT(ADDRESS(ROW(),COLUMN()-1,4)),UNSPSCCode,0)),IF(INDIRECT(ADDRESS(ROW(),COLUMN()-1,4))="51142608","Trimetilxantina",""))</f>
        <v>Trimetilxantina</v>
      </c>
      <c r="C9373" s="95" t="str">
        <f>IFERROR(VLOOKUP("UD",'Informacion '!P:Q,2,FALSE),"")</f>
        <v>Unidad</v>
      </c>
      <c r="D9373" s="94">
        <v>7</v>
      </c>
      <c r="E9373" s="84">
        <v>10544.49</v>
      </c>
      <c r="F9373" s="83">
        <f t="shared" ca="1" si="386"/>
        <v>73811.429999999993</v>
      </c>
    </row>
    <row r="9374" spans="1:6" ht="14.1" customHeight="1" x14ac:dyDescent="0.25">
      <c r="A9374" s="94" t="s">
        <v>12663</v>
      </c>
      <c r="B9374" s="82" t="str">
        <f ca="1">IFERROR(INDEX(UNSPSCDes,MATCH(INDIRECT(ADDRESS(ROW(),COLUMN()-1,4)),UNSPSCCode,0)),IF(INDIRECT(ADDRESS(ROW(),COLUMN()-1,4))="51111805","Acetato de goserelina",""))</f>
        <v>Acetato de goserelina</v>
      </c>
      <c r="C9374" s="95" t="str">
        <f>IFERROR(VLOOKUP("UD",'Informacion '!P:Q,2,FALSE),"")</f>
        <v>Unidad</v>
      </c>
      <c r="D9374" s="94">
        <v>10</v>
      </c>
      <c r="E9374" s="84">
        <v>8273.57</v>
      </c>
      <c r="F9374" s="83">
        <f t="shared" ca="1" si="386"/>
        <v>82735.7</v>
      </c>
    </row>
    <row r="9375" spans="1:6" ht="14.1" customHeight="1" x14ac:dyDescent="0.25">
      <c r="A9375" s="94" t="s">
        <v>693</v>
      </c>
      <c r="B9375" s="82" t="str">
        <f ca="1">IFERROR(INDEX(UNSPSCDes,MATCH(INDIRECT(ADDRESS(ROW(),COLUMN()-1,4)),UNSPSCCode,0)),IF(INDIRECT(ADDRESS(ROW(),COLUMN()-1,4))="51111716","Rituximab",""))</f>
        <v>Rituximab</v>
      </c>
      <c r="C9375" s="95" t="str">
        <f>IFERROR(VLOOKUP("UD",'Informacion '!P:Q,2,FALSE),"")</f>
        <v>Unidad</v>
      </c>
      <c r="D9375" s="94">
        <v>3</v>
      </c>
      <c r="E9375" s="84">
        <v>103224</v>
      </c>
      <c r="F9375" s="83">
        <f t="shared" ca="1" si="386"/>
        <v>309672</v>
      </c>
    </row>
    <row r="9376" spans="1:6" ht="14.1" customHeight="1" x14ac:dyDescent="0.25">
      <c r="A9376" s="94" t="s">
        <v>2723</v>
      </c>
      <c r="B9376" s="82" t="str">
        <f ca="1">IFERROR(INDEX(UNSPSCDes,MATCH(INDIRECT(ADDRESS(ROW(),COLUMN()-1,4)),UNSPSCCode,0)),IF(INDIRECT(ADDRESS(ROW(),COLUMN()-1,4))="12352108","Esteres o sus sustitutos",""))</f>
        <v>Esteres o sus sustitutos</v>
      </c>
      <c r="C9376" s="95" t="str">
        <f>IFERROR(VLOOKUP("UD",'Informacion '!P:Q,2,FALSE),"")</f>
        <v>Unidad</v>
      </c>
      <c r="D9376" s="94">
        <v>63</v>
      </c>
      <c r="E9376" s="84">
        <v>65</v>
      </c>
      <c r="F9376" s="83">
        <f t="shared" ca="1" si="386"/>
        <v>4095</v>
      </c>
    </row>
    <row r="9377" spans="1:10" ht="14.1" customHeight="1" x14ac:dyDescent="0.25">
      <c r="A9377" s="94" t="s">
        <v>3143</v>
      </c>
      <c r="B9377" s="82" t="str">
        <f ca="1">IFERROR(INDEX(UNSPSCDes,MATCH(INDIRECT(ADDRESS(ROW(),COLUMN()-1,4)),UNSPSCCode,0)),IF(INDIRECT(ADDRESS(ROW(),COLUMN()-1,4))="51111519","Temozolomida",""))</f>
        <v>Temozolomida</v>
      </c>
      <c r="C9377" s="95" t="str">
        <f>IFERROR(VLOOKUP("UD",'Informacion '!P:Q,2,FALSE),"")</f>
        <v>Unidad</v>
      </c>
      <c r="D9377" s="94">
        <v>8</v>
      </c>
      <c r="E9377" s="84">
        <v>2948.41</v>
      </c>
      <c r="F9377" s="83">
        <f t="shared" ca="1" si="386"/>
        <v>23587.279999999999</v>
      </c>
    </row>
    <row r="9378" spans="1:10" ht="14.1" customHeight="1" x14ac:dyDescent="0.25">
      <c r="A9378" s="94" t="s">
        <v>2095</v>
      </c>
      <c r="B9378" s="82" t="str">
        <f ca="1">IFERROR(INDEX(UNSPSCDes,MATCH(INDIRECT(ADDRESS(ROW(),COLUMN()-1,4)),UNSPSCCode,0)),IF(INDIRECT(ADDRESS(ROW(),COLUMN()-1,4))="51111812","Sulfato de vinblastina",""))</f>
        <v>Sulfato de vinblastina</v>
      </c>
      <c r="C9378" s="95" t="str">
        <f>IFERROR(VLOOKUP("UD",'Informacion '!P:Q,2,FALSE),"")</f>
        <v>Unidad</v>
      </c>
      <c r="D9378" s="94">
        <v>16</v>
      </c>
      <c r="E9378" s="84">
        <v>697.2</v>
      </c>
      <c r="F9378" s="83">
        <f t="shared" ca="1" si="386"/>
        <v>11155.2</v>
      </c>
    </row>
    <row r="9379" spans="1:10" ht="14.1" customHeight="1" x14ac:dyDescent="0.25">
      <c r="A9379" s="94" t="s">
        <v>7316</v>
      </c>
      <c r="B9379" s="82" t="str">
        <f ca="1">IFERROR(INDEX(UNSPSCDes,MATCH(INDIRECT(ADDRESS(ROW(),COLUMN()-1,4)),UNSPSCCode,0)),IF(INDIRECT(ADDRESS(ROW(),COLUMN()-1,4))="51111813","Sulfato de vincristina",""))</f>
        <v>Sulfato de vincristina</v>
      </c>
      <c r="C9379" s="95" t="str">
        <f>IFERROR(VLOOKUP("UD",'Informacion '!P:Q,2,FALSE),"")</f>
        <v>Unidad</v>
      </c>
      <c r="D9379" s="94">
        <v>55</v>
      </c>
      <c r="E9379" s="84">
        <v>263.85000000000002</v>
      </c>
      <c r="F9379" s="83">
        <f t="shared" ca="1" si="386"/>
        <v>14511.750000000002</v>
      </c>
    </row>
    <row r="9380" spans="1:10" ht="14.1" customHeight="1" x14ac:dyDescent="0.25">
      <c r="A9380" s="94" t="s">
        <v>16400</v>
      </c>
      <c r="B9380" s="82" t="str">
        <f ca="1">IFERROR(INDEX(UNSPSCDes,MATCH(INDIRECT(ADDRESS(ROW(),COLUMN()-1,4)),UNSPSCCode,0)),IF(INDIRECT(ADDRESS(ROW(),COLUMN()-1,4))="51111610","Metotrexato",""))</f>
        <v>Metotrexato</v>
      </c>
      <c r="C9380" s="95" t="str">
        <f>IFERROR(VLOOKUP("UD",'Informacion '!P:Q,2,FALSE),"")</f>
        <v>Unidad</v>
      </c>
      <c r="D9380" s="94">
        <v>7</v>
      </c>
      <c r="E9380" s="84">
        <v>14</v>
      </c>
      <c r="F9380" s="83">
        <f t="shared" ca="1" si="386"/>
        <v>98</v>
      </c>
    </row>
    <row r="9381" spans="1:10" ht="14.1" customHeight="1" x14ac:dyDescent="0.25">
      <c r="A9381" s="94" t="s">
        <v>16400</v>
      </c>
      <c r="B9381" s="82" t="str">
        <f ca="1">IFERROR(INDEX(UNSPSCDes,MATCH(INDIRECT(ADDRESS(ROW(),COLUMN()-1,4)),UNSPSCCode,0)),IF(INDIRECT(ADDRESS(ROW(),COLUMN()-1,4))="51111610","Metotrexato",""))</f>
        <v>Metotrexato</v>
      </c>
      <c r="C9381" s="95" t="str">
        <f>IFERROR(VLOOKUP("UD",'Informacion '!P:Q,2,FALSE),"")</f>
        <v>Unidad</v>
      </c>
      <c r="D9381" s="94">
        <v>2</v>
      </c>
      <c r="E9381" s="84">
        <v>269</v>
      </c>
      <c r="F9381" s="83">
        <f t="shared" ca="1" si="386"/>
        <v>538</v>
      </c>
    </row>
    <row r="9382" spans="1:10" ht="14.1" customHeight="1" x14ac:dyDescent="0.25">
      <c r="E9382" s="96" t="s">
        <v>7213</v>
      </c>
      <c r="F9382" s="87">
        <f ca="1">SUM(Table227[MONTO TOTAL ESTIMADO])</f>
        <v>10470729.199999997</v>
      </c>
      <c r="H9382" s="39" t="str">
        <f>C9248</f>
        <v>Bienes</v>
      </c>
      <c r="I9382" s="39" t="str">
        <f>E9248</f>
        <v>No</v>
      </c>
      <c r="J9382" s="39" t="str">
        <f>D9248</f>
        <v>Compras Menores</v>
      </c>
    </row>
    <row r="9384" spans="1:10" ht="33.950000000000003" customHeight="1" x14ac:dyDescent="0.25">
      <c r="A9384" s="77" t="s">
        <v>17233</v>
      </c>
      <c r="B9384" s="77" t="s">
        <v>4237</v>
      </c>
      <c r="C9384" s="77" t="s">
        <v>4743</v>
      </c>
      <c r="D9384" s="77" t="s">
        <v>9891</v>
      </c>
      <c r="E9384" s="77" t="s">
        <v>3089</v>
      </c>
      <c r="F9384" s="77" t="s">
        <v>18141</v>
      </c>
    </row>
    <row r="9385" spans="1:10" ht="14.1" customHeight="1" x14ac:dyDescent="0.25">
      <c r="A9385" s="79" t="s">
        <v>17663</v>
      </c>
      <c r="B9385" s="79" t="s">
        <v>9287</v>
      </c>
      <c r="C9385" s="79" t="s">
        <v>17215</v>
      </c>
      <c r="D9385" s="79" t="s">
        <v>17798</v>
      </c>
      <c r="E9385" s="79" t="s">
        <v>18247</v>
      </c>
      <c r="F9385" s="79"/>
    </row>
    <row r="9386" spans="1:10" ht="14.1" customHeight="1" x14ac:dyDescent="0.25">
      <c r="A9386" s="2" t="s">
        <v>6643</v>
      </c>
      <c r="B9386" s="80" t="s">
        <v>1046</v>
      </c>
      <c r="C9386" s="90">
        <v>43556</v>
      </c>
      <c r="D9386" s="2" t="s">
        <v>59</v>
      </c>
      <c r="E9386" s="92" t="s">
        <v>20066</v>
      </c>
      <c r="F9386" s="93" t="s">
        <v>5684</v>
      </c>
    </row>
    <row r="9387" spans="1:10" ht="14.1" customHeight="1" x14ac:dyDescent="0.25">
      <c r="A9387" s="1"/>
      <c r="B9387" s="80" t="s">
        <v>10788</v>
      </c>
      <c r="C9387" s="91">
        <f>IF(C9386="","",IF(AND(MONTH(C9386)&gt;=1,MONTH(C9386)&lt;=3),1,IF(AND(MONTH(C9386)&gt;=4,MONTH(C9386)&lt;=6),2,IF(AND(MONTH(C9386)&gt;=7,MONTH(C9386)&lt;=9),3,4))))</f>
        <v>2</v>
      </c>
      <c r="D9387" s="1"/>
      <c r="E9387" s="92" t="s">
        <v>14822</v>
      </c>
      <c r="F9387" s="93" t="s">
        <v>17690</v>
      </c>
    </row>
    <row r="9388" spans="1:10" ht="14.1" customHeight="1" x14ac:dyDescent="0.25">
      <c r="A9388" s="1"/>
      <c r="B9388" s="80" t="s">
        <v>13758</v>
      </c>
      <c r="C9388" s="90">
        <v>43646</v>
      </c>
      <c r="D9388" s="1"/>
      <c r="E9388" s="92" t="s">
        <v>18636</v>
      </c>
      <c r="F9388" s="93"/>
    </row>
    <row r="9389" spans="1:10" ht="14.1" customHeight="1" x14ac:dyDescent="0.25">
      <c r="A9389" s="1"/>
      <c r="B9389" s="80" t="s">
        <v>10788</v>
      </c>
      <c r="C9389" s="91">
        <f>IF(C9388="","",IF(AND(MONTH(C9388)&gt;=1,MONTH(C9388)&lt;=3),1,IF(AND(MONTH(C9388)&gt;=4,MONTH(C9388)&lt;=6),2,IF(AND(MONTH(C9388)&gt;=7,MONTH(C9388)&lt;=9),3,4))))</f>
        <v>2</v>
      </c>
      <c r="D9389" s="1"/>
      <c r="E9389" s="92" t="s">
        <v>15990</v>
      </c>
      <c r="F9389" s="93"/>
    </row>
    <row r="9391" spans="1:10" ht="14.1" customHeight="1" x14ac:dyDescent="0.25">
      <c r="A9391" s="85" t="s">
        <v>15474</v>
      </c>
      <c r="B9391" s="85" t="s">
        <v>5027</v>
      </c>
      <c r="C9391" s="85" t="s">
        <v>17461</v>
      </c>
      <c r="D9391" s="85" t="s">
        <v>3935</v>
      </c>
      <c r="E9391" s="85" t="s">
        <v>10722</v>
      </c>
      <c r="F9391" s="85" t="s">
        <v>18237</v>
      </c>
    </row>
    <row r="9392" spans="1:10" ht="14.1" customHeight="1" x14ac:dyDescent="0.25">
      <c r="A9392" s="94" t="s">
        <v>19305</v>
      </c>
      <c r="B9392" s="82" t="str">
        <f ca="1">IFERROR(INDEX(UNSPSCDes,MATCH(INDIRECT(ADDRESS(ROW(),COLUMN()-1,4)),UNSPSCCode,0)),IF(INDIRECT(ADDRESS(ROW(),COLUMN()-1,4))="51111807","Acetato de leuprolide",""))</f>
        <v>Acetato de leuprolide</v>
      </c>
      <c r="C9392" s="95" t="str">
        <f>IFERROR(VLOOKUP("UD",'Informacion '!P:Q,2,FALSE),"")</f>
        <v>Unidad</v>
      </c>
      <c r="D9392" s="94">
        <v>9</v>
      </c>
      <c r="E9392" s="84">
        <v>5200</v>
      </c>
      <c r="F9392" s="83">
        <f t="shared" ref="F9392:F9423" ca="1" si="388">INDIRECT(ADDRESS(ROW(),COLUMN()-2,4))*INDIRECT(ADDRESS(ROW(),COLUMN()-1,4))</f>
        <v>46800</v>
      </c>
    </row>
    <row r="9393" spans="1:6" ht="14.1" customHeight="1" x14ac:dyDescent="0.25">
      <c r="A9393" s="94" t="s">
        <v>19305</v>
      </c>
      <c r="B9393" s="82" t="str">
        <f ca="1">IFERROR(INDEX(UNSPSCDes,MATCH(INDIRECT(ADDRESS(ROW(),COLUMN()-1,4)),UNSPSCCode,0)),IF(INDIRECT(ADDRESS(ROW(),COLUMN()-1,4))="51111807","Acetato de leuprolide",""))</f>
        <v>Acetato de leuprolide</v>
      </c>
      <c r="C9393" s="95" t="str">
        <f>IFERROR(VLOOKUP("UD",'Informacion '!P:Q,2,FALSE),"")</f>
        <v>Unidad</v>
      </c>
      <c r="D9393" s="94">
        <v>90</v>
      </c>
      <c r="E9393" s="84">
        <v>3490</v>
      </c>
      <c r="F9393" s="83">
        <f t="shared" ca="1" si="388"/>
        <v>314100</v>
      </c>
    </row>
    <row r="9394" spans="1:6" ht="14.1" customHeight="1" x14ac:dyDescent="0.25">
      <c r="A9394" s="94" t="s">
        <v>11307</v>
      </c>
      <c r="B9394" s="82" t="str">
        <f ca="1">IFERROR(INDEX(UNSPSCDes,MATCH(INDIRECT(ADDRESS(ROW(),COLUMN()-1,4)),UNSPSCCode,0)),IF(INDIRECT(ADDRESS(ROW(),COLUMN()-1,4))="51182415","Ácido zoledrónico",""))</f>
        <v>Ácido zoledrónico</v>
      </c>
      <c r="C9394" s="95" t="str">
        <f>IFERROR(VLOOKUP("UD",'Informacion '!P:Q,2,FALSE),"")</f>
        <v>Unidad</v>
      </c>
      <c r="D9394" s="94">
        <v>32</v>
      </c>
      <c r="E9394" s="84">
        <v>5100</v>
      </c>
      <c r="F9394" s="83">
        <f t="shared" ca="1" si="388"/>
        <v>163200</v>
      </c>
    </row>
    <row r="9395" spans="1:6" ht="14.1" customHeight="1" x14ac:dyDescent="0.25">
      <c r="A9395" s="94" t="s">
        <v>11307</v>
      </c>
      <c r="B9395" s="82" t="str">
        <f ca="1">IFERROR(INDEX(UNSPSCDes,MATCH(INDIRECT(ADDRESS(ROW(),COLUMN()-1,4)),UNSPSCCode,0)),IF(INDIRECT(ADDRESS(ROW(),COLUMN()-1,4))="51182415","Ácido zoledrónico",""))</f>
        <v>Ácido zoledrónico</v>
      </c>
      <c r="C9395" s="95" t="str">
        <f>IFERROR(VLOOKUP("UD",'Informacion '!P:Q,2,FALSE),"")</f>
        <v>Unidad</v>
      </c>
      <c r="D9395" s="94">
        <v>3</v>
      </c>
      <c r="E9395" s="84">
        <v>15670.55</v>
      </c>
      <c r="F9395" s="83">
        <f t="shared" ca="1" si="388"/>
        <v>47011.649999999994</v>
      </c>
    </row>
    <row r="9396" spans="1:6" ht="14.1" customHeight="1" x14ac:dyDescent="0.25">
      <c r="A9396" s="94" t="s">
        <v>11307</v>
      </c>
      <c r="B9396" s="82" t="str">
        <f ca="1">IFERROR(INDEX(UNSPSCDes,MATCH(INDIRECT(ADDRESS(ROW(),COLUMN()-1,4)),UNSPSCCode,0)),IF(INDIRECT(ADDRESS(ROW(),COLUMN()-1,4))="51182415","Ácido zoledrónico",""))</f>
        <v>Ácido zoledrónico</v>
      </c>
      <c r="C9396" s="95" t="str">
        <f>IFERROR(VLOOKUP("UD",'Informacion '!P:Q,2,FALSE),"")</f>
        <v>Unidad</v>
      </c>
      <c r="D9396" s="94">
        <v>50</v>
      </c>
      <c r="E9396" s="84">
        <v>2294.6799999999998</v>
      </c>
      <c r="F9396" s="83">
        <f t="shared" ca="1" si="388"/>
        <v>114733.99999999999</v>
      </c>
    </row>
    <row r="9397" spans="1:6" ht="14.1" customHeight="1" x14ac:dyDescent="0.25">
      <c r="A9397" s="94" t="s">
        <v>693</v>
      </c>
      <c r="B9397" s="82" t="str">
        <f t="shared" ref="B9397:B9403" ca="1" si="389">IFERROR(INDEX(UNSPSCDes,MATCH(INDIRECT(ADDRESS(ROW(),COLUMN()-1,4)),UNSPSCCode,0)),IF(INDIRECT(ADDRESS(ROW(),COLUMN()-1,4))="51111716","Rituximab",""))</f>
        <v>Rituximab</v>
      </c>
      <c r="C9397" s="95" t="str">
        <f>IFERROR(VLOOKUP("UD",'Informacion '!P:Q,2,FALSE),"")</f>
        <v>Unidad</v>
      </c>
      <c r="D9397" s="94">
        <v>5</v>
      </c>
      <c r="E9397" s="84">
        <v>28221.43</v>
      </c>
      <c r="F9397" s="83">
        <f t="shared" ca="1" si="388"/>
        <v>141107.15</v>
      </c>
    </row>
    <row r="9398" spans="1:6" ht="14.1" customHeight="1" x14ac:dyDescent="0.25">
      <c r="A9398" s="94" t="s">
        <v>693</v>
      </c>
      <c r="B9398" s="82" t="str">
        <f t="shared" ca="1" si="389"/>
        <v>Rituximab</v>
      </c>
      <c r="C9398" s="95" t="str">
        <f>IFERROR(VLOOKUP("UD",'Informacion '!P:Q,2,FALSE),"")</f>
        <v>Unidad</v>
      </c>
      <c r="D9398" s="94">
        <v>2</v>
      </c>
      <c r="E9398" s="84">
        <v>50500</v>
      </c>
      <c r="F9398" s="83">
        <f t="shared" ca="1" si="388"/>
        <v>101000</v>
      </c>
    </row>
    <row r="9399" spans="1:6" ht="14.1" customHeight="1" x14ac:dyDescent="0.25">
      <c r="A9399" s="94" t="s">
        <v>693</v>
      </c>
      <c r="B9399" s="82" t="str">
        <f t="shared" ca="1" si="389"/>
        <v>Rituximab</v>
      </c>
      <c r="C9399" s="95" t="str">
        <f>IFERROR(VLOOKUP("UD",'Informacion '!P:Q,2,FALSE),"")</f>
        <v>Unidad</v>
      </c>
      <c r="D9399" s="94">
        <v>11</v>
      </c>
      <c r="E9399" s="84">
        <v>10437.36</v>
      </c>
      <c r="F9399" s="83">
        <f t="shared" ca="1" si="388"/>
        <v>114810.96</v>
      </c>
    </row>
    <row r="9400" spans="1:6" ht="14.1" customHeight="1" x14ac:dyDescent="0.25">
      <c r="A9400" s="94" t="s">
        <v>693</v>
      </c>
      <c r="B9400" s="82" t="str">
        <f t="shared" ca="1" si="389"/>
        <v>Rituximab</v>
      </c>
      <c r="C9400" s="95" t="str">
        <f>IFERROR(VLOOKUP("UD",'Informacion '!P:Q,2,FALSE),"")</f>
        <v>Unidad</v>
      </c>
      <c r="D9400" s="94">
        <v>6</v>
      </c>
      <c r="E9400" s="84">
        <v>9022.2099999999991</v>
      </c>
      <c r="F9400" s="83">
        <f t="shared" ca="1" si="388"/>
        <v>54133.259999999995</v>
      </c>
    </row>
    <row r="9401" spans="1:6" ht="14.1" customHeight="1" x14ac:dyDescent="0.25">
      <c r="A9401" s="94" t="s">
        <v>693</v>
      </c>
      <c r="B9401" s="82" t="str">
        <f t="shared" ca="1" si="389"/>
        <v>Rituximab</v>
      </c>
      <c r="C9401" s="95" t="str">
        <f>IFERROR(VLOOKUP("UD",'Informacion '!P:Q,2,FALSE),"")</f>
        <v>Unidad</v>
      </c>
      <c r="D9401" s="94">
        <v>7</v>
      </c>
      <c r="E9401" s="84">
        <v>14500</v>
      </c>
      <c r="F9401" s="83">
        <f t="shared" ca="1" si="388"/>
        <v>101500</v>
      </c>
    </row>
    <row r="9402" spans="1:6" ht="14.1" customHeight="1" x14ac:dyDescent="0.25">
      <c r="A9402" s="94" t="s">
        <v>693</v>
      </c>
      <c r="B9402" s="82" t="str">
        <f t="shared" ca="1" si="389"/>
        <v>Rituximab</v>
      </c>
      <c r="C9402" s="95" t="str">
        <f>IFERROR(VLOOKUP("UD",'Informacion '!P:Q,2,FALSE),"")</f>
        <v>Unidad</v>
      </c>
      <c r="D9402" s="94">
        <v>2</v>
      </c>
      <c r="E9402" s="84">
        <v>36924.75</v>
      </c>
      <c r="F9402" s="83">
        <f t="shared" ca="1" si="388"/>
        <v>73849.5</v>
      </c>
    </row>
    <row r="9403" spans="1:6" ht="14.1" customHeight="1" x14ac:dyDescent="0.25">
      <c r="A9403" s="94" t="s">
        <v>693</v>
      </c>
      <c r="B9403" s="82" t="str">
        <f t="shared" ca="1" si="389"/>
        <v>Rituximab</v>
      </c>
      <c r="C9403" s="95" t="str">
        <f>IFERROR(VLOOKUP("UD",'Informacion '!P:Q,2,FALSE),"")</f>
        <v>Unidad</v>
      </c>
      <c r="D9403" s="94">
        <v>3</v>
      </c>
      <c r="E9403" s="84">
        <v>10530</v>
      </c>
      <c r="F9403" s="83">
        <f t="shared" ca="1" si="388"/>
        <v>31590</v>
      </c>
    </row>
    <row r="9404" spans="1:6" ht="14.1" customHeight="1" x14ac:dyDescent="0.25">
      <c r="A9404" s="94" t="s">
        <v>1085</v>
      </c>
      <c r="B9404" s="82" t="str">
        <f ca="1">IFERROR(INDEX(UNSPSCDes,MATCH(INDIRECT(ADDRESS(ROW(),COLUMN()-1,4)),UNSPSCCode,0)),IF(INDIRECT(ADDRESS(ROW(),COLUMN()-1,4))="51111802","Bicalutamida",""))</f>
        <v>Bicalutamida</v>
      </c>
      <c r="C9404" s="95" t="str">
        <f>IFERROR(VLOOKUP("UD",'Informacion '!P:Q,2,FALSE),"")</f>
        <v>Unidad</v>
      </c>
      <c r="D9404" s="94">
        <v>9</v>
      </c>
      <c r="E9404" s="84">
        <v>389.29</v>
      </c>
      <c r="F9404" s="83">
        <f t="shared" ca="1" si="388"/>
        <v>3503.61</v>
      </c>
    </row>
    <row r="9405" spans="1:6" ht="14.1" customHeight="1" x14ac:dyDescent="0.25">
      <c r="A9405" s="94" t="s">
        <v>1751</v>
      </c>
      <c r="B9405" s="82" t="str">
        <f ca="1">IFERROR(INDEX(UNSPSCDes,MATCH(INDIRECT(ADDRESS(ROW(),COLUMN()-1,4)),UNSPSCCode,0)),IF(INDIRECT(ADDRESS(ROW(),COLUMN()-1,4))="51111701","Sulfato de bleomicina",""))</f>
        <v>Sulfato de bleomicina</v>
      </c>
      <c r="C9405" s="95" t="str">
        <f>IFERROR(VLOOKUP("UD",'Informacion '!P:Q,2,FALSE),"")</f>
        <v>Unidad</v>
      </c>
      <c r="D9405" s="94">
        <v>40</v>
      </c>
      <c r="E9405" s="84">
        <v>1100</v>
      </c>
      <c r="F9405" s="83">
        <f t="shared" ca="1" si="388"/>
        <v>44000</v>
      </c>
    </row>
    <row r="9406" spans="1:6" ht="14.1" customHeight="1" x14ac:dyDescent="0.25">
      <c r="A9406" s="94" t="s">
        <v>1751</v>
      </c>
      <c r="B9406" s="82" t="str">
        <f ca="1">IFERROR(INDEX(UNSPSCDes,MATCH(INDIRECT(ADDRESS(ROW(),COLUMN()-1,4)),UNSPSCCode,0)),IF(INDIRECT(ADDRESS(ROW(),COLUMN()-1,4))="51111701","Sulfato de bleomicina",""))</f>
        <v>Sulfato de bleomicina</v>
      </c>
      <c r="C9406" s="95" t="str">
        <f>IFERROR(VLOOKUP("UD",'Informacion '!P:Q,2,FALSE),"")</f>
        <v>Unidad</v>
      </c>
      <c r="D9406" s="94">
        <v>12</v>
      </c>
      <c r="E9406" s="84">
        <v>924.78</v>
      </c>
      <c r="F9406" s="83">
        <f t="shared" ca="1" si="388"/>
        <v>11097.36</v>
      </c>
    </row>
    <row r="9407" spans="1:6" ht="14.1" customHeight="1" x14ac:dyDescent="0.25">
      <c r="A9407" s="94" t="s">
        <v>19295</v>
      </c>
      <c r="B9407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9407" s="95" t="str">
        <f>IFERROR(VLOOKUP("UD",'Informacion '!P:Q,2,FALSE),"")</f>
        <v>Unidad</v>
      </c>
      <c r="D9407" s="94">
        <v>31</v>
      </c>
      <c r="E9407" s="84">
        <v>34500</v>
      </c>
      <c r="F9407" s="83">
        <f t="shared" ca="1" si="388"/>
        <v>1069500</v>
      </c>
    </row>
    <row r="9408" spans="1:6" ht="14.1" customHeight="1" x14ac:dyDescent="0.25">
      <c r="A9408" s="94" t="s">
        <v>2868</v>
      </c>
      <c r="B9408" s="82" t="str">
        <f ca="1">IFERROR(INDEX(UNSPSCDes,MATCH(INDIRECT(ADDRESS(ROW(),COLUMN()-1,4)),UNSPSCCode,0)),IF(INDIRECT(ADDRESS(ROW(),COLUMN()-1,4))="51111616","Capecitabina",""))</f>
        <v>Capecitabina</v>
      </c>
      <c r="C9408" s="95" t="str">
        <f>IFERROR(VLOOKUP("UD",'Informacion '!P:Q,2,FALSE),"")</f>
        <v>Unidad</v>
      </c>
      <c r="D9408" s="94">
        <v>825</v>
      </c>
      <c r="E9408" s="84">
        <v>179.17</v>
      </c>
      <c r="F9408" s="83">
        <f t="shared" ca="1" si="388"/>
        <v>147815.25</v>
      </c>
    </row>
    <row r="9409" spans="1:6" ht="14.1" customHeight="1" x14ac:dyDescent="0.25">
      <c r="A9409" s="94" t="s">
        <v>10457</v>
      </c>
      <c r="B9409" s="82" t="str">
        <f ca="1">IFERROR(INDEX(UNSPSCDes,MATCH(INDIRECT(ADDRESS(ROW(),COLUMN()-1,4)),UNSPSCCode,0)),IF(INDIRECT(ADDRESS(ROW(),COLUMN()-1,4))="51111516","Tiotepa",""))</f>
        <v>Tiotepa</v>
      </c>
      <c r="C9409" s="95" t="str">
        <f>IFERROR(VLOOKUP("UD",'Informacion '!P:Q,2,FALSE),"")</f>
        <v>Unidad</v>
      </c>
      <c r="D9409" s="94">
        <v>3968</v>
      </c>
      <c r="E9409" s="84">
        <v>168.33</v>
      </c>
      <c r="F9409" s="83">
        <f t="shared" ca="1" si="388"/>
        <v>667933.44000000006</v>
      </c>
    </row>
    <row r="9410" spans="1:6" ht="14.1" customHeight="1" x14ac:dyDescent="0.25">
      <c r="A9410" s="94" t="s">
        <v>17588</v>
      </c>
      <c r="B9410" s="82" t="str">
        <f t="shared" ref="B9410:B9416" ca="1" si="390">IFERROR(INDEX(UNSPSCDes,MATCH(INDIRECT(ADDRESS(ROW(),COLUMN()-1,4)),UNSPSCCode,0)),IF(INDIRECT(ADDRESS(ROW(),COLUMN()-1,4))="51111503","Carboplatino",""))</f>
        <v>Carboplatino</v>
      </c>
      <c r="C9410" s="95" t="str">
        <f>IFERROR(VLOOKUP("UD",'Informacion '!P:Q,2,FALSE),"")</f>
        <v>Unidad</v>
      </c>
      <c r="D9410" s="94">
        <v>26</v>
      </c>
      <c r="E9410" s="84">
        <v>791.72</v>
      </c>
      <c r="F9410" s="83">
        <f t="shared" ca="1" si="388"/>
        <v>20584.72</v>
      </c>
    </row>
    <row r="9411" spans="1:6" ht="14.1" customHeight="1" x14ac:dyDescent="0.25">
      <c r="A9411" s="94" t="s">
        <v>17588</v>
      </c>
      <c r="B9411" s="82" t="str">
        <f t="shared" ca="1" si="390"/>
        <v>Carboplatino</v>
      </c>
      <c r="C9411" s="95" t="str">
        <f>IFERROR(VLOOKUP("UD",'Informacion '!P:Q,2,FALSE),"")</f>
        <v>Unidad</v>
      </c>
      <c r="D9411" s="94">
        <v>73</v>
      </c>
      <c r="E9411" s="84">
        <v>800.69</v>
      </c>
      <c r="F9411" s="83">
        <f t="shared" ca="1" si="388"/>
        <v>58450.37</v>
      </c>
    </row>
    <row r="9412" spans="1:6" ht="14.1" customHeight="1" x14ac:dyDescent="0.25">
      <c r="A9412" s="94" t="s">
        <v>17588</v>
      </c>
      <c r="B9412" s="82" t="str">
        <f t="shared" ca="1" si="390"/>
        <v>Carboplatino</v>
      </c>
      <c r="C9412" s="95" t="str">
        <f>IFERROR(VLOOKUP("UD",'Informacion '!P:Q,2,FALSE),"")</f>
        <v>Unidad</v>
      </c>
      <c r="D9412" s="94">
        <v>8</v>
      </c>
      <c r="E9412" s="84">
        <v>968</v>
      </c>
      <c r="F9412" s="83">
        <f t="shared" ca="1" si="388"/>
        <v>7744</v>
      </c>
    </row>
    <row r="9413" spans="1:6" ht="14.1" customHeight="1" x14ac:dyDescent="0.25">
      <c r="A9413" s="94" t="s">
        <v>17588</v>
      </c>
      <c r="B9413" s="82" t="str">
        <f t="shared" ca="1" si="390"/>
        <v>Carboplatino</v>
      </c>
      <c r="C9413" s="95" t="str">
        <f>IFERROR(VLOOKUP("UD",'Informacion '!P:Q,2,FALSE),"")</f>
        <v>Unidad</v>
      </c>
      <c r="D9413" s="94">
        <v>47</v>
      </c>
      <c r="E9413" s="84">
        <v>1150.18</v>
      </c>
      <c r="F9413" s="83">
        <f t="shared" ca="1" si="388"/>
        <v>54058.460000000006</v>
      </c>
    </row>
    <row r="9414" spans="1:6" ht="14.1" customHeight="1" x14ac:dyDescent="0.25">
      <c r="A9414" s="94" t="s">
        <v>17588</v>
      </c>
      <c r="B9414" s="82" t="str">
        <f t="shared" ca="1" si="390"/>
        <v>Carboplatino</v>
      </c>
      <c r="C9414" s="95" t="str">
        <f>IFERROR(VLOOKUP("UD",'Informacion '!P:Q,2,FALSE),"")</f>
        <v>Unidad</v>
      </c>
      <c r="D9414" s="94">
        <v>9</v>
      </c>
      <c r="E9414" s="84">
        <v>2621</v>
      </c>
      <c r="F9414" s="83">
        <f t="shared" ca="1" si="388"/>
        <v>23589</v>
      </c>
    </row>
    <row r="9415" spans="1:6" ht="14.1" customHeight="1" x14ac:dyDescent="0.25">
      <c r="A9415" s="94" t="s">
        <v>17588</v>
      </c>
      <c r="B9415" s="82" t="str">
        <f t="shared" ca="1" si="390"/>
        <v>Carboplatino</v>
      </c>
      <c r="C9415" s="95" t="str">
        <f>IFERROR(VLOOKUP("UD",'Informacion '!P:Q,2,FALSE),"")</f>
        <v>Unidad</v>
      </c>
      <c r="D9415" s="94">
        <v>23</v>
      </c>
      <c r="E9415" s="84">
        <v>1761.79</v>
      </c>
      <c r="F9415" s="83">
        <f t="shared" ca="1" si="388"/>
        <v>40521.17</v>
      </c>
    </row>
    <row r="9416" spans="1:6" ht="14.1" customHeight="1" x14ac:dyDescent="0.25">
      <c r="A9416" s="94" t="s">
        <v>17588</v>
      </c>
      <c r="B9416" s="82" t="str">
        <f t="shared" ca="1" si="390"/>
        <v>Carboplatino</v>
      </c>
      <c r="C9416" s="95" t="str">
        <f>IFERROR(VLOOKUP("UD",'Informacion '!P:Q,2,FALSE),"")</f>
        <v>Unidad</v>
      </c>
      <c r="D9416" s="94">
        <v>2</v>
      </c>
      <c r="E9416" s="84">
        <v>1865.69</v>
      </c>
      <c r="F9416" s="83">
        <f t="shared" ca="1" si="388"/>
        <v>3731.38</v>
      </c>
    </row>
    <row r="9417" spans="1:6" ht="14.1" customHeight="1" x14ac:dyDescent="0.25">
      <c r="A9417" s="94" t="s">
        <v>6655</v>
      </c>
      <c r="B9417" s="82" t="str">
        <f ca="1">IFERROR(INDEX(UNSPSCDes,MATCH(INDIRECT(ADDRESS(ROW(),COLUMN()-1,4)),UNSPSCCode,0)),IF(INDIRECT(ADDRESS(ROW(),COLUMN()-1,4))="51111717","Trastuzumab",""))</f>
        <v>Trastuzumab</v>
      </c>
      <c r="C9417" s="95" t="str">
        <f>IFERROR(VLOOKUP("UD",'Informacion '!P:Q,2,FALSE),"")</f>
        <v>Unidad</v>
      </c>
      <c r="D9417" s="94">
        <v>35</v>
      </c>
      <c r="E9417" s="84">
        <v>350.63</v>
      </c>
      <c r="F9417" s="83">
        <f t="shared" ca="1" si="388"/>
        <v>12272.05</v>
      </c>
    </row>
    <row r="9418" spans="1:6" ht="14.1" customHeight="1" x14ac:dyDescent="0.25">
      <c r="A9418" s="94" t="s">
        <v>11096</v>
      </c>
      <c r="B9418" s="82" t="str">
        <f ca="1">IFERROR(INDEX(UNSPSCDes,MATCH(INDIRECT(ADDRESS(ROW(),COLUMN()-1,4)),UNSPSCCode,0)),IF(INDIRECT(ADDRESS(ROW(),COLUMN()-1,4))="51111507","Ciclofosfamida",""))</f>
        <v>Ciclofosfamida</v>
      </c>
      <c r="C9418" s="95" t="str">
        <f>IFERROR(VLOOKUP("UD",'Informacion '!P:Q,2,FALSE),"")</f>
        <v>Unidad</v>
      </c>
      <c r="D9418" s="94">
        <v>52</v>
      </c>
      <c r="E9418" s="84">
        <v>350.63</v>
      </c>
      <c r="F9418" s="83">
        <f t="shared" ca="1" si="388"/>
        <v>18232.759999999998</v>
      </c>
    </row>
    <row r="9419" spans="1:6" ht="14.1" customHeight="1" x14ac:dyDescent="0.25">
      <c r="A9419" s="94" t="s">
        <v>11096</v>
      </c>
      <c r="B9419" s="82" t="str">
        <f ca="1">IFERROR(INDEX(UNSPSCDes,MATCH(INDIRECT(ADDRESS(ROW(),COLUMN()-1,4)),UNSPSCCode,0)),IF(INDIRECT(ADDRESS(ROW(),COLUMN()-1,4))="51111507","Ciclofosfamida",""))</f>
        <v>Ciclofosfamida</v>
      </c>
      <c r="C9419" s="95" t="str">
        <f>IFERROR(VLOOKUP("UD",'Informacion '!P:Q,2,FALSE),"")</f>
        <v>Unidad</v>
      </c>
      <c r="D9419" s="94">
        <v>97</v>
      </c>
      <c r="E9419" s="84">
        <v>730</v>
      </c>
      <c r="F9419" s="83">
        <f t="shared" ca="1" si="388"/>
        <v>70810</v>
      </c>
    </row>
    <row r="9420" spans="1:6" ht="14.1" customHeight="1" x14ac:dyDescent="0.25">
      <c r="A9420" s="94" t="s">
        <v>10585</v>
      </c>
      <c r="B9420" s="82" t="str">
        <f t="shared" ref="B9420:B9425" ca="1" si="391">IFERROR(INDEX(UNSPSCDes,MATCH(INDIRECT(ADDRESS(ROW(),COLUMN()-1,4)),UNSPSCCode,0)),IF(INDIRECT(ADDRESS(ROW(),COLUMN()-1,4))="51111506","Cisplatino",""))</f>
        <v>Cisplatino</v>
      </c>
      <c r="C9420" s="95" t="str">
        <f>IFERROR(VLOOKUP("UD",'Informacion '!P:Q,2,FALSE),"")</f>
        <v>Unidad</v>
      </c>
      <c r="D9420" s="94">
        <v>42</v>
      </c>
      <c r="E9420" s="84">
        <v>285.95999999999998</v>
      </c>
      <c r="F9420" s="83">
        <f t="shared" ca="1" si="388"/>
        <v>12010.32</v>
      </c>
    </row>
    <row r="9421" spans="1:6" ht="14.1" customHeight="1" x14ac:dyDescent="0.25">
      <c r="A9421" s="94" t="s">
        <v>10585</v>
      </c>
      <c r="B9421" s="82" t="str">
        <f t="shared" ca="1" si="391"/>
        <v>Cisplatino</v>
      </c>
      <c r="C9421" s="95" t="str">
        <f>IFERROR(VLOOKUP("UD",'Informacion '!P:Q,2,FALSE),"")</f>
        <v>Unidad</v>
      </c>
      <c r="D9421" s="94">
        <v>15</v>
      </c>
      <c r="E9421" s="84">
        <v>372.36</v>
      </c>
      <c r="F9421" s="83">
        <f t="shared" ca="1" si="388"/>
        <v>5585.4000000000005</v>
      </c>
    </row>
    <row r="9422" spans="1:6" ht="14.1" customHeight="1" x14ac:dyDescent="0.25">
      <c r="A9422" s="94" t="s">
        <v>10585</v>
      </c>
      <c r="B9422" s="82" t="str">
        <f t="shared" ca="1" si="391"/>
        <v>Cisplatino</v>
      </c>
      <c r="C9422" s="95" t="str">
        <f>IFERROR(VLOOKUP("UD",'Informacion '!P:Q,2,FALSE),"")</f>
        <v>Unidad</v>
      </c>
      <c r="D9422" s="94">
        <v>3</v>
      </c>
      <c r="E9422" s="84">
        <v>372.63</v>
      </c>
      <c r="F9422" s="83">
        <f t="shared" ca="1" si="388"/>
        <v>1117.8899999999999</v>
      </c>
    </row>
    <row r="9423" spans="1:6" ht="14.1" customHeight="1" x14ac:dyDescent="0.25">
      <c r="A9423" s="94" t="s">
        <v>10585</v>
      </c>
      <c r="B9423" s="82" t="str">
        <f t="shared" ca="1" si="391"/>
        <v>Cisplatino</v>
      </c>
      <c r="C9423" s="95" t="str">
        <f>IFERROR(VLOOKUP("UD",'Informacion '!P:Q,2,FALSE),"")</f>
        <v>Unidad</v>
      </c>
      <c r="D9423" s="94">
        <v>68</v>
      </c>
      <c r="E9423" s="84">
        <v>246.71</v>
      </c>
      <c r="F9423" s="83">
        <f t="shared" ca="1" si="388"/>
        <v>16776.28</v>
      </c>
    </row>
    <row r="9424" spans="1:6" ht="14.1" customHeight="1" x14ac:dyDescent="0.25">
      <c r="A9424" s="94" t="s">
        <v>10585</v>
      </c>
      <c r="B9424" s="82" t="str">
        <f t="shared" ca="1" si="391"/>
        <v>Cisplatino</v>
      </c>
      <c r="C9424" s="95" t="str">
        <f>IFERROR(VLOOKUP("UD",'Informacion '!P:Q,2,FALSE),"")</f>
        <v>Unidad</v>
      </c>
      <c r="D9424" s="94">
        <v>90</v>
      </c>
      <c r="E9424" s="84">
        <v>871.47</v>
      </c>
      <c r="F9424" s="83">
        <f t="shared" ref="F9424:F9455" ca="1" si="392">INDIRECT(ADDRESS(ROW(),COLUMN()-2,4))*INDIRECT(ADDRESS(ROW(),COLUMN()-1,4))</f>
        <v>78432.3</v>
      </c>
    </row>
    <row r="9425" spans="1:6" ht="14.1" customHeight="1" x14ac:dyDescent="0.25">
      <c r="A9425" s="94" t="s">
        <v>10585</v>
      </c>
      <c r="B9425" s="82" t="str">
        <f t="shared" ca="1" si="391"/>
        <v>Cisplatino</v>
      </c>
      <c r="C9425" s="95" t="str">
        <f>IFERROR(VLOOKUP("UD",'Informacion '!P:Q,2,FALSE),"")</f>
        <v>Unidad</v>
      </c>
      <c r="D9425" s="94">
        <v>5</v>
      </c>
      <c r="E9425" s="84">
        <v>869.18</v>
      </c>
      <c r="F9425" s="83">
        <f t="shared" ca="1" si="392"/>
        <v>4345.8999999999996</v>
      </c>
    </row>
    <row r="9426" spans="1:6" ht="14.1" customHeight="1" x14ac:dyDescent="0.25">
      <c r="A9426" s="94" t="s">
        <v>14357</v>
      </c>
      <c r="B9426" s="82" t="str">
        <f ca="1">IFERROR(INDEX(UNSPSCDes,MATCH(INDIRECT(ADDRESS(ROW(),COLUMN()-1,4)),UNSPSCCode,0)),IF(INDIRECT(ADDRESS(ROW(),COLUMN()-1,4))="51111602","Citarabina",""))</f>
        <v>Citarabina</v>
      </c>
      <c r="C9426" s="95" t="str">
        <f>IFERROR(VLOOKUP("UD",'Informacion '!P:Q,2,FALSE),"")</f>
        <v>Unidad</v>
      </c>
      <c r="D9426" s="94">
        <v>7</v>
      </c>
      <c r="E9426" s="84">
        <v>151.26</v>
      </c>
      <c r="F9426" s="83">
        <f t="shared" ca="1" si="392"/>
        <v>1058.82</v>
      </c>
    </row>
    <row r="9427" spans="1:6" ht="14.1" customHeight="1" x14ac:dyDescent="0.25">
      <c r="A9427" s="94" t="s">
        <v>14357</v>
      </c>
      <c r="B9427" s="82" t="str">
        <f ca="1">IFERROR(INDEX(UNSPSCDes,MATCH(INDIRECT(ADDRESS(ROW(),COLUMN()-1,4)),UNSPSCCode,0)),IF(INDIRECT(ADDRESS(ROW(),COLUMN()-1,4))="51111602","Citarabina",""))</f>
        <v>Citarabina</v>
      </c>
      <c r="C9427" s="95" t="str">
        <f>IFERROR(VLOOKUP("UD",'Informacion '!P:Q,2,FALSE),"")</f>
        <v>Unidad</v>
      </c>
      <c r="D9427" s="94">
        <v>87</v>
      </c>
      <c r="E9427" s="84">
        <v>341</v>
      </c>
      <c r="F9427" s="83">
        <f t="shared" ca="1" si="392"/>
        <v>29667</v>
      </c>
    </row>
    <row r="9428" spans="1:6" ht="14.1" customHeight="1" x14ac:dyDescent="0.25">
      <c r="A9428" s="94" t="s">
        <v>14357</v>
      </c>
      <c r="B9428" s="82" t="str">
        <f ca="1">IFERROR(INDEX(UNSPSCDes,MATCH(INDIRECT(ADDRESS(ROW(),COLUMN()-1,4)),UNSPSCCode,0)),IF(INDIRECT(ADDRESS(ROW(),COLUMN()-1,4))="51111602","Citarabina",""))</f>
        <v>Citarabina</v>
      </c>
      <c r="C9428" s="95" t="str">
        <f>IFERROR(VLOOKUP("UD",'Informacion '!P:Q,2,FALSE),"")</f>
        <v>Unidad</v>
      </c>
      <c r="D9428" s="94">
        <v>43</v>
      </c>
      <c r="E9428" s="84">
        <v>300.82</v>
      </c>
      <c r="F9428" s="83">
        <f t="shared" ca="1" si="392"/>
        <v>12935.26</v>
      </c>
    </row>
    <row r="9429" spans="1:6" ht="14.1" customHeight="1" x14ac:dyDescent="0.25">
      <c r="A9429" s="94" t="s">
        <v>14357</v>
      </c>
      <c r="B9429" s="82" t="str">
        <f ca="1">IFERROR(INDEX(UNSPSCDes,MATCH(INDIRECT(ADDRESS(ROW(),COLUMN()-1,4)),UNSPSCCode,0)),IF(INDIRECT(ADDRESS(ROW(),COLUMN()-1,4))="51111602","Citarabina",""))</f>
        <v>Citarabina</v>
      </c>
      <c r="C9429" s="95" t="str">
        <f>IFERROR(VLOOKUP("UD",'Informacion '!P:Q,2,FALSE),"")</f>
        <v>Unidad</v>
      </c>
      <c r="D9429" s="94">
        <v>46</v>
      </c>
      <c r="E9429" s="84">
        <v>459.4</v>
      </c>
      <c r="F9429" s="83">
        <f t="shared" ca="1" si="392"/>
        <v>21132.399999999998</v>
      </c>
    </row>
    <row r="9430" spans="1:6" ht="14.1" customHeight="1" x14ac:dyDescent="0.25">
      <c r="A9430" s="94" t="s">
        <v>14357</v>
      </c>
      <c r="B9430" s="82" t="str">
        <f ca="1">IFERROR(INDEX(UNSPSCDes,MATCH(INDIRECT(ADDRESS(ROW(),COLUMN()-1,4)),UNSPSCCode,0)),IF(INDIRECT(ADDRESS(ROW(),COLUMN()-1,4))="51111602","Citarabina",""))</f>
        <v>Citarabina</v>
      </c>
      <c r="C9430" s="95" t="str">
        <f>IFERROR(VLOOKUP("UD",'Informacion '!P:Q,2,FALSE),"")</f>
        <v>Unidad</v>
      </c>
      <c r="D9430" s="94">
        <v>16</v>
      </c>
      <c r="E9430" s="84">
        <v>660</v>
      </c>
      <c r="F9430" s="83">
        <f t="shared" ca="1" si="392"/>
        <v>10560</v>
      </c>
    </row>
    <row r="9431" spans="1:6" ht="14.1" customHeight="1" x14ac:dyDescent="0.25">
      <c r="A9431" s="94" t="s">
        <v>6233</v>
      </c>
      <c r="B9431" s="82" t="str">
        <f ca="1">IFERROR(INDEX(UNSPSCDes,MATCH(INDIRECT(ADDRESS(ROW(),COLUMN()-1,4)),UNSPSCCode,0)),IF(INDIRECT(ADDRESS(ROW(),COLUMN()-1,4))="51111508","Dacarbazina",""))</f>
        <v>Dacarbazina</v>
      </c>
      <c r="C9431" s="95" t="str">
        <f>IFERROR(VLOOKUP("UD",'Informacion '!P:Q,2,FALSE),"")</f>
        <v>Unidad</v>
      </c>
      <c r="D9431" s="94">
        <v>25</v>
      </c>
      <c r="E9431" s="84">
        <v>880</v>
      </c>
      <c r="F9431" s="83">
        <f t="shared" ca="1" si="392"/>
        <v>22000</v>
      </c>
    </row>
    <row r="9432" spans="1:6" ht="14.1" customHeight="1" x14ac:dyDescent="0.25">
      <c r="A9432" s="94" t="s">
        <v>6233</v>
      </c>
      <c r="B9432" s="82" t="str">
        <f ca="1">IFERROR(INDEX(UNSPSCDes,MATCH(INDIRECT(ADDRESS(ROW(),COLUMN()-1,4)),UNSPSCCode,0)),IF(INDIRECT(ADDRESS(ROW(),COLUMN()-1,4))="51111508","Dacarbazina",""))</f>
        <v>Dacarbazina</v>
      </c>
      <c r="C9432" s="95" t="str">
        <f>IFERROR(VLOOKUP("UD",'Informacion '!P:Q,2,FALSE),"")</f>
        <v>Unidad</v>
      </c>
      <c r="D9432" s="94">
        <v>42</v>
      </c>
      <c r="E9432" s="84">
        <v>873.35</v>
      </c>
      <c r="F9432" s="83">
        <f t="shared" ca="1" si="392"/>
        <v>36680.700000000004</v>
      </c>
    </row>
    <row r="9433" spans="1:6" ht="14.1" customHeight="1" x14ac:dyDescent="0.25">
      <c r="A9433" s="94" t="s">
        <v>6233</v>
      </c>
      <c r="B9433" s="82" t="str">
        <f ca="1">IFERROR(INDEX(UNSPSCDes,MATCH(INDIRECT(ADDRESS(ROW(),COLUMN()-1,4)),UNSPSCCode,0)),IF(INDIRECT(ADDRESS(ROW(),COLUMN()-1,4))="51111508","Dacarbazina",""))</f>
        <v>Dacarbazina</v>
      </c>
      <c r="C9433" s="95" t="str">
        <f>IFERROR(VLOOKUP("UD",'Informacion '!P:Q,2,FALSE),"")</f>
        <v>Unidad</v>
      </c>
      <c r="D9433" s="94">
        <v>9</v>
      </c>
      <c r="E9433" s="84">
        <v>990.81</v>
      </c>
      <c r="F9433" s="83">
        <f t="shared" ca="1" si="392"/>
        <v>8917.2899999999991</v>
      </c>
    </row>
    <row r="9434" spans="1:6" ht="14.1" customHeight="1" x14ac:dyDescent="0.25">
      <c r="A9434" s="94" t="s">
        <v>3201</v>
      </c>
      <c r="B9434" s="82" t="str">
        <f ca="1">IFERROR(INDEX(UNSPSCDes,MATCH(INDIRECT(ADDRESS(ROW(),COLUMN()-1,4)),UNSPSCCode,0)),IF(INDIRECT(ADDRESS(ROW(),COLUMN()-1,4))="51111702","Dactinomicina",""))</f>
        <v>Dactinomicina</v>
      </c>
      <c r="C9434" s="95" t="str">
        <f>IFERROR(VLOOKUP("UD",'Informacion '!P:Q,2,FALSE),"")</f>
        <v>Unidad</v>
      </c>
      <c r="D9434" s="94">
        <v>9</v>
      </c>
      <c r="E9434" s="84">
        <v>1450</v>
      </c>
      <c r="F9434" s="83">
        <f t="shared" ca="1" si="392"/>
        <v>13050</v>
      </c>
    </row>
    <row r="9435" spans="1:6" ht="14.1" customHeight="1" x14ac:dyDescent="0.25">
      <c r="A9435" s="94" t="s">
        <v>14635</v>
      </c>
      <c r="B9435" s="82" t="str">
        <f ca="1">IFERROR(INDEX(UNSPSCDes,MATCH(INDIRECT(ADDRESS(ROW(),COLUMN()-1,4)),UNSPSCCode,0)),IF(INDIRECT(ADDRESS(ROW(),COLUMN()-1,4))="51111703","Daunorubicinas",""))</f>
        <v>Daunorubicinas</v>
      </c>
      <c r="C9435" s="95" t="str">
        <f>IFERROR(VLOOKUP("UD",'Informacion '!P:Q,2,FALSE),"")</f>
        <v>Unidad</v>
      </c>
      <c r="D9435" s="94">
        <v>52</v>
      </c>
      <c r="E9435" s="84">
        <v>917.26</v>
      </c>
      <c r="F9435" s="83">
        <f t="shared" ca="1" si="392"/>
        <v>47697.52</v>
      </c>
    </row>
    <row r="9436" spans="1:6" ht="14.1" customHeight="1" x14ac:dyDescent="0.25">
      <c r="A9436" s="94" t="s">
        <v>983</v>
      </c>
      <c r="B9436" s="82" t="str">
        <f t="shared" ref="B9436:B9444" ca="1" si="393">IFERROR(INDEX(UNSPSCDes,MATCH(INDIRECT(ADDRESS(ROW(),COLUMN()-1,4)),UNSPSCCode,0)),IF(INDIRECT(ADDRESS(ROW(),COLUMN()-1,4))="51111902","Docetaxel",""))</f>
        <v>Docetaxel</v>
      </c>
      <c r="C9436" s="95" t="str">
        <f>IFERROR(VLOOKUP("UD",'Informacion '!P:Q,2,FALSE),"")</f>
        <v>Unidad</v>
      </c>
      <c r="D9436" s="94">
        <v>43</v>
      </c>
      <c r="E9436" s="84">
        <v>1080.1600000000001</v>
      </c>
      <c r="F9436" s="83">
        <f t="shared" ca="1" si="392"/>
        <v>46446.880000000005</v>
      </c>
    </row>
    <row r="9437" spans="1:6" ht="14.1" customHeight="1" x14ac:dyDescent="0.25">
      <c r="A9437" s="94" t="s">
        <v>983</v>
      </c>
      <c r="B9437" s="82" t="str">
        <f t="shared" ca="1" si="393"/>
        <v>Docetaxel</v>
      </c>
      <c r="C9437" s="95" t="str">
        <f>IFERROR(VLOOKUP("UD",'Informacion '!P:Q,2,FALSE),"")</f>
        <v>Unidad</v>
      </c>
      <c r="D9437" s="94">
        <v>38</v>
      </c>
      <c r="E9437" s="84">
        <v>910</v>
      </c>
      <c r="F9437" s="83">
        <f t="shared" ca="1" si="392"/>
        <v>34580</v>
      </c>
    </row>
    <row r="9438" spans="1:6" ht="14.1" customHeight="1" x14ac:dyDescent="0.25">
      <c r="A9438" s="94" t="s">
        <v>983</v>
      </c>
      <c r="B9438" s="82" t="str">
        <f t="shared" ca="1" si="393"/>
        <v>Docetaxel</v>
      </c>
      <c r="C9438" s="95" t="str">
        <f>IFERROR(VLOOKUP("UD",'Informacion '!P:Q,2,FALSE),"")</f>
        <v>Unidad</v>
      </c>
      <c r="D9438" s="94">
        <v>36</v>
      </c>
      <c r="E9438" s="84">
        <v>1400</v>
      </c>
      <c r="F9438" s="83">
        <f t="shared" ca="1" si="392"/>
        <v>50400</v>
      </c>
    </row>
    <row r="9439" spans="1:6" ht="14.1" customHeight="1" x14ac:dyDescent="0.25">
      <c r="A9439" s="94" t="s">
        <v>983</v>
      </c>
      <c r="B9439" s="82" t="str">
        <f t="shared" ca="1" si="393"/>
        <v>Docetaxel</v>
      </c>
      <c r="C9439" s="95" t="str">
        <f>IFERROR(VLOOKUP("UD",'Informacion '!P:Q,2,FALSE),"")</f>
        <v>Unidad</v>
      </c>
      <c r="D9439" s="94">
        <v>51</v>
      </c>
      <c r="E9439" s="84">
        <v>1353</v>
      </c>
      <c r="F9439" s="83">
        <f t="shared" ca="1" si="392"/>
        <v>69003</v>
      </c>
    </row>
    <row r="9440" spans="1:6" ht="14.1" customHeight="1" x14ac:dyDescent="0.25">
      <c r="A9440" s="94" t="s">
        <v>983</v>
      </c>
      <c r="B9440" s="82" t="str">
        <f t="shared" ca="1" si="393"/>
        <v>Docetaxel</v>
      </c>
      <c r="C9440" s="95" t="str">
        <f>IFERROR(VLOOKUP("UD",'Informacion '!P:Q,2,FALSE),"")</f>
        <v>Unidad</v>
      </c>
      <c r="D9440" s="94">
        <v>22</v>
      </c>
      <c r="E9440" s="84">
        <v>2995</v>
      </c>
      <c r="F9440" s="83">
        <f t="shared" ca="1" si="392"/>
        <v>65890</v>
      </c>
    </row>
    <row r="9441" spans="1:6" ht="14.1" customHeight="1" x14ac:dyDescent="0.25">
      <c r="A9441" s="94" t="s">
        <v>983</v>
      </c>
      <c r="B9441" s="82" t="str">
        <f t="shared" ca="1" si="393"/>
        <v>Docetaxel</v>
      </c>
      <c r="C9441" s="95" t="str">
        <f>IFERROR(VLOOKUP("UD",'Informacion '!P:Q,2,FALSE),"")</f>
        <v>Unidad</v>
      </c>
      <c r="D9441" s="94">
        <v>30</v>
      </c>
      <c r="E9441" s="84">
        <v>2216.4299999999998</v>
      </c>
      <c r="F9441" s="83">
        <f t="shared" ca="1" si="392"/>
        <v>66492.899999999994</v>
      </c>
    </row>
    <row r="9442" spans="1:6" ht="14.1" customHeight="1" x14ac:dyDescent="0.25">
      <c r="A9442" s="94" t="s">
        <v>983</v>
      </c>
      <c r="B9442" s="82" t="str">
        <f t="shared" ca="1" si="393"/>
        <v>Docetaxel</v>
      </c>
      <c r="C9442" s="95" t="str">
        <f>IFERROR(VLOOKUP("UD",'Informacion '!P:Q,2,FALSE),"")</f>
        <v>Unidad</v>
      </c>
      <c r="D9442" s="94">
        <v>25</v>
      </c>
      <c r="E9442" s="84">
        <v>4500</v>
      </c>
      <c r="F9442" s="83">
        <f t="shared" ca="1" si="392"/>
        <v>112500</v>
      </c>
    </row>
    <row r="9443" spans="1:6" ht="14.1" customHeight="1" x14ac:dyDescent="0.25">
      <c r="A9443" s="94" t="s">
        <v>983</v>
      </c>
      <c r="B9443" s="82" t="str">
        <f t="shared" ca="1" si="393"/>
        <v>Docetaxel</v>
      </c>
      <c r="C9443" s="95" t="str">
        <f>IFERROR(VLOOKUP("UD",'Informacion '!P:Q,2,FALSE),"")</f>
        <v>Unidad</v>
      </c>
      <c r="D9443" s="94">
        <v>36</v>
      </c>
      <c r="E9443" s="84">
        <v>3098.04</v>
      </c>
      <c r="F9443" s="83">
        <f t="shared" ca="1" si="392"/>
        <v>111529.44</v>
      </c>
    </row>
    <row r="9444" spans="1:6" ht="14.1" customHeight="1" x14ac:dyDescent="0.25">
      <c r="A9444" s="94" t="s">
        <v>983</v>
      </c>
      <c r="B9444" s="82" t="str">
        <f t="shared" ca="1" si="393"/>
        <v>Docetaxel</v>
      </c>
      <c r="C9444" s="95" t="str">
        <f>IFERROR(VLOOKUP("UD",'Informacion '!P:Q,2,FALSE),"")</f>
        <v>Unidad</v>
      </c>
      <c r="D9444" s="94">
        <v>18</v>
      </c>
      <c r="E9444" s="84">
        <v>3297.98</v>
      </c>
      <c r="F9444" s="83">
        <f t="shared" ca="1" si="392"/>
        <v>59363.64</v>
      </c>
    </row>
    <row r="9445" spans="1:6" ht="14.1" customHeight="1" x14ac:dyDescent="0.25">
      <c r="A9445" s="94" t="s">
        <v>1883</v>
      </c>
      <c r="B9445" s="82" t="str">
        <f t="shared" ref="B9445:B9455" ca="1" si="394">IFERROR(INDEX(UNSPSCDes,MATCH(INDIRECT(ADDRESS(ROW(),COLUMN()-1,4)),UNSPSCCode,0)),IF(INDIRECT(ADDRESS(ROW(),COLUMN()-1,4))="51111711","Clorhidrato de doxorubicina",""))</f>
        <v>Clorhidrato de doxorubicina</v>
      </c>
      <c r="C9445" s="95" t="str">
        <f>IFERROR(VLOOKUP("UD",'Informacion '!P:Q,2,FALSE),"")</f>
        <v>Unidad</v>
      </c>
      <c r="D9445" s="94">
        <v>49</v>
      </c>
      <c r="E9445" s="84">
        <v>159.09</v>
      </c>
      <c r="F9445" s="83">
        <f t="shared" ca="1" si="392"/>
        <v>7795.41</v>
      </c>
    </row>
    <row r="9446" spans="1:6" ht="14.1" customHeight="1" x14ac:dyDescent="0.25">
      <c r="A9446" s="94" t="s">
        <v>1883</v>
      </c>
      <c r="B9446" s="82" t="str">
        <f t="shared" ca="1" si="394"/>
        <v>Clorhidrato de doxorubicina</v>
      </c>
      <c r="C9446" s="95" t="str">
        <f>IFERROR(VLOOKUP("UD",'Informacion '!P:Q,2,FALSE),"")</f>
        <v>Unidad</v>
      </c>
      <c r="D9446" s="94">
        <v>169</v>
      </c>
      <c r="E9446" s="84">
        <v>172.11</v>
      </c>
      <c r="F9446" s="83">
        <f t="shared" ca="1" si="392"/>
        <v>29086.590000000004</v>
      </c>
    </row>
    <row r="9447" spans="1:6" ht="14.1" customHeight="1" x14ac:dyDescent="0.25">
      <c r="A9447" s="94" t="s">
        <v>1883</v>
      </c>
      <c r="B9447" s="82" t="str">
        <f t="shared" ca="1" si="394"/>
        <v>Clorhidrato de doxorubicina</v>
      </c>
      <c r="C9447" s="95" t="str">
        <f>IFERROR(VLOOKUP("UD",'Informacion '!P:Q,2,FALSE),"")</f>
        <v>Unidad</v>
      </c>
      <c r="D9447" s="94">
        <v>6</v>
      </c>
      <c r="E9447" s="84">
        <v>13672</v>
      </c>
      <c r="F9447" s="83">
        <f t="shared" ca="1" si="392"/>
        <v>82032</v>
      </c>
    </row>
    <row r="9448" spans="1:6" ht="14.1" customHeight="1" x14ac:dyDescent="0.25">
      <c r="A9448" s="94" t="s">
        <v>1883</v>
      </c>
      <c r="B9448" s="82" t="str">
        <f t="shared" ca="1" si="394"/>
        <v>Clorhidrato de doxorubicina</v>
      </c>
      <c r="C9448" s="95" t="str">
        <f>IFERROR(VLOOKUP("UD",'Informacion '!P:Q,2,FALSE),"")</f>
        <v>Unidad</v>
      </c>
      <c r="D9448" s="94">
        <v>2</v>
      </c>
      <c r="E9448" s="84">
        <v>520</v>
      </c>
      <c r="F9448" s="83">
        <f t="shared" ca="1" si="392"/>
        <v>1040</v>
      </c>
    </row>
    <row r="9449" spans="1:6" ht="14.1" customHeight="1" x14ac:dyDescent="0.25">
      <c r="A9449" s="94" t="s">
        <v>1883</v>
      </c>
      <c r="B9449" s="82" t="str">
        <f t="shared" ca="1" si="394"/>
        <v>Clorhidrato de doxorubicina</v>
      </c>
      <c r="C9449" s="95" t="str">
        <f>IFERROR(VLOOKUP("UD",'Informacion '!P:Q,2,FALSE),"")</f>
        <v>Unidad</v>
      </c>
      <c r="D9449" s="94">
        <v>5</v>
      </c>
      <c r="E9449" s="84">
        <v>423.92</v>
      </c>
      <c r="F9449" s="83">
        <f t="shared" ca="1" si="392"/>
        <v>2119.6</v>
      </c>
    </row>
    <row r="9450" spans="1:6" ht="14.1" customHeight="1" x14ac:dyDescent="0.25">
      <c r="A9450" s="94" t="s">
        <v>1883</v>
      </c>
      <c r="B9450" s="82" t="str">
        <f t="shared" ca="1" si="394"/>
        <v>Clorhidrato de doxorubicina</v>
      </c>
      <c r="C9450" s="95" t="str">
        <f>IFERROR(VLOOKUP("UD",'Informacion '!P:Q,2,FALSE),"")</f>
        <v>Unidad</v>
      </c>
      <c r="D9450" s="94">
        <v>110</v>
      </c>
      <c r="E9450" s="84">
        <v>567.94000000000005</v>
      </c>
      <c r="F9450" s="83">
        <f t="shared" ca="1" si="392"/>
        <v>62473.400000000009</v>
      </c>
    </row>
    <row r="9451" spans="1:6" ht="14.1" customHeight="1" x14ac:dyDescent="0.25">
      <c r="A9451" s="94" t="s">
        <v>1883</v>
      </c>
      <c r="B9451" s="82" t="str">
        <f t="shared" ca="1" si="394"/>
        <v>Clorhidrato de doxorubicina</v>
      </c>
      <c r="C9451" s="95" t="str">
        <f>IFERROR(VLOOKUP("UD",'Informacion '!P:Q,2,FALSE),"")</f>
        <v>Unidad</v>
      </c>
      <c r="D9451" s="94">
        <v>57</v>
      </c>
      <c r="E9451" s="84">
        <v>424.99</v>
      </c>
      <c r="F9451" s="83">
        <f t="shared" ca="1" si="392"/>
        <v>24224.43</v>
      </c>
    </row>
    <row r="9452" spans="1:6" ht="14.1" customHeight="1" x14ac:dyDescent="0.25">
      <c r="A9452" s="94" t="s">
        <v>1883</v>
      </c>
      <c r="B9452" s="82" t="str">
        <f t="shared" ca="1" si="394"/>
        <v>Clorhidrato de doxorubicina</v>
      </c>
      <c r="C9452" s="95" t="str">
        <f>IFERROR(VLOOKUP("UD",'Informacion '!P:Q,2,FALSE),"")</f>
        <v>Unidad</v>
      </c>
      <c r="D9452" s="94">
        <v>5</v>
      </c>
      <c r="E9452" s="84">
        <v>465</v>
      </c>
      <c r="F9452" s="83">
        <f t="shared" ca="1" si="392"/>
        <v>2325</v>
      </c>
    </row>
    <row r="9453" spans="1:6" ht="14.1" customHeight="1" x14ac:dyDescent="0.25">
      <c r="A9453" s="94" t="s">
        <v>1883</v>
      </c>
      <c r="B9453" s="82" t="str">
        <f t="shared" ca="1" si="394"/>
        <v>Clorhidrato de doxorubicina</v>
      </c>
      <c r="C9453" s="95" t="str">
        <f>IFERROR(VLOOKUP("UD",'Informacion '!P:Q,2,FALSE),"")</f>
        <v>Unidad</v>
      </c>
      <c r="D9453" s="94">
        <v>49</v>
      </c>
      <c r="E9453" s="84">
        <v>607.89</v>
      </c>
      <c r="F9453" s="83">
        <f t="shared" ca="1" si="392"/>
        <v>29786.61</v>
      </c>
    </row>
    <row r="9454" spans="1:6" ht="14.1" customHeight="1" x14ac:dyDescent="0.25">
      <c r="A9454" s="94" t="s">
        <v>1883</v>
      </c>
      <c r="B9454" s="82" t="str">
        <f t="shared" ca="1" si="394"/>
        <v>Clorhidrato de doxorubicina</v>
      </c>
      <c r="C9454" s="95" t="str">
        <f>IFERROR(VLOOKUP("UD",'Informacion '!P:Q,2,FALSE),"")</f>
        <v>Unidad</v>
      </c>
      <c r="D9454" s="94">
        <v>3</v>
      </c>
      <c r="E9454" s="84">
        <v>8010.87</v>
      </c>
      <c r="F9454" s="83">
        <f t="shared" ca="1" si="392"/>
        <v>24032.61</v>
      </c>
    </row>
    <row r="9455" spans="1:6" ht="14.1" customHeight="1" x14ac:dyDescent="0.25">
      <c r="A9455" s="94" t="s">
        <v>1883</v>
      </c>
      <c r="B9455" s="82" t="str">
        <f t="shared" ca="1" si="394"/>
        <v>Clorhidrato de doxorubicina</v>
      </c>
      <c r="C9455" s="95" t="str">
        <f>IFERROR(VLOOKUP("UD",'Informacion '!P:Q,2,FALSE),"")</f>
        <v>Unidad</v>
      </c>
      <c r="D9455" s="94">
        <v>4</v>
      </c>
      <c r="E9455" s="84">
        <v>540</v>
      </c>
      <c r="F9455" s="83">
        <f t="shared" ca="1" si="392"/>
        <v>2160</v>
      </c>
    </row>
    <row r="9456" spans="1:6" ht="14.1" customHeight="1" x14ac:dyDescent="0.25">
      <c r="A9456" s="94" t="s">
        <v>11437</v>
      </c>
      <c r="B9456" s="82" t="str">
        <f ca="1">IFERROR(INDEX(UNSPSCDes,MATCH(INDIRECT(ADDRESS(ROW(),COLUMN()-1,4)),UNSPSCCode,0)),IF(INDIRECT(ADDRESS(ROW(),COLUMN()-1,4))="51111710","Epirubicina",""))</f>
        <v>Epirubicina</v>
      </c>
      <c r="C9456" s="95" t="str">
        <f>IFERROR(VLOOKUP("UD",'Informacion '!P:Q,2,FALSE),"")</f>
        <v>Unidad</v>
      </c>
      <c r="D9456" s="94">
        <v>4</v>
      </c>
      <c r="E9456" s="84">
        <v>796.62</v>
      </c>
      <c r="F9456" s="83">
        <f t="shared" ref="F9456:F9487" ca="1" si="395">INDIRECT(ADDRESS(ROW(),COLUMN()-2,4))*INDIRECT(ADDRESS(ROW(),COLUMN()-1,4))</f>
        <v>3186.48</v>
      </c>
    </row>
    <row r="9457" spans="1:6" ht="14.1" customHeight="1" x14ac:dyDescent="0.25">
      <c r="A9457" s="94" t="s">
        <v>11437</v>
      </c>
      <c r="B9457" s="82" t="str">
        <f ca="1">IFERROR(INDEX(UNSPSCDes,MATCH(INDIRECT(ADDRESS(ROW(),COLUMN()-1,4)),UNSPSCCode,0)),IF(INDIRECT(ADDRESS(ROW(),COLUMN()-1,4))="51111710","Epirubicina",""))</f>
        <v>Epirubicina</v>
      </c>
      <c r="C9457" s="95" t="str">
        <f>IFERROR(VLOOKUP("UD",'Informacion '!P:Q,2,FALSE),"")</f>
        <v>Unidad</v>
      </c>
      <c r="D9457" s="94">
        <v>12</v>
      </c>
      <c r="E9457" s="84">
        <v>2982.9</v>
      </c>
      <c r="F9457" s="83">
        <f t="shared" ca="1" si="395"/>
        <v>35794.800000000003</v>
      </c>
    </row>
    <row r="9458" spans="1:6" ht="14.1" customHeight="1" x14ac:dyDescent="0.25">
      <c r="A9458" s="94" t="s">
        <v>11115</v>
      </c>
      <c r="B9458" s="82" t="str">
        <f ca="1">IFERROR(INDEX(UNSPSCDes,MATCH(INDIRECT(ADDRESS(ROW(),COLUMN()-1,4)),UNSPSCCode,0)),IF(INDIRECT(ADDRESS(ROW(),COLUMN()-1,4))="51131506","Eritropoyetina",""))</f>
        <v>Eritropoyetina</v>
      </c>
      <c r="C9458" s="95" t="str">
        <f>IFERROR(VLOOKUP("UD",'Informacion '!P:Q,2,FALSE),"")</f>
        <v>Unidad</v>
      </c>
      <c r="D9458" s="94">
        <v>19</v>
      </c>
      <c r="E9458" s="84">
        <v>690</v>
      </c>
      <c r="F9458" s="83">
        <f t="shared" ca="1" si="395"/>
        <v>13110</v>
      </c>
    </row>
    <row r="9459" spans="1:6" ht="14.1" customHeight="1" x14ac:dyDescent="0.25">
      <c r="A9459" s="94" t="s">
        <v>11115</v>
      </c>
      <c r="B9459" s="82" t="str">
        <f ca="1">IFERROR(INDEX(UNSPSCDes,MATCH(INDIRECT(ADDRESS(ROW(),COLUMN()-1,4)),UNSPSCCode,0)),IF(INDIRECT(ADDRESS(ROW(),COLUMN()-1,4))="51131506","Eritropoyetina",""))</f>
        <v>Eritropoyetina</v>
      </c>
      <c r="C9459" s="95" t="str">
        <f>IFERROR(VLOOKUP("UD",'Informacion '!P:Q,2,FALSE),"")</f>
        <v>Unidad</v>
      </c>
      <c r="D9459" s="94">
        <v>71</v>
      </c>
      <c r="E9459" s="84">
        <v>939.49</v>
      </c>
      <c r="F9459" s="83">
        <f t="shared" ca="1" si="395"/>
        <v>66703.789999999994</v>
      </c>
    </row>
    <row r="9460" spans="1:6" ht="14.1" customHeight="1" x14ac:dyDescent="0.25">
      <c r="A9460" s="94" t="s">
        <v>11115</v>
      </c>
      <c r="B9460" s="82" t="str">
        <f ca="1">IFERROR(INDEX(UNSPSCDes,MATCH(INDIRECT(ADDRESS(ROW(),COLUMN()-1,4)),UNSPSCCode,0)),IF(INDIRECT(ADDRESS(ROW(),COLUMN()-1,4))="51131506","Eritropoyetina",""))</f>
        <v>Eritropoyetina</v>
      </c>
      <c r="C9460" s="95" t="str">
        <f>IFERROR(VLOOKUP("UD",'Informacion '!P:Q,2,FALSE),"")</f>
        <v>Unidad</v>
      </c>
      <c r="D9460" s="94">
        <v>2</v>
      </c>
      <c r="E9460" s="84">
        <v>6800</v>
      </c>
      <c r="F9460" s="83">
        <f t="shared" ca="1" si="395"/>
        <v>13600</v>
      </c>
    </row>
    <row r="9461" spans="1:6" ht="14.1" customHeight="1" x14ac:dyDescent="0.25">
      <c r="A9461" s="94" t="s">
        <v>11115</v>
      </c>
      <c r="B9461" s="82" t="str">
        <f ca="1">IFERROR(INDEX(UNSPSCDes,MATCH(INDIRECT(ADDRESS(ROW(),COLUMN()-1,4)),UNSPSCCode,0)),IF(INDIRECT(ADDRESS(ROW(),COLUMN()-1,4))="51131506","Eritropoyetina",""))</f>
        <v>Eritropoyetina</v>
      </c>
      <c r="C9461" s="95" t="str">
        <f>IFERROR(VLOOKUP("UD",'Informacion '!P:Q,2,FALSE),"")</f>
        <v>Unidad</v>
      </c>
      <c r="D9461" s="94">
        <v>96</v>
      </c>
      <c r="E9461" s="84">
        <v>320</v>
      </c>
      <c r="F9461" s="83">
        <f t="shared" ca="1" si="395"/>
        <v>30720</v>
      </c>
    </row>
    <row r="9462" spans="1:6" ht="14.1" customHeight="1" x14ac:dyDescent="0.25">
      <c r="A9462" s="94" t="s">
        <v>10087</v>
      </c>
      <c r="B9462" s="82" t="str">
        <f ca="1">IFERROR(INDEX(UNSPSCDes,MATCH(INDIRECT(ADDRESS(ROW(),COLUMN()-1,4)),UNSPSCCode,0)),IF(INDIRECT(ADDRESS(ROW(),COLUMN()-1,4))="51111614","Etopósido",""))</f>
        <v>Etopósido</v>
      </c>
      <c r="C9462" s="95" t="str">
        <f>IFERROR(VLOOKUP("UD",'Informacion '!P:Q,2,FALSE),"")</f>
        <v>Unidad</v>
      </c>
      <c r="D9462" s="94">
        <v>12</v>
      </c>
      <c r="E9462" s="84">
        <v>522</v>
      </c>
      <c r="F9462" s="83">
        <f t="shared" ca="1" si="395"/>
        <v>6264</v>
      </c>
    </row>
    <row r="9463" spans="1:6" ht="14.1" customHeight="1" x14ac:dyDescent="0.25">
      <c r="A9463" s="94" t="s">
        <v>10087</v>
      </c>
      <c r="B9463" s="82" t="str">
        <f ca="1">IFERROR(INDEX(UNSPSCDes,MATCH(INDIRECT(ADDRESS(ROW(),COLUMN()-1,4)),UNSPSCCode,0)),IF(INDIRECT(ADDRESS(ROW(),COLUMN()-1,4))="51111614","Etopósido",""))</f>
        <v>Etopósido</v>
      </c>
      <c r="C9463" s="95" t="str">
        <f>IFERROR(VLOOKUP("UD",'Informacion '!P:Q,2,FALSE),"")</f>
        <v>Unidad</v>
      </c>
      <c r="D9463" s="94">
        <v>67</v>
      </c>
      <c r="E9463" s="84">
        <v>200.89</v>
      </c>
      <c r="F9463" s="83">
        <f t="shared" ca="1" si="395"/>
        <v>13459.63</v>
      </c>
    </row>
    <row r="9464" spans="1:6" ht="14.1" customHeight="1" x14ac:dyDescent="0.25">
      <c r="A9464" s="94" t="s">
        <v>10087</v>
      </c>
      <c r="B9464" s="82" t="str">
        <f ca="1">IFERROR(INDEX(UNSPSCDes,MATCH(INDIRECT(ADDRESS(ROW(),COLUMN()-1,4)),UNSPSCCode,0)),IF(INDIRECT(ADDRESS(ROW(),COLUMN()-1,4))="51111614","Etopósido",""))</f>
        <v>Etopósido</v>
      </c>
      <c r="C9464" s="95" t="str">
        <f>IFERROR(VLOOKUP("UD",'Informacion '!P:Q,2,FALSE),"")</f>
        <v>Unidad</v>
      </c>
      <c r="D9464" s="94">
        <v>5</v>
      </c>
      <c r="E9464" s="84">
        <v>200</v>
      </c>
      <c r="F9464" s="83">
        <f t="shared" ca="1" si="395"/>
        <v>1000</v>
      </c>
    </row>
    <row r="9465" spans="1:6" ht="14.1" customHeight="1" x14ac:dyDescent="0.25">
      <c r="A9465" s="94" t="s">
        <v>4544</v>
      </c>
      <c r="B9465" s="82" t="str">
        <f ca="1">IFERROR(INDEX(UNSPSCDes,MATCH(INDIRECT(ADDRESS(ROW(),COLUMN()-1,4)),UNSPSCCode,0)),IF(INDIRECT(ADDRESS(ROW(),COLUMN()-1,4))="51201802","Filgrastim",""))</f>
        <v>Filgrastim</v>
      </c>
      <c r="C9465" s="95" t="str">
        <f>IFERROR(VLOOKUP("UD",'Informacion '!P:Q,2,FALSE),"")</f>
        <v>Unidad</v>
      </c>
      <c r="D9465" s="94">
        <v>5</v>
      </c>
      <c r="E9465" s="84">
        <v>1701.7</v>
      </c>
      <c r="F9465" s="83">
        <f t="shared" ca="1" si="395"/>
        <v>8508.5</v>
      </c>
    </row>
    <row r="9466" spans="1:6" ht="14.1" customHeight="1" x14ac:dyDescent="0.25">
      <c r="A9466" s="94" t="s">
        <v>14363</v>
      </c>
      <c r="B9466" s="82" t="str">
        <f ca="1">IFERROR(INDEX(UNSPSCDes,MATCH(INDIRECT(ADDRESS(ROW(),COLUMN()-1,4)),UNSPSCCode,0)),IF(INDIRECT(ADDRESS(ROW(),COLUMN()-1,4))="51111604","Fosfato de fludarabina",""))</f>
        <v>Fosfato de fludarabina</v>
      </c>
      <c r="C9466" s="95" t="str">
        <f>IFERROR(VLOOKUP("UD",'Informacion '!P:Q,2,FALSE),"")</f>
        <v>Unidad</v>
      </c>
      <c r="D9466" s="94">
        <v>25</v>
      </c>
      <c r="E9466" s="84">
        <v>3345.56</v>
      </c>
      <c r="F9466" s="83">
        <f t="shared" ca="1" si="395"/>
        <v>83639</v>
      </c>
    </row>
    <row r="9467" spans="1:6" ht="14.1" customHeight="1" x14ac:dyDescent="0.25">
      <c r="A9467" s="94" t="s">
        <v>13176</v>
      </c>
      <c r="B9467" s="82" t="str">
        <f ca="1">IFERROR(INDEX(UNSPSCDes,MATCH(INDIRECT(ADDRESS(ROW(),COLUMN()-1,4)),UNSPSCCode,0)),IF(INDIRECT(ADDRESS(ROW(),COLUMN()-1,4))="51111605","Fluorouracilo",""))</f>
        <v>Fluorouracilo</v>
      </c>
      <c r="C9467" s="95" t="str">
        <f>IFERROR(VLOOKUP("UD",'Informacion '!P:Q,2,FALSE),"")</f>
        <v>Unidad</v>
      </c>
      <c r="D9467" s="94">
        <v>8</v>
      </c>
      <c r="E9467" s="84">
        <v>125</v>
      </c>
      <c r="F9467" s="83">
        <f t="shared" ca="1" si="395"/>
        <v>1000</v>
      </c>
    </row>
    <row r="9468" spans="1:6" ht="14.1" customHeight="1" x14ac:dyDescent="0.25">
      <c r="A9468" s="94" t="s">
        <v>14143</v>
      </c>
      <c r="B9468" s="82" t="str">
        <f t="shared" ref="B9468:B9476" ca="1" si="396">IFERROR(INDEX(UNSPSCDes,MATCH(INDIRECT(ADDRESS(ROW(),COLUMN()-1,4)),UNSPSCCode,0)),IF(INDIRECT(ADDRESS(ROW(),COLUMN()-1,4))="51111617","Clorhidrato de gemcitabina",""))</f>
        <v>Clorhidrato de gemcitabina</v>
      </c>
      <c r="C9468" s="95" t="str">
        <f>IFERROR(VLOOKUP("UD",'Informacion '!P:Q,2,FALSE),"")</f>
        <v>Unidad</v>
      </c>
      <c r="D9468" s="94">
        <v>14</v>
      </c>
      <c r="E9468" s="84">
        <v>2479</v>
      </c>
      <c r="F9468" s="83">
        <f t="shared" ca="1" si="395"/>
        <v>34706</v>
      </c>
    </row>
    <row r="9469" spans="1:6" ht="14.1" customHeight="1" x14ac:dyDescent="0.25">
      <c r="A9469" s="94" t="s">
        <v>14143</v>
      </c>
      <c r="B9469" s="82" t="str">
        <f t="shared" ca="1" si="396"/>
        <v>Clorhidrato de gemcitabina</v>
      </c>
      <c r="C9469" s="95" t="str">
        <f>IFERROR(VLOOKUP("UD",'Informacion '!P:Q,2,FALSE),"")</f>
        <v>Unidad</v>
      </c>
      <c r="D9469" s="94">
        <v>26</v>
      </c>
      <c r="E9469" s="84">
        <v>3900</v>
      </c>
      <c r="F9469" s="83">
        <f t="shared" ca="1" si="395"/>
        <v>101400</v>
      </c>
    </row>
    <row r="9470" spans="1:6" ht="14.1" customHeight="1" x14ac:dyDescent="0.25">
      <c r="A9470" s="94" t="s">
        <v>14143</v>
      </c>
      <c r="B9470" s="82" t="str">
        <f t="shared" ca="1" si="396"/>
        <v>Clorhidrato de gemcitabina</v>
      </c>
      <c r="C9470" s="95" t="str">
        <f>IFERROR(VLOOKUP("UD",'Informacion '!P:Q,2,FALSE),"")</f>
        <v>Unidad</v>
      </c>
      <c r="D9470" s="94">
        <v>3</v>
      </c>
      <c r="E9470" s="84">
        <v>2479</v>
      </c>
      <c r="F9470" s="83">
        <f t="shared" ca="1" si="395"/>
        <v>7437</v>
      </c>
    </row>
    <row r="9471" spans="1:6" ht="14.1" customHeight="1" x14ac:dyDescent="0.25">
      <c r="A9471" s="94" t="s">
        <v>14143</v>
      </c>
      <c r="B9471" s="82" t="str">
        <f t="shared" ca="1" si="396"/>
        <v>Clorhidrato de gemcitabina</v>
      </c>
      <c r="C9471" s="95" t="str">
        <f>IFERROR(VLOOKUP("UD",'Informacion '!P:Q,2,FALSE),"")</f>
        <v>Unidad</v>
      </c>
      <c r="D9471" s="94">
        <v>5</v>
      </c>
      <c r="E9471" s="84">
        <v>4583.33</v>
      </c>
      <c r="F9471" s="83">
        <f t="shared" ca="1" si="395"/>
        <v>22916.65</v>
      </c>
    </row>
    <row r="9472" spans="1:6" ht="14.1" customHeight="1" x14ac:dyDescent="0.25">
      <c r="A9472" s="94" t="s">
        <v>14143</v>
      </c>
      <c r="B9472" s="82" t="str">
        <f t="shared" ca="1" si="396"/>
        <v>Clorhidrato de gemcitabina</v>
      </c>
      <c r="C9472" s="95" t="str">
        <f>IFERROR(VLOOKUP("UD",'Informacion '!P:Q,2,FALSE),"")</f>
        <v>Unidad</v>
      </c>
      <c r="D9472" s="94">
        <v>7</v>
      </c>
      <c r="E9472" s="84">
        <v>495.8</v>
      </c>
      <c r="F9472" s="83">
        <f t="shared" ca="1" si="395"/>
        <v>3470.6</v>
      </c>
    </row>
    <row r="9473" spans="1:6" ht="14.1" customHeight="1" x14ac:dyDescent="0.25">
      <c r="A9473" s="94" t="s">
        <v>14143</v>
      </c>
      <c r="B9473" s="82" t="str">
        <f t="shared" ca="1" si="396"/>
        <v>Clorhidrato de gemcitabina</v>
      </c>
      <c r="C9473" s="95" t="str">
        <f>IFERROR(VLOOKUP("UD",'Informacion '!P:Q,2,FALSE),"")</f>
        <v>Unidad</v>
      </c>
      <c r="D9473" s="94">
        <v>22</v>
      </c>
      <c r="E9473" s="84">
        <v>979</v>
      </c>
      <c r="F9473" s="83">
        <f t="shared" ca="1" si="395"/>
        <v>21538</v>
      </c>
    </row>
    <row r="9474" spans="1:6" ht="14.1" customHeight="1" x14ac:dyDescent="0.25">
      <c r="A9474" s="94" t="s">
        <v>14143</v>
      </c>
      <c r="B9474" s="82" t="str">
        <f t="shared" ca="1" si="396"/>
        <v>Clorhidrato de gemcitabina</v>
      </c>
      <c r="C9474" s="95" t="str">
        <f>IFERROR(VLOOKUP("UD",'Informacion '!P:Q,2,FALSE),"")</f>
        <v>Unidad</v>
      </c>
      <c r="D9474" s="94">
        <v>3</v>
      </c>
      <c r="E9474" s="84">
        <v>2995</v>
      </c>
      <c r="F9474" s="83">
        <f t="shared" ca="1" si="395"/>
        <v>8985</v>
      </c>
    </row>
    <row r="9475" spans="1:6" ht="14.1" customHeight="1" x14ac:dyDescent="0.25">
      <c r="A9475" s="94" t="s">
        <v>14143</v>
      </c>
      <c r="B9475" s="82" t="str">
        <f t="shared" ca="1" si="396"/>
        <v>Clorhidrato de gemcitabina</v>
      </c>
      <c r="C9475" s="95" t="str">
        <f>IFERROR(VLOOKUP("UD",'Informacion '!P:Q,2,FALSE),"")</f>
        <v>Unidad</v>
      </c>
      <c r="D9475" s="94">
        <v>19</v>
      </c>
      <c r="E9475" s="84">
        <v>450</v>
      </c>
      <c r="F9475" s="83">
        <f t="shared" ca="1" si="395"/>
        <v>8550</v>
      </c>
    </row>
    <row r="9476" spans="1:6" ht="14.1" customHeight="1" x14ac:dyDescent="0.25">
      <c r="A9476" s="94" t="s">
        <v>14143</v>
      </c>
      <c r="B9476" s="82" t="str">
        <f t="shared" ca="1" si="396"/>
        <v>Clorhidrato de gemcitabina</v>
      </c>
      <c r="C9476" s="95" t="str">
        <f>IFERROR(VLOOKUP("UD",'Informacion '!P:Q,2,FALSE),"")</f>
        <v>Unidad</v>
      </c>
      <c r="D9476" s="94">
        <v>7</v>
      </c>
      <c r="E9476" s="84">
        <v>941.67</v>
      </c>
      <c r="F9476" s="83">
        <f t="shared" ca="1" si="395"/>
        <v>6591.69</v>
      </c>
    </row>
    <row r="9477" spans="1:6" ht="14.1" customHeight="1" x14ac:dyDescent="0.25">
      <c r="A9477" s="94" t="s">
        <v>9538</v>
      </c>
      <c r="B9477" s="82" t="str">
        <f ca="1">IFERROR(INDEX(UNSPSCDes,MATCH(INDIRECT(ADDRESS(ROW(),COLUMN()-1,4)),UNSPSCCode,0)),IF(INDIRECT(ADDRESS(ROW(),COLUMN()-1,4))="51171802","Clorhidrato de granisetrón",""))</f>
        <v>Clorhidrato de granisetrón</v>
      </c>
      <c r="C9477" s="95" t="str">
        <f>IFERROR(VLOOKUP("UD",'Informacion '!P:Q,2,FALSE),"")</f>
        <v>Unidad</v>
      </c>
      <c r="D9477" s="94">
        <v>491</v>
      </c>
      <c r="E9477" s="84">
        <v>420.01</v>
      </c>
      <c r="F9477" s="83">
        <f t="shared" ca="1" si="395"/>
        <v>206224.91</v>
      </c>
    </row>
    <row r="9478" spans="1:6" ht="14.1" customHeight="1" x14ac:dyDescent="0.25">
      <c r="A9478" s="94" t="s">
        <v>9538</v>
      </c>
      <c r="B9478" s="82" t="str">
        <f ca="1">IFERROR(INDEX(UNSPSCDes,MATCH(INDIRECT(ADDRESS(ROW(),COLUMN()-1,4)),UNSPSCCode,0)),IF(INDIRECT(ADDRESS(ROW(),COLUMN()-1,4))="51171802","Clorhidrato de granisetrón",""))</f>
        <v>Clorhidrato de granisetrón</v>
      </c>
      <c r="C9478" s="95" t="str">
        <f>IFERROR(VLOOKUP("UD",'Informacion '!P:Q,2,FALSE),"")</f>
        <v>Unidad</v>
      </c>
      <c r="D9478" s="94">
        <v>84</v>
      </c>
      <c r="E9478" s="84">
        <v>250</v>
      </c>
      <c r="F9478" s="83">
        <f t="shared" ca="1" si="395"/>
        <v>21000</v>
      </c>
    </row>
    <row r="9479" spans="1:6" ht="14.1" customHeight="1" x14ac:dyDescent="0.25">
      <c r="A9479" s="94" t="s">
        <v>9538</v>
      </c>
      <c r="B9479" s="82" t="str">
        <f ca="1">IFERROR(INDEX(UNSPSCDes,MATCH(INDIRECT(ADDRESS(ROW(),COLUMN()-1,4)),UNSPSCCode,0)),IF(INDIRECT(ADDRESS(ROW(),COLUMN()-1,4))="51171802","Clorhidrato de granisetrón",""))</f>
        <v>Clorhidrato de granisetrón</v>
      </c>
      <c r="C9479" s="95" t="str">
        <f>IFERROR(VLOOKUP("UD",'Informacion '!P:Q,2,FALSE),"")</f>
        <v>Unidad</v>
      </c>
      <c r="D9479" s="94">
        <v>207</v>
      </c>
      <c r="E9479" s="84">
        <v>420</v>
      </c>
      <c r="F9479" s="83">
        <f t="shared" ca="1" si="395"/>
        <v>86940</v>
      </c>
    </row>
    <row r="9480" spans="1:6" ht="14.1" customHeight="1" x14ac:dyDescent="0.25">
      <c r="A9480" s="94" t="s">
        <v>15292</v>
      </c>
      <c r="B9480" s="82" t="str">
        <f ca="1">IFERROR(INDEX(UNSPSCDes,MATCH(INDIRECT(ADDRESS(ROW(),COLUMN()-1,4)),UNSPSCCode,0)),IF(INDIRECT(ADDRESS(ROW(),COLUMN()-1,4))="51111806","Clorhidrato de irinotecan",""))</f>
        <v>Clorhidrato de irinotecan</v>
      </c>
      <c r="C9480" s="95" t="str">
        <f>IFERROR(VLOOKUP("UD",'Informacion '!P:Q,2,FALSE),"")</f>
        <v>Unidad</v>
      </c>
      <c r="D9480" s="94">
        <v>7</v>
      </c>
      <c r="E9480" s="84">
        <v>2654.67</v>
      </c>
      <c r="F9480" s="83">
        <f t="shared" ca="1" si="395"/>
        <v>18582.690000000002</v>
      </c>
    </row>
    <row r="9481" spans="1:6" ht="14.1" customHeight="1" x14ac:dyDescent="0.25">
      <c r="A9481" s="94" t="s">
        <v>9065</v>
      </c>
      <c r="B9481" s="82" t="str">
        <f ca="1">IFERROR(INDEX(UNSPSCDes,MATCH(INDIRECT(ADDRESS(ROW(),COLUMN()-1,4)),UNSPSCCode,0)),IF(INDIRECT(ADDRESS(ROW(),COLUMN()-1,4))="51111820","Letrozol",""))</f>
        <v>Letrozol</v>
      </c>
      <c r="C9481" s="95" t="str">
        <f>IFERROR(VLOOKUP("UD",'Informacion '!P:Q,2,FALSE),"")</f>
        <v>Unidad</v>
      </c>
      <c r="D9481" s="94">
        <v>157</v>
      </c>
      <c r="E9481" s="84">
        <v>46.67</v>
      </c>
      <c r="F9481" s="83">
        <f t="shared" ca="1" si="395"/>
        <v>7327.1900000000005</v>
      </c>
    </row>
    <row r="9482" spans="1:6" ht="14.1" customHeight="1" x14ac:dyDescent="0.25">
      <c r="A9482" s="94" t="s">
        <v>693</v>
      </c>
      <c r="B9482" s="82" t="str">
        <f ca="1">IFERROR(INDEX(UNSPSCDes,MATCH(INDIRECT(ADDRESS(ROW(),COLUMN()-1,4)),UNSPSCCode,0)),IF(INDIRECT(ADDRESS(ROW(),COLUMN()-1,4))="51111716","Rituximab",""))</f>
        <v>Rituximab</v>
      </c>
      <c r="C9482" s="95" t="str">
        <f>IFERROR(VLOOKUP("UD",'Informacion '!P:Q,2,FALSE),"")</f>
        <v>Unidad</v>
      </c>
      <c r="D9482" s="94">
        <v>104</v>
      </c>
      <c r="E9482" s="84">
        <v>17207</v>
      </c>
      <c r="F9482" s="83">
        <f t="shared" ca="1" si="395"/>
        <v>1789528</v>
      </c>
    </row>
    <row r="9483" spans="1:6" ht="14.1" customHeight="1" x14ac:dyDescent="0.25">
      <c r="A9483" s="94" t="s">
        <v>693</v>
      </c>
      <c r="B9483" s="82" t="str">
        <f ca="1">IFERROR(INDEX(UNSPSCDes,MATCH(INDIRECT(ADDRESS(ROW(),COLUMN()-1,4)),UNSPSCCode,0)),IF(INDIRECT(ADDRESS(ROW(),COLUMN()-1,4))="51111716","Rituximab",""))</f>
        <v>Rituximab</v>
      </c>
      <c r="C9483" s="95" t="str">
        <f>IFERROR(VLOOKUP("UD",'Informacion '!P:Q,2,FALSE),"")</f>
        <v>Unidad</v>
      </c>
      <c r="D9483" s="94">
        <v>13</v>
      </c>
      <c r="E9483" s="84">
        <v>107468</v>
      </c>
      <c r="F9483" s="83">
        <f t="shared" ca="1" si="395"/>
        <v>1397084</v>
      </c>
    </row>
    <row r="9484" spans="1:6" ht="14.1" customHeight="1" x14ac:dyDescent="0.25">
      <c r="A9484" s="94" t="s">
        <v>4050</v>
      </c>
      <c r="B9484" s="82" t="str">
        <f ca="1">IFERROR(INDEX(UNSPSCDes,MATCH(INDIRECT(ADDRESS(ROW(),COLUMN()-1,4)),UNSPSCCode,0)),IF(INDIRECT(ADDRESS(ROW(),COLUMN()-1,4))="51181806","Acetato de megestrol",""))</f>
        <v>Acetato de megestrol</v>
      </c>
      <c r="C9484" s="95" t="str">
        <f>IFERROR(VLOOKUP("UD",'Informacion '!P:Q,2,FALSE),"")</f>
        <v>Unidad</v>
      </c>
      <c r="D9484" s="94">
        <v>6</v>
      </c>
      <c r="E9484" s="84">
        <v>1500</v>
      </c>
      <c r="F9484" s="83">
        <f t="shared" ca="1" si="395"/>
        <v>9000</v>
      </c>
    </row>
    <row r="9485" spans="1:6" ht="14.1" customHeight="1" x14ac:dyDescent="0.25">
      <c r="A9485" s="94" t="s">
        <v>11400</v>
      </c>
      <c r="B9485" s="82" t="str">
        <f ca="1">IFERROR(INDEX(UNSPSCDes,MATCH(INDIRECT(ADDRESS(ROW(),COLUMN()-1,4)),UNSPSCCode,0)),IF(INDIRECT(ADDRESS(ROW(),COLUMN()-1,4))="51111609","Mercaptopurina",""))</f>
        <v>Mercaptopurina</v>
      </c>
      <c r="C9485" s="95" t="str">
        <f>IFERROR(VLOOKUP("UD",'Informacion '!P:Q,2,FALSE),"")</f>
        <v>Unidad</v>
      </c>
      <c r="D9485" s="94">
        <v>62</v>
      </c>
      <c r="E9485" s="84">
        <v>14.82</v>
      </c>
      <c r="F9485" s="83">
        <f t="shared" ca="1" si="395"/>
        <v>918.84</v>
      </c>
    </row>
    <row r="9486" spans="1:6" ht="14.1" customHeight="1" x14ac:dyDescent="0.25">
      <c r="A9486" s="94" t="s">
        <v>16400</v>
      </c>
      <c r="B9486" s="82" t="str">
        <f ca="1">IFERROR(INDEX(UNSPSCDes,MATCH(INDIRECT(ADDRESS(ROW(),COLUMN()-1,4)),UNSPSCCode,0)),IF(INDIRECT(ADDRESS(ROW(),COLUMN()-1,4))="51111610","Metotrexato",""))</f>
        <v>Metotrexato</v>
      </c>
      <c r="C9486" s="95" t="str">
        <f>IFERROR(VLOOKUP("UD",'Informacion '!P:Q,2,FALSE),"")</f>
        <v>Unidad</v>
      </c>
      <c r="D9486" s="94">
        <v>8</v>
      </c>
      <c r="E9486" s="84">
        <v>394.19</v>
      </c>
      <c r="F9486" s="83">
        <f t="shared" ca="1" si="395"/>
        <v>3153.52</v>
      </c>
    </row>
    <row r="9487" spans="1:6" ht="14.1" customHeight="1" x14ac:dyDescent="0.25">
      <c r="A9487" s="94" t="s">
        <v>7570</v>
      </c>
      <c r="B9487" s="82" t="str">
        <f t="shared" ref="B9487:B9492" ca="1" si="397">IFERROR(INDEX(UNSPSCDes,MATCH(INDIRECT(ADDRESS(ROW(),COLUMN()-1,4)),UNSPSCCode,0)),IF(INDIRECT(ADDRESS(ROW(),COLUMN()-1,4))="51171816","Ondansetrón",""))</f>
        <v>Ondansetrón</v>
      </c>
      <c r="C9487" s="95" t="str">
        <f>IFERROR(VLOOKUP("UD",'Informacion '!P:Q,2,FALSE),"")</f>
        <v>Unidad</v>
      </c>
      <c r="D9487" s="94">
        <v>24</v>
      </c>
      <c r="E9487" s="84">
        <v>33</v>
      </c>
      <c r="F9487" s="83">
        <f t="shared" ca="1" si="395"/>
        <v>792</v>
      </c>
    </row>
    <row r="9488" spans="1:6" ht="14.1" customHeight="1" x14ac:dyDescent="0.25">
      <c r="A9488" s="94" t="s">
        <v>7570</v>
      </c>
      <c r="B9488" s="82" t="str">
        <f t="shared" ca="1" si="397"/>
        <v>Ondansetrón</v>
      </c>
      <c r="C9488" s="95" t="str">
        <f>IFERROR(VLOOKUP("UD",'Informacion '!P:Q,2,FALSE),"")</f>
        <v>Unidad</v>
      </c>
      <c r="D9488" s="94">
        <v>9</v>
      </c>
      <c r="E9488" s="84">
        <v>56.25</v>
      </c>
      <c r="F9488" s="83">
        <f t="shared" ref="F9488:F9518" ca="1" si="398">INDIRECT(ADDRESS(ROW(),COLUMN()-2,4))*INDIRECT(ADDRESS(ROW(),COLUMN()-1,4))</f>
        <v>506.25</v>
      </c>
    </row>
    <row r="9489" spans="1:6" ht="14.1" customHeight="1" x14ac:dyDescent="0.25">
      <c r="A9489" s="94" t="s">
        <v>7570</v>
      </c>
      <c r="B9489" s="82" t="str">
        <f t="shared" ca="1" si="397"/>
        <v>Ondansetrón</v>
      </c>
      <c r="C9489" s="95" t="str">
        <f>IFERROR(VLOOKUP("UD",'Informacion '!P:Q,2,FALSE),"")</f>
        <v>Unidad</v>
      </c>
      <c r="D9489" s="94">
        <v>28</v>
      </c>
      <c r="E9489" s="84">
        <v>40</v>
      </c>
      <c r="F9489" s="83">
        <f t="shared" ca="1" si="398"/>
        <v>1120</v>
      </c>
    </row>
    <row r="9490" spans="1:6" ht="14.1" customHeight="1" x14ac:dyDescent="0.25">
      <c r="A9490" s="94" t="s">
        <v>7570</v>
      </c>
      <c r="B9490" s="82" t="str">
        <f t="shared" ca="1" si="397"/>
        <v>Ondansetrón</v>
      </c>
      <c r="C9490" s="95" t="str">
        <f>IFERROR(VLOOKUP("UD",'Informacion '!P:Q,2,FALSE),"")</f>
        <v>Unidad</v>
      </c>
      <c r="D9490" s="94">
        <v>505</v>
      </c>
      <c r="E9490" s="84">
        <v>139.29</v>
      </c>
      <c r="F9490" s="83">
        <f t="shared" ca="1" si="398"/>
        <v>70341.45</v>
      </c>
    </row>
    <row r="9491" spans="1:6" ht="14.1" customHeight="1" x14ac:dyDescent="0.25">
      <c r="A9491" s="94" t="s">
        <v>7570</v>
      </c>
      <c r="B9491" s="82" t="str">
        <f t="shared" ca="1" si="397"/>
        <v>Ondansetrón</v>
      </c>
      <c r="C9491" s="95" t="str">
        <f>IFERROR(VLOOKUP("UD",'Informacion '!P:Q,2,FALSE),"")</f>
        <v>Unidad</v>
      </c>
      <c r="D9491" s="94">
        <v>89</v>
      </c>
      <c r="E9491" s="84">
        <v>75</v>
      </c>
      <c r="F9491" s="83">
        <f t="shared" ca="1" si="398"/>
        <v>6675</v>
      </c>
    </row>
    <row r="9492" spans="1:6" ht="14.1" customHeight="1" x14ac:dyDescent="0.25">
      <c r="A9492" s="94" t="s">
        <v>7570</v>
      </c>
      <c r="B9492" s="82" t="str">
        <f t="shared" ca="1" si="397"/>
        <v>Ondansetrón</v>
      </c>
      <c r="C9492" s="95" t="str">
        <f>IFERROR(VLOOKUP("UD",'Informacion '!P:Q,2,FALSE),"")</f>
        <v>Unidad</v>
      </c>
      <c r="D9492" s="94">
        <v>148</v>
      </c>
      <c r="E9492" s="84">
        <v>49.5</v>
      </c>
      <c r="F9492" s="83">
        <f t="shared" ca="1" si="398"/>
        <v>7326</v>
      </c>
    </row>
    <row r="9493" spans="1:6" ht="14.1" customHeight="1" x14ac:dyDescent="0.25">
      <c r="A9493" s="94" t="s">
        <v>10585</v>
      </c>
      <c r="B9493" s="82" t="str">
        <f ca="1">IFERROR(INDEX(UNSPSCDes,MATCH(INDIRECT(ADDRESS(ROW(),COLUMN()-1,4)),UNSPSCCode,0)),IF(INDIRECT(ADDRESS(ROW(),COLUMN()-1,4))="51111506","Cisplatino",""))</f>
        <v>Cisplatino</v>
      </c>
      <c r="C9493" s="95" t="str">
        <f>IFERROR(VLOOKUP("UD",'Informacion '!P:Q,2,FALSE),"")</f>
        <v>Unidad</v>
      </c>
      <c r="D9493" s="94">
        <v>2</v>
      </c>
      <c r="E9493" s="84">
        <v>3732</v>
      </c>
      <c r="F9493" s="83">
        <f t="shared" ca="1" si="398"/>
        <v>7464</v>
      </c>
    </row>
    <row r="9494" spans="1:6" ht="14.1" customHeight="1" x14ac:dyDescent="0.25">
      <c r="A9494" s="94" t="s">
        <v>10585</v>
      </c>
      <c r="B9494" s="82" t="str">
        <f ca="1">IFERROR(INDEX(UNSPSCDes,MATCH(INDIRECT(ADDRESS(ROW(),COLUMN()-1,4)),UNSPSCCode,0)),IF(INDIRECT(ADDRESS(ROW(),COLUMN()-1,4))="51111506","Cisplatino",""))</f>
        <v>Cisplatino</v>
      </c>
      <c r="C9494" s="95" t="str">
        <f>IFERROR(VLOOKUP("UD",'Informacion '!P:Q,2,FALSE),"")</f>
        <v>Unidad</v>
      </c>
      <c r="D9494" s="94">
        <v>67</v>
      </c>
      <c r="E9494" s="84">
        <v>2001.14</v>
      </c>
      <c r="F9494" s="83">
        <f t="shared" ca="1" si="398"/>
        <v>134076.38</v>
      </c>
    </row>
    <row r="9495" spans="1:6" ht="14.1" customHeight="1" x14ac:dyDescent="0.25">
      <c r="A9495" s="94" t="s">
        <v>10585</v>
      </c>
      <c r="B9495" s="82" t="str">
        <f ca="1">IFERROR(INDEX(UNSPSCDes,MATCH(INDIRECT(ADDRESS(ROW(),COLUMN()-1,4)),UNSPSCCode,0)),IF(INDIRECT(ADDRESS(ROW(),COLUMN()-1,4))="51111506","Cisplatino",""))</f>
        <v>Cisplatino</v>
      </c>
      <c r="C9495" s="95" t="str">
        <f>IFERROR(VLOOKUP("UD",'Informacion '!P:Q,2,FALSE),"")</f>
        <v>Unidad</v>
      </c>
      <c r="D9495" s="94">
        <v>12</v>
      </c>
      <c r="E9495" s="84">
        <v>1600</v>
      </c>
      <c r="F9495" s="83">
        <f t="shared" ca="1" si="398"/>
        <v>19200</v>
      </c>
    </row>
    <row r="9496" spans="1:6" ht="14.1" customHeight="1" x14ac:dyDescent="0.25">
      <c r="A9496" s="94" t="s">
        <v>10585</v>
      </c>
      <c r="B9496" s="82" t="str">
        <f ca="1">IFERROR(INDEX(UNSPSCDes,MATCH(INDIRECT(ADDRESS(ROW(),COLUMN()-1,4)),UNSPSCCode,0)),IF(INDIRECT(ADDRESS(ROW(),COLUMN()-1,4))="51111506","Cisplatino",""))</f>
        <v>Cisplatino</v>
      </c>
      <c r="C9496" s="95" t="str">
        <f>IFERROR(VLOOKUP("UD",'Informacion '!P:Q,2,FALSE),"")</f>
        <v>Unidad</v>
      </c>
      <c r="D9496" s="94">
        <v>72</v>
      </c>
      <c r="E9496" s="84">
        <v>1173.26</v>
      </c>
      <c r="F9496" s="83">
        <f t="shared" ca="1" si="398"/>
        <v>84474.72</v>
      </c>
    </row>
    <row r="9497" spans="1:6" ht="14.1" customHeight="1" x14ac:dyDescent="0.25">
      <c r="A9497" s="94" t="s">
        <v>5102</v>
      </c>
      <c r="B9497" s="82" t="str">
        <f t="shared" ref="B9497:B9506" ca="1" si="399">IFERROR(INDEX(UNSPSCDes,MATCH(INDIRECT(ADDRESS(ROW(),COLUMN()-1,4)),UNSPSCCode,0)),IF(INDIRECT(ADDRESS(ROW(),COLUMN()-1,4))="51111904","Paclitaxel",""))</f>
        <v>Paclitaxel</v>
      </c>
      <c r="C9497" s="95" t="str">
        <f>IFERROR(VLOOKUP("UD",'Informacion '!P:Q,2,FALSE),"")</f>
        <v>Unidad</v>
      </c>
      <c r="D9497" s="94">
        <v>2</v>
      </c>
      <c r="E9497" s="84">
        <v>1857</v>
      </c>
      <c r="F9497" s="83">
        <f t="shared" ca="1" si="398"/>
        <v>3714</v>
      </c>
    </row>
    <row r="9498" spans="1:6" ht="14.1" customHeight="1" x14ac:dyDescent="0.25">
      <c r="A9498" s="94" t="s">
        <v>5102</v>
      </c>
      <c r="B9498" s="82" t="str">
        <f t="shared" ca="1" si="399"/>
        <v>Paclitaxel</v>
      </c>
      <c r="C9498" s="95" t="str">
        <f>IFERROR(VLOOKUP("UD",'Informacion '!P:Q,2,FALSE),"")</f>
        <v>Unidad</v>
      </c>
      <c r="D9498" s="94">
        <v>25</v>
      </c>
      <c r="E9498" s="84">
        <v>1300.3900000000001</v>
      </c>
      <c r="F9498" s="83">
        <f t="shared" ca="1" si="398"/>
        <v>32509.750000000004</v>
      </c>
    </row>
    <row r="9499" spans="1:6" ht="14.1" customHeight="1" x14ac:dyDescent="0.25">
      <c r="A9499" s="94" t="s">
        <v>5102</v>
      </c>
      <c r="B9499" s="82" t="str">
        <f t="shared" ca="1" si="399"/>
        <v>Paclitaxel</v>
      </c>
      <c r="C9499" s="95" t="str">
        <f>IFERROR(VLOOKUP("UD",'Informacion '!P:Q,2,FALSE),"")</f>
        <v>Unidad</v>
      </c>
      <c r="D9499" s="94">
        <v>3</v>
      </c>
      <c r="E9499" s="84">
        <v>1031.7</v>
      </c>
      <c r="F9499" s="83">
        <f t="shared" ca="1" si="398"/>
        <v>3095.1000000000004</v>
      </c>
    </row>
    <row r="9500" spans="1:6" ht="14.1" customHeight="1" x14ac:dyDescent="0.25">
      <c r="A9500" s="94" t="s">
        <v>5102</v>
      </c>
      <c r="B9500" s="82" t="str">
        <f t="shared" ca="1" si="399"/>
        <v>Paclitaxel</v>
      </c>
      <c r="C9500" s="95" t="str">
        <f>IFERROR(VLOOKUP("UD",'Informacion '!P:Q,2,FALSE),"")</f>
        <v>Unidad</v>
      </c>
      <c r="D9500" s="94">
        <v>42</v>
      </c>
      <c r="E9500" s="84">
        <v>1847.69</v>
      </c>
      <c r="F9500" s="83">
        <f t="shared" ca="1" si="398"/>
        <v>77602.98</v>
      </c>
    </row>
    <row r="9501" spans="1:6" ht="14.1" customHeight="1" x14ac:dyDescent="0.25">
      <c r="A9501" s="94" t="s">
        <v>5102</v>
      </c>
      <c r="B9501" s="82" t="str">
        <f t="shared" ca="1" si="399"/>
        <v>Paclitaxel</v>
      </c>
      <c r="C9501" s="95" t="str">
        <f>IFERROR(VLOOKUP("UD",'Informacion '!P:Q,2,FALSE),"")</f>
        <v>Unidad</v>
      </c>
      <c r="D9501" s="94">
        <v>12</v>
      </c>
      <c r="E9501" s="84">
        <v>3325</v>
      </c>
      <c r="F9501" s="83">
        <f t="shared" ca="1" si="398"/>
        <v>39900</v>
      </c>
    </row>
    <row r="9502" spans="1:6" ht="14.1" customHeight="1" x14ac:dyDescent="0.25">
      <c r="A9502" s="94" t="s">
        <v>5102</v>
      </c>
      <c r="B9502" s="82" t="str">
        <f t="shared" ca="1" si="399"/>
        <v>Paclitaxel</v>
      </c>
      <c r="C9502" s="95" t="str">
        <f>IFERROR(VLOOKUP("UD",'Informacion '!P:Q,2,FALSE),"")</f>
        <v>Unidad</v>
      </c>
      <c r="D9502" s="94">
        <v>37</v>
      </c>
      <c r="E9502" s="84">
        <v>546.80999999999995</v>
      </c>
      <c r="F9502" s="83">
        <f t="shared" ca="1" si="398"/>
        <v>20231.969999999998</v>
      </c>
    </row>
    <row r="9503" spans="1:6" ht="14.1" customHeight="1" x14ac:dyDescent="0.25">
      <c r="A9503" s="94" t="s">
        <v>5102</v>
      </c>
      <c r="B9503" s="82" t="str">
        <f t="shared" ca="1" si="399"/>
        <v>Paclitaxel</v>
      </c>
      <c r="C9503" s="95" t="str">
        <f>IFERROR(VLOOKUP("UD",'Informacion '!P:Q,2,FALSE),"")</f>
        <v>Unidad</v>
      </c>
      <c r="D9503" s="94">
        <v>2</v>
      </c>
      <c r="E9503" s="84">
        <v>450</v>
      </c>
      <c r="F9503" s="83">
        <f t="shared" ca="1" si="398"/>
        <v>900</v>
      </c>
    </row>
    <row r="9504" spans="1:6" ht="14.1" customHeight="1" x14ac:dyDescent="0.25">
      <c r="A9504" s="94" t="s">
        <v>5102</v>
      </c>
      <c r="B9504" s="82" t="str">
        <f t="shared" ca="1" si="399"/>
        <v>Paclitaxel</v>
      </c>
      <c r="C9504" s="95" t="str">
        <f>IFERROR(VLOOKUP("UD",'Informacion '!P:Q,2,FALSE),"")</f>
        <v>Unidad</v>
      </c>
      <c r="D9504" s="94">
        <v>26</v>
      </c>
      <c r="E9504" s="84">
        <v>3093.21</v>
      </c>
      <c r="F9504" s="83">
        <f t="shared" ca="1" si="398"/>
        <v>80423.460000000006</v>
      </c>
    </row>
    <row r="9505" spans="1:10" ht="14.1" customHeight="1" x14ac:dyDescent="0.25">
      <c r="A9505" s="94" t="s">
        <v>5102</v>
      </c>
      <c r="B9505" s="82" t="str">
        <f t="shared" ca="1" si="399"/>
        <v>Paclitaxel</v>
      </c>
      <c r="C9505" s="95" t="str">
        <f>IFERROR(VLOOKUP("UD",'Informacion '!P:Q,2,FALSE),"")</f>
        <v>Unidad</v>
      </c>
      <c r="D9505" s="94">
        <v>2</v>
      </c>
      <c r="E9505" s="84">
        <v>3000</v>
      </c>
      <c r="F9505" s="83">
        <f t="shared" ca="1" si="398"/>
        <v>6000</v>
      </c>
    </row>
    <row r="9506" spans="1:10" ht="14.1" customHeight="1" x14ac:dyDescent="0.25">
      <c r="A9506" s="94" t="s">
        <v>5102</v>
      </c>
      <c r="B9506" s="82" t="str">
        <f t="shared" ca="1" si="399"/>
        <v>Paclitaxel</v>
      </c>
      <c r="C9506" s="95" t="str">
        <f>IFERROR(VLOOKUP("UD",'Informacion '!P:Q,2,FALSE),"")</f>
        <v>Unidad</v>
      </c>
      <c r="D9506" s="94">
        <v>413</v>
      </c>
      <c r="E9506" s="84">
        <v>518.08000000000004</v>
      </c>
      <c r="F9506" s="83">
        <f t="shared" ca="1" si="398"/>
        <v>213967.04</v>
      </c>
    </row>
    <row r="9507" spans="1:10" ht="14.1" customHeight="1" x14ac:dyDescent="0.25">
      <c r="A9507" s="94" t="s">
        <v>3969</v>
      </c>
      <c r="B9507" s="82" t="str">
        <f ca="1">IFERROR(INDEX(UNSPSCDes,MATCH(INDIRECT(ADDRESS(ROW(),COLUMN()-1,4)),UNSPSCCode,0)),IF(INDIRECT(ADDRESS(ROW(),COLUMN()-1,4))="51142608","Trimetilxantina",""))</f>
        <v>Trimetilxantina</v>
      </c>
      <c r="C9507" s="95" t="str">
        <f>IFERROR(VLOOKUP("UD",'Informacion '!P:Q,2,FALSE),"")</f>
        <v>Unidad</v>
      </c>
      <c r="D9507" s="94">
        <v>6</v>
      </c>
      <c r="E9507" s="84">
        <v>13890</v>
      </c>
      <c r="F9507" s="83">
        <f t="shared" ca="1" si="398"/>
        <v>83340</v>
      </c>
    </row>
    <row r="9508" spans="1:10" ht="14.1" customHeight="1" x14ac:dyDescent="0.25">
      <c r="A9508" s="94" t="s">
        <v>3969</v>
      </c>
      <c r="B9508" s="82" t="str">
        <f ca="1">IFERROR(INDEX(UNSPSCDes,MATCH(INDIRECT(ADDRESS(ROW(),COLUMN()-1,4)),UNSPSCCode,0)),IF(INDIRECT(ADDRESS(ROW(),COLUMN()-1,4))="51142608","Trimetilxantina",""))</f>
        <v>Trimetilxantina</v>
      </c>
      <c r="C9508" s="95" t="str">
        <f>IFERROR(VLOOKUP("UD",'Informacion '!P:Q,2,FALSE),"")</f>
        <v>Unidad</v>
      </c>
      <c r="D9508" s="94">
        <v>4</v>
      </c>
      <c r="E9508" s="84">
        <v>11300</v>
      </c>
      <c r="F9508" s="83">
        <f t="shared" ca="1" si="398"/>
        <v>45200</v>
      </c>
    </row>
    <row r="9509" spans="1:10" ht="14.1" customHeight="1" x14ac:dyDescent="0.25">
      <c r="A9509" s="94" t="s">
        <v>3969</v>
      </c>
      <c r="B9509" s="82" t="str">
        <f ca="1">IFERROR(INDEX(UNSPSCDes,MATCH(INDIRECT(ADDRESS(ROW(),COLUMN()-1,4)),UNSPSCCode,0)),IF(INDIRECT(ADDRESS(ROW(),COLUMN()-1,4))="51142608","Trimetilxantina",""))</f>
        <v>Trimetilxantina</v>
      </c>
      <c r="C9509" s="95" t="str">
        <f>IFERROR(VLOOKUP("UD",'Informacion '!P:Q,2,FALSE),"")</f>
        <v>Unidad</v>
      </c>
      <c r="D9509" s="94">
        <v>8</v>
      </c>
      <c r="E9509" s="84">
        <v>10544.49</v>
      </c>
      <c r="F9509" s="83">
        <f t="shared" ca="1" si="398"/>
        <v>84355.92</v>
      </c>
    </row>
    <row r="9510" spans="1:10" ht="14.1" customHeight="1" x14ac:dyDescent="0.25">
      <c r="A9510" s="94" t="s">
        <v>12663</v>
      </c>
      <c r="B9510" s="82" t="str">
        <f ca="1">IFERROR(INDEX(UNSPSCDes,MATCH(INDIRECT(ADDRESS(ROW(),COLUMN()-1,4)),UNSPSCCode,0)),IF(INDIRECT(ADDRESS(ROW(),COLUMN()-1,4))="51111805","Acetato de goserelina",""))</f>
        <v>Acetato de goserelina</v>
      </c>
      <c r="C9510" s="95" t="str">
        <f>IFERROR(VLOOKUP("UD",'Informacion '!P:Q,2,FALSE),"")</f>
        <v>Unidad</v>
      </c>
      <c r="D9510" s="94">
        <v>12</v>
      </c>
      <c r="E9510" s="84">
        <v>8273.27</v>
      </c>
      <c r="F9510" s="83">
        <f t="shared" ca="1" si="398"/>
        <v>99279.24</v>
      </c>
    </row>
    <row r="9511" spans="1:10" ht="14.1" customHeight="1" x14ac:dyDescent="0.25">
      <c r="A9511" s="94" t="s">
        <v>693</v>
      </c>
      <c r="B9511" s="82" t="str">
        <f ca="1">IFERROR(INDEX(UNSPSCDes,MATCH(INDIRECT(ADDRESS(ROW(),COLUMN()-1,4)),UNSPSCCode,0)),IF(INDIRECT(ADDRESS(ROW(),COLUMN()-1,4))="51111716","Rituximab",""))</f>
        <v>Rituximab</v>
      </c>
      <c r="C9511" s="95" t="str">
        <f>IFERROR(VLOOKUP("UD",'Informacion '!P:Q,2,FALSE),"")</f>
        <v>Unidad</v>
      </c>
      <c r="D9511" s="94">
        <v>4</v>
      </c>
      <c r="E9511" s="84">
        <v>103224</v>
      </c>
      <c r="F9511" s="83">
        <f t="shared" ca="1" si="398"/>
        <v>412896</v>
      </c>
    </row>
    <row r="9512" spans="1:10" ht="14.1" customHeight="1" x14ac:dyDescent="0.25">
      <c r="A9512" s="94" t="s">
        <v>2723</v>
      </c>
      <c r="B9512" s="82" t="str">
        <f ca="1">IFERROR(INDEX(UNSPSCDes,MATCH(INDIRECT(ADDRESS(ROW(),COLUMN()-1,4)),UNSPSCCode,0)),IF(INDIRECT(ADDRESS(ROW(),COLUMN()-1,4))="12352108","Esteres o sus sustitutos",""))</f>
        <v>Esteres o sus sustitutos</v>
      </c>
      <c r="C9512" s="95" t="str">
        <f>IFERROR(VLOOKUP("UD",'Informacion '!P:Q,2,FALSE),"")</f>
        <v>Unidad</v>
      </c>
      <c r="D9512" s="94">
        <v>66</v>
      </c>
      <c r="E9512" s="84">
        <v>65</v>
      </c>
      <c r="F9512" s="83">
        <f t="shared" ca="1" si="398"/>
        <v>4290</v>
      </c>
    </row>
    <row r="9513" spans="1:10" ht="14.1" customHeight="1" x14ac:dyDescent="0.25">
      <c r="A9513" s="94" t="s">
        <v>3143</v>
      </c>
      <c r="B9513" s="82" t="str">
        <f ca="1">IFERROR(INDEX(UNSPSCDes,MATCH(INDIRECT(ADDRESS(ROW(),COLUMN()-1,4)),UNSPSCCode,0)),IF(INDIRECT(ADDRESS(ROW(),COLUMN()-1,4))="51111519","Temozolomida",""))</f>
        <v>Temozolomida</v>
      </c>
      <c r="C9513" s="95" t="str">
        <f>IFERROR(VLOOKUP("UD",'Informacion '!P:Q,2,FALSE),"")</f>
        <v>Unidad</v>
      </c>
      <c r="D9513" s="94">
        <v>9</v>
      </c>
      <c r="E9513" s="84">
        <v>2948.41</v>
      </c>
      <c r="F9513" s="83">
        <f t="shared" ca="1" si="398"/>
        <v>26535.69</v>
      </c>
    </row>
    <row r="9514" spans="1:10" ht="14.1" customHeight="1" x14ac:dyDescent="0.25">
      <c r="A9514" s="94" t="s">
        <v>2095</v>
      </c>
      <c r="B9514" s="82" t="str">
        <f ca="1">IFERROR(INDEX(UNSPSCDes,MATCH(INDIRECT(ADDRESS(ROW(),COLUMN()-1,4)),UNSPSCCode,0)),IF(INDIRECT(ADDRESS(ROW(),COLUMN()-1,4))="51111812","Sulfato de vinblastina",""))</f>
        <v>Sulfato de vinblastina</v>
      </c>
      <c r="C9514" s="95" t="str">
        <f>IFERROR(VLOOKUP("UD",'Informacion '!P:Q,2,FALSE),"")</f>
        <v>Unidad</v>
      </c>
      <c r="D9514" s="94">
        <v>18</v>
      </c>
      <c r="E9514" s="84">
        <v>697.2</v>
      </c>
      <c r="F9514" s="83">
        <f t="shared" ca="1" si="398"/>
        <v>12549.6</v>
      </c>
    </row>
    <row r="9515" spans="1:10" ht="14.1" customHeight="1" x14ac:dyDescent="0.25">
      <c r="A9515" s="94" t="s">
        <v>7316</v>
      </c>
      <c r="B9515" s="82" t="str">
        <f ca="1">IFERROR(INDEX(UNSPSCDes,MATCH(INDIRECT(ADDRESS(ROW(),COLUMN()-1,4)),UNSPSCCode,0)),IF(INDIRECT(ADDRESS(ROW(),COLUMN()-1,4))="51111813","Sulfato de vincristina",""))</f>
        <v>Sulfato de vincristina</v>
      </c>
      <c r="C9515" s="95" t="str">
        <f>IFERROR(VLOOKUP("UD",'Informacion '!P:Q,2,FALSE),"")</f>
        <v>Unidad</v>
      </c>
      <c r="D9515" s="94">
        <v>57</v>
      </c>
      <c r="E9515" s="84">
        <v>263.85000000000002</v>
      </c>
      <c r="F9515" s="83">
        <f t="shared" ca="1" si="398"/>
        <v>15039.45</v>
      </c>
    </row>
    <row r="9516" spans="1:10" ht="14.1" customHeight="1" x14ac:dyDescent="0.25">
      <c r="A9516" s="94" t="s">
        <v>7316</v>
      </c>
      <c r="B9516" s="82" t="str">
        <f ca="1">IFERROR(INDEX(UNSPSCDes,MATCH(INDIRECT(ADDRESS(ROW(),COLUMN()-1,4)),UNSPSCCode,0)),IF(INDIRECT(ADDRESS(ROW(),COLUMN()-1,4))="51111813","Sulfato de vincristina",""))</f>
        <v>Sulfato de vincristina</v>
      </c>
      <c r="C9516" s="95" t="str">
        <f>IFERROR(VLOOKUP("UD",'Informacion '!P:Q,2,FALSE),"")</f>
        <v>Unidad</v>
      </c>
      <c r="D9516" s="94">
        <v>18</v>
      </c>
      <c r="E9516" s="84">
        <v>157.35</v>
      </c>
      <c r="F9516" s="83">
        <f t="shared" ca="1" si="398"/>
        <v>2832.2999999999997</v>
      </c>
    </row>
    <row r="9517" spans="1:10" ht="14.1" customHeight="1" x14ac:dyDescent="0.25">
      <c r="A9517" s="94" t="s">
        <v>16400</v>
      </c>
      <c r="B9517" s="82" t="str">
        <f ca="1">IFERROR(INDEX(UNSPSCDes,MATCH(INDIRECT(ADDRESS(ROW(),COLUMN()-1,4)),UNSPSCCode,0)),IF(INDIRECT(ADDRESS(ROW(),COLUMN()-1,4))="51111610","Metotrexato",""))</f>
        <v>Metotrexato</v>
      </c>
      <c r="C9517" s="95" t="str">
        <f>IFERROR(VLOOKUP("UD",'Informacion '!P:Q,2,FALSE),"")</f>
        <v>Unidad</v>
      </c>
      <c r="D9517" s="94">
        <v>8</v>
      </c>
      <c r="E9517" s="84">
        <v>14</v>
      </c>
      <c r="F9517" s="83">
        <f t="shared" ca="1" si="398"/>
        <v>112</v>
      </c>
    </row>
    <row r="9518" spans="1:10" ht="14.1" customHeight="1" x14ac:dyDescent="0.25">
      <c r="A9518" s="94" t="s">
        <v>16400</v>
      </c>
      <c r="B9518" s="82" t="str">
        <f ca="1">IFERROR(INDEX(UNSPSCDes,MATCH(INDIRECT(ADDRESS(ROW(),COLUMN()-1,4)),UNSPSCCode,0)),IF(INDIRECT(ADDRESS(ROW(),COLUMN()-1,4))="51111610","Metotrexato",""))</f>
        <v>Metotrexato</v>
      </c>
      <c r="C9518" s="95" t="str">
        <f>IFERROR(VLOOKUP("UD",'Informacion '!P:Q,2,FALSE),"")</f>
        <v>Unidad</v>
      </c>
      <c r="D9518" s="94">
        <v>2</v>
      </c>
      <c r="E9518" s="84">
        <v>269</v>
      </c>
      <c r="F9518" s="83">
        <f t="shared" ca="1" si="398"/>
        <v>538</v>
      </c>
    </row>
    <row r="9519" spans="1:10" ht="14.1" customHeight="1" x14ac:dyDescent="0.25">
      <c r="E9519" s="96" t="s">
        <v>7213</v>
      </c>
      <c r="F9519" s="87">
        <f ca="1">SUM(Table228[MONTO TOTAL ESTIMADO])</f>
        <v>10392557.270000001</v>
      </c>
      <c r="H9519" s="39" t="str">
        <f>C9385</f>
        <v>Bienes</v>
      </c>
      <c r="I9519" s="39" t="str">
        <f>E9385</f>
        <v>No</v>
      </c>
      <c r="J9519" s="39" t="str">
        <f>D9385</f>
        <v>Compras Menores</v>
      </c>
    </row>
    <row r="9521" spans="1:6" ht="33.950000000000003" customHeight="1" x14ac:dyDescent="0.25">
      <c r="A9521" s="77" t="s">
        <v>17233</v>
      </c>
      <c r="B9521" s="77" t="s">
        <v>4237</v>
      </c>
      <c r="C9521" s="77" t="s">
        <v>4743</v>
      </c>
      <c r="D9521" s="77" t="s">
        <v>9891</v>
      </c>
      <c r="E9521" s="77" t="s">
        <v>3089</v>
      </c>
      <c r="F9521" s="77" t="s">
        <v>18141</v>
      </c>
    </row>
    <row r="9522" spans="1:6" ht="14.1" customHeight="1" x14ac:dyDescent="0.25">
      <c r="A9522" s="79" t="s">
        <v>14869</v>
      </c>
      <c r="B9522" s="79" t="s">
        <v>14265</v>
      </c>
      <c r="C9522" s="79" t="s">
        <v>17215</v>
      </c>
      <c r="D9522" s="79" t="s">
        <v>17798</v>
      </c>
      <c r="E9522" s="79" t="s">
        <v>18247</v>
      </c>
      <c r="F9522" s="79"/>
    </row>
    <row r="9523" spans="1:6" ht="14.1" customHeight="1" x14ac:dyDescent="0.25">
      <c r="A9523" s="2" t="s">
        <v>6643</v>
      </c>
      <c r="B9523" s="80" t="s">
        <v>1046</v>
      </c>
      <c r="C9523" s="90">
        <v>43647</v>
      </c>
      <c r="D9523" s="2" t="s">
        <v>59</v>
      </c>
      <c r="E9523" s="92" t="s">
        <v>20066</v>
      </c>
      <c r="F9523" s="93" t="s">
        <v>5684</v>
      </c>
    </row>
    <row r="9524" spans="1:6" ht="14.1" customHeight="1" x14ac:dyDescent="0.25">
      <c r="A9524" s="1"/>
      <c r="B9524" s="80" t="s">
        <v>10788</v>
      </c>
      <c r="C9524" s="91">
        <f>IF(C9523="","",IF(AND(MONTH(C9523)&gt;=1,MONTH(C9523)&lt;=3),1,IF(AND(MONTH(C9523)&gt;=4,MONTH(C9523)&lt;=6),2,IF(AND(MONTH(C9523)&gt;=7,MONTH(C9523)&lt;=9),3,4))))</f>
        <v>3</v>
      </c>
      <c r="D9524" s="1"/>
      <c r="E9524" s="92" t="s">
        <v>14822</v>
      </c>
      <c r="F9524" s="93" t="s">
        <v>17690</v>
      </c>
    </row>
    <row r="9525" spans="1:6" ht="14.1" customHeight="1" x14ac:dyDescent="0.25">
      <c r="A9525" s="1"/>
      <c r="B9525" s="80" t="s">
        <v>13758</v>
      </c>
      <c r="C9525" s="90">
        <v>43738</v>
      </c>
      <c r="D9525" s="1"/>
      <c r="E9525" s="92" t="s">
        <v>18636</v>
      </c>
      <c r="F9525" s="93"/>
    </row>
    <row r="9526" spans="1:6" ht="14.1" customHeight="1" x14ac:dyDescent="0.25">
      <c r="A9526" s="1"/>
      <c r="B9526" s="80" t="s">
        <v>10788</v>
      </c>
      <c r="C9526" s="91">
        <f>IF(C9525="","",IF(AND(MONTH(C9525)&gt;=1,MONTH(C9525)&lt;=3),1,IF(AND(MONTH(C9525)&gt;=4,MONTH(C9525)&lt;=6),2,IF(AND(MONTH(C9525)&gt;=7,MONTH(C9525)&lt;=9),3,4))))</f>
        <v>3</v>
      </c>
      <c r="D9526" s="1"/>
      <c r="E9526" s="92" t="s">
        <v>15990</v>
      </c>
      <c r="F9526" s="93"/>
    </row>
    <row r="9528" spans="1:6" ht="14.1" customHeight="1" x14ac:dyDescent="0.25">
      <c r="A9528" s="85" t="s">
        <v>15474</v>
      </c>
      <c r="B9528" s="85" t="s">
        <v>5027</v>
      </c>
      <c r="C9528" s="85" t="s">
        <v>17461</v>
      </c>
      <c r="D9528" s="85" t="s">
        <v>3935</v>
      </c>
      <c r="E9528" s="85" t="s">
        <v>10722</v>
      </c>
      <c r="F9528" s="85" t="s">
        <v>18237</v>
      </c>
    </row>
    <row r="9529" spans="1:6" ht="14.1" customHeight="1" x14ac:dyDescent="0.25">
      <c r="A9529" s="94" t="s">
        <v>19305</v>
      </c>
      <c r="B9529" s="82" t="str">
        <f ca="1">IFERROR(INDEX(UNSPSCDes,MATCH(INDIRECT(ADDRESS(ROW(),COLUMN()-1,4)),UNSPSCCode,0)),IF(INDIRECT(ADDRESS(ROW(),COLUMN()-1,4))="51111807","Acetato de leuprolide",""))</f>
        <v>Acetato de leuprolide</v>
      </c>
      <c r="C9529" s="95" t="str">
        <f>IFERROR(VLOOKUP("UD",'Informacion '!P:Q,2,FALSE),"")</f>
        <v>Unidad</v>
      </c>
      <c r="D9529" s="94">
        <v>10</v>
      </c>
      <c r="E9529" s="84">
        <v>5200</v>
      </c>
      <c r="F9529" s="83">
        <f t="shared" ref="F9529:F9560" ca="1" si="400">INDIRECT(ADDRESS(ROW(),COLUMN()-2,4))*INDIRECT(ADDRESS(ROW(),COLUMN()-1,4))</f>
        <v>52000</v>
      </c>
    </row>
    <row r="9530" spans="1:6" ht="14.1" customHeight="1" x14ac:dyDescent="0.25">
      <c r="A9530" s="94" t="s">
        <v>19305</v>
      </c>
      <c r="B9530" s="82" t="str">
        <f ca="1">IFERROR(INDEX(UNSPSCDes,MATCH(INDIRECT(ADDRESS(ROW(),COLUMN()-1,4)),UNSPSCCode,0)),IF(INDIRECT(ADDRESS(ROW(),COLUMN()-1,4))="51111807","Acetato de leuprolide",""))</f>
        <v>Acetato de leuprolide</v>
      </c>
      <c r="C9530" s="95" t="str">
        <f>IFERROR(VLOOKUP("UD",'Informacion '!P:Q,2,FALSE),"")</f>
        <v>Unidad</v>
      </c>
      <c r="D9530" s="94">
        <v>93</v>
      </c>
      <c r="E9530" s="84">
        <v>3490</v>
      </c>
      <c r="F9530" s="83">
        <f t="shared" ca="1" si="400"/>
        <v>324570</v>
      </c>
    </row>
    <row r="9531" spans="1:6" ht="14.1" customHeight="1" x14ac:dyDescent="0.25">
      <c r="A9531" s="94" t="s">
        <v>11307</v>
      </c>
      <c r="B9531" s="82" t="str">
        <f ca="1">IFERROR(INDEX(UNSPSCDes,MATCH(INDIRECT(ADDRESS(ROW(),COLUMN()-1,4)),UNSPSCCode,0)),IF(INDIRECT(ADDRESS(ROW(),COLUMN()-1,4))="51182415","Ácido zoledrónico",""))</f>
        <v>Ácido zoledrónico</v>
      </c>
      <c r="C9531" s="95" t="str">
        <f>IFERROR(VLOOKUP("UD",'Informacion '!P:Q,2,FALSE),"")</f>
        <v>Unidad</v>
      </c>
      <c r="D9531" s="94">
        <v>34</v>
      </c>
      <c r="E9531" s="84">
        <v>5100</v>
      </c>
      <c r="F9531" s="83">
        <f t="shared" ca="1" si="400"/>
        <v>173400</v>
      </c>
    </row>
    <row r="9532" spans="1:6" ht="14.1" customHeight="1" x14ac:dyDescent="0.25">
      <c r="A9532" s="94" t="s">
        <v>11307</v>
      </c>
      <c r="B9532" s="82" t="str">
        <f ca="1">IFERROR(INDEX(UNSPSCDes,MATCH(INDIRECT(ADDRESS(ROW(),COLUMN()-1,4)),UNSPSCCode,0)),IF(INDIRECT(ADDRESS(ROW(),COLUMN()-1,4))="51182415","Ácido zoledrónico",""))</f>
        <v>Ácido zoledrónico</v>
      </c>
      <c r="C9532" s="95" t="str">
        <f>IFERROR(VLOOKUP("UD",'Informacion '!P:Q,2,FALSE),"")</f>
        <v>Unidad</v>
      </c>
      <c r="D9532" s="94">
        <v>4</v>
      </c>
      <c r="E9532" s="84">
        <v>15670.55</v>
      </c>
      <c r="F9532" s="83">
        <f t="shared" ca="1" si="400"/>
        <v>62682.2</v>
      </c>
    </row>
    <row r="9533" spans="1:6" ht="14.1" customHeight="1" x14ac:dyDescent="0.25">
      <c r="A9533" s="94" t="s">
        <v>11307</v>
      </c>
      <c r="B9533" s="82" t="str">
        <f ca="1">IFERROR(INDEX(UNSPSCDes,MATCH(INDIRECT(ADDRESS(ROW(),COLUMN()-1,4)),UNSPSCCode,0)),IF(INDIRECT(ADDRESS(ROW(),COLUMN()-1,4))="51182415","Ácido zoledrónico",""))</f>
        <v>Ácido zoledrónico</v>
      </c>
      <c r="C9533" s="95" t="str">
        <f>IFERROR(VLOOKUP("UD",'Informacion '!P:Q,2,FALSE),"")</f>
        <v>Unidad</v>
      </c>
      <c r="D9533" s="94">
        <v>52</v>
      </c>
      <c r="E9533" s="84">
        <v>2294.6799999999998</v>
      </c>
      <c r="F9533" s="83">
        <f t="shared" ca="1" si="400"/>
        <v>119323.35999999999</v>
      </c>
    </row>
    <row r="9534" spans="1:6" ht="14.1" customHeight="1" x14ac:dyDescent="0.25">
      <c r="A9534" s="94" t="s">
        <v>693</v>
      </c>
      <c r="B9534" s="82" t="str">
        <f t="shared" ref="B9534:B9540" ca="1" si="401">IFERROR(INDEX(UNSPSCDes,MATCH(INDIRECT(ADDRESS(ROW(),COLUMN()-1,4)),UNSPSCCode,0)),IF(INDIRECT(ADDRESS(ROW(),COLUMN()-1,4))="51111716","Rituximab",""))</f>
        <v>Rituximab</v>
      </c>
      <c r="C9534" s="95" t="str">
        <f>IFERROR(VLOOKUP("UD",'Informacion '!P:Q,2,FALSE),"")</f>
        <v>Unidad</v>
      </c>
      <c r="D9534" s="94">
        <v>6</v>
      </c>
      <c r="E9534" s="84">
        <v>28221.43</v>
      </c>
      <c r="F9534" s="83">
        <f t="shared" ca="1" si="400"/>
        <v>169328.58000000002</v>
      </c>
    </row>
    <row r="9535" spans="1:6" ht="14.1" customHeight="1" x14ac:dyDescent="0.25">
      <c r="A9535" s="94" t="s">
        <v>693</v>
      </c>
      <c r="B9535" s="82" t="str">
        <f t="shared" ca="1" si="401"/>
        <v>Rituximab</v>
      </c>
      <c r="C9535" s="95" t="str">
        <f>IFERROR(VLOOKUP("UD",'Informacion '!P:Q,2,FALSE),"")</f>
        <v>Unidad</v>
      </c>
      <c r="D9535" s="94">
        <v>3</v>
      </c>
      <c r="E9535" s="84">
        <v>50500</v>
      </c>
      <c r="F9535" s="83">
        <f t="shared" ca="1" si="400"/>
        <v>151500</v>
      </c>
    </row>
    <row r="9536" spans="1:6" ht="14.1" customHeight="1" x14ac:dyDescent="0.25">
      <c r="A9536" s="94" t="s">
        <v>693</v>
      </c>
      <c r="B9536" s="82" t="str">
        <f t="shared" ca="1" si="401"/>
        <v>Rituximab</v>
      </c>
      <c r="C9536" s="95" t="str">
        <f>IFERROR(VLOOKUP("UD",'Informacion '!P:Q,2,FALSE),"")</f>
        <v>Unidad</v>
      </c>
      <c r="D9536" s="94">
        <v>12</v>
      </c>
      <c r="E9536" s="84">
        <v>10437.36</v>
      </c>
      <c r="F9536" s="83">
        <f t="shared" ca="1" si="400"/>
        <v>125248.32000000001</v>
      </c>
    </row>
    <row r="9537" spans="1:6" ht="14.1" customHeight="1" x14ac:dyDescent="0.25">
      <c r="A9537" s="94" t="s">
        <v>693</v>
      </c>
      <c r="B9537" s="82" t="str">
        <f t="shared" ca="1" si="401"/>
        <v>Rituximab</v>
      </c>
      <c r="C9537" s="95" t="str">
        <f>IFERROR(VLOOKUP("UD",'Informacion '!P:Q,2,FALSE),"")</f>
        <v>Unidad</v>
      </c>
      <c r="D9537" s="94">
        <v>7</v>
      </c>
      <c r="E9537" s="84">
        <v>9022.2099999999991</v>
      </c>
      <c r="F9537" s="83">
        <f t="shared" ca="1" si="400"/>
        <v>63155.469999999994</v>
      </c>
    </row>
    <row r="9538" spans="1:6" ht="14.1" customHeight="1" x14ac:dyDescent="0.25">
      <c r="A9538" s="94" t="s">
        <v>693</v>
      </c>
      <c r="B9538" s="82" t="str">
        <f t="shared" ca="1" si="401"/>
        <v>Rituximab</v>
      </c>
      <c r="C9538" s="95" t="str">
        <f>IFERROR(VLOOKUP("UD",'Informacion '!P:Q,2,FALSE),"")</f>
        <v>Unidad</v>
      </c>
      <c r="D9538" s="94">
        <v>8</v>
      </c>
      <c r="E9538" s="84">
        <v>14500</v>
      </c>
      <c r="F9538" s="83">
        <f t="shared" ca="1" si="400"/>
        <v>116000</v>
      </c>
    </row>
    <row r="9539" spans="1:6" ht="14.1" customHeight="1" x14ac:dyDescent="0.25">
      <c r="A9539" s="94" t="s">
        <v>693</v>
      </c>
      <c r="B9539" s="82" t="str">
        <f t="shared" ca="1" si="401"/>
        <v>Rituximab</v>
      </c>
      <c r="C9539" s="95" t="str">
        <f>IFERROR(VLOOKUP("UD",'Informacion '!P:Q,2,FALSE),"")</f>
        <v>Unidad</v>
      </c>
      <c r="D9539" s="94">
        <v>3</v>
      </c>
      <c r="E9539" s="84">
        <v>36924.75</v>
      </c>
      <c r="F9539" s="83">
        <f t="shared" ca="1" si="400"/>
        <v>110774.25</v>
      </c>
    </row>
    <row r="9540" spans="1:6" ht="14.1" customHeight="1" x14ac:dyDescent="0.25">
      <c r="A9540" s="94" t="s">
        <v>693</v>
      </c>
      <c r="B9540" s="82" t="str">
        <f t="shared" ca="1" si="401"/>
        <v>Rituximab</v>
      </c>
      <c r="C9540" s="95" t="str">
        <f>IFERROR(VLOOKUP("UD",'Informacion '!P:Q,2,FALSE),"")</f>
        <v>Unidad</v>
      </c>
      <c r="D9540" s="94">
        <v>4</v>
      </c>
      <c r="E9540" s="84">
        <v>10530</v>
      </c>
      <c r="F9540" s="83">
        <f t="shared" ca="1" si="400"/>
        <v>42120</v>
      </c>
    </row>
    <row r="9541" spans="1:6" ht="14.1" customHeight="1" x14ac:dyDescent="0.25">
      <c r="A9541" s="94" t="s">
        <v>1085</v>
      </c>
      <c r="B9541" s="82" t="str">
        <f ca="1">IFERROR(INDEX(UNSPSCDes,MATCH(INDIRECT(ADDRESS(ROW(),COLUMN()-1,4)),UNSPSCCode,0)),IF(INDIRECT(ADDRESS(ROW(),COLUMN()-1,4))="51111802","Bicalutamida",""))</f>
        <v>Bicalutamida</v>
      </c>
      <c r="C9541" s="95" t="str">
        <f>IFERROR(VLOOKUP("UD",'Informacion '!P:Q,2,FALSE),"")</f>
        <v>Unidad</v>
      </c>
      <c r="D9541" s="94">
        <v>10</v>
      </c>
      <c r="E9541" s="84">
        <v>389.29</v>
      </c>
      <c r="F9541" s="83">
        <f t="shared" ca="1" si="400"/>
        <v>3892.9</v>
      </c>
    </row>
    <row r="9542" spans="1:6" ht="14.1" customHeight="1" x14ac:dyDescent="0.25">
      <c r="A9542" s="94" t="s">
        <v>1751</v>
      </c>
      <c r="B9542" s="82" t="str">
        <f ca="1">IFERROR(INDEX(UNSPSCDes,MATCH(INDIRECT(ADDRESS(ROW(),COLUMN()-1,4)),UNSPSCCode,0)),IF(INDIRECT(ADDRESS(ROW(),COLUMN()-1,4))="51111701","Sulfato de bleomicina",""))</f>
        <v>Sulfato de bleomicina</v>
      </c>
      <c r="C9542" s="95" t="str">
        <f>IFERROR(VLOOKUP("UD",'Informacion '!P:Q,2,FALSE),"")</f>
        <v>Unidad</v>
      </c>
      <c r="D9542" s="94">
        <v>42</v>
      </c>
      <c r="E9542" s="84">
        <v>1100</v>
      </c>
      <c r="F9542" s="83">
        <f t="shared" ca="1" si="400"/>
        <v>46200</v>
      </c>
    </row>
    <row r="9543" spans="1:6" ht="14.1" customHeight="1" x14ac:dyDescent="0.25">
      <c r="A9543" s="94" t="s">
        <v>1751</v>
      </c>
      <c r="B9543" s="82" t="str">
        <f ca="1">IFERROR(INDEX(UNSPSCDes,MATCH(INDIRECT(ADDRESS(ROW(),COLUMN()-1,4)),UNSPSCCode,0)),IF(INDIRECT(ADDRESS(ROW(),COLUMN()-1,4))="51111701","Sulfato de bleomicina",""))</f>
        <v>Sulfato de bleomicina</v>
      </c>
      <c r="C9543" s="95" t="str">
        <f>IFERROR(VLOOKUP("UD",'Informacion '!P:Q,2,FALSE),"")</f>
        <v>Unidad</v>
      </c>
      <c r="D9543" s="94">
        <v>14</v>
      </c>
      <c r="E9543" s="84">
        <v>924.78</v>
      </c>
      <c r="F9543" s="83">
        <f t="shared" ca="1" si="400"/>
        <v>12946.92</v>
      </c>
    </row>
    <row r="9544" spans="1:6" ht="14.1" customHeight="1" x14ac:dyDescent="0.25">
      <c r="A9544" s="94" t="s">
        <v>19295</v>
      </c>
      <c r="B9544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9544" s="95" t="str">
        <f>IFERROR(VLOOKUP("UD",'Informacion '!P:Q,2,FALSE),"")</f>
        <v>Unidad</v>
      </c>
      <c r="D9544" s="94">
        <v>33</v>
      </c>
      <c r="E9544" s="84">
        <v>34500</v>
      </c>
      <c r="F9544" s="83">
        <f t="shared" ca="1" si="400"/>
        <v>1138500</v>
      </c>
    </row>
    <row r="9545" spans="1:6" ht="14.1" customHeight="1" x14ac:dyDescent="0.25">
      <c r="A9545" s="94" t="s">
        <v>2868</v>
      </c>
      <c r="B9545" s="82" t="str">
        <f ca="1">IFERROR(INDEX(UNSPSCDes,MATCH(INDIRECT(ADDRESS(ROW(),COLUMN()-1,4)),UNSPSCCode,0)),IF(INDIRECT(ADDRESS(ROW(),COLUMN()-1,4))="51111616","Capecitabina",""))</f>
        <v>Capecitabina</v>
      </c>
      <c r="C9545" s="95" t="str">
        <f>IFERROR(VLOOKUP("UD",'Informacion '!P:Q,2,FALSE),"")</f>
        <v>Unidad</v>
      </c>
      <c r="D9545" s="94">
        <v>842</v>
      </c>
      <c r="E9545" s="84">
        <v>179.17</v>
      </c>
      <c r="F9545" s="83">
        <f t="shared" ca="1" si="400"/>
        <v>150861.13999999998</v>
      </c>
    </row>
    <row r="9546" spans="1:6" ht="14.1" customHeight="1" x14ac:dyDescent="0.25">
      <c r="A9546" s="94" t="s">
        <v>2868</v>
      </c>
      <c r="B9546" s="82" t="str">
        <f ca="1">IFERROR(INDEX(UNSPSCDes,MATCH(INDIRECT(ADDRESS(ROW(),COLUMN()-1,4)),UNSPSCCode,0)),IF(INDIRECT(ADDRESS(ROW(),COLUMN()-1,4))="51111616","Capecitabina",""))</f>
        <v>Capecitabina</v>
      </c>
      <c r="C9546" s="95" t="str">
        <f>IFERROR(VLOOKUP("UD",'Informacion '!P:Q,2,FALSE),"")</f>
        <v>Unidad</v>
      </c>
      <c r="D9546" s="94">
        <v>4048</v>
      </c>
      <c r="E9546" s="84">
        <v>168.33</v>
      </c>
      <c r="F9546" s="83">
        <f t="shared" ca="1" si="400"/>
        <v>681399.84000000008</v>
      </c>
    </row>
    <row r="9547" spans="1:6" ht="14.1" customHeight="1" x14ac:dyDescent="0.25">
      <c r="A9547" s="94" t="s">
        <v>17588</v>
      </c>
      <c r="B9547" s="82" t="str">
        <f t="shared" ref="B9547:B9553" ca="1" si="402">IFERROR(INDEX(UNSPSCDes,MATCH(INDIRECT(ADDRESS(ROW(),COLUMN()-1,4)),UNSPSCCode,0)),IF(INDIRECT(ADDRESS(ROW(),COLUMN()-1,4))="51111503","Carboplatino",""))</f>
        <v>Carboplatino</v>
      </c>
      <c r="C9547" s="95" t="str">
        <f>IFERROR(VLOOKUP("UD",'Informacion '!P:Q,2,FALSE),"")</f>
        <v>Unidad</v>
      </c>
      <c r="D9547" s="94">
        <v>28</v>
      </c>
      <c r="E9547" s="84">
        <v>791.72</v>
      </c>
      <c r="F9547" s="83">
        <f t="shared" ca="1" si="400"/>
        <v>22168.16</v>
      </c>
    </row>
    <row r="9548" spans="1:6" ht="14.1" customHeight="1" x14ac:dyDescent="0.25">
      <c r="A9548" s="94" t="s">
        <v>17588</v>
      </c>
      <c r="B9548" s="82" t="str">
        <f t="shared" ca="1" si="402"/>
        <v>Carboplatino</v>
      </c>
      <c r="C9548" s="95" t="str">
        <f>IFERROR(VLOOKUP("UD",'Informacion '!P:Q,2,FALSE),"")</f>
        <v>Unidad</v>
      </c>
      <c r="D9548" s="94">
        <v>76</v>
      </c>
      <c r="E9548" s="84">
        <v>800.69</v>
      </c>
      <c r="F9548" s="83">
        <f t="shared" ca="1" si="400"/>
        <v>60852.44</v>
      </c>
    </row>
    <row r="9549" spans="1:6" ht="14.1" customHeight="1" x14ac:dyDescent="0.25">
      <c r="A9549" s="94" t="s">
        <v>17588</v>
      </c>
      <c r="B9549" s="82" t="str">
        <f t="shared" ca="1" si="402"/>
        <v>Carboplatino</v>
      </c>
      <c r="C9549" s="95" t="str">
        <f>IFERROR(VLOOKUP("UD",'Informacion '!P:Q,2,FALSE),"")</f>
        <v>Unidad</v>
      </c>
      <c r="D9549" s="94">
        <v>9</v>
      </c>
      <c r="E9549" s="84">
        <v>968</v>
      </c>
      <c r="F9549" s="83">
        <f t="shared" ca="1" si="400"/>
        <v>8712</v>
      </c>
    </row>
    <row r="9550" spans="1:6" ht="14.1" customHeight="1" x14ac:dyDescent="0.25">
      <c r="A9550" s="94" t="s">
        <v>17588</v>
      </c>
      <c r="B9550" s="82" t="str">
        <f t="shared" ca="1" si="402"/>
        <v>Carboplatino</v>
      </c>
      <c r="C9550" s="95" t="str">
        <f>IFERROR(VLOOKUP("UD",'Informacion '!P:Q,2,FALSE),"")</f>
        <v>Unidad</v>
      </c>
      <c r="D9550" s="94">
        <v>50</v>
      </c>
      <c r="E9550" s="84">
        <v>1550.18</v>
      </c>
      <c r="F9550" s="83">
        <f t="shared" ca="1" si="400"/>
        <v>77509</v>
      </c>
    </row>
    <row r="9551" spans="1:6" ht="14.1" customHeight="1" x14ac:dyDescent="0.25">
      <c r="A9551" s="94" t="s">
        <v>17588</v>
      </c>
      <c r="B9551" s="82" t="str">
        <f t="shared" ca="1" si="402"/>
        <v>Carboplatino</v>
      </c>
      <c r="C9551" s="95" t="str">
        <f>IFERROR(VLOOKUP("UD",'Informacion '!P:Q,2,FALSE),"")</f>
        <v>Unidad</v>
      </c>
      <c r="D9551" s="94">
        <v>10</v>
      </c>
      <c r="E9551" s="84">
        <v>2621</v>
      </c>
      <c r="F9551" s="83">
        <f t="shared" ca="1" si="400"/>
        <v>26210</v>
      </c>
    </row>
    <row r="9552" spans="1:6" ht="14.1" customHeight="1" x14ac:dyDescent="0.25">
      <c r="A9552" s="94" t="s">
        <v>17588</v>
      </c>
      <c r="B9552" s="82" t="str">
        <f t="shared" ca="1" si="402"/>
        <v>Carboplatino</v>
      </c>
      <c r="C9552" s="95" t="str">
        <f>IFERROR(VLOOKUP("UD",'Informacion '!P:Q,2,FALSE),"")</f>
        <v>Unidad</v>
      </c>
      <c r="D9552" s="94">
        <v>25</v>
      </c>
      <c r="E9552" s="84">
        <v>1761.79</v>
      </c>
      <c r="F9552" s="83">
        <f t="shared" ca="1" si="400"/>
        <v>44044.75</v>
      </c>
    </row>
    <row r="9553" spans="1:6" ht="14.1" customHeight="1" x14ac:dyDescent="0.25">
      <c r="A9553" s="94" t="s">
        <v>17588</v>
      </c>
      <c r="B9553" s="82" t="str">
        <f t="shared" ca="1" si="402"/>
        <v>Carboplatino</v>
      </c>
      <c r="C9553" s="95" t="str">
        <f>IFERROR(VLOOKUP("UD",'Informacion '!P:Q,2,FALSE),"")</f>
        <v>Unidad</v>
      </c>
      <c r="D9553" s="94">
        <v>3</v>
      </c>
      <c r="E9553" s="84">
        <v>1865.69</v>
      </c>
      <c r="F9553" s="83">
        <f t="shared" ca="1" si="400"/>
        <v>5597.07</v>
      </c>
    </row>
    <row r="9554" spans="1:6" ht="14.1" customHeight="1" x14ac:dyDescent="0.25">
      <c r="A9554" s="94" t="s">
        <v>6655</v>
      </c>
      <c r="B9554" s="82" t="str">
        <f ca="1">IFERROR(INDEX(UNSPSCDes,MATCH(INDIRECT(ADDRESS(ROW(),COLUMN()-1,4)),UNSPSCCode,0)),IF(INDIRECT(ADDRESS(ROW(),COLUMN()-1,4))="51111717","Trastuzumab",""))</f>
        <v>Trastuzumab</v>
      </c>
      <c r="C9554" s="95" t="str">
        <f>IFERROR(VLOOKUP("UD",'Informacion '!P:Q,2,FALSE),"")</f>
        <v>Unidad</v>
      </c>
      <c r="D9554" s="94">
        <v>37</v>
      </c>
      <c r="E9554" s="84">
        <v>25265.33</v>
      </c>
      <c r="F9554" s="83">
        <f t="shared" ca="1" si="400"/>
        <v>934817.21000000008</v>
      </c>
    </row>
    <row r="9555" spans="1:6" ht="14.1" customHeight="1" x14ac:dyDescent="0.25">
      <c r="A9555" s="94" t="s">
        <v>11096</v>
      </c>
      <c r="B9555" s="82" t="str">
        <f ca="1">IFERROR(INDEX(UNSPSCDes,MATCH(INDIRECT(ADDRESS(ROW(),COLUMN()-1,4)),UNSPSCCode,0)),IF(INDIRECT(ADDRESS(ROW(),COLUMN()-1,4))="51111507","Ciclofosfamida",""))</f>
        <v>Ciclofosfamida</v>
      </c>
      <c r="C9555" s="95" t="str">
        <f>IFERROR(VLOOKUP("UD",'Informacion '!P:Q,2,FALSE),"")</f>
        <v>Unidad</v>
      </c>
      <c r="D9555" s="94">
        <v>55</v>
      </c>
      <c r="E9555" s="84">
        <v>350.63</v>
      </c>
      <c r="F9555" s="83">
        <f t="shared" ca="1" si="400"/>
        <v>19284.650000000001</v>
      </c>
    </row>
    <row r="9556" spans="1:6" ht="14.1" customHeight="1" x14ac:dyDescent="0.25">
      <c r="A9556" s="94" t="s">
        <v>11096</v>
      </c>
      <c r="B9556" s="82" t="str">
        <f ca="1">IFERROR(INDEX(UNSPSCDes,MATCH(INDIRECT(ADDRESS(ROW(),COLUMN()-1,4)),UNSPSCCode,0)),IF(INDIRECT(ADDRESS(ROW(),COLUMN()-1,4))="51111507","Ciclofosfamida",""))</f>
        <v>Ciclofosfamida</v>
      </c>
      <c r="C9556" s="95" t="str">
        <f>IFERROR(VLOOKUP("UD",'Informacion '!P:Q,2,FALSE),"")</f>
        <v>Unidad</v>
      </c>
      <c r="D9556" s="94">
        <v>101</v>
      </c>
      <c r="E9556" s="84">
        <v>730</v>
      </c>
      <c r="F9556" s="83">
        <f t="shared" ca="1" si="400"/>
        <v>73730</v>
      </c>
    </row>
    <row r="9557" spans="1:6" ht="14.1" customHeight="1" x14ac:dyDescent="0.25">
      <c r="A9557" s="94" t="s">
        <v>10585</v>
      </c>
      <c r="B9557" s="82" t="str">
        <f t="shared" ref="B9557:B9562" ca="1" si="403">IFERROR(INDEX(UNSPSCDes,MATCH(INDIRECT(ADDRESS(ROW(),COLUMN()-1,4)),UNSPSCCode,0)),IF(INDIRECT(ADDRESS(ROW(),COLUMN()-1,4))="51111506","Cisplatino",""))</f>
        <v>Cisplatino</v>
      </c>
      <c r="C9557" s="95" t="str">
        <f>IFERROR(VLOOKUP("UD",'Informacion '!P:Q,2,FALSE),"")</f>
        <v>Unidad</v>
      </c>
      <c r="D9557" s="94">
        <v>45</v>
      </c>
      <c r="E9557" s="84">
        <v>285.95999999999998</v>
      </c>
      <c r="F9557" s="83">
        <f t="shared" ca="1" si="400"/>
        <v>12868.199999999999</v>
      </c>
    </row>
    <row r="9558" spans="1:6" ht="14.1" customHeight="1" x14ac:dyDescent="0.25">
      <c r="A9558" s="94" t="s">
        <v>10585</v>
      </c>
      <c r="B9558" s="82" t="str">
        <f t="shared" ca="1" si="403"/>
        <v>Cisplatino</v>
      </c>
      <c r="C9558" s="95" t="str">
        <f>IFERROR(VLOOKUP("UD",'Informacion '!P:Q,2,FALSE),"")</f>
        <v>Unidad</v>
      </c>
      <c r="D9558" s="94">
        <v>17</v>
      </c>
      <c r="E9558" s="84">
        <v>372.36</v>
      </c>
      <c r="F9558" s="83">
        <f t="shared" ca="1" si="400"/>
        <v>6330.12</v>
      </c>
    </row>
    <row r="9559" spans="1:6" ht="14.1" customHeight="1" x14ac:dyDescent="0.25">
      <c r="A9559" s="94" t="s">
        <v>10585</v>
      </c>
      <c r="B9559" s="82" t="str">
        <f t="shared" ca="1" si="403"/>
        <v>Cisplatino</v>
      </c>
      <c r="C9559" s="95" t="str">
        <f>IFERROR(VLOOKUP("UD",'Informacion '!P:Q,2,FALSE),"")</f>
        <v>Unidad</v>
      </c>
      <c r="D9559" s="94">
        <v>4</v>
      </c>
      <c r="E9559" s="84">
        <v>372.63</v>
      </c>
      <c r="F9559" s="83">
        <f t="shared" ca="1" si="400"/>
        <v>1490.52</v>
      </c>
    </row>
    <row r="9560" spans="1:6" ht="14.1" customHeight="1" x14ac:dyDescent="0.25">
      <c r="A9560" s="94" t="s">
        <v>10585</v>
      </c>
      <c r="B9560" s="82" t="str">
        <f t="shared" ca="1" si="403"/>
        <v>Cisplatino</v>
      </c>
      <c r="C9560" s="95" t="str">
        <f>IFERROR(VLOOKUP("UD",'Informacion '!P:Q,2,FALSE),"")</f>
        <v>Unidad</v>
      </c>
      <c r="D9560" s="94">
        <v>71</v>
      </c>
      <c r="E9560" s="84">
        <v>246.71</v>
      </c>
      <c r="F9560" s="83">
        <f t="shared" ca="1" si="400"/>
        <v>17516.41</v>
      </c>
    </row>
    <row r="9561" spans="1:6" ht="14.1" customHeight="1" x14ac:dyDescent="0.25">
      <c r="A9561" s="94" t="s">
        <v>10585</v>
      </c>
      <c r="B9561" s="82" t="str">
        <f t="shared" ca="1" si="403"/>
        <v>Cisplatino</v>
      </c>
      <c r="C9561" s="95" t="str">
        <f>IFERROR(VLOOKUP("UD",'Informacion '!P:Q,2,FALSE),"")</f>
        <v>Unidad</v>
      </c>
      <c r="D9561" s="94">
        <v>92</v>
      </c>
      <c r="E9561" s="84">
        <v>871.47</v>
      </c>
      <c r="F9561" s="83">
        <f t="shared" ref="F9561:F9592" ca="1" si="404">INDIRECT(ADDRESS(ROW(),COLUMN()-2,4))*INDIRECT(ADDRESS(ROW(),COLUMN()-1,4))</f>
        <v>80175.240000000005</v>
      </c>
    </row>
    <row r="9562" spans="1:6" ht="14.1" customHeight="1" x14ac:dyDescent="0.25">
      <c r="A9562" s="94" t="s">
        <v>10585</v>
      </c>
      <c r="B9562" s="82" t="str">
        <f t="shared" ca="1" si="403"/>
        <v>Cisplatino</v>
      </c>
      <c r="C9562" s="95" t="str">
        <f>IFERROR(VLOOKUP("UD",'Informacion '!P:Q,2,FALSE),"")</f>
        <v>Unidad</v>
      </c>
      <c r="D9562" s="94">
        <v>7</v>
      </c>
      <c r="E9562" s="84">
        <v>869.18</v>
      </c>
      <c r="F9562" s="83">
        <f t="shared" ca="1" si="404"/>
        <v>6084.2599999999993</v>
      </c>
    </row>
    <row r="9563" spans="1:6" ht="14.1" customHeight="1" x14ac:dyDescent="0.25">
      <c r="A9563" s="94" t="s">
        <v>14357</v>
      </c>
      <c r="B9563" s="82" t="str">
        <f ca="1">IFERROR(INDEX(UNSPSCDes,MATCH(INDIRECT(ADDRESS(ROW(),COLUMN()-1,4)),UNSPSCCode,0)),IF(INDIRECT(ADDRESS(ROW(),COLUMN()-1,4))="51111602","Citarabina",""))</f>
        <v>Citarabina</v>
      </c>
      <c r="C9563" s="95" t="str">
        <f>IFERROR(VLOOKUP("UD",'Informacion '!P:Q,2,FALSE),"")</f>
        <v>Unidad</v>
      </c>
      <c r="D9563" s="94">
        <v>8</v>
      </c>
      <c r="E9563" s="84">
        <v>151.26</v>
      </c>
      <c r="F9563" s="83">
        <f t="shared" ca="1" si="404"/>
        <v>1210.08</v>
      </c>
    </row>
    <row r="9564" spans="1:6" ht="14.1" customHeight="1" x14ac:dyDescent="0.25">
      <c r="A9564" s="94" t="s">
        <v>14357</v>
      </c>
      <c r="B9564" s="82" t="str">
        <f ca="1">IFERROR(INDEX(UNSPSCDes,MATCH(INDIRECT(ADDRESS(ROW(),COLUMN()-1,4)),UNSPSCCode,0)),IF(INDIRECT(ADDRESS(ROW(),COLUMN()-1,4))="51111602","Citarabina",""))</f>
        <v>Citarabina</v>
      </c>
      <c r="C9564" s="95" t="str">
        <f>IFERROR(VLOOKUP("UD",'Informacion '!P:Q,2,FALSE),"")</f>
        <v>Unidad</v>
      </c>
      <c r="D9564" s="94">
        <v>89</v>
      </c>
      <c r="E9564" s="84">
        <v>341</v>
      </c>
      <c r="F9564" s="83">
        <f t="shared" ca="1" si="404"/>
        <v>30349</v>
      </c>
    </row>
    <row r="9565" spans="1:6" ht="14.1" customHeight="1" x14ac:dyDescent="0.25">
      <c r="A9565" s="94" t="s">
        <v>14357</v>
      </c>
      <c r="B9565" s="82" t="str">
        <f ca="1">IFERROR(INDEX(UNSPSCDes,MATCH(INDIRECT(ADDRESS(ROW(),COLUMN()-1,4)),UNSPSCCode,0)),IF(INDIRECT(ADDRESS(ROW(),COLUMN()-1,4))="51111602","Citarabina",""))</f>
        <v>Citarabina</v>
      </c>
      <c r="C9565" s="95" t="str">
        <f>IFERROR(VLOOKUP("UD",'Informacion '!P:Q,2,FALSE),"")</f>
        <v>Unidad</v>
      </c>
      <c r="D9565" s="94">
        <v>44</v>
      </c>
      <c r="E9565" s="84">
        <v>300.82</v>
      </c>
      <c r="F9565" s="83">
        <f t="shared" ca="1" si="404"/>
        <v>13236.08</v>
      </c>
    </row>
    <row r="9566" spans="1:6" ht="14.1" customHeight="1" x14ac:dyDescent="0.25">
      <c r="A9566" s="94" t="s">
        <v>14357</v>
      </c>
      <c r="B9566" s="82" t="str">
        <f ca="1">IFERROR(INDEX(UNSPSCDes,MATCH(INDIRECT(ADDRESS(ROW(),COLUMN()-1,4)),UNSPSCCode,0)),IF(INDIRECT(ADDRESS(ROW(),COLUMN()-1,4))="51111602","Citarabina",""))</f>
        <v>Citarabina</v>
      </c>
      <c r="C9566" s="95" t="str">
        <f>IFERROR(VLOOKUP("UD",'Informacion '!P:Q,2,FALSE),"")</f>
        <v>Unidad</v>
      </c>
      <c r="D9566" s="94">
        <v>47</v>
      </c>
      <c r="E9566" s="84">
        <v>459.4</v>
      </c>
      <c r="F9566" s="83">
        <f t="shared" ca="1" si="404"/>
        <v>21591.8</v>
      </c>
    </row>
    <row r="9567" spans="1:6" ht="14.1" customHeight="1" x14ac:dyDescent="0.25">
      <c r="A9567" s="94" t="s">
        <v>14357</v>
      </c>
      <c r="B9567" s="82" t="str">
        <f ca="1">IFERROR(INDEX(UNSPSCDes,MATCH(INDIRECT(ADDRESS(ROW(),COLUMN()-1,4)),UNSPSCCode,0)),IF(INDIRECT(ADDRESS(ROW(),COLUMN()-1,4))="51111602","Citarabina",""))</f>
        <v>Citarabina</v>
      </c>
      <c r="C9567" s="95" t="str">
        <f>IFERROR(VLOOKUP("UD",'Informacion '!P:Q,2,FALSE),"")</f>
        <v>Unidad</v>
      </c>
      <c r="D9567" s="94">
        <v>17</v>
      </c>
      <c r="E9567" s="84">
        <v>660</v>
      </c>
      <c r="F9567" s="83">
        <f t="shared" ca="1" si="404"/>
        <v>11220</v>
      </c>
    </row>
    <row r="9568" spans="1:6" ht="14.1" customHeight="1" x14ac:dyDescent="0.25">
      <c r="A9568" s="94" t="s">
        <v>6233</v>
      </c>
      <c r="B9568" s="82" t="str">
        <f ca="1">IFERROR(INDEX(UNSPSCDes,MATCH(INDIRECT(ADDRESS(ROW(),COLUMN()-1,4)),UNSPSCCode,0)),IF(INDIRECT(ADDRESS(ROW(),COLUMN()-1,4))="51111508","Dacarbazina",""))</f>
        <v>Dacarbazina</v>
      </c>
      <c r="C9568" s="95" t="str">
        <f>IFERROR(VLOOKUP("UD",'Informacion '!P:Q,2,FALSE),"")</f>
        <v>Unidad</v>
      </c>
      <c r="D9568" s="94">
        <v>26</v>
      </c>
      <c r="E9568" s="84">
        <v>880</v>
      </c>
      <c r="F9568" s="83">
        <f t="shared" ca="1" si="404"/>
        <v>22880</v>
      </c>
    </row>
    <row r="9569" spans="1:6" ht="14.1" customHeight="1" x14ac:dyDescent="0.25">
      <c r="A9569" s="94" t="s">
        <v>6233</v>
      </c>
      <c r="B9569" s="82" t="str">
        <f ca="1">IFERROR(INDEX(UNSPSCDes,MATCH(INDIRECT(ADDRESS(ROW(),COLUMN()-1,4)),UNSPSCCode,0)),IF(INDIRECT(ADDRESS(ROW(),COLUMN()-1,4))="51111508","Dacarbazina",""))</f>
        <v>Dacarbazina</v>
      </c>
      <c r="C9569" s="95" t="str">
        <f>IFERROR(VLOOKUP("UD",'Informacion '!P:Q,2,FALSE),"")</f>
        <v>Unidad</v>
      </c>
      <c r="D9569" s="94">
        <v>45</v>
      </c>
      <c r="E9569" s="84">
        <v>873.85</v>
      </c>
      <c r="F9569" s="83">
        <f t="shared" ca="1" si="404"/>
        <v>39323.25</v>
      </c>
    </row>
    <row r="9570" spans="1:6" ht="14.1" customHeight="1" x14ac:dyDescent="0.25">
      <c r="A9570" s="94" t="s">
        <v>6233</v>
      </c>
      <c r="B9570" s="82" t="str">
        <f ca="1">IFERROR(INDEX(UNSPSCDes,MATCH(INDIRECT(ADDRESS(ROW(),COLUMN()-1,4)),UNSPSCCode,0)),IF(INDIRECT(ADDRESS(ROW(),COLUMN()-1,4))="51111508","Dacarbazina",""))</f>
        <v>Dacarbazina</v>
      </c>
      <c r="C9570" s="95" t="str">
        <f>IFERROR(VLOOKUP("UD",'Informacion '!P:Q,2,FALSE),"")</f>
        <v>Unidad</v>
      </c>
      <c r="D9570" s="94">
        <v>10</v>
      </c>
      <c r="E9570" s="84">
        <v>990.81</v>
      </c>
      <c r="F9570" s="83">
        <f t="shared" ca="1" si="404"/>
        <v>9908.0999999999985</v>
      </c>
    </row>
    <row r="9571" spans="1:6" ht="14.1" customHeight="1" x14ac:dyDescent="0.25">
      <c r="A9571" s="94" t="s">
        <v>3201</v>
      </c>
      <c r="B9571" s="82" t="str">
        <f ca="1">IFERROR(INDEX(UNSPSCDes,MATCH(INDIRECT(ADDRESS(ROW(),COLUMN()-1,4)),UNSPSCCode,0)),IF(INDIRECT(ADDRESS(ROW(),COLUMN()-1,4))="51111702","Dactinomicina",""))</f>
        <v>Dactinomicina</v>
      </c>
      <c r="C9571" s="95" t="str">
        <f>IFERROR(VLOOKUP("UD",'Informacion '!P:Q,2,FALSE),"")</f>
        <v>Unidad</v>
      </c>
      <c r="D9571" s="94">
        <v>11</v>
      </c>
      <c r="E9571" s="84">
        <v>1450</v>
      </c>
      <c r="F9571" s="83">
        <f t="shared" ca="1" si="404"/>
        <v>15950</v>
      </c>
    </row>
    <row r="9572" spans="1:6" ht="14.1" customHeight="1" x14ac:dyDescent="0.25">
      <c r="A9572" s="94" t="s">
        <v>14635</v>
      </c>
      <c r="B9572" s="82" t="str">
        <f ca="1">IFERROR(INDEX(UNSPSCDes,MATCH(INDIRECT(ADDRESS(ROW(),COLUMN()-1,4)),UNSPSCCode,0)),IF(INDIRECT(ADDRESS(ROW(),COLUMN()-1,4))="51111703","Daunorubicinas",""))</f>
        <v>Daunorubicinas</v>
      </c>
      <c r="C9572" s="95" t="str">
        <f>IFERROR(VLOOKUP("UD",'Informacion '!P:Q,2,FALSE),"")</f>
        <v>Unidad</v>
      </c>
      <c r="D9572" s="94">
        <v>54</v>
      </c>
      <c r="E9572" s="84">
        <v>917.26</v>
      </c>
      <c r="F9572" s="83">
        <f t="shared" ca="1" si="404"/>
        <v>49532.04</v>
      </c>
    </row>
    <row r="9573" spans="1:6" ht="14.1" customHeight="1" x14ac:dyDescent="0.25">
      <c r="A9573" s="94" t="s">
        <v>983</v>
      </c>
      <c r="B9573" s="82" t="str">
        <f t="shared" ref="B9573:B9581" ca="1" si="405">IFERROR(INDEX(UNSPSCDes,MATCH(INDIRECT(ADDRESS(ROW(),COLUMN()-1,4)),UNSPSCCode,0)),IF(INDIRECT(ADDRESS(ROW(),COLUMN()-1,4))="51111902","Docetaxel",""))</f>
        <v>Docetaxel</v>
      </c>
      <c r="C9573" s="95" t="str">
        <f>IFERROR(VLOOKUP("UD",'Informacion '!P:Q,2,FALSE),"")</f>
        <v>Unidad</v>
      </c>
      <c r="D9573" s="94">
        <v>44</v>
      </c>
      <c r="E9573" s="84">
        <v>1080.1600000000001</v>
      </c>
      <c r="F9573" s="83">
        <f t="shared" ca="1" si="404"/>
        <v>47527.040000000001</v>
      </c>
    </row>
    <row r="9574" spans="1:6" ht="14.1" customHeight="1" x14ac:dyDescent="0.25">
      <c r="A9574" s="94" t="s">
        <v>983</v>
      </c>
      <c r="B9574" s="82" t="str">
        <f t="shared" ca="1" si="405"/>
        <v>Docetaxel</v>
      </c>
      <c r="C9574" s="95" t="str">
        <f>IFERROR(VLOOKUP("UD",'Informacion '!P:Q,2,FALSE),"")</f>
        <v>Unidad</v>
      </c>
      <c r="D9574" s="94">
        <v>40</v>
      </c>
      <c r="E9574" s="84">
        <v>910</v>
      </c>
      <c r="F9574" s="83">
        <f t="shared" ca="1" si="404"/>
        <v>36400</v>
      </c>
    </row>
    <row r="9575" spans="1:6" ht="14.1" customHeight="1" x14ac:dyDescent="0.25">
      <c r="A9575" s="94" t="s">
        <v>983</v>
      </c>
      <c r="B9575" s="82" t="str">
        <f t="shared" ca="1" si="405"/>
        <v>Docetaxel</v>
      </c>
      <c r="C9575" s="95" t="str">
        <f>IFERROR(VLOOKUP("UD",'Informacion '!P:Q,2,FALSE),"")</f>
        <v>Unidad</v>
      </c>
      <c r="D9575" s="94">
        <v>37</v>
      </c>
      <c r="E9575" s="84">
        <v>1400</v>
      </c>
      <c r="F9575" s="83">
        <f t="shared" ca="1" si="404"/>
        <v>51800</v>
      </c>
    </row>
    <row r="9576" spans="1:6" ht="14.1" customHeight="1" x14ac:dyDescent="0.25">
      <c r="A9576" s="94" t="s">
        <v>983</v>
      </c>
      <c r="B9576" s="82" t="str">
        <f t="shared" ca="1" si="405"/>
        <v>Docetaxel</v>
      </c>
      <c r="C9576" s="95" t="str">
        <f>IFERROR(VLOOKUP("UD",'Informacion '!P:Q,2,FALSE),"")</f>
        <v>Unidad</v>
      </c>
      <c r="D9576" s="94">
        <v>53</v>
      </c>
      <c r="E9576" s="84">
        <v>1353</v>
      </c>
      <c r="F9576" s="83">
        <f t="shared" ca="1" si="404"/>
        <v>71709</v>
      </c>
    </row>
    <row r="9577" spans="1:6" ht="14.1" customHeight="1" x14ac:dyDescent="0.25">
      <c r="A9577" s="94" t="s">
        <v>983</v>
      </c>
      <c r="B9577" s="82" t="str">
        <f t="shared" ca="1" si="405"/>
        <v>Docetaxel</v>
      </c>
      <c r="C9577" s="95" t="str">
        <f>IFERROR(VLOOKUP("UD",'Informacion '!P:Q,2,FALSE),"")</f>
        <v>Unidad</v>
      </c>
      <c r="D9577" s="94">
        <v>24</v>
      </c>
      <c r="E9577" s="84">
        <v>2995</v>
      </c>
      <c r="F9577" s="83">
        <f t="shared" ca="1" si="404"/>
        <v>71880</v>
      </c>
    </row>
    <row r="9578" spans="1:6" ht="14.1" customHeight="1" x14ac:dyDescent="0.25">
      <c r="A9578" s="94" t="s">
        <v>983</v>
      </c>
      <c r="B9578" s="82" t="str">
        <f t="shared" ca="1" si="405"/>
        <v>Docetaxel</v>
      </c>
      <c r="C9578" s="95" t="str">
        <f>IFERROR(VLOOKUP("UD",'Informacion '!P:Q,2,FALSE),"")</f>
        <v>Unidad</v>
      </c>
      <c r="D9578" s="94">
        <v>31</v>
      </c>
      <c r="E9578" s="84">
        <v>2216.4299999999998</v>
      </c>
      <c r="F9578" s="83">
        <f t="shared" ca="1" si="404"/>
        <v>68709.33</v>
      </c>
    </row>
    <row r="9579" spans="1:6" ht="14.1" customHeight="1" x14ac:dyDescent="0.25">
      <c r="A9579" s="94" t="s">
        <v>983</v>
      </c>
      <c r="B9579" s="82" t="str">
        <f t="shared" ca="1" si="405"/>
        <v>Docetaxel</v>
      </c>
      <c r="C9579" s="95" t="str">
        <f>IFERROR(VLOOKUP("UD",'Informacion '!P:Q,2,FALSE),"")</f>
        <v>Unidad</v>
      </c>
      <c r="D9579" s="94">
        <v>27</v>
      </c>
      <c r="E9579" s="84">
        <v>2216.4299999999998</v>
      </c>
      <c r="F9579" s="83">
        <f t="shared" ca="1" si="404"/>
        <v>59843.609999999993</v>
      </c>
    </row>
    <row r="9580" spans="1:6" ht="14.1" customHeight="1" x14ac:dyDescent="0.25">
      <c r="A9580" s="94" t="s">
        <v>983</v>
      </c>
      <c r="B9580" s="82" t="str">
        <f t="shared" ca="1" si="405"/>
        <v>Docetaxel</v>
      </c>
      <c r="C9580" s="95" t="str">
        <f>IFERROR(VLOOKUP("UD",'Informacion '!P:Q,2,FALSE),"")</f>
        <v>Unidad</v>
      </c>
      <c r="D9580" s="94">
        <v>38</v>
      </c>
      <c r="E9580" s="84">
        <v>3098.04</v>
      </c>
      <c r="F9580" s="83">
        <f t="shared" ca="1" si="404"/>
        <v>117725.52</v>
      </c>
    </row>
    <row r="9581" spans="1:6" ht="14.1" customHeight="1" x14ac:dyDescent="0.25">
      <c r="A9581" s="94" t="s">
        <v>983</v>
      </c>
      <c r="B9581" s="82" t="str">
        <f t="shared" ca="1" si="405"/>
        <v>Docetaxel</v>
      </c>
      <c r="C9581" s="95" t="str">
        <f>IFERROR(VLOOKUP("UD",'Informacion '!P:Q,2,FALSE),"")</f>
        <v>Unidad</v>
      </c>
      <c r="D9581" s="94">
        <v>20</v>
      </c>
      <c r="E9581" s="84">
        <v>3297.98</v>
      </c>
      <c r="F9581" s="83">
        <f t="shared" ca="1" si="404"/>
        <v>65959.600000000006</v>
      </c>
    </row>
    <row r="9582" spans="1:6" ht="14.1" customHeight="1" x14ac:dyDescent="0.25">
      <c r="A9582" s="94" t="s">
        <v>1883</v>
      </c>
      <c r="B9582" s="82" t="str">
        <f t="shared" ref="B9582:B9591" ca="1" si="406">IFERROR(INDEX(UNSPSCDes,MATCH(INDIRECT(ADDRESS(ROW(),COLUMN()-1,4)),UNSPSCCode,0)),IF(INDIRECT(ADDRESS(ROW(),COLUMN()-1,4))="51111711","Clorhidrato de doxorubicina",""))</f>
        <v>Clorhidrato de doxorubicina</v>
      </c>
      <c r="C9582" s="95" t="str">
        <f>IFERROR(VLOOKUP("UD",'Informacion '!P:Q,2,FALSE),"")</f>
        <v>Unidad</v>
      </c>
      <c r="D9582" s="94">
        <v>51</v>
      </c>
      <c r="E9582" s="84">
        <v>159.09</v>
      </c>
      <c r="F9582" s="83">
        <f t="shared" ca="1" si="404"/>
        <v>8113.59</v>
      </c>
    </row>
    <row r="9583" spans="1:6" ht="14.1" customHeight="1" x14ac:dyDescent="0.25">
      <c r="A9583" s="94" t="s">
        <v>1883</v>
      </c>
      <c r="B9583" s="82" t="str">
        <f t="shared" ca="1" si="406"/>
        <v>Clorhidrato de doxorubicina</v>
      </c>
      <c r="C9583" s="95" t="str">
        <f>IFERROR(VLOOKUP("UD",'Informacion '!P:Q,2,FALSE),"")</f>
        <v>Unidad</v>
      </c>
      <c r="D9583" s="94">
        <v>173</v>
      </c>
      <c r="E9583" s="84">
        <v>172.11</v>
      </c>
      <c r="F9583" s="83">
        <f t="shared" ca="1" si="404"/>
        <v>29775.030000000002</v>
      </c>
    </row>
    <row r="9584" spans="1:6" ht="14.1" customHeight="1" x14ac:dyDescent="0.25">
      <c r="A9584" s="94" t="s">
        <v>1883</v>
      </c>
      <c r="B9584" s="82" t="str">
        <f t="shared" ca="1" si="406"/>
        <v>Clorhidrato de doxorubicina</v>
      </c>
      <c r="C9584" s="95" t="str">
        <f>IFERROR(VLOOKUP("UD",'Informacion '!P:Q,2,FALSE),"")</f>
        <v>Unidad</v>
      </c>
      <c r="D9584" s="94">
        <v>7</v>
      </c>
      <c r="E9584" s="84">
        <v>13672.08</v>
      </c>
      <c r="F9584" s="83">
        <f t="shared" ca="1" si="404"/>
        <v>95704.56</v>
      </c>
    </row>
    <row r="9585" spans="1:6" ht="14.1" customHeight="1" x14ac:dyDescent="0.25">
      <c r="A9585" s="94" t="s">
        <v>1883</v>
      </c>
      <c r="B9585" s="82" t="str">
        <f t="shared" ca="1" si="406"/>
        <v>Clorhidrato de doxorubicina</v>
      </c>
      <c r="C9585" s="95" t="str">
        <f>IFERROR(VLOOKUP("UD",'Informacion '!P:Q,2,FALSE),"")</f>
        <v>Unidad</v>
      </c>
      <c r="D9585" s="94">
        <v>3</v>
      </c>
      <c r="E9585" s="84">
        <v>520</v>
      </c>
      <c r="F9585" s="83">
        <f t="shared" ca="1" si="404"/>
        <v>1560</v>
      </c>
    </row>
    <row r="9586" spans="1:6" ht="14.1" customHeight="1" x14ac:dyDescent="0.25">
      <c r="A9586" s="94" t="s">
        <v>1883</v>
      </c>
      <c r="B9586" s="82" t="str">
        <f t="shared" ca="1" si="406"/>
        <v>Clorhidrato de doxorubicina</v>
      </c>
      <c r="C9586" s="95" t="str">
        <f>IFERROR(VLOOKUP("UD",'Informacion '!P:Q,2,FALSE),"")</f>
        <v>Unidad</v>
      </c>
      <c r="D9586" s="94">
        <v>7</v>
      </c>
      <c r="E9586" s="84">
        <v>423.92</v>
      </c>
      <c r="F9586" s="83">
        <f t="shared" ca="1" si="404"/>
        <v>2967.44</v>
      </c>
    </row>
    <row r="9587" spans="1:6" ht="14.1" customHeight="1" x14ac:dyDescent="0.25">
      <c r="A9587" s="94" t="s">
        <v>1883</v>
      </c>
      <c r="B9587" s="82" t="str">
        <f t="shared" ca="1" si="406"/>
        <v>Clorhidrato de doxorubicina</v>
      </c>
      <c r="C9587" s="95" t="str">
        <f>IFERROR(VLOOKUP("UD",'Informacion '!P:Q,2,FALSE),"")</f>
        <v>Unidad</v>
      </c>
      <c r="D9587" s="94">
        <v>113</v>
      </c>
      <c r="E9587" s="84">
        <v>567.94000000000005</v>
      </c>
      <c r="F9587" s="83">
        <f t="shared" ca="1" si="404"/>
        <v>64177.220000000008</v>
      </c>
    </row>
    <row r="9588" spans="1:6" ht="14.1" customHeight="1" x14ac:dyDescent="0.25">
      <c r="A9588" s="94" t="s">
        <v>1883</v>
      </c>
      <c r="B9588" s="82" t="str">
        <f t="shared" ca="1" si="406"/>
        <v>Clorhidrato de doxorubicina</v>
      </c>
      <c r="C9588" s="95" t="str">
        <f>IFERROR(VLOOKUP("UD",'Informacion '!P:Q,2,FALSE),"")</f>
        <v>Unidad</v>
      </c>
      <c r="D9588" s="94">
        <v>60</v>
      </c>
      <c r="E9588" s="84">
        <v>424.99</v>
      </c>
      <c r="F9588" s="83">
        <f t="shared" ca="1" si="404"/>
        <v>25499.4</v>
      </c>
    </row>
    <row r="9589" spans="1:6" ht="14.1" customHeight="1" x14ac:dyDescent="0.25">
      <c r="A9589" s="94" t="s">
        <v>1883</v>
      </c>
      <c r="B9589" s="82" t="str">
        <f t="shared" ca="1" si="406"/>
        <v>Clorhidrato de doxorubicina</v>
      </c>
      <c r="C9589" s="95" t="str">
        <f>IFERROR(VLOOKUP("UD",'Informacion '!P:Q,2,FALSE),"")</f>
        <v>Unidad</v>
      </c>
      <c r="D9589" s="94">
        <v>7</v>
      </c>
      <c r="E9589" s="84">
        <v>465</v>
      </c>
      <c r="F9589" s="83">
        <f t="shared" ca="1" si="404"/>
        <v>3255</v>
      </c>
    </row>
    <row r="9590" spans="1:6" ht="14.1" customHeight="1" x14ac:dyDescent="0.25">
      <c r="A9590" s="94" t="s">
        <v>1883</v>
      </c>
      <c r="B9590" s="82" t="str">
        <f t="shared" ca="1" si="406"/>
        <v>Clorhidrato de doxorubicina</v>
      </c>
      <c r="C9590" s="95" t="str">
        <f>IFERROR(VLOOKUP("UD",'Informacion '!P:Q,2,FALSE),"")</f>
        <v>Unidad</v>
      </c>
      <c r="D9590" s="94">
        <v>51</v>
      </c>
      <c r="E9590" s="84">
        <v>607.89</v>
      </c>
      <c r="F9590" s="83">
        <f t="shared" ca="1" si="404"/>
        <v>31002.39</v>
      </c>
    </row>
    <row r="9591" spans="1:6" ht="14.1" customHeight="1" x14ac:dyDescent="0.25">
      <c r="A9591" s="94" t="s">
        <v>1883</v>
      </c>
      <c r="B9591" s="82" t="str">
        <f t="shared" ca="1" si="406"/>
        <v>Clorhidrato de doxorubicina</v>
      </c>
      <c r="C9591" s="95" t="str">
        <f>IFERROR(VLOOKUP("UD",'Informacion '!P:Q,2,FALSE),"")</f>
        <v>Unidad</v>
      </c>
      <c r="D9591" s="94">
        <v>4</v>
      </c>
      <c r="E9591" s="84">
        <v>8010.87</v>
      </c>
      <c r="F9591" s="83">
        <f t="shared" ca="1" si="404"/>
        <v>32043.48</v>
      </c>
    </row>
    <row r="9592" spans="1:6" ht="14.1" customHeight="1" x14ac:dyDescent="0.25">
      <c r="A9592" s="94" t="s">
        <v>11437</v>
      </c>
      <c r="B9592" s="82" t="str">
        <f ca="1">IFERROR(INDEX(UNSPSCDes,MATCH(INDIRECT(ADDRESS(ROW(),COLUMN()-1,4)),UNSPSCCode,0)),IF(INDIRECT(ADDRESS(ROW(),COLUMN()-1,4))="51111710","Epirubicina",""))</f>
        <v>Epirubicina</v>
      </c>
      <c r="C9592" s="95" t="str">
        <f>IFERROR(VLOOKUP("UD",'Informacion '!P:Q,2,FALSE),"")</f>
        <v>Unidad</v>
      </c>
      <c r="D9592" s="94">
        <v>5</v>
      </c>
      <c r="E9592" s="84">
        <v>540</v>
      </c>
      <c r="F9592" s="83">
        <f t="shared" ca="1" si="404"/>
        <v>2700</v>
      </c>
    </row>
    <row r="9593" spans="1:6" ht="14.1" customHeight="1" x14ac:dyDescent="0.25">
      <c r="A9593" s="94" t="s">
        <v>11437</v>
      </c>
      <c r="B9593" s="82" t="str">
        <f ca="1">IFERROR(INDEX(UNSPSCDes,MATCH(INDIRECT(ADDRESS(ROW(),COLUMN()-1,4)),UNSPSCCode,0)),IF(INDIRECT(ADDRESS(ROW(),COLUMN()-1,4))="51111710","Epirubicina",""))</f>
        <v>Epirubicina</v>
      </c>
      <c r="C9593" s="95" t="str">
        <f>IFERROR(VLOOKUP("UD",'Informacion '!P:Q,2,FALSE),"")</f>
        <v>Unidad</v>
      </c>
      <c r="D9593" s="94">
        <v>5</v>
      </c>
      <c r="E9593" s="84">
        <v>796.62</v>
      </c>
      <c r="F9593" s="83">
        <f t="shared" ref="F9593:F9624" ca="1" si="407">INDIRECT(ADDRESS(ROW(),COLUMN()-2,4))*INDIRECT(ADDRESS(ROW(),COLUMN()-1,4))</f>
        <v>3983.1</v>
      </c>
    </row>
    <row r="9594" spans="1:6" ht="14.1" customHeight="1" x14ac:dyDescent="0.25">
      <c r="A9594" s="94" t="s">
        <v>11437</v>
      </c>
      <c r="B9594" s="82" t="str">
        <f ca="1">IFERROR(INDEX(UNSPSCDes,MATCH(INDIRECT(ADDRESS(ROW(),COLUMN()-1,4)),UNSPSCCode,0)),IF(INDIRECT(ADDRESS(ROW(),COLUMN()-1,4))="51111710","Epirubicina",""))</f>
        <v>Epirubicina</v>
      </c>
      <c r="C9594" s="95" t="str">
        <f>IFERROR(VLOOKUP("UD",'Informacion '!P:Q,2,FALSE),"")</f>
        <v>Unidad</v>
      </c>
      <c r="D9594" s="94">
        <v>14</v>
      </c>
      <c r="E9594" s="84">
        <v>2982.9</v>
      </c>
      <c r="F9594" s="83">
        <f t="shared" ca="1" si="407"/>
        <v>41760.6</v>
      </c>
    </row>
    <row r="9595" spans="1:6" ht="14.1" customHeight="1" x14ac:dyDescent="0.25">
      <c r="A9595" s="94" t="s">
        <v>11115</v>
      </c>
      <c r="B9595" s="82" t="str">
        <f ca="1">IFERROR(INDEX(UNSPSCDes,MATCH(INDIRECT(ADDRESS(ROW(),COLUMN()-1,4)),UNSPSCCode,0)),IF(INDIRECT(ADDRESS(ROW(),COLUMN()-1,4))="51131506","Eritropoyetina",""))</f>
        <v>Eritropoyetina</v>
      </c>
      <c r="C9595" s="95" t="str">
        <f>IFERROR(VLOOKUP("UD",'Informacion '!P:Q,2,FALSE),"")</f>
        <v>Unidad</v>
      </c>
      <c r="D9595" s="94">
        <v>22</v>
      </c>
      <c r="E9595" s="84">
        <v>690</v>
      </c>
      <c r="F9595" s="83">
        <f t="shared" ca="1" si="407"/>
        <v>15180</v>
      </c>
    </row>
    <row r="9596" spans="1:6" ht="14.1" customHeight="1" x14ac:dyDescent="0.25">
      <c r="A9596" s="94" t="s">
        <v>11115</v>
      </c>
      <c r="B9596" s="82" t="str">
        <f ca="1">IFERROR(INDEX(UNSPSCDes,MATCH(INDIRECT(ADDRESS(ROW(),COLUMN()-1,4)),UNSPSCCode,0)),IF(INDIRECT(ADDRESS(ROW(),COLUMN()-1,4))="51131506","Eritropoyetina",""))</f>
        <v>Eritropoyetina</v>
      </c>
      <c r="C9596" s="95" t="str">
        <f>IFERROR(VLOOKUP("UD",'Informacion '!P:Q,2,FALSE),"")</f>
        <v>Unidad</v>
      </c>
      <c r="D9596" s="94">
        <v>75</v>
      </c>
      <c r="E9596" s="84">
        <v>939.49</v>
      </c>
      <c r="F9596" s="83">
        <f t="shared" ca="1" si="407"/>
        <v>70461.75</v>
      </c>
    </row>
    <row r="9597" spans="1:6" ht="14.1" customHeight="1" x14ac:dyDescent="0.25">
      <c r="A9597" s="94" t="s">
        <v>11115</v>
      </c>
      <c r="B9597" s="82" t="str">
        <f ca="1">IFERROR(INDEX(UNSPSCDes,MATCH(INDIRECT(ADDRESS(ROW(),COLUMN()-1,4)),UNSPSCCode,0)),IF(INDIRECT(ADDRESS(ROW(),COLUMN()-1,4))="51131506","Eritropoyetina",""))</f>
        <v>Eritropoyetina</v>
      </c>
      <c r="C9597" s="95" t="str">
        <f>IFERROR(VLOOKUP("UD",'Informacion '!P:Q,2,FALSE),"")</f>
        <v>Unidad</v>
      </c>
      <c r="D9597" s="94">
        <v>3</v>
      </c>
      <c r="E9597" s="84">
        <v>6800</v>
      </c>
      <c r="F9597" s="83">
        <f t="shared" ca="1" si="407"/>
        <v>20400</v>
      </c>
    </row>
    <row r="9598" spans="1:6" ht="14.1" customHeight="1" x14ac:dyDescent="0.25">
      <c r="A9598" s="94" t="s">
        <v>11115</v>
      </c>
      <c r="B9598" s="82" t="str">
        <f ca="1">IFERROR(INDEX(UNSPSCDes,MATCH(INDIRECT(ADDRESS(ROW(),COLUMN()-1,4)),UNSPSCCode,0)),IF(INDIRECT(ADDRESS(ROW(),COLUMN()-1,4))="51131506","Eritropoyetina",""))</f>
        <v>Eritropoyetina</v>
      </c>
      <c r="C9598" s="95" t="str">
        <f>IFERROR(VLOOKUP("UD",'Informacion '!P:Q,2,FALSE),"")</f>
        <v>Unidad</v>
      </c>
      <c r="D9598" s="94">
        <v>101</v>
      </c>
      <c r="E9598" s="84">
        <v>320</v>
      </c>
      <c r="F9598" s="83">
        <f t="shared" ca="1" si="407"/>
        <v>32320</v>
      </c>
    </row>
    <row r="9599" spans="1:6" ht="14.1" customHeight="1" x14ac:dyDescent="0.25">
      <c r="A9599" s="94" t="s">
        <v>10087</v>
      </c>
      <c r="B9599" s="82" t="str">
        <f ca="1">IFERROR(INDEX(UNSPSCDes,MATCH(INDIRECT(ADDRESS(ROW(),COLUMN()-1,4)),UNSPSCCode,0)),IF(INDIRECT(ADDRESS(ROW(),COLUMN()-1,4))="51111614","Etopósido",""))</f>
        <v>Etopósido</v>
      </c>
      <c r="C9599" s="95" t="str">
        <f>IFERROR(VLOOKUP("UD",'Informacion '!P:Q,2,FALSE),"")</f>
        <v>Unidad</v>
      </c>
      <c r="D9599" s="94">
        <v>14</v>
      </c>
      <c r="E9599" s="84">
        <v>522</v>
      </c>
      <c r="F9599" s="83">
        <f t="shared" ca="1" si="407"/>
        <v>7308</v>
      </c>
    </row>
    <row r="9600" spans="1:6" ht="14.1" customHeight="1" x14ac:dyDescent="0.25">
      <c r="A9600" s="94" t="s">
        <v>10087</v>
      </c>
      <c r="B9600" s="82" t="str">
        <f ca="1">IFERROR(INDEX(UNSPSCDes,MATCH(INDIRECT(ADDRESS(ROW(),COLUMN()-1,4)),UNSPSCCode,0)),IF(INDIRECT(ADDRESS(ROW(),COLUMN()-1,4))="51111614","Etopósido",""))</f>
        <v>Etopósido</v>
      </c>
      <c r="C9600" s="95" t="str">
        <f>IFERROR(VLOOKUP("UD",'Informacion '!P:Q,2,FALSE),"")</f>
        <v>Unidad</v>
      </c>
      <c r="D9600" s="94">
        <v>70</v>
      </c>
      <c r="E9600" s="84">
        <v>200.89</v>
      </c>
      <c r="F9600" s="83">
        <f t="shared" ca="1" si="407"/>
        <v>14062.3</v>
      </c>
    </row>
    <row r="9601" spans="1:6" ht="14.1" customHeight="1" x14ac:dyDescent="0.25">
      <c r="A9601" s="94" t="s">
        <v>10087</v>
      </c>
      <c r="B9601" s="82" t="str">
        <f ca="1">IFERROR(INDEX(UNSPSCDes,MATCH(INDIRECT(ADDRESS(ROW(),COLUMN()-1,4)),UNSPSCCode,0)),IF(INDIRECT(ADDRESS(ROW(),COLUMN()-1,4))="51111614","Etopósido",""))</f>
        <v>Etopósido</v>
      </c>
      <c r="C9601" s="95" t="str">
        <f>IFERROR(VLOOKUP("UD",'Informacion '!P:Q,2,FALSE),"")</f>
        <v>Unidad</v>
      </c>
      <c r="D9601" s="94">
        <v>7</v>
      </c>
      <c r="E9601" s="84">
        <v>200</v>
      </c>
      <c r="F9601" s="83">
        <f t="shared" ca="1" si="407"/>
        <v>1400</v>
      </c>
    </row>
    <row r="9602" spans="1:6" ht="14.1" customHeight="1" x14ac:dyDescent="0.25">
      <c r="A9602" s="94" t="s">
        <v>4544</v>
      </c>
      <c r="B9602" s="82" t="str">
        <f ca="1">IFERROR(INDEX(UNSPSCDes,MATCH(INDIRECT(ADDRESS(ROW(),COLUMN()-1,4)),UNSPSCCode,0)),IF(INDIRECT(ADDRESS(ROW(),COLUMN()-1,4))="51201802","Filgrastim",""))</f>
        <v>Filgrastim</v>
      </c>
      <c r="C9602" s="95" t="str">
        <f>IFERROR(VLOOKUP("UD",'Informacion '!P:Q,2,FALSE),"")</f>
        <v>Unidad</v>
      </c>
      <c r="D9602" s="94">
        <v>7</v>
      </c>
      <c r="E9602" s="84">
        <v>1701.7</v>
      </c>
      <c r="F9602" s="83">
        <f t="shared" ca="1" si="407"/>
        <v>11911.9</v>
      </c>
    </row>
    <row r="9603" spans="1:6" ht="14.1" customHeight="1" x14ac:dyDescent="0.25">
      <c r="A9603" s="94" t="s">
        <v>14363</v>
      </c>
      <c r="B9603" s="82" t="str">
        <f ca="1">IFERROR(INDEX(UNSPSCDes,MATCH(INDIRECT(ADDRESS(ROW(),COLUMN()-1,4)),UNSPSCCode,0)),IF(INDIRECT(ADDRESS(ROW(),COLUMN()-1,4))="51111604","Fosfato de fludarabina",""))</f>
        <v>Fosfato de fludarabina</v>
      </c>
      <c r="C9603" s="95" t="str">
        <f>IFERROR(VLOOKUP("UD",'Informacion '!P:Q,2,FALSE),"")</f>
        <v>Unidad</v>
      </c>
      <c r="D9603" s="94">
        <v>27</v>
      </c>
      <c r="E9603" s="84">
        <v>3345.56</v>
      </c>
      <c r="F9603" s="83">
        <f t="shared" ca="1" si="407"/>
        <v>90330.12</v>
      </c>
    </row>
    <row r="9604" spans="1:6" ht="14.1" customHeight="1" x14ac:dyDescent="0.25">
      <c r="A9604" s="94" t="s">
        <v>13176</v>
      </c>
      <c r="B9604" s="82" t="str">
        <f ca="1">IFERROR(INDEX(UNSPSCDes,MATCH(INDIRECT(ADDRESS(ROW(),COLUMN()-1,4)),UNSPSCCode,0)),IF(INDIRECT(ADDRESS(ROW(),COLUMN()-1,4))="51111605","Fluorouracilo",""))</f>
        <v>Fluorouracilo</v>
      </c>
      <c r="C9604" s="95" t="str">
        <f>IFERROR(VLOOKUP("UD",'Informacion '!P:Q,2,FALSE),"")</f>
        <v>Unidad</v>
      </c>
      <c r="D9604" s="94">
        <v>10</v>
      </c>
      <c r="E9604" s="84">
        <v>125</v>
      </c>
      <c r="F9604" s="83">
        <f t="shared" ca="1" si="407"/>
        <v>1250</v>
      </c>
    </row>
    <row r="9605" spans="1:6" ht="14.1" customHeight="1" x14ac:dyDescent="0.25">
      <c r="A9605" s="94" t="s">
        <v>14143</v>
      </c>
      <c r="B9605" s="82" t="str">
        <f t="shared" ref="B9605:B9614" ca="1" si="408">IFERROR(INDEX(UNSPSCDes,MATCH(INDIRECT(ADDRESS(ROW(),COLUMN()-1,4)),UNSPSCCode,0)),IF(INDIRECT(ADDRESS(ROW(),COLUMN()-1,4))="51111617","Clorhidrato de gemcitabina",""))</f>
        <v>Clorhidrato de gemcitabina</v>
      </c>
      <c r="C9605" s="95" t="str">
        <f>IFERROR(VLOOKUP("UD",'Informacion '!P:Q,2,FALSE),"")</f>
        <v>Unidad</v>
      </c>
      <c r="D9605" s="94">
        <v>15</v>
      </c>
      <c r="E9605" s="84">
        <v>2479</v>
      </c>
      <c r="F9605" s="83">
        <f t="shared" ca="1" si="407"/>
        <v>37185</v>
      </c>
    </row>
    <row r="9606" spans="1:6" ht="14.1" customHeight="1" x14ac:dyDescent="0.25">
      <c r="A9606" s="94" t="s">
        <v>14143</v>
      </c>
      <c r="B9606" s="82" t="str">
        <f t="shared" ca="1" si="408"/>
        <v>Clorhidrato de gemcitabina</v>
      </c>
      <c r="C9606" s="95" t="str">
        <f>IFERROR(VLOOKUP("UD",'Informacion '!P:Q,2,FALSE),"")</f>
        <v>Unidad</v>
      </c>
      <c r="D9606" s="94">
        <v>27</v>
      </c>
      <c r="E9606" s="84">
        <v>3900</v>
      </c>
      <c r="F9606" s="83">
        <f t="shared" ca="1" si="407"/>
        <v>105300</v>
      </c>
    </row>
    <row r="9607" spans="1:6" ht="14.1" customHeight="1" x14ac:dyDescent="0.25">
      <c r="A9607" s="94" t="s">
        <v>14143</v>
      </c>
      <c r="B9607" s="82" t="str">
        <f t="shared" ca="1" si="408"/>
        <v>Clorhidrato de gemcitabina</v>
      </c>
      <c r="C9607" s="95" t="str">
        <f>IFERROR(VLOOKUP("UD",'Informacion '!P:Q,2,FALSE),"")</f>
        <v>Unidad</v>
      </c>
      <c r="D9607" s="94">
        <v>4</v>
      </c>
      <c r="E9607" s="84">
        <v>2479</v>
      </c>
      <c r="F9607" s="83">
        <f t="shared" ca="1" si="407"/>
        <v>9916</v>
      </c>
    </row>
    <row r="9608" spans="1:6" ht="14.1" customHeight="1" x14ac:dyDescent="0.25">
      <c r="A9608" s="94" t="s">
        <v>14143</v>
      </c>
      <c r="B9608" s="82" t="str">
        <f t="shared" ca="1" si="408"/>
        <v>Clorhidrato de gemcitabina</v>
      </c>
      <c r="C9608" s="95" t="str">
        <f>IFERROR(VLOOKUP("UD",'Informacion '!P:Q,2,FALSE),"")</f>
        <v>Unidad</v>
      </c>
      <c r="D9608" s="94">
        <v>6</v>
      </c>
      <c r="E9608" s="84">
        <v>4583.33</v>
      </c>
      <c r="F9608" s="83">
        <f t="shared" ca="1" si="407"/>
        <v>27499.98</v>
      </c>
    </row>
    <row r="9609" spans="1:6" ht="14.1" customHeight="1" x14ac:dyDescent="0.25">
      <c r="A9609" s="94" t="s">
        <v>14143</v>
      </c>
      <c r="B9609" s="82" t="str">
        <f t="shared" ca="1" si="408"/>
        <v>Clorhidrato de gemcitabina</v>
      </c>
      <c r="C9609" s="95" t="str">
        <f>IFERROR(VLOOKUP("UD",'Informacion '!P:Q,2,FALSE),"")</f>
        <v>Unidad</v>
      </c>
      <c r="D9609" s="94">
        <v>8</v>
      </c>
      <c r="E9609" s="84">
        <v>495.8</v>
      </c>
      <c r="F9609" s="83">
        <f t="shared" ca="1" si="407"/>
        <v>3966.4</v>
      </c>
    </row>
    <row r="9610" spans="1:6" ht="14.1" customHeight="1" x14ac:dyDescent="0.25">
      <c r="A9610" s="94" t="s">
        <v>14143</v>
      </c>
      <c r="B9610" s="82" t="str">
        <f t="shared" ca="1" si="408"/>
        <v>Clorhidrato de gemcitabina</v>
      </c>
      <c r="C9610" s="95" t="str">
        <f>IFERROR(VLOOKUP("UD",'Informacion '!P:Q,2,FALSE),"")</f>
        <v>Unidad</v>
      </c>
      <c r="D9610" s="94">
        <v>23</v>
      </c>
      <c r="E9610" s="84">
        <v>979</v>
      </c>
      <c r="F9610" s="83">
        <f t="shared" ca="1" si="407"/>
        <v>22517</v>
      </c>
    </row>
    <row r="9611" spans="1:6" ht="14.1" customHeight="1" x14ac:dyDescent="0.25">
      <c r="A9611" s="94" t="s">
        <v>14143</v>
      </c>
      <c r="B9611" s="82" t="str">
        <f t="shared" ca="1" si="408"/>
        <v>Clorhidrato de gemcitabina</v>
      </c>
      <c r="C9611" s="95" t="str">
        <f>IFERROR(VLOOKUP("UD",'Informacion '!P:Q,2,FALSE),"")</f>
        <v>Unidad</v>
      </c>
      <c r="D9611" s="94">
        <v>4</v>
      </c>
      <c r="E9611" s="84">
        <v>2995</v>
      </c>
      <c r="F9611" s="83">
        <f t="shared" ca="1" si="407"/>
        <v>11980</v>
      </c>
    </row>
    <row r="9612" spans="1:6" ht="14.1" customHeight="1" x14ac:dyDescent="0.25">
      <c r="A9612" s="94" t="s">
        <v>14143</v>
      </c>
      <c r="B9612" s="82" t="str">
        <f t="shared" ca="1" si="408"/>
        <v>Clorhidrato de gemcitabina</v>
      </c>
      <c r="C9612" s="95" t="str">
        <f>IFERROR(VLOOKUP("UD",'Informacion '!P:Q,2,FALSE),"")</f>
        <v>Unidad</v>
      </c>
      <c r="D9612" s="94">
        <v>20</v>
      </c>
      <c r="E9612" s="84">
        <v>450</v>
      </c>
      <c r="F9612" s="83">
        <f t="shared" ca="1" si="407"/>
        <v>9000</v>
      </c>
    </row>
    <row r="9613" spans="1:6" ht="14.1" customHeight="1" x14ac:dyDescent="0.25">
      <c r="A9613" s="94" t="s">
        <v>14143</v>
      </c>
      <c r="B9613" s="82" t="str">
        <f t="shared" ca="1" si="408"/>
        <v>Clorhidrato de gemcitabina</v>
      </c>
      <c r="C9613" s="95" t="str">
        <f>IFERROR(VLOOKUP("UD",'Informacion '!P:Q,2,FALSE),"")</f>
        <v>Unidad</v>
      </c>
      <c r="D9613" s="94">
        <v>8</v>
      </c>
      <c r="E9613" s="84">
        <v>941.67</v>
      </c>
      <c r="F9613" s="83">
        <f t="shared" ca="1" si="407"/>
        <v>7533.36</v>
      </c>
    </row>
    <row r="9614" spans="1:6" ht="14.1" customHeight="1" x14ac:dyDescent="0.25">
      <c r="A9614" s="94" t="s">
        <v>14143</v>
      </c>
      <c r="B9614" s="82" t="str">
        <f t="shared" ca="1" si="408"/>
        <v>Clorhidrato de gemcitabina</v>
      </c>
      <c r="C9614" s="95" t="str">
        <f>IFERROR(VLOOKUP("UD",'Informacion '!P:Q,2,FALSE),"")</f>
        <v>Unidad</v>
      </c>
      <c r="D9614" s="94">
        <v>82</v>
      </c>
      <c r="E9614" s="84">
        <v>485.74</v>
      </c>
      <c r="F9614" s="83">
        <f t="shared" ca="1" si="407"/>
        <v>39830.68</v>
      </c>
    </row>
    <row r="9615" spans="1:6" ht="14.1" customHeight="1" x14ac:dyDescent="0.25">
      <c r="A9615" s="94" t="s">
        <v>9538</v>
      </c>
      <c r="B9615" s="82" t="str">
        <f ca="1">IFERROR(INDEX(UNSPSCDes,MATCH(INDIRECT(ADDRESS(ROW(),COLUMN()-1,4)),UNSPSCCode,0)),IF(INDIRECT(ADDRESS(ROW(),COLUMN()-1,4))="51171802","Clorhidrato de granisetrón",""))</f>
        <v>Clorhidrato de granisetrón</v>
      </c>
      <c r="C9615" s="95" t="str">
        <f>IFERROR(VLOOKUP("UD",'Informacion '!P:Q,2,FALSE),"")</f>
        <v>Unidad</v>
      </c>
      <c r="D9615" s="94">
        <v>504</v>
      </c>
      <c r="E9615" s="84">
        <v>420.01</v>
      </c>
      <c r="F9615" s="83">
        <f t="shared" ca="1" si="407"/>
        <v>211685.04</v>
      </c>
    </row>
    <row r="9616" spans="1:6" ht="14.1" customHeight="1" x14ac:dyDescent="0.25">
      <c r="A9616" s="94" t="s">
        <v>9538</v>
      </c>
      <c r="B9616" s="82" t="str">
        <f ca="1">IFERROR(INDEX(UNSPSCDes,MATCH(INDIRECT(ADDRESS(ROW(),COLUMN()-1,4)),UNSPSCCode,0)),IF(INDIRECT(ADDRESS(ROW(),COLUMN()-1,4))="51171802","Clorhidrato de granisetrón",""))</f>
        <v>Clorhidrato de granisetrón</v>
      </c>
      <c r="C9616" s="95" t="str">
        <f>IFERROR(VLOOKUP("UD",'Informacion '!P:Q,2,FALSE),"")</f>
        <v>Unidad</v>
      </c>
      <c r="D9616" s="94">
        <v>86</v>
      </c>
      <c r="E9616" s="84">
        <v>250</v>
      </c>
      <c r="F9616" s="83">
        <f t="shared" ca="1" si="407"/>
        <v>21500</v>
      </c>
    </row>
    <row r="9617" spans="1:6" ht="14.1" customHeight="1" x14ac:dyDescent="0.25">
      <c r="A9617" s="94" t="s">
        <v>9538</v>
      </c>
      <c r="B9617" s="82" t="str">
        <f ca="1">IFERROR(INDEX(UNSPSCDes,MATCH(INDIRECT(ADDRESS(ROW(),COLUMN()-1,4)),UNSPSCCode,0)),IF(INDIRECT(ADDRESS(ROW(),COLUMN()-1,4))="51171802","Clorhidrato de granisetrón",""))</f>
        <v>Clorhidrato de granisetrón</v>
      </c>
      <c r="C9617" s="95" t="str">
        <f>IFERROR(VLOOKUP("UD",'Informacion '!P:Q,2,FALSE),"")</f>
        <v>Unidad</v>
      </c>
      <c r="D9617" s="94">
        <v>204</v>
      </c>
      <c r="E9617" s="84">
        <v>420</v>
      </c>
      <c r="F9617" s="83">
        <f t="shared" ca="1" si="407"/>
        <v>85680</v>
      </c>
    </row>
    <row r="9618" spans="1:6" ht="14.1" customHeight="1" x14ac:dyDescent="0.25">
      <c r="A9618" s="94" t="s">
        <v>15292</v>
      </c>
      <c r="B9618" s="82" t="str">
        <f ca="1">IFERROR(INDEX(UNSPSCDes,MATCH(INDIRECT(ADDRESS(ROW(),COLUMN()-1,4)),UNSPSCCode,0)),IF(INDIRECT(ADDRESS(ROW(),COLUMN()-1,4))="51111806","Clorhidrato de irinotecan",""))</f>
        <v>Clorhidrato de irinotecan</v>
      </c>
      <c r="C9618" s="95" t="str">
        <f>IFERROR(VLOOKUP("UD",'Informacion '!P:Q,2,FALSE),"")</f>
        <v>Unidad</v>
      </c>
      <c r="D9618" s="94">
        <v>8</v>
      </c>
      <c r="E9618" s="84">
        <v>2654.67</v>
      </c>
      <c r="F9618" s="83">
        <f t="shared" ca="1" si="407"/>
        <v>21237.360000000001</v>
      </c>
    </row>
    <row r="9619" spans="1:6" ht="14.1" customHeight="1" x14ac:dyDescent="0.25">
      <c r="A9619" s="94" t="s">
        <v>9065</v>
      </c>
      <c r="B9619" s="82" t="str">
        <f ca="1">IFERROR(INDEX(UNSPSCDes,MATCH(INDIRECT(ADDRESS(ROW(),COLUMN()-1,4)),UNSPSCCode,0)),IF(INDIRECT(ADDRESS(ROW(),COLUMN()-1,4))="51111820","Letrozol",""))</f>
        <v>Letrozol</v>
      </c>
      <c r="C9619" s="95" t="str">
        <f>IFERROR(VLOOKUP("UD",'Informacion '!P:Q,2,FALSE),"")</f>
        <v>Unidad</v>
      </c>
      <c r="D9619" s="94">
        <v>161</v>
      </c>
      <c r="E9619" s="84">
        <v>46.67</v>
      </c>
      <c r="F9619" s="83">
        <f t="shared" ca="1" si="407"/>
        <v>7513.87</v>
      </c>
    </row>
    <row r="9620" spans="1:6" ht="14.1" customHeight="1" x14ac:dyDescent="0.25">
      <c r="A9620" s="94" t="s">
        <v>693</v>
      </c>
      <c r="B9620" s="82" t="str">
        <f ca="1">IFERROR(INDEX(UNSPSCDes,MATCH(INDIRECT(ADDRESS(ROW(),COLUMN()-1,4)),UNSPSCCode,0)),IF(INDIRECT(ADDRESS(ROW(),COLUMN()-1,4))="51111716","Rituximab",""))</f>
        <v>Rituximab</v>
      </c>
      <c r="C9620" s="95" t="str">
        <f>IFERROR(VLOOKUP("UD",'Informacion '!P:Q,2,FALSE),"")</f>
        <v>Unidad</v>
      </c>
      <c r="D9620" s="94">
        <v>107</v>
      </c>
      <c r="E9620" s="84">
        <v>17207</v>
      </c>
      <c r="F9620" s="83">
        <f t="shared" ca="1" si="407"/>
        <v>1841149</v>
      </c>
    </row>
    <row r="9621" spans="1:6" ht="14.1" customHeight="1" x14ac:dyDescent="0.25">
      <c r="A9621" s="94" t="s">
        <v>693</v>
      </c>
      <c r="B9621" s="82" t="str">
        <f ca="1">IFERROR(INDEX(UNSPSCDes,MATCH(INDIRECT(ADDRESS(ROW(),COLUMN()-1,4)),UNSPSCCode,0)),IF(INDIRECT(ADDRESS(ROW(),COLUMN()-1,4))="51111716","Rituximab",""))</f>
        <v>Rituximab</v>
      </c>
      <c r="C9621" s="95" t="str">
        <f>IFERROR(VLOOKUP("UD",'Informacion '!P:Q,2,FALSE),"")</f>
        <v>Unidad</v>
      </c>
      <c r="D9621" s="94">
        <v>14</v>
      </c>
      <c r="E9621" s="84">
        <v>107468</v>
      </c>
      <c r="F9621" s="83">
        <f t="shared" ca="1" si="407"/>
        <v>1504552</v>
      </c>
    </row>
    <row r="9622" spans="1:6" ht="14.1" customHeight="1" x14ac:dyDescent="0.25">
      <c r="A9622" s="94" t="s">
        <v>4050</v>
      </c>
      <c r="B9622" s="82" t="str">
        <f ca="1">IFERROR(INDEX(UNSPSCDes,MATCH(INDIRECT(ADDRESS(ROW(),COLUMN()-1,4)),UNSPSCCode,0)),IF(INDIRECT(ADDRESS(ROW(),COLUMN()-1,4))="51181806","Acetato de megestrol",""))</f>
        <v>Acetato de megestrol</v>
      </c>
      <c r="C9622" s="95" t="str">
        <f>IFERROR(VLOOKUP("UD",'Informacion '!P:Q,2,FALSE),"")</f>
        <v>Unidad</v>
      </c>
      <c r="D9622" s="94">
        <v>8</v>
      </c>
      <c r="E9622" s="84">
        <v>1500</v>
      </c>
      <c r="F9622" s="83">
        <f t="shared" ca="1" si="407"/>
        <v>12000</v>
      </c>
    </row>
    <row r="9623" spans="1:6" ht="14.1" customHeight="1" x14ac:dyDescent="0.25">
      <c r="A9623" s="94" t="s">
        <v>11400</v>
      </c>
      <c r="B9623" s="82" t="str">
        <f ca="1">IFERROR(INDEX(UNSPSCDes,MATCH(INDIRECT(ADDRESS(ROW(),COLUMN()-1,4)),UNSPSCCode,0)),IF(INDIRECT(ADDRESS(ROW(),COLUMN()-1,4))="51111609","Mercaptopurina",""))</f>
        <v>Mercaptopurina</v>
      </c>
      <c r="C9623" s="95" t="str">
        <f>IFERROR(VLOOKUP("UD",'Informacion '!P:Q,2,FALSE),"")</f>
        <v>Unidad</v>
      </c>
      <c r="D9623" s="94">
        <v>64</v>
      </c>
      <c r="E9623" s="84">
        <v>14.82</v>
      </c>
      <c r="F9623" s="83">
        <f t="shared" ca="1" si="407"/>
        <v>948.48</v>
      </c>
    </row>
    <row r="9624" spans="1:6" ht="14.1" customHeight="1" x14ac:dyDescent="0.25">
      <c r="A9624" s="94" t="s">
        <v>16400</v>
      </c>
      <c r="B9624" s="82" t="str">
        <f ca="1">IFERROR(INDEX(UNSPSCDes,MATCH(INDIRECT(ADDRESS(ROW(),COLUMN()-1,4)),UNSPSCCode,0)),IF(INDIRECT(ADDRESS(ROW(),COLUMN()-1,4))="51111610","Metotrexato",""))</f>
        <v>Metotrexato</v>
      </c>
      <c r="C9624" s="95" t="str">
        <f>IFERROR(VLOOKUP("UD",'Informacion '!P:Q,2,FALSE),"")</f>
        <v>Unidad</v>
      </c>
      <c r="D9624" s="94">
        <v>10</v>
      </c>
      <c r="E9624" s="84">
        <v>394.19</v>
      </c>
      <c r="F9624" s="83">
        <f t="shared" ca="1" si="407"/>
        <v>3941.9</v>
      </c>
    </row>
    <row r="9625" spans="1:6" ht="14.1" customHeight="1" x14ac:dyDescent="0.25">
      <c r="A9625" s="94" t="s">
        <v>7570</v>
      </c>
      <c r="B9625" s="82" t="str">
        <f t="shared" ref="B9625:B9630" ca="1" si="409">IFERROR(INDEX(UNSPSCDes,MATCH(INDIRECT(ADDRESS(ROW(),COLUMN()-1,4)),UNSPSCCode,0)),IF(INDIRECT(ADDRESS(ROW(),COLUMN()-1,4))="51171816","Ondansetrón",""))</f>
        <v>Ondansetrón</v>
      </c>
      <c r="C9625" s="95" t="str">
        <f>IFERROR(VLOOKUP("UD",'Informacion '!P:Q,2,FALSE),"")</f>
        <v>Unidad</v>
      </c>
      <c r="D9625" s="94">
        <v>25</v>
      </c>
      <c r="E9625" s="84">
        <v>33</v>
      </c>
      <c r="F9625" s="83">
        <f t="shared" ref="F9625:F9656" ca="1" si="410">INDIRECT(ADDRESS(ROW(),COLUMN()-2,4))*INDIRECT(ADDRESS(ROW(),COLUMN()-1,4))</f>
        <v>825</v>
      </c>
    </row>
    <row r="9626" spans="1:6" ht="14.1" customHeight="1" x14ac:dyDescent="0.25">
      <c r="A9626" s="94" t="s">
        <v>7570</v>
      </c>
      <c r="B9626" s="82" t="str">
        <f t="shared" ca="1" si="409"/>
        <v>Ondansetrón</v>
      </c>
      <c r="C9626" s="95" t="str">
        <f>IFERROR(VLOOKUP("UD",'Informacion '!P:Q,2,FALSE),"")</f>
        <v>Unidad</v>
      </c>
      <c r="D9626" s="94">
        <v>10</v>
      </c>
      <c r="E9626" s="84">
        <v>56.25</v>
      </c>
      <c r="F9626" s="83">
        <f t="shared" ca="1" si="410"/>
        <v>562.5</v>
      </c>
    </row>
    <row r="9627" spans="1:6" ht="14.1" customHeight="1" x14ac:dyDescent="0.25">
      <c r="A9627" s="94" t="s">
        <v>7570</v>
      </c>
      <c r="B9627" s="82" t="str">
        <f t="shared" ca="1" si="409"/>
        <v>Ondansetrón</v>
      </c>
      <c r="C9627" s="95" t="str">
        <f>IFERROR(VLOOKUP("UD",'Informacion '!P:Q,2,FALSE),"")</f>
        <v>Unidad</v>
      </c>
      <c r="D9627" s="94">
        <v>29</v>
      </c>
      <c r="E9627" s="84">
        <v>40</v>
      </c>
      <c r="F9627" s="83">
        <f t="shared" ca="1" si="410"/>
        <v>1160</v>
      </c>
    </row>
    <row r="9628" spans="1:6" ht="14.1" customHeight="1" x14ac:dyDescent="0.25">
      <c r="A9628" s="94" t="s">
        <v>7570</v>
      </c>
      <c r="B9628" s="82" t="str">
        <f t="shared" ca="1" si="409"/>
        <v>Ondansetrón</v>
      </c>
      <c r="C9628" s="95" t="str">
        <f>IFERROR(VLOOKUP("UD",'Informacion '!P:Q,2,FALSE),"")</f>
        <v>Unidad</v>
      </c>
      <c r="D9628" s="94">
        <v>518</v>
      </c>
      <c r="E9628" s="84">
        <v>139.29</v>
      </c>
      <c r="F9628" s="83">
        <f t="shared" ca="1" si="410"/>
        <v>72152.22</v>
      </c>
    </row>
    <row r="9629" spans="1:6" ht="14.1" customHeight="1" x14ac:dyDescent="0.25">
      <c r="A9629" s="94" t="s">
        <v>7570</v>
      </c>
      <c r="B9629" s="82" t="str">
        <f t="shared" ca="1" si="409"/>
        <v>Ondansetrón</v>
      </c>
      <c r="C9629" s="95" t="str">
        <f>IFERROR(VLOOKUP("UD",'Informacion '!P:Q,2,FALSE),"")</f>
        <v>Unidad</v>
      </c>
      <c r="D9629" s="94">
        <v>92</v>
      </c>
      <c r="E9629" s="84">
        <v>75</v>
      </c>
      <c r="F9629" s="83">
        <f t="shared" ca="1" si="410"/>
        <v>6900</v>
      </c>
    </row>
    <row r="9630" spans="1:6" ht="14.1" customHeight="1" x14ac:dyDescent="0.25">
      <c r="A9630" s="94" t="s">
        <v>7570</v>
      </c>
      <c r="B9630" s="82" t="str">
        <f t="shared" ca="1" si="409"/>
        <v>Ondansetrón</v>
      </c>
      <c r="C9630" s="95" t="str">
        <f>IFERROR(VLOOKUP("UD",'Informacion '!P:Q,2,FALSE),"")</f>
        <v>Unidad</v>
      </c>
      <c r="D9630" s="94">
        <v>152</v>
      </c>
      <c r="E9630" s="84">
        <v>49.5</v>
      </c>
      <c r="F9630" s="83">
        <f t="shared" ca="1" si="410"/>
        <v>7524</v>
      </c>
    </row>
    <row r="9631" spans="1:6" ht="14.1" customHeight="1" x14ac:dyDescent="0.25">
      <c r="A9631" s="94" t="s">
        <v>10585</v>
      </c>
      <c r="B9631" s="82" t="str">
        <f ca="1">IFERROR(INDEX(UNSPSCDes,MATCH(INDIRECT(ADDRESS(ROW(),COLUMN()-1,4)),UNSPSCCode,0)),IF(INDIRECT(ADDRESS(ROW(),COLUMN()-1,4))="51111506","Cisplatino",""))</f>
        <v>Cisplatino</v>
      </c>
      <c r="C9631" s="95" t="str">
        <f>IFERROR(VLOOKUP("UD",'Informacion '!P:Q,2,FALSE),"")</f>
        <v>Unidad</v>
      </c>
      <c r="D9631" s="94">
        <v>3</v>
      </c>
      <c r="E9631" s="84">
        <v>3732</v>
      </c>
      <c r="F9631" s="83">
        <f t="shared" ca="1" si="410"/>
        <v>11196</v>
      </c>
    </row>
    <row r="9632" spans="1:6" ht="14.1" customHeight="1" x14ac:dyDescent="0.25">
      <c r="A9632" s="94" t="s">
        <v>10585</v>
      </c>
      <c r="B9632" s="82" t="str">
        <f ca="1">IFERROR(INDEX(UNSPSCDes,MATCH(INDIRECT(ADDRESS(ROW(),COLUMN()-1,4)),UNSPSCCode,0)),IF(INDIRECT(ADDRESS(ROW(),COLUMN()-1,4))="51111506","Cisplatino",""))</f>
        <v>Cisplatino</v>
      </c>
      <c r="C9632" s="95" t="str">
        <f>IFERROR(VLOOKUP("UD",'Informacion '!P:Q,2,FALSE),"")</f>
        <v>Unidad</v>
      </c>
      <c r="D9632" s="94">
        <v>69</v>
      </c>
      <c r="E9632" s="84">
        <v>2001.14</v>
      </c>
      <c r="F9632" s="83">
        <f t="shared" ca="1" si="410"/>
        <v>138078.66</v>
      </c>
    </row>
    <row r="9633" spans="1:6" ht="14.1" customHeight="1" x14ac:dyDescent="0.25">
      <c r="A9633" s="94" t="s">
        <v>10585</v>
      </c>
      <c r="B9633" s="82" t="str">
        <f ca="1">IFERROR(INDEX(UNSPSCDes,MATCH(INDIRECT(ADDRESS(ROW(),COLUMN()-1,4)),UNSPSCCode,0)),IF(INDIRECT(ADDRESS(ROW(),COLUMN()-1,4))="51111506","Cisplatino",""))</f>
        <v>Cisplatino</v>
      </c>
      <c r="C9633" s="95" t="str">
        <f>IFERROR(VLOOKUP("UD",'Informacion '!P:Q,2,FALSE),"")</f>
        <v>Unidad</v>
      </c>
      <c r="D9633" s="94">
        <v>13</v>
      </c>
      <c r="E9633" s="84">
        <v>1600</v>
      </c>
      <c r="F9633" s="83">
        <f t="shared" ca="1" si="410"/>
        <v>20800</v>
      </c>
    </row>
    <row r="9634" spans="1:6" ht="14.1" customHeight="1" x14ac:dyDescent="0.25">
      <c r="A9634" s="94" t="s">
        <v>10585</v>
      </c>
      <c r="B9634" s="82" t="str">
        <f ca="1">IFERROR(INDEX(UNSPSCDes,MATCH(INDIRECT(ADDRESS(ROW(),COLUMN()-1,4)),UNSPSCCode,0)),IF(INDIRECT(ADDRESS(ROW(),COLUMN()-1,4))="51111506","Cisplatino",""))</f>
        <v>Cisplatino</v>
      </c>
      <c r="C9634" s="95" t="str">
        <f>IFERROR(VLOOKUP("UD",'Informacion '!P:Q,2,FALSE),"")</f>
        <v>Unidad</v>
      </c>
      <c r="D9634" s="94">
        <v>74</v>
      </c>
      <c r="E9634" s="84">
        <v>1173.26</v>
      </c>
      <c r="F9634" s="83">
        <f t="shared" ca="1" si="410"/>
        <v>86821.24</v>
      </c>
    </row>
    <row r="9635" spans="1:6" ht="14.1" customHeight="1" x14ac:dyDescent="0.25">
      <c r="A9635" s="94" t="s">
        <v>5102</v>
      </c>
      <c r="B9635" s="82" t="str">
        <f t="shared" ref="B9635:B9644" ca="1" si="411">IFERROR(INDEX(UNSPSCDes,MATCH(INDIRECT(ADDRESS(ROW(),COLUMN()-1,4)),UNSPSCCode,0)),IF(INDIRECT(ADDRESS(ROW(),COLUMN()-1,4))="51111904","Paclitaxel",""))</f>
        <v>Paclitaxel</v>
      </c>
      <c r="C9635" s="95" t="str">
        <f>IFERROR(VLOOKUP("UD",'Informacion '!P:Q,2,FALSE),"")</f>
        <v>Unidad</v>
      </c>
      <c r="D9635" s="94">
        <v>3</v>
      </c>
      <c r="E9635" s="84">
        <v>1857</v>
      </c>
      <c r="F9635" s="83">
        <f t="shared" ca="1" si="410"/>
        <v>5571</v>
      </c>
    </row>
    <row r="9636" spans="1:6" ht="14.1" customHeight="1" x14ac:dyDescent="0.25">
      <c r="A9636" s="94" t="s">
        <v>5102</v>
      </c>
      <c r="B9636" s="82" t="str">
        <f t="shared" ca="1" si="411"/>
        <v>Paclitaxel</v>
      </c>
      <c r="C9636" s="95" t="str">
        <f>IFERROR(VLOOKUP("UD",'Informacion '!P:Q,2,FALSE),"")</f>
        <v>Unidad</v>
      </c>
      <c r="D9636" s="94">
        <v>26</v>
      </c>
      <c r="E9636" s="84">
        <v>1300.3900000000001</v>
      </c>
      <c r="F9636" s="83">
        <f t="shared" ca="1" si="410"/>
        <v>33810.14</v>
      </c>
    </row>
    <row r="9637" spans="1:6" ht="14.1" customHeight="1" x14ac:dyDescent="0.25">
      <c r="A9637" s="94" t="s">
        <v>5102</v>
      </c>
      <c r="B9637" s="82" t="str">
        <f t="shared" ca="1" si="411"/>
        <v>Paclitaxel</v>
      </c>
      <c r="C9637" s="95" t="str">
        <f>IFERROR(VLOOKUP("UD",'Informacion '!P:Q,2,FALSE),"")</f>
        <v>Unidad</v>
      </c>
      <c r="D9637" s="94">
        <v>4</v>
      </c>
      <c r="E9637" s="84">
        <v>1031.7</v>
      </c>
      <c r="F9637" s="83">
        <f t="shared" ca="1" si="410"/>
        <v>4126.8</v>
      </c>
    </row>
    <row r="9638" spans="1:6" ht="14.1" customHeight="1" x14ac:dyDescent="0.25">
      <c r="A9638" s="94" t="s">
        <v>5102</v>
      </c>
      <c r="B9638" s="82" t="str">
        <f t="shared" ca="1" si="411"/>
        <v>Paclitaxel</v>
      </c>
      <c r="C9638" s="95" t="str">
        <f>IFERROR(VLOOKUP("UD",'Informacion '!P:Q,2,FALSE),"")</f>
        <v>Unidad</v>
      </c>
      <c r="D9638" s="94">
        <v>43</v>
      </c>
      <c r="E9638" s="84">
        <v>1847.69</v>
      </c>
      <c r="F9638" s="83">
        <f t="shared" ca="1" si="410"/>
        <v>79450.67</v>
      </c>
    </row>
    <row r="9639" spans="1:6" ht="14.1" customHeight="1" x14ac:dyDescent="0.25">
      <c r="A9639" s="94" t="s">
        <v>5102</v>
      </c>
      <c r="B9639" s="82" t="str">
        <f t="shared" ca="1" si="411"/>
        <v>Paclitaxel</v>
      </c>
      <c r="C9639" s="95" t="str">
        <f>IFERROR(VLOOKUP("UD",'Informacion '!P:Q,2,FALSE),"")</f>
        <v>Unidad</v>
      </c>
      <c r="D9639" s="94">
        <v>13</v>
      </c>
      <c r="E9639" s="84">
        <v>3325</v>
      </c>
      <c r="F9639" s="83">
        <f t="shared" ca="1" si="410"/>
        <v>43225</v>
      </c>
    </row>
    <row r="9640" spans="1:6" ht="14.1" customHeight="1" x14ac:dyDescent="0.25">
      <c r="A9640" s="94" t="s">
        <v>5102</v>
      </c>
      <c r="B9640" s="82" t="str">
        <f t="shared" ca="1" si="411"/>
        <v>Paclitaxel</v>
      </c>
      <c r="C9640" s="95" t="str">
        <f>IFERROR(VLOOKUP("UD",'Informacion '!P:Q,2,FALSE),"")</f>
        <v>Unidad</v>
      </c>
      <c r="D9640" s="94">
        <v>38</v>
      </c>
      <c r="E9640" s="84">
        <v>546.80999999999995</v>
      </c>
      <c r="F9640" s="83">
        <f t="shared" ca="1" si="410"/>
        <v>20778.78</v>
      </c>
    </row>
    <row r="9641" spans="1:6" ht="14.1" customHeight="1" x14ac:dyDescent="0.25">
      <c r="A9641" s="94" t="s">
        <v>5102</v>
      </c>
      <c r="B9641" s="82" t="str">
        <f t="shared" ca="1" si="411"/>
        <v>Paclitaxel</v>
      </c>
      <c r="C9641" s="95" t="str">
        <f>IFERROR(VLOOKUP("UD",'Informacion '!P:Q,2,FALSE),"")</f>
        <v>Unidad</v>
      </c>
      <c r="D9641" s="94">
        <v>3</v>
      </c>
      <c r="E9641" s="84">
        <v>450</v>
      </c>
      <c r="F9641" s="83">
        <f t="shared" ca="1" si="410"/>
        <v>1350</v>
      </c>
    </row>
    <row r="9642" spans="1:6" ht="14.1" customHeight="1" x14ac:dyDescent="0.25">
      <c r="A9642" s="94" t="s">
        <v>5102</v>
      </c>
      <c r="B9642" s="82" t="str">
        <f t="shared" ca="1" si="411"/>
        <v>Paclitaxel</v>
      </c>
      <c r="C9642" s="95" t="str">
        <f>IFERROR(VLOOKUP("UD",'Informacion '!P:Q,2,FALSE),"")</f>
        <v>Unidad</v>
      </c>
      <c r="D9642" s="94">
        <v>27</v>
      </c>
      <c r="E9642" s="84">
        <v>3093.21</v>
      </c>
      <c r="F9642" s="83">
        <f t="shared" ca="1" si="410"/>
        <v>83516.67</v>
      </c>
    </row>
    <row r="9643" spans="1:6" ht="14.1" customHeight="1" x14ac:dyDescent="0.25">
      <c r="A9643" s="94" t="s">
        <v>5102</v>
      </c>
      <c r="B9643" s="82" t="str">
        <f t="shared" ca="1" si="411"/>
        <v>Paclitaxel</v>
      </c>
      <c r="C9643" s="95" t="str">
        <f>IFERROR(VLOOKUP("UD",'Informacion '!P:Q,2,FALSE),"")</f>
        <v>Unidad</v>
      </c>
      <c r="D9643" s="94">
        <v>3</v>
      </c>
      <c r="E9643" s="84">
        <v>3000</v>
      </c>
      <c r="F9643" s="83">
        <f t="shared" ca="1" si="410"/>
        <v>9000</v>
      </c>
    </row>
    <row r="9644" spans="1:6" ht="14.1" customHeight="1" x14ac:dyDescent="0.25">
      <c r="A9644" s="94" t="s">
        <v>5102</v>
      </c>
      <c r="B9644" s="82" t="str">
        <f t="shared" ca="1" si="411"/>
        <v>Paclitaxel</v>
      </c>
      <c r="C9644" s="95" t="str">
        <f>IFERROR(VLOOKUP("UD",'Informacion '!P:Q,2,FALSE),"")</f>
        <v>Unidad</v>
      </c>
      <c r="D9644" s="94">
        <v>422</v>
      </c>
      <c r="E9644" s="84">
        <v>518.08000000000004</v>
      </c>
      <c r="F9644" s="83">
        <f t="shared" ca="1" si="410"/>
        <v>218629.76000000001</v>
      </c>
    </row>
    <row r="9645" spans="1:6" ht="14.1" customHeight="1" x14ac:dyDescent="0.25">
      <c r="A9645" s="94" t="s">
        <v>3969</v>
      </c>
      <c r="B9645" s="82" t="str">
        <f ca="1">IFERROR(INDEX(UNSPSCDes,MATCH(INDIRECT(ADDRESS(ROW(),COLUMN()-1,4)),UNSPSCCode,0)),IF(INDIRECT(ADDRESS(ROW(),COLUMN()-1,4))="51142608","Trimetilxantina",""))</f>
        <v>Trimetilxantina</v>
      </c>
      <c r="C9645" s="95" t="str">
        <f>IFERROR(VLOOKUP("UD",'Informacion '!P:Q,2,FALSE),"")</f>
        <v>Unidad</v>
      </c>
      <c r="D9645" s="94">
        <v>7</v>
      </c>
      <c r="E9645" s="84">
        <v>13890</v>
      </c>
      <c r="F9645" s="83">
        <f t="shared" ca="1" si="410"/>
        <v>97230</v>
      </c>
    </row>
    <row r="9646" spans="1:6" ht="14.1" customHeight="1" x14ac:dyDescent="0.25">
      <c r="A9646" s="94" t="s">
        <v>3969</v>
      </c>
      <c r="B9646" s="82" t="str">
        <f ca="1">IFERROR(INDEX(UNSPSCDes,MATCH(INDIRECT(ADDRESS(ROW(),COLUMN()-1,4)),UNSPSCCode,0)),IF(INDIRECT(ADDRESS(ROW(),COLUMN()-1,4))="51142608","Trimetilxantina",""))</f>
        <v>Trimetilxantina</v>
      </c>
      <c r="C9646" s="95" t="str">
        <f>IFERROR(VLOOKUP("UD",'Informacion '!P:Q,2,FALSE),"")</f>
        <v>Unidad</v>
      </c>
      <c r="D9646" s="94">
        <v>5</v>
      </c>
      <c r="E9646" s="84">
        <v>11300</v>
      </c>
      <c r="F9646" s="83">
        <f t="shared" ca="1" si="410"/>
        <v>56500</v>
      </c>
    </row>
    <row r="9647" spans="1:6" ht="14.1" customHeight="1" x14ac:dyDescent="0.25">
      <c r="A9647" s="94" t="s">
        <v>3969</v>
      </c>
      <c r="B9647" s="82" t="str">
        <f ca="1">IFERROR(INDEX(UNSPSCDes,MATCH(INDIRECT(ADDRESS(ROW(),COLUMN()-1,4)),UNSPSCCode,0)),IF(INDIRECT(ADDRESS(ROW(),COLUMN()-1,4))="51142608","Trimetilxantina",""))</f>
        <v>Trimetilxantina</v>
      </c>
      <c r="C9647" s="95" t="str">
        <f>IFERROR(VLOOKUP("UD",'Informacion '!P:Q,2,FALSE),"")</f>
        <v>Unidad</v>
      </c>
      <c r="D9647" s="94">
        <v>9</v>
      </c>
      <c r="E9647" s="84">
        <v>10544.49</v>
      </c>
      <c r="F9647" s="83">
        <f t="shared" ca="1" si="410"/>
        <v>94900.41</v>
      </c>
    </row>
    <row r="9648" spans="1:6" ht="14.1" customHeight="1" x14ac:dyDescent="0.25">
      <c r="A9648" s="94" t="s">
        <v>12663</v>
      </c>
      <c r="B9648" s="82" t="str">
        <f ca="1">IFERROR(INDEX(UNSPSCDes,MATCH(INDIRECT(ADDRESS(ROW(),COLUMN()-1,4)),UNSPSCCode,0)),IF(INDIRECT(ADDRESS(ROW(),COLUMN()-1,4))="51111805","Acetato de goserelina",""))</f>
        <v>Acetato de goserelina</v>
      </c>
      <c r="C9648" s="95" t="str">
        <f>IFERROR(VLOOKUP("UD",'Informacion '!P:Q,2,FALSE),"")</f>
        <v>Unidad</v>
      </c>
      <c r="D9648" s="94">
        <v>14</v>
      </c>
      <c r="E9648" s="84">
        <v>8273.57</v>
      </c>
      <c r="F9648" s="83">
        <f t="shared" ca="1" si="410"/>
        <v>115829.98</v>
      </c>
    </row>
    <row r="9649" spans="1:10" ht="14.1" customHeight="1" x14ac:dyDescent="0.25">
      <c r="A9649" s="94" t="s">
        <v>693</v>
      </c>
      <c r="B9649" s="82" t="str">
        <f ca="1">IFERROR(INDEX(UNSPSCDes,MATCH(INDIRECT(ADDRESS(ROW(),COLUMN()-1,4)),UNSPSCCode,0)),IF(INDIRECT(ADDRESS(ROW(),COLUMN()-1,4))="51111716","Rituximab",""))</f>
        <v>Rituximab</v>
      </c>
      <c r="C9649" s="95" t="str">
        <f>IFERROR(VLOOKUP("UD",'Informacion '!P:Q,2,FALSE),"")</f>
        <v>Unidad</v>
      </c>
      <c r="D9649" s="94">
        <v>5</v>
      </c>
      <c r="E9649" s="84">
        <v>103224</v>
      </c>
      <c r="F9649" s="83">
        <f t="shared" ca="1" si="410"/>
        <v>516120</v>
      </c>
    </row>
    <row r="9650" spans="1:10" ht="14.1" customHeight="1" x14ac:dyDescent="0.25">
      <c r="A9650" s="94" t="s">
        <v>2723</v>
      </c>
      <c r="B9650" s="82" t="str">
        <f ca="1">IFERROR(INDEX(UNSPSCDes,MATCH(INDIRECT(ADDRESS(ROW(),COLUMN()-1,4)),UNSPSCCode,0)),IF(INDIRECT(ADDRESS(ROW(),COLUMN()-1,4))="12352108","Esteres o sus sustitutos",""))</f>
        <v>Esteres o sus sustitutos</v>
      </c>
      <c r="C9650" s="95" t="str">
        <f>IFERROR(VLOOKUP("UD",'Informacion '!P:Q,2,FALSE),"")</f>
        <v>Unidad</v>
      </c>
      <c r="D9650" s="94">
        <v>69</v>
      </c>
      <c r="E9650" s="84">
        <v>65</v>
      </c>
      <c r="F9650" s="83">
        <f t="shared" ca="1" si="410"/>
        <v>4485</v>
      </c>
    </row>
    <row r="9651" spans="1:10" ht="14.1" customHeight="1" x14ac:dyDescent="0.25">
      <c r="A9651" s="94" t="s">
        <v>3143</v>
      </c>
      <c r="B9651" s="82" t="str">
        <f ca="1">IFERROR(INDEX(UNSPSCDes,MATCH(INDIRECT(ADDRESS(ROW(),COLUMN()-1,4)),UNSPSCCode,0)),IF(INDIRECT(ADDRESS(ROW(),COLUMN()-1,4))="51111519","Temozolomida",""))</f>
        <v>Temozolomida</v>
      </c>
      <c r="C9651" s="95" t="str">
        <f>IFERROR(VLOOKUP("UD",'Informacion '!P:Q,2,FALSE),"")</f>
        <v>Unidad</v>
      </c>
      <c r="D9651" s="94">
        <v>10</v>
      </c>
      <c r="E9651" s="84">
        <v>2948.41</v>
      </c>
      <c r="F9651" s="83">
        <f t="shared" ca="1" si="410"/>
        <v>29484.1</v>
      </c>
    </row>
    <row r="9652" spans="1:10" ht="14.1" customHeight="1" x14ac:dyDescent="0.25">
      <c r="A9652" s="94" t="s">
        <v>2095</v>
      </c>
      <c r="B9652" s="82" t="str">
        <f ca="1">IFERROR(INDEX(UNSPSCDes,MATCH(INDIRECT(ADDRESS(ROW(),COLUMN()-1,4)),UNSPSCCode,0)),IF(INDIRECT(ADDRESS(ROW(),COLUMN()-1,4))="51111812","Sulfato de vinblastina",""))</f>
        <v>Sulfato de vinblastina</v>
      </c>
      <c r="C9652" s="95" t="str">
        <f>IFERROR(VLOOKUP("UD",'Informacion '!P:Q,2,FALSE),"")</f>
        <v>Unidad</v>
      </c>
      <c r="D9652" s="94">
        <v>20</v>
      </c>
      <c r="E9652" s="84">
        <v>697.2</v>
      </c>
      <c r="F9652" s="83">
        <f t="shared" ca="1" si="410"/>
        <v>13944</v>
      </c>
    </row>
    <row r="9653" spans="1:10" ht="14.1" customHeight="1" x14ac:dyDescent="0.25">
      <c r="A9653" s="94" t="s">
        <v>7316</v>
      </c>
      <c r="B9653" s="82" t="str">
        <f ca="1">IFERROR(INDEX(UNSPSCDes,MATCH(INDIRECT(ADDRESS(ROW(),COLUMN()-1,4)),UNSPSCCode,0)),IF(INDIRECT(ADDRESS(ROW(),COLUMN()-1,4))="51111813","Sulfato de vincristina",""))</f>
        <v>Sulfato de vincristina</v>
      </c>
      <c r="C9653" s="95" t="str">
        <f>IFERROR(VLOOKUP("UD",'Informacion '!P:Q,2,FALSE),"")</f>
        <v>Unidad</v>
      </c>
      <c r="D9653" s="94">
        <v>59</v>
      </c>
      <c r="E9653" s="84">
        <v>263.85000000000002</v>
      </c>
      <c r="F9653" s="83">
        <f t="shared" ca="1" si="410"/>
        <v>15567.150000000001</v>
      </c>
    </row>
    <row r="9654" spans="1:10" ht="14.1" customHeight="1" x14ac:dyDescent="0.25">
      <c r="A9654" s="94" t="s">
        <v>7316</v>
      </c>
      <c r="B9654" s="82" t="str">
        <f ca="1">IFERROR(INDEX(UNSPSCDes,MATCH(INDIRECT(ADDRESS(ROW(),COLUMN()-1,4)),UNSPSCCode,0)),IF(INDIRECT(ADDRESS(ROW(),COLUMN()-1,4))="51111813","Sulfato de vincristina",""))</f>
        <v>Sulfato de vincristina</v>
      </c>
      <c r="C9654" s="95" t="str">
        <f>IFERROR(VLOOKUP("UD",'Informacion '!P:Q,2,FALSE),"")</f>
        <v>Unidad</v>
      </c>
      <c r="D9654" s="94">
        <v>20</v>
      </c>
      <c r="E9654" s="84">
        <v>157.35</v>
      </c>
      <c r="F9654" s="83">
        <f t="shared" ca="1" si="410"/>
        <v>3147</v>
      </c>
    </row>
    <row r="9655" spans="1:10" ht="14.1" customHeight="1" x14ac:dyDescent="0.25">
      <c r="A9655" s="94" t="s">
        <v>16400</v>
      </c>
      <c r="B9655" s="82" t="str">
        <f ca="1">IFERROR(INDEX(UNSPSCDes,MATCH(INDIRECT(ADDRESS(ROW(),COLUMN()-1,4)),UNSPSCCode,0)),IF(INDIRECT(ADDRESS(ROW(),COLUMN()-1,4))="51111610","Metotrexato",""))</f>
        <v>Metotrexato</v>
      </c>
      <c r="C9655" s="95" t="str">
        <f>IFERROR(VLOOKUP("UD",'Informacion '!P:Q,2,FALSE),"")</f>
        <v>Unidad</v>
      </c>
      <c r="D9655" s="94">
        <v>9</v>
      </c>
      <c r="E9655" s="84">
        <v>14</v>
      </c>
      <c r="F9655" s="83">
        <f t="shared" ca="1" si="410"/>
        <v>126</v>
      </c>
    </row>
    <row r="9656" spans="1:10" ht="14.1" customHeight="1" x14ac:dyDescent="0.25">
      <c r="A9656" s="94" t="s">
        <v>16400</v>
      </c>
      <c r="B9656" s="82" t="str">
        <f ca="1">IFERROR(INDEX(UNSPSCDes,MATCH(INDIRECT(ADDRESS(ROW(),COLUMN()-1,4)),UNSPSCCode,0)),IF(INDIRECT(ADDRESS(ROW(),COLUMN()-1,4))="51111610","Metotrexato",""))</f>
        <v>Metotrexato</v>
      </c>
      <c r="C9656" s="95" t="str">
        <f>IFERROR(VLOOKUP("UD",'Informacion '!P:Q,2,FALSE),"")</f>
        <v>Unidad</v>
      </c>
      <c r="D9656" s="94">
        <v>4</v>
      </c>
      <c r="E9656" s="84">
        <v>269</v>
      </c>
      <c r="F9656" s="83">
        <f t="shared" ca="1" si="410"/>
        <v>1076</v>
      </c>
    </row>
    <row r="9657" spans="1:10" ht="14.1" customHeight="1" x14ac:dyDescent="0.25">
      <c r="E9657" s="96" t="s">
        <v>7213</v>
      </c>
      <c r="F9657" s="87">
        <f ca="1">SUM(Table229[MONTO TOTAL ESTIMADO])</f>
        <v>12134037.490000004</v>
      </c>
      <c r="H9657" s="39" t="str">
        <f>C9522</f>
        <v>Bienes</v>
      </c>
      <c r="I9657" s="39" t="str">
        <f>E9522</f>
        <v>No</v>
      </c>
      <c r="J9657" s="39" t="str">
        <f>D9522</f>
        <v>Compras Menores</v>
      </c>
    </row>
    <row r="9659" spans="1:10" ht="33.950000000000003" customHeight="1" x14ac:dyDescent="0.25">
      <c r="A9659" s="77" t="s">
        <v>17233</v>
      </c>
      <c r="B9659" s="77" t="s">
        <v>4237</v>
      </c>
      <c r="C9659" s="77" t="s">
        <v>4743</v>
      </c>
      <c r="D9659" s="77" t="s">
        <v>9891</v>
      </c>
      <c r="E9659" s="77" t="s">
        <v>3089</v>
      </c>
      <c r="F9659" s="77" t="s">
        <v>18141</v>
      </c>
    </row>
    <row r="9660" spans="1:10" ht="14.1" customHeight="1" x14ac:dyDescent="0.25">
      <c r="A9660" s="79" t="s">
        <v>10062</v>
      </c>
      <c r="B9660" s="79" t="s">
        <v>10766</v>
      </c>
      <c r="C9660" s="79" t="s">
        <v>17215</v>
      </c>
      <c r="D9660" s="79" t="s">
        <v>17798</v>
      </c>
      <c r="E9660" s="79" t="s">
        <v>18247</v>
      </c>
      <c r="F9660" s="79"/>
    </row>
    <row r="9661" spans="1:10" ht="14.1" customHeight="1" x14ac:dyDescent="0.25">
      <c r="A9661" s="2" t="s">
        <v>6643</v>
      </c>
      <c r="B9661" s="80" t="s">
        <v>1046</v>
      </c>
      <c r="C9661" s="90">
        <v>43739</v>
      </c>
      <c r="D9661" s="2" t="s">
        <v>59</v>
      </c>
      <c r="E9661" s="92" t="s">
        <v>20066</v>
      </c>
      <c r="F9661" s="93" t="s">
        <v>5684</v>
      </c>
    </row>
    <row r="9662" spans="1:10" ht="14.1" customHeight="1" x14ac:dyDescent="0.25">
      <c r="A9662" s="1"/>
      <c r="B9662" s="80" t="s">
        <v>10788</v>
      </c>
      <c r="C9662" s="91">
        <f>IF(C9661="","",IF(AND(MONTH(C9661)&gt;=1,MONTH(C9661)&lt;=3),1,IF(AND(MONTH(C9661)&gt;=4,MONTH(C9661)&lt;=6),2,IF(AND(MONTH(C9661)&gt;=7,MONTH(C9661)&lt;=9),3,4))))</f>
        <v>4</v>
      </c>
      <c r="D9662" s="1"/>
      <c r="E9662" s="92" t="s">
        <v>14822</v>
      </c>
      <c r="F9662" s="93" t="s">
        <v>17690</v>
      </c>
    </row>
    <row r="9663" spans="1:10" ht="14.1" customHeight="1" x14ac:dyDescent="0.25">
      <c r="A9663" s="1"/>
      <c r="B9663" s="80" t="s">
        <v>13758</v>
      </c>
      <c r="C9663" s="90">
        <v>43830</v>
      </c>
      <c r="D9663" s="1"/>
      <c r="E9663" s="92" t="s">
        <v>18636</v>
      </c>
      <c r="F9663" s="93" t="s">
        <v>17690</v>
      </c>
    </row>
    <row r="9664" spans="1:10" ht="14.1" customHeight="1" x14ac:dyDescent="0.25">
      <c r="A9664" s="1"/>
      <c r="B9664" s="80" t="s">
        <v>10788</v>
      </c>
      <c r="C9664" s="91">
        <f>IF(C9663="","",IF(AND(MONTH(C9663)&gt;=1,MONTH(C9663)&lt;=3),1,IF(AND(MONTH(C9663)&gt;=4,MONTH(C9663)&lt;=6),2,IF(AND(MONTH(C9663)&gt;=7,MONTH(C9663)&lt;=9),3,4))))</f>
        <v>4</v>
      </c>
      <c r="D9664" s="1"/>
      <c r="E9664" s="92" t="s">
        <v>15990</v>
      </c>
      <c r="F9664" s="93"/>
    </row>
    <row r="9666" spans="1:6" ht="14.1" customHeight="1" x14ac:dyDescent="0.25">
      <c r="A9666" s="85" t="s">
        <v>15474</v>
      </c>
      <c r="B9666" s="85" t="s">
        <v>5027</v>
      </c>
      <c r="C9666" s="85" t="s">
        <v>17461</v>
      </c>
      <c r="D9666" s="85" t="s">
        <v>3935</v>
      </c>
      <c r="E9666" s="85" t="s">
        <v>10722</v>
      </c>
      <c r="F9666" s="85" t="s">
        <v>18237</v>
      </c>
    </row>
    <row r="9667" spans="1:6" ht="14.1" customHeight="1" x14ac:dyDescent="0.25">
      <c r="A9667" s="94" t="s">
        <v>19305</v>
      </c>
      <c r="B9667" s="82" t="str">
        <f ca="1">IFERROR(INDEX(UNSPSCDes,MATCH(INDIRECT(ADDRESS(ROW(),COLUMN()-1,4)),UNSPSCCode,0)),IF(INDIRECT(ADDRESS(ROW(),COLUMN()-1,4))="51111807","Acetato de leuprolide",""))</f>
        <v>Acetato de leuprolide</v>
      </c>
      <c r="C9667" s="95" t="str">
        <f>IFERROR(VLOOKUP("UD",'Informacion '!P:Q,2,FALSE),"")</f>
        <v>Unidad</v>
      </c>
      <c r="D9667" s="94">
        <v>11</v>
      </c>
      <c r="E9667" s="84">
        <v>5200</v>
      </c>
      <c r="F9667" s="83">
        <f t="shared" ref="F9667:F9698" ca="1" si="412">INDIRECT(ADDRESS(ROW(),COLUMN()-2,4))*INDIRECT(ADDRESS(ROW(),COLUMN()-1,4))</f>
        <v>57200</v>
      </c>
    </row>
    <row r="9668" spans="1:6" ht="14.1" customHeight="1" x14ac:dyDescent="0.25">
      <c r="A9668" s="94" t="s">
        <v>19305</v>
      </c>
      <c r="B9668" s="82" t="str">
        <f ca="1">IFERROR(INDEX(UNSPSCDes,MATCH(INDIRECT(ADDRESS(ROW(),COLUMN()-1,4)),UNSPSCCode,0)),IF(INDIRECT(ADDRESS(ROW(),COLUMN()-1,4))="51111807","Acetato de leuprolide",""))</f>
        <v>Acetato de leuprolide</v>
      </c>
      <c r="C9668" s="95" t="str">
        <f>IFERROR(VLOOKUP("UD",'Informacion '!P:Q,2,FALSE),"")</f>
        <v>Unidad</v>
      </c>
      <c r="D9668" s="94">
        <v>96</v>
      </c>
      <c r="E9668" s="84">
        <v>3490</v>
      </c>
      <c r="F9668" s="83">
        <f t="shared" ca="1" si="412"/>
        <v>335040</v>
      </c>
    </row>
    <row r="9669" spans="1:6" ht="14.1" customHeight="1" x14ac:dyDescent="0.25">
      <c r="A9669" s="94" t="s">
        <v>11307</v>
      </c>
      <c r="B9669" s="82" t="str">
        <f ca="1">IFERROR(INDEX(UNSPSCDes,MATCH(INDIRECT(ADDRESS(ROW(),COLUMN()-1,4)),UNSPSCCode,0)),IF(INDIRECT(ADDRESS(ROW(),COLUMN()-1,4))="51182415","Ácido zoledrónico",""))</f>
        <v>Ácido zoledrónico</v>
      </c>
      <c r="C9669" s="95" t="str">
        <f>IFERROR(VLOOKUP("UD",'Informacion '!P:Q,2,FALSE),"")</f>
        <v>Unidad</v>
      </c>
      <c r="D9669" s="94">
        <v>36</v>
      </c>
      <c r="E9669" s="84">
        <v>5100</v>
      </c>
      <c r="F9669" s="83">
        <f t="shared" ca="1" si="412"/>
        <v>183600</v>
      </c>
    </row>
    <row r="9670" spans="1:6" ht="14.1" customHeight="1" x14ac:dyDescent="0.25">
      <c r="A9670" s="94" t="s">
        <v>11307</v>
      </c>
      <c r="B9670" s="82" t="str">
        <f ca="1">IFERROR(INDEX(UNSPSCDes,MATCH(INDIRECT(ADDRESS(ROW(),COLUMN()-1,4)),UNSPSCCode,0)),IF(INDIRECT(ADDRESS(ROW(),COLUMN()-1,4))="51182415","Ácido zoledrónico",""))</f>
        <v>Ácido zoledrónico</v>
      </c>
      <c r="C9670" s="95" t="str">
        <f>IFERROR(VLOOKUP("UD",'Informacion '!P:Q,2,FALSE),"")</f>
        <v>Unidad</v>
      </c>
      <c r="D9670" s="94">
        <v>54</v>
      </c>
      <c r="E9670" s="84">
        <v>2294.6799999999998</v>
      </c>
      <c r="F9670" s="83">
        <f t="shared" ca="1" si="412"/>
        <v>123912.71999999999</v>
      </c>
    </row>
    <row r="9671" spans="1:6" ht="14.1" customHeight="1" x14ac:dyDescent="0.25">
      <c r="A9671" s="94" t="s">
        <v>693</v>
      </c>
      <c r="B9671" s="82" t="str">
        <f t="shared" ref="B9671:B9677" ca="1" si="413">IFERROR(INDEX(UNSPSCDes,MATCH(INDIRECT(ADDRESS(ROW(),COLUMN()-1,4)),UNSPSCCode,0)),IF(INDIRECT(ADDRESS(ROW(),COLUMN()-1,4))="51111716","Rituximab",""))</f>
        <v>Rituximab</v>
      </c>
      <c r="C9671" s="95" t="str">
        <f>IFERROR(VLOOKUP("UD",'Informacion '!P:Q,2,FALSE),"")</f>
        <v>Unidad</v>
      </c>
      <c r="D9671" s="94">
        <v>7</v>
      </c>
      <c r="E9671" s="84">
        <v>28221.43</v>
      </c>
      <c r="F9671" s="83">
        <f t="shared" ca="1" si="412"/>
        <v>197550.01</v>
      </c>
    </row>
    <row r="9672" spans="1:6" ht="14.1" customHeight="1" x14ac:dyDescent="0.25">
      <c r="A9672" s="94" t="s">
        <v>693</v>
      </c>
      <c r="B9672" s="82" t="str">
        <f t="shared" ca="1" si="413"/>
        <v>Rituximab</v>
      </c>
      <c r="C9672" s="95" t="str">
        <f>IFERROR(VLOOKUP("UD",'Informacion '!P:Q,2,FALSE),"")</f>
        <v>Unidad</v>
      </c>
      <c r="D9672" s="94">
        <v>4</v>
      </c>
      <c r="E9672" s="84">
        <v>50500</v>
      </c>
      <c r="F9672" s="83">
        <f t="shared" ca="1" si="412"/>
        <v>202000</v>
      </c>
    </row>
    <row r="9673" spans="1:6" ht="14.1" customHeight="1" x14ac:dyDescent="0.25">
      <c r="A9673" s="94" t="s">
        <v>693</v>
      </c>
      <c r="B9673" s="82" t="str">
        <f t="shared" ca="1" si="413"/>
        <v>Rituximab</v>
      </c>
      <c r="C9673" s="95" t="str">
        <f>IFERROR(VLOOKUP("UD",'Informacion '!P:Q,2,FALSE),"")</f>
        <v>Unidad</v>
      </c>
      <c r="D9673" s="94">
        <v>13</v>
      </c>
      <c r="E9673" s="84">
        <v>10437.36</v>
      </c>
      <c r="F9673" s="83">
        <f t="shared" ca="1" si="412"/>
        <v>135685.68</v>
      </c>
    </row>
    <row r="9674" spans="1:6" ht="14.1" customHeight="1" x14ac:dyDescent="0.25">
      <c r="A9674" s="94" t="s">
        <v>693</v>
      </c>
      <c r="B9674" s="82" t="str">
        <f t="shared" ca="1" si="413"/>
        <v>Rituximab</v>
      </c>
      <c r="C9674" s="95" t="str">
        <f>IFERROR(VLOOKUP("UD",'Informacion '!P:Q,2,FALSE),"")</f>
        <v>Unidad</v>
      </c>
      <c r="D9674" s="94">
        <v>8</v>
      </c>
      <c r="E9674" s="84">
        <v>9022.2099999999991</v>
      </c>
      <c r="F9674" s="83">
        <f t="shared" ca="1" si="412"/>
        <v>72177.679999999993</v>
      </c>
    </row>
    <row r="9675" spans="1:6" ht="14.1" customHeight="1" x14ac:dyDescent="0.25">
      <c r="A9675" s="94" t="s">
        <v>693</v>
      </c>
      <c r="B9675" s="82" t="str">
        <f t="shared" ca="1" si="413"/>
        <v>Rituximab</v>
      </c>
      <c r="C9675" s="95" t="str">
        <f>IFERROR(VLOOKUP("UD",'Informacion '!P:Q,2,FALSE),"")</f>
        <v>Unidad</v>
      </c>
      <c r="D9675" s="94">
        <v>9</v>
      </c>
      <c r="E9675" s="84">
        <v>14500</v>
      </c>
      <c r="F9675" s="83">
        <f t="shared" ca="1" si="412"/>
        <v>130500</v>
      </c>
    </row>
    <row r="9676" spans="1:6" ht="14.1" customHeight="1" x14ac:dyDescent="0.25">
      <c r="A9676" s="94" t="s">
        <v>693</v>
      </c>
      <c r="B9676" s="82" t="str">
        <f t="shared" ca="1" si="413"/>
        <v>Rituximab</v>
      </c>
      <c r="C9676" s="95" t="str">
        <f>IFERROR(VLOOKUP("UD",'Informacion '!P:Q,2,FALSE),"")</f>
        <v>Unidad</v>
      </c>
      <c r="D9676" s="94">
        <v>4</v>
      </c>
      <c r="E9676" s="84">
        <v>36924.75</v>
      </c>
      <c r="F9676" s="83">
        <f t="shared" ca="1" si="412"/>
        <v>147699</v>
      </c>
    </row>
    <row r="9677" spans="1:6" ht="14.1" customHeight="1" x14ac:dyDescent="0.25">
      <c r="A9677" s="94" t="s">
        <v>693</v>
      </c>
      <c r="B9677" s="82" t="str">
        <f t="shared" ca="1" si="413"/>
        <v>Rituximab</v>
      </c>
      <c r="C9677" s="95" t="str">
        <f>IFERROR(VLOOKUP("UD",'Informacion '!P:Q,2,FALSE),"")</f>
        <v>Unidad</v>
      </c>
      <c r="D9677" s="94">
        <v>5</v>
      </c>
      <c r="E9677" s="84">
        <v>10530</v>
      </c>
      <c r="F9677" s="83">
        <f t="shared" ca="1" si="412"/>
        <v>52650</v>
      </c>
    </row>
    <row r="9678" spans="1:6" ht="14.1" customHeight="1" x14ac:dyDescent="0.25">
      <c r="A9678" s="94" t="s">
        <v>1085</v>
      </c>
      <c r="B9678" s="82" t="str">
        <f ca="1">IFERROR(INDEX(UNSPSCDes,MATCH(INDIRECT(ADDRESS(ROW(),COLUMN()-1,4)),UNSPSCCode,0)),IF(INDIRECT(ADDRESS(ROW(),COLUMN()-1,4))="51111802","Bicalutamida",""))</f>
        <v>Bicalutamida</v>
      </c>
      <c r="C9678" s="95" t="str">
        <f>IFERROR(VLOOKUP("UD",'Informacion '!P:Q,2,FALSE),"")</f>
        <v>Unidad</v>
      </c>
      <c r="D9678" s="94">
        <v>11</v>
      </c>
      <c r="E9678" s="84">
        <v>389.29</v>
      </c>
      <c r="F9678" s="83">
        <f t="shared" ca="1" si="412"/>
        <v>4282.1900000000005</v>
      </c>
    </row>
    <row r="9679" spans="1:6" ht="14.1" customHeight="1" x14ac:dyDescent="0.25">
      <c r="A9679" s="94" t="s">
        <v>1751</v>
      </c>
      <c r="B9679" s="82" t="str">
        <f ca="1">IFERROR(INDEX(UNSPSCDes,MATCH(INDIRECT(ADDRESS(ROW(),COLUMN()-1,4)),UNSPSCCode,0)),IF(INDIRECT(ADDRESS(ROW(),COLUMN()-1,4))="51111701","Sulfato de bleomicina",""))</f>
        <v>Sulfato de bleomicina</v>
      </c>
      <c r="C9679" s="95" t="str">
        <f>IFERROR(VLOOKUP("UD",'Informacion '!P:Q,2,FALSE),"")</f>
        <v>Unidad</v>
      </c>
      <c r="D9679" s="94">
        <v>44</v>
      </c>
      <c r="E9679" s="84">
        <v>1100</v>
      </c>
      <c r="F9679" s="83">
        <f t="shared" ca="1" si="412"/>
        <v>48400</v>
      </c>
    </row>
    <row r="9680" spans="1:6" ht="14.1" customHeight="1" x14ac:dyDescent="0.25">
      <c r="A9680" s="94" t="s">
        <v>1751</v>
      </c>
      <c r="B9680" s="82" t="str">
        <f ca="1">IFERROR(INDEX(UNSPSCDes,MATCH(INDIRECT(ADDRESS(ROW(),COLUMN()-1,4)),UNSPSCCode,0)),IF(INDIRECT(ADDRESS(ROW(),COLUMN()-1,4))="51111701","Sulfato de bleomicina",""))</f>
        <v>Sulfato de bleomicina</v>
      </c>
      <c r="C9680" s="95" t="str">
        <f>IFERROR(VLOOKUP("UD",'Informacion '!P:Q,2,FALSE),"")</f>
        <v>Unidad</v>
      </c>
      <c r="D9680" s="94">
        <v>16</v>
      </c>
      <c r="E9680" s="84">
        <v>924.78</v>
      </c>
      <c r="F9680" s="83">
        <f t="shared" ca="1" si="412"/>
        <v>14796.48</v>
      </c>
    </row>
    <row r="9681" spans="1:6" ht="14.1" customHeight="1" x14ac:dyDescent="0.25">
      <c r="A9681" s="94" t="s">
        <v>19295</v>
      </c>
      <c r="B9681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9681" s="95" t="str">
        <f>IFERROR(VLOOKUP("UD",'Informacion '!P:Q,2,FALSE),"")</f>
        <v>Unidad</v>
      </c>
      <c r="D9681" s="94">
        <v>35</v>
      </c>
      <c r="E9681" s="84">
        <v>34500</v>
      </c>
      <c r="F9681" s="83">
        <f t="shared" ca="1" si="412"/>
        <v>1207500</v>
      </c>
    </row>
    <row r="9682" spans="1:6" ht="14.1" customHeight="1" x14ac:dyDescent="0.25">
      <c r="A9682" s="94" t="s">
        <v>2868</v>
      </c>
      <c r="B9682" s="82" t="str">
        <f ca="1">IFERROR(INDEX(UNSPSCDes,MATCH(INDIRECT(ADDRESS(ROW(),COLUMN()-1,4)),UNSPSCCode,0)),IF(INDIRECT(ADDRESS(ROW(),COLUMN()-1,4))="51111616","Capecitabina",""))</f>
        <v>Capecitabina</v>
      </c>
      <c r="C9682" s="95" t="str">
        <f>IFERROR(VLOOKUP("UD",'Informacion '!P:Q,2,FALSE),"")</f>
        <v>Unidad</v>
      </c>
      <c r="D9682" s="94">
        <v>859</v>
      </c>
      <c r="E9682" s="84">
        <v>179.17</v>
      </c>
      <c r="F9682" s="83">
        <f t="shared" ca="1" si="412"/>
        <v>153907.03</v>
      </c>
    </row>
    <row r="9683" spans="1:6" ht="14.1" customHeight="1" x14ac:dyDescent="0.25">
      <c r="A9683" s="94" t="s">
        <v>2868</v>
      </c>
      <c r="B9683" s="82" t="str">
        <f ca="1">IFERROR(INDEX(UNSPSCDes,MATCH(INDIRECT(ADDRESS(ROW(),COLUMN()-1,4)),UNSPSCCode,0)),IF(INDIRECT(ADDRESS(ROW(),COLUMN()-1,4))="51111616","Capecitabina",""))</f>
        <v>Capecitabina</v>
      </c>
      <c r="C9683" s="95" t="str">
        <f>IFERROR(VLOOKUP("UD",'Informacion '!P:Q,2,FALSE),"")</f>
        <v>Unidad</v>
      </c>
      <c r="D9683" s="94">
        <v>4129</v>
      </c>
      <c r="E9683" s="84">
        <v>168.33</v>
      </c>
      <c r="F9683" s="83">
        <f t="shared" ca="1" si="412"/>
        <v>695034.57000000007</v>
      </c>
    </row>
    <row r="9684" spans="1:6" ht="14.1" customHeight="1" x14ac:dyDescent="0.25">
      <c r="A9684" s="94" t="s">
        <v>17588</v>
      </c>
      <c r="B9684" s="82" t="str">
        <f t="shared" ref="B9684:B9690" ca="1" si="414">IFERROR(INDEX(UNSPSCDes,MATCH(INDIRECT(ADDRESS(ROW(),COLUMN()-1,4)),UNSPSCCode,0)),IF(INDIRECT(ADDRESS(ROW(),COLUMN()-1,4))="51111503","Carboplatino",""))</f>
        <v>Carboplatino</v>
      </c>
      <c r="C9684" s="95" t="str">
        <f>IFERROR(VLOOKUP("UD",'Informacion '!P:Q,2,FALSE),"")</f>
        <v>Unidad</v>
      </c>
      <c r="D9684" s="94">
        <v>30</v>
      </c>
      <c r="E9684" s="84">
        <v>791.72</v>
      </c>
      <c r="F9684" s="83">
        <f t="shared" ca="1" si="412"/>
        <v>23751.600000000002</v>
      </c>
    </row>
    <row r="9685" spans="1:6" ht="14.1" customHeight="1" x14ac:dyDescent="0.25">
      <c r="A9685" s="94" t="s">
        <v>17588</v>
      </c>
      <c r="B9685" s="82" t="str">
        <f t="shared" ca="1" si="414"/>
        <v>Carboplatino</v>
      </c>
      <c r="C9685" s="95" t="str">
        <f>IFERROR(VLOOKUP("UD",'Informacion '!P:Q,2,FALSE),"")</f>
        <v>Unidad</v>
      </c>
      <c r="D9685" s="94">
        <v>79</v>
      </c>
      <c r="E9685" s="84">
        <v>800.69</v>
      </c>
      <c r="F9685" s="83">
        <f t="shared" ca="1" si="412"/>
        <v>63254.51</v>
      </c>
    </row>
    <row r="9686" spans="1:6" ht="14.1" customHeight="1" x14ac:dyDescent="0.25">
      <c r="A9686" s="94" t="s">
        <v>17588</v>
      </c>
      <c r="B9686" s="82" t="str">
        <f t="shared" ca="1" si="414"/>
        <v>Carboplatino</v>
      </c>
      <c r="C9686" s="95" t="str">
        <f>IFERROR(VLOOKUP("UD",'Informacion '!P:Q,2,FALSE),"")</f>
        <v>Unidad</v>
      </c>
      <c r="D9686" s="94">
        <v>10</v>
      </c>
      <c r="E9686" s="84">
        <v>968</v>
      </c>
      <c r="F9686" s="83">
        <f t="shared" ca="1" si="412"/>
        <v>9680</v>
      </c>
    </row>
    <row r="9687" spans="1:6" ht="14.1" customHeight="1" x14ac:dyDescent="0.25">
      <c r="A9687" s="94" t="s">
        <v>17588</v>
      </c>
      <c r="B9687" s="82" t="str">
        <f t="shared" ca="1" si="414"/>
        <v>Carboplatino</v>
      </c>
      <c r="C9687" s="95" t="str">
        <f>IFERROR(VLOOKUP("UD",'Informacion '!P:Q,2,FALSE),"")</f>
        <v>Unidad</v>
      </c>
      <c r="D9687" s="94">
        <v>53</v>
      </c>
      <c r="E9687" s="84">
        <v>1550.18</v>
      </c>
      <c r="F9687" s="83">
        <f t="shared" ca="1" si="412"/>
        <v>82159.540000000008</v>
      </c>
    </row>
    <row r="9688" spans="1:6" ht="14.1" customHeight="1" x14ac:dyDescent="0.25">
      <c r="A9688" s="94" t="s">
        <v>17588</v>
      </c>
      <c r="B9688" s="82" t="str">
        <f t="shared" ca="1" si="414"/>
        <v>Carboplatino</v>
      </c>
      <c r="C9688" s="95" t="str">
        <f>IFERROR(VLOOKUP("UD",'Informacion '!P:Q,2,FALSE),"")</f>
        <v>Unidad</v>
      </c>
      <c r="D9688" s="94">
        <v>53</v>
      </c>
      <c r="E9688" s="84">
        <v>2621</v>
      </c>
      <c r="F9688" s="83">
        <f t="shared" ca="1" si="412"/>
        <v>138913</v>
      </c>
    </row>
    <row r="9689" spans="1:6" ht="14.1" customHeight="1" x14ac:dyDescent="0.25">
      <c r="A9689" s="94" t="s">
        <v>17588</v>
      </c>
      <c r="B9689" s="82" t="str">
        <f t="shared" ca="1" si="414"/>
        <v>Carboplatino</v>
      </c>
      <c r="C9689" s="95" t="str">
        <f>IFERROR(VLOOKUP("UD",'Informacion '!P:Q,2,FALSE),"")</f>
        <v>Unidad</v>
      </c>
      <c r="D9689" s="94">
        <v>27</v>
      </c>
      <c r="E9689" s="84">
        <v>1761.19</v>
      </c>
      <c r="F9689" s="83">
        <f t="shared" ca="1" si="412"/>
        <v>47552.130000000005</v>
      </c>
    </row>
    <row r="9690" spans="1:6" ht="14.1" customHeight="1" x14ac:dyDescent="0.25">
      <c r="A9690" s="94" t="s">
        <v>17588</v>
      </c>
      <c r="B9690" s="82" t="str">
        <f t="shared" ca="1" si="414"/>
        <v>Carboplatino</v>
      </c>
      <c r="C9690" s="95" t="str">
        <f>IFERROR(VLOOKUP("UD",'Informacion '!P:Q,2,FALSE),"")</f>
        <v>Unidad</v>
      </c>
      <c r="D9690" s="94">
        <v>4</v>
      </c>
      <c r="E9690" s="84">
        <v>1865.69</v>
      </c>
      <c r="F9690" s="83">
        <f t="shared" ca="1" si="412"/>
        <v>7462.76</v>
      </c>
    </row>
    <row r="9691" spans="1:6" ht="14.1" customHeight="1" x14ac:dyDescent="0.25">
      <c r="A9691" s="94" t="s">
        <v>6655</v>
      </c>
      <c r="B9691" s="82" t="str">
        <f ca="1">IFERROR(INDEX(UNSPSCDes,MATCH(INDIRECT(ADDRESS(ROW(),COLUMN()-1,4)),UNSPSCCode,0)),IF(INDIRECT(ADDRESS(ROW(),COLUMN()-1,4))="51111717","Trastuzumab",""))</f>
        <v>Trastuzumab</v>
      </c>
      <c r="C9691" s="95" t="str">
        <f>IFERROR(VLOOKUP("UD",'Informacion '!P:Q,2,FALSE),"")</f>
        <v>Unidad</v>
      </c>
      <c r="D9691" s="94">
        <v>39</v>
      </c>
      <c r="E9691" s="84">
        <v>25265.33</v>
      </c>
      <c r="F9691" s="83">
        <f t="shared" ca="1" si="412"/>
        <v>985347.87000000011</v>
      </c>
    </row>
    <row r="9692" spans="1:6" ht="14.1" customHeight="1" x14ac:dyDescent="0.25">
      <c r="A9692" s="94" t="s">
        <v>11096</v>
      </c>
      <c r="B9692" s="82" t="str">
        <f ca="1">IFERROR(INDEX(UNSPSCDes,MATCH(INDIRECT(ADDRESS(ROW(),COLUMN()-1,4)),UNSPSCCode,0)),IF(INDIRECT(ADDRESS(ROW(),COLUMN()-1,4))="51111507","Ciclofosfamida",""))</f>
        <v>Ciclofosfamida</v>
      </c>
      <c r="C9692" s="95" t="str">
        <f>IFERROR(VLOOKUP("UD",'Informacion '!P:Q,2,FALSE),"")</f>
        <v>Unidad</v>
      </c>
      <c r="D9692" s="94">
        <v>58</v>
      </c>
      <c r="E9692" s="84">
        <v>350.63</v>
      </c>
      <c r="F9692" s="83">
        <f t="shared" ca="1" si="412"/>
        <v>20336.54</v>
      </c>
    </row>
    <row r="9693" spans="1:6" ht="14.1" customHeight="1" x14ac:dyDescent="0.25">
      <c r="A9693" s="94" t="s">
        <v>11096</v>
      </c>
      <c r="B9693" s="82" t="str">
        <f ca="1">IFERROR(INDEX(UNSPSCDes,MATCH(INDIRECT(ADDRESS(ROW(),COLUMN()-1,4)),UNSPSCCode,0)),IF(INDIRECT(ADDRESS(ROW(),COLUMN()-1,4))="51111507","Ciclofosfamida",""))</f>
        <v>Ciclofosfamida</v>
      </c>
      <c r="C9693" s="95" t="str">
        <f>IFERROR(VLOOKUP("UD",'Informacion '!P:Q,2,FALSE),"")</f>
        <v>Unidad</v>
      </c>
      <c r="D9693" s="94">
        <v>105</v>
      </c>
      <c r="E9693" s="84">
        <v>730</v>
      </c>
      <c r="F9693" s="83">
        <f t="shared" ca="1" si="412"/>
        <v>76650</v>
      </c>
    </row>
    <row r="9694" spans="1:6" ht="14.1" customHeight="1" x14ac:dyDescent="0.25">
      <c r="A9694" s="94" t="s">
        <v>10585</v>
      </c>
      <c r="B9694" s="82" t="str">
        <f t="shared" ref="B9694:B9701" ca="1" si="415">IFERROR(INDEX(UNSPSCDes,MATCH(INDIRECT(ADDRESS(ROW(),COLUMN()-1,4)),UNSPSCCode,0)),IF(INDIRECT(ADDRESS(ROW(),COLUMN()-1,4))="51111506","Cisplatino",""))</f>
        <v>Cisplatino</v>
      </c>
      <c r="C9694" s="95" t="str">
        <f>IFERROR(VLOOKUP("UD",'Informacion '!P:Q,2,FALSE),"")</f>
        <v>Unidad</v>
      </c>
      <c r="D9694" s="94">
        <v>48</v>
      </c>
      <c r="E9694" s="84">
        <v>285.95999999999998</v>
      </c>
      <c r="F9694" s="83">
        <f t="shared" ca="1" si="412"/>
        <v>13726.079999999998</v>
      </c>
    </row>
    <row r="9695" spans="1:6" ht="14.1" customHeight="1" x14ac:dyDescent="0.25">
      <c r="A9695" s="94" t="s">
        <v>10585</v>
      </c>
      <c r="B9695" s="82" t="str">
        <f t="shared" ca="1" si="415"/>
        <v>Cisplatino</v>
      </c>
      <c r="C9695" s="95" t="str">
        <f>IFERROR(VLOOKUP("UD",'Informacion '!P:Q,2,FALSE),"")</f>
        <v>Unidad</v>
      </c>
      <c r="D9695" s="94">
        <v>19</v>
      </c>
      <c r="E9695" s="84">
        <v>372.36</v>
      </c>
      <c r="F9695" s="83">
        <f t="shared" ca="1" si="412"/>
        <v>7074.84</v>
      </c>
    </row>
    <row r="9696" spans="1:6" ht="14.1" customHeight="1" x14ac:dyDescent="0.25">
      <c r="A9696" s="94" t="s">
        <v>10585</v>
      </c>
      <c r="B9696" s="82" t="str">
        <f t="shared" ca="1" si="415"/>
        <v>Cisplatino</v>
      </c>
      <c r="C9696" s="95" t="str">
        <f>IFERROR(VLOOKUP("UD",'Informacion '!P:Q,2,FALSE),"")</f>
        <v>Unidad</v>
      </c>
      <c r="D9696" s="94">
        <v>5</v>
      </c>
      <c r="E9696" s="84">
        <v>372.63</v>
      </c>
      <c r="F9696" s="83">
        <f t="shared" ca="1" si="412"/>
        <v>1863.15</v>
      </c>
    </row>
    <row r="9697" spans="1:6" ht="14.1" customHeight="1" x14ac:dyDescent="0.25">
      <c r="A9697" s="94" t="s">
        <v>10585</v>
      </c>
      <c r="B9697" s="82" t="str">
        <f t="shared" ca="1" si="415"/>
        <v>Cisplatino</v>
      </c>
      <c r="C9697" s="95" t="str">
        <f>IFERROR(VLOOKUP("UD",'Informacion '!P:Q,2,FALSE),"")</f>
        <v>Unidad</v>
      </c>
      <c r="D9697" s="94">
        <v>74</v>
      </c>
      <c r="E9697" s="84">
        <v>246.71</v>
      </c>
      <c r="F9697" s="83">
        <f t="shared" ca="1" si="412"/>
        <v>18256.54</v>
      </c>
    </row>
    <row r="9698" spans="1:6" ht="14.1" customHeight="1" x14ac:dyDescent="0.25">
      <c r="A9698" s="94" t="s">
        <v>10585</v>
      </c>
      <c r="B9698" s="82" t="str">
        <f t="shared" ca="1" si="415"/>
        <v>Cisplatino</v>
      </c>
      <c r="C9698" s="95" t="str">
        <f>IFERROR(VLOOKUP("UD",'Informacion '!P:Q,2,FALSE),"")</f>
        <v>Unidad</v>
      </c>
      <c r="D9698" s="94">
        <v>94</v>
      </c>
      <c r="E9698" s="84">
        <v>871.47</v>
      </c>
      <c r="F9698" s="83">
        <f t="shared" ca="1" si="412"/>
        <v>81918.180000000008</v>
      </c>
    </row>
    <row r="9699" spans="1:6" ht="14.1" customHeight="1" x14ac:dyDescent="0.25">
      <c r="A9699" s="94" t="s">
        <v>10585</v>
      </c>
      <c r="B9699" s="82" t="str">
        <f t="shared" ca="1" si="415"/>
        <v>Cisplatino</v>
      </c>
      <c r="C9699" s="95" t="str">
        <f>IFERROR(VLOOKUP("UD",'Informacion '!P:Q,2,FALSE),"")</f>
        <v>Unidad</v>
      </c>
      <c r="D9699" s="94">
        <v>9</v>
      </c>
      <c r="E9699" s="84">
        <v>869.18</v>
      </c>
      <c r="F9699" s="83">
        <f t="shared" ref="F9699:F9730" ca="1" si="416">INDIRECT(ADDRESS(ROW(),COLUMN()-2,4))*INDIRECT(ADDRESS(ROW(),COLUMN()-1,4))</f>
        <v>7822.62</v>
      </c>
    </row>
    <row r="9700" spans="1:6" ht="14.1" customHeight="1" x14ac:dyDescent="0.25">
      <c r="A9700" s="94" t="s">
        <v>10585</v>
      </c>
      <c r="B9700" s="82" t="str">
        <f t="shared" ca="1" si="415"/>
        <v>Cisplatino</v>
      </c>
      <c r="C9700" s="95" t="str">
        <f>IFERROR(VLOOKUP("UD",'Informacion '!P:Q,2,FALSE),"")</f>
        <v>Unidad</v>
      </c>
      <c r="D9700" s="94">
        <v>9</v>
      </c>
      <c r="E9700" s="84">
        <v>151.26</v>
      </c>
      <c r="F9700" s="83">
        <f t="shared" ca="1" si="416"/>
        <v>1361.34</v>
      </c>
    </row>
    <row r="9701" spans="1:6" ht="14.1" customHeight="1" x14ac:dyDescent="0.25">
      <c r="A9701" s="94" t="s">
        <v>10585</v>
      </c>
      <c r="B9701" s="82" t="str">
        <f t="shared" ca="1" si="415"/>
        <v>Cisplatino</v>
      </c>
      <c r="C9701" s="95" t="str">
        <f>IFERROR(VLOOKUP("UD",'Informacion '!P:Q,2,FALSE),"")</f>
        <v>Unidad</v>
      </c>
      <c r="D9701" s="94">
        <v>91</v>
      </c>
      <c r="E9701" s="84">
        <v>341</v>
      </c>
      <c r="F9701" s="83">
        <f t="shared" ca="1" si="416"/>
        <v>31031</v>
      </c>
    </row>
    <row r="9702" spans="1:6" ht="14.1" customHeight="1" x14ac:dyDescent="0.25">
      <c r="A9702" s="94" t="s">
        <v>14357</v>
      </c>
      <c r="B9702" s="82" t="str">
        <f ca="1">IFERROR(INDEX(UNSPSCDes,MATCH(INDIRECT(ADDRESS(ROW(),COLUMN()-1,4)),UNSPSCCode,0)),IF(INDIRECT(ADDRESS(ROW(),COLUMN()-1,4))="51111602","Citarabina",""))</f>
        <v>Citarabina</v>
      </c>
      <c r="C9702" s="95" t="str">
        <f>IFERROR(VLOOKUP("UD",'Informacion '!P:Q,2,FALSE),"")</f>
        <v>Unidad</v>
      </c>
      <c r="D9702" s="94">
        <v>45</v>
      </c>
      <c r="E9702" s="84">
        <v>300.82</v>
      </c>
      <c r="F9702" s="83">
        <f t="shared" ca="1" si="416"/>
        <v>13536.9</v>
      </c>
    </row>
    <row r="9703" spans="1:6" ht="14.1" customHeight="1" x14ac:dyDescent="0.25">
      <c r="A9703" s="94" t="s">
        <v>14357</v>
      </c>
      <c r="B9703" s="82" t="str">
        <f ca="1">IFERROR(INDEX(UNSPSCDes,MATCH(INDIRECT(ADDRESS(ROW(),COLUMN()-1,4)),UNSPSCCode,0)),IF(INDIRECT(ADDRESS(ROW(),COLUMN()-1,4))="51111602","Citarabina",""))</f>
        <v>Citarabina</v>
      </c>
      <c r="C9703" s="95" t="str">
        <f>IFERROR(VLOOKUP("UD",'Informacion '!P:Q,2,FALSE),"")</f>
        <v>Unidad</v>
      </c>
      <c r="D9703" s="94">
        <v>48</v>
      </c>
      <c r="E9703" s="84">
        <v>459.4</v>
      </c>
      <c r="F9703" s="83">
        <f t="shared" ca="1" si="416"/>
        <v>22051.199999999997</v>
      </c>
    </row>
    <row r="9704" spans="1:6" ht="14.1" customHeight="1" x14ac:dyDescent="0.25">
      <c r="A9704" s="94" t="s">
        <v>14357</v>
      </c>
      <c r="B9704" s="82" t="str">
        <f ca="1">IFERROR(INDEX(UNSPSCDes,MATCH(INDIRECT(ADDRESS(ROW(),COLUMN()-1,4)),UNSPSCCode,0)),IF(INDIRECT(ADDRESS(ROW(),COLUMN()-1,4))="51111602","Citarabina",""))</f>
        <v>Citarabina</v>
      </c>
      <c r="C9704" s="95" t="str">
        <f>IFERROR(VLOOKUP("UD",'Informacion '!P:Q,2,FALSE),"")</f>
        <v>Unidad</v>
      </c>
      <c r="D9704" s="94">
        <v>18</v>
      </c>
      <c r="E9704" s="84">
        <v>660</v>
      </c>
      <c r="F9704" s="83">
        <f t="shared" ca="1" si="416"/>
        <v>11880</v>
      </c>
    </row>
    <row r="9705" spans="1:6" ht="14.1" customHeight="1" x14ac:dyDescent="0.25">
      <c r="A9705" s="94" t="s">
        <v>6233</v>
      </c>
      <c r="B9705" s="82" t="str">
        <f ca="1">IFERROR(INDEX(UNSPSCDes,MATCH(INDIRECT(ADDRESS(ROW(),COLUMN()-1,4)),UNSPSCCode,0)),IF(INDIRECT(ADDRESS(ROW(),COLUMN()-1,4))="51111508","Dacarbazina",""))</f>
        <v>Dacarbazina</v>
      </c>
      <c r="C9705" s="95" t="str">
        <f>IFERROR(VLOOKUP("UD",'Informacion '!P:Q,2,FALSE),"")</f>
        <v>Unidad</v>
      </c>
      <c r="D9705" s="94">
        <v>27</v>
      </c>
      <c r="E9705" s="84">
        <v>880</v>
      </c>
      <c r="F9705" s="83">
        <f t="shared" ca="1" si="416"/>
        <v>23760</v>
      </c>
    </row>
    <row r="9706" spans="1:6" ht="14.1" customHeight="1" x14ac:dyDescent="0.25">
      <c r="A9706" s="94" t="s">
        <v>6233</v>
      </c>
      <c r="B9706" s="82" t="str">
        <f ca="1">IFERROR(INDEX(UNSPSCDes,MATCH(INDIRECT(ADDRESS(ROW(),COLUMN()-1,4)),UNSPSCCode,0)),IF(INDIRECT(ADDRESS(ROW(),COLUMN()-1,4))="51111508","Dacarbazina",""))</f>
        <v>Dacarbazina</v>
      </c>
      <c r="C9706" s="95" t="str">
        <f>IFERROR(VLOOKUP("UD",'Informacion '!P:Q,2,FALSE),"")</f>
        <v>Unidad</v>
      </c>
      <c r="D9706" s="94">
        <v>48</v>
      </c>
      <c r="E9706" s="84">
        <v>873.85</v>
      </c>
      <c r="F9706" s="83">
        <f t="shared" ca="1" si="416"/>
        <v>41944.800000000003</v>
      </c>
    </row>
    <row r="9707" spans="1:6" ht="14.1" customHeight="1" x14ac:dyDescent="0.25">
      <c r="A9707" s="94" t="s">
        <v>6233</v>
      </c>
      <c r="B9707" s="82" t="str">
        <f ca="1">IFERROR(INDEX(UNSPSCDes,MATCH(INDIRECT(ADDRESS(ROW(),COLUMN()-1,4)),UNSPSCCode,0)),IF(INDIRECT(ADDRESS(ROW(),COLUMN()-1,4))="51111508","Dacarbazina",""))</f>
        <v>Dacarbazina</v>
      </c>
      <c r="C9707" s="95" t="str">
        <f>IFERROR(VLOOKUP("UD",'Informacion '!P:Q,2,FALSE),"")</f>
        <v>Unidad</v>
      </c>
      <c r="D9707" s="94">
        <v>11</v>
      </c>
      <c r="E9707" s="84">
        <v>990.81</v>
      </c>
      <c r="F9707" s="83">
        <f t="shared" ca="1" si="416"/>
        <v>10898.91</v>
      </c>
    </row>
    <row r="9708" spans="1:6" ht="14.1" customHeight="1" x14ac:dyDescent="0.25">
      <c r="A9708" s="94" t="s">
        <v>3201</v>
      </c>
      <c r="B9708" s="82" t="str">
        <f ca="1">IFERROR(INDEX(UNSPSCDes,MATCH(INDIRECT(ADDRESS(ROW(),COLUMN()-1,4)),UNSPSCCode,0)),IF(INDIRECT(ADDRESS(ROW(),COLUMN()-1,4))="51111702","Dactinomicina",""))</f>
        <v>Dactinomicina</v>
      </c>
      <c r="C9708" s="95" t="str">
        <f>IFERROR(VLOOKUP("UD",'Informacion '!P:Q,2,FALSE),"")</f>
        <v>Unidad</v>
      </c>
      <c r="D9708" s="94">
        <v>13</v>
      </c>
      <c r="E9708" s="84">
        <v>1450</v>
      </c>
      <c r="F9708" s="83">
        <f t="shared" ca="1" si="416"/>
        <v>18850</v>
      </c>
    </row>
    <row r="9709" spans="1:6" ht="14.1" customHeight="1" x14ac:dyDescent="0.25">
      <c r="A9709" s="94" t="s">
        <v>14635</v>
      </c>
      <c r="B9709" s="82" t="str">
        <f ca="1">IFERROR(INDEX(UNSPSCDes,MATCH(INDIRECT(ADDRESS(ROW(),COLUMN()-1,4)),UNSPSCCode,0)),IF(INDIRECT(ADDRESS(ROW(),COLUMN()-1,4))="51111703","Daunorubicinas",""))</f>
        <v>Daunorubicinas</v>
      </c>
      <c r="C9709" s="95" t="str">
        <f>IFERROR(VLOOKUP("UD",'Informacion '!P:Q,2,FALSE),"")</f>
        <v>Unidad</v>
      </c>
      <c r="D9709" s="94">
        <v>56</v>
      </c>
      <c r="E9709" s="84">
        <v>917.26</v>
      </c>
      <c r="F9709" s="83">
        <f t="shared" ca="1" si="416"/>
        <v>51366.559999999998</v>
      </c>
    </row>
    <row r="9710" spans="1:6" ht="14.1" customHeight="1" x14ac:dyDescent="0.25">
      <c r="A9710" s="94" t="s">
        <v>983</v>
      </c>
      <c r="B9710" s="82" t="str">
        <f t="shared" ref="B9710:B9718" ca="1" si="417">IFERROR(INDEX(UNSPSCDes,MATCH(INDIRECT(ADDRESS(ROW(),COLUMN()-1,4)),UNSPSCCode,0)),IF(INDIRECT(ADDRESS(ROW(),COLUMN()-1,4))="51111902","Docetaxel",""))</f>
        <v>Docetaxel</v>
      </c>
      <c r="C9710" s="95" t="str">
        <f>IFERROR(VLOOKUP("UD",'Informacion '!P:Q,2,FALSE),"")</f>
        <v>Unidad</v>
      </c>
      <c r="D9710" s="94">
        <v>45</v>
      </c>
      <c r="E9710" s="84">
        <v>1080.1600000000001</v>
      </c>
      <c r="F9710" s="83">
        <f t="shared" ca="1" si="416"/>
        <v>48607.200000000004</v>
      </c>
    </row>
    <row r="9711" spans="1:6" ht="14.1" customHeight="1" x14ac:dyDescent="0.25">
      <c r="A9711" s="94" t="s">
        <v>983</v>
      </c>
      <c r="B9711" s="82" t="str">
        <f t="shared" ca="1" si="417"/>
        <v>Docetaxel</v>
      </c>
      <c r="C9711" s="95" t="str">
        <f>IFERROR(VLOOKUP("UD",'Informacion '!P:Q,2,FALSE),"")</f>
        <v>Unidad</v>
      </c>
      <c r="D9711" s="94">
        <v>42</v>
      </c>
      <c r="E9711" s="84">
        <v>910</v>
      </c>
      <c r="F9711" s="83">
        <f t="shared" ca="1" si="416"/>
        <v>38220</v>
      </c>
    </row>
    <row r="9712" spans="1:6" ht="14.1" customHeight="1" x14ac:dyDescent="0.25">
      <c r="A9712" s="94" t="s">
        <v>983</v>
      </c>
      <c r="B9712" s="82" t="str">
        <f t="shared" ca="1" si="417"/>
        <v>Docetaxel</v>
      </c>
      <c r="C9712" s="95" t="str">
        <f>IFERROR(VLOOKUP("UD",'Informacion '!P:Q,2,FALSE),"")</f>
        <v>Unidad</v>
      </c>
      <c r="D9712" s="94">
        <v>38</v>
      </c>
      <c r="E9712" s="84">
        <v>1400</v>
      </c>
      <c r="F9712" s="83">
        <f t="shared" ca="1" si="416"/>
        <v>53200</v>
      </c>
    </row>
    <row r="9713" spans="1:6" ht="14.1" customHeight="1" x14ac:dyDescent="0.25">
      <c r="A9713" s="94" t="s">
        <v>983</v>
      </c>
      <c r="B9713" s="82" t="str">
        <f t="shared" ca="1" si="417"/>
        <v>Docetaxel</v>
      </c>
      <c r="C9713" s="95" t="str">
        <f>IFERROR(VLOOKUP("UD",'Informacion '!P:Q,2,FALSE),"")</f>
        <v>Unidad</v>
      </c>
      <c r="D9713" s="94">
        <v>55</v>
      </c>
      <c r="E9713" s="84">
        <v>1353</v>
      </c>
      <c r="F9713" s="83">
        <f t="shared" ca="1" si="416"/>
        <v>74415</v>
      </c>
    </row>
    <row r="9714" spans="1:6" ht="14.1" customHeight="1" x14ac:dyDescent="0.25">
      <c r="A9714" s="94" t="s">
        <v>983</v>
      </c>
      <c r="B9714" s="82" t="str">
        <f t="shared" ca="1" si="417"/>
        <v>Docetaxel</v>
      </c>
      <c r="C9714" s="95" t="str">
        <f>IFERROR(VLOOKUP("UD",'Informacion '!P:Q,2,FALSE),"")</f>
        <v>Unidad</v>
      </c>
      <c r="D9714" s="94">
        <v>26</v>
      </c>
      <c r="E9714" s="84">
        <v>2995</v>
      </c>
      <c r="F9714" s="83">
        <f t="shared" ca="1" si="416"/>
        <v>77870</v>
      </c>
    </row>
    <row r="9715" spans="1:6" ht="14.1" customHeight="1" x14ac:dyDescent="0.25">
      <c r="A9715" s="94" t="s">
        <v>983</v>
      </c>
      <c r="B9715" s="82" t="str">
        <f t="shared" ca="1" si="417"/>
        <v>Docetaxel</v>
      </c>
      <c r="C9715" s="95" t="str">
        <f>IFERROR(VLOOKUP("UD",'Informacion '!P:Q,2,FALSE),"")</f>
        <v>Unidad</v>
      </c>
      <c r="D9715" s="94">
        <v>32</v>
      </c>
      <c r="E9715" s="84">
        <v>2216.4299999999998</v>
      </c>
      <c r="F9715" s="83">
        <f t="shared" ca="1" si="416"/>
        <v>70925.759999999995</v>
      </c>
    </row>
    <row r="9716" spans="1:6" ht="14.1" customHeight="1" x14ac:dyDescent="0.25">
      <c r="A9716" s="94" t="s">
        <v>983</v>
      </c>
      <c r="B9716" s="82" t="str">
        <f t="shared" ca="1" si="417"/>
        <v>Docetaxel</v>
      </c>
      <c r="C9716" s="95" t="str">
        <f>IFERROR(VLOOKUP("UD",'Informacion '!P:Q,2,FALSE),"")</f>
        <v>Unidad</v>
      </c>
      <c r="D9716" s="94">
        <v>29</v>
      </c>
      <c r="E9716" s="84">
        <v>4500</v>
      </c>
      <c r="F9716" s="83">
        <f t="shared" ca="1" si="416"/>
        <v>130500</v>
      </c>
    </row>
    <row r="9717" spans="1:6" ht="14.1" customHeight="1" x14ac:dyDescent="0.25">
      <c r="A9717" s="94" t="s">
        <v>983</v>
      </c>
      <c r="B9717" s="82" t="str">
        <f t="shared" ca="1" si="417"/>
        <v>Docetaxel</v>
      </c>
      <c r="C9717" s="95" t="str">
        <f>IFERROR(VLOOKUP("UD",'Informacion '!P:Q,2,FALSE),"")</f>
        <v>Unidad</v>
      </c>
      <c r="D9717" s="94">
        <v>40</v>
      </c>
      <c r="E9717" s="84">
        <v>3098.04</v>
      </c>
      <c r="F9717" s="83">
        <f t="shared" ca="1" si="416"/>
        <v>123921.60000000001</v>
      </c>
    </row>
    <row r="9718" spans="1:6" ht="14.1" customHeight="1" x14ac:dyDescent="0.25">
      <c r="A9718" s="94" t="s">
        <v>983</v>
      </c>
      <c r="B9718" s="82" t="str">
        <f t="shared" ca="1" si="417"/>
        <v>Docetaxel</v>
      </c>
      <c r="C9718" s="95" t="str">
        <f>IFERROR(VLOOKUP("UD",'Informacion '!P:Q,2,FALSE),"")</f>
        <v>Unidad</v>
      </c>
      <c r="D9718" s="94">
        <v>22</v>
      </c>
      <c r="E9718" s="84">
        <v>3297.98</v>
      </c>
      <c r="F9718" s="83">
        <f t="shared" ca="1" si="416"/>
        <v>72555.56</v>
      </c>
    </row>
    <row r="9719" spans="1:6" ht="14.1" customHeight="1" x14ac:dyDescent="0.25">
      <c r="A9719" s="94" t="s">
        <v>1883</v>
      </c>
      <c r="B9719" s="82" t="str">
        <f t="shared" ref="B9719:B9728" ca="1" si="418">IFERROR(INDEX(UNSPSCDes,MATCH(INDIRECT(ADDRESS(ROW(),COLUMN()-1,4)),UNSPSCCode,0)),IF(INDIRECT(ADDRESS(ROW(),COLUMN()-1,4))="51111711","Clorhidrato de doxorubicina",""))</f>
        <v>Clorhidrato de doxorubicina</v>
      </c>
      <c r="C9719" s="95" t="str">
        <f>IFERROR(VLOOKUP("UD",'Informacion '!P:Q,2,FALSE),"")</f>
        <v>Unidad</v>
      </c>
      <c r="D9719" s="94">
        <v>53</v>
      </c>
      <c r="E9719" s="84">
        <v>159.09</v>
      </c>
      <c r="F9719" s="83">
        <f t="shared" ca="1" si="416"/>
        <v>8431.77</v>
      </c>
    </row>
    <row r="9720" spans="1:6" ht="14.1" customHeight="1" x14ac:dyDescent="0.25">
      <c r="A9720" s="94" t="s">
        <v>1883</v>
      </c>
      <c r="B9720" s="82" t="str">
        <f t="shared" ca="1" si="418"/>
        <v>Clorhidrato de doxorubicina</v>
      </c>
      <c r="C9720" s="95" t="str">
        <f>IFERROR(VLOOKUP("UD",'Informacion '!P:Q,2,FALSE),"")</f>
        <v>Unidad</v>
      </c>
      <c r="D9720" s="94">
        <v>178</v>
      </c>
      <c r="E9720" s="84">
        <v>172.11</v>
      </c>
      <c r="F9720" s="83">
        <f t="shared" ca="1" si="416"/>
        <v>30635.58</v>
      </c>
    </row>
    <row r="9721" spans="1:6" ht="14.1" customHeight="1" x14ac:dyDescent="0.25">
      <c r="A9721" s="94" t="s">
        <v>1883</v>
      </c>
      <c r="B9721" s="82" t="str">
        <f t="shared" ca="1" si="418"/>
        <v>Clorhidrato de doxorubicina</v>
      </c>
      <c r="C9721" s="95" t="str">
        <f>IFERROR(VLOOKUP("UD",'Informacion '!P:Q,2,FALSE),"")</f>
        <v>Unidad</v>
      </c>
      <c r="D9721" s="94">
        <v>8</v>
      </c>
      <c r="E9721" s="84">
        <v>13672.08</v>
      </c>
      <c r="F9721" s="83">
        <f t="shared" ca="1" si="416"/>
        <v>109376.64</v>
      </c>
    </row>
    <row r="9722" spans="1:6" ht="14.1" customHeight="1" x14ac:dyDescent="0.25">
      <c r="A9722" s="94" t="s">
        <v>1883</v>
      </c>
      <c r="B9722" s="82" t="str">
        <f t="shared" ca="1" si="418"/>
        <v>Clorhidrato de doxorubicina</v>
      </c>
      <c r="C9722" s="95" t="str">
        <f>IFERROR(VLOOKUP("UD",'Informacion '!P:Q,2,FALSE),"")</f>
        <v>Unidad</v>
      </c>
      <c r="D9722" s="94">
        <v>4</v>
      </c>
      <c r="E9722" s="84">
        <v>520</v>
      </c>
      <c r="F9722" s="83">
        <f t="shared" ca="1" si="416"/>
        <v>2080</v>
      </c>
    </row>
    <row r="9723" spans="1:6" ht="14.1" customHeight="1" x14ac:dyDescent="0.25">
      <c r="A9723" s="94" t="s">
        <v>1883</v>
      </c>
      <c r="B9723" s="82" t="str">
        <f t="shared" ca="1" si="418"/>
        <v>Clorhidrato de doxorubicina</v>
      </c>
      <c r="C9723" s="95" t="str">
        <f>IFERROR(VLOOKUP("UD",'Informacion '!P:Q,2,FALSE),"")</f>
        <v>Unidad</v>
      </c>
      <c r="D9723" s="94">
        <v>9</v>
      </c>
      <c r="E9723" s="84">
        <v>423.92</v>
      </c>
      <c r="F9723" s="83">
        <f t="shared" ca="1" si="416"/>
        <v>3815.28</v>
      </c>
    </row>
    <row r="9724" spans="1:6" ht="14.1" customHeight="1" x14ac:dyDescent="0.25">
      <c r="A9724" s="94" t="s">
        <v>1883</v>
      </c>
      <c r="B9724" s="82" t="str">
        <f t="shared" ca="1" si="418"/>
        <v>Clorhidrato de doxorubicina</v>
      </c>
      <c r="C9724" s="95" t="str">
        <f>IFERROR(VLOOKUP("UD",'Informacion '!P:Q,2,FALSE),"")</f>
        <v>Unidad</v>
      </c>
      <c r="D9724" s="94">
        <v>116</v>
      </c>
      <c r="E9724" s="84">
        <v>567.94000000000005</v>
      </c>
      <c r="F9724" s="83">
        <f t="shared" ca="1" si="416"/>
        <v>65881.040000000008</v>
      </c>
    </row>
    <row r="9725" spans="1:6" ht="14.1" customHeight="1" x14ac:dyDescent="0.25">
      <c r="A9725" s="94" t="s">
        <v>1883</v>
      </c>
      <c r="B9725" s="82" t="str">
        <f t="shared" ca="1" si="418"/>
        <v>Clorhidrato de doxorubicina</v>
      </c>
      <c r="C9725" s="95" t="str">
        <f>IFERROR(VLOOKUP("UD",'Informacion '!P:Q,2,FALSE),"")</f>
        <v>Unidad</v>
      </c>
      <c r="D9725" s="94">
        <v>63</v>
      </c>
      <c r="E9725" s="84">
        <v>424.99</v>
      </c>
      <c r="F9725" s="83">
        <f t="shared" ca="1" si="416"/>
        <v>26774.37</v>
      </c>
    </row>
    <row r="9726" spans="1:6" ht="14.1" customHeight="1" x14ac:dyDescent="0.25">
      <c r="A9726" s="94" t="s">
        <v>1883</v>
      </c>
      <c r="B9726" s="82" t="str">
        <f t="shared" ca="1" si="418"/>
        <v>Clorhidrato de doxorubicina</v>
      </c>
      <c r="C9726" s="95" t="str">
        <f>IFERROR(VLOOKUP("UD",'Informacion '!P:Q,2,FALSE),"")</f>
        <v>Unidad</v>
      </c>
      <c r="D9726" s="94">
        <v>9</v>
      </c>
      <c r="E9726" s="84">
        <v>465</v>
      </c>
      <c r="F9726" s="83">
        <f t="shared" ca="1" si="416"/>
        <v>4185</v>
      </c>
    </row>
    <row r="9727" spans="1:6" ht="14.1" customHeight="1" x14ac:dyDescent="0.25">
      <c r="A9727" s="94" t="s">
        <v>1883</v>
      </c>
      <c r="B9727" s="82" t="str">
        <f t="shared" ca="1" si="418"/>
        <v>Clorhidrato de doxorubicina</v>
      </c>
      <c r="C9727" s="95" t="str">
        <f>IFERROR(VLOOKUP("UD",'Informacion '!P:Q,2,FALSE),"")</f>
        <v>Unidad</v>
      </c>
      <c r="D9727" s="94">
        <v>53</v>
      </c>
      <c r="E9727" s="84">
        <v>607.89</v>
      </c>
      <c r="F9727" s="83">
        <f t="shared" ca="1" si="416"/>
        <v>32218.17</v>
      </c>
    </row>
    <row r="9728" spans="1:6" ht="14.1" customHeight="1" x14ac:dyDescent="0.25">
      <c r="A9728" s="94" t="s">
        <v>1883</v>
      </c>
      <c r="B9728" s="82" t="str">
        <f t="shared" ca="1" si="418"/>
        <v>Clorhidrato de doxorubicina</v>
      </c>
      <c r="C9728" s="95" t="str">
        <f>IFERROR(VLOOKUP("UD",'Informacion '!P:Q,2,FALSE),"")</f>
        <v>Unidad</v>
      </c>
      <c r="D9728" s="94">
        <v>5</v>
      </c>
      <c r="E9728" s="84">
        <v>8010.87</v>
      </c>
      <c r="F9728" s="83">
        <f t="shared" ca="1" si="416"/>
        <v>40054.35</v>
      </c>
    </row>
    <row r="9729" spans="1:6" ht="14.1" customHeight="1" x14ac:dyDescent="0.25">
      <c r="A9729" s="94" t="s">
        <v>11437</v>
      </c>
      <c r="B9729" s="82" t="str">
        <f ca="1">IFERROR(INDEX(UNSPSCDes,MATCH(INDIRECT(ADDRESS(ROW(),COLUMN()-1,4)),UNSPSCCode,0)),IF(INDIRECT(ADDRESS(ROW(),COLUMN()-1,4))="51111710","Epirubicina",""))</f>
        <v>Epirubicina</v>
      </c>
      <c r="C9729" s="95" t="str">
        <f>IFERROR(VLOOKUP("UD",'Informacion '!P:Q,2,FALSE),"")</f>
        <v>Unidad</v>
      </c>
      <c r="D9729" s="94">
        <v>6</v>
      </c>
      <c r="E9729" s="84">
        <v>540</v>
      </c>
      <c r="F9729" s="83">
        <f t="shared" ca="1" si="416"/>
        <v>3240</v>
      </c>
    </row>
    <row r="9730" spans="1:6" ht="14.1" customHeight="1" x14ac:dyDescent="0.25">
      <c r="A9730" s="94" t="s">
        <v>11437</v>
      </c>
      <c r="B9730" s="82" t="str">
        <f ca="1">IFERROR(INDEX(UNSPSCDes,MATCH(INDIRECT(ADDRESS(ROW(),COLUMN()-1,4)),UNSPSCCode,0)),IF(INDIRECT(ADDRESS(ROW(),COLUMN()-1,4))="51111710","Epirubicina",""))</f>
        <v>Epirubicina</v>
      </c>
      <c r="C9730" s="95" t="str">
        <f>IFERROR(VLOOKUP("UD",'Informacion '!P:Q,2,FALSE),"")</f>
        <v>Unidad</v>
      </c>
      <c r="D9730" s="94">
        <v>6</v>
      </c>
      <c r="E9730" s="84">
        <v>796.62</v>
      </c>
      <c r="F9730" s="83">
        <f t="shared" ca="1" si="416"/>
        <v>4779.72</v>
      </c>
    </row>
    <row r="9731" spans="1:6" ht="14.1" customHeight="1" x14ac:dyDescent="0.25">
      <c r="A9731" s="94" t="s">
        <v>11437</v>
      </c>
      <c r="B9731" s="82" t="str">
        <f ca="1">IFERROR(INDEX(UNSPSCDes,MATCH(INDIRECT(ADDRESS(ROW(),COLUMN()-1,4)),UNSPSCCode,0)),IF(INDIRECT(ADDRESS(ROW(),COLUMN()-1,4))="51111710","Epirubicina",""))</f>
        <v>Epirubicina</v>
      </c>
      <c r="C9731" s="95" t="str">
        <f>IFERROR(VLOOKUP("UD",'Informacion '!P:Q,2,FALSE),"")</f>
        <v>Unidad</v>
      </c>
      <c r="D9731" s="94">
        <v>16</v>
      </c>
      <c r="E9731" s="84">
        <v>2982.9</v>
      </c>
      <c r="F9731" s="83">
        <f t="shared" ref="F9731:F9762" ca="1" si="419">INDIRECT(ADDRESS(ROW(),COLUMN()-2,4))*INDIRECT(ADDRESS(ROW(),COLUMN()-1,4))</f>
        <v>47726.400000000001</v>
      </c>
    </row>
    <row r="9732" spans="1:6" ht="14.1" customHeight="1" x14ac:dyDescent="0.25">
      <c r="A9732" s="94" t="s">
        <v>11115</v>
      </c>
      <c r="B9732" s="82" t="str">
        <f ca="1">IFERROR(INDEX(UNSPSCDes,MATCH(INDIRECT(ADDRESS(ROW(),COLUMN()-1,4)),UNSPSCCode,0)),IF(INDIRECT(ADDRESS(ROW(),COLUMN()-1,4))="51131506","Eritropoyetina",""))</f>
        <v>Eritropoyetina</v>
      </c>
      <c r="C9732" s="95" t="str">
        <f>IFERROR(VLOOKUP("UD",'Informacion '!P:Q,2,FALSE),"")</f>
        <v>Unidad</v>
      </c>
      <c r="D9732" s="94">
        <v>25</v>
      </c>
      <c r="E9732" s="84">
        <v>690</v>
      </c>
      <c r="F9732" s="83">
        <f t="shared" ca="1" si="419"/>
        <v>17250</v>
      </c>
    </row>
    <row r="9733" spans="1:6" ht="14.1" customHeight="1" x14ac:dyDescent="0.25">
      <c r="A9733" s="94" t="s">
        <v>11115</v>
      </c>
      <c r="B9733" s="82" t="str">
        <f ca="1">IFERROR(INDEX(UNSPSCDes,MATCH(INDIRECT(ADDRESS(ROW(),COLUMN()-1,4)),UNSPSCCode,0)),IF(INDIRECT(ADDRESS(ROW(),COLUMN()-1,4))="51131506","Eritropoyetina",""))</f>
        <v>Eritropoyetina</v>
      </c>
      <c r="C9733" s="95" t="str">
        <f>IFERROR(VLOOKUP("UD",'Informacion '!P:Q,2,FALSE),"")</f>
        <v>Unidad</v>
      </c>
      <c r="D9733" s="94">
        <v>79</v>
      </c>
      <c r="E9733" s="84">
        <v>939.49</v>
      </c>
      <c r="F9733" s="83">
        <f t="shared" ca="1" si="419"/>
        <v>74219.710000000006</v>
      </c>
    </row>
    <row r="9734" spans="1:6" ht="14.1" customHeight="1" x14ac:dyDescent="0.25">
      <c r="A9734" s="94" t="s">
        <v>11115</v>
      </c>
      <c r="B9734" s="82" t="str">
        <f ca="1">IFERROR(INDEX(UNSPSCDes,MATCH(INDIRECT(ADDRESS(ROW(),COLUMN()-1,4)),UNSPSCCode,0)),IF(INDIRECT(ADDRESS(ROW(),COLUMN()-1,4))="51131506","Eritropoyetina",""))</f>
        <v>Eritropoyetina</v>
      </c>
      <c r="C9734" s="95" t="str">
        <f>IFERROR(VLOOKUP("UD",'Informacion '!P:Q,2,FALSE),"")</f>
        <v>Unidad</v>
      </c>
      <c r="D9734" s="94">
        <v>4</v>
      </c>
      <c r="E9734" s="84">
        <v>6800</v>
      </c>
      <c r="F9734" s="83">
        <f t="shared" ca="1" si="419"/>
        <v>27200</v>
      </c>
    </row>
    <row r="9735" spans="1:6" ht="14.1" customHeight="1" x14ac:dyDescent="0.25">
      <c r="A9735" s="94" t="s">
        <v>11115</v>
      </c>
      <c r="B9735" s="82" t="str">
        <f ca="1">IFERROR(INDEX(UNSPSCDes,MATCH(INDIRECT(ADDRESS(ROW(),COLUMN()-1,4)),UNSPSCCode,0)),IF(INDIRECT(ADDRESS(ROW(),COLUMN()-1,4))="51131506","Eritropoyetina",""))</f>
        <v>Eritropoyetina</v>
      </c>
      <c r="C9735" s="95" t="str">
        <f>IFERROR(VLOOKUP("UD",'Informacion '!P:Q,2,FALSE),"")</f>
        <v>Unidad</v>
      </c>
      <c r="D9735" s="94">
        <v>106</v>
      </c>
      <c r="E9735" s="84">
        <v>320</v>
      </c>
      <c r="F9735" s="83">
        <f t="shared" ca="1" si="419"/>
        <v>33920</v>
      </c>
    </row>
    <row r="9736" spans="1:6" ht="14.1" customHeight="1" x14ac:dyDescent="0.25">
      <c r="A9736" s="94" t="s">
        <v>10087</v>
      </c>
      <c r="B9736" s="82" t="str">
        <f ca="1">IFERROR(INDEX(UNSPSCDes,MATCH(INDIRECT(ADDRESS(ROW(),COLUMN()-1,4)),UNSPSCCode,0)),IF(INDIRECT(ADDRESS(ROW(),COLUMN()-1,4))="51111614","Etopósido",""))</f>
        <v>Etopósido</v>
      </c>
      <c r="C9736" s="95" t="str">
        <f>IFERROR(VLOOKUP("UD",'Informacion '!P:Q,2,FALSE),"")</f>
        <v>Unidad</v>
      </c>
      <c r="D9736" s="94">
        <v>16</v>
      </c>
      <c r="E9736" s="84">
        <v>522</v>
      </c>
      <c r="F9736" s="83">
        <f t="shared" ca="1" si="419"/>
        <v>8352</v>
      </c>
    </row>
    <row r="9737" spans="1:6" ht="14.1" customHeight="1" x14ac:dyDescent="0.25">
      <c r="A9737" s="94" t="s">
        <v>10087</v>
      </c>
      <c r="B9737" s="82" t="str">
        <f ca="1">IFERROR(INDEX(UNSPSCDes,MATCH(INDIRECT(ADDRESS(ROW(),COLUMN()-1,4)),UNSPSCCode,0)),IF(INDIRECT(ADDRESS(ROW(),COLUMN()-1,4))="51111614","Etopósido",""))</f>
        <v>Etopósido</v>
      </c>
      <c r="C9737" s="95" t="str">
        <f>IFERROR(VLOOKUP("UD",'Informacion '!P:Q,2,FALSE),"")</f>
        <v>Unidad</v>
      </c>
      <c r="D9737" s="94">
        <v>73</v>
      </c>
      <c r="E9737" s="84">
        <v>200.89</v>
      </c>
      <c r="F9737" s="83">
        <f t="shared" ca="1" si="419"/>
        <v>14664.97</v>
      </c>
    </row>
    <row r="9738" spans="1:6" ht="14.1" customHeight="1" x14ac:dyDescent="0.25">
      <c r="A9738" s="94" t="s">
        <v>10087</v>
      </c>
      <c r="B9738" s="82" t="str">
        <f ca="1">IFERROR(INDEX(UNSPSCDes,MATCH(INDIRECT(ADDRESS(ROW(),COLUMN()-1,4)),UNSPSCCode,0)),IF(INDIRECT(ADDRESS(ROW(),COLUMN()-1,4))="51111614","Etopósido",""))</f>
        <v>Etopósido</v>
      </c>
      <c r="C9738" s="95" t="str">
        <f>IFERROR(VLOOKUP("UD",'Informacion '!P:Q,2,FALSE),"")</f>
        <v>Unidad</v>
      </c>
      <c r="D9738" s="94">
        <v>9</v>
      </c>
      <c r="E9738" s="84">
        <v>200</v>
      </c>
      <c r="F9738" s="83">
        <f t="shared" ca="1" si="419"/>
        <v>1800</v>
      </c>
    </row>
    <row r="9739" spans="1:6" ht="14.1" customHeight="1" x14ac:dyDescent="0.25">
      <c r="A9739" s="94" t="s">
        <v>4544</v>
      </c>
      <c r="B9739" s="82" t="str">
        <f ca="1">IFERROR(INDEX(UNSPSCDes,MATCH(INDIRECT(ADDRESS(ROW(),COLUMN()-1,4)),UNSPSCCode,0)),IF(INDIRECT(ADDRESS(ROW(),COLUMN()-1,4))="51201802","Filgrastim",""))</f>
        <v>Filgrastim</v>
      </c>
      <c r="C9739" s="95" t="str">
        <f>IFERROR(VLOOKUP("UD",'Informacion '!P:Q,2,FALSE),"")</f>
        <v>Unidad</v>
      </c>
      <c r="D9739" s="94">
        <v>9</v>
      </c>
      <c r="E9739" s="84">
        <v>1701.7</v>
      </c>
      <c r="F9739" s="83">
        <f t="shared" ca="1" si="419"/>
        <v>15315.300000000001</v>
      </c>
    </row>
    <row r="9740" spans="1:6" ht="14.1" customHeight="1" x14ac:dyDescent="0.25">
      <c r="A9740" s="94" t="s">
        <v>14363</v>
      </c>
      <c r="B9740" s="82" t="str">
        <f ca="1">IFERROR(INDEX(UNSPSCDes,MATCH(INDIRECT(ADDRESS(ROW(),COLUMN()-1,4)),UNSPSCCode,0)),IF(INDIRECT(ADDRESS(ROW(),COLUMN()-1,4))="51111604","Fosfato de fludarabina",""))</f>
        <v>Fosfato de fludarabina</v>
      </c>
      <c r="C9740" s="95" t="str">
        <f>IFERROR(VLOOKUP("UD",'Informacion '!P:Q,2,FALSE),"")</f>
        <v>Unidad</v>
      </c>
      <c r="D9740" s="94">
        <v>29</v>
      </c>
      <c r="E9740" s="84">
        <v>3345.56</v>
      </c>
      <c r="F9740" s="83">
        <f t="shared" ca="1" si="419"/>
        <v>97021.24</v>
      </c>
    </row>
    <row r="9741" spans="1:6" ht="14.1" customHeight="1" x14ac:dyDescent="0.25">
      <c r="A9741" s="94" t="s">
        <v>13176</v>
      </c>
      <c r="B9741" s="82" t="str">
        <f ca="1">IFERROR(INDEX(UNSPSCDes,MATCH(INDIRECT(ADDRESS(ROW(),COLUMN()-1,4)),UNSPSCCode,0)),IF(INDIRECT(ADDRESS(ROW(),COLUMN()-1,4))="51111605","Fluorouracilo",""))</f>
        <v>Fluorouracilo</v>
      </c>
      <c r="C9741" s="95" t="str">
        <f>IFERROR(VLOOKUP("UD",'Informacion '!P:Q,2,FALSE),"")</f>
        <v>Unidad</v>
      </c>
      <c r="D9741" s="94">
        <v>12</v>
      </c>
      <c r="E9741" s="84">
        <v>125</v>
      </c>
      <c r="F9741" s="83">
        <f t="shared" ca="1" si="419"/>
        <v>1500</v>
      </c>
    </row>
    <row r="9742" spans="1:6" ht="14.1" customHeight="1" x14ac:dyDescent="0.25">
      <c r="A9742" s="94" t="s">
        <v>14143</v>
      </c>
      <c r="B9742" s="82" t="str">
        <f t="shared" ref="B9742:B9751" ca="1" si="420">IFERROR(INDEX(UNSPSCDes,MATCH(INDIRECT(ADDRESS(ROW(),COLUMN()-1,4)),UNSPSCCode,0)),IF(INDIRECT(ADDRESS(ROW(),COLUMN()-1,4))="51111617","Clorhidrato de gemcitabina",""))</f>
        <v>Clorhidrato de gemcitabina</v>
      </c>
      <c r="C9742" s="95" t="str">
        <f>IFERROR(VLOOKUP("UD",'Informacion '!P:Q,2,FALSE),"")</f>
        <v>Unidad</v>
      </c>
      <c r="D9742" s="94">
        <v>16</v>
      </c>
      <c r="E9742" s="84">
        <v>2479</v>
      </c>
      <c r="F9742" s="83">
        <f t="shared" ca="1" si="419"/>
        <v>39664</v>
      </c>
    </row>
    <row r="9743" spans="1:6" ht="14.1" customHeight="1" x14ac:dyDescent="0.25">
      <c r="A9743" s="94" t="s">
        <v>14143</v>
      </c>
      <c r="B9743" s="82" t="str">
        <f t="shared" ca="1" si="420"/>
        <v>Clorhidrato de gemcitabina</v>
      </c>
      <c r="C9743" s="95" t="str">
        <f>IFERROR(VLOOKUP("UD",'Informacion '!P:Q,2,FALSE),"")</f>
        <v>Unidad</v>
      </c>
      <c r="D9743" s="94">
        <v>28</v>
      </c>
      <c r="E9743" s="84">
        <v>3900</v>
      </c>
      <c r="F9743" s="83">
        <f t="shared" ca="1" si="419"/>
        <v>109200</v>
      </c>
    </row>
    <row r="9744" spans="1:6" ht="14.1" customHeight="1" x14ac:dyDescent="0.25">
      <c r="A9744" s="94" t="s">
        <v>14143</v>
      </c>
      <c r="B9744" s="82" t="str">
        <f t="shared" ca="1" si="420"/>
        <v>Clorhidrato de gemcitabina</v>
      </c>
      <c r="C9744" s="95" t="str">
        <f>IFERROR(VLOOKUP("UD",'Informacion '!P:Q,2,FALSE),"")</f>
        <v>Unidad</v>
      </c>
      <c r="D9744" s="94">
        <v>5</v>
      </c>
      <c r="E9744" s="84">
        <v>2479</v>
      </c>
      <c r="F9744" s="83">
        <f t="shared" ca="1" si="419"/>
        <v>12395</v>
      </c>
    </row>
    <row r="9745" spans="1:6" ht="14.1" customHeight="1" x14ac:dyDescent="0.25">
      <c r="A9745" s="94" t="s">
        <v>14143</v>
      </c>
      <c r="B9745" s="82" t="str">
        <f t="shared" ca="1" si="420"/>
        <v>Clorhidrato de gemcitabina</v>
      </c>
      <c r="C9745" s="95" t="str">
        <f>IFERROR(VLOOKUP("UD",'Informacion '!P:Q,2,FALSE),"")</f>
        <v>Unidad</v>
      </c>
      <c r="D9745" s="94">
        <v>7</v>
      </c>
      <c r="E9745" s="84">
        <v>4583.33</v>
      </c>
      <c r="F9745" s="83">
        <f t="shared" ca="1" si="419"/>
        <v>32083.309999999998</v>
      </c>
    </row>
    <row r="9746" spans="1:6" ht="14.1" customHeight="1" x14ac:dyDescent="0.25">
      <c r="A9746" s="94" t="s">
        <v>14143</v>
      </c>
      <c r="B9746" s="82" t="str">
        <f t="shared" ca="1" si="420"/>
        <v>Clorhidrato de gemcitabina</v>
      </c>
      <c r="C9746" s="95" t="str">
        <f>IFERROR(VLOOKUP("UD",'Informacion '!P:Q,2,FALSE),"")</f>
        <v>Unidad</v>
      </c>
      <c r="D9746" s="94">
        <v>9</v>
      </c>
      <c r="E9746" s="84">
        <v>495.8</v>
      </c>
      <c r="F9746" s="83">
        <f t="shared" ca="1" si="419"/>
        <v>4462.2</v>
      </c>
    </row>
    <row r="9747" spans="1:6" ht="14.1" customHeight="1" x14ac:dyDescent="0.25">
      <c r="A9747" s="94" t="s">
        <v>14143</v>
      </c>
      <c r="B9747" s="82" t="str">
        <f t="shared" ca="1" si="420"/>
        <v>Clorhidrato de gemcitabina</v>
      </c>
      <c r="C9747" s="95" t="str">
        <f>IFERROR(VLOOKUP("UD",'Informacion '!P:Q,2,FALSE),"")</f>
        <v>Unidad</v>
      </c>
      <c r="D9747" s="94">
        <v>24</v>
      </c>
      <c r="E9747" s="84">
        <v>979</v>
      </c>
      <c r="F9747" s="83">
        <f t="shared" ca="1" si="419"/>
        <v>23496</v>
      </c>
    </row>
    <row r="9748" spans="1:6" ht="14.1" customHeight="1" x14ac:dyDescent="0.25">
      <c r="A9748" s="94" t="s">
        <v>14143</v>
      </c>
      <c r="B9748" s="82" t="str">
        <f t="shared" ca="1" si="420"/>
        <v>Clorhidrato de gemcitabina</v>
      </c>
      <c r="C9748" s="95" t="str">
        <f>IFERROR(VLOOKUP("UD",'Informacion '!P:Q,2,FALSE),"")</f>
        <v>Unidad</v>
      </c>
      <c r="D9748" s="94">
        <v>5</v>
      </c>
      <c r="E9748" s="84">
        <v>2995</v>
      </c>
      <c r="F9748" s="83">
        <f t="shared" ca="1" si="419"/>
        <v>14975</v>
      </c>
    </row>
    <row r="9749" spans="1:6" ht="14.1" customHeight="1" x14ac:dyDescent="0.25">
      <c r="A9749" s="94" t="s">
        <v>14143</v>
      </c>
      <c r="B9749" s="82" t="str">
        <f t="shared" ca="1" si="420"/>
        <v>Clorhidrato de gemcitabina</v>
      </c>
      <c r="C9749" s="95" t="str">
        <f>IFERROR(VLOOKUP("UD",'Informacion '!P:Q,2,FALSE),"")</f>
        <v>Unidad</v>
      </c>
      <c r="D9749" s="94">
        <v>21</v>
      </c>
      <c r="E9749" s="84">
        <v>450</v>
      </c>
      <c r="F9749" s="83">
        <f t="shared" ca="1" si="419"/>
        <v>9450</v>
      </c>
    </row>
    <row r="9750" spans="1:6" ht="14.1" customHeight="1" x14ac:dyDescent="0.25">
      <c r="A9750" s="94" t="s">
        <v>14143</v>
      </c>
      <c r="B9750" s="82" t="str">
        <f t="shared" ca="1" si="420"/>
        <v>Clorhidrato de gemcitabina</v>
      </c>
      <c r="C9750" s="95" t="str">
        <f>IFERROR(VLOOKUP("UD",'Informacion '!P:Q,2,FALSE),"")</f>
        <v>Unidad</v>
      </c>
      <c r="D9750" s="94">
        <v>9</v>
      </c>
      <c r="E9750" s="84">
        <v>941.57</v>
      </c>
      <c r="F9750" s="83">
        <f t="shared" ca="1" si="419"/>
        <v>8474.130000000001</v>
      </c>
    </row>
    <row r="9751" spans="1:6" ht="14.1" customHeight="1" x14ac:dyDescent="0.25">
      <c r="A9751" s="94" t="s">
        <v>14143</v>
      </c>
      <c r="B9751" s="82" t="str">
        <f t="shared" ca="1" si="420"/>
        <v>Clorhidrato de gemcitabina</v>
      </c>
      <c r="C9751" s="95" t="str">
        <f>IFERROR(VLOOKUP("UD",'Informacion '!P:Q,2,FALSE),"")</f>
        <v>Unidad</v>
      </c>
      <c r="D9751" s="94">
        <v>85</v>
      </c>
      <c r="E9751" s="84">
        <v>485.74</v>
      </c>
      <c r="F9751" s="83">
        <f t="shared" ca="1" si="419"/>
        <v>41287.9</v>
      </c>
    </row>
    <row r="9752" spans="1:6" ht="14.1" customHeight="1" x14ac:dyDescent="0.25">
      <c r="A9752" s="94" t="s">
        <v>9538</v>
      </c>
      <c r="B9752" s="82" t="str">
        <f ca="1">IFERROR(INDEX(UNSPSCDes,MATCH(INDIRECT(ADDRESS(ROW(),COLUMN()-1,4)),UNSPSCCode,0)),IF(INDIRECT(ADDRESS(ROW(),COLUMN()-1,4))="51171802","Clorhidrato de granisetrón",""))</f>
        <v>Clorhidrato de granisetrón</v>
      </c>
      <c r="C9752" s="95" t="str">
        <f>IFERROR(VLOOKUP("UD",'Informacion '!P:Q,2,FALSE),"")</f>
        <v>Unidad</v>
      </c>
      <c r="D9752" s="94">
        <v>517</v>
      </c>
      <c r="E9752" s="84">
        <v>420.01</v>
      </c>
      <c r="F9752" s="83">
        <f t="shared" ca="1" si="419"/>
        <v>217145.16999999998</v>
      </c>
    </row>
    <row r="9753" spans="1:6" ht="14.1" customHeight="1" x14ac:dyDescent="0.25">
      <c r="A9753" s="94" t="s">
        <v>3348</v>
      </c>
      <c r="B9753" s="82" t="str">
        <f ca="1">IFERROR(INDEX(UNSPSCDes,MATCH(INDIRECT(ADDRESS(ROW(),COLUMN()-1,4)),UNSPSCCode,0)),IF(INDIRECT(ADDRESS(ROW(),COLUMN()-1,4))="51171501","Carbonato de calcio",""))</f>
        <v>Carbonato de calcio</v>
      </c>
      <c r="C9753" s="95" t="str">
        <f>IFERROR(VLOOKUP("UD",'Informacion '!P:Q,2,FALSE),"")</f>
        <v>Unidad</v>
      </c>
      <c r="D9753" s="94">
        <v>88</v>
      </c>
      <c r="E9753" s="84">
        <v>250</v>
      </c>
      <c r="F9753" s="83">
        <f t="shared" ca="1" si="419"/>
        <v>22000</v>
      </c>
    </row>
    <row r="9754" spans="1:6" ht="14.1" customHeight="1" x14ac:dyDescent="0.25">
      <c r="A9754" s="94" t="s">
        <v>9538</v>
      </c>
      <c r="B9754" s="82" t="str">
        <f ca="1">IFERROR(INDEX(UNSPSCDes,MATCH(INDIRECT(ADDRESS(ROW(),COLUMN()-1,4)),UNSPSCCode,0)),IF(INDIRECT(ADDRESS(ROW(),COLUMN()-1,4))="51171802","Clorhidrato de granisetrón",""))</f>
        <v>Clorhidrato de granisetrón</v>
      </c>
      <c r="C9754" s="95" t="str">
        <f>IFERROR(VLOOKUP("UD",'Informacion '!P:Q,2,FALSE),"")</f>
        <v>Unidad</v>
      </c>
      <c r="D9754" s="94">
        <v>221</v>
      </c>
      <c r="E9754" s="84">
        <v>420</v>
      </c>
      <c r="F9754" s="83">
        <f t="shared" ca="1" si="419"/>
        <v>92820</v>
      </c>
    </row>
    <row r="9755" spans="1:6" ht="14.1" customHeight="1" x14ac:dyDescent="0.25">
      <c r="A9755" s="94" t="s">
        <v>15292</v>
      </c>
      <c r="B9755" s="82" t="str">
        <f ca="1">IFERROR(INDEX(UNSPSCDes,MATCH(INDIRECT(ADDRESS(ROW(),COLUMN()-1,4)),UNSPSCCode,0)),IF(INDIRECT(ADDRESS(ROW(),COLUMN()-1,4))="51111806","Clorhidrato de irinotecan",""))</f>
        <v>Clorhidrato de irinotecan</v>
      </c>
      <c r="C9755" s="95" t="str">
        <f>IFERROR(VLOOKUP("UD",'Informacion '!P:Q,2,FALSE),"")</f>
        <v>Unidad</v>
      </c>
      <c r="D9755" s="94">
        <v>9</v>
      </c>
      <c r="E9755" s="84">
        <v>2654.67</v>
      </c>
      <c r="F9755" s="83">
        <f t="shared" ca="1" si="419"/>
        <v>23892.03</v>
      </c>
    </row>
    <row r="9756" spans="1:6" ht="14.1" customHeight="1" x14ac:dyDescent="0.25">
      <c r="A9756" s="94" t="s">
        <v>9065</v>
      </c>
      <c r="B9756" s="82" t="str">
        <f ca="1">IFERROR(INDEX(UNSPSCDes,MATCH(INDIRECT(ADDRESS(ROW(),COLUMN()-1,4)),UNSPSCCode,0)),IF(INDIRECT(ADDRESS(ROW(),COLUMN()-1,4))="51111820","Letrozol",""))</f>
        <v>Letrozol</v>
      </c>
      <c r="C9756" s="95" t="str">
        <f>IFERROR(VLOOKUP("UD",'Informacion '!P:Q,2,FALSE),"")</f>
        <v>Unidad</v>
      </c>
      <c r="D9756" s="94">
        <v>165</v>
      </c>
      <c r="E9756" s="84">
        <v>46.67</v>
      </c>
      <c r="F9756" s="83">
        <f t="shared" ca="1" si="419"/>
        <v>7700.55</v>
      </c>
    </row>
    <row r="9757" spans="1:6" ht="14.1" customHeight="1" x14ac:dyDescent="0.25">
      <c r="A9757" s="94" t="s">
        <v>693</v>
      </c>
      <c r="B9757" s="82" t="str">
        <f ca="1">IFERROR(INDEX(UNSPSCDes,MATCH(INDIRECT(ADDRESS(ROW(),COLUMN()-1,4)),UNSPSCCode,0)),IF(INDIRECT(ADDRESS(ROW(),COLUMN()-1,4))="51111716","Rituximab",""))</f>
        <v>Rituximab</v>
      </c>
      <c r="C9757" s="95" t="str">
        <f>IFERROR(VLOOKUP("UD",'Informacion '!P:Q,2,FALSE),"")</f>
        <v>Unidad</v>
      </c>
      <c r="D9757" s="94">
        <v>110</v>
      </c>
      <c r="E9757" s="84">
        <v>17207</v>
      </c>
      <c r="F9757" s="83">
        <f t="shared" ca="1" si="419"/>
        <v>1892770</v>
      </c>
    </row>
    <row r="9758" spans="1:6" ht="14.1" customHeight="1" x14ac:dyDescent="0.25">
      <c r="A9758" s="94" t="s">
        <v>693</v>
      </c>
      <c r="B9758" s="82" t="str">
        <f ca="1">IFERROR(INDEX(UNSPSCDes,MATCH(INDIRECT(ADDRESS(ROW(),COLUMN()-1,4)),UNSPSCCode,0)),IF(INDIRECT(ADDRESS(ROW(),COLUMN()-1,4))="51111716","Rituximab",""))</f>
        <v>Rituximab</v>
      </c>
      <c r="C9758" s="95" t="str">
        <f>IFERROR(VLOOKUP("UD",'Informacion '!P:Q,2,FALSE),"")</f>
        <v>Unidad</v>
      </c>
      <c r="D9758" s="94">
        <v>15</v>
      </c>
      <c r="E9758" s="84">
        <v>107468</v>
      </c>
      <c r="F9758" s="83">
        <f t="shared" ca="1" si="419"/>
        <v>1612020</v>
      </c>
    </row>
    <row r="9759" spans="1:6" ht="14.1" customHeight="1" x14ac:dyDescent="0.25">
      <c r="A9759" s="94" t="s">
        <v>4050</v>
      </c>
      <c r="B9759" s="82" t="str">
        <f ca="1">IFERROR(INDEX(UNSPSCDes,MATCH(INDIRECT(ADDRESS(ROW(),COLUMN()-1,4)),UNSPSCCode,0)),IF(INDIRECT(ADDRESS(ROW(),COLUMN()-1,4))="51181806","Acetato de megestrol",""))</f>
        <v>Acetato de megestrol</v>
      </c>
      <c r="C9759" s="95" t="str">
        <f>IFERROR(VLOOKUP("UD",'Informacion '!P:Q,2,FALSE),"")</f>
        <v>Unidad</v>
      </c>
      <c r="D9759" s="94">
        <v>10</v>
      </c>
      <c r="E9759" s="84">
        <v>1500</v>
      </c>
      <c r="F9759" s="83">
        <f t="shared" ca="1" si="419"/>
        <v>15000</v>
      </c>
    </row>
    <row r="9760" spans="1:6" ht="14.1" customHeight="1" x14ac:dyDescent="0.25">
      <c r="A9760" s="94" t="s">
        <v>11400</v>
      </c>
      <c r="B9760" s="82" t="str">
        <f ca="1">IFERROR(INDEX(UNSPSCDes,MATCH(INDIRECT(ADDRESS(ROW(),COLUMN()-1,4)),UNSPSCCode,0)),IF(INDIRECT(ADDRESS(ROW(),COLUMN()-1,4))="51111609","Mercaptopurina",""))</f>
        <v>Mercaptopurina</v>
      </c>
      <c r="C9760" s="95" t="str">
        <f>IFERROR(VLOOKUP("UD",'Informacion '!P:Q,2,FALSE),"")</f>
        <v>Unidad</v>
      </c>
      <c r="D9760" s="94">
        <v>66</v>
      </c>
      <c r="E9760" s="84">
        <v>14.82</v>
      </c>
      <c r="F9760" s="83">
        <f t="shared" ca="1" si="419"/>
        <v>978.12</v>
      </c>
    </row>
    <row r="9761" spans="1:6" ht="14.1" customHeight="1" x14ac:dyDescent="0.25">
      <c r="A9761" s="94" t="s">
        <v>16400</v>
      </c>
      <c r="B9761" s="82" t="str">
        <f ca="1">IFERROR(INDEX(UNSPSCDes,MATCH(INDIRECT(ADDRESS(ROW(),COLUMN()-1,4)),UNSPSCCode,0)),IF(INDIRECT(ADDRESS(ROW(),COLUMN()-1,4))="51111610","Metotrexato",""))</f>
        <v>Metotrexato</v>
      </c>
      <c r="C9761" s="95" t="str">
        <f>IFERROR(VLOOKUP("UD",'Informacion '!P:Q,2,FALSE),"")</f>
        <v>Unidad</v>
      </c>
      <c r="D9761" s="94">
        <v>12</v>
      </c>
      <c r="E9761" s="84">
        <v>394.19</v>
      </c>
      <c r="F9761" s="83">
        <f t="shared" ca="1" si="419"/>
        <v>4730.28</v>
      </c>
    </row>
    <row r="9762" spans="1:6" ht="14.1" customHeight="1" x14ac:dyDescent="0.25">
      <c r="A9762" s="94" t="s">
        <v>7570</v>
      </c>
      <c r="B9762" s="82" t="str">
        <f t="shared" ref="B9762:B9767" ca="1" si="421">IFERROR(INDEX(UNSPSCDes,MATCH(INDIRECT(ADDRESS(ROW(),COLUMN()-1,4)),UNSPSCCode,0)),IF(INDIRECT(ADDRESS(ROW(),COLUMN()-1,4))="51171816","Ondansetrón",""))</f>
        <v>Ondansetrón</v>
      </c>
      <c r="C9762" s="95" t="str">
        <f>IFERROR(VLOOKUP("UD",'Informacion '!P:Q,2,FALSE),"")</f>
        <v>Unidad</v>
      </c>
      <c r="D9762" s="94">
        <v>26</v>
      </c>
      <c r="E9762" s="84">
        <v>33</v>
      </c>
      <c r="F9762" s="83">
        <f t="shared" ca="1" si="419"/>
        <v>858</v>
      </c>
    </row>
    <row r="9763" spans="1:6" ht="14.1" customHeight="1" x14ac:dyDescent="0.25">
      <c r="A9763" s="94" t="s">
        <v>7570</v>
      </c>
      <c r="B9763" s="82" t="str">
        <f t="shared" ca="1" si="421"/>
        <v>Ondansetrón</v>
      </c>
      <c r="C9763" s="95" t="str">
        <f>IFERROR(VLOOKUP("UD",'Informacion '!P:Q,2,FALSE),"")</f>
        <v>Unidad</v>
      </c>
      <c r="D9763" s="94">
        <v>11</v>
      </c>
      <c r="E9763" s="84">
        <v>56.25</v>
      </c>
      <c r="F9763" s="83">
        <f t="shared" ref="F9763:F9793" ca="1" si="422">INDIRECT(ADDRESS(ROW(),COLUMN()-2,4))*INDIRECT(ADDRESS(ROW(),COLUMN()-1,4))</f>
        <v>618.75</v>
      </c>
    </row>
    <row r="9764" spans="1:6" ht="14.1" customHeight="1" x14ac:dyDescent="0.25">
      <c r="A9764" s="94" t="s">
        <v>7570</v>
      </c>
      <c r="B9764" s="82" t="str">
        <f t="shared" ca="1" si="421"/>
        <v>Ondansetrón</v>
      </c>
      <c r="C9764" s="95" t="str">
        <f>IFERROR(VLOOKUP("UD",'Informacion '!P:Q,2,FALSE),"")</f>
        <v>Unidad</v>
      </c>
      <c r="D9764" s="94">
        <v>30</v>
      </c>
      <c r="E9764" s="84">
        <v>40</v>
      </c>
      <c r="F9764" s="83">
        <f t="shared" ca="1" si="422"/>
        <v>1200</v>
      </c>
    </row>
    <row r="9765" spans="1:6" ht="14.1" customHeight="1" x14ac:dyDescent="0.25">
      <c r="A9765" s="94" t="s">
        <v>7570</v>
      </c>
      <c r="B9765" s="82" t="str">
        <f t="shared" ca="1" si="421"/>
        <v>Ondansetrón</v>
      </c>
      <c r="C9765" s="95" t="str">
        <f>IFERROR(VLOOKUP("UD",'Informacion '!P:Q,2,FALSE),"")</f>
        <v>Unidad</v>
      </c>
      <c r="D9765" s="94">
        <v>531</v>
      </c>
      <c r="E9765" s="84">
        <v>139.29</v>
      </c>
      <c r="F9765" s="83">
        <f t="shared" ca="1" si="422"/>
        <v>73962.989999999991</v>
      </c>
    </row>
    <row r="9766" spans="1:6" ht="14.1" customHeight="1" x14ac:dyDescent="0.25">
      <c r="A9766" s="94" t="s">
        <v>7570</v>
      </c>
      <c r="B9766" s="82" t="str">
        <f t="shared" ca="1" si="421"/>
        <v>Ondansetrón</v>
      </c>
      <c r="C9766" s="95" t="str">
        <f>IFERROR(VLOOKUP("UD",'Informacion '!P:Q,2,FALSE),"")</f>
        <v>Unidad</v>
      </c>
      <c r="D9766" s="94">
        <v>95</v>
      </c>
      <c r="E9766" s="84">
        <v>75</v>
      </c>
      <c r="F9766" s="83">
        <f t="shared" ca="1" si="422"/>
        <v>7125</v>
      </c>
    </row>
    <row r="9767" spans="1:6" ht="14.1" customHeight="1" x14ac:dyDescent="0.25">
      <c r="A9767" s="94" t="s">
        <v>7570</v>
      </c>
      <c r="B9767" s="82" t="str">
        <f t="shared" ca="1" si="421"/>
        <v>Ondansetrón</v>
      </c>
      <c r="C9767" s="95" t="str">
        <f>IFERROR(VLOOKUP("UD",'Informacion '!P:Q,2,FALSE),"")</f>
        <v>Unidad</v>
      </c>
      <c r="D9767" s="94">
        <v>156</v>
      </c>
      <c r="E9767" s="84">
        <v>49.5</v>
      </c>
      <c r="F9767" s="83">
        <f t="shared" ca="1" si="422"/>
        <v>7722</v>
      </c>
    </row>
    <row r="9768" spans="1:6" ht="14.1" customHeight="1" x14ac:dyDescent="0.25">
      <c r="A9768" s="94" t="s">
        <v>10585</v>
      </c>
      <c r="B9768" s="82" t="str">
        <f ca="1">IFERROR(INDEX(UNSPSCDes,MATCH(INDIRECT(ADDRESS(ROW(),COLUMN()-1,4)),UNSPSCCode,0)),IF(INDIRECT(ADDRESS(ROW(),COLUMN()-1,4))="51111506","Cisplatino",""))</f>
        <v>Cisplatino</v>
      </c>
      <c r="C9768" s="95" t="str">
        <f>IFERROR(VLOOKUP("UD",'Informacion '!P:Q,2,FALSE),"")</f>
        <v>Unidad</v>
      </c>
      <c r="D9768" s="94">
        <v>4</v>
      </c>
      <c r="E9768" s="84">
        <v>3732</v>
      </c>
      <c r="F9768" s="83">
        <f t="shared" ca="1" si="422"/>
        <v>14928</v>
      </c>
    </row>
    <row r="9769" spans="1:6" ht="14.1" customHeight="1" x14ac:dyDescent="0.25">
      <c r="A9769" s="94" t="s">
        <v>10585</v>
      </c>
      <c r="B9769" s="82" t="str">
        <f ca="1">IFERROR(INDEX(UNSPSCDes,MATCH(INDIRECT(ADDRESS(ROW(),COLUMN()-1,4)),UNSPSCCode,0)),IF(INDIRECT(ADDRESS(ROW(),COLUMN()-1,4))="51111506","Cisplatino",""))</f>
        <v>Cisplatino</v>
      </c>
      <c r="C9769" s="95" t="str">
        <f>IFERROR(VLOOKUP("UD",'Informacion '!P:Q,2,FALSE),"")</f>
        <v>Unidad</v>
      </c>
      <c r="D9769" s="94">
        <v>71</v>
      </c>
      <c r="E9769" s="84">
        <v>2001.14</v>
      </c>
      <c r="F9769" s="83">
        <f t="shared" ca="1" si="422"/>
        <v>142080.94</v>
      </c>
    </row>
    <row r="9770" spans="1:6" ht="14.1" customHeight="1" x14ac:dyDescent="0.25">
      <c r="A9770" s="94" t="s">
        <v>10585</v>
      </c>
      <c r="B9770" s="82" t="str">
        <f ca="1">IFERROR(INDEX(UNSPSCDes,MATCH(INDIRECT(ADDRESS(ROW(),COLUMN()-1,4)),UNSPSCCode,0)),IF(INDIRECT(ADDRESS(ROW(),COLUMN()-1,4))="51111506","Cisplatino",""))</f>
        <v>Cisplatino</v>
      </c>
      <c r="C9770" s="95" t="str">
        <f>IFERROR(VLOOKUP("UD",'Informacion '!P:Q,2,FALSE),"")</f>
        <v>Unidad</v>
      </c>
      <c r="D9770" s="94">
        <v>14</v>
      </c>
      <c r="E9770" s="84">
        <v>1600</v>
      </c>
      <c r="F9770" s="83">
        <f t="shared" ca="1" si="422"/>
        <v>22400</v>
      </c>
    </row>
    <row r="9771" spans="1:6" ht="14.1" customHeight="1" x14ac:dyDescent="0.25">
      <c r="A9771" s="94" t="s">
        <v>10585</v>
      </c>
      <c r="B9771" s="82" t="str">
        <f ca="1">IFERROR(INDEX(UNSPSCDes,MATCH(INDIRECT(ADDRESS(ROW(),COLUMN()-1,4)),UNSPSCCode,0)),IF(INDIRECT(ADDRESS(ROW(),COLUMN()-1,4))="51111506","Cisplatino",""))</f>
        <v>Cisplatino</v>
      </c>
      <c r="C9771" s="95" t="str">
        <f>IFERROR(VLOOKUP("UD",'Informacion '!P:Q,2,FALSE),"")</f>
        <v>Unidad</v>
      </c>
      <c r="D9771" s="94">
        <v>76</v>
      </c>
      <c r="E9771" s="84">
        <v>1173.26</v>
      </c>
      <c r="F9771" s="83">
        <f t="shared" ca="1" si="422"/>
        <v>89167.76</v>
      </c>
    </row>
    <row r="9772" spans="1:6" ht="14.1" customHeight="1" x14ac:dyDescent="0.25">
      <c r="A9772" s="94" t="s">
        <v>5102</v>
      </c>
      <c r="B9772" s="82" t="str">
        <f t="shared" ref="B9772:B9781" ca="1" si="423">IFERROR(INDEX(UNSPSCDes,MATCH(INDIRECT(ADDRESS(ROW(),COLUMN()-1,4)),UNSPSCCode,0)),IF(INDIRECT(ADDRESS(ROW(),COLUMN()-1,4))="51111904","Paclitaxel",""))</f>
        <v>Paclitaxel</v>
      </c>
      <c r="C9772" s="95" t="str">
        <f>IFERROR(VLOOKUP("UD",'Informacion '!P:Q,2,FALSE),"")</f>
        <v>Unidad</v>
      </c>
      <c r="D9772" s="94">
        <v>4</v>
      </c>
      <c r="E9772" s="84">
        <v>1857</v>
      </c>
      <c r="F9772" s="83">
        <f t="shared" ca="1" si="422"/>
        <v>7428</v>
      </c>
    </row>
    <row r="9773" spans="1:6" ht="14.1" customHeight="1" x14ac:dyDescent="0.25">
      <c r="A9773" s="94" t="s">
        <v>5102</v>
      </c>
      <c r="B9773" s="82" t="str">
        <f t="shared" ca="1" si="423"/>
        <v>Paclitaxel</v>
      </c>
      <c r="C9773" s="95" t="str">
        <f>IFERROR(VLOOKUP("UD",'Informacion '!P:Q,2,FALSE),"")</f>
        <v>Unidad</v>
      </c>
      <c r="D9773" s="94">
        <v>27</v>
      </c>
      <c r="E9773" s="84">
        <v>1300.3900000000001</v>
      </c>
      <c r="F9773" s="83">
        <f t="shared" ca="1" si="422"/>
        <v>35110.530000000006</v>
      </c>
    </row>
    <row r="9774" spans="1:6" ht="14.1" customHeight="1" x14ac:dyDescent="0.25">
      <c r="A9774" s="94" t="s">
        <v>5102</v>
      </c>
      <c r="B9774" s="82" t="str">
        <f t="shared" ca="1" si="423"/>
        <v>Paclitaxel</v>
      </c>
      <c r="C9774" s="95" t="str">
        <f>IFERROR(VLOOKUP("UD",'Informacion '!P:Q,2,FALSE),"")</f>
        <v>Unidad</v>
      </c>
      <c r="D9774" s="94">
        <v>5</v>
      </c>
      <c r="E9774" s="84">
        <v>1031.7</v>
      </c>
      <c r="F9774" s="83">
        <f t="shared" ca="1" si="422"/>
        <v>5158.5</v>
      </c>
    </row>
    <row r="9775" spans="1:6" ht="14.1" customHeight="1" x14ac:dyDescent="0.25">
      <c r="A9775" s="94" t="s">
        <v>5102</v>
      </c>
      <c r="B9775" s="82" t="str">
        <f t="shared" ca="1" si="423"/>
        <v>Paclitaxel</v>
      </c>
      <c r="C9775" s="95" t="str">
        <f>IFERROR(VLOOKUP("UD",'Informacion '!P:Q,2,FALSE),"")</f>
        <v>Unidad</v>
      </c>
      <c r="D9775" s="94">
        <v>44</v>
      </c>
      <c r="E9775" s="84">
        <v>1847.69</v>
      </c>
      <c r="F9775" s="83">
        <f t="shared" ca="1" si="422"/>
        <v>81298.36</v>
      </c>
    </row>
    <row r="9776" spans="1:6" ht="14.1" customHeight="1" x14ac:dyDescent="0.25">
      <c r="A9776" s="94" t="s">
        <v>5102</v>
      </c>
      <c r="B9776" s="82" t="str">
        <f t="shared" ca="1" si="423"/>
        <v>Paclitaxel</v>
      </c>
      <c r="C9776" s="95" t="str">
        <f>IFERROR(VLOOKUP("UD",'Informacion '!P:Q,2,FALSE),"")</f>
        <v>Unidad</v>
      </c>
      <c r="D9776" s="94">
        <v>14</v>
      </c>
      <c r="E9776" s="84">
        <v>3325</v>
      </c>
      <c r="F9776" s="83">
        <f t="shared" ca="1" si="422"/>
        <v>46550</v>
      </c>
    </row>
    <row r="9777" spans="1:6" ht="14.1" customHeight="1" x14ac:dyDescent="0.25">
      <c r="A9777" s="94" t="s">
        <v>5102</v>
      </c>
      <c r="B9777" s="82" t="str">
        <f t="shared" ca="1" si="423"/>
        <v>Paclitaxel</v>
      </c>
      <c r="C9777" s="95" t="str">
        <f>IFERROR(VLOOKUP("UD",'Informacion '!P:Q,2,FALSE),"")</f>
        <v>Unidad</v>
      </c>
      <c r="D9777" s="94">
        <v>39</v>
      </c>
      <c r="E9777" s="84">
        <v>546.80999999999995</v>
      </c>
      <c r="F9777" s="83">
        <f t="shared" ca="1" si="422"/>
        <v>21325.589999999997</v>
      </c>
    </row>
    <row r="9778" spans="1:6" ht="14.1" customHeight="1" x14ac:dyDescent="0.25">
      <c r="A9778" s="94" t="s">
        <v>5102</v>
      </c>
      <c r="B9778" s="82" t="str">
        <f t="shared" ca="1" si="423"/>
        <v>Paclitaxel</v>
      </c>
      <c r="C9778" s="95" t="str">
        <f>IFERROR(VLOOKUP("UD",'Informacion '!P:Q,2,FALSE),"")</f>
        <v>Unidad</v>
      </c>
      <c r="D9778" s="94">
        <v>4</v>
      </c>
      <c r="E9778" s="84">
        <v>450</v>
      </c>
      <c r="F9778" s="83">
        <f t="shared" ca="1" si="422"/>
        <v>1800</v>
      </c>
    </row>
    <row r="9779" spans="1:6" ht="14.1" customHeight="1" x14ac:dyDescent="0.25">
      <c r="A9779" s="94" t="s">
        <v>5102</v>
      </c>
      <c r="B9779" s="82" t="str">
        <f t="shared" ca="1" si="423"/>
        <v>Paclitaxel</v>
      </c>
      <c r="C9779" s="95" t="str">
        <f>IFERROR(VLOOKUP("UD",'Informacion '!P:Q,2,FALSE),"")</f>
        <v>Unidad</v>
      </c>
      <c r="D9779" s="94">
        <v>28</v>
      </c>
      <c r="E9779" s="84">
        <v>3093.21</v>
      </c>
      <c r="F9779" s="83">
        <f t="shared" ca="1" si="422"/>
        <v>86609.88</v>
      </c>
    </row>
    <row r="9780" spans="1:6" ht="14.1" customHeight="1" x14ac:dyDescent="0.25">
      <c r="A9780" s="94" t="s">
        <v>5102</v>
      </c>
      <c r="B9780" s="82" t="str">
        <f t="shared" ca="1" si="423"/>
        <v>Paclitaxel</v>
      </c>
      <c r="C9780" s="95" t="str">
        <f>IFERROR(VLOOKUP("UD",'Informacion '!P:Q,2,FALSE),"")</f>
        <v>Unidad</v>
      </c>
      <c r="D9780" s="94">
        <v>4</v>
      </c>
      <c r="E9780" s="84">
        <v>3000</v>
      </c>
      <c r="F9780" s="83">
        <f t="shared" ca="1" si="422"/>
        <v>12000</v>
      </c>
    </row>
    <row r="9781" spans="1:6" ht="14.1" customHeight="1" x14ac:dyDescent="0.25">
      <c r="A9781" s="94" t="s">
        <v>5102</v>
      </c>
      <c r="B9781" s="82" t="str">
        <f t="shared" ca="1" si="423"/>
        <v>Paclitaxel</v>
      </c>
      <c r="C9781" s="95" t="str">
        <f>IFERROR(VLOOKUP("UD",'Informacion '!P:Q,2,FALSE),"")</f>
        <v>Unidad</v>
      </c>
      <c r="D9781" s="94">
        <v>431</v>
      </c>
      <c r="E9781" s="84">
        <v>518.08000000000004</v>
      </c>
      <c r="F9781" s="83">
        <f t="shared" ca="1" si="422"/>
        <v>223292.48</v>
      </c>
    </row>
    <row r="9782" spans="1:6" ht="14.1" customHeight="1" x14ac:dyDescent="0.25">
      <c r="A9782" s="94" t="s">
        <v>3969</v>
      </c>
      <c r="B9782" s="82" t="str">
        <f ca="1">IFERROR(INDEX(UNSPSCDes,MATCH(INDIRECT(ADDRESS(ROW(),COLUMN()-1,4)),UNSPSCCode,0)),IF(INDIRECT(ADDRESS(ROW(),COLUMN()-1,4))="51142608","Trimetilxantina",""))</f>
        <v>Trimetilxantina</v>
      </c>
      <c r="C9782" s="95" t="str">
        <f>IFERROR(VLOOKUP("UD",'Informacion '!P:Q,2,FALSE),"")</f>
        <v>Unidad</v>
      </c>
      <c r="D9782" s="94">
        <v>8</v>
      </c>
      <c r="E9782" s="84">
        <v>13890</v>
      </c>
      <c r="F9782" s="83">
        <f t="shared" ca="1" si="422"/>
        <v>111120</v>
      </c>
    </row>
    <row r="9783" spans="1:6" ht="14.1" customHeight="1" x14ac:dyDescent="0.25">
      <c r="A9783" s="94" t="s">
        <v>3969</v>
      </c>
      <c r="B9783" s="82" t="str">
        <f ca="1">IFERROR(INDEX(UNSPSCDes,MATCH(INDIRECT(ADDRESS(ROW(),COLUMN()-1,4)),UNSPSCCode,0)),IF(INDIRECT(ADDRESS(ROW(),COLUMN()-1,4))="51142608","Trimetilxantina",""))</f>
        <v>Trimetilxantina</v>
      </c>
      <c r="C9783" s="95" t="str">
        <f>IFERROR(VLOOKUP("UD",'Informacion '!P:Q,2,FALSE),"")</f>
        <v>Unidad</v>
      </c>
      <c r="D9783" s="94">
        <v>6</v>
      </c>
      <c r="E9783" s="84">
        <v>11300</v>
      </c>
      <c r="F9783" s="83">
        <f t="shared" ca="1" si="422"/>
        <v>67800</v>
      </c>
    </row>
    <row r="9784" spans="1:6" ht="14.1" customHeight="1" x14ac:dyDescent="0.25">
      <c r="A9784" s="94" t="s">
        <v>3969</v>
      </c>
      <c r="B9784" s="82" t="str">
        <f ca="1">IFERROR(INDEX(UNSPSCDes,MATCH(INDIRECT(ADDRESS(ROW(),COLUMN()-1,4)),UNSPSCCode,0)),IF(INDIRECT(ADDRESS(ROW(),COLUMN()-1,4))="51142608","Trimetilxantina",""))</f>
        <v>Trimetilxantina</v>
      </c>
      <c r="C9784" s="95" t="str">
        <f>IFERROR(VLOOKUP("UD",'Informacion '!P:Q,2,FALSE),"")</f>
        <v>Unidad</v>
      </c>
      <c r="D9784" s="94">
        <v>10</v>
      </c>
      <c r="E9784" s="84">
        <v>10544.49</v>
      </c>
      <c r="F9784" s="83">
        <f t="shared" ca="1" si="422"/>
        <v>105444.9</v>
      </c>
    </row>
    <row r="9785" spans="1:6" ht="14.1" customHeight="1" x14ac:dyDescent="0.25">
      <c r="A9785" s="94" t="s">
        <v>12663</v>
      </c>
      <c r="B9785" s="82" t="str">
        <f ca="1">IFERROR(INDEX(UNSPSCDes,MATCH(INDIRECT(ADDRESS(ROW(),COLUMN()-1,4)),UNSPSCCode,0)),IF(INDIRECT(ADDRESS(ROW(),COLUMN()-1,4))="51111805","Acetato de goserelina",""))</f>
        <v>Acetato de goserelina</v>
      </c>
      <c r="C9785" s="95" t="str">
        <f>IFERROR(VLOOKUP("UD",'Informacion '!P:Q,2,FALSE),"")</f>
        <v>Unidad</v>
      </c>
      <c r="D9785" s="94">
        <v>16</v>
      </c>
      <c r="E9785" s="84">
        <v>8273.57</v>
      </c>
      <c r="F9785" s="83">
        <f t="shared" ca="1" si="422"/>
        <v>132377.12</v>
      </c>
    </row>
    <row r="9786" spans="1:6" ht="14.1" customHeight="1" x14ac:dyDescent="0.25">
      <c r="A9786" s="94" t="s">
        <v>693</v>
      </c>
      <c r="B9786" s="82" t="str">
        <f ca="1">IFERROR(INDEX(UNSPSCDes,MATCH(INDIRECT(ADDRESS(ROW(),COLUMN()-1,4)),UNSPSCCode,0)),IF(INDIRECT(ADDRESS(ROW(),COLUMN()-1,4))="51111716","Rituximab",""))</f>
        <v>Rituximab</v>
      </c>
      <c r="C9786" s="95" t="str">
        <f>IFERROR(VLOOKUP("UD",'Informacion '!P:Q,2,FALSE),"")</f>
        <v>Unidad</v>
      </c>
      <c r="D9786" s="94">
        <v>6</v>
      </c>
      <c r="E9786" s="84">
        <v>103224</v>
      </c>
      <c r="F9786" s="83">
        <f t="shared" ca="1" si="422"/>
        <v>619344</v>
      </c>
    </row>
    <row r="9787" spans="1:6" ht="14.1" customHeight="1" x14ac:dyDescent="0.25">
      <c r="A9787" s="94" t="s">
        <v>2723</v>
      </c>
      <c r="B9787" s="82" t="str">
        <f ca="1">IFERROR(INDEX(UNSPSCDes,MATCH(INDIRECT(ADDRESS(ROW(),COLUMN()-1,4)),UNSPSCCode,0)),IF(INDIRECT(ADDRESS(ROW(),COLUMN()-1,4))="12352108","Esteres o sus sustitutos",""))</f>
        <v>Esteres o sus sustitutos</v>
      </c>
      <c r="C9787" s="95" t="str">
        <f>IFERROR(VLOOKUP("UD",'Informacion '!P:Q,2,FALSE),"")</f>
        <v>Unidad</v>
      </c>
      <c r="D9787" s="94">
        <v>72</v>
      </c>
      <c r="E9787" s="84">
        <v>65</v>
      </c>
      <c r="F9787" s="83">
        <f t="shared" ca="1" si="422"/>
        <v>4680</v>
      </c>
    </row>
    <row r="9788" spans="1:6" ht="14.1" customHeight="1" x14ac:dyDescent="0.25">
      <c r="A9788" s="94" t="s">
        <v>3143</v>
      </c>
      <c r="B9788" s="82" t="str">
        <f ca="1">IFERROR(INDEX(UNSPSCDes,MATCH(INDIRECT(ADDRESS(ROW(),COLUMN()-1,4)),UNSPSCCode,0)),IF(INDIRECT(ADDRESS(ROW(),COLUMN()-1,4))="51111519","Temozolomida",""))</f>
        <v>Temozolomida</v>
      </c>
      <c r="C9788" s="95" t="str">
        <f>IFERROR(VLOOKUP("UD",'Informacion '!P:Q,2,FALSE),"")</f>
        <v>Unidad</v>
      </c>
      <c r="D9788" s="94">
        <v>11</v>
      </c>
      <c r="E9788" s="84">
        <v>2948.41</v>
      </c>
      <c r="F9788" s="83">
        <f t="shared" ca="1" si="422"/>
        <v>32432.51</v>
      </c>
    </row>
    <row r="9789" spans="1:6" ht="14.1" customHeight="1" x14ac:dyDescent="0.25">
      <c r="A9789" s="94" t="s">
        <v>2095</v>
      </c>
      <c r="B9789" s="82" t="str">
        <f ca="1">IFERROR(INDEX(UNSPSCDes,MATCH(INDIRECT(ADDRESS(ROW(),COLUMN()-1,4)),UNSPSCCode,0)),IF(INDIRECT(ADDRESS(ROW(),COLUMN()-1,4))="51111812","Sulfato de vinblastina",""))</f>
        <v>Sulfato de vinblastina</v>
      </c>
      <c r="C9789" s="95" t="str">
        <f>IFERROR(VLOOKUP("UD",'Informacion '!P:Q,2,FALSE),"")</f>
        <v>Unidad</v>
      </c>
      <c r="D9789" s="94">
        <v>22</v>
      </c>
      <c r="E9789" s="84">
        <v>697.2</v>
      </c>
      <c r="F9789" s="83">
        <f t="shared" ca="1" si="422"/>
        <v>15338.400000000001</v>
      </c>
    </row>
    <row r="9790" spans="1:6" ht="14.1" customHeight="1" x14ac:dyDescent="0.25">
      <c r="A9790" s="94" t="s">
        <v>2095</v>
      </c>
      <c r="B9790" s="82" t="str">
        <f ca="1">IFERROR(INDEX(UNSPSCDes,MATCH(INDIRECT(ADDRESS(ROW(),COLUMN()-1,4)),UNSPSCCode,0)),IF(INDIRECT(ADDRESS(ROW(),COLUMN()-1,4))="51111812","Sulfato de vinblastina",""))</f>
        <v>Sulfato de vinblastina</v>
      </c>
      <c r="C9790" s="95" t="str">
        <f>IFERROR(VLOOKUP("UD",'Informacion '!P:Q,2,FALSE),"")</f>
        <v>Unidad</v>
      </c>
      <c r="D9790" s="94">
        <v>61</v>
      </c>
      <c r="E9790" s="84">
        <v>263.85000000000002</v>
      </c>
      <c r="F9790" s="83">
        <f t="shared" ca="1" si="422"/>
        <v>16094.850000000002</v>
      </c>
    </row>
    <row r="9791" spans="1:6" ht="14.1" customHeight="1" x14ac:dyDescent="0.25">
      <c r="A9791" s="94" t="s">
        <v>7316</v>
      </c>
      <c r="B9791" s="82" t="str">
        <f ca="1">IFERROR(INDEX(UNSPSCDes,MATCH(INDIRECT(ADDRESS(ROW(),COLUMN()-1,4)),UNSPSCCode,0)),IF(INDIRECT(ADDRESS(ROW(),COLUMN()-1,4))="51111813","Sulfato de vincristina",""))</f>
        <v>Sulfato de vincristina</v>
      </c>
      <c r="C9791" s="95" t="str">
        <f>IFERROR(VLOOKUP("UD",'Informacion '!P:Q,2,FALSE),"")</f>
        <v>Unidad</v>
      </c>
      <c r="D9791" s="94">
        <v>22</v>
      </c>
      <c r="E9791" s="84">
        <v>157.35</v>
      </c>
      <c r="F9791" s="83">
        <f t="shared" ca="1" si="422"/>
        <v>3461.7</v>
      </c>
    </row>
    <row r="9792" spans="1:6" ht="14.1" customHeight="1" x14ac:dyDescent="0.25">
      <c r="A9792" s="94" t="s">
        <v>16400</v>
      </c>
      <c r="B9792" s="82" t="str">
        <f ca="1">IFERROR(INDEX(UNSPSCDes,MATCH(INDIRECT(ADDRESS(ROW(),COLUMN()-1,4)),UNSPSCCode,0)),IF(INDIRECT(ADDRESS(ROW(),COLUMN()-1,4))="51111610","Metotrexato",""))</f>
        <v>Metotrexato</v>
      </c>
      <c r="C9792" s="95" t="str">
        <f>IFERROR(VLOOKUP("UD",'Informacion '!P:Q,2,FALSE),"")</f>
        <v>Unidad</v>
      </c>
      <c r="D9792" s="94">
        <v>10</v>
      </c>
      <c r="E9792" s="84">
        <v>14</v>
      </c>
      <c r="F9792" s="83">
        <f t="shared" ca="1" si="422"/>
        <v>140</v>
      </c>
    </row>
    <row r="9793" spans="1:10" ht="14.1" customHeight="1" x14ac:dyDescent="0.25">
      <c r="A9793" s="94" t="s">
        <v>16400</v>
      </c>
      <c r="B9793" s="82" t="str">
        <f ca="1">IFERROR(INDEX(UNSPSCDes,MATCH(INDIRECT(ADDRESS(ROW(),COLUMN()-1,4)),UNSPSCCode,0)),IF(INDIRECT(ADDRESS(ROW(),COLUMN()-1,4))="51111610","Metotrexato",""))</f>
        <v>Metotrexato</v>
      </c>
      <c r="C9793" s="95" t="str">
        <f>IFERROR(VLOOKUP("UD",'Informacion '!P:Q,2,FALSE),"")</f>
        <v>Unidad</v>
      </c>
      <c r="D9793" s="94">
        <v>5</v>
      </c>
      <c r="E9793" s="84">
        <v>269</v>
      </c>
      <c r="F9793" s="83">
        <f t="shared" ca="1" si="422"/>
        <v>1345</v>
      </c>
    </row>
    <row r="9794" spans="1:10" ht="14.1" customHeight="1" x14ac:dyDescent="0.25">
      <c r="E9794" s="96" t="s">
        <v>7213</v>
      </c>
      <c r="F9794" s="87">
        <f ca="1">SUM(Table230[MONTO TOTAL ESTIMADO])</f>
        <v>13109801.039999995</v>
      </c>
      <c r="H9794" s="39" t="str">
        <f>C9660</f>
        <v>Bienes</v>
      </c>
      <c r="I9794" s="39" t="str">
        <f>E9660</f>
        <v>No</v>
      </c>
      <c r="J9794" s="39" t="str">
        <f>D9660</f>
        <v>Compras Menores</v>
      </c>
    </row>
    <row r="9796" spans="1:10" ht="33.950000000000003" customHeight="1" x14ac:dyDescent="0.25">
      <c r="A9796" s="77" t="s">
        <v>17233</v>
      </c>
      <c r="B9796" s="77" t="s">
        <v>4237</v>
      </c>
      <c r="C9796" s="77" t="s">
        <v>4743</v>
      </c>
      <c r="D9796" s="77" t="s">
        <v>9891</v>
      </c>
      <c r="E9796" s="77" t="s">
        <v>3089</v>
      </c>
      <c r="F9796" s="77" t="s">
        <v>18141</v>
      </c>
    </row>
    <row r="9797" spans="1:10" ht="14.1" customHeight="1" x14ac:dyDescent="0.25">
      <c r="A9797" s="79" t="s">
        <v>1886</v>
      </c>
      <c r="B9797" s="79" t="s">
        <v>10766</v>
      </c>
      <c r="C9797" s="79" t="s">
        <v>17215</v>
      </c>
      <c r="D9797" s="79" t="s">
        <v>17798</v>
      </c>
      <c r="E9797" s="79" t="s">
        <v>18247</v>
      </c>
      <c r="F9797" s="79"/>
    </row>
    <row r="9798" spans="1:10" ht="14.1" customHeight="1" x14ac:dyDescent="0.25">
      <c r="A9798" s="2" t="s">
        <v>6643</v>
      </c>
      <c r="B9798" s="80" t="s">
        <v>1046</v>
      </c>
      <c r="C9798" s="90">
        <v>43517</v>
      </c>
      <c r="D9798" s="2" t="s">
        <v>59</v>
      </c>
      <c r="E9798" s="92" t="s">
        <v>20066</v>
      </c>
      <c r="F9798" s="93" t="s">
        <v>5684</v>
      </c>
    </row>
    <row r="9799" spans="1:10" ht="14.1" customHeight="1" x14ac:dyDescent="0.25">
      <c r="A9799" s="1"/>
      <c r="B9799" s="80" t="s">
        <v>10788</v>
      </c>
      <c r="C9799" s="91">
        <f>IF(C9798="","",IF(AND(MONTH(C9798)&gt;=1,MONTH(C9798)&lt;=3),1,IF(AND(MONTH(C9798)&gt;=4,MONTH(C9798)&lt;=6),2,IF(AND(MONTH(C9798)&gt;=7,MONTH(C9798)&lt;=9),3,4))))</f>
        <v>1</v>
      </c>
      <c r="D9799" s="1"/>
      <c r="E9799" s="92" t="s">
        <v>14822</v>
      </c>
      <c r="F9799" s="93" t="s">
        <v>17690</v>
      </c>
    </row>
    <row r="9800" spans="1:10" ht="14.1" customHeight="1" x14ac:dyDescent="0.25">
      <c r="A9800" s="1"/>
      <c r="B9800" s="80" t="s">
        <v>13758</v>
      </c>
      <c r="C9800" s="90">
        <v>43585</v>
      </c>
      <c r="D9800" s="1"/>
      <c r="E9800" s="92" t="s">
        <v>18636</v>
      </c>
      <c r="F9800" s="93" t="s">
        <v>17690</v>
      </c>
    </row>
    <row r="9801" spans="1:10" ht="14.1" customHeight="1" x14ac:dyDescent="0.25">
      <c r="A9801" s="1"/>
      <c r="B9801" s="80" t="s">
        <v>10788</v>
      </c>
      <c r="C9801" s="91">
        <f>IF(C9800="","",IF(AND(MONTH(C9800)&gt;=1,MONTH(C9800)&lt;=3),1,IF(AND(MONTH(C9800)&gt;=4,MONTH(C9800)&lt;=6),2,IF(AND(MONTH(C9800)&gt;=7,MONTH(C9800)&lt;=9),3,4))))</f>
        <v>2</v>
      </c>
      <c r="D9801" s="1"/>
      <c r="E9801" s="92" t="s">
        <v>15990</v>
      </c>
      <c r="F9801" s="93"/>
    </row>
    <row r="9803" spans="1:10" ht="14.1" customHeight="1" x14ac:dyDescent="0.25">
      <c r="A9803" s="85" t="s">
        <v>15474</v>
      </c>
      <c r="B9803" s="85" t="s">
        <v>5027</v>
      </c>
      <c r="C9803" s="85" t="s">
        <v>17461</v>
      </c>
      <c r="D9803" s="85" t="s">
        <v>3935</v>
      </c>
      <c r="E9803" s="85" t="s">
        <v>10722</v>
      </c>
      <c r="F9803" s="85" t="s">
        <v>18237</v>
      </c>
    </row>
    <row r="9804" spans="1:10" ht="14.1" customHeight="1" x14ac:dyDescent="0.25">
      <c r="A9804" s="94" t="s">
        <v>16379</v>
      </c>
      <c r="B9804" s="82" t="str">
        <f t="shared" ref="B9804:B9835" ca="1" si="424">IFERROR(INDEX(UNSPSCDes,MATCH(INDIRECT(ADDRESS(ROW(),COLUMN()-1,4)),UNSPSCCode,0)),IF(INDIRECT(ADDRESS(ROW(),COLUMN()-1,4))="53131608","Jabones",""))</f>
        <v>Jabones</v>
      </c>
      <c r="C9804" s="95" t="str">
        <f>IFERROR(VLOOKUP("UD",'Informacion '!P:Q,2,FALSE),"")</f>
        <v>Unidad</v>
      </c>
      <c r="D9804" s="94">
        <v>123</v>
      </c>
      <c r="E9804" s="84">
        <v>21.83</v>
      </c>
      <c r="F9804" s="83">
        <f t="shared" ref="F9804:F9835" ca="1" si="425">INDIRECT(ADDRESS(ROW(),COLUMN()-2,4))*INDIRECT(ADDRESS(ROW(),COLUMN()-1,4))</f>
        <v>2685.0899999999997</v>
      </c>
    </row>
    <row r="9805" spans="1:10" ht="14.1" customHeight="1" x14ac:dyDescent="0.25">
      <c r="A9805" s="94" t="s">
        <v>16379</v>
      </c>
      <c r="B9805" s="82" t="str">
        <f t="shared" ca="1" si="424"/>
        <v>Jabones</v>
      </c>
      <c r="C9805" s="95" t="str">
        <f>IFERROR(VLOOKUP("UD",'Informacion '!P:Q,2,FALSE),"")</f>
        <v>Unidad</v>
      </c>
      <c r="D9805" s="94">
        <v>301</v>
      </c>
      <c r="E9805" s="84">
        <v>21.84</v>
      </c>
      <c r="F9805" s="83">
        <f t="shared" ca="1" si="425"/>
        <v>6573.84</v>
      </c>
    </row>
    <row r="9806" spans="1:10" ht="14.1" customHeight="1" x14ac:dyDescent="0.25">
      <c r="A9806" s="94" t="s">
        <v>16379</v>
      </c>
      <c r="B9806" s="82" t="str">
        <f t="shared" ca="1" si="424"/>
        <v>Jabones</v>
      </c>
      <c r="C9806" s="95" t="str">
        <f>IFERROR(VLOOKUP("UD",'Informacion '!P:Q,2,FALSE),"")</f>
        <v>Unidad</v>
      </c>
      <c r="D9806" s="94">
        <v>286</v>
      </c>
      <c r="E9806" s="84">
        <v>21.84</v>
      </c>
      <c r="F9806" s="83">
        <f t="shared" ca="1" si="425"/>
        <v>6246.24</v>
      </c>
    </row>
    <row r="9807" spans="1:10" ht="14.1" customHeight="1" x14ac:dyDescent="0.25">
      <c r="A9807" s="94" t="s">
        <v>16379</v>
      </c>
      <c r="B9807" s="82" t="str">
        <f t="shared" ca="1" si="424"/>
        <v>Jabones</v>
      </c>
      <c r="C9807" s="95" t="str">
        <f>IFERROR(VLOOKUP("UD",'Informacion '!P:Q,2,FALSE),"")</f>
        <v>Unidad</v>
      </c>
      <c r="D9807" s="94">
        <v>204</v>
      </c>
      <c r="E9807" s="84">
        <v>21.84</v>
      </c>
      <c r="F9807" s="83">
        <f t="shared" ca="1" si="425"/>
        <v>4455.3599999999997</v>
      </c>
    </row>
    <row r="9808" spans="1:10" ht="14.1" customHeight="1" x14ac:dyDescent="0.25">
      <c r="A9808" s="94" t="s">
        <v>16379</v>
      </c>
      <c r="B9808" s="82" t="str">
        <f t="shared" ca="1" si="424"/>
        <v>Jabones</v>
      </c>
      <c r="C9808" s="95" t="str">
        <f>IFERROR(VLOOKUP("UD",'Informacion '!P:Q,2,FALSE),"")</f>
        <v>Unidad</v>
      </c>
      <c r="D9808" s="94">
        <v>536</v>
      </c>
      <c r="E9808" s="84">
        <v>21.84</v>
      </c>
      <c r="F9808" s="83">
        <f t="shared" ca="1" si="425"/>
        <v>11706.24</v>
      </c>
    </row>
    <row r="9809" spans="1:6" ht="14.1" customHeight="1" x14ac:dyDescent="0.25">
      <c r="A9809" s="94" t="s">
        <v>16379</v>
      </c>
      <c r="B9809" s="82" t="str">
        <f t="shared" ca="1" si="424"/>
        <v>Jabones</v>
      </c>
      <c r="C9809" s="95" t="str">
        <f>IFERROR(VLOOKUP("UD",'Informacion '!P:Q,2,FALSE),"")</f>
        <v>Unidad</v>
      </c>
      <c r="D9809" s="94">
        <v>230</v>
      </c>
      <c r="E9809" s="84">
        <v>21.84</v>
      </c>
      <c r="F9809" s="83">
        <f t="shared" ca="1" si="425"/>
        <v>5023.2</v>
      </c>
    </row>
    <row r="9810" spans="1:6" ht="14.1" customHeight="1" x14ac:dyDescent="0.25">
      <c r="A9810" s="94" t="s">
        <v>16379</v>
      </c>
      <c r="B9810" s="82" t="str">
        <f t="shared" ca="1" si="424"/>
        <v>Jabones</v>
      </c>
      <c r="C9810" s="95" t="str">
        <f>IFERROR(VLOOKUP("UD",'Informacion '!P:Q,2,FALSE),"")</f>
        <v>Unidad</v>
      </c>
      <c r="D9810" s="94">
        <v>408</v>
      </c>
      <c r="E9810" s="84">
        <v>21.84</v>
      </c>
      <c r="F9810" s="83">
        <f t="shared" ca="1" si="425"/>
        <v>8910.7199999999993</v>
      </c>
    </row>
    <row r="9811" spans="1:6" ht="14.1" customHeight="1" x14ac:dyDescent="0.25">
      <c r="A9811" s="94" t="s">
        <v>16379</v>
      </c>
      <c r="B9811" s="82" t="str">
        <f t="shared" ca="1" si="424"/>
        <v>Jabones</v>
      </c>
      <c r="C9811" s="95" t="str">
        <f>IFERROR(VLOOKUP("UD",'Informacion '!P:Q,2,FALSE),"")</f>
        <v>Unidad</v>
      </c>
      <c r="D9811" s="94">
        <v>653</v>
      </c>
      <c r="E9811" s="84">
        <v>21.84</v>
      </c>
      <c r="F9811" s="83">
        <f t="shared" ca="1" si="425"/>
        <v>14261.52</v>
      </c>
    </row>
    <row r="9812" spans="1:6" ht="14.1" customHeight="1" x14ac:dyDescent="0.25">
      <c r="A9812" s="94" t="s">
        <v>16379</v>
      </c>
      <c r="B9812" s="82" t="str">
        <f t="shared" ca="1" si="424"/>
        <v>Jabones</v>
      </c>
      <c r="C9812" s="95" t="str">
        <f>IFERROR(VLOOKUP("UD",'Informacion '!P:Q,2,FALSE),"")</f>
        <v>Unidad</v>
      </c>
      <c r="D9812" s="94">
        <v>153</v>
      </c>
      <c r="E9812" s="84">
        <v>165</v>
      </c>
      <c r="F9812" s="83">
        <f t="shared" ca="1" si="425"/>
        <v>25245</v>
      </c>
    </row>
    <row r="9813" spans="1:6" ht="14.1" customHeight="1" x14ac:dyDescent="0.25">
      <c r="A9813" s="94" t="s">
        <v>16379</v>
      </c>
      <c r="B9813" s="82" t="str">
        <f t="shared" ca="1" si="424"/>
        <v>Jabones</v>
      </c>
      <c r="C9813" s="95" t="str">
        <f>IFERROR(VLOOKUP("UD",'Informacion '!P:Q,2,FALSE),"")</f>
        <v>Unidad</v>
      </c>
      <c r="D9813" s="94">
        <v>408</v>
      </c>
      <c r="E9813" s="84">
        <v>21.84</v>
      </c>
      <c r="F9813" s="83">
        <f t="shared" ca="1" si="425"/>
        <v>8910.7199999999993</v>
      </c>
    </row>
    <row r="9814" spans="1:6" ht="14.1" customHeight="1" x14ac:dyDescent="0.25">
      <c r="A9814" s="94" t="s">
        <v>16379</v>
      </c>
      <c r="B9814" s="82" t="str">
        <f t="shared" ca="1" si="424"/>
        <v>Jabones</v>
      </c>
      <c r="C9814" s="95" t="str">
        <f>IFERROR(VLOOKUP("UD",'Informacion '!P:Q,2,FALSE),"")</f>
        <v>Unidad</v>
      </c>
      <c r="D9814" s="94">
        <v>449</v>
      </c>
      <c r="E9814" s="84">
        <v>21.84</v>
      </c>
      <c r="F9814" s="83">
        <f t="shared" ca="1" si="425"/>
        <v>9806.16</v>
      </c>
    </row>
    <row r="9815" spans="1:6" ht="14.1" customHeight="1" x14ac:dyDescent="0.25">
      <c r="A9815" s="94" t="s">
        <v>16379</v>
      </c>
      <c r="B9815" s="82" t="str">
        <f t="shared" ca="1" si="424"/>
        <v>Jabones</v>
      </c>
      <c r="C9815" s="95" t="str">
        <f>IFERROR(VLOOKUP("UD",'Informacion '!P:Q,2,FALSE),"")</f>
        <v>Unidad</v>
      </c>
      <c r="D9815" s="94">
        <v>490</v>
      </c>
      <c r="E9815" s="84">
        <v>21.84</v>
      </c>
      <c r="F9815" s="83">
        <f t="shared" ca="1" si="425"/>
        <v>10701.6</v>
      </c>
    </row>
    <row r="9816" spans="1:6" ht="14.1" customHeight="1" x14ac:dyDescent="0.25">
      <c r="A9816" s="94" t="s">
        <v>16379</v>
      </c>
      <c r="B9816" s="82" t="str">
        <f t="shared" ca="1" si="424"/>
        <v>Jabones</v>
      </c>
      <c r="C9816" s="95" t="str">
        <f>IFERROR(VLOOKUP("UD",'Informacion '!P:Q,2,FALSE),"")</f>
        <v>Unidad</v>
      </c>
      <c r="D9816" s="94">
        <v>2</v>
      </c>
      <c r="E9816" s="84">
        <v>484.73</v>
      </c>
      <c r="F9816" s="83">
        <f t="shared" ca="1" si="425"/>
        <v>969.46</v>
      </c>
    </row>
    <row r="9817" spans="1:6" ht="14.1" customHeight="1" x14ac:dyDescent="0.25">
      <c r="A9817" s="94" t="s">
        <v>16379</v>
      </c>
      <c r="B9817" s="82" t="str">
        <f t="shared" ca="1" si="424"/>
        <v>Jabones</v>
      </c>
      <c r="C9817" s="95" t="str">
        <f>IFERROR(VLOOKUP("UD",'Informacion '!P:Q,2,FALSE),"")</f>
        <v>Unidad</v>
      </c>
      <c r="D9817" s="94">
        <v>245</v>
      </c>
      <c r="E9817" s="84">
        <v>21.84</v>
      </c>
      <c r="F9817" s="83">
        <f t="shared" ca="1" si="425"/>
        <v>5350.8</v>
      </c>
    </row>
    <row r="9818" spans="1:6" ht="14.1" customHeight="1" x14ac:dyDescent="0.25">
      <c r="A9818" s="94" t="s">
        <v>16379</v>
      </c>
      <c r="B9818" s="82" t="str">
        <f t="shared" ca="1" si="424"/>
        <v>Jabones</v>
      </c>
      <c r="C9818" s="95" t="str">
        <f>IFERROR(VLOOKUP("UD",'Informacion '!P:Q,2,FALSE),"")</f>
        <v>Unidad</v>
      </c>
      <c r="D9818" s="94">
        <v>306</v>
      </c>
      <c r="E9818" s="84">
        <v>65.5</v>
      </c>
      <c r="F9818" s="83">
        <f t="shared" ca="1" si="425"/>
        <v>20043</v>
      </c>
    </row>
    <row r="9819" spans="1:6" ht="14.1" customHeight="1" x14ac:dyDescent="0.25">
      <c r="A9819" s="94" t="s">
        <v>16379</v>
      </c>
      <c r="B9819" s="82" t="str">
        <f t="shared" ca="1" si="424"/>
        <v>Jabones</v>
      </c>
      <c r="C9819" s="95" t="str">
        <f>IFERROR(VLOOKUP("UD",'Informacion '!P:Q,2,FALSE),"")</f>
        <v>Unidad</v>
      </c>
      <c r="D9819" s="94">
        <v>133</v>
      </c>
      <c r="E9819" s="84">
        <v>75.23</v>
      </c>
      <c r="F9819" s="83">
        <f t="shared" ca="1" si="425"/>
        <v>10005.59</v>
      </c>
    </row>
    <row r="9820" spans="1:6" ht="14.1" customHeight="1" x14ac:dyDescent="0.25">
      <c r="A9820" s="94" t="s">
        <v>16379</v>
      </c>
      <c r="B9820" s="82" t="str">
        <f t="shared" ca="1" si="424"/>
        <v>Jabones</v>
      </c>
      <c r="C9820" s="95" t="str">
        <f>IFERROR(VLOOKUP("UD",'Informacion '!P:Q,2,FALSE),"")</f>
        <v>Unidad</v>
      </c>
      <c r="D9820" s="94">
        <v>77</v>
      </c>
      <c r="E9820" s="84">
        <v>21.67</v>
      </c>
      <c r="F9820" s="83">
        <f t="shared" ca="1" si="425"/>
        <v>1668.5900000000001</v>
      </c>
    </row>
    <row r="9821" spans="1:6" ht="14.1" customHeight="1" x14ac:dyDescent="0.25">
      <c r="A9821" s="94" t="s">
        <v>16379</v>
      </c>
      <c r="B9821" s="82" t="str">
        <f t="shared" ca="1" si="424"/>
        <v>Jabones</v>
      </c>
      <c r="C9821" s="95" t="str">
        <f>IFERROR(VLOOKUP("UD",'Informacion '!P:Q,2,FALSE),"")</f>
        <v>Unidad</v>
      </c>
      <c r="D9821" s="94">
        <v>123</v>
      </c>
      <c r="E9821" s="84">
        <v>19.75</v>
      </c>
      <c r="F9821" s="83">
        <f t="shared" ca="1" si="425"/>
        <v>2429.25</v>
      </c>
    </row>
    <row r="9822" spans="1:6" ht="14.1" customHeight="1" x14ac:dyDescent="0.25">
      <c r="A9822" s="94" t="s">
        <v>16379</v>
      </c>
      <c r="B9822" s="82" t="str">
        <f t="shared" ca="1" si="424"/>
        <v>Jabones</v>
      </c>
      <c r="C9822" s="95" t="str">
        <f>IFERROR(VLOOKUP("UD",'Informacion '!P:Q,2,FALSE),"")</f>
        <v>Unidad</v>
      </c>
      <c r="D9822" s="94">
        <v>286</v>
      </c>
      <c r="E9822" s="84">
        <v>21.84</v>
      </c>
      <c r="F9822" s="83">
        <f t="shared" ca="1" si="425"/>
        <v>6246.24</v>
      </c>
    </row>
    <row r="9823" spans="1:6" ht="14.1" customHeight="1" x14ac:dyDescent="0.25">
      <c r="A9823" s="94" t="s">
        <v>16379</v>
      </c>
      <c r="B9823" s="82" t="str">
        <f t="shared" ca="1" si="424"/>
        <v>Jabones</v>
      </c>
      <c r="C9823" s="95" t="str">
        <f>IFERROR(VLOOKUP("UD",'Informacion '!P:Q,2,FALSE),"")</f>
        <v>Unidad</v>
      </c>
      <c r="D9823" s="94">
        <v>408</v>
      </c>
      <c r="E9823" s="84">
        <v>21.84</v>
      </c>
      <c r="F9823" s="83">
        <f t="shared" ca="1" si="425"/>
        <v>8910.7199999999993</v>
      </c>
    </row>
    <row r="9824" spans="1:6" ht="14.1" customHeight="1" x14ac:dyDescent="0.25">
      <c r="A9824" s="94" t="s">
        <v>16379</v>
      </c>
      <c r="B9824" s="82" t="str">
        <f t="shared" ca="1" si="424"/>
        <v>Jabones</v>
      </c>
      <c r="C9824" s="95" t="str">
        <f>IFERROR(VLOOKUP("UD",'Informacion '!P:Q,2,FALSE),"")</f>
        <v>Unidad</v>
      </c>
      <c r="D9824" s="94">
        <v>408</v>
      </c>
      <c r="E9824" s="84">
        <v>21.84</v>
      </c>
      <c r="F9824" s="83">
        <f t="shared" ca="1" si="425"/>
        <v>8910.7199999999993</v>
      </c>
    </row>
    <row r="9825" spans="1:6" ht="14.1" customHeight="1" x14ac:dyDescent="0.25">
      <c r="A9825" s="94" t="s">
        <v>16379</v>
      </c>
      <c r="B9825" s="82" t="str">
        <f t="shared" ca="1" si="424"/>
        <v>Jabones</v>
      </c>
      <c r="C9825" s="95" t="str">
        <f>IFERROR(VLOOKUP("UD",'Informacion '!P:Q,2,FALSE),"")</f>
        <v>Unidad</v>
      </c>
      <c r="D9825" s="94">
        <v>324</v>
      </c>
      <c r="E9825" s="84">
        <v>21.84</v>
      </c>
      <c r="F9825" s="83">
        <f t="shared" ca="1" si="425"/>
        <v>7076.16</v>
      </c>
    </row>
    <row r="9826" spans="1:6" ht="14.1" customHeight="1" x14ac:dyDescent="0.25">
      <c r="A9826" s="94" t="s">
        <v>16379</v>
      </c>
      <c r="B9826" s="82" t="str">
        <f t="shared" ca="1" si="424"/>
        <v>Jabones</v>
      </c>
      <c r="C9826" s="95" t="str">
        <f>IFERROR(VLOOKUP("UD",'Informacion '!P:Q,2,FALSE),"")</f>
        <v>Unidad</v>
      </c>
      <c r="D9826" s="94">
        <v>531</v>
      </c>
      <c r="E9826" s="84">
        <v>21.84</v>
      </c>
      <c r="F9826" s="83">
        <f t="shared" ca="1" si="425"/>
        <v>11597.039999999999</v>
      </c>
    </row>
    <row r="9827" spans="1:6" ht="14.1" customHeight="1" x14ac:dyDescent="0.25">
      <c r="A9827" s="94" t="s">
        <v>16379</v>
      </c>
      <c r="B9827" s="82" t="str">
        <f t="shared" ca="1" si="424"/>
        <v>Jabones</v>
      </c>
      <c r="C9827" s="95" t="str">
        <f>IFERROR(VLOOKUP("UD",'Informacion '!P:Q,2,FALSE),"")</f>
        <v>Unidad</v>
      </c>
      <c r="D9827" s="94">
        <v>281</v>
      </c>
      <c r="E9827" s="84">
        <v>167.78</v>
      </c>
      <c r="F9827" s="83">
        <f t="shared" ca="1" si="425"/>
        <v>47146.18</v>
      </c>
    </row>
    <row r="9828" spans="1:6" ht="14.1" customHeight="1" x14ac:dyDescent="0.25">
      <c r="A9828" s="94" t="s">
        <v>16379</v>
      </c>
      <c r="B9828" s="82" t="str">
        <f t="shared" ca="1" si="424"/>
        <v>Jabones</v>
      </c>
      <c r="C9828" s="95" t="str">
        <f>IFERROR(VLOOKUP("UD",'Informacion '!P:Q,2,FALSE),"")</f>
        <v>Unidad</v>
      </c>
      <c r="D9828" s="94">
        <v>128</v>
      </c>
      <c r="E9828" s="84">
        <v>248.07</v>
      </c>
      <c r="F9828" s="83">
        <f t="shared" ca="1" si="425"/>
        <v>31752.959999999999</v>
      </c>
    </row>
    <row r="9829" spans="1:6" ht="14.1" customHeight="1" x14ac:dyDescent="0.25">
      <c r="A9829" s="94" t="s">
        <v>16379</v>
      </c>
      <c r="B9829" s="82" t="str">
        <f t="shared" ca="1" si="424"/>
        <v>Jabones</v>
      </c>
      <c r="C9829" s="95" t="str">
        <f>IFERROR(VLOOKUP("UD",'Informacion '!P:Q,2,FALSE),"")</f>
        <v>Unidad</v>
      </c>
      <c r="D9829" s="94">
        <v>179</v>
      </c>
      <c r="E9829" s="84">
        <v>252.02</v>
      </c>
      <c r="F9829" s="83">
        <f t="shared" ca="1" si="425"/>
        <v>45111.58</v>
      </c>
    </row>
    <row r="9830" spans="1:6" ht="14.1" customHeight="1" x14ac:dyDescent="0.25">
      <c r="A9830" s="94" t="s">
        <v>16379</v>
      </c>
      <c r="B9830" s="82" t="str">
        <f t="shared" ca="1" si="424"/>
        <v>Jabones</v>
      </c>
      <c r="C9830" s="95" t="str">
        <f>IFERROR(VLOOKUP("UD",'Informacion '!P:Q,2,FALSE),"")</f>
        <v>Unidad</v>
      </c>
      <c r="D9830" s="94">
        <v>230</v>
      </c>
      <c r="E9830" s="84">
        <v>114.82</v>
      </c>
      <c r="F9830" s="83">
        <f t="shared" ca="1" si="425"/>
        <v>26408.6</v>
      </c>
    </row>
    <row r="9831" spans="1:6" ht="14.1" customHeight="1" x14ac:dyDescent="0.25">
      <c r="A9831" s="94" t="s">
        <v>16379</v>
      </c>
      <c r="B9831" s="82" t="str">
        <f t="shared" ca="1" si="424"/>
        <v>Jabones</v>
      </c>
      <c r="C9831" s="95" t="str">
        <f>IFERROR(VLOOKUP("UD",'Informacion '!P:Q,2,FALSE),"")</f>
        <v>Unidad</v>
      </c>
      <c r="D9831" s="94">
        <v>345</v>
      </c>
      <c r="E9831" s="84">
        <v>247.37</v>
      </c>
      <c r="F9831" s="83">
        <f t="shared" ca="1" si="425"/>
        <v>85342.650000000009</v>
      </c>
    </row>
    <row r="9832" spans="1:6" ht="14.1" customHeight="1" x14ac:dyDescent="0.25">
      <c r="A9832" s="94" t="s">
        <v>16379</v>
      </c>
      <c r="B9832" s="82" t="str">
        <f t="shared" ca="1" si="424"/>
        <v>Jabones</v>
      </c>
      <c r="C9832" s="95" t="str">
        <f>IFERROR(VLOOKUP("UD",'Informacion '!P:Q,2,FALSE),"")</f>
        <v>Unidad</v>
      </c>
      <c r="D9832" s="94">
        <v>255</v>
      </c>
      <c r="E9832" s="84">
        <v>248</v>
      </c>
      <c r="F9832" s="83">
        <f t="shared" ca="1" si="425"/>
        <v>63240</v>
      </c>
    </row>
    <row r="9833" spans="1:6" ht="14.1" customHeight="1" x14ac:dyDescent="0.25">
      <c r="A9833" s="94" t="s">
        <v>16379</v>
      </c>
      <c r="B9833" s="82" t="str">
        <f t="shared" ca="1" si="424"/>
        <v>Jabones</v>
      </c>
      <c r="C9833" s="95" t="str">
        <f>IFERROR(VLOOKUP("UD",'Informacion '!P:Q,2,FALSE),"")</f>
        <v>Unidad</v>
      </c>
      <c r="D9833" s="94">
        <v>204</v>
      </c>
      <c r="E9833" s="84">
        <v>245.5</v>
      </c>
      <c r="F9833" s="83">
        <f t="shared" ca="1" si="425"/>
        <v>50082</v>
      </c>
    </row>
    <row r="9834" spans="1:6" ht="14.1" customHeight="1" x14ac:dyDescent="0.25">
      <c r="A9834" s="94" t="s">
        <v>16379</v>
      </c>
      <c r="B9834" s="82" t="str">
        <f t="shared" ca="1" si="424"/>
        <v>Jabones</v>
      </c>
      <c r="C9834" s="95" t="str">
        <f>IFERROR(VLOOKUP("UD",'Informacion '!P:Q,2,FALSE),"")</f>
        <v>Unidad</v>
      </c>
      <c r="D9834" s="94">
        <v>638</v>
      </c>
      <c r="E9834" s="84">
        <v>223.74</v>
      </c>
      <c r="F9834" s="83">
        <f t="shared" ca="1" si="425"/>
        <v>142746.12</v>
      </c>
    </row>
    <row r="9835" spans="1:6" ht="14.1" customHeight="1" x14ac:dyDescent="0.25">
      <c r="A9835" s="94" t="s">
        <v>16379</v>
      </c>
      <c r="B9835" s="82" t="str">
        <f t="shared" ca="1" si="424"/>
        <v>Jabones</v>
      </c>
      <c r="C9835" s="95" t="str">
        <f>IFERROR(VLOOKUP("UD",'Informacion '!P:Q,2,FALSE),"")</f>
        <v>Unidad</v>
      </c>
      <c r="D9835" s="94">
        <v>192</v>
      </c>
      <c r="E9835" s="84">
        <v>162.1</v>
      </c>
      <c r="F9835" s="83">
        <f t="shared" ca="1" si="425"/>
        <v>31123.199999999997</v>
      </c>
    </row>
    <row r="9836" spans="1:6" ht="14.1" customHeight="1" x14ac:dyDescent="0.25">
      <c r="A9836" s="94" t="s">
        <v>16379</v>
      </c>
      <c r="B9836" s="82" t="str">
        <f t="shared" ref="B9836:B9867" ca="1" si="426">IFERROR(INDEX(UNSPSCDes,MATCH(INDIRECT(ADDRESS(ROW(),COLUMN()-1,4)),UNSPSCCode,0)),IF(INDIRECT(ADDRESS(ROW(),COLUMN()-1,4))="53131608","Jabones",""))</f>
        <v>Jabones</v>
      </c>
      <c r="C9836" s="95" t="str">
        <f>IFERROR(VLOOKUP("UD",'Informacion '!P:Q,2,FALSE),"")</f>
        <v>Unidad</v>
      </c>
      <c r="D9836" s="94">
        <v>166</v>
      </c>
      <c r="E9836" s="84">
        <v>148.16999999999999</v>
      </c>
      <c r="F9836" s="83">
        <f t="shared" ref="F9836:F9867" ca="1" si="427">INDIRECT(ADDRESS(ROW(),COLUMN()-2,4))*INDIRECT(ADDRESS(ROW(),COLUMN()-1,4))</f>
        <v>24596.219999999998</v>
      </c>
    </row>
    <row r="9837" spans="1:6" ht="14.1" customHeight="1" x14ac:dyDescent="0.25">
      <c r="A9837" s="94" t="s">
        <v>16379</v>
      </c>
      <c r="B9837" s="82" t="str">
        <f t="shared" ca="1" si="426"/>
        <v>Jabones</v>
      </c>
      <c r="C9837" s="95" t="str">
        <f>IFERROR(VLOOKUP("UD",'Informacion '!P:Q,2,FALSE),"")</f>
        <v>Unidad</v>
      </c>
      <c r="D9837" s="94">
        <v>115</v>
      </c>
      <c r="E9837" s="84">
        <v>121.2</v>
      </c>
      <c r="F9837" s="83">
        <f t="shared" ca="1" si="427"/>
        <v>13938</v>
      </c>
    </row>
    <row r="9838" spans="1:6" ht="14.1" customHeight="1" x14ac:dyDescent="0.25">
      <c r="A9838" s="94" t="s">
        <v>16379</v>
      </c>
      <c r="B9838" s="82" t="str">
        <f t="shared" ca="1" si="426"/>
        <v>Jabones</v>
      </c>
      <c r="C9838" s="95" t="str">
        <f>IFERROR(VLOOKUP("UD",'Informacion '!P:Q,2,FALSE),"")</f>
        <v>Unidad</v>
      </c>
      <c r="D9838" s="94">
        <v>2150</v>
      </c>
      <c r="E9838" s="84">
        <v>129.32</v>
      </c>
      <c r="F9838" s="83">
        <f t="shared" ca="1" si="427"/>
        <v>278038</v>
      </c>
    </row>
    <row r="9839" spans="1:6" ht="14.1" customHeight="1" x14ac:dyDescent="0.25">
      <c r="A9839" s="94" t="s">
        <v>16379</v>
      </c>
      <c r="B9839" s="82" t="str">
        <f t="shared" ca="1" si="426"/>
        <v>Jabones</v>
      </c>
      <c r="C9839" s="95" t="str">
        <f>IFERROR(VLOOKUP("UD",'Informacion '!P:Q,2,FALSE),"")</f>
        <v>Unidad</v>
      </c>
      <c r="D9839" s="94">
        <v>2188</v>
      </c>
      <c r="E9839" s="84">
        <v>247.97</v>
      </c>
      <c r="F9839" s="83">
        <f t="shared" ca="1" si="427"/>
        <v>542558.36</v>
      </c>
    </row>
    <row r="9840" spans="1:6" ht="14.1" customHeight="1" x14ac:dyDescent="0.25">
      <c r="A9840" s="94" t="s">
        <v>16379</v>
      </c>
      <c r="B9840" s="82" t="str">
        <f t="shared" ca="1" si="426"/>
        <v>Jabones</v>
      </c>
      <c r="C9840" s="95" t="str">
        <f>IFERROR(VLOOKUP("UD",'Informacion '!P:Q,2,FALSE),"")</f>
        <v>Unidad</v>
      </c>
      <c r="D9840" s="94">
        <v>2040</v>
      </c>
      <c r="E9840" s="84">
        <v>131.07</v>
      </c>
      <c r="F9840" s="83">
        <f t="shared" ca="1" si="427"/>
        <v>267382.8</v>
      </c>
    </row>
    <row r="9841" spans="1:6" ht="14.1" customHeight="1" x14ac:dyDescent="0.25">
      <c r="A9841" s="94" t="s">
        <v>16379</v>
      </c>
      <c r="B9841" s="82" t="str">
        <f t="shared" ca="1" si="426"/>
        <v>Jabones</v>
      </c>
      <c r="C9841" s="95" t="str">
        <f>IFERROR(VLOOKUP("UD",'Informacion '!P:Q,2,FALSE),"")</f>
        <v>Unidad</v>
      </c>
      <c r="D9841" s="94">
        <v>212</v>
      </c>
      <c r="E9841" s="84">
        <v>121.2</v>
      </c>
      <c r="F9841" s="83">
        <f t="shared" ca="1" si="427"/>
        <v>25694.400000000001</v>
      </c>
    </row>
    <row r="9842" spans="1:6" ht="14.1" customHeight="1" x14ac:dyDescent="0.25">
      <c r="A9842" s="94" t="s">
        <v>16379</v>
      </c>
      <c r="B9842" s="82" t="str">
        <f t="shared" ca="1" si="426"/>
        <v>Jabones</v>
      </c>
      <c r="C9842" s="95" t="str">
        <f>IFERROR(VLOOKUP("UD",'Informacion '!P:Q,2,FALSE),"")</f>
        <v>Unidad</v>
      </c>
      <c r="D9842" s="94">
        <v>102</v>
      </c>
      <c r="E9842" s="84">
        <v>121.2</v>
      </c>
      <c r="F9842" s="83">
        <f t="shared" ca="1" si="427"/>
        <v>12362.4</v>
      </c>
    </row>
    <row r="9843" spans="1:6" ht="14.1" customHeight="1" x14ac:dyDescent="0.25">
      <c r="A9843" s="94" t="s">
        <v>16379</v>
      </c>
      <c r="B9843" s="82" t="str">
        <f t="shared" ca="1" si="426"/>
        <v>Jabones</v>
      </c>
      <c r="C9843" s="95" t="str">
        <f>IFERROR(VLOOKUP("UD",'Informacion '!P:Q,2,FALSE),"")</f>
        <v>Unidad</v>
      </c>
      <c r="D9843" s="94">
        <v>128</v>
      </c>
      <c r="E9843" s="84">
        <v>122.17</v>
      </c>
      <c r="F9843" s="83">
        <f t="shared" ca="1" si="427"/>
        <v>15637.76</v>
      </c>
    </row>
    <row r="9844" spans="1:6" ht="14.1" customHeight="1" x14ac:dyDescent="0.25">
      <c r="A9844" s="94" t="s">
        <v>16379</v>
      </c>
      <c r="B9844" s="82" t="str">
        <f t="shared" ca="1" si="426"/>
        <v>Jabones</v>
      </c>
      <c r="C9844" s="95" t="str">
        <f>IFERROR(VLOOKUP("UD",'Informacion '!P:Q,2,FALSE),"")</f>
        <v>Unidad</v>
      </c>
      <c r="D9844" s="94">
        <v>396</v>
      </c>
      <c r="E9844" s="84">
        <v>224.15</v>
      </c>
      <c r="F9844" s="83">
        <f t="shared" ca="1" si="427"/>
        <v>88763.400000000009</v>
      </c>
    </row>
    <row r="9845" spans="1:6" ht="14.1" customHeight="1" x14ac:dyDescent="0.25">
      <c r="A9845" s="94" t="s">
        <v>16379</v>
      </c>
      <c r="B9845" s="82" t="str">
        <f t="shared" ca="1" si="426"/>
        <v>Jabones</v>
      </c>
      <c r="C9845" s="95" t="str">
        <f>IFERROR(VLOOKUP("UD",'Informacion '!P:Q,2,FALSE),"")</f>
        <v>Unidad</v>
      </c>
      <c r="D9845" s="94">
        <v>702</v>
      </c>
      <c r="E9845" s="84">
        <v>206.29</v>
      </c>
      <c r="F9845" s="83">
        <f t="shared" ca="1" si="427"/>
        <v>144815.57999999999</v>
      </c>
    </row>
    <row r="9846" spans="1:6" ht="14.1" customHeight="1" x14ac:dyDescent="0.25">
      <c r="A9846" s="94" t="s">
        <v>16379</v>
      </c>
      <c r="B9846" s="82" t="str">
        <f t="shared" ca="1" si="426"/>
        <v>Jabones</v>
      </c>
      <c r="C9846" s="95" t="str">
        <f>IFERROR(VLOOKUP("UD",'Informacion '!P:Q,2,FALSE),"")</f>
        <v>Unidad</v>
      </c>
      <c r="D9846" s="94">
        <v>16471</v>
      </c>
      <c r="E9846" s="84">
        <v>11.52</v>
      </c>
      <c r="F9846" s="83">
        <f t="shared" ca="1" si="427"/>
        <v>189745.91999999998</v>
      </c>
    </row>
    <row r="9847" spans="1:6" ht="14.1" customHeight="1" x14ac:dyDescent="0.25">
      <c r="A9847" s="94" t="s">
        <v>16379</v>
      </c>
      <c r="B9847" s="82" t="str">
        <f t="shared" ca="1" si="426"/>
        <v>Jabones</v>
      </c>
      <c r="C9847" s="95" t="str">
        <f>IFERROR(VLOOKUP("UD",'Informacion '!P:Q,2,FALSE),"")</f>
        <v>Unidad</v>
      </c>
      <c r="D9847" s="94">
        <v>625</v>
      </c>
      <c r="E9847" s="84">
        <v>103.27</v>
      </c>
      <c r="F9847" s="83">
        <f t="shared" ca="1" si="427"/>
        <v>64543.75</v>
      </c>
    </row>
    <row r="9848" spans="1:6" ht="14.1" customHeight="1" x14ac:dyDescent="0.25">
      <c r="A9848" s="94" t="s">
        <v>16379</v>
      </c>
      <c r="B9848" s="82" t="str">
        <f t="shared" ca="1" si="426"/>
        <v>Jabones</v>
      </c>
      <c r="C9848" s="95" t="str">
        <f>IFERROR(VLOOKUP("UD",'Informacion '!P:Q,2,FALSE),"")</f>
        <v>Unidad</v>
      </c>
      <c r="D9848" s="94">
        <v>549</v>
      </c>
      <c r="E9848" s="84">
        <v>103.56</v>
      </c>
      <c r="F9848" s="83">
        <f t="shared" ca="1" si="427"/>
        <v>56854.44</v>
      </c>
    </row>
    <row r="9849" spans="1:6" ht="14.1" customHeight="1" x14ac:dyDescent="0.25">
      <c r="A9849" s="94" t="s">
        <v>16379</v>
      </c>
      <c r="B9849" s="82" t="str">
        <f t="shared" ca="1" si="426"/>
        <v>Jabones</v>
      </c>
      <c r="C9849" s="95" t="str">
        <f>IFERROR(VLOOKUP("UD",'Informacion '!P:Q,2,FALSE),"")</f>
        <v>Unidad</v>
      </c>
      <c r="D9849" s="94">
        <v>855</v>
      </c>
      <c r="E9849" s="84">
        <v>119.31</v>
      </c>
      <c r="F9849" s="83">
        <f t="shared" ca="1" si="427"/>
        <v>102010.05</v>
      </c>
    </row>
    <row r="9850" spans="1:6" ht="14.1" customHeight="1" x14ac:dyDescent="0.25">
      <c r="A9850" s="94" t="s">
        <v>16379</v>
      </c>
      <c r="B9850" s="82" t="str">
        <f t="shared" ca="1" si="426"/>
        <v>Jabones</v>
      </c>
      <c r="C9850" s="95" t="str">
        <f>IFERROR(VLOOKUP("UD",'Informacion '!P:Q,2,FALSE),"")</f>
        <v>Unidad</v>
      </c>
      <c r="D9850" s="94">
        <v>102</v>
      </c>
      <c r="E9850" s="84">
        <v>126.48</v>
      </c>
      <c r="F9850" s="83">
        <f t="shared" ca="1" si="427"/>
        <v>12900.960000000001</v>
      </c>
    </row>
    <row r="9851" spans="1:6" ht="14.1" customHeight="1" x14ac:dyDescent="0.25">
      <c r="A9851" s="94" t="s">
        <v>16379</v>
      </c>
      <c r="B9851" s="82" t="str">
        <f t="shared" ca="1" si="426"/>
        <v>Jabones</v>
      </c>
      <c r="C9851" s="95" t="str">
        <f>IFERROR(VLOOKUP("UD",'Informacion '!P:Q,2,FALSE),"")</f>
        <v>Unidad</v>
      </c>
      <c r="D9851" s="94">
        <v>115</v>
      </c>
      <c r="E9851" s="84">
        <v>247.57</v>
      </c>
      <c r="F9851" s="83">
        <f t="shared" ca="1" si="427"/>
        <v>28470.55</v>
      </c>
    </row>
    <row r="9852" spans="1:6" ht="14.1" customHeight="1" x14ac:dyDescent="0.25">
      <c r="A9852" s="94" t="s">
        <v>16379</v>
      </c>
      <c r="B9852" s="82" t="str">
        <f t="shared" ca="1" si="426"/>
        <v>Jabones</v>
      </c>
      <c r="C9852" s="95" t="str">
        <f>IFERROR(VLOOKUP("UD",'Informacion '!P:Q,2,FALSE),"")</f>
        <v>Unidad</v>
      </c>
      <c r="D9852" s="94">
        <v>128</v>
      </c>
      <c r="E9852" s="84">
        <v>156.29</v>
      </c>
      <c r="F9852" s="83">
        <f t="shared" ca="1" si="427"/>
        <v>20005.12</v>
      </c>
    </row>
    <row r="9853" spans="1:6" ht="14.1" customHeight="1" x14ac:dyDescent="0.25">
      <c r="A9853" s="94" t="s">
        <v>16379</v>
      </c>
      <c r="B9853" s="82" t="str">
        <f t="shared" ca="1" si="426"/>
        <v>Jabones</v>
      </c>
      <c r="C9853" s="95" t="str">
        <f>IFERROR(VLOOKUP("UD",'Informacion '!P:Q,2,FALSE),"")</f>
        <v>Unidad</v>
      </c>
      <c r="D9853" s="94">
        <v>115</v>
      </c>
      <c r="E9853" s="84">
        <v>186.03</v>
      </c>
      <c r="F9853" s="83">
        <f t="shared" ca="1" si="427"/>
        <v>21393.45</v>
      </c>
    </row>
    <row r="9854" spans="1:6" ht="14.1" customHeight="1" x14ac:dyDescent="0.25">
      <c r="A9854" s="94" t="s">
        <v>16379</v>
      </c>
      <c r="B9854" s="82" t="str">
        <f t="shared" ca="1" si="426"/>
        <v>Jabones</v>
      </c>
      <c r="C9854" s="95" t="str">
        <f>IFERROR(VLOOKUP("UD",'Informacion '!P:Q,2,FALSE),"")</f>
        <v>Unidad</v>
      </c>
      <c r="D9854" s="94">
        <v>969</v>
      </c>
      <c r="E9854" s="84">
        <v>104.43</v>
      </c>
      <c r="F9854" s="83">
        <f t="shared" ca="1" si="427"/>
        <v>101192.67000000001</v>
      </c>
    </row>
    <row r="9855" spans="1:6" ht="14.1" customHeight="1" x14ac:dyDescent="0.25">
      <c r="A9855" s="94" t="s">
        <v>16379</v>
      </c>
      <c r="B9855" s="82" t="str">
        <f t="shared" ca="1" si="426"/>
        <v>Jabones</v>
      </c>
      <c r="C9855" s="95" t="str">
        <f>IFERROR(VLOOKUP("UD",'Informacion '!P:Q,2,FALSE),"")</f>
        <v>Unidad</v>
      </c>
      <c r="D9855" s="94">
        <v>11</v>
      </c>
      <c r="E9855" s="84">
        <v>283.54000000000002</v>
      </c>
      <c r="F9855" s="83">
        <f t="shared" ca="1" si="427"/>
        <v>3118.94</v>
      </c>
    </row>
    <row r="9856" spans="1:6" ht="14.1" customHeight="1" x14ac:dyDescent="0.25">
      <c r="A9856" s="94" t="s">
        <v>16379</v>
      </c>
      <c r="B9856" s="82" t="str">
        <f t="shared" ca="1" si="426"/>
        <v>Jabones</v>
      </c>
      <c r="C9856" s="95" t="str">
        <f>IFERROR(VLOOKUP("UD",'Informacion '!P:Q,2,FALSE),"")</f>
        <v>Unidad</v>
      </c>
      <c r="D9856" s="94">
        <v>3</v>
      </c>
      <c r="E9856" s="84">
        <v>920.4</v>
      </c>
      <c r="F9856" s="83">
        <f t="shared" ca="1" si="427"/>
        <v>2761.2</v>
      </c>
    </row>
    <row r="9857" spans="1:6" ht="14.1" customHeight="1" x14ac:dyDescent="0.25">
      <c r="A9857" s="94" t="s">
        <v>16379</v>
      </c>
      <c r="B9857" s="82" t="str">
        <f t="shared" ca="1" si="426"/>
        <v>Jabones</v>
      </c>
      <c r="C9857" s="95" t="str">
        <f>IFERROR(VLOOKUP("UD",'Informacion '!P:Q,2,FALSE),"")</f>
        <v>Unidad</v>
      </c>
      <c r="D9857" s="94">
        <v>2</v>
      </c>
      <c r="E9857" s="84">
        <v>4204.3599999999997</v>
      </c>
      <c r="F9857" s="83">
        <f t="shared" ca="1" si="427"/>
        <v>8408.7199999999993</v>
      </c>
    </row>
    <row r="9858" spans="1:6" ht="14.1" customHeight="1" x14ac:dyDescent="0.25">
      <c r="A9858" s="94" t="s">
        <v>16379</v>
      </c>
      <c r="B9858" s="82" t="str">
        <f t="shared" ca="1" si="426"/>
        <v>Jabones</v>
      </c>
      <c r="C9858" s="95" t="str">
        <f>IFERROR(VLOOKUP("UD",'Informacion '!P:Q,2,FALSE),"")</f>
        <v>Unidad</v>
      </c>
      <c r="D9858" s="94">
        <v>2</v>
      </c>
      <c r="E9858" s="84">
        <v>3854.83</v>
      </c>
      <c r="F9858" s="83">
        <f t="shared" ca="1" si="427"/>
        <v>7709.66</v>
      </c>
    </row>
    <row r="9859" spans="1:6" ht="14.1" customHeight="1" x14ac:dyDescent="0.25">
      <c r="A9859" s="94" t="s">
        <v>16379</v>
      </c>
      <c r="B9859" s="82" t="str">
        <f t="shared" ca="1" si="426"/>
        <v>Jabones</v>
      </c>
      <c r="C9859" s="95" t="str">
        <f>IFERROR(VLOOKUP("UD",'Informacion '!P:Q,2,FALSE),"")</f>
        <v>Unidad</v>
      </c>
      <c r="D9859" s="94">
        <v>2</v>
      </c>
      <c r="E9859" s="84">
        <v>973.35</v>
      </c>
      <c r="F9859" s="83">
        <f t="shared" ca="1" si="427"/>
        <v>1946.7</v>
      </c>
    </row>
    <row r="9860" spans="1:6" ht="14.1" customHeight="1" x14ac:dyDescent="0.25">
      <c r="A9860" s="94" t="s">
        <v>16379</v>
      </c>
      <c r="B9860" s="82" t="str">
        <f t="shared" ca="1" si="426"/>
        <v>Jabones</v>
      </c>
      <c r="C9860" s="95" t="str">
        <f>IFERROR(VLOOKUP("UD",'Informacion '!P:Q,2,FALSE),"")</f>
        <v>Unidad</v>
      </c>
      <c r="D9860" s="94">
        <v>16</v>
      </c>
      <c r="E9860" s="84">
        <v>5288.28</v>
      </c>
      <c r="F9860" s="83">
        <f t="shared" ca="1" si="427"/>
        <v>84612.479999999996</v>
      </c>
    </row>
    <row r="9861" spans="1:6" ht="14.1" customHeight="1" x14ac:dyDescent="0.25">
      <c r="A9861" s="94" t="s">
        <v>16379</v>
      </c>
      <c r="B9861" s="82" t="str">
        <f t="shared" ca="1" si="426"/>
        <v>Jabones</v>
      </c>
      <c r="C9861" s="95" t="str">
        <f>IFERROR(VLOOKUP("UD",'Informacion '!P:Q,2,FALSE),"")</f>
        <v>Unidad</v>
      </c>
      <c r="D9861" s="94">
        <v>1</v>
      </c>
      <c r="E9861" s="84">
        <v>3371</v>
      </c>
      <c r="F9861" s="83">
        <f t="shared" ca="1" si="427"/>
        <v>3371</v>
      </c>
    </row>
    <row r="9862" spans="1:6" ht="14.1" customHeight="1" x14ac:dyDescent="0.25">
      <c r="A9862" s="94" t="s">
        <v>16379</v>
      </c>
      <c r="B9862" s="82" t="str">
        <f t="shared" ca="1" si="426"/>
        <v>Jabones</v>
      </c>
      <c r="C9862" s="95" t="str">
        <f>IFERROR(VLOOKUP("UD",'Informacion '!P:Q,2,FALSE),"")</f>
        <v>Unidad</v>
      </c>
      <c r="D9862" s="94">
        <v>1</v>
      </c>
      <c r="E9862" s="84">
        <v>4161.5600000000004</v>
      </c>
      <c r="F9862" s="83">
        <f t="shared" ca="1" si="427"/>
        <v>4161.5600000000004</v>
      </c>
    </row>
    <row r="9863" spans="1:6" ht="14.1" customHeight="1" x14ac:dyDescent="0.25">
      <c r="A9863" s="94" t="s">
        <v>16379</v>
      </c>
      <c r="B9863" s="82" t="str">
        <f t="shared" ca="1" si="426"/>
        <v>Jabones</v>
      </c>
      <c r="C9863" s="95" t="str">
        <f>IFERROR(VLOOKUP("UD",'Informacion '!P:Q,2,FALSE),"")</f>
        <v>Unidad</v>
      </c>
      <c r="D9863" s="94">
        <v>20</v>
      </c>
      <c r="E9863" s="84">
        <v>338.66</v>
      </c>
      <c r="F9863" s="83">
        <f t="shared" ca="1" si="427"/>
        <v>6773.2000000000007</v>
      </c>
    </row>
    <row r="9864" spans="1:6" ht="14.1" customHeight="1" x14ac:dyDescent="0.25">
      <c r="A9864" s="94" t="s">
        <v>16379</v>
      </c>
      <c r="B9864" s="82" t="str">
        <f t="shared" ca="1" si="426"/>
        <v>Jabones</v>
      </c>
      <c r="C9864" s="95" t="str">
        <f>IFERROR(VLOOKUP("UD",'Informacion '!P:Q,2,FALSE),"")</f>
        <v>Unidad</v>
      </c>
      <c r="D9864" s="94">
        <v>14</v>
      </c>
      <c r="E9864" s="84">
        <v>365</v>
      </c>
      <c r="F9864" s="83">
        <f t="shared" ca="1" si="427"/>
        <v>5110</v>
      </c>
    </row>
    <row r="9865" spans="1:6" ht="14.1" customHeight="1" x14ac:dyDescent="0.25">
      <c r="A9865" s="94" t="s">
        <v>16379</v>
      </c>
      <c r="B9865" s="82" t="str">
        <f t="shared" ca="1" si="426"/>
        <v>Jabones</v>
      </c>
      <c r="C9865" s="95" t="str">
        <f>IFERROR(VLOOKUP("UD",'Informacion '!P:Q,2,FALSE),"")</f>
        <v>Unidad</v>
      </c>
      <c r="D9865" s="94">
        <v>20</v>
      </c>
      <c r="E9865" s="84">
        <v>338.66</v>
      </c>
      <c r="F9865" s="83">
        <f t="shared" ca="1" si="427"/>
        <v>6773.2000000000007</v>
      </c>
    </row>
    <row r="9866" spans="1:6" ht="14.1" customHeight="1" x14ac:dyDescent="0.25">
      <c r="A9866" s="94" t="s">
        <v>16379</v>
      </c>
      <c r="B9866" s="82" t="str">
        <f t="shared" ca="1" si="426"/>
        <v>Jabones</v>
      </c>
      <c r="C9866" s="95" t="str">
        <f>IFERROR(VLOOKUP("UD",'Informacion '!P:Q,2,FALSE),"")</f>
        <v>Unidad</v>
      </c>
      <c r="D9866" s="94">
        <v>20</v>
      </c>
      <c r="E9866" s="84">
        <v>490.88</v>
      </c>
      <c r="F9866" s="83">
        <f t="shared" ca="1" si="427"/>
        <v>9817.6</v>
      </c>
    </row>
    <row r="9867" spans="1:6" ht="14.1" customHeight="1" x14ac:dyDescent="0.25">
      <c r="A9867" s="94" t="s">
        <v>16379</v>
      </c>
      <c r="B9867" s="82" t="str">
        <f t="shared" ca="1" si="426"/>
        <v>Jabones</v>
      </c>
      <c r="C9867" s="95" t="str">
        <f>IFERROR(VLOOKUP("UD",'Informacion '!P:Q,2,FALSE),"")</f>
        <v>Unidad</v>
      </c>
      <c r="D9867" s="94">
        <v>3</v>
      </c>
      <c r="E9867" s="84">
        <v>315</v>
      </c>
      <c r="F9867" s="83">
        <f t="shared" ca="1" si="427"/>
        <v>945</v>
      </c>
    </row>
    <row r="9868" spans="1:6" ht="14.1" customHeight="1" x14ac:dyDescent="0.25">
      <c r="A9868" s="94" t="s">
        <v>16379</v>
      </c>
      <c r="B9868" s="82" t="str">
        <f t="shared" ref="B9868:B9875" ca="1" si="428">IFERROR(INDEX(UNSPSCDes,MATCH(INDIRECT(ADDRESS(ROW(),COLUMN()-1,4)),UNSPSCCode,0)),IF(INDIRECT(ADDRESS(ROW(),COLUMN()-1,4))="53131608","Jabones",""))</f>
        <v>Jabones</v>
      </c>
      <c r="C9868" s="95" t="str">
        <f>IFERROR(VLOOKUP("UD",'Informacion '!P:Q,2,FALSE),"")</f>
        <v>Unidad</v>
      </c>
      <c r="D9868" s="94">
        <v>17</v>
      </c>
      <c r="E9868" s="84">
        <v>921.41</v>
      </c>
      <c r="F9868" s="83">
        <f t="shared" ref="F9868:F9875" ca="1" si="429">INDIRECT(ADDRESS(ROW(),COLUMN()-2,4))*INDIRECT(ADDRESS(ROW(),COLUMN()-1,4))</f>
        <v>15663.97</v>
      </c>
    </row>
    <row r="9869" spans="1:6" ht="14.1" customHeight="1" x14ac:dyDescent="0.25">
      <c r="A9869" s="94" t="s">
        <v>16379</v>
      </c>
      <c r="B9869" s="82" t="str">
        <f t="shared" ca="1" si="428"/>
        <v>Jabones</v>
      </c>
      <c r="C9869" s="95" t="str">
        <f>IFERROR(VLOOKUP("UD",'Informacion '!P:Q,2,FALSE),"")</f>
        <v>Unidad</v>
      </c>
      <c r="D9869" s="94">
        <v>1</v>
      </c>
      <c r="E9869" s="84">
        <v>2760.38</v>
      </c>
      <c r="F9869" s="83">
        <f t="shared" ca="1" si="429"/>
        <v>2760.38</v>
      </c>
    </row>
    <row r="9870" spans="1:6" ht="14.1" customHeight="1" x14ac:dyDescent="0.25">
      <c r="A9870" s="94" t="s">
        <v>16379</v>
      </c>
      <c r="B9870" s="82" t="str">
        <f t="shared" ca="1" si="428"/>
        <v>Jabones</v>
      </c>
      <c r="C9870" s="95" t="str">
        <f>IFERROR(VLOOKUP("UD",'Informacion '!P:Q,2,FALSE),"")</f>
        <v>Unidad</v>
      </c>
      <c r="D9870" s="94">
        <v>1</v>
      </c>
      <c r="E9870" s="84">
        <v>26800</v>
      </c>
      <c r="F9870" s="83">
        <f t="shared" ca="1" si="429"/>
        <v>26800</v>
      </c>
    </row>
    <row r="9871" spans="1:6" ht="14.1" customHeight="1" x14ac:dyDescent="0.25">
      <c r="A9871" s="94" t="s">
        <v>16379</v>
      </c>
      <c r="B9871" s="82" t="str">
        <f t="shared" ca="1" si="428"/>
        <v>Jabones</v>
      </c>
      <c r="C9871" s="95" t="str">
        <f>IFERROR(VLOOKUP("UD",'Informacion '!P:Q,2,FALSE),"")</f>
        <v>Unidad</v>
      </c>
      <c r="D9871" s="94">
        <v>1</v>
      </c>
      <c r="E9871" s="84">
        <v>2688</v>
      </c>
      <c r="F9871" s="83">
        <f t="shared" ca="1" si="429"/>
        <v>2688</v>
      </c>
    </row>
    <row r="9872" spans="1:6" ht="14.1" customHeight="1" x14ac:dyDescent="0.25">
      <c r="A9872" s="94" t="s">
        <v>16379</v>
      </c>
      <c r="B9872" s="82" t="str">
        <f t="shared" ca="1" si="428"/>
        <v>Jabones</v>
      </c>
      <c r="C9872" s="95" t="str">
        <f>IFERROR(VLOOKUP("UD",'Informacion '!P:Q,2,FALSE),"")</f>
        <v>Unidad</v>
      </c>
      <c r="D9872" s="94">
        <v>230</v>
      </c>
      <c r="E9872" s="84">
        <v>14.33</v>
      </c>
      <c r="F9872" s="83">
        <f t="shared" ca="1" si="429"/>
        <v>3295.9</v>
      </c>
    </row>
    <row r="9873" spans="1:10" ht="14.1" customHeight="1" x14ac:dyDescent="0.25">
      <c r="A9873" s="94" t="s">
        <v>16379</v>
      </c>
      <c r="B9873" s="82" t="str">
        <f t="shared" ca="1" si="428"/>
        <v>Jabones</v>
      </c>
      <c r="C9873" s="95" t="str">
        <f>IFERROR(VLOOKUP("UD",'Informacion '!P:Q,2,FALSE),"")</f>
        <v>Unidad</v>
      </c>
      <c r="D9873" s="94">
        <v>2</v>
      </c>
      <c r="E9873" s="84">
        <v>83.8</v>
      </c>
      <c r="F9873" s="83">
        <f t="shared" ca="1" si="429"/>
        <v>167.6</v>
      </c>
    </row>
    <row r="9874" spans="1:10" ht="14.1" customHeight="1" x14ac:dyDescent="0.25">
      <c r="A9874" s="94" t="s">
        <v>16379</v>
      </c>
      <c r="B9874" s="82" t="str">
        <f t="shared" ca="1" si="428"/>
        <v>Jabones</v>
      </c>
      <c r="C9874" s="95" t="str">
        <f>IFERROR(VLOOKUP("UD",'Informacion '!P:Q,2,FALSE),"")</f>
        <v>Unidad</v>
      </c>
      <c r="D9874" s="94">
        <v>1</v>
      </c>
      <c r="E9874" s="84">
        <v>14120.4</v>
      </c>
      <c r="F9874" s="83">
        <f t="shared" ca="1" si="429"/>
        <v>14120.4</v>
      </c>
    </row>
    <row r="9875" spans="1:10" ht="14.1" customHeight="1" x14ac:dyDescent="0.25">
      <c r="A9875" s="94" t="s">
        <v>16379</v>
      </c>
      <c r="B9875" s="82" t="str">
        <f t="shared" ca="1" si="428"/>
        <v>Jabones</v>
      </c>
      <c r="C9875" s="95" t="str">
        <f>IFERROR(VLOOKUP("UD",'Informacion '!P:Q,2,FALSE),"")</f>
        <v>Unidad</v>
      </c>
      <c r="D9875" s="94">
        <v>2</v>
      </c>
      <c r="E9875" s="84">
        <v>910.15</v>
      </c>
      <c r="F9875" s="83">
        <f t="shared" ca="1" si="429"/>
        <v>1820.3</v>
      </c>
    </row>
    <row r="9876" spans="1:10" ht="14.1" customHeight="1" x14ac:dyDescent="0.25">
      <c r="E9876" s="96" t="s">
        <v>7213</v>
      </c>
      <c r="F9876" s="87">
        <f ca="1">SUM(Table231[MONTO TOTAL ESTIMADO])</f>
        <v>2944416.1900000004</v>
      </c>
      <c r="H9876" s="39" t="str">
        <f>C9797</f>
        <v>Bienes</v>
      </c>
      <c r="I9876" s="39" t="str">
        <f>E9797</f>
        <v>No</v>
      </c>
      <c r="J9876" s="39" t="str">
        <f>D9797</f>
        <v>Compras Menores</v>
      </c>
    </row>
    <row r="9878" spans="1:10" ht="33.950000000000003" customHeight="1" x14ac:dyDescent="0.25">
      <c r="A9878" s="77" t="s">
        <v>17233</v>
      </c>
      <c r="B9878" s="77" t="s">
        <v>4237</v>
      </c>
      <c r="C9878" s="77" t="s">
        <v>4743</v>
      </c>
      <c r="D9878" s="77" t="s">
        <v>9891</v>
      </c>
      <c r="E9878" s="77" t="s">
        <v>3089</v>
      </c>
      <c r="F9878" s="77" t="s">
        <v>18141</v>
      </c>
    </row>
    <row r="9879" spans="1:10" ht="14.1" customHeight="1" x14ac:dyDescent="0.25">
      <c r="A9879" s="79" t="s">
        <v>4733</v>
      </c>
      <c r="B9879" s="79" t="s">
        <v>13805</v>
      </c>
      <c r="C9879" s="79" t="s">
        <v>17215</v>
      </c>
      <c r="D9879" s="79" t="s">
        <v>17798</v>
      </c>
      <c r="E9879" s="79" t="s">
        <v>18247</v>
      </c>
      <c r="F9879" s="79"/>
    </row>
    <row r="9880" spans="1:10" ht="14.1" customHeight="1" x14ac:dyDescent="0.25">
      <c r="A9880" s="2" t="s">
        <v>6643</v>
      </c>
      <c r="B9880" s="80" t="s">
        <v>1046</v>
      </c>
      <c r="C9880" s="90">
        <v>43647</v>
      </c>
      <c r="D9880" s="2" t="s">
        <v>59</v>
      </c>
      <c r="E9880" s="92" t="s">
        <v>20066</v>
      </c>
      <c r="F9880" s="93" t="s">
        <v>5684</v>
      </c>
    </row>
    <row r="9881" spans="1:10" ht="14.1" customHeight="1" x14ac:dyDescent="0.25">
      <c r="A9881" s="1"/>
      <c r="B9881" s="80" t="s">
        <v>10788</v>
      </c>
      <c r="C9881" s="91">
        <f>IF(C9880="","",IF(AND(MONTH(C9880)&gt;=1,MONTH(C9880)&lt;=3),1,IF(AND(MONTH(C9880)&gt;=4,MONTH(C9880)&lt;=6),2,IF(AND(MONTH(C9880)&gt;=7,MONTH(C9880)&lt;=9),3,4))))</f>
        <v>3</v>
      </c>
      <c r="D9881" s="1"/>
      <c r="E9881" s="92" t="s">
        <v>14822</v>
      </c>
      <c r="F9881" s="93" t="s">
        <v>17690</v>
      </c>
    </row>
    <row r="9882" spans="1:10" ht="14.1" customHeight="1" x14ac:dyDescent="0.25">
      <c r="A9882" s="1"/>
      <c r="B9882" s="80" t="s">
        <v>13758</v>
      </c>
      <c r="C9882" s="90">
        <v>43738</v>
      </c>
      <c r="D9882" s="1"/>
      <c r="E9882" s="92" t="s">
        <v>18636</v>
      </c>
      <c r="F9882" s="93" t="s">
        <v>17690</v>
      </c>
    </row>
    <row r="9883" spans="1:10" ht="14.1" customHeight="1" x14ac:dyDescent="0.25">
      <c r="A9883" s="1"/>
      <c r="B9883" s="80" t="s">
        <v>10788</v>
      </c>
      <c r="C9883" s="91">
        <f>IF(C9882="","",IF(AND(MONTH(C9882)&gt;=1,MONTH(C9882)&lt;=3),1,IF(AND(MONTH(C9882)&gt;=4,MONTH(C9882)&lt;=6),2,IF(AND(MONTH(C9882)&gt;=7,MONTH(C9882)&lt;=9),3,4))))</f>
        <v>3</v>
      </c>
      <c r="D9883" s="1"/>
      <c r="E9883" s="92" t="s">
        <v>15990</v>
      </c>
      <c r="F9883" s="93"/>
    </row>
    <row r="9885" spans="1:10" ht="14.1" customHeight="1" x14ac:dyDescent="0.25">
      <c r="A9885" s="85" t="s">
        <v>15474</v>
      </c>
      <c r="B9885" s="85" t="s">
        <v>5027</v>
      </c>
      <c r="C9885" s="85" t="s">
        <v>17461</v>
      </c>
      <c r="D9885" s="85" t="s">
        <v>3935</v>
      </c>
      <c r="E9885" s="85" t="s">
        <v>10722</v>
      </c>
      <c r="F9885" s="85" t="s">
        <v>18237</v>
      </c>
    </row>
    <row r="9886" spans="1:10" ht="14.1" customHeight="1" x14ac:dyDescent="0.25">
      <c r="A9886" s="94" t="s">
        <v>16379</v>
      </c>
      <c r="B9886" s="82" t="str">
        <f t="shared" ref="B9886:B9917" ca="1" si="430">IFERROR(INDEX(UNSPSCDes,MATCH(INDIRECT(ADDRESS(ROW(),COLUMN()-1,4)),UNSPSCCode,0)),IF(INDIRECT(ADDRESS(ROW(),COLUMN()-1,4))="53131608","Jabones",""))</f>
        <v>Jabones</v>
      </c>
      <c r="C9886" s="95" t="str">
        <f>IFERROR(VLOOKUP("UD",'Informacion '!P:Q,2,FALSE),"")</f>
        <v>Unidad</v>
      </c>
      <c r="D9886" s="94">
        <v>129</v>
      </c>
      <c r="E9886" s="84">
        <v>21.83</v>
      </c>
      <c r="F9886" s="83">
        <f t="shared" ref="F9886:F9917" ca="1" si="431">INDIRECT(ADDRESS(ROW(),COLUMN()-2,4))*INDIRECT(ADDRESS(ROW(),COLUMN()-1,4))</f>
        <v>2816.0699999999997</v>
      </c>
    </row>
    <row r="9887" spans="1:10" ht="14.1" customHeight="1" x14ac:dyDescent="0.25">
      <c r="A9887" s="94" t="s">
        <v>16379</v>
      </c>
      <c r="B9887" s="82" t="str">
        <f t="shared" ca="1" si="430"/>
        <v>Jabones</v>
      </c>
      <c r="C9887" s="95" t="str">
        <f>IFERROR(VLOOKUP("UD",'Informacion '!P:Q,2,FALSE),"")</f>
        <v>Unidad</v>
      </c>
      <c r="D9887" s="94">
        <v>315</v>
      </c>
      <c r="E9887" s="84">
        <v>21.84</v>
      </c>
      <c r="F9887" s="83">
        <f t="shared" ca="1" si="431"/>
        <v>6879.6</v>
      </c>
    </row>
    <row r="9888" spans="1:10" ht="14.1" customHeight="1" x14ac:dyDescent="0.25">
      <c r="A9888" s="94" t="s">
        <v>16379</v>
      </c>
      <c r="B9888" s="82" t="str">
        <f t="shared" ca="1" si="430"/>
        <v>Jabones</v>
      </c>
      <c r="C9888" s="95" t="str">
        <f>IFERROR(VLOOKUP("UD",'Informacion '!P:Q,2,FALSE),"")</f>
        <v>Unidad</v>
      </c>
      <c r="D9888" s="94">
        <v>298</v>
      </c>
      <c r="E9888" s="84">
        <v>21.84</v>
      </c>
      <c r="F9888" s="83">
        <f t="shared" ca="1" si="431"/>
        <v>6508.32</v>
      </c>
    </row>
    <row r="9889" spans="1:6" ht="14.1" customHeight="1" x14ac:dyDescent="0.25">
      <c r="A9889" s="94" t="s">
        <v>16379</v>
      </c>
      <c r="B9889" s="82" t="str">
        <f t="shared" ca="1" si="430"/>
        <v>Jabones</v>
      </c>
      <c r="C9889" s="95" t="str">
        <f>IFERROR(VLOOKUP("UD",'Informacion '!P:Q,2,FALSE),"")</f>
        <v>Unidad</v>
      </c>
      <c r="D9889" s="94">
        <v>214</v>
      </c>
      <c r="E9889" s="84">
        <v>21.84</v>
      </c>
      <c r="F9889" s="83">
        <f t="shared" ca="1" si="431"/>
        <v>4673.76</v>
      </c>
    </row>
    <row r="9890" spans="1:6" ht="14.1" customHeight="1" x14ac:dyDescent="0.25">
      <c r="A9890" s="94" t="s">
        <v>16379</v>
      </c>
      <c r="B9890" s="82" t="str">
        <f t="shared" ca="1" si="430"/>
        <v>Jabones</v>
      </c>
      <c r="C9890" s="95" t="str">
        <f>IFERROR(VLOOKUP("UD",'Informacion '!P:Q,2,FALSE),"")</f>
        <v>Unidad</v>
      </c>
      <c r="D9890" s="94">
        <v>558</v>
      </c>
      <c r="E9890" s="84">
        <v>21.84</v>
      </c>
      <c r="F9890" s="83">
        <f t="shared" ca="1" si="431"/>
        <v>12186.72</v>
      </c>
    </row>
    <row r="9891" spans="1:6" ht="14.1" customHeight="1" x14ac:dyDescent="0.25">
      <c r="A9891" s="94" t="s">
        <v>16379</v>
      </c>
      <c r="B9891" s="82" t="str">
        <f t="shared" ca="1" si="430"/>
        <v>Jabones</v>
      </c>
      <c r="C9891" s="95" t="str">
        <f>IFERROR(VLOOKUP("UD",'Informacion '!P:Q,2,FALSE),"")</f>
        <v>Unidad</v>
      </c>
      <c r="D9891" s="94">
        <v>240</v>
      </c>
      <c r="E9891" s="84">
        <v>21.84</v>
      </c>
      <c r="F9891" s="83">
        <f t="shared" ca="1" si="431"/>
        <v>5241.6000000000004</v>
      </c>
    </row>
    <row r="9892" spans="1:6" ht="14.1" customHeight="1" x14ac:dyDescent="0.25">
      <c r="A9892" s="94" t="s">
        <v>16379</v>
      </c>
      <c r="B9892" s="82" t="str">
        <f t="shared" ca="1" si="430"/>
        <v>Jabones</v>
      </c>
      <c r="C9892" s="95" t="str">
        <f>IFERROR(VLOOKUP("UD",'Informacion '!P:Q,2,FALSE),"")</f>
        <v>Unidad</v>
      </c>
      <c r="D9892" s="94">
        <v>426</v>
      </c>
      <c r="E9892" s="84">
        <v>21.84</v>
      </c>
      <c r="F9892" s="83">
        <f t="shared" ca="1" si="431"/>
        <v>9303.84</v>
      </c>
    </row>
    <row r="9893" spans="1:6" ht="14.1" customHeight="1" x14ac:dyDescent="0.25">
      <c r="A9893" s="94" t="s">
        <v>16379</v>
      </c>
      <c r="B9893" s="82" t="str">
        <f t="shared" ca="1" si="430"/>
        <v>Jabones</v>
      </c>
      <c r="C9893" s="95" t="str">
        <f>IFERROR(VLOOKUP("UD",'Informacion '!P:Q,2,FALSE),"")</f>
        <v>Unidad</v>
      </c>
      <c r="D9893" s="94">
        <v>681</v>
      </c>
      <c r="E9893" s="84">
        <v>21.84</v>
      </c>
      <c r="F9893" s="83">
        <f t="shared" ca="1" si="431"/>
        <v>14873.039999999999</v>
      </c>
    </row>
    <row r="9894" spans="1:6" ht="14.1" customHeight="1" x14ac:dyDescent="0.25">
      <c r="A9894" s="94" t="s">
        <v>16379</v>
      </c>
      <c r="B9894" s="82" t="str">
        <f t="shared" ca="1" si="430"/>
        <v>Jabones</v>
      </c>
      <c r="C9894" s="95" t="str">
        <f>IFERROR(VLOOKUP("UD",'Informacion '!P:Q,2,FALSE),"")</f>
        <v>Unidad</v>
      </c>
      <c r="D9894" s="94">
        <v>161</v>
      </c>
      <c r="E9894" s="84">
        <v>21.84</v>
      </c>
      <c r="F9894" s="83">
        <f t="shared" ca="1" si="431"/>
        <v>3516.24</v>
      </c>
    </row>
    <row r="9895" spans="1:6" ht="14.1" customHeight="1" x14ac:dyDescent="0.25">
      <c r="A9895" s="94" t="s">
        <v>16379</v>
      </c>
      <c r="B9895" s="82" t="str">
        <f t="shared" ca="1" si="430"/>
        <v>Jabones</v>
      </c>
      <c r="C9895" s="95" t="str">
        <f>IFERROR(VLOOKUP("UD",'Informacion '!P:Q,2,FALSE),"")</f>
        <v>Unidad</v>
      </c>
      <c r="D9895" s="94">
        <v>426</v>
      </c>
      <c r="E9895" s="84">
        <v>21.84</v>
      </c>
      <c r="F9895" s="83">
        <f t="shared" ca="1" si="431"/>
        <v>9303.84</v>
      </c>
    </row>
    <row r="9896" spans="1:6" ht="14.1" customHeight="1" x14ac:dyDescent="0.25">
      <c r="A9896" s="94" t="s">
        <v>16379</v>
      </c>
      <c r="B9896" s="82" t="str">
        <f t="shared" ca="1" si="430"/>
        <v>Jabones</v>
      </c>
      <c r="C9896" s="95" t="str">
        <f>IFERROR(VLOOKUP("UD",'Informacion '!P:Q,2,FALSE),"")</f>
        <v>Unidad</v>
      </c>
      <c r="D9896" s="94">
        <v>468</v>
      </c>
      <c r="E9896" s="84">
        <v>21.84</v>
      </c>
      <c r="F9896" s="83">
        <f t="shared" ca="1" si="431"/>
        <v>10221.120000000001</v>
      </c>
    </row>
    <row r="9897" spans="1:6" ht="14.1" customHeight="1" x14ac:dyDescent="0.25">
      <c r="A9897" s="94" t="s">
        <v>16379</v>
      </c>
      <c r="B9897" s="82" t="str">
        <f t="shared" ca="1" si="430"/>
        <v>Jabones</v>
      </c>
      <c r="C9897" s="95" t="str">
        <f>IFERROR(VLOOKUP("UD",'Informacion '!P:Q,2,FALSE),"")</f>
        <v>Unidad</v>
      </c>
      <c r="D9897" s="94">
        <v>510</v>
      </c>
      <c r="E9897" s="84">
        <v>21.84</v>
      </c>
      <c r="F9897" s="83">
        <f t="shared" ca="1" si="431"/>
        <v>11138.4</v>
      </c>
    </row>
    <row r="9898" spans="1:6" ht="14.1" customHeight="1" x14ac:dyDescent="0.25">
      <c r="A9898" s="94" t="s">
        <v>16379</v>
      </c>
      <c r="B9898" s="82" t="str">
        <f t="shared" ca="1" si="430"/>
        <v>Jabones</v>
      </c>
      <c r="C9898" s="95" t="str">
        <f>IFERROR(VLOOKUP("UD",'Informacion '!P:Q,2,FALSE),"")</f>
        <v>Unidad</v>
      </c>
      <c r="D9898" s="94">
        <v>4</v>
      </c>
      <c r="E9898" s="84">
        <v>484.73</v>
      </c>
      <c r="F9898" s="83">
        <f t="shared" ca="1" si="431"/>
        <v>1938.92</v>
      </c>
    </row>
    <row r="9899" spans="1:6" ht="14.1" customHeight="1" x14ac:dyDescent="0.25">
      <c r="A9899" s="94" t="s">
        <v>16379</v>
      </c>
      <c r="B9899" s="82" t="str">
        <f t="shared" ca="1" si="430"/>
        <v>Jabones</v>
      </c>
      <c r="C9899" s="95" t="str">
        <f>IFERROR(VLOOKUP("UD",'Informacion '!P:Q,2,FALSE),"")</f>
        <v>Unidad</v>
      </c>
      <c r="D9899" s="94">
        <v>255</v>
      </c>
      <c r="E9899" s="84">
        <v>21.84</v>
      </c>
      <c r="F9899" s="83">
        <f t="shared" ca="1" si="431"/>
        <v>5569.2</v>
      </c>
    </row>
    <row r="9900" spans="1:6" ht="14.1" customHeight="1" x14ac:dyDescent="0.25">
      <c r="A9900" s="94" t="s">
        <v>16379</v>
      </c>
      <c r="B9900" s="82" t="str">
        <f t="shared" ca="1" si="430"/>
        <v>Jabones</v>
      </c>
      <c r="C9900" s="95" t="str">
        <f>IFERROR(VLOOKUP("UD",'Informacion '!P:Q,2,FALSE),"")</f>
        <v>Unidad</v>
      </c>
      <c r="D9900" s="94">
        <v>320</v>
      </c>
      <c r="E9900" s="84">
        <v>65.5</v>
      </c>
      <c r="F9900" s="83">
        <f t="shared" ca="1" si="431"/>
        <v>20960</v>
      </c>
    </row>
    <row r="9901" spans="1:6" ht="14.1" customHeight="1" x14ac:dyDescent="0.25">
      <c r="A9901" s="94" t="s">
        <v>16379</v>
      </c>
      <c r="B9901" s="82" t="str">
        <f t="shared" ca="1" si="430"/>
        <v>Jabones</v>
      </c>
      <c r="C9901" s="95" t="str">
        <f>IFERROR(VLOOKUP("UD",'Informacion '!P:Q,2,FALSE),"")</f>
        <v>Unidad</v>
      </c>
      <c r="D9901" s="94">
        <v>139</v>
      </c>
      <c r="E9901" s="84">
        <v>75.23</v>
      </c>
      <c r="F9901" s="83">
        <f t="shared" ca="1" si="431"/>
        <v>10456.970000000001</v>
      </c>
    </row>
    <row r="9902" spans="1:6" ht="14.1" customHeight="1" x14ac:dyDescent="0.25">
      <c r="A9902" s="94" t="s">
        <v>16379</v>
      </c>
      <c r="B9902" s="82" t="str">
        <f t="shared" ca="1" si="430"/>
        <v>Jabones</v>
      </c>
      <c r="C9902" s="95" t="str">
        <f>IFERROR(VLOOKUP("UD",'Informacion '!P:Q,2,FALSE),"")</f>
        <v>Unidad</v>
      </c>
      <c r="D9902" s="94">
        <v>81</v>
      </c>
      <c r="E9902" s="84">
        <v>21.67</v>
      </c>
      <c r="F9902" s="83">
        <f t="shared" ca="1" si="431"/>
        <v>1755.2700000000002</v>
      </c>
    </row>
    <row r="9903" spans="1:6" ht="14.1" customHeight="1" x14ac:dyDescent="0.25">
      <c r="A9903" s="94" t="s">
        <v>16379</v>
      </c>
      <c r="B9903" s="82" t="str">
        <f t="shared" ca="1" si="430"/>
        <v>Jabones</v>
      </c>
      <c r="C9903" s="95" t="str">
        <f>IFERROR(VLOOKUP("UD",'Informacion '!P:Q,2,FALSE),"")</f>
        <v>Unidad</v>
      </c>
      <c r="D9903" s="94">
        <v>129</v>
      </c>
      <c r="E9903" s="84">
        <v>19.75</v>
      </c>
      <c r="F9903" s="83">
        <f t="shared" ca="1" si="431"/>
        <v>2547.75</v>
      </c>
    </row>
    <row r="9904" spans="1:6" ht="14.1" customHeight="1" x14ac:dyDescent="0.25">
      <c r="A9904" s="94" t="s">
        <v>16379</v>
      </c>
      <c r="B9904" s="82" t="str">
        <f t="shared" ca="1" si="430"/>
        <v>Jabones</v>
      </c>
      <c r="C9904" s="95" t="str">
        <f>IFERROR(VLOOKUP("UD",'Informacion '!P:Q,2,FALSE),"")</f>
        <v>Unidad</v>
      </c>
      <c r="D9904" s="94">
        <v>298</v>
      </c>
      <c r="E9904" s="84">
        <v>21.84</v>
      </c>
      <c r="F9904" s="83">
        <f t="shared" ca="1" si="431"/>
        <v>6508.32</v>
      </c>
    </row>
    <row r="9905" spans="1:6" ht="14.1" customHeight="1" x14ac:dyDescent="0.25">
      <c r="A9905" s="94" t="s">
        <v>16379</v>
      </c>
      <c r="B9905" s="82" t="str">
        <f t="shared" ca="1" si="430"/>
        <v>Jabones</v>
      </c>
      <c r="C9905" s="95" t="str">
        <f>IFERROR(VLOOKUP("UD",'Informacion '!P:Q,2,FALSE),"")</f>
        <v>Unidad</v>
      </c>
      <c r="D9905" s="94">
        <v>426</v>
      </c>
      <c r="E9905" s="84">
        <v>21.84</v>
      </c>
      <c r="F9905" s="83">
        <f t="shared" ca="1" si="431"/>
        <v>9303.84</v>
      </c>
    </row>
    <row r="9906" spans="1:6" ht="14.1" customHeight="1" x14ac:dyDescent="0.25">
      <c r="A9906" s="94" t="s">
        <v>16379</v>
      </c>
      <c r="B9906" s="82" t="str">
        <f t="shared" ca="1" si="430"/>
        <v>Jabones</v>
      </c>
      <c r="C9906" s="95" t="str">
        <f>IFERROR(VLOOKUP("UD",'Informacion '!P:Q,2,FALSE),"")</f>
        <v>Unidad</v>
      </c>
      <c r="D9906" s="94">
        <v>426</v>
      </c>
      <c r="E9906" s="84">
        <v>21.84</v>
      </c>
      <c r="F9906" s="83">
        <f t="shared" ca="1" si="431"/>
        <v>9303.84</v>
      </c>
    </row>
    <row r="9907" spans="1:6" ht="14.1" customHeight="1" x14ac:dyDescent="0.25">
      <c r="A9907" s="94" t="s">
        <v>16379</v>
      </c>
      <c r="B9907" s="82" t="str">
        <f t="shared" ca="1" si="430"/>
        <v>Jabones</v>
      </c>
      <c r="C9907" s="95" t="str">
        <f>IFERROR(VLOOKUP("UD",'Informacion '!P:Q,2,FALSE),"")</f>
        <v>Unidad</v>
      </c>
      <c r="D9907" s="94">
        <v>341</v>
      </c>
      <c r="E9907" s="84">
        <v>21.84</v>
      </c>
      <c r="F9907" s="83">
        <f t="shared" ca="1" si="431"/>
        <v>7447.44</v>
      </c>
    </row>
    <row r="9908" spans="1:6" ht="14.1" customHeight="1" x14ac:dyDescent="0.25">
      <c r="A9908" s="94" t="s">
        <v>16379</v>
      </c>
      <c r="B9908" s="82" t="str">
        <f t="shared" ca="1" si="430"/>
        <v>Jabones</v>
      </c>
      <c r="C9908" s="95" t="str">
        <f>IFERROR(VLOOKUP("UD",'Informacion '!P:Q,2,FALSE),"")</f>
        <v>Unidad</v>
      </c>
      <c r="D9908" s="94">
        <v>553</v>
      </c>
      <c r="E9908" s="84">
        <v>21.84</v>
      </c>
      <c r="F9908" s="83">
        <f t="shared" ca="1" si="431"/>
        <v>12077.52</v>
      </c>
    </row>
    <row r="9909" spans="1:6" ht="14.1" customHeight="1" x14ac:dyDescent="0.25">
      <c r="A9909" s="94" t="s">
        <v>16379</v>
      </c>
      <c r="B9909" s="82" t="str">
        <f t="shared" ca="1" si="430"/>
        <v>Jabones</v>
      </c>
      <c r="C9909" s="95" t="str">
        <f>IFERROR(VLOOKUP("UD",'Informacion '!P:Q,2,FALSE),"")</f>
        <v>Unidad</v>
      </c>
      <c r="D9909" s="94">
        <v>293</v>
      </c>
      <c r="E9909" s="84">
        <v>167.78</v>
      </c>
      <c r="F9909" s="83">
        <f t="shared" ca="1" si="431"/>
        <v>49159.54</v>
      </c>
    </row>
    <row r="9910" spans="1:6" ht="14.1" customHeight="1" x14ac:dyDescent="0.25">
      <c r="A9910" s="94" t="s">
        <v>16379</v>
      </c>
      <c r="B9910" s="82" t="str">
        <f t="shared" ca="1" si="430"/>
        <v>Jabones</v>
      </c>
      <c r="C9910" s="95" t="str">
        <f>IFERROR(VLOOKUP("UD",'Informacion '!P:Q,2,FALSE),"")</f>
        <v>Unidad</v>
      </c>
      <c r="D9910" s="94">
        <v>134</v>
      </c>
      <c r="E9910" s="84">
        <v>248.07</v>
      </c>
      <c r="F9910" s="83">
        <f t="shared" ca="1" si="431"/>
        <v>33241.379999999997</v>
      </c>
    </row>
    <row r="9911" spans="1:6" ht="14.1" customHeight="1" x14ac:dyDescent="0.25">
      <c r="A9911" s="94" t="s">
        <v>16379</v>
      </c>
      <c r="B9911" s="82" t="str">
        <f t="shared" ca="1" si="430"/>
        <v>Jabones</v>
      </c>
      <c r="C9911" s="95" t="str">
        <f>IFERROR(VLOOKUP("UD",'Informacion '!P:Q,2,FALSE),"")</f>
        <v>Unidad</v>
      </c>
      <c r="D9911" s="94">
        <v>187</v>
      </c>
      <c r="E9911" s="84">
        <v>252.02</v>
      </c>
      <c r="F9911" s="83">
        <f t="shared" ca="1" si="431"/>
        <v>47127.740000000005</v>
      </c>
    </row>
    <row r="9912" spans="1:6" ht="14.1" customHeight="1" x14ac:dyDescent="0.25">
      <c r="A9912" s="94" t="s">
        <v>16379</v>
      </c>
      <c r="B9912" s="82" t="str">
        <f t="shared" ca="1" si="430"/>
        <v>Jabones</v>
      </c>
      <c r="C9912" s="95" t="str">
        <f>IFERROR(VLOOKUP("UD",'Informacion '!P:Q,2,FALSE),"")</f>
        <v>Unidad</v>
      </c>
      <c r="D9912" s="94">
        <v>240</v>
      </c>
      <c r="E9912" s="84">
        <v>114.82</v>
      </c>
      <c r="F9912" s="83">
        <f t="shared" ca="1" si="431"/>
        <v>27556.799999999999</v>
      </c>
    </row>
    <row r="9913" spans="1:6" ht="14.1" customHeight="1" x14ac:dyDescent="0.25">
      <c r="A9913" s="94" t="s">
        <v>16379</v>
      </c>
      <c r="B9913" s="82" t="str">
        <f t="shared" ca="1" si="430"/>
        <v>Jabones</v>
      </c>
      <c r="C9913" s="95" t="str">
        <f>IFERROR(VLOOKUP("UD",'Informacion '!P:Q,2,FALSE),"")</f>
        <v>Unidad</v>
      </c>
      <c r="D9913" s="94">
        <v>360</v>
      </c>
      <c r="E9913" s="84">
        <v>247.37</v>
      </c>
      <c r="F9913" s="83">
        <f t="shared" ca="1" si="431"/>
        <v>89053.2</v>
      </c>
    </row>
    <row r="9914" spans="1:6" ht="14.1" customHeight="1" x14ac:dyDescent="0.25">
      <c r="A9914" s="94" t="s">
        <v>16379</v>
      </c>
      <c r="B9914" s="82" t="str">
        <f t="shared" ca="1" si="430"/>
        <v>Jabones</v>
      </c>
      <c r="C9914" s="95" t="str">
        <f>IFERROR(VLOOKUP("UD",'Informacion '!P:Q,2,FALSE),"")</f>
        <v>Unidad</v>
      </c>
      <c r="D9914" s="94">
        <v>267</v>
      </c>
      <c r="E9914" s="84">
        <v>248</v>
      </c>
      <c r="F9914" s="83">
        <f t="shared" ca="1" si="431"/>
        <v>66216</v>
      </c>
    </row>
    <row r="9915" spans="1:6" ht="14.1" customHeight="1" x14ac:dyDescent="0.25">
      <c r="A9915" s="94" t="s">
        <v>16379</v>
      </c>
      <c r="B9915" s="82" t="str">
        <f t="shared" ca="1" si="430"/>
        <v>Jabones</v>
      </c>
      <c r="C9915" s="95" t="str">
        <f>IFERROR(VLOOKUP("UD",'Informacion '!P:Q,2,FALSE),"")</f>
        <v>Unidad</v>
      </c>
      <c r="D9915" s="94">
        <v>214</v>
      </c>
      <c r="E9915" s="84">
        <v>245.5</v>
      </c>
      <c r="F9915" s="83">
        <f t="shared" ca="1" si="431"/>
        <v>52537</v>
      </c>
    </row>
    <row r="9916" spans="1:6" ht="14.1" customHeight="1" x14ac:dyDescent="0.25">
      <c r="A9916" s="94" t="s">
        <v>16379</v>
      </c>
      <c r="B9916" s="82" t="str">
        <f t="shared" ca="1" si="430"/>
        <v>Jabones</v>
      </c>
      <c r="C9916" s="95" t="str">
        <f>IFERROR(VLOOKUP("UD",'Informacion '!P:Q,2,FALSE),"")</f>
        <v>Unidad</v>
      </c>
      <c r="D9916" s="94">
        <v>665</v>
      </c>
      <c r="E9916" s="84">
        <v>223.74</v>
      </c>
      <c r="F9916" s="83">
        <f t="shared" ca="1" si="431"/>
        <v>148787.1</v>
      </c>
    </row>
    <row r="9917" spans="1:6" ht="14.1" customHeight="1" x14ac:dyDescent="0.25">
      <c r="A9917" s="94" t="s">
        <v>16379</v>
      </c>
      <c r="B9917" s="82" t="str">
        <f t="shared" ca="1" si="430"/>
        <v>Jabones</v>
      </c>
      <c r="C9917" s="95" t="str">
        <f>IFERROR(VLOOKUP("UD",'Informacion '!P:Q,2,FALSE),"")</f>
        <v>Unidad</v>
      </c>
      <c r="D9917" s="94">
        <v>200</v>
      </c>
      <c r="E9917" s="84">
        <v>162.1</v>
      </c>
      <c r="F9917" s="83">
        <f t="shared" ca="1" si="431"/>
        <v>32420</v>
      </c>
    </row>
    <row r="9918" spans="1:6" ht="14.1" customHeight="1" x14ac:dyDescent="0.25">
      <c r="A9918" s="94" t="s">
        <v>16379</v>
      </c>
      <c r="B9918" s="82" t="str">
        <f t="shared" ref="B9918:B9949" ca="1" si="432">IFERROR(INDEX(UNSPSCDes,MATCH(INDIRECT(ADDRESS(ROW(),COLUMN()-1,4)),UNSPSCCode,0)),IF(INDIRECT(ADDRESS(ROW(),COLUMN()-1,4))="53131608","Jabones",""))</f>
        <v>Jabones</v>
      </c>
      <c r="C9918" s="95" t="str">
        <f>IFERROR(VLOOKUP("UD",'Informacion '!P:Q,2,FALSE),"")</f>
        <v>Unidad</v>
      </c>
      <c r="D9918" s="94">
        <v>174</v>
      </c>
      <c r="E9918" s="84">
        <v>148.16999999999999</v>
      </c>
      <c r="F9918" s="83">
        <f t="shared" ref="F9918:F9949" ca="1" si="433">INDIRECT(ADDRESS(ROW(),COLUMN()-2,4))*INDIRECT(ADDRESS(ROW(),COLUMN()-1,4))</f>
        <v>25781.579999999998</v>
      </c>
    </row>
    <row r="9919" spans="1:6" ht="14.1" customHeight="1" x14ac:dyDescent="0.25">
      <c r="A9919" s="94" t="s">
        <v>16379</v>
      </c>
      <c r="B9919" s="82" t="str">
        <f t="shared" ca="1" si="432"/>
        <v>Jabones</v>
      </c>
      <c r="C9919" s="95" t="str">
        <f>IFERROR(VLOOKUP("UD",'Informacion '!P:Q,2,FALSE),"")</f>
        <v>Unidad</v>
      </c>
      <c r="D9919" s="94">
        <v>121</v>
      </c>
      <c r="E9919" s="84">
        <v>121.2</v>
      </c>
      <c r="F9919" s="83">
        <f t="shared" ca="1" si="433"/>
        <v>14665.2</v>
      </c>
    </row>
    <row r="9920" spans="1:6" ht="14.1" customHeight="1" x14ac:dyDescent="0.25">
      <c r="A9920" s="94" t="s">
        <v>16379</v>
      </c>
      <c r="B9920" s="82" t="str">
        <f t="shared" ca="1" si="432"/>
        <v>Jabones</v>
      </c>
      <c r="C9920" s="95" t="str">
        <f>IFERROR(VLOOKUP("UD",'Informacion '!P:Q,2,FALSE),"")</f>
        <v>Unidad</v>
      </c>
      <c r="D9920" s="94">
        <v>2237</v>
      </c>
      <c r="E9920" s="84">
        <v>129.32</v>
      </c>
      <c r="F9920" s="83">
        <f t="shared" ca="1" si="433"/>
        <v>289288.83999999997</v>
      </c>
    </row>
    <row r="9921" spans="1:6" ht="14.1" customHeight="1" x14ac:dyDescent="0.25">
      <c r="A9921" s="94" t="s">
        <v>16379</v>
      </c>
      <c r="B9921" s="82" t="str">
        <f t="shared" ca="1" si="432"/>
        <v>Jabones</v>
      </c>
      <c r="C9921" s="95" t="str">
        <f>IFERROR(VLOOKUP("UD",'Informacion '!P:Q,2,FALSE),"")</f>
        <v>Unidad</v>
      </c>
      <c r="D9921" s="94">
        <v>2277</v>
      </c>
      <c r="E9921" s="84">
        <v>247.97</v>
      </c>
      <c r="F9921" s="83">
        <f t="shared" ca="1" si="433"/>
        <v>564627.68999999994</v>
      </c>
    </row>
    <row r="9922" spans="1:6" ht="14.1" customHeight="1" x14ac:dyDescent="0.25">
      <c r="A9922" s="94" t="s">
        <v>16379</v>
      </c>
      <c r="B9922" s="82" t="str">
        <f t="shared" ca="1" si="432"/>
        <v>Jabones</v>
      </c>
      <c r="C9922" s="95" t="str">
        <f>IFERROR(VLOOKUP("UD",'Informacion '!P:Q,2,FALSE),"")</f>
        <v>Unidad</v>
      </c>
      <c r="D9922" s="94">
        <v>2123</v>
      </c>
      <c r="E9922" s="84">
        <v>131.07</v>
      </c>
      <c r="F9922" s="83">
        <f t="shared" ca="1" si="433"/>
        <v>278261.61</v>
      </c>
    </row>
    <row r="9923" spans="1:6" ht="14.1" customHeight="1" x14ac:dyDescent="0.25">
      <c r="A9923" s="94" t="s">
        <v>16379</v>
      </c>
      <c r="B9923" s="82" t="str">
        <f t="shared" ca="1" si="432"/>
        <v>Jabones</v>
      </c>
      <c r="C9923" s="95" t="str">
        <f>IFERROR(VLOOKUP("UD",'Informacion '!P:Q,2,FALSE),"")</f>
        <v>Unidad</v>
      </c>
      <c r="D9923" s="94">
        <v>222</v>
      </c>
      <c r="E9923" s="84">
        <v>121.2</v>
      </c>
      <c r="F9923" s="83">
        <f t="shared" ca="1" si="433"/>
        <v>26906.400000000001</v>
      </c>
    </row>
    <row r="9924" spans="1:6" ht="14.1" customHeight="1" x14ac:dyDescent="0.25">
      <c r="A9924" s="94" t="s">
        <v>16379</v>
      </c>
      <c r="B9924" s="82" t="str">
        <f t="shared" ca="1" si="432"/>
        <v>Jabones</v>
      </c>
      <c r="C9924" s="95" t="str">
        <f>IFERROR(VLOOKUP("UD",'Informacion '!P:Q,2,FALSE),"")</f>
        <v>Unidad</v>
      </c>
      <c r="D9924" s="94">
        <v>108</v>
      </c>
      <c r="E9924" s="84">
        <v>121.2</v>
      </c>
      <c r="F9924" s="83">
        <f t="shared" ca="1" si="433"/>
        <v>13089.6</v>
      </c>
    </row>
    <row r="9925" spans="1:6" ht="14.1" customHeight="1" x14ac:dyDescent="0.25">
      <c r="A9925" s="94" t="s">
        <v>16379</v>
      </c>
      <c r="B9925" s="82" t="str">
        <f t="shared" ca="1" si="432"/>
        <v>Jabones</v>
      </c>
      <c r="C9925" s="95" t="str">
        <f>IFERROR(VLOOKUP("UD",'Informacion '!P:Q,2,FALSE),"")</f>
        <v>Unidad</v>
      </c>
      <c r="D9925" s="94">
        <v>134</v>
      </c>
      <c r="E9925" s="84">
        <v>122.17</v>
      </c>
      <c r="F9925" s="83">
        <f t="shared" ca="1" si="433"/>
        <v>16370.78</v>
      </c>
    </row>
    <row r="9926" spans="1:6" ht="14.1" customHeight="1" x14ac:dyDescent="0.25">
      <c r="A9926" s="94" t="s">
        <v>16379</v>
      </c>
      <c r="B9926" s="82" t="str">
        <f t="shared" ca="1" si="432"/>
        <v>Jabones</v>
      </c>
      <c r="C9926" s="95" t="str">
        <f>IFERROR(VLOOKUP("UD",'Informacion '!P:Q,2,FALSE),"")</f>
        <v>Unidad</v>
      </c>
      <c r="D9926" s="94">
        <v>413</v>
      </c>
      <c r="E9926" s="84">
        <v>224.15</v>
      </c>
      <c r="F9926" s="83">
        <f t="shared" ca="1" si="433"/>
        <v>92573.95</v>
      </c>
    </row>
    <row r="9927" spans="1:6" ht="14.1" customHeight="1" x14ac:dyDescent="0.25">
      <c r="A9927" s="94" t="s">
        <v>16379</v>
      </c>
      <c r="B9927" s="82" t="str">
        <f t="shared" ca="1" si="432"/>
        <v>Jabones</v>
      </c>
      <c r="C9927" s="95" t="str">
        <f>IFERROR(VLOOKUP("UD",'Informacion '!P:Q,2,FALSE),"")</f>
        <v>Unidad</v>
      </c>
      <c r="D9927" s="94">
        <v>732</v>
      </c>
      <c r="E9927" s="84">
        <v>206.29</v>
      </c>
      <c r="F9927" s="83">
        <f t="shared" ca="1" si="433"/>
        <v>151004.28</v>
      </c>
    </row>
    <row r="9928" spans="1:6" ht="14.1" customHeight="1" x14ac:dyDescent="0.25">
      <c r="A9928" s="94" t="s">
        <v>16379</v>
      </c>
      <c r="B9928" s="82" t="str">
        <f t="shared" ca="1" si="432"/>
        <v>Jabones</v>
      </c>
      <c r="C9928" s="95" t="str">
        <f>IFERROR(VLOOKUP("UD",'Informacion '!P:Q,2,FALSE),"")</f>
        <v>Unidad</v>
      </c>
      <c r="D9928" s="94">
        <v>17138</v>
      </c>
      <c r="E9928" s="84">
        <v>11.52</v>
      </c>
      <c r="F9928" s="83">
        <f t="shared" ca="1" si="433"/>
        <v>197429.75999999998</v>
      </c>
    </row>
    <row r="9929" spans="1:6" ht="14.1" customHeight="1" x14ac:dyDescent="0.25">
      <c r="A9929" s="94" t="s">
        <v>16379</v>
      </c>
      <c r="B9929" s="82" t="str">
        <f t="shared" ca="1" si="432"/>
        <v>Jabones</v>
      </c>
      <c r="C9929" s="95" t="str">
        <f>IFERROR(VLOOKUP("UD",'Informacion '!P:Q,2,FALSE),"")</f>
        <v>Unidad</v>
      </c>
      <c r="D9929" s="94">
        <v>651</v>
      </c>
      <c r="E9929" s="84">
        <v>103.27</v>
      </c>
      <c r="F9929" s="83">
        <f t="shared" ca="1" si="433"/>
        <v>67228.77</v>
      </c>
    </row>
    <row r="9930" spans="1:6" ht="14.1" customHeight="1" x14ac:dyDescent="0.25">
      <c r="A9930" s="94" t="s">
        <v>16379</v>
      </c>
      <c r="B9930" s="82" t="str">
        <f t="shared" ca="1" si="432"/>
        <v>Jabones</v>
      </c>
      <c r="C9930" s="95" t="str">
        <f>IFERROR(VLOOKUP("UD",'Informacion '!P:Q,2,FALSE),"")</f>
        <v>Unidad</v>
      </c>
      <c r="D9930" s="94">
        <v>572</v>
      </c>
      <c r="E9930" s="84">
        <v>103.56</v>
      </c>
      <c r="F9930" s="83">
        <f t="shared" ca="1" si="433"/>
        <v>59236.32</v>
      </c>
    </row>
    <row r="9931" spans="1:6" ht="14.1" customHeight="1" x14ac:dyDescent="0.25">
      <c r="A9931" s="94" t="s">
        <v>16379</v>
      </c>
      <c r="B9931" s="82" t="str">
        <f t="shared" ca="1" si="432"/>
        <v>Jabones</v>
      </c>
      <c r="C9931" s="95" t="str">
        <f>IFERROR(VLOOKUP("UD",'Informacion '!P:Q,2,FALSE),"")</f>
        <v>Unidad</v>
      </c>
      <c r="D9931" s="94">
        <v>891</v>
      </c>
      <c r="E9931" s="84">
        <v>119.31</v>
      </c>
      <c r="F9931" s="83">
        <f t="shared" ca="1" si="433"/>
        <v>106305.21</v>
      </c>
    </row>
    <row r="9932" spans="1:6" ht="14.1" customHeight="1" x14ac:dyDescent="0.25">
      <c r="A9932" s="94" t="s">
        <v>16379</v>
      </c>
      <c r="B9932" s="82" t="str">
        <f t="shared" ca="1" si="432"/>
        <v>Jabones</v>
      </c>
      <c r="C9932" s="95" t="str">
        <f>IFERROR(VLOOKUP("UD",'Informacion '!P:Q,2,FALSE),"")</f>
        <v>Unidad</v>
      </c>
      <c r="D9932" s="94">
        <v>108</v>
      </c>
      <c r="E9932" s="84">
        <v>126.48</v>
      </c>
      <c r="F9932" s="83">
        <f t="shared" ca="1" si="433"/>
        <v>13659.84</v>
      </c>
    </row>
    <row r="9933" spans="1:6" ht="14.1" customHeight="1" x14ac:dyDescent="0.25">
      <c r="A9933" s="94" t="s">
        <v>16379</v>
      </c>
      <c r="B9933" s="82" t="str">
        <f t="shared" ca="1" si="432"/>
        <v>Jabones</v>
      </c>
      <c r="C9933" s="95" t="str">
        <f>IFERROR(VLOOKUP("UD",'Informacion '!P:Q,2,FALSE),"")</f>
        <v>Unidad</v>
      </c>
      <c r="D9933" s="94">
        <v>121</v>
      </c>
      <c r="E9933" s="84">
        <v>247.57</v>
      </c>
      <c r="F9933" s="83">
        <f t="shared" ca="1" si="433"/>
        <v>29955.969999999998</v>
      </c>
    </row>
    <row r="9934" spans="1:6" ht="14.1" customHeight="1" x14ac:dyDescent="0.25">
      <c r="A9934" s="94" t="s">
        <v>16379</v>
      </c>
      <c r="B9934" s="82" t="str">
        <f t="shared" ca="1" si="432"/>
        <v>Jabones</v>
      </c>
      <c r="C9934" s="95" t="str">
        <f>IFERROR(VLOOKUP("UD",'Informacion '!P:Q,2,FALSE),"")</f>
        <v>Unidad</v>
      </c>
      <c r="D9934" s="94">
        <v>134</v>
      </c>
      <c r="E9934" s="84">
        <v>156.29</v>
      </c>
      <c r="F9934" s="83">
        <f t="shared" ca="1" si="433"/>
        <v>20942.86</v>
      </c>
    </row>
    <row r="9935" spans="1:6" ht="14.1" customHeight="1" x14ac:dyDescent="0.25">
      <c r="A9935" s="94" t="s">
        <v>16379</v>
      </c>
      <c r="B9935" s="82" t="str">
        <f t="shared" ca="1" si="432"/>
        <v>Jabones</v>
      </c>
      <c r="C9935" s="95" t="str">
        <f>IFERROR(VLOOKUP("UD",'Informacion '!P:Q,2,FALSE),"")</f>
        <v>Unidad</v>
      </c>
      <c r="D9935" s="94">
        <v>121</v>
      </c>
      <c r="E9935" s="84">
        <v>186.03</v>
      </c>
      <c r="F9935" s="83">
        <f t="shared" ca="1" si="433"/>
        <v>22509.63</v>
      </c>
    </row>
    <row r="9936" spans="1:6" ht="14.1" customHeight="1" x14ac:dyDescent="0.25">
      <c r="A9936" s="94" t="s">
        <v>16379</v>
      </c>
      <c r="B9936" s="82" t="str">
        <f t="shared" ca="1" si="432"/>
        <v>Jabones</v>
      </c>
      <c r="C9936" s="95" t="str">
        <f>IFERROR(VLOOKUP("UD",'Informacion '!P:Q,2,FALSE),"")</f>
        <v>Unidad</v>
      </c>
      <c r="D9936" s="94">
        <v>1009</v>
      </c>
      <c r="E9936" s="84">
        <v>104.43</v>
      </c>
      <c r="F9936" s="83">
        <f t="shared" ca="1" si="433"/>
        <v>105369.87000000001</v>
      </c>
    </row>
    <row r="9937" spans="1:6" ht="14.1" customHeight="1" x14ac:dyDescent="0.25">
      <c r="A9937" s="94" t="s">
        <v>16379</v>
      </c>
      <c r="B9937" s="82" t="str">
        <f t="shared" ca="1" si="432"/>
        <v>Jabones</v>
      </c>
      <c r="C9937" s="95" t="str">
        <f>IFERROR(VLOOKUP("UD",'Informacion '!P:Q,2,FALSE),"")</f>
        <v>Unidad</v>
      </c>
      <c r="D9937" s="94">
        <v>13</v>
      </c>
      <c r="E9937" s="84">
        <v>283.54000000000002</v>
      </c>
      <c r="F9937" s="83">
        <f t="shared" ca="1" si="433"/>
        <v>3686.0200000000004</v>
      </c>
    </row>
    <row r="9938" spans="1:6" ht="14.1" customHeight="1" x14ac:dyDescent="0.25">
      <c r="A9938" s="94" t="s">
        <v>16379</v>
      </c>
      <c r="B9938" s="82" t="str">
        <f t="shared" ca="1" si="432"/>
        <v>Jabones</v>
      </c>
      <c r="C9938" s="95" t="str">
        <f>IFERROR(VLOOKUP("UD",'Informacion '!P:Q,2,FALSE),"")</f>
        <v>Unidad</v>
      </c>
      <c r="D9938" s="94">
        <v>5</v>
      </c>
      <c r="E9938" s="84">
        <v>920.4</v>
      </c>
      <c r="F9938" s="83">
        <f t="shared" ca="1" si="433"/>
        <v>4602</v>
      </c>
    </row>
    <row r="9939" spans="1:6" ht="14.1" customHeight="1" x14ac:dyDescent="0.25">
      <c r="A9939" s="94" t="s">
        <v>16379</v>
      </c>
      <c r="B9939" s="82" t="str">
        <f t="shared" ca="1" si="432"/>
        <v>Jabones</v>
      </c>
      <c r="C9939" s="95" t="str">
        <f>IFERROR(VLOOKUP("UD",'Informacion '!P:Q,2,FALSE),"")</f>
        <v>Unidad</v>
      </c>
      <c r="D9939" s="94">
        <v>4</v>
      </c>
      <c r="E9939" s="84">
        <v>4204.3599999999997</v>
      </c>
      <c r="F9939" s="83">
        <f t="shared" ca="1" si="433"/>
        <v>16817.439999999999</v>
      </c>
    </row>
    <row r="9940" spans="1:6" ht="14.1" customHeight="1" x14ac:dyDescent="0.25">
      <c r="A9940" s="94" t="s">
        <v>16379</v>
      </c>
      <c r="B9940" s="82" t="str">
        <f t="shared" ca="1" si="432"/>
        <v>Jabones</v>
      </c>
      <c r="C9940" s="95" t="str">
        <f>IFERROR(VLOOKUP("UD",'Informacion '!P:Q,2,FALSE),"")</f>
        <v>Unidad</v>
      </c>
      <c r="D9940" s="94">
        <v>4</v>
      </c>
      <c r="E9940" s="84">
        <v>3854.83</v>
      </c>
      <c r="F9940" s="83">
        <f t="shared" ca="1" si="433"/>
        <v>15419.32</v>
      </c>
    </row>
    <row r="9941" spans="1:6" ht="14.1" customHeight="1" x14ac:dyDescent="0.25">
      <c r="A9941" s="94" t="s">
        <v>16379</v>
      </c>
      <c r="B9941" s="82" t="str">
        <f t="shared" ca="1" si="432"/>
        <v>Jabones</v>
      </c>
      <c r="C9941" s="95" t="str">
        <f>IFERROR(VLOOKUP("UD",'Informacion '!P:Q,2,FALSE),"")</f>
        <v>Unidad</v>
      </c>
      <c r="D9941" s="94">
        <v>4</v>
      </c>
      <c r="E9941" s="84">
        <v>973.35</v>
      </c>
      <c r="F9941" s="83">
        <f t="shared" ca="1" si="433"/>
        <v>3893.4</v>
      </c>
    </row>
    <row r="9942" spans="1:6" ht="14.1" customHeight="1" x14ac:dyDescent="0.25">
      <c r="A9942" s="94" t="s">
        <v>16379</v>
      </c>
      <c r="B9942" s="82" t="str">
        <f t="shared" ca="1" si="432"/>
        <v>Jabones</v>
      </c>
      <c r="C9942" s="95" t="str">
        <f>IFERROR(VLOOKUP("UD",'Informacion '!P:Q,2,FALSE),"")</f>
        <v>Unidad</v>
      </c>
      <c r="D9942" s="94">
        <v>18</v>
      </c>
      <c r="E9942" s="84">
        <v>5288.28</v>
      </c>
      <c r="F9942" s="83">
        <f t="shared" ca="1" si="433"/>
        <v>95189.04</v>
      </c>
    </row>
    <row r="9943" spans="1:6" ht="14.1" customHeight="1" x14ac:dyDescent="0.25">
      <c r="A9943" s="94" t="s">
        <v>16379</v>
      </c>
      <c r="B9943" s="82" t="str">
        <f t="shared" ca="1" si="432"/>
        <v>Jabones</v>
      </c>
      <c r="C9943" s="95" t="str">
        <f>IFERROR(VLOOKUP("UD",'Informacion '!P:Q,2,FALSE),"")</f>
        <v>Unidad</v>
      </c>
      <c r="D9943" s="94">
        <v>3</v>
      </c>
      <c r="E9943" s="84">
        <v>3371</v>
      </c>
      <c r="F9943" s="83">
        <f t="shared" ca="1" si="433"/>
        <v>10113</v>
      </c>
    </row>
    <row r="9944" spans="1:6" ht="14.1" customHeight="1" x14ac:dyDescent="0.25">
      <c r="A9944" s="94" t="s">
        <v>16379</v>
      </c>
      <c r="B9944" s="82" t="str">
        <f t="shared" ca="1" si="432"/>
        <v>Jabones</v>
      </c>
      <c r="C9944" s="95" t="str">
        <f>IFERROR(VLOOKUP("UD",'Informacion '!P:Q,2,FALSE),"")</f>
        <v>Unidad</v>
      </c>
      <c r="D9944" s="94">
        <v>3</v>
      </c>
      <c r="E9944" s="84">
        <v>4161.5600000000004</v>
      </c>
      <c r="F9944" s="83">
        <f t="shared" ca="1" si="433"/>
        <v>12484.68</v>
      </c>
    </row>
    <row r="9945" spans="1:6" ht="14.1" customHeight="1" x14ac:dyDescent="0.25">
      <c r="A9945" s="94" t="s">
        <v>16379</v>
      </c>
      <c r="B9945" s="82" t="str">
        <f t="shared" ca="1" si="432"/>
        <v>Jabones</v>
      </c>
      <c r="C9945" s="95" t="str">
        <f>IFERROR(VLOOKUP("UD",'Informacion '!P:Q,2,FALSE),"")</f>
        <v>Unidad</v>
      </c>
      <c r="D9945" s="94">
        <v>22</v>
      </c>
      <c r="E9945" s="84">
        <v>338.66</v>
      </c>
      <c r="F9945" s="83">
        <f t="shared" ca="1" si="433"/>
        <v>7450.52</v>
      </c>
    </row>
    <row r="9946" spans="1:6" ht="14.1" customHeight="1" x14ac:dyDescent="0.25">
      <c r="A9946" s="94" t="s">
        <v>16379</v>
      </c>
      <c r="B9946" s="82" t="str">
        <f t="shared" ca="1" si="432"/>
        <v>Jabones</v>
      </c>
      <c r="C9946" s="95" t="str">
        <f>IFERROR(VLOOKUP("UD",'Informacion '!P:Q,2,FALSE),"")</f>
        <v>Unidad</v>
      </c>
      <c r="D9946" s="94">
        <v>16</v>
      </c>
      <c r="E9946" s="84">
        <v>365</v>
      </c>
      <c r="F9946" s="83">
        <f t="shared" ca="1" si="433"/>
        <v>5840</v>
      </c>
    </row>
    <row r="9947" spans="1:6" ht="14.1" customHeight="1" x14ac:dyDescent="0.25">
      <c r="A9947" s="94" t="s">
        <v>16379</v>
      </c>
      <c r="B9947" s="82" t="str">
        <f t="shared" ca="1" si="432"/>
        <v>Jabones</v>
      </c>
      <c r="C9947" s="95" t="str">
        <f>IFERROR(VLOOKUP("UD",'Informacion '!P:Q,2,FALSE),"")</f>
        <v>Unidad</v>
      </c>
      <c r="D9947" s="94">
        <v>22</v>
      </c>
      <c r="E9947" s="84">
        <v>338.66</v>
      </c>
      <c r="F9947" s="83">
        <f t="shared" ca="1" si="433"/>
        <v>7450.52</v>
      </c>
    </row>
    <row r="9948" spans="1:6" ht="14.1" customHeight="1" x14ac:dyDescent="0.25">
      <c r="A9948" s="94" t="s">
        <v>16379</v>
      </c>
      <c r="B9948" s="82" t="str">
        <f t="shared" ca="1" si="432"/>
        <v>Jabones</v>
      </c>
      <c r="C9948" s="95" t="str">
        <f>IFERROR(VLOOKUP("UD",'Informacion '!P:Q,2,FALSE),"")</f>
        <v>Unidad</v>
      </c>
      <c r="D9948" s="94">
        <v>22</v>
      </c>
      <c r="E9948" s="84">
        <v>490.88</v>
      </c>
      <c r="F9948" s="83">
        <f t="shared" ca="1" si="433"/>
        <v>10799.36</v>
      </c>
    </row>
    <row r="9949" spans="1:6" ht="14.1" customHeight="1" x14ac:dyDescent="0.25">
      <c r="A9949" s="94" t="s">
        <v>16379</v>
      </c>
      <c r="B9949" s="82" t="str">
        <f t="shared" ca="1" si="432"/>
        <v>Jabones</v>
      </c>
      <c r="C9949" s="95" t="str">
        <f>IFERROR(VLOOKUP("UD",'Informacion '!P:Q,2,FALSE),"")</f>
        <v>Unidad</v>
      </c>
      <c r="D9949" s="94">
        <v>5</v>
      </c>
      <c r="E9949" s="84">
        <v>315</v>
      </c>
      <c r="F9949" s="83">
        <f t="shared" ca="1" si="433"/>
        <v>1575</v>
      </c>
    </row>
    <row r="9950" spans="1:6" ht="14.1" customHeight="1" x14ac:dyDescent="0.25">
      <c r="A9950" s="94" t="s">
        <v>16379</v>
      </c>
      <c r="B9950" s="82" t="str">
        <f t="shared" ref="B9950:B9957" ca="1" si="434">IFERROR(INDEX(UNSPSCDes,MATCH(INDIRECT(ADDRESS(ROW(),COLUMN()-1,4)),UNSPSCCode,0)),IF(INDIRECT(ADDRESS(ROW(),COLUMN()-1,4))="53131608","Jabones",""))</f>
        <v>Jabones</v>
      </c>
      <c r="C9950" s="95" t="str">
        <f>IFERROR(VLOOKUP("UD",'Informacion '!P:Q,2,FALSE),"")</f>
        <v>Unidad</v>
      </c>
      <c r="D9950" s="94">
        <v>19</v>
      </c>
      <c r="E9950" s="84">
        <v>921.41</v>
      </c>
      <c r="F9950" s="83">
        <f t="shared" ref="F9950:F9957" ca="1" si="435">INDIRECT(ADDRESS(ROW(),COLUMN()-2,4))*INDIRECT(ADDRESS(ROW(),COLUMN()-1,4))</f>
        <v>17506.79</v>
      </c>
    </row>
    <row r="9951" spans="1:6" ht="14.1" customHeight="1" x14ac:dyDescent="0.25">
      <c r="A9951" s="94" t="s">
        <v>16379</v>
      </c>
      <c r="B9951" s="82" t="str">
        <f t="shared" ca="1" si="434"/>
        <v>Jabones</v>
      </c>
      <c r="C9951" s="95" t="str">
        <f>IFERROR(VLOOKUP("UD",'Informacion '!P:Q,2,FALSE),"")</f>
        <v>Unidad</v>
      </c>
      <c r="D9951" s="94">
        <v>3</v>
      </c>
      <c r="E9951" s="84">
        <v>2760.38</v>
      </c>
      <c r="F9951" s="83">
        <f t="shared" ca="1" si="435"/>
        <v>8281.14</v>
      </c>
    </row>
    <row r="9952" spans="1:6" ht="14.1" customHeight="1" x14ac:dyDescent="0.25">
      <c r="A9952" s="94" t="s">
        <v>16379</v>
      </c>
      <c r="B9952" s="82" t="str">
        <f t="shared" ca="1" si="434"/>
        <v>Jabones</v>
      </c>
      <c r="C9952" s="95" t="str">
        <f>IFERROR(VLOOKUP("UD",'Informacion '!P:Q,2,FALSE),"")</f>
        <v>Unidad</v>
      </c>
      <c r="D9952" s="94">
        <v>3</v>
      </c>
      <c r="E9952" s="84">
        <v>2688</v>
      </c>
      <c r="F9952" s="83">
        <f t="shared" ca="1" si="435"/>
        <v>8064</v>
      </c>
    </row>
    <row r="9953" spans="1:10" ht="14.1" customHeight="1" x14ac:dyDescent="0.25">
      <c r="A9953" s="94" t="s">
        <v>16379</v>
      </c>
      <c r="B9953" s="82" t="str">
        <f t="shared" ca="1" si="434"/>
        <v>Jabones</v>
      </c>
      <c r="C9953" s="95" t="str">
        <f>IFERROR(VLOOKUP("UD",'Informacion '!P:Q,2,FALSE),"")</f>
        <v>Unidad</v>
      </c>
      <c r="D9953" s="94">
        <v>3</v>
      </c>
      <c r="E9953" s="84">
        <v>2688</v>
      </c>
      <c r="F9953" s="83">
        <f t="shared" ca="1" si="435"/>
        <v>8064</v>
      </c>
    </row>
    <row r="9954" spans="1:10" ht="14.1" customHeight="1" x14ac:dyDescent="0.25">
      <c r="A9954" s="94" t="s">
        <v>16379</v>
      </c>
      <c r="B9954" s="82" t="str">
        <f t="shared" ca="1" si="434"/>
        <v>Jabones</v>
      </c>
      <c r="C9954" s="95" t="str">
        <f>IFERROR(VLOOKUP("UD",'Informacion '!P:Q,2,FALSE),"")</f>
        <v>Unidad</v>
      </c>
      <c r="D9954" s="94">
        <v>240</v>
      </c>
      <c r="E9954" s="84">
        <v>14.33</v>
      </c>
      <c r="F9954" s="83">
        <f t="shared" ca="1" si="435"/>
        <v>3439.2</v>
      </c>
    </row>
    <row r="9955" spans="1:10" ht="14.1" customHeight="1" x14ac:dyDescent="0.25">
      <c r="A9955" s="94" t="s">
        <v>16379</v>
      </c>
      <c r="B9955" s="82" t="str">
        <f t="shared" ca="1" si="434"/>
        <v>Jabones</v>
      </c>
      <c r="C9955" s="95" t="str">
        <f>IFERROR(VLOOKUP("UD",'Informacion '!P:Q,2,FALSE),"")</f>
        <v>Unidad</v>
      </c>
      <c r="D9955" s="94">
        <v>6</v>
      </c>
      <c r="E9955" s="84">
        <v>83.8</v>
      </c>
      <c r="F9955" s="83">
        <f t="shared" ca="1" si="435"/>
        <v>502.79999999999995</v>
      </c>
    </row>
    <row r="9956" spans="1:10" ht="14.1" customHeight="1" x14ac:dyDescent="0.25">
      <c r="A9956" s="94" t="s">
        <v>16379</v>
      </c>
      <c r="B9956" s="82" t="str">
        <f t="shared" ca="1" si="434"/>
        <v>Jabones</v>
      </c>
      <c r="C9956" s="95" t="str">
        <f>IFERROR(VLOOKUP("UD",'Informacion '!P:Q,2,FALSE),"")</f>
        <v>Unidad</v>
      </c>
      <c r="D9956" s="94">
        <v>3</v>
      </c>
      <c r="E9956" s="84">
        <v>14120</v>
      </c>
      <c r="F9956" s="83">
        <f t="shared" ca="1" si="435"/>
        <v>42360</v>
      </c>
    </row>
    <row r="9957" spans="1:10" ht="14.1" customHeight="1" x14ac:dyDescent="0.25">
      <c r="A9957" s="94" t="s">
        <v>16379</v>
      </c>
      <c r="B9957" s="82" t="str">
        <f t="shared" ca="1" si="434"/>
        <v>Jabones</v>
      </c>
      <c r="C9957" s="95" t="str">
        <f>IFERROR(VLOOKUP("UD",'Informacion '!P:Q,2,FALSE),"")</f>
        <v>Unidad</v>
      </c>
      <c r="D9957" s="94">
        <v>6</v>
      </c>
      <c r="E9957" s="84">
        <v>910.15</v>
      </c>
      <c r="F9957" s="83">
        <f t="shared" ca="1" si="435"/>
        <v>5460.9</v>
      </c>
    </row>
    <row r="9958" spans="1:10" ht="14.1" customHeight="1" x14ac:dyDescent="0.25">
      <c r="E9958" s="96" t="s">
        <v>7213</v>
      </c>
      <c r="F9958" s="87">
        <f ca="1">SUM(Table232[MONTO TOTAL ESTIMADO])</f>
        <v>3114837.669999999</v>
      </c>
      <c r="H9958" s="39" t="str">
        <f>C9879</f>
        <v>Bienes</v>
      </c>
      <c r="I9958" s="39" t="str">
        <f>E9879</f>
        <v>No</v>
      </c>
      <c r="J9958" s="39" t="str">
        <f>D9879</f>
        <v>Compras Menores</v>
      </c>
    </row>
    <row r="9960" spans="1:10" ht="33.950000000000003" customHeight="1" x14ac:dyDescent="0.25">
      <c r="A9960" s="77" t="s">
        <v>17233</v>
      </c>
      <c r="B9960" s="77" t="s">
        <v>4237</v>
      </c>
      <c r="C9960" s="77" t="s">
        <v>4743</v>
      </c>
      <c r="D9960" s="77" t="s">
        <v>9891</v>
      </c>
      <c r="E9960" s="77" t="s">
        <v>3089</v>
      </c>
      <c r="F9960" s="77" t="s">
        <v>18141</v>
      </c>
    </row>
    <row r="9961" spans="1:10" ht="14.1" customHeight="1" x14ac:dyDescent="0.25">
      <c r="A9961" s="79" t="s">
        <v>9365</v>
      </c>
      <c r="B9961" s="79" t="s">
        <v>10766</v>
      </c>
      <c r="C9961" s="79" t="s">
        <v>17215</v>
      </c>
      <c r="D9961" s="79" t="s">
        <v>17798</v>
      </c>
      <c r="E9961" s="79" t="s">
        <v>18247</v>
      </c>
      <c r="F9961" s="79"/>
    </row>
    <row r="9962" spans="1:10" ht="14.1" customHeight="1" x14ac:dyDescent="0.25">
      <c r="A9962" s="2" t="s">
        <v>6643</v>
      </c>
      <c r="B9962" s="80" t="s">
        <v>1046</v>
      </c>
      <c r="C9962" s="90">
        <v>43739</v>
      </c>
      <c r="D9962" s="2" t="s">
        <v>59</v>
      </c>
      <c r="E9962" s="92" t="s">
        <v>20066</v>
      </c>
      <c r="F9962" s="93" t="s">
        <v>5684</v>
      </c>
    </row>
    <row r="9963" spans="1:10" ht="14.1" customHeight="1" x14ac:dyDescent="0.25">
      <c r="A9963" s="1"/>
      <c r="B9963" s="80" t="s">
        <v>10788</v>
      </c>
      <c r="C9963" s="91">
        <f>IF(C9962="","",IF(AND(MONTH(C9962)&gt;=1,MONTH(C9962)&lt;=3),1,IF(AND(MONTH(C9962)&gt;=4,MONTH(C9962)&lt;=6),2,IF(AND(MONTH(C9962)&gt;=7,MONTH(C9962)&lt;=9),3,4))))</f>
        <v>4</v>
      </c>
      <c r="D9963" s="1"/>
      <c r="E9963" s="92" t="s">
        <v>14822</v>
      </c>
      <c r="F9963" s="93" t="s">
        <v>17690</v>
      </c>
    </row>
    <row r="9964" spans="1:10" ht="14.1" customHeight="1" x14ac:dyDescent="0.25">
      <c r="A9964" s="1"/>
      <c r="B9964" s="80" t="s">
        <v>13758</v>
      </c>
      <c r="C9964" s="90">
        <v>43830</v>
      </c>
      <c r="D9964" s="1"/>
      <c r="E9964" s="92" t="s">
        <v>18636</v>
      </c>
      <c r="F9964" s="93" t="s">
        <v>17690</v>
      </c>
    </row>
    <row r="9965" spans="1:10" ht="14.1" customHeight="1" x14ac:dyDescent="0.25">
      <c r="A9965" s="1"/>
      <c r="B9965" s="80" t="s">
        <v>10788</v>
      </c>
      <c r="C9965" s="91">
        <f>IF(C9964="","",IF(AND(MONTH(C9964)&gt;=1,MONTH(C9964)&lt;=3),1,IF(AND(MONTH(C9964)&gt;=4,MONTH(C9964)&lt;=6),2,IF(AND(MONTH(C9964)&gt;=7,MONTH(C9964)&lt;=9),3,4))))</f>
        <v>4</v>
      </c>
      <c r="D9965" s="1"/>
      <c r="E9965" s="92" t="s">
        <v>15990</v>
      </c>
      <c r="F9965" s="93"/>
    </row>
    <row r="9967" spans="1:10" ht="14.1" customHeight="1" x14ac:dyDescent="0.25">
      <c r="A9967" s="85" t="s">
        <v>15474</v>
      </c>
      <c r="B9967" s="85" t="s">
        <v>5027</v>
      </c>
      <c r="C9967" s="85" t="s">
        <v>17461</v>
      </c>
      <c r="D9967" s="85" t="s">
        <v>3935</v>
      </c>
      <c r="E9967" s="85" t="s">
        <v>10722</v>
      </c>
      <c r="F9967" s="85" t="s">
        <v>18237</v>
      </c>
    </row>
    <row r="9968" spans="1:10" ht="14.1" customHeight="1" x14ac:dyDescent="0.25">
      <c r="A9968" s="94" t="s">
        <v>16379</v>
      </c>
      <c r="B9968" s="82" t="str">
        <f t="shared" ref="B9968:B9999" ca="1" si="436">IFERROR(INDEX(UNSPSCDes,MATCH(INDIRECT(ADDRESS(ROW(),COLUMN()-1,4)),UNSPSCCode,0)),IF(INDIRECT(ADDRESS(ROW(),COLUMN()-1,4))="53131608","Jabones",""))</f>
        <v>Jabones</v>
      </c>
      <c r="C9968" s="95" t="str">
        <f>IFERROR(VLOOKUP("UD",'Informacion '!P:Q,2,FALSE),"")</f>
        <v>Unidad</v>
      </c>
      <c r="D9968" s="94">
        <v>132</v>
      </c>
      <c r="E9968" s="84">
        <v>21.83</v>
      </c>
      <c r="F9968" s="83">
        <f t="shared" ref="F9968:F9999" ca="1" si="437">INDIRECT(ADDRESS(ROW(),COLUMN()-2,4))*INDIRECT(ADDRESS(ROW(),COLUMN()-1,4))</f>
        <v>2881.56</v>
      </c>
    </row>
    <row r="9969" spans="1:6" ht="14.1" customHeight="1" x14ac:dyDescent="0.25">
      <c r="A9969" s="94" t="s">
        <v>16379</v>
      </c>
      <c r="B9969" s="82" t="str">
        <f t="shared" ca="1" si="436"/>
        <v>Jabones</v>
      </c>
      <c r="C9969" s="95" t="str">
        <f>IFERROR(VLOOKUP("UD",'Informacion '!P:Q,2,FALSE),"")</f>
        <v>Unidad</v>
      </c>
      <c r="D9969" s="94">
        <v>322</v>
      </c>
      <c r="E9969" s="84">
        <v>21.84</v>
      </c>
      <c r="F9969" s="83">
        <f t="shared" ca="1" si="437"/>
        <v>7032.48</v>
      </c>
    </row>
    <row r="9970" spans="1:6" ht="14.1" customHeight="1" x14ac:dyDescent="0.25">
      <c r="A9970" s="94" t="s">
        <v>16379</v>
      </c>
      <c r="B9970" s="82" t="str">
        <f t="shared" ca="1" si="436"/>
        <v>Jabones</v>
      </c>
      <c r="C9970" s="95" t="str">
        <f>IFERROR(VLOOKUP("UD",'Informacion '!P:Q,2,FALSE),"")</f>
        <v>Unidad</v>
      </c>
      <c r="D9970" s="94">
        <v>304</v>
      </c>
      <c r="E9970" s="84">
        <v>21.84</v>
      </c>
      <c r="F9970" s="83">
        <f t="shared" ca="1" si="437"/>
        <v>6639.36</v>
      </c>
    </row>
    <row r="9971" spans="1:6" ht="14.1" customHeight="1" x14ac:dyDescent="0.25">
      <c r="A9971" s="94" t="s">
        <v>16379</v>
      </c>
      <c r="B9971" s="82" t="str">
        <f t="shared" ca="1" si="436"/>
        <v>Jabones</v>
      </c>
      <c r="C9971" s="95" t="str">
        <f>IFERROR(VLOOKUP("UD",'Informacion '!P:Q,2,FALSE),"")</f>
        <v>Unidad</v>
      </c>
      <c r="D9971" s="94">
        <v>219</v>
      </c>
      <c r="E9971" s="84">
        <v>21.84</v>
      </c>
      <c r="F9971" s="83">
        <f t="shared" ca="1" si="437"/>
        <v>4782.96</v>
      </c>
    </row>
    <row r="9972" spans="1:6" ht="14.1" customHeight="1" x14ac:dyDescent="0.25">
      <c r="A9972" s="94" t="s">
        <v>16379</v>
      </c>
      <c r="B9972" s="82" t="str">
        <f t="shared" ca="1" si="436"/>
        <v>Jabones</v>
      </c>
      <c r="C9972" s="95" t="str">
        <f>IFERROR(VLOOKUP("UD",'Informacion '!P:Q,2,FALSE),"")</f>
        <v>Unidad</v>
      </c>
      <c r="D9972" s="94">
        <v>570</v>
      </c>
      <c r="E9972" s="84">
        <v>21.84</v>
      </c>
      <c r="F9972" s="83">
        <f t="shared" ca="1" si="437"/>
        <v>12448.8</v>
      </c>
    </row>
    <row r="9973" spans="1:6" ht="14.1" customHeight="1" x14ac:dyDescent="0.25">
      <c r="A9973" s="94" t="s">
        <v>16379</v>
      </c>
      <c r="B9973" s="82" t="str">
        <f t="shared" ca="1" si="436"/>
        <v>Jabones</v>
      </c>
      <c r="C9973" s="95" t="str">
        <f>IFERROR(VLOOKUP("UD",'Informacion '!P:Q,2,FALSE),"")</f>
        <v>Unidad</v>
      </c>
      <c r="D9973" s="94">
        <v>245</v>
      </c>
      <c r="E9973" s="84">
        <v>21.84</v>
      </c>
      <c r="F9973" s="83">
        <f t="shared" ca="1" si="437"/>
        <v>5350.8</v>
      </c>
    </row>
    <row r="9974" spans="1:6" ht="14.1" customHeight="1" x14ac:dyDescent="0.25">
      <c r="A9974" s="94" t="s">
        <v>16379</v>
      </c>
      <c r="B9974" s="82" t="str">
        <f t="shared" ca="1" si="436"/>
        <v>Jabones</v>
      </c>
      <c r="C9974" s="95" t="str">
        <f>IFERROR(VLOOKUP("UD",'Informacion '!P:Q,2,FALSE),"")</f>
        <v>Unidad</v>
      </c>
      <c r="D9974" s="94">
        <v>435</v>
      </c>
      <c r="E9974" s="84">
        <v>21.84</v>
      </c>
      <c r="F9974" s="83">
        <f t="shared" ca="1" si="437"/>
        <v>9500.4</v>
      </c>
    </row>
    <row r="9975" spans="1:6" ht="14.1" customHeight="1" x14ac:dyDescent="0.25">
      <c r="A9975" s="94" t="s">
        <v>16379</v>
      </c>
      <c r="B9975" s="82" t="str">
        <f t="shared" ca="1" si="436"/>
        <v>Jabones</v>
      </c>
      <c r="C9975" s="95" t="str">
        <f>IFERROR(VLOOKUP("UD",'Informacion '!P:Q,2,FALSE),"")</f>
        <v>Unidad</v>
      </c>
      <c r="D9975" s="94">
        <v>695</v>
      </c>
      <c r="E9975" s="84">
        <v>21.84</v>
      </c>
      <c r="F9975" s="83">
        <f t="shared" ca="1" si="437"/>
        <v>15178.8</v>
      </c>
    </row>
    <row r="9976" spans="1:6" ht="14.1" customHeight="1" x14ac:dyDescent="0.25">
      <c r="A9976" s="94" t="s">
        <v>16379</v>
      </c>
      <c r="B9976" s="82" t="str">
        <f t="shared" ca="1" si="436"/>
        <v>Jabones</v>
      </c>
      <c r="C9976" s="95" t="str">
        <f>IFERROR(VLOOKUP("UD",'Informacion '!P:Q,2,FALSE),"")</f>
        <v>Unidad</v>
      </c>
      <c r="D9976" s="94">
        <v>165</v>
      </c>
      <c r="E9976" s="84">
        <v>21.84</v>
      </c>
      <c r="F9976" s="83">
        <f t="shared" ca="1" si="437"/>
        <v>3603.6</v>
      </c>
    </row>
    <row r="9977" spans="1:6" ht="14.1" customHeight="1" x14ac:dyDescent="0.25">
      <c r="A9977" s="94" t="s">
        <v>16379</v>
      </c>
      <c r="B9977" s="82" t="str">
        <f t="shared" ca="1" si="436"/>
        <v>Jabones</v>
      </c>
      <c r="C9977" s="95" t="str">
        <f>IFERROR(VLOOKUP("UD",'Informacion '!P:Q,2,FALSE),"")</f>
        <v>Unidad</v>
      </c>
      <c r="D9977" s="94">
        <v>435</v>
      </c>
      <c r="E9977" s="84">
        <v>21.84</v>
      </c>
      <c r="F9977" s="83">
        <f t="shared" ca="1" si="437"/>
        <v>9500.4</v>
      </c>
    </row>
    <row r="9978" spans="1:6" ht="14.1" customHeight="1" x14ac:dyDescent="0.25">
      <c r="A9978" s="94" t="s">
        <v>16379</v>
      </c>
      <c r="B9978" s="82" t="str">
        <f t="shared" ca="1" si="436"/>
        <v>Jabones</v>
      </c>
      <c r="C9978" s="95" t="str">
        <f>IFERROR(VLOOKUP("UD",'Informacion '!P:Q,2,FALSE),"")</f>
        <v>Unidad</v>
      </c>
      <c r="D9978" s="94">
        <v>478</v>
      </c>
      <c r="E9978" s="84">
        <v>21.84</v>
      </c>
      <c r="F9978" s="83">
        <f t="shared" ca="1" si="437"/>
        <v>10439.52</v>
      </c>
    </row>
    <row r="9979" spans="1:6" ht="14.1" customHeight="1" x14ac:dyDescent="0.25">
      <c r="A9979" s="94" t="s">
        <v>16379</v>
      </c>
      <c r="B9979" s="82" t="str">
        <f t="shared" ca="1" si="436"/>
        <v>Jabones</v>
      </c>
      <c r="C9979" s="95" t="str">
        <f>IFERROR(VLOOKUP("UD",'Informacion '!P:Q,2,FALSE),"")</f>
        <v>Unidad</v>
      </c>
      <c r="D9979" s="94">
        <v>521</v>
      </c>
      <c r="E9979" s="84">
        <v>21.84</v>
      </c>
      <c r="F9979" s="83">
        <f t="shared" ca="1" si="437"/>
        <v>11378.64</v>
      </c>
    </row>
    <row r="9980" spans="1:6" ht="14.1" customHeight="1" x14ac:dyDescent="0.25">
      <c r="A9980" s="94" t="s">
        <v>16379</v>
      </c>
      <c r="B9980" s="82" t="str">
        <f t="shared" ca="1" si="436"/>
        <v>Jabones</v>
      </c>
      <c r="C9980" s="95" t="str">
        <f>IFERROR(VLOOKUP("UD",'Informacion '!P:Q,2,FALSE),"")</f>
        <v>Unidad</v>
      </c>
      <c r="D9980" s="94">
        <v>5</v>
      </c>
      <c r="E9980" s="84">
        <v>484.73</v>
      </c>
      <c r="F9980" s="83">
        <f t="shared" ca="1" si="437"/>
        <v>2423.65</v>
      </c>
    </row>
    <row r="9981" spans="1:6" ht="14.1" customHeight="1" x14ac:dyDescent="0.25">
      <c r="A9981" s="94" t="s">
        <v>16379</v>
      </c>
      <c r="B9981" s="82" t="str">
        <f t="shared" ca="1" si="436"/>
        <v>Jabones</v>
      </c>
      <c r="C9981" s="95" t="str">
        <f>IFERROR(VLOOKUP("UD",'Informacion '!P:Q,2,FALSE),"")</f>
        <v>Unidad</v>
      </c>
      <c r="D9981" s="94">
        <v>261</v>
      </c>
      <c r="E9981" s="84">
        <v>21.84</v>
      </c>
      <c r="F9981" s="83">
        <f t="shared" ca="1" si="437"/>
        <v>5700.24</v>
      </c>
    </row>
    <row r="9982" spans="1:6" ht="14.1" customHeight="1" x14ac:dyDescent="0.25">
      <c r="A9982" s="94" t="s">
        <v>16379</v>
      </c>
      <c r="B9982" s="82" t="str">
        <f t="shared" ca="1" si="436"/>
        <v>Jabones</v>
      </c>
      <c r="C9982" s="95" t="str">
        <f>IFERROR(VLOOKUP("UD",'Informacion '!P:Q,2,FALSE),"")</f>
        <v>Unidad</v>
      </c>
      <c r="D9982" s="94">
        <v>327</v>
      </c>
      <c r="E9982" s="84">
        <v>65.5</v>
      </c>
      <c r="F9982" s="83">
        <f t="shared" ca="1" si="437"/>
        <v>21418.5</v>
      </c>
    </row>
    <row r="9983" spans="1:6" ht="14.1" customHeight="1" x14ac:dyDescent="0.25">
      <c r="A9983" s="94" t="s">
        <v>16379</v>
      </c>
      <c r="B9983" s="82" t="str">
        <f t="shared" ca="1" si="436"/>
        <v>Jabones</v>
      </c>
      <c r="C9983" s="95" t="str">
        <f>IFERROR(VLOOKUP("UD",'Informacion '!P:Q,2,FALSE),"")</f>
        <v>Unidad</v>
      </c>
      <c r="D9983" s="94">
        <v>142</v>
      </c>
      <c r="E9983" s="84">
        <v>75.23</v>
      </c>
      <c r="F9983" s="83">
        <f t="shared" ca="1" si="437"/>
        <v>10682.66</v>
      </c>
    </row>
    <row r="9984" spans="1:6" ht="14.1" customHeight="1" x14ac:dyDescent="0.25">
      <c r="A9984" s="94" t="s">
        <v>16379</v>
      </c>
      <c r="B9984" s="82" t="str">
        <f t="shared" ca="1" si="436"/>
        <v>Jabones</v>
      </c>
      <c r="C9984" s="95" t="str">
        <f>IFERROR(VLOOKUP("UD",'Informacion '!P:Q,2,FALSE),"")</f>
        <v>Unidad</v>
      </c>
      <c r="D9984" s="94">
        <v>83</v>
      </c>
      <c r="E9984" s="84">
        <v>21.67</v>
      </c>
      <c r="F9984" s="83">
        <f t="shared" ca="1" si="437"/>
        <v>1798.6100000000001</v>
      </c>
    </row>
    <row r="9985" spans="1:6" ht="14.1" customHeight="1" x14ac:dyDescent="0.25">
      <c r="A9985" s="94" t="s">
        <v>16379</v>
      </c>
      <c r="B9985" s="82" t="str">
        <f t="shared" ca="1" si="436"/>
        <v>Jabones</v>
      </c>
      <c r="C9985" s="95" t="str">
        <f>IFERROR(VLOOKUP("UD",'Informacion '!P:Q,2,FALSE),"")</f>
        <v>Unidad</v>
      </c>
      <c r="D9985" s="94">
        <v>132</v>
      </c>
      <c r="E9985" s="84">
        <v>19.75</v>
      </c>
      <c r="F9985" s="83">
        <f t="shared" ca="1" si="437"/>
        <v>2607</v>
      </c>
    </row>
    <row r="9986" spans="1:6" ht="14.1" customHeight="1" x14ac:dyDescent="0.25">
      <c r="A9986" s="94" t="s">
        <v>16379</v>
      </c>
      <c r="B9986" s="82" t="str">
        <f t="shared" ca="1" si="436"/>
        <v>Jabones</v>
      </c>
      <c r="C9986" s="95" t="str">
        <f>IFERROR(VLOOKUP("UD",'Informacion '!P:Q,2,FALSE),"")</f>
        <v>Unidad</v>
      </c>
      <c r="D9986" s="94">
        <v>304</v>
      </c>
      <c r="E9986" s="84">
        <v>21.84</v>
      </c>
      <c r="F9986" s="83">
        <f t="shared" ca="1" si="437"/>
        <v>6639.36</v>
      </c>
    </row>
    <row r="9987" spans="1:6" ht="14.1" customHeight="1" x14ac:dyDescent="0.25">
      <c r="A9987" s="94" t="s">
        <v>16379</v>
      </c>
      <c r="B9987" s="82" t="str">
        <f t="shared" ca="1" si="436"/>
        <v>Jabones</v>
      </c>
      <c r="C9987" s="95" t="str">
        <f>IFERROR(VLOOKUP("UD",'Informacion '!P:Q,2,FALSE),"")</f>
        <v>Unidad</v>
      </c>
      <c r="D9987" s="94">
        <v>435</v>
      </c>
      <c r="E9987" s="84">
        <v>21.84</v>
      </c>
      <c r="F9987" s="83">
        <f t="shared" ca="1" si="437"/>
        <v>9500.4</v>
      </c>
    </row>
    <row r="9988" spans="1:6" ht="14.1" customHeight="1" x14ac:dyDescent="0.25">
      <c r="A9988" s="94" t="s">
        <v>16379</v>
      </c>
      <c r="B9988" s="82" t="str">
        <f t="shared" ca="1" si="436"/>
        <v>Jabones</v>
      </c>
      <c r="C9988" s="95" t="str">
        <f>IFERROR(VLOOKUP("UD",'Informacion '!P:Q,2,FALSE),"")</f>
        <v>Unidad</v>
      </c>
      <c r="D9988" s="94">
        <v>348</v>
      </c>
      <c r="E9988" s="84">
        <v>21.84</v>
      </c>
      <c r="F9988" s="83">
        <f t="shared" ca="1" si="437"/>
        <v>7600.32</v>
      </c>
    </row>
    <row r="9989" spans="1:6" ht="14.1" customHeight="1" x14ac:dyDescent="0.25">
      <c r="A9989" s="94" t="s">
        <v>16379</v>
      </c>
      <c r="B9989" s="82" t="str">
        <f t="shared" ca="1" si="436"/>
        <v>Jabones</v>
      </c>
      <c r="C9989" s="95" t="str">
        <f>IFERROR(VLOOKUP("UD",'Informacion '!P:Q,2,FALSE),"")</f>
        <v>Unidad</v>
      </c>
      <c r="D9989" s="94">
        <v>565</v>
      </c>
      <c r="E9989" s="84">
        <v>21.84</v>
      </c>
      <c r="F9989" s="83">
        <f t="shared" ca="1" si="437"/>
        <v>12339.6</v>
      </c>
    </row>
    <row r="9990" spans="1:6" ht="14.1" customHeight="1" x14ac:dyDescent="0.25">
      <c r="A9990" s="94" t="s">
        <v>16379</v>
      </c>
      <c r="B9990" s="82" t="str">
        <f t="shared" ca="1" si="436"/>
        <v>Jabones</v>
      </c>
      <c r="C9990" s="95" t="str">
        <f>IFERROR(VLOOKUP("UD",'Informacion '!P:Q,2,FALSE),"")</f>
        <v>Unidad</v>
      </c>
      <c r="D9990" s="94">
        <v>299</v>
      </c>
      <c r="E9990" s="84">
        <v>167.78</v>
      </c>
      <c r="F9990" s="83">
        <f t="shared" ca="1" si="437"/>
        <v>50166.22</v>
      </c>
    </row>
    <row r="9991" spans="1:6" ht="14.1" customHeight="1" x14ac:dyDescent="0.25">
      <c r="A9991" s="94" t="s">
        <v>16379</v>
      </c>
      <c r="B9991" s="82" t="str">
        <f t="shared" ca="1" si="436"/>
        <v>Jabones</v>
      </c>
      <c r="C9991" s="95" t="str">
        <f>IFERROR(VLOOKUP("UD",'Informacion '!P:Q,2,FALSE),"")</f>
        <v>Unidad</v>
      </c>
      <c r="D9991" s="94">
        <v>137</v>
      </c>
      <c r="E9991" s="84">
        <v>248.07</v>
      </c>
      <c r="F9991" s="83">
        <f t="shared" ca="1" si="437"/>
        <v>33985.589999999997</v>
      </c>
    </row>
    <row r="9992" spans="1:6" ht="14.1" customHeight="1" x14ac:dyDescent="0.25">
      <c r="A9992" s="94" t="s">
        <v>16379</v>
      </c>
      <c r="B9992" s="82" t="str">
        <f t="shared" ca="1" si="436"/>
        <v>Jabones</v>
      </c>
      <c r="C9992" s="95" t="str">
        <f>IFERROR(VLOOKUP("UD",'Informacion '!P:Q,2,FALSE),"")</f>
        <v>Unidad</v>
      </c>
      <c r="D9992" s="94">
        <v>191</v>
      </c>
      <c r="E9992" s="84">
        <v>252.02</v>
      </c>
      <c r="F9992" s="83">
        <f t="shared" ca="1" si="437"/>
        <v>48135.82</v>
      </c>
    </row>
    <row r="9993" spans="1:6" ht="14.1" customHeight="1" x14ac:dyDescent="0.25">
      <c r="A9993" s="94" t="s">
        <v>16379</v>
      </c>
      <c r="B9993" s="82" t="str">
        <f t="shared" ca="1" si="436"/>
        <v>Jabones</v>
      </c>
      <c r="C9993" s="95" t="str">
        <f>IFERROR(VLOOKUP("UD",'Informacion '!P:Q,2,FALSE),"")</f>
        <v>Unidad</v>
      </c>
      <c r="D9993" s="94">
        <v>245</v>
      </c>
      <c r="E9993" s="84">
        <v>114.82</v>
      </c>
      <c r="F9993" s="83">
        <f t="shared" ca="1" si="437"/>
        <v>28130.899999999998</v>
      </c>
    </row>
    <row r="9994" spans="1:6" ht="14.1" customHeight="1" x14ac:dyDescent="0.25">
      <c r="A9994" s="94" t="s">
        <v>16379</v>
      </c>
      <c r="B9994" s="82" t="str">
        <f t="shared" ca="1" si="436"/>
        <v>Jabones</v>
      </c>
      <c r="C9994" s="95" t="str">
        <f>IFERROR(VLOOKUP("UD",'Informacion '!P:Q,2,FALSE),"")</f>
        <v>Unidad</v>
      </c>
      <c r="D9994" s="94">
        <v>368</v>
      </c>
      <c r="E9994" s="84">
        <v>247.37</v>
      </c>
      <c r="F9994" s="83">
        <f t="shared" ca="1" si="437"/>
        <v>91032.16</v>
      </c>
    </row>
    <row r="9995" spans="1:6" ht="14.1" customHeight="1" x14ac:dyDescent="0.25">
      <c r="A9995" s="94" t="s">
        <v>16379</v>
      </c>
      <c r="B9995" s="82" t="str">
        <f t="shared" ca="1" si="436"/>
        <v>Jabones</v>
      </c>
      <c r="C9995" s="95" t="str">
        <f>IFERROR(VLOOKUP("UD",'Informacion '!P:Q,2,FALSE),"")</f>
        <v>Unidad</v>
      </c>
      <c r="D9995" s="94">
        <v>273</v>
      </c>
      <c r="E9995" s="84">
        <v>248</v>
      </c>
      <c r="F9995" s="83">
        <f t="shared" ca="1" si="437"/>
        <v>67704</v>
      </c>
    </row>
    <row r="9996" spans="1:6" ht="14.1" customHeight="1" x14ac:dyDescent="0.25">
      <c r="A9996" s="94" t="s">
        <v>16379</v>
      </c>
      <c r="B9996" s="82" t="str">
        <f t="shared" ca="1" si="436"/>
        <v>Jabones</v>
      </c>
      <c r="C9996" s="95" t="str">
        <f>IFERROR(VLOOKUP("UD",'Informacion '!P:Q,2,FALSE),"")</f>
        <v>Unidad</v>
      </c>
      <c r="D9996" s="94">
        <v>219</v>
      </c>
      <c r="E9996" s="84">
        <v>245.5</v>
      </c>
      <c r="F9996" s="83">
        <f t="shared" ca="1" si="437"/>
        <v>53764.5</v>
      </c>
    </row>
    <row r="9997" spans="1:6" ht="14.1" customHeight="1" x14ac:dyDescent="0.25">
      <c r="A9997" s="94" t="s">
        <v>16379</v>
      </c>
      <c r="B9997" s="82" t="str">
        <f t="shared" ca="1" si="436"/>
        <v>Jabones</v>
      </c>
      <c r="C9997" s="95" t="str">
        <f>IFERROR(VLOOKUP("UD",'Informacion '!P:Q,2,FALSE),"")</f>
        <v>Unidad</v>
      </c>
      <c r="D9997" s="94">
        <v>679</v>
      </c>
      <c r="E9997" s="84">
        <v>223.74</v>
      </c>
      <c r="F9997" s="83">
        <f t="shared" ca="1" si="437"/>
        <v>151919.46</v>
      </c>
    </row>
    <row r="9998" spans="1:6" ht="14.1" customHeight="1" x14ac:dyDescent="0.25">
      <c r="A9998" s="94" t="s">
        <v>16379</v>
      </c>
      <c r="B9998" s="82" t="str">
        <f t="shared" ca="1" si="436"/>
        <v>Jabones</v>
      </c>
      <c r="C9998" s="95" t="str">
        <f>IFERROR(VLOOKUP("UD",'Informacion '!P:Q,2,FALSE),"")</f>
        <v>Unidad</v>
      </c>
      <c r="D9998" s="94">
        <v>204</v>
      </c>
      <c r="E9998" s="84">
        <v>162.1</v>
      </c>
      <c r="F9998" s="83">
        <f t="shared" ca="1" si="437"/>
        <v>33068.400000000001</v>
      </c>
    </row>
    <row r="9999" spans="1:6" ht="14.1" customHeight="1" x14ac:dyDescent="0.25">
      <c r="A9999" s="94" t="s">
        <v>16379</v>
      </c>
      <c r="B9999" s="82" t="str">
        <f t="shared" ca="1" si="436"/>
        <v>Jabones</v>
      </c>
      <c r="C9999" s="95" t="str">
        <f>IFERROR(VLOOKUP("UD",'Informacion '!P:Q,2,FALSE),"")</f>
        <v>Unidad</v>
      </c>
      <c r="D9999" s="94">
        <v>178</v>
      </c>
      <c r="E9999" s="84">
        <v>148.16999999999999</v>
      </c>
      <c r="F9999" s="83">
        <f t="shared" ca="1" si="437"/>
        <v>26374.26</v>
      </c>
    </row>
    <row r="10000" spans="1:6" ht="14.1" customHeight="1" x14ac:dyDescent="0.25">
      <c r="A10000" s="94" t="s">
        <v>16379</v>
      </c>
      <c r="B10000" s="82" t="str">
        <f t="shared" ref="B10000:B10031" ca="1" si="438">IFERROR(INDEX(UNSPSCDes,MATCH(INDIRECT(ADDRESS(ROW(),COLUMN()-1,4)),UNSPSCCode,0)),IF(INDIRECT(ADDRESS(ROW(),COLUMN()-1,4))="53131608","Jabones",""))</f>
        <v>Jabones</v>
      </c>
      <c r="C10000" s="95" t="str">
        <f>IFERROR(VLOOKUP("UD",'Informacion '!P:Q,2,FALSE),"")</f>
        <v>Unidad</v>
      </c>
      <c r="D10000" s="94">
        <v>124</v>
      </c>
      <c r="E10000" s="84">
        <v>121.2</v>
      </c>
      <c r="F10000" s="83">
        <f t="shared" ref="F10000:F10031" ca="1" si="439">INDIRECT(ADDRESS(ROW(),COLUMN()-2,4))*INDIRECT(ADDRESS(ROW(),COLUMN()-1,4))</f>
        <v>15028.800000000001</v>
      </c>
    </row>
    <row r="10001" spans="1:6" ht="14.1" customHeight="1" x14ac:dyDescent="0.25">
      <c r="A10001" s="94" t="s">
        <v>16379</v>
      </c>
      <c r="B10001" s="82" t="str">
        <f t="shared" ca="1" si="438"/>
        <v>Jabones</v>
      </c>
      <c r="C10001" s="95" t="str">
        <f>IFERROR(VLOOKUP("UD",'Informacion '!P:Q,2,FALSE),"")</f>
        <v>Unidad</v>
      </c>
      <c r="D10001" s="94">
        <v>2282</v>
      </c>
      <c r="E10001" s="84">
        <v>129.32</v>
      </c>
      <c r="F10001" s="83">
        <f t="shared" ca="1" si="439"/>
        <v>295108.24</v>
      </c>
    </row>
    <row r="10002" spans="1:6" ht="14.1" customHeight="1" x14ac:dyDescent="0.25">
      <c r="A10002" s="94" t="s">
        <v>16379</v>
      </c>
      <c r="B10002" s="82" t="str">
        <f t="shared" ca="1" si="438"/>
        <v>Jabones</v>
      </c>
      <c r="C10002" s="95" t="str">
        <f>IFERROR(VLOOKUP("UD",'Informacion '!P:Q,2,FALSE),"")</f>
        <v>Unidad</v>
      </c>
      <c r="D10002" s="94">
        <v>2323</v>
      </c>
      <c r="E10002" s="84">
        <v>247.97</v>
      </c>
      <c r="F10002" s="83">
        <f t="shared" ca="1" si="439"/>
        <v>576034.30999999994</v>
      </c>
    </row>
    <row r="10003" spans="1:6" ht="14.1" customHeight="1" x14ac:dyDescent="0.25">
      <c r="A10003" s="94" t="s">
        <v>16379</v>
      </c>
      <c r="B10003" s="82" t="str">
        <f t="shared" ca="1" si="438"/>
        <v>Jabones</v>
      </c>
      <c r="C10003" s="95" t="str">
        <f>IFERROR(VLOOKUP("UD",'Informacion '!P:Q,2,FALSE),"")</f>
        <v>Unidad</v>
      </c>
      <c r="D10003" s="94">
        <v>2166</v>
      </c>
      <c r="E10003" s="84">
        <v>131.07</v>
      </c>
      <c r="F10003" s="83">
        <f t="shared" ca="1" si="439"/>
        <v>283897.62</v>
      </c>
    </row>
    <row r="10004" spans="1:6" ht="14.1" customHeight="1" x14ac:dyDescent="0.25">
      <c r="A10004" s="94" t="s">
        <v>16379</v>
      </c>
      <c r="B10004" s="82" t="str">
        <f t="shared" ca="1" si="438"/>
        <v>Jabones</v>
      </c>
      <c r="C10004" s="95" t="str">
        <f>IFERROR(VLOOKUP("UD",'Informacion '!P:Q,2,FALSE),"")</f>
        <v>Unidad</v>
      </c>
      <c r="D10004" s="94">
        <v>227</v>
      </c>
      <c r="E10004" s="84">
        <v>121.2</v>
      </c>
      <c r="F10004" s="83">
        <f t="shared" ca="1" si="439"/>
        <v>27512.400000000001</v>
      </c>
    </row>
    <row r="10005" spans="1:6" ht="14.1" customHeight="1" x14ac:dyDescent="0.25">
      <c r="A10005" s="94" t="s">
        <v>16379</v>
      </c>
      <c r="B10005" s="82" t="str">
        <f t="shared" ca="1" si="438"/>
        <v>Jabones</v>
      </c>
      <c r="C10005" s="95" t="str">
        <f>IFERROR(VLOOKUP("UD",'Informacion '!P:Q,2,FALSE),"")</f>
        <v>Unidad</v>
      </c>
      <c r="D10005" s="94">
        <v>111</v>
      </c>
      <c r="E10005" s="84">
        <v>121.2</v>
      </c>
      <c r="F10005" s="83">
        <f t="shared" ca="1" si="439"/>
        <v>13453.2</v>
      </c>
    </row>
    <row r="10006" spans="1:6" ht="14.1" customHeight="1" x14ac:dyDescent="0.25">
      <c r="A10006" s="94" t="s">
        <v>16379</v>
      </c>
      <c r="B10006" s="82" t="str">
        <f t="shared" ca="1" si="438"/>
        <v>Jabones</v>
      </c>
      <c r="C10006" s="95" t="str">
        <f>IFERROR(VLOOKUP("UD",'Informacion '!P:Q,2,FALSE),"")</f>
        <v>Unidad</v>
      </c>
      <c r="D10006" s="94">
        <v>137</v>
      </c>
      <c r="E10006" s="84">
        <v>122.17</v>
      </c>
      <c r="F10006" s="83">
        <f t="shared" ca="1" si="439"/>
        <v>16737.29</v>
      </c>
    </row>
    <row r="10007" spans="1:6" ht="14.1" customHeight="1" x14ac:dyDescent="0.25">
      <c r="A10007" s="94" t="s">
        <v>16379</v>
      </c>
      <c r="B10007" s="82" t="str">
        <f t="shared" ca="1" si="438"/>
        <v>Jabones</v>
      </c>
      <c r="C10007" s="95" t="str">
        <f>IFERROR(VLOOKUP("UD",'Informacion '!P:Q,2,FALSE),"")</f>
        <v>Unidad</v>
      </c>
      <c r="D10007" s="94">
        <v>422</v>
      </c>
      <c r="E10007" s="84">
        <v>224.15</v>
      </c>
      <c r="F10007" s="83">
        <f t="shared" ca="1" si="439"/>
        <v>94591.3</v>
      </c>
    </row>
    <row r="10008" spans="1:6" ht="14.1" customHeight="1" x14ac:dyDescent="0.25">
      <c r="A10008" s="94" t="s">
        <v>16379</v>
      </c>
      <c r="B10008" s="82" t="str">
        <f t="shared" ca="1" si="438"/>
        <v>Jabones</v>
      </c>
      <c r="C10008" s="95" t="str">
        <f>IFERROR(VLOOKUP("UD",'Informacion '!P:Q,2,FALSE),"")</f>
        <v>Unidad</v>
      </c>
      <c r="D10008" s="94">
        <v>747</v>
      </c>
      <c r="E10008" s="84">
        <v>206.29</v>
      </c>
      <c r="F10008" s="83">
        <f t="shared" ca="1" si="439"/>
        <v>154098.63</v>
      </c>
    </row>
    <row r="10009" spans="1:6" ht="14.1" customHeight="1" x14ac:dyDescent="0.25">
      <c r="A10009" s="94" t="s">
        <v>16379</v>
      </c>
      <c r="B10009" s="82" t="str">
        <f t="shared" ca="1" si="438"/>
        <v>Jabones</v>
      </c>
      <c r="C10009" s="95" t="str">
        <f>IFERROR(VLOOKUP("UD",'Informacion '!P:Q,2,FALSE),"")</f>
        <v>Unidad</v>
      </c>
      <c r="D10009" s="94">
        <v>17481</v>
      </c>
      <c r="E10009" s="84">
        <v>11.52</v>
      </c>
      <c r="F10009" s="83">
        <f t="shared" ca="1" si="439"/>
        <v>201381.12</v>
      </c>
    </row>
    <row r="10010" spans="1:6" ht="14.1" customHeight="1" x14ac:dyDescent="0.25">
      <c r="A10010" s="94" t="s">
        <v>16379</v>
      </c>
      <c r="B10010" s="82" t="str">
        <f t="shared" ca="1" si="438"/>
        <v>Jabones</v>
      </c>
      <c r="C10010" s="95" t="str">
        <f>IFERROR(VLOOKUP("UD",'Informacion '!P:Q,2,FALSE),"")</f>
        <v>Unidad</v>
      </c>
      <c r="D10010" s="94">
        <v>665</v>
      </c>
      <c r="E10010" s="84">
        <v>103.27</v>
      </c>
      <c r="F10010" s="83">
        <f t="shared" ca="1" si="439"/>
        <v>68674.55</v>
      </c>
    </row>
    <row r="10011" spans="1:6" ht="14.1" customHeight="1" x14ac:dyDescent="0.25">
      <c r="A10011" s="94" t="s">
        <v>16379</v>
      </c>
      <c r="B10011" s="82" t="str">
        <f t="shared" ca="1" si="438"/>
        <v>Jabones</v>
      </c>
      <c r="C10011" s="95" t="str">
        <f>IFERROR(VLOOKUP("UD",'Informacion '!P:Q,2,FALSE),"")</f>
        <v>Unidad</v>
      </c>
      <c r="D10011" s="94">
        <v>584</v>
      </c>
      <c r="E10011" s="84">
        <v>103.56</v>
      </c>
      <c r="F10011" s="83">
        <f t="shared" ca="1" si="439"/>
        <v>60479.040000000001</v>
      </c>
    </row>
    <row r="10012" spans="1:6" ht="14.1" customHeight="1" x14ac:dyDescent="0.25">
      <c r="A10012" s="94" t="s">
        <v>16379</v>
      </c>
      <c r="B10012" s="82" t="str">
        <f t="shared" ca="1" si="438"/>
        <v>Jabones</v>
      </c>
      <c r="C10012" s="95" t="str">
        <f>IFERROR(VLOOKUP("UD",'Informacion '!P:Q,2,FALSE),"")</f>
        <v>Unidad</v>
      </c>
      <c r="D10012" s="94">
        <v>909</v>
      </c>
      <c r="E10012" s="84">
        <v>119.31</v>
      </c>
      <c r="F10012" s="83">
        <f t="shared" ca="1" si="439"/>
        <v>108452.79000000001</v>
      </c>
    </row>
    <row r="10013" spans="1:6" ht="14.1" customHeight="1" x14ac:dyDescent="0.25">
      <c r="A10013" s="94" t="s">
        <v>16379</v>
      </c>
      <c r="B10013" s="82" t="str">
        <f t="shared" ca="1" si="438"/>
        <v>Jabones</v>
      </c>
      <c r="C10013" s="95" t="str">
        <f>IFERROR(VLOOKUP("UD",'Informacion '!P:Q,2,FALSE),"")</f>
        <v>Unidad</v>
      </c>
      <c r="D10013" s="94">
        <v>111</v>
      </c>
      <c r="E10013" s="84">
        <v>126.48</v>
      </c>
      <c r="F10013" s="83">
        <f t="shared" ca="1" si="439"/>
        <v>14039.28</v>
      </c>
    </row>
    <row r="10014" spans="1:6" ht="14.1" customHeight="1" x14ac:dyDescent="0.25">
      <c r="A10014" s="94" t="s">
        <v>16379</v>
      </c>
      <c r="B10014" s="82" t="str">
        <f t="shared" ca="1" si="438"/>
        <v>Jabones</v>
      </c>
      <c r="C10014" s="95" t="str">
        <f>IFERROR(VLOOKUP("UD",'Informacion '!P:Q,2,FALSE),"")</f>
        <v>Unidad</v>
      </c>
      <c r="D10014" s="94">
        <v>124</v>
      </c>
      <c r="E10014" s="84">
        <v>247.57</v>
      </c>
      <c r="F10014" s="83">
        <f t="shared" ca="1" si="439"/>
        <v>30698.68</v>
      </c>
    </row>
    <row r="10015" spans="1:6" ht="14.1" customHeight="1" x14ac:dyDescent="0.25">
      <c r="A10015" s="94" t="s">
        <v>16379</v>
      </c>
      <c r="B10015" s="82" t="str">
        <f t="shared" ca="1" si="438"/>
        <v>Jabones</v>
      </c>
      <c r="C10015" s="95" t="str">
        <f>IFERROR(VLOOKUP("UD",'Informacion '!P:Q,2,FALSE),"")</f>
        <v>Unidad</v>
      </c>
      <c r="D10015" s="94">
        <v>137</v>
      </c>
      <c r="E10015" s="84">
        <v>156.29</v>
      </c>
      <c r="F10015" s="83">
        <f t="shared" ca="1" si="439"/>
        <v>21411.73</v>
      </c>
    </row>
    <row r="10016" spans="1:6" ht="14.1" customHeight="1" x14ac:dyDescent="0.25">
      <c r="A10016" s="94" t="s">
        <v>16379</v>
      </c>
      <c r="B10016" s="82" t="str">
        <f t="shared" ca="1" si="438"/>
        <v>Jabones</v>
      </c>
      <c r="C10016" s="95" t="str">
        <f>IFERROR(VLOOKUP("UD",'Informacion '!P:Q,2,FALSE),"")</f>
        <v>Unidad</v>
      </c>
      <c r="D10016" s="94">
        <v>124</v>
      </c>
      <c r="E10016" s="84">
        <v>186.03</v>
      </c>
      <c r="F10016" s="83">
        <f t="shared" ca="1" si="439"/>
        <v>23067.72</v>
      </c>
    </row>
    <row r="10017" spans="1:6" ht="14.1" customHeight="1" x14ac:dyDescent="0.25">
      <c r="A10017" s="94" t="s">
        <v>16379</v>
      </c>
      <c r="B10017" s="82" t="str">
        <f t="shared" ca="1" si="438"/>
        <v>Jabones</v>
      </c>
      <c r="C10017" s="95" t="str">
        <f>IFERROR(VLOOKUP("UD",'Informacion '!P:Q,2,FALSE),"")</f>
        <v>Unidad</v>
      </c>
      <c r="D10017" s="94">
        <v>1030</v>
      </c>
      <c r="E10017" s="84">
        <v>104.43</v>
      </c>
      <c r="F10017" s="83">
        <f t="shared" ca="1" si="439"/>
        <v>107562.90000000001</v>
      </c>
    </row>
    <row r="10018" spans="1:6" ht="14.1" customHeight="1" x14ac:dyDescent="0.25">
      <c r="A10018" s="94" t="s">
        <v>16379</v>
      </c>
      <c r="B10018" s="82" t="str">
        <f t="shared" ca="1" si="438"/>
        <v>Jabones</v>
      </c>
      <c r="C10018" s="95" t="str">
        <f>IFERROR(VLOOKUP("UD",'Informacion '!P:Q,2,FALSE),"")</f>
        <v>Unidad</v>
      </c>
      <c r="D10018" s="94">
        <v>14</v>
      </c>
      <c r="E10018" s="84">
        <v>283.54000000000002</v>
      </c>
      <c r="F10018" s="83">
        <f t="shared" ca="1" si="439"/>
        <v>3969.5600000000004</v>
      </c>
    </row>
    <row r="10019" spans="1:6" ht="14.1" customHeight="1" x14ac:dyDescent="0.25">
      <c r="A10019" s="94" t="s">
        <v>16379</v>
      </c>
      <c r="B10019" s="82" t="str">
        <f t="shared" ca="1" si="438"/>
        <v>Jabones</v>
      </c>
      <c r="C10019" s="95" t="str">
        <f>IFERROR(VLOOKUP("UD",'Informacion '!P:Q,2,FALSE),"")</f>
        <v>Unidad</v>
      </c>
      <c r="D10019" s="94">
        <v>6</v>
      </c>
      <c r="E10019" s="84">
        <v>920.4</v>
      </c>
      <c r="F10019" s="83">
        <f t="shared" ca="1" si="439"/>
        <v>5522.4</v>
      </c>
    </row>
    <row r="10020" spans="1:6" ht="14.1" customHeight="1" x14ac:dyDescent="0.25">
      <c r="A10020" s="94" t="s">
        <v>16379</v>
      </c>
      <c r="B10020" s="82" t="str">
        <f t="shared" ca="1" si="438"/>
        <v>Jabones</v>
      </c>
      <c r="C10020" s="95" t="str">
        <f>IFERROR(VLOOKUP("UD",'Informacion '!P:Q,2,FALSE),"")</f>
        <v>Unidad</v>
      </c>
      <c r="D10020" s="94">
        <v>5</v>
      </c>
      <c r="E10020" s="84">
        <v>4204.3599999999997</v>
      </c>
      <c r="F10020" s="83">
        <f t="shared" ca="1" si="439"/>
        <v>21021.8</v>
      </c>
    </row>
    <row r="10021" spans="1:6" ht="14.1" customHeight="1" x14ac:dyDescent="0.25">
      <c r="A10021" s="94" t="s">
        <v>16379</v>
      </c>
      <c r="B10021" s="82" t="str">
        <f t="shared" ca="1" si="438"/>
        <v>Jabones</v>
      </c>
      <c r="C10021" s="95" t="str">
        <f>IFERROR(VLOOKUP("UD",'Informacion '!P:Q,2,FALSE),"")</f>
        <v>Unidad</v>
      </c>
      <c r="D10021" s="94">
        <v>5</v>
      </c>
      <c r="E10021" s="84">
        <v>3854.83</v>
      </c>
      <c r="F10021" s="83">
        <f t="shared" ca="1" si="439"/>
        <v>19274.150000000001</v>
      </c>
    </row>
    <row r="10022" spans="1:6" ht="14.1" customHeight="1" x14ac:dyDescent="0.25">
      <c r="A10022" s="94" t="s">
        <v>16379</v>
      </c>
      <c r="B10022" s="82" t="str">
        <f t="shared" ca="1" si="438"/>
        <v>Jabones</v>
      </c>
      <c r="C10022" s="95" t="str">
        <f>IFERROR(VLOOKUP("UD",'Informacion '!P:Q,2,FALSE),"")</f>
        <v>Unidad</v>
      </c>
      <c r="D10022" s="94">
        <v>5</v>
      </c>
      <c r="E10022" s="84">
        <v>973.35</v>
      </c>
      <c r="F10022" s="83">
        <f t="shared" ca="1" si="439"/>
        <v>4866.75</v>
      </c>
    </row>
    <row r="10023" spans="1:6" ht="14.1" customHeight="1" x14ac:dyDescent="0.25">
      <c r="A10023" s="94" t="s">
        <v>16379</v>
      </c>
      <c r="B10023" s="82" t="str">
        <f t="shared" ca="1" si="438"/>
        <v>Jabones</v>
      </c>
      <c r="C10023" s="95" t="str">
        <f>IFERROR(VLOOKUP("UD",'Informacion '!P:Q,2,FALSE),"")</f>
        <v>Unidad</v>
      </c>
      <c r="D10023" s="94">
        <v>19</v>
      </c>
      <c r="E10023" s="84">
        <v>5288.28</v>
      </c>
      <c r="F10023" s="83">
        <f t="shared" ca="1" si="439"/>
        <v>100477.31999999999</v>
      </c>
    </row>
    <row r="10024" spans="1:6" ht="14.1" customHeight="1" x14ac:dyDescent="0.25">
      <c r="A10024" s="94" t="s">
        <v>16379</v>
      </c>
      <c r="B10024" s="82" t="str">
        <f t="shared" ca="1" si="438"/>
        <v>Jabones</v>
      </c>
      <c r="C10024" s="95" t="str">
        <f>IFERROR(VLOOKUP("UD",'Informacion '!P:Q,2,FALSE),"")</f>
        <v>Unidad</v>
      </c>
      <c r="D10024" s="94">
        <v>4</v>
      </c>
      <c r="E10024" s="84">
        <v>3371</v>
      </c>
      <c r="F10024" s="83">
        <f t="shared" ca="1" si="439"/>
        <v>13484</v>
      </c>
    </row>
    <row r="10025" spans="1:6" ht="14.1" customHeight="1" x14ac:dyDescent="0.25">
      <c r="A10025" s="94" t="s">
        <v>16379</v>
      </c>
      <c r="B10025" s="82" t="str">
        <f t="shared" ca="1" si="438"/>
        <v>Jabones</v>
      </c>
      <c r="C10025" s="95" t="str">
        <f>IFERROR(VLOOKUP("UD",'Informacion '!P:Q,2,FALSE),"")</f>
        <v>Unidad</v>
      </c>
      <c r="D10025" s="94">
        <v>4</v>
      </c>
      <c r="E10025" s="84">
        <v>4161.5600000000004</v>
      </c>
      <c r="F10025" s="83">
        <f t="shared" ca="1" si="439"/>
        <v>16646.240000000002</v>
      </c>
    </row>
    <row r="10026" spans="1:6" ht="14.1" customHeight="1" x14ac:dyDescent="0.25">
      <c r="A10026" s="94" t="s">
        <v>16379</v>
      </c>
      <c r="B10026" s="82" t="str">
        <f t="shared" ca="1" si="438"/>
        <v>Jabones</v>
      </c>
      <c r="C10026" s="95" t="str">
        <f>IFERROR(VLOOKUP("UD",'Informacion '!P:Q,2,FALSE),"")</f>
        <v>Unidad</v>
      </c>
      <c r="D10026" s="94">
        <v>23</v>
      </c>
      <c r="E10026" s="84">
        <v>338.66</v>
      </c>
      <c r="F10026" s="83">
        <f t="shared" ca="1" si="439"/>
        <v>7789.18</v>
      </c>
    </row>
    <row r="10027" spans="1:6" ht="14.1" customHeight="1" x14ac:dyDescent="0.25">
      <c r="A10027" s="94" t="s">
        <v>16379</v>
      </c>
      <c r="B10027" s="82" t="str">
        <f t="shared" ca="1" si="438"/>
        <v>Jabones</v>
      </c>
      <c r="C10027" s="95" t="str">
        <f>IFERROR(VLOOKUP("UD",'Informacion '!P:Q,2,FALSE),"")</f>
        <v>Unidad</v>
      </c>
      <c r="D10027" s="94">
        <v>17</v>
      </c>
      <c r="E10027" s="84">
        <v>365</v>
      </c>
      <c r="F10027" s="83">
        <f t="shared" ca="1" si="439"/>
        <v>6205</v>
      </c>
    </row>
    <row r="10028" spans="1:6" ht="14.1" customHeight="1" x14ac:dyDescent="0.25">
      <c r="A10028" s="94" t="s">
        <v>16379</v>
      </c>
      <c r="B10028" s="82" t="str">
        <f t="shared" ca="1" si="438"/>
        <v>Jabones</v>
      </c>
      <c r="C10028" s="95" t="str">
        <f>IFERROR(VLOOKUP("UD",'Informacion '!P:Q,2,FALSE),"")</f>
        <v>Unidad</v>
      </c>
      <c r="D10028" s="94">
        <v>23</v>
      </c>
      <c r="E10028" s="84">
        <v>338.66</v>
      </c>
      <c r="F10028" s="83">
        <f t="shared" ca="1" si="439"/>
        <v>7789.18</v>
      </c>
    </row>
    <row r="10029" spans="1:6" ht="14.1" customHeight="1" x14ac:dyDescent="0.25">
      <c r="A10029" s="94" t="s">
        <v>16379</v>
      </c>
      <c r="B10029" s="82" t="str">
        <f t="shared" ca="1" si="438"/>
        <v>Jabones</v>
      </c>
      <c r="C10029" s="95" t="str">
        <f>IFERROR(VLOOKUP("UD",'Informacion '!P:Q,2,FALSE),"")</f>
        <v>Unidad</v>
      </c>
      <c r="D10029" s="94">
        <v>23</v>
      </c>
      <c r="E10029" s="84">
        <v>490.88</v>
      </c>
      <c r="F10029" s="83">
        <f t="shared" ca="1" si="439"/>
        <v>11290.24</v>
      </c>
    </row>
    <row r="10030" spans="1:6" ht="14.1" customHeight="1" x14ac:dyDescent="0.25">
      <c r="A10030" s="94" t="s">
        <v>16379</v>
      </c>
      <c r="B10030" s="82" t="str">
        <f t="shared" ca="1" si="438"/>
        <v>Jabones</v>
      </c>
      <c r="C10030" s="95" t="str">
        <f>IFERROR(VLOOKUP("UD",'Informacion '!P:Q,2,FALSE),"")</f>
        <v>Unidad</v>
      </c>
      <c r="D10030" s="94">
        <v>6</v>
      </c>
      <c r="E10030" s="84">
        <v>315</v>
      </c>
      <c r="F10030" s="83">
        <f t="shared" ca="1" si="439"/>
        <v>1890</v>
      </c>
    </row>
    <row r="10031" spans="1:6" ht="14.1" customHeight="1" x14ac:dyDescent="0.25">
      <c r="A10031" s="94" t="s">
        <v>16379</v>
      </c>
      <c r="B10031" s="82" t="str">
        <f t="shared" ca="1" si="438"/>
        <v>Jabones</v>
      </c>
      <c r="C10031" s="95" t="str">
        <f>IFERROR(VLOOKUP("UD",'Informacion '!P:Q,2,FALSE),"")</f>
        <v>Unidad</v>
      </c>
      <c r="D10031" s="94">
        <v>20</v>
      </c>
      <c r="E10031" s="84">
        <v>921.41</v>
      </c>
      <c r="F10031" s="83">
        <f t="shared" ca="1" si="439"/>
        <v>18428.2</v>
      </c>
    </row>
    <row r="10032" spans="1:6" ht="14.1" customHeight="1" x14ac:dyDescent="0.25">
      <c r="A10032" s="94" t="s">
        <v>16379</v>
      </c>
      <c r="B10032" s="82" t="str">
        <f t="shared" ref="B10032:B10039" ca="1" si="440">IFERROR(INDEX(UNSPSCDes,MATCH(INDIRECT(ADDRESS(ROW(),COLUMN()-1,4)),UNSPSCCode,0)),IF(INDIRECT(ADDRESS(ROW(),COLUMN()-1,4))="53131608","Jabones",""))</f>
        <v>Jabones</v>
      </c>
      <c r="C10032" s="95" t="str">
        <f>IFERROR(VLOOKUP("UD",'Informacion '!P:Q,2,FALSE),"")</f>
        <v>Unidad</v>
      </c>
      <c r="D10032" s="94">
        <v>4</v>
      </c>
      <c r="E10032" s="84">
        <v>2760.38</v>
      </c>
      <c r="F10032" s="83">
        <f t="shared" ref="F10032:F10039" ca="1" si="441">INDIRECT(ADDRESS(ROW(),COLUMN()-2,4))*INDIRECT(ADDRESS(ROW(),COLUMN()-1,4))</f>
        <v>11041.52</v>
      </c>
    </row>
    <row r="10033" spans="1:10" ht="14.1" customHeight="1" x14ac:dyDescent="0.25">
      <c r="A10033" s="94" t="s">
        <v>16379</v>
      </c>
      <c r="B10033" s="82" t="str">
        <f t="shared" ca="1" si="440"/>
        <v>Jabones</v>
      </c>
      <c r="C10033" s="95" t="str">
        <f>IFERROR(VLOOKUP("UD",'Informacion '!P:Q,2,FALSE),"")</f>
        <v>Unidad</v>
      </c>
      <c r="D10033" s="94">
        <v>4</v>
      </c>
      <c r="E10033" s="84">
        <v>2688</v>
      </c>
      <c r="F10033" s="83">
        <f t="shared" ca="1" si="441"/>
        <v>10752</v>
      </c>
    </row>
    <row r="10034" spans="1:10" ht="14.1" customHeight="1" x14ac:dyDescent="0.25">
      <c r="A10034" s="94" t="s">
        <v>16379</v>
      </c>
      <c r="B10034" s="82" t="str">
        <f t="shared" ca="1" si="440"/>
        <v>Jabones</v>
      </c>
      <c r="C10034" s="95" t="str">
        <f>IFERROR(VLOOKUP("UD",'Informacion '!P:Q,2,FALSE),"")</f>
        <v>Unidad</v>
      </c>
      <c r="D10034" s="94">
        <v>4</v>
      </c>
      <c r="E10034" s="84">
        <v>2688</v>
      </c>
      <c r="F10034" s="83">
        <f t="shared" ca="1" si="441"/>
        <v>10752</v>
      </c>
    </row>
    <row r="10035" spans="1:10" ht="14.1" customHeight="1" x14ac:dyDescent="0.25">
      <c r="A10035" s="94" t="s">
        <v>16379</v>
      </c>
      <c r="B10035" s="82" t="str">
        <f t="shared" ca="1" si="440"/>
        <v>Jabones</v>
      </c>
      <c r="C10035" s="95" t="str">
        <f>IFERROR(VLOOKUP("UD",'Informacion '!P:Q,2,FALSE),"")</f>
        <v>Unidad</v>
      </c>
      <c r="D10035" s="94">
        <v>435</v>
      </c>
      <c r="E10035" s="84">
        <v>21.84</v>
      </c>
      <c r="F10035" s="83">
        <f t="shared" ca="1" si="441"/>
        <v>9500.4</v>
      </c>
    </row>
    <row r="10036" spans="1:10" ht="14.1" customHeight="1" x14ac:dyDescent="0.25">
      <c r="A10036" s="94" t="s">
        <v>16379</v>
      </c>
      <c r="B10036" s="82" t="str">
        <f t="shared" ca="1" si="440"/>
        <v>Jabones</v>
      </c>
      <c r="C10036" s="95" t="str">
        <f>IFERROR(VLOOKUP("UD",'Informacion '!P:Q,2,FALSE),"")</f>
        <v>Unidad</v>
      </c>
      <c r="D10036" s="94">
        <v>245</v>
      </c>
      <c r="E10036" s="84">
        <v>14.33</v>
      </c>
      <c r="F10036" s="83">
        <f t="shared" ca="1" si="441"/>
        <v>3510.85</v>
      </c>
    </row>
    <row r="10037" spans="1:10" ht="14.1" customHeight="1" x14ac:dyDescent="0.25">
      <c r="A10037" s="94" t="s">
        <v>16379</v>
      </c>
      <c r="B10037" s="82" t="str">
        <f t="shared" ca="1" si="440"/>
        <v>Jabones</v>
      </c>
      <c r="C10037" s="95" t="str">
        <f>IFERROR(VLOOKUP("UD",'Informacion '!P:Q,2,FALSE),"")</f>
        <v>Unidad</v>
      </c>
      <c r="D10037" s="94">
        <v>8</v>
      </c>
      <c r="E10037" s="84">
        <v>83.8</v>
      </c>
      <c r="F10037" s="83">
        <f t="shared" ca="1" si="441"/>
        <v>670.4</v>
      </c>
    </row>
    <row r="10038" spans="1:10" ht="14.1" customHeight="1" x14ac:dyDescent="0.25">
      <c r="A10038" s="94" t="s">
        <v>16379</v>
      </c>
      <c r="B10038" s="82" t="str">
        <f t="shared" ca="1" si="440"/>
        <v>Jabones</v>
      </c>
      <c r="C10038" s="95" t="str">
        <f>IFERROR(VLOOKUP("UD",'Informacion '!P:Q,2,FALSE),"")</f>
        <v>Unidad</v>
      </c>
      <c r="D10038" s="94">
        <v>4</v>
      </c>
      <c r="E10038" s="84">
        <v>14120</v>
      </c>
      <c r="F10038" s="83">
        <f t="shared" ca="1" si="441"/>
        <v>56480</v>
      </c>
    </row>
    <row r="10039" spans="1:10" ht="14.1" customHeight="1" x14ac:dyDescent="0.25">
      <c r="A10039" s="94" t="s">
        <v>16379</v>
      </c>
      <c r="B10039" s="82" t="str">
        <f t="shared" ca="1" si="440"/>
        <v>Jabones</v>
      </c>
      <c r="C10039" s="95" t="str">
        <f>IFERROR(VLOOKUP("UD",'Informacion '!P:Q,2,FALSE),"")</f>
        <v>Unidad</v>
      </c>
      <c r="D10039" s="94">
        <v>8</v>
      </c>
      <c r="E10039" s="84">
        <v>910.15</v>
      </c>
      <c r="F10039" s="83">
        <f t="shared" ca="1" si="441"/>
        <v>7281.2</v>
      </c>
    </row>
    <row r="10040" spans="1:10" ht="14.1" customHeight="1" x14ac:dyDescent="0.25">
      <c r="E10040" s="96" t="s">
        <v>7213</v>
      </c>
      <c r="F10040" s="87">
        <f ca="1">SUM(Table233[MONTO TOTAL ESTIMADO])</f>
        <v>3224600.9600000004</v>
      </c>
      <c r="H10040" s="39" t="str">
        <f>C9961</f>
        <v>Bienes</v>
      </c>
      <c r="I10040" s="39" t="str">
        <f>E9961</f>
        <v>No</v>
      </c>
      <c r="J10040" s="39" t="str">
        <f>D9961</f>
        <v>Compras Menores</v>
      </c>
    </row>
    <row r="10042" spans="1:10" ht="33.950000000000003" customHeight="1" x14ac:dyDescent="0.25">
      <c r="A10042" s="77" t="s">
        <v>17233</v>
      </c>
      <c r="B10042" s="77" t="s">
        <v>4237</v>
      </c>
      <c r="C10042" s="77" t="s">
        <v>4743</v>
      </c>
      <c r="D10042" s="77" t="s">
        <v>9891</v>
      </c>
      <c r="E10042" s="77" t="s">
        <v>3089</v>
      </c>
      <c r="F10042" s="77" t="s">
        <v>18141</v>
      </c>
    </row>
    <row r="10043" spans="1:10" ht="14.1" customHeight="1" x14ac:dyDescent="0.25">
      <c r="A10043" s="79" t="s">
        <v>16008</v>
      </c>
      <c r="B10043" s="79" t="s">
        <v>14265</v>
      </c>
      <c r="C10043" s="79" t="s">
        <v>17215</v>
      </c>
      <c r="D10043" s="79" t="s">
        <v>17798</v>
      </c>
      <c r="E10043" s="79" t="s">
        <v>18247</v>
      </c>
      <c r="F10043" s="79"/>
    </row>
    <row r="10044" spans="1:10" ht="14.1" customHeight="1" x14ac:dyDescent="0.25">
      <c r="A10044" s="2" t="s">
        <v>6643</v>
      </c>
      <c r="B10044" s="80" t="s">
        <v>1046</v>
      </c>
      <c r="C10044" s="90">
        <v>43556</v>
      </c>
      <c r="D10044" s="2" t="s">
        <v>59</v>
      </c>
      <c r="E10044" s="92" t="s">
        <v>20066</v>
      </c>
      <c r="F10044" s="93" t="s">
        <v>5684</v>
      </c>
    </row>
    <row r="10045" spans="1:10" ht="14.1" customHeight="1" x14ac:dyDescent="0.25">
      <c r="A10045" s="1"/>
      <c r="B10045" s="80" t="s">
        <v>10788</v>
      </c>
      <c r="C10045" s="91">
        <f>IF(C10044="","",IF(AND(MONTH(C10044)&gt;=1,MONTH(C10044)&lt;=3),1,IF(AND(MONTH(C10044)&gt;=4,MONTH(C10044)&lt;=6),2,IF(AND(MONTH(C10044)&gt;=7,MONTH(C10044)&lt;=9),3,4))))</f>
        <v>2</v>
      </c>
      <c r="D10045" s="1"/>
      <c r="E10045" s="92" t="s">
        <v>14822</v>
      </c>
      <c r="F10045" s="93" t="s">
        <v>17690</v>
      </c>
    </row>
    <row r="10046" spans="1:10" ht="14.1" customHeight="1" x14ac:dyDescent="0.25">
      <c r="A10046" s="1"/>
      <c r="B10046" s="80" t="s">
        <v>13758</v>
      </c>
      <c r="C10046" s="90">
        <v>43646</v>
      </c>
      <c r="D10046" s="1"/>
      <c r="E10046" s="92" t="s">
        <v>18636</v>
      </c>
      <c r="F10046" s="93" t="s">
        <v>17690</v>
      </c>
    </row>
    <row r="10047" spans="1:10" ht="14.1" customHeight="1" x14ac:dyDescent="0.25">
      <c r="A10047" s="1"/>
      <c r="B10047" s="80" t="s">
        <v>10788</v>
      </c>
      <c r="C10047" s="91">
        <f>IF(C10046="","",IF(AND(MONTH(C10046)&gt;=1,MONTH(C10046)&lt;=3),1,IF(AND(MONTH(C10046)&gt;=4,MONTH(C10046)&lt;=6),2,IF(AND(MONTH(C10046)&gt;=7,MONTH(C10046)&lt;=9),3,4))))</f>
        <v>2</v>
      </c>
      <c r="D10047" s="1"/>
      <c r="E10047" s="92" t="s">
        <v>15990</v>
      </c>
      <c r="F10047" s="93"/>
    </row>
    <row r="10049" spans="1:6" ht="14.1" customHeight="1" x14ac:dyDescent="0.25">
      <c r="A10049" s="85" t="s">
        <v>15474</v>
      </c>
      <c r="B10049" s="85" t="s">
        <v>5027</v>
      </c>
      <c r="C10049" s="85" t="s">
        <v>17461</v>
      </c>
      <c r="D10049" s="85" t="s">
        <v>3935</v>
      </c>
      <c r="E10049" s="85" t="s">
        <v>10722</v>
      </c>
      <c r="F10049" s="85" t="s">
        <v>18237</v>
      </c>
    </row>
    <row r="10050" spans="1:6" ht="14.1" customHeight="1" x14ac:dyDescent="0.25">
      <c r="A10050" s="94" t="s">
        <v>16379</v>
      </c>
      <c r="B10050" s="82" t="str">
        <f t="shared" ref="B10050:B10081" ca="1" si="442">IFERROR(INDEX(UNSPSCDes,MATCH(INDIRECT(ADDRESS(ROW(),COLUMN()-1,4)),UNSPSCCode,0)),IF(INDIRECT(ADDRESS(ROW(),COLUMN()-1,4))="53131608","Jabones",""))</f>
        <v>Jabones</v>
      </c>
      <c r="C10050" s="95" t="str">
        <f>IFERROR(VLOOKUP("UD",'Informacion '!P:Q,2,FALSE),"")</f>
        <v>Unidad</v>
      </c>
      <c r="D10050" s="94">
        <v>126</v>
      </c>
      <c r="E10050" s="84">
        <v>21.83</v>
      </c>
      <c r="F10050" s="83">
        <f t="shared" ref="F10050:F10081" ca="1" si="443">INDIRECT(ADDRESS(ROW(),COLUMN()-2,4))*INDIRECT(ADDRESS(ROW(),COLUMN()-1,4))</f>
        <v>2750.58</v>
      </c>
    </row>
    <row r="10051" spans="1:6" ht="14.1" customHeight="1" x14ac:dyDescent="0.25">
      <c r="A10051" s="94" t="s">
        <v>16379</v>
      </c>
      <c r="B10051" s="82" t="str">
        <f t="shared" ca="1" si="442"/>
        <v>Jabones</v>
      </c>
      <c r="C10051" s="95" t="str">
        <f>IFERROR(VLOOKUP("UD",'Informacion '!P:Q,2,FALSE),"")</f>
        <v>Unidad</v>
      </c>
      <c r="D10051" s="94">
        <v>308</v>
      </c>
      <c r="E10051" s="84">
        <v>21.84</v>
      </c>
      <c r="F10051" s="83">
        <f t="shared" ca="1" si="443"/>
        <v>6726.72</v>
      </c>
    </row>
    <row r="10052" spans="1:6" ht="14.1" customHeight="1" x14ac:dyDescent="0.25">
      <c r="A10052" s="94" t="s">
        <v>16379</v>
      </c>
      <c r="B10052" s="82" t="str">
        <f t="shared" ca="1" si="442"/>
        <v>Jabones</v>
      </c>
      <c r="C10052" s="95" t="str">
        <f>IFERROR(VLOOKUP("UD",'Informacion '!P:Q,2,FALSE),"")</f>
        <v>Unidad</v>
      </c>
      <c r="D10052" s="94">
        <v>292</v>
      </c>
      <c r="E10052" s="84">
        <v>21.84</v>
      </c>
      <c r="F10052" s="83">
        <f t="shared" ca="1" si="443"/>
        <v>6377.28</v>
      </c>
    </row>
    <row r="10053" spans="1:6" ht="14.1" customHeight="1" x14ac:dyDescent="0.25">
      <c r="A10053" s="94" t="s">
        <v>16379</v>
      </c>
      <c r="B10053" s="82" t="str">
        <f t="shared" ca="1" si="442"/>
        <v>Jabones</v>
      </c>
      <c r="C10053" s="95" t="str">
        <f>IFERROR(VLOOKUP("UD",'Informacion '!P:Q,2,FALSE),"")</f>
        <v>Unidad</v>
      </c>
      <c r="D10053" s="94">
        <v>209</v>
      </c>
      <c r="E10053" s="84">
        <v>21.84</v>
      </c>
      <c r="F10053" s="83">
        <f t="shared" ca="1" si="443"/>
        <v>4564.5600000000004</v>
      </c>
    </row>
    <row r="10054" spans="1:6" ht="14.1" customHeight="1" x14ac:dyDescent="0.25">
      <c r="A10054" s="94" t="s">
        <v>16379</v>
      </c>
      <c r="B10054" s="82" t="str">
        <f t="shared" ca="1" si="442"/>
        <v>Jabones</v>
      </c>
      <c r="C10054" s="95" t="str">
        <f>IFERROR(VLOOKUP("UD",'Informacion '!P:Q,2,FALSE),"")</f>
        <v>Unidad</v>
      </c>
      <c r="D10054" s="94">
        <v>547</v>
      </c>
      <c r="E10054" s="84">
        <v>21.84</v>
      </c>
      <c r="F10054" s="83">
        <f t="shared" ca="1" si="443"/>
        <v>11946.48</v>
      </c>
    </row>
    <row r="10055" spans="1:6" ht="14.1" customHeight="1" x14ac:dyDescent="0.25">
      <c r="A10055" s="94" t="s">
        <v>16379</v>
      </c>
      <c r="B10055" s="82" t="str">
        <f t="shared" ca="1" si="442"/>
        <v>Jabones</v>
      </c>
      <c r="C10055" s="95" t="str">
        <f>IFERROR(VLOOKUP("UD",'Informacion '!P:Q,2,FALSE),"")</f>
        <v>Unidad</v>
      </c>
      <c r="D10055" s="94">
        <v>235</v>
      </c>
      <c r="E10055" s="84">
        <v>21.84</v>
      </c>
      <c r="F10055" s="83">
        <f t="shared" ca="1" si="443"/>
        <v>5132.3999999999996</v>
      </c>
    </row>
    <row r="10056" spans="1:6" ht="14.1" customHeight="1" x14ac:dyDescent="0.25">
      <c r="A10056" s="94" t="s">
        <v>16379</v>
      </c>
      <c r="B10056" s="82" t="str">
        <f t="shared" ca="1" si="442"/>
        <v>Jabones</v>
      </c>
      <c r="C10056" s="95" t="str">
        <f>IFERROR(VLOOKUP("UD",'Informacion '!P:Q,2,FALSE),"")</f>
        <v>Unidad</v>
      </c>
      <c r="D10056" s="94">
        <v>417</v>
      </c>
      <c r="E10056" s="84">
        <v>21.84</v>
      </c>
      <c r="F10056" s="83">
        <f t="shared" ca="1" si="443"/>
        <v>9107.2800000000007</v>
      </c>
    </row>
    <row r="10057" spans="1:6" ht="14.1" customHeight="1" x14ac:dyDescent="0.25">
      <c r="A10057" s="94" t="s">
        <v>16379</v>
      </c>
      <c r="B10057" s="82" t="str">
        <f t="shared" ca="1" si="442"/>
        <v>Jabones</v>
      </c>
      <c r="C10057" s="95" t="str">
        <f>IFERROR(VLOOKUP("UD",'Informacion '!P:Q,2,FALSE),"")</f>
        <v>Unidad</v>
      </c>
      <c r="D10057" s="94">
        <v>667</v>
      </c>
      <c r="E10057" s="84">
        <v>21.84</v>
      </c>
      <c r="F10057" s="83">
        <f t="shared" ca="1" si="443"/>
        <v>14567.28</v>
      </c>
    </row>
    <row r="10058" spans="1:6" ht="14.1" customHeight="1" x14ac:dyDescent="0.25">
      <c r="A10058" s="94" t="s">
        <v>16379</v>
      </c>
      <c r="B10058" s="82" t="str">
        <f t="shared" ca="1" si="442"/>
        <v>Jabones</v>
      </c>
      <c r="C10058" s="95" t="str">
        <f>IFERROR(VLOOKUP("UD",'Informacion '!P:Q,2,FALSE),"")</f>
        <v>Unidad</v>
      </c>
      <c r="D10058" s="94">
        <v>157</v>
      </c>
      <c r="E10058" s="84">
        <v>21.84</v>
      </c>
      <c r="F10058" s="83">
        <f t="shared" ca="1" si="443"/>
        <v>3428.88</v>
      </c>
    </row>
    <row r="10059" spans="1:6" ht="14.1" customHeight="1" x14ac:dyDescent="0.25">
      <c r="A10059" s="94" t="s">
        <v>16379</v>
      </c>
      <c r="B10059" s="82" t="str">
        <f t="shared" ca="1" si="442"/>
        <v>Jabones</v>
      </c>
      <c r="C10059" s="95" t="str">
        <f>IFERROR(VLOOKUP("UD",'Informacion '!P:Q,2,FALSE),"")</f>
        <v>Unidad</v>
      </c>
      <c r="D10059" s="94">
        <v>417</v>
      </c>
      <c r="E10059" s="84">
        <v>21.84</v>
      </c>
      <c r="F10059" s="83">
        <f t="shared" ca="1" si="443"/>
        <v>9107.2800000000007</v>
      </c>
    </row>
    <row r="10060" spans="1:6" ht="14.1" customHeight="1" x14ac:dyDescent="0.25">
      <c r="A10060" s="94" t="s">
        <v>16379</v>
      </c>
      <c r="B10060" s="82" t="str">
        <f t="shared" ca="1" si="442"/>
        <v>Jabones</v>
      </c>
      <c r="C10060" s="95" t="str">
        <f>IFERROR(VLOOKUP("UD",'Informacion '!P:Q,2,FALSE),"")</f>
        <v>Unidad</v>
      </c>
      <c r="D10060" s="94">
        <v>458</v>
      </c>
      <c r="E10060" s="84">
        <v>21.84</v>
      </c>
      <c r="F10060" s="83">
        <f t="shared" ca="1" si="443"/>
        <v>10002.719999999999</v>
      </c>
    </row>
    <row r="10061" spans="1:6" ht="14.1" customHeight="1" x14ac:dyDescent="0.25">
      <c r="A10061" s="94" t="s">
        <v>16379</v>
      </c>
      <c r="B10061" s="82" t="str">
        <f t="shared" ca="1" si="442"/>
        <v>Jabones</v>
      </c>
      <c r="C10061" s="95" t="str">
        <f>IFERROR(VLOOKUP("UD",'Informacion '!P:Q,2,FALSE),"")</f>
        <v>Unidad</v>
      </c>
      <c r="D10061" s="94">
        <v>500</v>
      </c>
      <c r="E10061" s="84">
        <v>21.84</v>
      </c>
      <c r="F10061" s="83">
        <f t="shared" ca="1" si="443"/>
        <v>10920</v>
      </c>
    </row>
    <row r="10062" spans="1:6" ht="14.1" customHeight="1" x14ac:dyDescent="0.25">
      <c r="A10062" s="94" t="s">
        <v>16379</v>
      </c>
      <c r="B10062" s="82" t="str">
        <f t="shared" ca="1" si="442"/>
        <v>Jabones</v>
      </c>
      <c r="C10062" s="95" t="str">
        <f>IFERROR(VLOOKUP("UD",'Informacion '!P:Q,2,FALSE),"")</f>
        <v>Unidad</v>
      </c>
      <c r="D10062" s="94">
        <v>3</v>
      </c>
      <c r="E10062" s="84">
        <v>484.73</v>
      </c>
      <c r="F10062" s="83">
        <f t="shared" ca="1" si="443"/>
        <v>1454.19</v>
      </c>
    </row>
    <row r="10063" spans="1:6" ht="14.1" customHeight="1" x14ac:dyDescent="0.25">
      <c r="A10063" s="94" t="s">
        <v>16379</v>
      </c>
      <c r="B10063" s="82" t="str">
        <f t="shared" ca="1" si="442"/>
        <v>Jabones</v>
      </c>
      <c r="C10063" s="95" t="str">
        <f>IFERROR(VLOOKUP("UD",'Informacion '!P:Q,2,FALSE),"")</f>
        <v>Unidad</v>
      </c>
      <c r="D10063" s="94">
        <v>250</v>
      </c>
      <c r="E10063" s="84">
        <v>21.84</v>
      </c>
      <c r="F10063" s="83">
        <f t="shared" ca="1" si="443"/>
        <v>5460</v>
      </c>
    </row>
    <row r="10064" spans="1:6" ht="14.1" customHeight="1" x14ac:dyDescent="0.25">
      <c r="A10064" s="94" t="s">
        <v>16379</v>
      </c>
      <c r="B10064" s="82" t="str">
        <f t="shared" ca="1" si="442"/>
        <v>Jabones</v>
      </c>
      <c r="C10064" s="95" t="str">
        <f>IFERROR(VLOOKUP("UD",'Informacion '!P:Q,2,FALSE),"")</f>
        <v>Unidad</v>
      </c>
      <c r="D10064" s="94">
        <v>313</v>
      </c>
      <c r="E10064" s="84">
        <v>65.5</v>
      </c>
      <c r="F10064" s="83">
        <f t="shared" ca="1" si="443"/>
        <v>20501.5</v>
      </c>
    </row>
    <row r="10065" spans="1:6" ht="14.1" customHeight="1" x14ac:dyDescent="0.25">
      <c r="A10065" s="94" t="s">
        <v>16379</v>
      </c>
      <c r="B10065" s="82" t="str">
        <f t="shared" ca="1" si="442"/>
        <v>Jabones</v>
      </c>
      <c r="C10065" s="95" t="str">
        <f>IFERROR(VLOOKUP("UD",'Informacion '!P:Q,2,FALSE),"")</f>
        <v>Unidad</v>
      </c>
      <c r="D10065" s="94">
        <v>136</v>
      </c>
      <c r="E10065" s="84">
        <v>75.23</v>
      </c>
      <c r="F10065" s="83">
        <f t="shared" ca="1" si="443"/>
        <v>10231.280000000001</v>
      </c>
    </row>
    <row r="10066" spans="1:6" ht="14.1" customHeight="1" x14ac:dyDescent="0.25">
      <c r="A10066" s="94" t="s">
        <v>16379</v>
      </c>
      <c r="B10066" s="82" t="str">
        <f t="shared" ca="1" si="442"/>
        <v>Jabones</v>
      </c>
      <c r="C10066" s="95" t="str">
        <f>IFERROR(VLOOKUP("UD",'Informacion '!P:Q,2,FALSE),"")</f>
        <v>Unidad</v>
      </c>
      <c r="D10066" s="94">
        <v>79</v>
      </c>
      <c r="E10066" s="84">
        <v>21.67</v>
      </c>
      <c r="F10066" s="83">
        <f t="shared" ca="1" si="443"/>
        <v>1711.93</v>
      </c>
    </row>
    <row r="10067" spans="1:6" ht="14.1" customHeight="1" x14ac:dyDescent="0.25">
      <c r="A10067" s="94" t="s">
        <v>16379</v>
      </c>
      <c r="B10067" s="82" t="str">
        <f t="shared" ca="1" si="442"/>
        <v>Jabones</v>
      </c>
      <c r="C10067" s="95" t="str">
        <f>IFERROR(VLOOKUP("UD",'Informacion '!P:Q,2,FALSE),"")</f>
        <v>Unidad</v>
      </c>
      <c r="D10067" s="94">
        <v>126</v>
      </c>
      <c r="E10067" s="84">
        <v>19.75</v>
      </c>
      <c r="F10067" s="83">
        <f t="shared" ca="1" si="443"/>
        <v>2488.5</v>
      </c>
    </row>
    <row r="10068" spans="1:6" ht="14.1" customHeight="1" x14ac:dyDescent="0.25">
      <c r="A10068" s="94" t="s">
        <v>16379</v>
      </c>
      <c r="B10068" s="82" t="str">
        <f t="shared" ca="1" si="442"/>
        <v>Jabones</v>
      </c>
      <c r="C10068" s="95" t="str">
        <f>IFERROR(VLOOKUP("UD",'Informacion '!P:Q,2,FALSE),"")</f>
        <v>Unidad</v>
      </c>
      <c r="D10068" s="94">
        <v>292</v>
      </c>
      <c r="E10068" s="84">
        <v>21.84</v>
      </c>
      <c r="F10068" s="83">
        <f t="shared" ca="1" si="443"/>
        <v>6377.28</v>
      </c>
    </row>
    <row r="10069" spans="1:6" ht="14.1" customHeight="1" x14ac:dyDescent="0.25">
      <c r="A10069" s="94" t="s">
        <v>16379</v>
      </c>
      <c r="B10069" s="82" t="str">
        <f t="shared" ca="1" si="442"/>
        <v>Jabones</v>
      </c>
      <c r="C10069" s="95" t="str">
        <f>IFERROR(VLOOKUP("UD",'Informacion '!P:Q,2,FALSE),"")</f>
        <v>Unidad</v>
      </c>
      <c r="D10069" s="94">
        <v>417</v>
      </c>
      <c r="E10069" s="84">
        <v>21.84</v>
      </c>
      <c r="F10069" s="83">
        <f t="shared" ca="1" si="443"/>
        <v>9107.2800000000007</v>
      </c>
    </row>
    <row r="10070" spans="1:6" ht="14.1" customHeight="1" x14ac:dyDescent="0.25">
      <c r="A10070" s="94" t="s">
        <v>16379</v>
      </c>
      <c r="B10070" s="82" t="str">
        <f t="shared" ca="1" si="442"/>
        <v>Jabones</v>
      </c>
      <c r="C10070" s="95" t="str">
        <f>IFERROR(VLOOKUP("UD",'Informacion '!P:Q,2,FALSE),"")</f>
        <v>Unidad</v>
      </c>
      <c r="D10070" s="94">
        <v>417</v>
      </c>
      <c r="E10070" s="84">
        <v>21.84</v>
      </c>
      <c r="F10070" s="83">
        <f t="shared" ca="1" si="443"/>
        <v>9107.2800000000007</v>
      </c>
    </row>
    <row r="10071" spans="1:6" ht="14.1" customHeight="1" x14ac:dyDescent="0.25">
      <c r="A10071" s="94" t="s">
        <v>16379</v>
      </c>
      <c r="B10071" s="82" t="str">
        <f t="shared" ca="1" si="442"/>
        <v>Jabones</v>
      </c>
      <c r="C10071" s="95" t="str">
        <f>IFERROR(VLOOKUP("UD",'Informacion '!P:Q,2,FALSE),"")</f>
        <v>Unidad</v>
      </c>
      <c r="D10071" s="94">
        <v>334</v>
      </c>
      <c r="E10071" s="84">
        <v>21.84</v>
      </c>
      <c r="F10071" s="83">
        <f t="shared" ca="1" si="443"/>
        <v>7294.56</v>
      </c>
    </row>
    <row r="10072" spans="1:6" ht="14.1" customHeight="1" x14ac:dyDescent="0.25">
      <c r="A10072" s="94" t="s">
        <v>16379</v>
      </c>
      <c r="B10072" s="82" t="str">
        <f t="shared" ca="1" si="442"/>
        <v>Jabones</v>
      </c>
      <c r="C10072" s="95" t="str">
        <f>IFERROR(VLOOKUP("UD",'Informacion '!P:Q,2,FALSE),"")</f>
        <v>Unidad</v>
      </c>
      <c r="D10072" s="94">
        <v>542</v>
      </c>
      <c r="E10072" s="84">
        <v>21.84</v>
      </c>
      <c r="F10072" s="83">
        <f t="shared" ca="1" si="443"/>
        <v>11837.28</v>
      </c>
    </row>
    <row r="10073" spans="1:6" ht="14.1" customHeight="1" x14ac:dyDescent="0.25">
      <c r="A10073" s="94" t="s">
        <v>16379</v>
      </c>
      <c r="B10073" s="82" t="str">
        <f t="shared" ca="1" si="442"/>
        <v>Jabones</v>
      </c>
      <c r="C10073" s="95" t="str">
        <f>IFERROR(VLOOKUP("UD",'Informacion '!P:Q,2,FALSE),"")</f>
        <v>Unidad</v>
      </c>
      <c r="D10073" s="94">
        <v>287</v>
      </c>
      <c r="E10073" s="84">
        <v>167.78</v>
      </c>
      <c r="F10073" s="83">
        <f t="shared" ca="1" si="443"/>
        <v>48152.86</v>
      </c>
    </row>
    <row r="10074" spans="1:6" ht="14.1" customHeight="1" x14ac:dyDescent="0.25">
      <c r="A10074" s="94" t="s">
        <v>16379</v>
      </c>
      <c r="B10074" s="82" t="str">
        <f t="shared" ca="1" si="442"/>
        <v>Jabones</v>
      </c>
      <c r="C10074" s="95" t="str">
        <f>IFERROR(VLOOKUP("UD",'Informacion '!P:Q,2,FALSE),"")</f>
        <v>Unidad</v>
      </c>
      <c r="D10074" s="94">
        <v>131</v>
      </c>
      <c r="E10074" s="84">
        <v>248.07</v>
      </c>
      <c r="F10074" s="83">
        <f t="shared" ca="1" si="443"/>
        <v>32497.17</v>
      </c>
    </row>
    <row r="10075" spans="1:6" ht="14.1" customHeight="1" x14ac:dyDescent="0.25">
      <c r="A10075" s="94" t="s">
        <v>16379</v>
      </c>
      <c r="B10075" s="82" t="str">
        <f t="shared" ca="1" si="442"/>
        <v>Jabones</v>
      </c>
      <c r="C10075" s="95" t="str">
        <f>IFERROR(VLOOKUP("UD",'Informacion '!P:Q,2,FALSE),"")</f>
        <v>Unidad</v>
      </c>
      <c r="D10075" s="94">
        <v>183</v>
      </c>
      <c r="E10075" s="84">
        <v>252.02</v>
      </c>
      <c r="F10075" s="83">
        <f t="shared" ca="1" si="443"/>
        <v>46119.66</v>
      </c>
    </row>
    <row r="10076" spans="1:6" ht="14.1" customHeight="1" x14ac:dyDescent="0.25">
      <c r="A10076" s="94" t="s">
        <v>16379</v>
      </c>
      <c r="B10076" s="82" t="str">
        <f t="shared" ca="1" si="442"/>
        <v>Jabones</v>
      </c>
      <c r="C10076" s="95" t="str">
        <f>IFERROR(VLOOKUP("UD",'Informacion '!P:Q,2,FALSE),"")</f>
        <v>Unidad</v>
      </c>
      <c r="D10076" s="94">
        <v>235</v>
      </c>
      <c r="E10076" s="84">
        <v>114.82</v>
      </c>
      <c r="F10076" s="83">
        <f t="shared" ca="1" si="443"/>
        <v>26982.699999999997</v>
      </c>
    </row>
    <row r="10077" spans="1:6" ht="14.1" customHeight="1" x14ac:dyDescent="0.25">
      <c r="A10077" s="94" t="s">
        <v>16379</v>
      </c>
      <c r="B10077" s="82" t="str">
        <f t="shared" ca="1" si="442"/>
        <v>Jabones</v>
      </c>
      <c r="C10077" s="95" t="str">
        <f>IFERROR(VLOOKUP("UD",'Informacion '!P:Q,2,FALSE),"")</f>
        <v>Unidad</v>
      </c>
      <c r="D10077" s="94">
        <v>352</v>
      </c>
      <c r="E10077" s="84">
        <v>247.37</v>
      </c>
      <c r="F10077" s="83">
        <f t="shared" ca="1" si="443"/>
        <v>87074.240000000005</v>
      </c>
    </row>
    <row r="10078" spans="1:6" ht="14.1" customHeight="1" x14ac:dyDescent="0.25">
      <c r="A10078" s="94" t="s">
        <v>16379</v>
      </c>
      <c r="B10078" s="82" t="str">
        <f t="shared" ca="1" si="442"/>
        <v>Jabones</v>
      </c>
      <c r="C10078" s="95" t="str">
        <f>IFERROR(VLOOKUP("UD",'Informacion '!P:Q,2,FALSE),"")</f>
        <v>Unidad</v>
      </c>
      <c r="D10078" s="94">
        <v>261</v>
      </c>
      <c r="E10078" s="84">
        <v>248</v>
      </c>
      <c r="F10078" s="83">
        <f t="shared" ca="1" si="443"/>
        <v>64728</v>
      </c>
    </row>
    <row r="10079" spans="1:6" ht="14.1" customHeight="1" x14ac:dyDescent="0.25">
      <c r="A10079" s="94" t="s">
        <v>16379</v>
      </c>
      <c r="B10079" s="82" t="str">
        <f t="shared" ca="1" si="442"/>
        <v>Jabones</v>
      </c>
      <c r="C10079" s="95" t="str">
        <f>IFERROR(VLOOKUP("UD",'Informacion '!P:Q,2,FALSE),"")</f>
        <v>Unidad</v>
      </c>
      <c r="D10079" s="94">
        <v>209</v>
      </c>
      <c r="E10079" s="84">
        <v>245.5</v>
      </c>
      <c r="F10079" s="83">
        <f t="shared" ca="1" si="443"/>
        <v>51309.5</v>
      </c>
    </row>
    <row r="10080" spans="1:6" ht="14.1" customHeight="1" x14ac:dyDescent="0.25">
      <c r="A10080" s="94" t="s">
        <v>16379</v>
      </c>
      <c r="B10080" s="82" t="str">
        <f t="shared" ca="1" si="442"/>
        <v>Jabones</v>
      </c>
      <c r="C10080" s="95" t="str">
        <f>IFERROR(VLOOKUP("UD",'Informacion '!P:Q,2,FALSE),"")</f>
        <v>Unidad</v>
      </c>
      <c r="D10080" s="94">
        <v>651</v>
      </c>
      <c r="E10080" s="84">
        <v>223.74</v>
      </c>
      <c r="F10080" s="83">
        <f t="shared" ca="1" si="443"/>
        <v>145654.74000000002</v>
      </c>
    </row>
    <row r="10081" spans="1:6" ht="14.1" customHeight="1" x14ac:dyDescent="0.25">
      <c r="A10081" s="94" t="s">
        <v>16379</v>
      </c>
      <c r="B10081" s="82" t="str">
        <f t="shared" ca="1" si="442"/>
        <v>Jabones</v>
      </c>
      <c r="C10081" s="95" t="str">
        <f>IFERROR(VLOOKUP("UD",'Informacion '!P:Q,2,FALSE),"")</f>
        <v>Unidad</v>
      </c>
      <c r="D10081" s="94">
        <v>196</v>
      </c>
      <c r="E10081" s="84">
        <v>162.1</v>
      </c>
      <c r="F10081" s="83">
        <f t="shared" ca="1" si="443"/>
        <v>31771.599999999999</v>
      </c>
    </row>
    <row r="10082" spans="1:6" ht="14.1" customHeight="1" x14ac:dyDescent="0.25">
      <c r="A10082" s="94" t="s">
        <v>16379</v>
      </c>
      <c r="B10082" s="82" t="str">
        <f t="shared" ref="B10082:B10113" ca="1" si="444">IFERROR(INDEX(UNSPSCDes,MATCH(INDIRECT(ADDRESS(ROW(),COLUMN()-1,4)),UNSPSCCode,0)),IF(INDIRECT(ADDRESS(ROW(),COLUMN()-1,4))="53131608","Jabones",""))</f>
        <v>Jabones</v>
      </c>
      <c r="C10082" s="95" t="str">
        <f>IFERROR(VLOOKUP("UD",'Informacion '!P:Q,2,FALSE),"")</f>
        <v>Unidad</v>
      </c>
      <c r="D10082" s="94">
        <v>170</v>
      </c>
      <c r="E10082" s="84">
        <v>148.16999999999999</v>
      </c>
      <c r="F10082" s="83">
        <f t="shared" ref="F10082:F10113" ca="1" si="445">INDIRECT(ADDRESS(ROW(),COLUMN()-2,4))*INDIRECT(ADDRESS(ROW(),COLUMN()-1,4))</f>
        <v>25188.899999999998</v>
      </c>
    </row>
    <row r="10083" spans="1:6" ht="14.1" customHeight="1" x14ac:dyDescent="0.25">
      <c r="A10083" s="94" t="s">
        <v>16379</v>
      </c>
      <c r="B10083" s="82" t="str">
        <f t="shared" ca="1" si="444"/>
        <v>Jabones</v>
      </c>
      <c r="C10083" s="95" t="str">
        <f>IFERROR(VLOOKUP("UD",'Informacion '!P:Q,2,FALSE),"")</f>
        <v>Unidad</v>
      </c>
      <c r="D10083" s="94">
        <v>118</v>
      </c>
      <c r="E10083" s="84">
        <v>121.2</v>
      </c>
      <c r="F10083" s="83">
        <f t="shared" ca="1" si="445"/>
        <v>14301.6</v>
      </c>
    </row>
    <row r="10084" spans="1:6" ht="14.1" customHeight="1" x14ac:dyDescent="0.25">
      <c r="A10084" s="94" t="s">
        <v>16379</v>
      </c>
      <c r="B10084" s="82" t="str">
        <f t="shared" ca="1" si="444"/>
        <v>Jabones</v>
      </c>
      <c r="C10084" s="95" t="str">
        <f>IFERROR(VLOOKUP("UD",'Informacion '!P:Q,2,FALSE),"")</f>
        <v>Unidad</v>
      </c>
      <c r="D10084" s="94">
        <v>2193</v>
      </c>
      <c r="E10084" s="84">
        <v>129.32</v>
      </c>
      <c r="F10084" s="83">
        <f t="shared" ca="1" si="445"/>
        <v>283598.76</v>
      </c>
    </row>
    <row r="10085" spans="1:6" ht="14.1" customHeight="1" x14ac:dyDescent="0.25">
      <c r="A10085" s="94" t="s">
        <v>16379</v>
      </c>
      <c r="B10085" s="82" t="str">
        <f t="shared" ca="1" si="444"/>
        <v>Jabones</v>
      </c>
      <c r="C10085" s="95" t="str">
        <f>IFERROR(VLOOKUP("UD",'Informacion '!P:Q,2,FALSE),"")</f>
        <v>Unidad</v>
      </c>
      <c r="D10085" s="94">
        <v>2232</v>
      </c>
      <c r="E10085" s="84">
        <v>247.97</v>
      </c>
      <c r="F10085" s="83">
        <f t="shared" ca="1" si="445"/>
        <v>553469.04</v>
      </c>
    </row>
    <row r="10086" spans="1:6" ht="14.1" customHeight="1" x14ac:dyDescent="0.25">
      <c r="A10086" s="94" t="s">
        <v>16379</v>
      </c>
      <c r="B10086" s="82" t="str">
        <f t="shared" ca="1" si="444"/>
        <v>Jabones</v>
      </c>
      <c r="C10086" s="95" t="str">
        <f>IFERROR(VLOOKUP("UD",'Informacion '!P:Q,2,FALSE),"")</f>
        <v>Unidad</v>
      </c>
      <c r="D10086" s="94">
        <v>2081</v>
      </c>
      <c r="E10086" s="84">
        <v>131.07</v>
      </c>
      <c r="F10086" s="83">
        <f t="shared" ca="1" si="445"/>
        <v>272756.67</v>
      </c>
    </row>
    <row r="10087" spans="1:6" ht="14.1" customHeight="1" x14ac:dyDescent="0.25">
      <c r="A10087" s="94" t="s">
        <v>16379</v>
      </c>
      <c r="B10087" s="82" t="str">
        <f t="shared" ca="1" si="444"/>
        <v>Jabones</v>
      </c>
      <c r="C10087" s="95" t="str">
        <f>IFERROR(VLOOKUP("UD",'Informacion '!P:Q,2,FALSE),"")</f>
        <v>Unidad</v>
      </c>
      <c r="D10087" s="94">
        <v>217</v>
      </c>
      <c r="E10087" s="84">
        <v>121.2</v>
      </c>
      <c r="F10087" s="83">
        <f t="shared" ca="1" si="445"/>
        <v>26300.400000000001</v>
      </c>
    </row>
    <row r="10088" spans="1:6" ht="14.1" customHeight="1" x14ac:dyDescent="0.25">
      <c r="A10088" s="94" t="s">
        <v>16379</v>
      </c>
      <c r="B10088" s="82" t="str">
        <f t="shared" ca="1" si="444"/>
        <v>Jabones</v>
      </c>
      <c r="C10088" s="95" t="str">
        <f>IFERROR(VLOOKUP("UD",'Informacion '!P:Q,2,FALSE),"")</f>
        <v>Unidad</v>
      </c>
      <c r="D10088" s="94">
        <v>105</v>
      </c>
      <c r="E10088" s="84">
        <v>121.2</v>
      </c>
      <c r="F10088" s="83">
        <f t="shared" ca="1" si="445"/>
        <v>12726</v>
      </c>
    </row>
    <row r="10089" spans="1:6" ht="14.1" customHeight="1" x14ac:dyDescent="0.25">
      <c r="A10089" s="94" t="s">
        <v>16379</v>
      </c>
      <c r="B10089" s="82" t="str">
        <f t="shared" ca="1" si="444"/>
        <v>Jabones</v>
      </c>
      <c r="C10089" s="95" t="str">
        <f>IFERROR(VLOOKUP("UD",'Informacion '!P:Q,2,FALSE),"")</f>
        <v>Unidad</v>
      </c>
      <c r="D10089" s="94">
        <v>131</v>
      </c>
      <c r="E10089" s="84">
        <v>122.17</v>
      </c>
      <c r="F10089" s="83">
        <f t="shared" ca="1" si="445"/>
        <v>16004.27</v>
      </c>
    </row>
    <row r="10090" spans="1:6" ht="14.1" customHeight="1" x14ac:dyDescent="0.25">
      <c r="A10090" s="94" t="s">
        <v>16379</v>
      </c>
      <c r="B10090" s="82" t="str">
        <f t="shared" ca="1" si="444"/>
        <v>Jabones</v>
      </c>
      <c r="C10090" s="95" t="str">
        <f>IFERROR(VLOOKUP("UD",'Informacion '!P:Q,2,FALSE),"")</f>
        <v>Unidad</v>
      </c>
      <c r="D10090" s="94">
        <v>404</v>
      </c>
      <c r="E10090" s="84">
        <v>224.15</v>
      </c>
      <c r="F10090" s="83">
        <f t="shared" ca="1" si="445"/>
        <v>90556.6</v>
      </c>
    </row>
    <row r="10091" spans="1:6" ht="14.1" customHeight="1" x14ac:dyDescent="0.25">
      <c r="A10091" s="94" t="s">
        <v>16379</v>
      </c>
      <c r="B10091" s="82" t="str">
        <f t="shared" ca="1" si="444"/>
        <v>Jabones</v>
      </c>
      <c r="C10091" s="95" t="str">
        <f>IFERROR(VLOOKUP("UD",'Informacion '!P:Q,2,FALSE),"")</f>
        <v>Unidad</v>
      </c>
      <c r="D10091" s="94">
        <v>717</v>
      </c>
      <c r="E10091" s="84">
        <v>206.29</v>
      </c>
      <c r="F10091" s="83">
        <f t="shared" ca="1" si="445"/>
        <v>147909.93</v>
      </c>
    </row>
    <row r="10092" spans="1:6" ht="14.1" customHeight="1" x14ac:dyDescent="0.25">
      <c r="A10092" s="94" t="s">
        <v>16379</v>
      </c>
      <c r="B10092" s="82" t="str">
        <f t="shared" ca="1" si="444"/>
        <v>Jabones</v>
      </c>
      <c r="C10092" s="95" t="str">
        <f>IFERROR(VLOOKUP("UD",'Informacion '!P:Q,2,FALSE),"")</f>
        <v>Unidad</v>
      </c>
      <c r="D10092" s="94">
        <v>16801</v>
      </c>
      <c r="E10092" s="84">
        <v>11.52</v>
      </c>
      <c r="F10092" s="83">
        <f t="shared" ca="1" si="445"/>
        <v>193547.51999999999</v>
      </c>
    </row>
    <row r="10093" spans="1:6" ht="14.1" customHeight="1" x14ac:dyDescent="0.25">
      <c r="A10093" s="94" t="s">
        <v>16379</v>
      </c>
      <c r="B10093" s="82" t="str">
        <f t="shared" ca="1" si="444"/>
        <v>Jabones</v>
      </c>
      <c r="C10093" s="95" t="str">
        <f>IFERROR(VLOOKUP("UD",'Informacion '!P:Q,2,FALSE),"")</f>
        <v>Unidad</v>
      </c>
      <c r="D10093" s="94">
        <v>638</v>
      </c>
      <c r="E10093" s="84">
        <v>103.27</v>
      </c>
      <c r="F10093" s="83">
        <f t="shared" ca="1" si="445"/>
        <v>65886.259999999995</v>
      </c>
    </row>
    <row r="10094" spans="1:6" ht="14.1" customHeight="1" x14ac:dyDescent="0.25">
      <c r="A10094" s="94" t="s">
        <v>16379</v>
      </c>
      <c r="B10094" s="82" t="str">
        <f t="shared" ca="1" si="444"/>
        <v>Jabones</v>
      </c>
      <c r="C10094" s="95" t="str">
        <f>IFERROR(VLOOKUP("UD",'Informacion '!P:Q,2,FALSE),"")</f>
        <v>Unidad</v>
      </c>
      <c r="D10094" s="94">
        <v>560</v>
      </c>
      <c r="E10094" s="84">
        <v>103.56</v>
      </c>
      <c r="F10094" s="83">
        <f t="shared" ca="1" si="445"/>
        <v>57993.599999999999</v>
      </c>
    </row>
    <row r="10095" spans="1:6" ht="14.1" customHeight="1" x14ac:dyDescent="0.25">
      <c r="A10095" s="94" t="s">
        <v>16379</v>
      </c>
      <c r="B10095" s="82" t="str">
        <f t="shared" ca="1" si="444"/>
        <v>Jabones</v>
      </c>
      <c r="C10095" s="95" t="str">
        <f>IFERROR(VLOOKUP("UD",'Informacion '!P:Q,2,FALSE),"")</f>
        <v>Unidad</v>
      </c>
      <c r="D10095" s="94">
        <v>873</v>
      </c>
      <c r="E10095" s="84">
        <v>119.31</v>
      </c>
      <c r="F10095" s="83">
        <f t="shared" ca="1" si="445"/>
        <v>104157.63</v>
      </c>
    </row>
    <row r="10096" spans="1:6" ht="14.1" customHeight="1" x14ac:dyDescent="0.25">
      <c r="A10096" s="94" t="s">
        <v>16379</v>
      </c>
      <c r="B10096" s="82" t="str">
        <f t="shared" ca="1" si="444"/>
        <v>Jabones</v>
      </c>
      <c r="C10096" s="95" t="str">
        <f>IFERROR(VLOOKUP("UD",'Informacion '!P:Q,2,FALSE),"")</f>
        <v>Unidad</v>
      </c>
      <c r="D10096" s="94">
        <v>105</v>
      </c>
      <c r="E10096" s="84">
        <v>126.48</v>
      </c>
      <c r="F10096" s="83">
        <f t="shared" ca="1" si="445"/>
        <v>13280.4</v>
      </c>
    </row>
    <row r="10097" spans="1:6" ht="14.1" customHeight="1" x14ac:dyDescent="0.25">
      <c r="A10097" s="94" t="s">
        <v>16379</v>
      </c>
      <c r="B10097" s="82" t="str">
        <f t="shared" ca="1" si="444"/>
        <v>Jabones</v>
      </c>
      <c r="C10097" s="95" t="str">
        <f>IFERROR(VLOOKUP("UD",'Informacion '!P:Q,2,FALSE),"")</f>
        <v>Unidad</v>
      </c>
      <c r="D10097" s="94">
        <v>118</v>
      </c>
      <c r="E10097" s="84">
        <v>247.57</v>
      </c>
      <c r="F10097" s="83">
        <f t="shared" ca="1" si="445"/>
        <v>29213.26</v>
      </c>
    </row>
    <row r="10098" spans="1:6" ht="14.1" customHeight="1" x14ac:dyDescent="0.25">
      <c r="A10098" s="94" t="s">
        <v>16379</v>
      </c>
      <c r="B10098" s="82" t="str">
        <f t="shared" ca="1" si="444"/>
        <v>Jabones</v>
      </c>
      <c r="C10098" s="95" t="str">
        <f>IFERROR(VLOOKUP("UD",'Informacion '!P:Q,2,FALSE),"")</f>
        <v>Unidad</v>
      </c>
      <c r="D10098" s="94">
        <v>131</v>
      </c>
      <c r="E10098" s="84">
        <v>156.29</v>
      </c>
      <c r="F10098" s="83">
        <f t="shared" ca="1" si="445"/>
        <v>20473.989999999998</v>
      </c>
    </row>
    <row r="10099" spans="1:6" ht="14.1" customHeight="1" x14ac:dyDescent="0.25">
      <c r="A10099" s="94" t="s">
        <v>16379</v>
      </c>
      <c r="B10099" s="82" t="str">
        <f t="shared" ca="1" si="444"/>
        <v>Jabones</v>
      </c>
      <c r="C10099" s="95" t="str">
        <f>IFERROR(VLOOKUP("UD",'Informacion '!P:Q,2,FALSE),"")</f>
        <v>Unidad</v>
      </c>
      <c r="D10099" s="94">
        <v>118</v>
      </c>
      <c r="E10099" s="84">
        <v>186.03</v>
      </c>
      <c r="F10099" s="83">
        <f t="shared" ca="1" si="445"/>
        <v>21951.54</v>
      </c>
    </row>
    <row r="10100" spans="1:6" ht="14.1" customHeight="1" x14ac:dyDescent="0.25">
      <c r="A10100" s="94" t="s">
        <v>16379</v>
      </c>
      <c r="B10100" s="82" t="str">
        <f t="shared" ca="1" si="444"/>
        <v>Jabones</v>
      </c>
      <c r="C10100" s="95" t="str">
        <f>IFERROR(VLOOKUP("UD",'Informacion '!P:Q,2,FALSE),"")</f>
        <v>Unidad</v>
      </c>
      <c r="D10100" s="94">
        <v>989</v>
      </c>
      <c r="E10100" s="84">
        <v>104.43</v>
      </c>
      <c r="F10100" s="83">
        <f t="shared" ca="1" si="445"/>
        <v>103281.27</v>
      </c>
    </row>
    <row r="10101" spans="1:6" ht="14.1" customHeight="1" x14ac:dyDescent="0.25">
      <c r="A10101" s="94" t="s">
        <v>16379</v>
      </c>
      <c r="B10101" s="82" t="str">
        <f t="shared" ca="1" si="444"/>
        <v>Jabones</v>
      </c>
      <c r="C10101" s="95" t="str">
        <f>IFERROR(VLOOKUP("UD",'Informacion '!P:Q,2,FALSE),"")</f>
        <v>Unidad</v>
      </c>
      <c r="D10101" s="94">
        <v>12</v>
      </c>
      <c r="E10101" s="84">
        <v>283.54000000000002</v>
      </c>
      <c r="F10101" s="83">
        <f t="shared" ca="1" si="445"/>
        <v>3402.4800000000005</v>
      </c>
    </row>
    <row r="10102" spans="1:6" ht="14.1" customHeight="1" x14ac:dyDescent="0.25">
      <c r="A10102" s="94" t="s">
        <v>16379</v>
      </c>
      <c r="B10102" s="82" t="str">
        <f t="shared" ca="1" si="444"/>
        <v>Jabones</v>
      </c>
      <c r="C10102" s="95" t="str">
        <f>IFERROR(VLOOKUP("UD",'Informacion '!P:Q,2,FALSE),"")</f>
        <v>Unidad</v>
      </c>
      <c r="D10102" s="94">
        <v>4</v>
      </c>
      <c r="E10102" s="84">
        <v>920.4</v>
      </c>
      <c r="F10102" s="83">
        <f t="shared" ca="1" si="445"/>
        <v>3681.6</v>
      </c>
    </row>
    <row r="10103" spans="1:6" ht="14.1" customHeight="1" x14ac:dyDescent="0.25">
      <c r="A10103" s="94" t="s">
        <v>16379</v>
      </c>
      <c r="B10103" s="82" t="str">
        <f t="shared" ca="1" si="444"/>
        <v>Jabones</v>
      </c>
      <c r="C10103" s="95" t="str">
        <f>IFERROR(VLOOKUP("UD",'Informacion '!P:Q,2,FALSE),"")</f>
        <v>Unidad</v>
      </c>
      <c r="D10103" s="94">
        <v>3</v>
      </c>
      <c r="E10103" s="84">
        <v>4204.3599999999997</v>
      </c>
      <c r="F10103" s="83">
        <f t="shared" ca="1" si="445"/>
        <v>12613.079999999998</v>
      </c>
    </row>
    <row r="10104" spans="1:6" ht="14.1" customHeight="1" x14ac:dyDescent="0.25">
      <c r="A10104" s="94" t="s">
        <v>16379</v>
      </c>
      <c r="B10104" s="82" t="str">
        <f t="shared" ca="1" si="444"/>
        <v>Jabones</v>
      </c>
      <c r="C10104" s="95" t="str">
        <f>IFERROR(VLOOKUP("UD",'Informacion '!P:Q,2,FALSE),"")</f>
        <v>Unidad</v>
      </c>
      <c r="D10104" s="94">
        <v>3</v>
      </c>
      <c r="E10104" s="84">
        <v>3854.83</v>
      </c>
      <c r="F10104" s="83">
        <f t="shared" ca="1" si="445"/>
        <v>11564.49</v>
      </c>
    </row>
    <row r="10105" spans="1:6" ht="14.1" customHeight="1" x14ac:dyDescent="0.25">
      <c r="A10105" s="94" t="s">
        <v>16379</v>
      </c>
      <c r="B10105" s="82" t="str">
        <f t="shared" ca="1" si="444"/>
        <v>Jabones</v>
      </c>
      <c r="C10105" s="95" t="str">
        <f>IFERROR(VLOOKUP("UD",'Informacion '!P:Q,2,FALSE),"")</f>
        <v>Unidad</v>
      </c>
      <c r="D10105" s="94">
        <v>3</v>
      </c>
      <c r="E10105" s="84">
        <v>973.35</v>
      </c>
      <c r="F10105" s="83">
        <f t="shared" ca="1" si="445"/>
        <v>2920.05</v>
      </c>
    </row>
    <row r="10106" spans="1:6" ht="14.1" customHeight="1" x14ac:dyDescent="0.25">
      <c r="A10106" s="94" t="s">
        <v>16379</v>
      </c>
      <c r="B10106" s="82" t="str">
        <f t="shared" ca="1" si="444"/>
        <v>Jabones</v>
      </c>
      <c r="C10106" s="95" t="str">
        <f>IFERROR(VLOOKUP("UD",'Informacion '!P:Q,2,FALSE),"")</f>
        <v>Unidad</v>
      </c>
      <c r="D10106" s="94">
        <v>17</v>
      </c>
      <c r="E10106" s="84">
        <v>5288.28</v>
      </c>
      <c r="F10106" s="83">
        <f t="shared" ca="1" si="445"/>
        <v>89900.76</v>
      </c>
    </row>
    <row r="10107" spans="1:6" ht="14.1" customHeight="1" x14ac:dyDescent="0.25">
      <c r="A10107" s="94" t="s">
        <v>16379</v>
      </c>
      <c r="B10107" s="82" t="str">
        <f t="shared" ca="1" si="444"/>
        <v>Jabones</v>
      </c>
      <c r="C10107" s="95" t="str">
        <f>IFERROR(VLOOKUP("UD",'Informacion '!P:Q,2,FALSE),"")</f>
        <v>Unidad</v>
      </c>
      <c r="D10107" s="94">
        <v>2</v>
      </c>
      <c r="E10107" s="84">
        <v>3371</v>
      </c>
      <c r="F10107" s="83">
        <f t="shared" ca="1" si="445"/>
        <v>6742</v>
      </c>
    </row>
    <row r="10108" spans="1:6" ht="14.1" customHeight="1" x14ac:dyDescent="0.25">
      <c r="A10108" s="94" t="s">
        <v>16379</v>
      </c>
      <c r="B10108" s="82" t="str">
        <f t="shared" ca="1" si="444"/>
        <v>Jabones</v>
      </c>
      <c r="C10108" s="95" t="str">
        <f>IFERROR(VLOOKUP("UD",'Informacion '!P:Q,2,FALSE),"")</f>
        <v>Unidad</v>
      </c>
      <c r="D10108" s="94">
        <v>2</v>
      </c>
      <c r="E10108" s="84">
        <v>4161.5600000000004</v>
      </c>
      <c r="F10108" s="83">
        <f t="shared" ca="1" si="445"/>
        <v>8323.1200000000008</v>
      </c>
    </row>
    <row r="10109" spans="1:6" ht="14.1" customHeight="1" x14ac:dyDescent="0.25">
      <c r="A10109" s="94" t="s">
        <v>16379</v>
      </c>
      <c r="B10109" s="82" t="str">
        <f t="shared" ca="1" si="444"/>
        <v>Jabones</v>
      </c>
      <c r="C10109" s="95" t="str">
        <f>IFERROR(VLOOKUP("UD",'Informacion '!P:Q,2,FALSE),"")</f>
        <v>Unidad</v>
      </c>
      <c r="D10109" s="94">
        <v>21</v>
      </c>
      <c r="E10109" s="84">
        <v>338.66</v>
      </c>
      <c r="F10109" s="83">
        <f t="shared" ca="1" si="445"/>
        <v>7111.8600000000006</v>
      </c>
    </row>
    <row r="10110" spans="1:6" ht="14.1" customHeight="1" x14ac:dyDescent="0.25">
      <c r="A10110" s="94" t="s">
        <v>16379</v>
      </c>
      <c r="B10110" s="82" t="str">
        <f t="shared" ca="1" si="444"/>
        <v>Jabones</v>
      </c>
      <c r="C10110" s="95" t="str">
        <f>IFERROR(VLOOKUP("UD",'Informacion '!P:Q,2,FALSE),"")</f>
        <v>Unidad</v>
      </c>
      <c r="D10110" s="94">
        <v>15</v>
      </c>
      <c r="E10110" s="84">
        <v>365</v>
      </c>
      <c r="F10110" s="83">
        <f t="shared" ca="1" si="445"/>
        <v>5475</v>
      </c>
    </row>
    <row r="10111" spans="1:6" ht="14.1" customHeight="1" x14ac:dyDescent="0.25">
      <c r="A10111" s="94" t="s">
        <v>16379</v>
      </c>
      <c r="B10111" s="82" t="str">
        <f t="shared" ca="1" si="444"/>
        <v>Jabones</v>
      </c>
      <c r="C10111" s="95" t="str">
        <f>IFERROR(VLOOKUP("UD",'Informacion '!P:Q,2,FALSE),"")</f>
        <v>Unidad</v>
      </c>
      <c r="D10111" s="94">
        <v>21</v>
      </c>
      <c r="E10111" s="84">
        <v>338.66</v>
      </c>
      <c r="F10111" s="83">
        <f t="shared" ca="1" si="445"/>
        <v>7111.8600000000006</v>
      </c>
    </row>
    <row r="10112" spans="1:6" ht="14.1" customHeight="1" x14ac:dyDescent="0.25">
      <c r="A10112" s="94" t="s">
        <v>16379</v>
      </c>
      <c r="B10112" s="82" t="str">
        <f t="shared" ca="1" si="444"/>
        <v>Jabones</v>
      </c>
      <c r="C10112" s="95" t="str">
        <f>IFERROR(VLOOKUP("UD",'Informacion '!P:Q,2,FALSE),"")</f>
        <v>Unidad</v>
      </c>
      <c r="D10112" s="94">
        <v>21</v>
      </c>
      <c r="E10112" s="84">
        <v>490.88</v>
      </c>
      <c r="F10112" s="83">
        <f t="shared" ca="1" si="445"/>
        <v>10308.48</v>
      </c>
    </row>
    <row r="10113" spans="1:10" ht="14.1" customHeight="1" x14ac:dyDescent="0.25">
      <c r="A10113" s="94" t="s">
        <v>16379</v>
      </c>
      <c r="B10113" s="82" t="str">
        <f t="shared" ca="1" si="444"/>
        <v>Jabones</v>
      </c>
      <c r="C10113" s="95" t="str">
        <f>IFERROR(VLOOKUP("UD",'Informacion '!P:Q,2,FALSE),"")</f>
        <v>Unidad</v>
      </c>
      <c r="D10113" s="94">
        <v>4</v>
      </c>
      <c r="E10113" s="84">
        <v>315</v>
      </c>
      <c r="F10113" s="83">
        <f t="shared" ca="1" si="445"/>
        <v>1260</v>
      </c>
    </row>
    <row r="10114" spans="1:10" ht="14.1" customHeight="1" x14ac:dyDescent="0.25">
      <c r="A10114" s="94" t="s">
        <v>16379</v>
      </c>
      <c r="B10114" s="82" t="str">
        <f t="shared" ref="B10114:B10121" ca="1" si="446">IFERROR(INDEX(UNSPSCDes,MATCH(INDIRECT(ADDRESS(ROW(),COLUMN()-1,4)),UNSPSCCode,0)),IF(INDIRECT(ADDRESS(ROW(),COLUMN()-1,4))="53131608","Jabones",""))</f>
        <v>Jabones</v>
      </c>
      <c r="C10114" s="95" t="str">
        <f>IFERROR(VLOOKUP("UD",'Informacion '!P:Q,2,FALSE),"")</f>
        <v>Unidad</v>
      </c>
      <c r="D10114" s="94">
        <v>18</v>
      </c>
      <c r="E10114" s="84">
        <v>921.41</v>
      </c>
      <c r="F10114" s="83">
        <f t="shared" ref="F10114:F10121" ca="1" si="447">INDIRECT(ADDRESS(ROW(),COLUMN()-2,4))*INDIRECT(ADDRESS(ROW(),COLUMN()-1,4))</f>
        <v>16585.38</v>
      </c>
    </row>
    <row r="10115" spans="1:10" ht="14.1" customHeight="1" x14ac:dyDescent="0.25">
      <c r="A10115" s="94" t="s">
        <v>16379</v>
      </c>
      <c r="B10115" s="82" t="str">
        <f t="shared" ca="1" si="446"/>
        <v>Jabones</v>
      </c>
      <c r="C10115" s="95" t="str">
        <f>IFERROR(VLOOKUP("UD",'Informacion '!P:Q,2,FALSE),"")</f>
        <v>Unidad</v>
      </c>
      <c r="D10115" s="94">
        <v>2</v>
      </c>
      <c r="E10115" s="84">
        <v>2760.38</v>
      </c>
      <c r="F10115" s="83">
        <f t="shared" ca="1" si="447"/>
        <v>5520.76</v>
      </c>
    </row>
    <row r="10116" spans="1:10" ht="14.1" customHeight="1" x14ac:dyDescent="0.25">
      <c r="A10116" s="94" t="s">
        <v>16379</v>
      </c>
      <c r="B10116" s="82" t="str">
        <f t="shared" ca="1" si="446"/>
        <v>Jabones</v>
      </c>
      <c r="C10116" s="95" t="str">
        <f>IFERROR(VLOOKUP("UD",'Informacion '!P:Q,2,FALSE),"")</f>
        <v>Unidad</v>
      </c>
      <c r="D10116" s="94">
        <v>2</v>
      </c>
      <c r="E10116" s="84">
        <v>2688</v>
      </c>
      <c r="F10116" s="83">
        <f t="shared" ca="1" si="447"/>
        <v>5376</v>
      </c>
    </row>
    <row r="10117" spans="1:10" ht="14.1" customHeight="1" x14ac:dyDescent="0.25">
      <c r="A10117" s="94" t="s">
        <v>16379</v>
      </c>
      <c r="B10117" s="82" t="str">
        <f t="shared" ca="1" si="446"/>
        <v>Jabones</v>
      </c>
      <c r="C10117" s="95" t="str">
        <f>IFERROR(VLOOKUP("UD",'Informacion '!P:Q,2,FALSE),"")</f>
        <v>Unidad</v>
      </c>
      <c r="D10117" s="94">
        <v>2</v>
      </c>
      <c r="E10117" s="84">
        <v>2688</v>
      </c>
      <c r="F10117" s="83">
        <f t="shared" ca="1" si="447"/>
        <v>5376</v>
      </c>
    </row>
    <row r="10118" spans="1:10" ht="14.1" customHeight="1" x14ac:dyDescent="0.25">
      <c r="A10118" s="94" t="s">
        <v>16379</v>
      </c>
      <c r="B10118" s="82" t="str">
        <f t="shared" ca="1" si="446"/>
        <v>Jabones</v>
      </c>
      <c r="C10118" s="95" t="str">
        <f>IFERROR(VLOOKUP("UD",'Informacion '!P:Q,2,FALSE),"")</f>
        <v>Unidad</v>
      </c>
      <c r="D10118" s="94">
        <v>235</v>
      </c>
      <c r="E10118" s="84">
        <v>14.33</v>
      </c>
      <c r="F10118" s="83">
        <f t="shared" ca="1" si="447"/>
        <v>3367.55</v>
      </c>
    </row>
    <row r="10119" spans="1:10" ht="14.1" customHeight="1" x14ac:dyDescent="0.25">
      <c r="A10119" s="94" t="s">
        <v>16379</v>
      </c>
      <c r="B10119" s="82" t="str">
        <f t="shared" ca="1" si="446"/>
        <v>Jabones</v>
      </c>
      <c r="C10119" s="95" t="str">
        <f>IFERROR(VLOOKUP("UD",'Informacion '!P:Q,2,FALSE),"")</f>
        <v>Unidad</v>
      </c>
      <c r="D10119" s="94">
        <v>4</v>
      </c>
      <c r="E10119" s="84">
        <v>83.8</v>
      </c>
      <c r="F10119" s="83">
        <f t="shared" ca="1" si="447"/>
        <v>335.2</v>
      </c>
    </row>
    <row r="10120" spans="1:10" ht="14.1" customHeight="1" x14ac:dyDescent="0.25">
      <c r="A10120" s="94" t="s">
        <v>16379</v>
      </c>
      <c r="B10120" s="82" t="str">
        <f t="shared" ca="1" si="446"/>
        <v>Jabones</v>
      </c>
      <c r="C10120" s="95" t="str">
        <f>IFERROR(VLOOKUP("UD",'Informacion '!P:Q,2,FALSE),"")</f>
        <v>Unidad</v>
      </c>
      <c r="D10120" s="94">
        <v>2</v>
      </c>
      <c r="E10120" s="84">
        <v>14120.4</v>
      </c>
      <c r="F10120" s="83">
        <f t="shared" ca="1" si="447"/>
        <v>28240.799999999999</v>
      </c>
    </row>
    <row r="10121" spans="1:10" ht="14.1" customHeight="1" x14ac:dyDescent="0.25">
      <c r="A10121" s="94" t="s">
        <v>16379</v>
      </c>
      <c r="B10121" s="82" t="str">
        <f t="shared" ca="1" si="446"/>
        <v>Jabones</v>
      </c>
      <c r="C10121" s="95" t="str">
        <f>IFERROR(VLOOKUP("UD",'Informacion '!P:Q,2,FALSE),"")</f>
        <v>Unidad</v>
      </c>
      <c r="D10121" s="94">
        <v>4</v>
      </c>
      <c r="E10121" s="84">
        <v>910.15</v>
      </c>
      <c r="F10121" s="83">
        <f t="shared" ca="1" si="447"/>
        <v>3640.6</v>
      </c>
    </row>
    <row r="10122" spans="1:10" ht="14.1" customHeight="1" x14ac:dyDescent="0.25">
      <c r="E10122" s="96" t="s">
        <v>7213</v>
      </c>
      <c r="F10122" s="87">
        <f ca="1">SUM(Table234[MONTO TOTAL ESTIMADO])</f>
        <v>3005947.7199999993</v>
      </c>
      <c r="H10122" s="39" t="str">
        <f>C10043</f>
        <v>Bienes</v>
      </c>
      <c r="I10122" s="39" t="str">
        <f>E10043</f>
        <v>No</v>
      </c>
      <c r="J10122" s="39" t="str">
        <f>D10043</f>
        <v>Compras Menores</v>
      </c>
    </row>
  </sheetData>
  <sheetProtection password="A90E" sheet="1" formatCells="0" insertColumns="0" insertRows="0" insertHyperlinks="0" deleteColumns="0" deleteRows="0" sort="0" autoFilter="0" pivotTables="0"/>
  <protectedRanges>
    <protectedRange sqref="F5:G5" name="Rango3"/>
    <protectedRange sqref="E11:E12" name="Rango2"/>
  </protectedRanges>
  <mergeCells count="472">
    <mergeCell ref="A9962:A9965"/>
    <mergeCell ref="D9962:D9965"/>
    <mergeCell ref="A10044:A10047"/>
    <mergeCell ref="D10044:D10047"/>
    <mergeCell ref="A9386:A9389"/>
    <mergeCell ref="D9386:D9389"/>
    <mergeCell ref="A9523:A9526"/>
    <mergeCell ref="D9523:D9526"/>
    <mergeCell ref="A9661:A9664"/>
    <mergeCell ref="D9661:D9664"/>
    <mergeCell ref="A9798:A9801"/>
    <mergeCell ref="D9798:D9801"/>
    <mergeCell ref="A9880:A9883"/>
    <mergeCell ref="D9880:D9883"/>
    <mergeCell ref="A8898:A8901"/>
    <mergeCell ref="D8898:D8901"/>
    <mergeCell ref="A9096:A9099"/>
    <mergeCell ref="D9096:D9099"/>
    <mergeCell ref="A9227:A9230"/>
    <mergeCell ref="D9227:D9230"/>
    <mergeCell ref="A9238:A9241"/>
    <mergeCell ref="D9238:D9241"/>
    <mergeCell ref="A9249:A9252"/>
    <mergeCell ref="D9249:D9252"/>
    <mergeCell ref="A8453:A8456"/>
    <mergeCell ref="D8453:D8456"/>
    <mergeCell ref="A8490:A8493"/>
    <mergeCell ref="D8490:D8493"/>
    <mergeCell ref="A8547:A8550"/>
    <mergeCell ref="D8547:D8550"/>
    <mergeCell ref="A8664:A8667"/>
    <mergeCell ref="D8664:D8667"/>
    <mergeCell ref="A8781:A8784"/>
    <mergeCell ref="D8781:D8784"/>
    <mergeCell ref="A8229:A8232"/>
    <mergeCell ref="D8229:D8232"/>
    <mergeCell ref="A8286:A8289"/>
    <mergeCell ref="D8286:D8289"/>
    <mergeCell ref="A8343:A8346"/>
    <mergeCell ref="D8343:D8346"/>
    <mergeCell ref="A8379:A8382"/>
    <mergeCell ref="D8379:D8382"/>
    <mergeCell ref="A8416:A8419"/>
    <mergeCell ref="D8416:D8419"/>
    <mergeCell ref="A7772:A7775"/>
    <mergeCell ref="D7772:D7775"/>
    <mergeCell ref="A7873:A7876"/>
    <mergeCell ref="D7873:D7876"/>
    <mergeCell ref="A7974:A7977"/>
    <mergeCell ref="D7974:D7977"/>
    <mergeCell ref="A8021:A8024"/>
    <mergeCell ref="D8021:D8024"/>
    <mergeCell ref="A8122:A8125"/>
    <mergeCell ref="D8122:D8125"/>
    <mergeCell ref="A7371:A7374"/>
    <mergeCell ref="D7371:D7374"/>
    <mergeCell ref="A7427:A7430"/>
    <mergeCell ref="D7427:D7430"/>
    <mergeCell ref="A7474:A7477"/>
    <mergeCell ref="D7474:D7477"/>
    <mergeCell ref="A7563:A7566"/>
    <mergeCell ref="D7563:D7566"/>
    <mergeCell ref="A7652:A7655"/>
    <mergeCell ref="D7652:D7655"/>
    <mergeCell ref="A7114:A7117"/>
    <mergeCell ref="D7114:D7117"/>
    <mergeCell ref="A7151:A7154"/>
    <mergeCell ref="D7151:D7154"/>
    <mergeCell ref="A7240:A7243"/>
    <mergeCell ref="D7240:D7243"/>
    <mergeCell ref="A7277:A7280"/>
    <mergeCell ref="D7277:D7280"/>
    <mergeCell ref="A7324:A7327"/>
    <mergeCell ref="D7324:D7327"/>
    <mergeCell ref="A6936:A6939"/>
    <mergeCell ref="D6936:D6939"/>
    <mergeCell ref="A6968:A6971"/>
    <mergeCell ref="D6968:D6971"/>
    <mergeCell ref="A7008:A7011"/>
    <mergeCell ref="D7008:D7011"/>
    <mergeCell ref="A7040:A7043"/>
    <mergeCell ref="D7040:D7043"/>
    <mergeCell ref="A7077:A7080"/>
    <mergeCell ref="D7077:D7080"/>
    <mergeCell ref="A6823:A6826"/>
    <mergeCell ref="D6823:D6826"/>
    <mergeCell ref="A6840:A6843"/>
    <mergeCell ref="D6840:D6843"/>
    <mergeCell ref="A6856:A6859"/>
    <mergeCell ref="D6856:D6859"/>
    <mergeCell ref="A6872:A6875"/>
    <mergeCell ref="D6872:D6875"/>
    <mergeCell ref="A6904:A6907"/>
    <mergeCell ref="D6904:D6907"/>
    <mergeCell ref="A6688:A6691"/>
    <mergeCell ref="D6688:D6691"/>
    <mergeCell ref="A6717:A6720"/>
    <mergeCell ref="D6717:D6720"/>
    <mergeCell ref="A6746:A6749"/>
    <mergeCell ref="D6746:D6749"/>
    <mergeCell ref="A6775:A6778"/>
    <mergeCell ref="D6775:D6778"/>
    <mergeCell ref="A6804:A6807"/>
    <mergeCell ref="D6804:D6807"/>
    <mergeCell ref="A6442:A6445"/>
    <mergeCell ref="D6442:D6445"/>
    <mergeCell ref="A6479:A6482"/>
    <mergeCell ref="D6479:D6482"/>
    <mergeCell ref="A6517:A6520"/>
    <mergeCell ref="D6517:D6520"/>
    <mergeCell ref="A6620:A6623"/>
    <mergeCell ref="D6620:D6623"/>
    <mergeCell ref="A6675:A6678"/>
    <mergeCell ref="D6675:D6678"/>
    <mergeCell ref="A6143:A6146"/>
    <mergeCell ref="D6143:D6146"/>
    <mergeCell ref="A6154:A6157"/>
    <mergeCell ref="D6154:D6157"/>
    <mergeCell ref="A6226:A6229"/>
    <mergeCell ref="D6226:D6229"/>
    <mergeCell ref="A6298:A6301"/>
    <mergeCell ref="D6298:D6301"/>
    <mergeCell ref="A6370:A6373"/>
    <mergeCell ref="D6370:D6373"/>
    <mergeCell ref="A6084:A6087"/>
    <mergeCell ref="D6084:D6087"/>
    <mergeCell ref="A6097:A6100"/>
    <mergeCell ref="D6097:D6100"/>
    <mergeCell ref="A6110:A6113"/>
    <mergeCell ref="D6110:D6113"/>
    <mergeCell ref="A6121:A6124"/>
    <mergeCell ref="D6121:D6124"/>
    <mergeCell ref="A6132:A6135"/>
    <mergeCell ref="D6132:D6135"/>
    <mergeCell ref="A5998:A6001"/>
    <mergeCell ref="D5998:D6001"/>
    <mergeCell ref="A6018:A6021"/>
    <mergeCell ref="D6018:D6021"/>
    <mergeCell ref="A6038:A6041"/>
    <mergeCell ref="D6038:D6041"/>
    <mergeCell ref="A6058:A6061"/>
    <mergeCell ref="D6058:D6061"/>
    <mergeCell ref="A6071:A6074"/>
    <mergeCell ref="D6071:D6074"/>
    <mergeCell ref="A5854:A5857"/>
    <mergeCell ref="D5854:D5857"/>
    <mergeCell ref="A5883:A5886"/>
    <mergeCell ref="D5883:D5886"/>
    <mergeCell ref="A5920:A5923"/>
    <mergeCell ref="D5920:D5923"/>
    <mergeCell ref="A5949:A5952"/>
    <mergeCell ref="D5949:D5952"/>
    <mergeCell ref="A5978:A5981"/>
    <mergeCell ref="D5978:D5981"/>
    <mergeCell ref="A5722:A5725"/>
    <mergeCell ref="D5722:D5725"/>
    <mergeCell ref="A5762:A5765"/>
    <mergeCell ref="D5762:D5765"/>
    <mergeCell ref="A5799:A5802"/>
    <mergeCell ref="D5799:D5802"/>
    <mergeCell ref="A5812:A5815"/>
    <mergeCell ref="D5812:D5815"/>
    <mergeCell ref="A5825:A5828"/>
    <mergeCell ref="D5825:D5828"/>
    <mergeCell ref="A5633:A5636"/>
    <mergeCell ref="D5633:D5636"/>
    <mergeCell ref="A5654:A5657"/>
    <mergeCell ref="D5654:D5657"/>
    <mergeCell ref="A5675:A5678"/>
    <mergeCell ref="D5675:D5678"/>
    <mergeCell ref="A5696:A5699"/>
    <mergeCell ref="D5696:D5699"/>
    <mergeCell ref="A5709:A5712"/>
    <mergeCell ref="D5709:D5712"/>
    <mergeCell ref="A5509:A5512"/>
    <mergeCell ref="D5509:D5512"/>
    <mergeCell ref="A5549:A5552"/>
    <mergeCell ref="D5549:D5552"/>
    <mergeCell ref="A5570:A5573"/>
    <mergeCell ref="D5570:D5573"/>
    <mergeCell ref="A5591:A5594"/>
    <mergeCell ref="D5591:D5594"/>
    <mergeCell ref="A5612:A5615"/>
    <mergeCell ref="D5612:D5615"/>
    <mergeCell ref="A5381:A5384"/>
    <mergeCell ref="D5381:D5384"/>
    <mergeCell ref="A5403:A5406"/>
    <mergeCell ref="D5403:D5406"/>
    <mergeCell ref="A5425:A5428"/>
    <mergeCell ref="D5425:D5428"/>
    <mergeCell ref="A5447:A5450"/>
    <mergeCell ref="D5447:D5450"/>
    <mergeCell ref="A5469:A5472"/>
    <mergeCell ref="D5469:D5472"/>
    <mergeCell ref="A5283:A5286"/>
    <mergeCell ref="D5283:D5286"/>
    <mergeCell ref="A5306:A5309"/>
    <mergeCell ref="D5306:D5309"/>
    <mergeCell ref="A5322:A5325"/>
    <mergeCell ref="D5322:D5325"/>
    <mergeCell ref="A5341:A5344"/>
    <mergeCell ref="D5341:D5344"/>
    <mergeCell ref="A5360:A5363"/>
    <mergeCell ref="D5360:D5363"/>
    <mergeCell ref="A4826:A4829"/>
    <mergeCell ref="D4826:D4829"/>
    <mergeCell ref="A4847:A4850"/>
    <mergeCell ref="D4847:D4850"/>
    <mergeCell ref="A4994:A4997"/>
    <mergeCell ref="D4994:D4997"/>
    <mergeCell ref="A5129:A5132"/>
    <mergeCell ref="D5129:D5132"/>
    <mergeCell ref="A5175:A5178"/>
    <mergeCell ref="D5175:D5178"/>
    <mergeCell ref="A4414:A4417"/>
    <mergeCell ref="D4414:D4417"/>
    <mergeCell ref="A4590:A4593"/>
    <mergeCell ref="D4590:D4593"/>
    <mergeCell ref="A4735:A4738"/>
    <mergeCell ref="D4735:D4738"/>
    <mergeCell ref="A4785:A4788"/>
    <mergeCell ref="D4785:D4788"/>
    <mergeCell ref="A4797:A4800"/>
    <mergeCell ref="D4797:D4800"/>
    <mergeCell ref="A4073:A4076"/>
    <mergeCell ref="D4073:D4076"/>
    <mergeCell ref="A4111:A4114"/>
    <mergeCell ref="D4111:D4114"/>
    <mergeCell ref="A4160:A4163"/>
    <mergeCell ref="D4160:D4163"/>
    <mergeCell ref="A4195:A4198"/>
    <mergeCell ref="D4195:D4198"/>
    <mergeCell ref="A4231:A4234"/>
    <mergeCell ref="D4231:D4234"/>
    <mergeCell ref="A3564:A3567"/>
    <mergeCell ref="D3564:D3567"/>
    <mergeCell ref="A3592:A3595"/>
    <mergeCell ref="D3592:D3595"/>
    <mergeCell ref="A3644:A3647"/>
    <mergeCell ref="D3644:D3647"/>
    <mergeCell ref="A3962:A3965"/>
    <mergeCell ref="D3962:D3965"/>
    <mergeCell ref="A4013:A4016"/>
    <mergeCell ref="D4013:D4016"/>
    <mergeCell ref="A3187:A3190"/>
    <mergeCell ref="D3187:D3190"/>
    <mergeCell ref="A3238:A3241"/>
    <mergeCell ref="D3238:D3241"/>
    <mergeCell ref="A3317:A3320"/>
    <mergeCell ref="D3317:D3320"/>
    <mergeCell ref="A3446:A3449"/>
    <mergeCell ref="D3446:D3449"/>
    <mergeCell ref="A3510:A3513"/>
    <mergeCell ref="D3510:D3513"/>
    <mergeCell ref="A2894:A2897"/>
    <mergeCell ref="D2894:D2897"/>
    <mergeCell ref="A2950:A2953"/>
    <mergeCell ref="D2950:D2953"/>
    <mergeCell ref="A3018:A3021"/>
    <mergeCell ref="D3018:D3021"/>
    <mergeCell ref="A3042:A3045"/>
    <mergeCell ref="D3042:D3045"/>
    <mergeCell ref="A3119:A3122"/>
    <mergeCell ref="D3119:D3122"/>
    <mergeCell ref="A2668:A2671"/>
    <mergeCell ref="D2668:D2671"/>
    <mergeCell ref="A2695:A2698"/>
    <mergeCell ref="D2695:D2698"/>
    <mergeCell ref="A2769:A2772"/>
    <mergeCell ref="D2769:D2772"/>
    <mergeCell ref="A2792:A2795"/>
    <mergeCell ref="D2792:D2795"/>
    <mergeCell ref="A2816:A2819"/>
    <mergeCell ref="D2816:D2819"/>
    <mergeCell ref="A2360:A2363"/>
    <mergeCell ref="D2360:D2363"/>
    <mergeCell ref="A2420:A2423"/>
    <mergeCell ref="D2420:D2423"/>
    <mergeCell ref="A2480:A2483"/>
    <mergeCell ref="D2480:D2483"/>
    <mergeCell ref="A2540:A2543"/>
    <mergeCell ref="D2540:D2543"/>
    <mergeCell ref="A2600:A2603"/>
    <mergeCell ref="D2600:D2603"/>
    <mergeCell ref="A2170:A2173"/>
    <mergeCell ref="D2170:D2173"/>
    <mergeCell ref="A2196:A2199"/>
    <mergeCell ref="D2196:D2199"/>
    <mergeCell ref="A2242:A2245"/>
    <mergeCell ref="D2242:D2245"/>
    <mergeCell ref="A2288:A2291"/>
    <mergeCell ref="D2288:D2291"/>
    <mergeCell ref="A2334:A2337"/>
    <mergeCell ref="D2334:D2337"/>
    <mergeCell ref="A2036:A2039"/>
    <mergeCell ref="D2036:D2039"/>
    <mergeCell ref="A2068:A2071"/>
    <mergeCell ref="D2068:D2071"/>
    <mergeCell ref="A2083:A2086"/>
    <mergeCell ref="D2083:D2086"/>
    <mergeCell ref="A2098:A2101"/>
    <mergeCell ref="D2098:D2101"/>
    <mergeCell ref="A2124:A2127"/>
    <mergeCell ref="D2124:D2127"/>
    <mergeCell ref="A1910:A1913"/>
    <mergeCell ref="D1910:D1913"/>
    <mergeCell ref="A1925:A1928"/>
    <mergeCell ref="D1925:D1928"/>
    <mergeCell ref="A1957:A1960"/>
    <mergeCell ref="D1957:D1960"/>
    <mergeCell ref="A1989:A1992"/>
    <mergeCell ref="D1989:D1992"/>
    <mergeCell ref="A2021:A2024"/>
    <mergeCell ref="D2021:D2024"/>
    <mergeCell ref="A1802:A1805"/>
    <mergeCell ref="D1802:D1805"/>
    <mergeCell ref="A1858:A1861"/>
    <mergeCell ref="D1858:D1861"/>
    <mergeCell ref="A1871:A1874"/>
    <mergeCell ref="D1871:D1874"/>
    <mergeCell ref="A1884:A1887"/>
    <mergeCell ref="D1884:D1887"/>
    <mergeCell ref="A1897:A1900"/>
    <mergeCell ref="D1897:D1900"/>
    <mergeCell ref="A1604:A1607"/>
    <mergeCell ref="D1604:D1607"/>
    <mergeCell ref="A1660:A1663"/>
    <mergeCell ref="D1660:D1663"/>
    <mergeCell ref="A1675:A1678"/>
    <mergeCell ref="D1675:D1678"/>
    <mergeCell ref="A1690:A1693"/>
    <mergeCell ref="D1690:D1693"/>
    <mergeCell ref="A1777:A1780"/>
    <mergeCell ref="D1777:D1780"/>
    <mergeCell ref="A1510:A1513"/>
    <mergeCell ref="D1510:D1513"/>
    <mergeCell ref="A1531:A1534"/>
    <mergeCell ref="D1531:D1534"/>
    <mergeCell ref="A1552:A1555"/>
    <mergeCell ref="D1552:D1555"/>
    <mergeCell ref="A1574:A1577"/>
    <mergeCell ref="D1574:D1577"/>
    <mergeCell ref="A1589:A1592"/>
    <mergeCell ref="D1589:D1592"/>
    <mergeCell ref="A1402:A1405"/>
    <mergeCell ref="D1402:D1405"/>
    <mergeCell ref="A1424:A1427"/>
    <mergeCell ref="D1424:D1427"/>
    <mergeCell ref="A1446:A1449"/>
    <mergeCell ref="D1446:D1449"/>
    <mergeCell ref="A1468:A1471"/>
    <mergeCell ref="D1468:D1471"/>
    <mergeCell ref="A1489:A1492"/>
    <mergeCell ref="D1489:D1492"/>
    <mergeCell ref="A1292:A1295"/>
    <mergeCell ref="D1292:D1295"/>
    <mergeCell ref="A1318:A1321"/>
    <mergeCell ref="D1318:D1321"/>
    <mergeCell ref="A1344:A1347"/>
    <mergeCell ref="D1344:D1347"/>
    <mergeCell ref="A1370:A1373"/>
    <mergeCell ref="D1370:D1373"/>
    <mergeCell ref="A1386:A1389"/>
    <mergeCell ref="D1386:D1389"/>
    <mergeCell ref="A1186:A1189"/>
    <mergeCell ref="D1186:D1189"/>
    <mergeCell ref="A1206:A1209"/>
    <mergeCell ref="D1206:D1209"/>
    <mergeCell ref="A1226:A1229"/>
    <mergeCell ref="D1226:D1229"/>
    <mergeCell ref="A1246:A1249"/>
    <mergeCell ref="D1246:D1249"/>
    <mergeCell ref="A1266:A1269"/>
    <mergeCell ref="D1266:D1269"/>
    <mergeCell ref="A995:A998"/>
    <mergeCell ref="D995:D998"/>
    <mergeCell ref="A1042:A1045"/>
    <mergeCell ref="D1042:D1045"/>
    <mergeCell ref="A1089:A1092"/>
    <mergeCell ref="D1089:D1092"/>
    <mergeCell ref="A1136:A1139"/>
    <mergeCell ref="D1136:D1139"/>
    <mergeCell ref="A1161:A1164"/>
    <mergeCell ref="D1161:D1164"/>
    <mergeCell ref="A858:A861"/>
    <mergeCell ref="D858:D861"/>
    <mergeCell ref="A875:A878"/>
    <mergeCell ref="D875:D878"/>
    <mergeCell ref="A900:A903"/>
    <mergeCell ref="D900:D903"/>
    <mergeCell ref="A925:A928"/>
    <mergeCell ref="D925:D928"/>
    <mergeCell ref="A948:A951"/>
    <mergeCell ref="D948:D951"/>
    <mergeCell ref="A758:A761"/>
    <mergeCell ref="D758:D761"/>
    <mergeCell ref="A776:A779"/>
    <mergeCell ref="D776:D779"/>
    <mergeCell ref="A792:A795"/>
    <mergeCell ref="D792:D795"/>
    <mergeCell ref="A819:A822"/>
    <mergeCell ref="D819:D822"/>
    <mergeCell ref="A837:A840"/>
    <mergeCell ref="D837:D840"/>
    <mergeCell ref="A675:A678"/>
    <mergeCell ref="D675:D678"/>
    <mergeCell ref="A688:A691"/>
    <mergeCell ref="D688:D691"/>
    <mergeCell ref="A704:A707"/>
    <mergeCell ref="D704:D707"/>
    <mergeCell ref="A722:A725"/>
    <mergeCell ref="D722:D725"/>
    <mergeCell ref="A740:A743"/>
    <mergeCell ref="D740:D743"/>
    <mergeCell ref="A606:A609"/>
    <mergeCell ref="D606:D609"/>
    <mergeCell ref="A621:A624"/>
    <mergeCell ref="D621:D624"/>
    <mergeCell ref="A636:A639"/>
    <mergeCell ref="D636:D639"/>
    <mergeCell ref="A649:A652"/>
    <mergeCell ref="D649:D652"/>
    <mergeCell ref="A662:A665"/>
    <mergeCell ref="D662:D665"/>
    <mergeCell ref="A469:A472"/>
    <mergeCell ref="D469:D472"/>
    <mergeCell ref="A481:A484"/>
    <mergeCell ref="D481:D484"/>
    <mergeCell ref="A494:A497"/>
    <mergeCell ref="D494:D497"/>
    <mergeCell ref="A576:A579"/>
    <mergeCell ref="D576:D579"/>
    <mergeCell ref="A591:A594"/>
    <mergeCell ref="D591:D594"/>
    <mergeCell ref="A369:A372"/>
    <mergeCell ref="D369:D372"/>
    <mergeCell ref="A382:A385"/>
    <mergeCell ref="D382:D385"/>
    <mergeCell ref="A413:A416"/>
    <mergeCell ref="D413:D416"/>
    <mergeCell ref="A444:A447"/>
    <mergeCell ref="D444:D447"/>
    <mergeCell ref="A457:A460"/>
    <mergeCell ref="D457:D460"/>
    <mergeCell ref="A210:A213"/>
    <mergeCell ref="D210:D213"/>
    <mergeCell ref="A262:A265"/>
    <mergeCell ref="D262:D265"/>
    <mergeCell ref="A293:A296"/>
    <mergeCell ref="D293:D296"/>
    <mergeCell ref="A327:A330"/>
    <mergeCell ref="D327:D330"/>
    <mergeCell ref="A341:A344"/>
    <mergeCell ref="D341:D344"/>
    <mergeCell ref="E12:F12"/>
    <mergeCell ref="A17:A20"/>
    <mergeCell ref="D17:D20"/>
    <mergeCell ref="A48:A51"/>
    <mergeCell ref="D48:D51"/>
    <mergeCell ref="A102:A105"/>
    <mergeCell ref="D102:D105"/>
    <mergeCell ref="A156:A159"/>
    <mergeCell ref="D156:D159"/>
    <mergeCell ref="A1:A4"/>
    <mergeCell ref="E6:F6"/>
    <mergeCell ref="E7:F7"/>
    <mergeCell ref="B2:E2"/>
    <mergeCell ref="B3:E3"/>
    <mergeCell ref="E9:F9"/>
    <mergeCell ref="E8:F8"/>
    <mergeCell ref="E10:F10"/>
    <mergeCell ref="E11:F11"/>
  </mergeCells>
  <dataValidations count="32585">
    <dataValidation type="whole" allowBlank="1" showInputMessage="1" showErrorMessage="1" sqref="E11:F11">
      <formula1>1900</formula1>
      <formula2>3000</formula2>
    </dataValidation>
    <dataValidation type="date" operator="greaterThan" allowBlank="1" showInputMessage="1" showErrorMessage="1" sqref="E12:F12">
      <formula1>36526</formula1>
    </dataValidation>
    <dataValidation operator="greaterThan" allowBlank="1" showInputMessage="1" showErrorMessage="1" sqref="E10:F10"/>
    <dataValidation type="date" operator="lessThanOrEqual" allowBlank="1" showInputMessage="1" showErrorMessage="1" sqref="C17">
      <formula1>C19</formula1>
    </dataValidation>
    <dataValidation type="date" operator="greaterThanOrEqual" allowBlank="1" showInputMessage="1" showErrorMessage="1" sqref="C19">
      <formula1>C17</formula1>
    </dataValidation>
    <dataValidation type="list" allowBlank="1" showInputMessage="1" showErrorMessage="1" sqref="F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">
      <formula1>0</formula1>
    </dataValidation>
    <dataValidation type="list" allowBlank="1" showInputMessage="1" showErrorMessage="1" sqref="C23">
      <formula1>UnidadesList</formula1>
    </dataValidation>
    <dataValidation type="decimal" operator="greaterThan" allowBlank="1" showInputMessage="1" showErrorMessage="1" sqref="D23">
      <formula1>0</formula1>
    </dataValidation>
    <dataValidation type="decimal" operator="greaterThan" allowBlank="1" showInputMessage="1" showErrorMessage="1" sqref="E23">
      <formula1>0</formula1>
    </dataValidation>
    <dataValidation type="whole" operator="greaterThan" allowBlank="1" showInputMessage="1" showErrorMessage="1" sqref="A24">
      <formula1>0</formula1>
    </dataValidation>
    <dataValidation type="list" allowBlank="1" showInputMessage="1" showErrorMessage="1" sqref="C24">
      <formula1>UnidadesList</formula1>
    </dataValidation>
    <dataValidation type="decimal" operator="greaterThan" allowBlank="1" showInputMessage="1" showErrorMessage="1" sqref="D24">
      <formula1>0</formula1>
    </dataValidation>
    <dataValidation type="decimal" operator="greaterThan" allowBlank="1" showInputMessage="1" showErrorMessage="1" sqref="E24">
      <formula1>0</formula1>
    </dataValidation>
    <dataValidation type="whole" operator="greaterThan" allowBlank="1" showInputMessage="1" showErrorMessage="1" sqref="A25">
      <formula1>0</formula1>
    </dataValidation>
    <dataValidation type="list" allowBlank="1" showInputMessage="1" showErrorMessage="1" sqref="C25">
      <formula1>UnidadesList</formula1>
    </dataValidation>
    <dataValidation type="decimal" operator="greaterThan" allowBlank="1" showInputMessage="1" showErrorMessage="1" sqref="D25">
      <formula1>0</formula1>
    </dataValidation>
    <dataValidation type="decimal" operator="greaterThan" allowBlank="1" showInputMessage="1" showErrorMessage="1" sqref="E25">
      <formula1>0</formula1>
    </dataValidation>
    <dataValidation type="whole" operator="greaterThan" allowBlank="1" showInputMessage="1" showErrorMessage="1" sqref="A26">
      <formula1>0</formula1>
    </dataValidation>
    <dataValidation type="list" allowBlank="1" showInputMessage="1" showErrorMessage="1" sqref="C26">
      <formula1>UnidadesList</formula1>
    </dataValidation>
    <dataValidation type="decimal" operator="greaterThan" allowBlank="1" showInputMessage="1" showErrorMessage="1" sqref="D26">
      <formula1>0</formula1>
    </dataValidation>
    <dataValidation type="decimal" operator="greaterThan" allowBlank="1" showInputMessage="1" showErrorMessage="1" sqref="E26">
      <formula1>0</formula1>
    </dataValidation>
    <dataValidation type="whole" operator="greaterThan" allowBlank="1" showInputMessage="1" showErrorMessage="1" sqref="A27">
      <formula1>0</formula1>
    </dataValidation>
    <dataValidation type="list" allowBlank="1" showInputMessage="1" showErrorMessage="1" sqref="C27">
      <formula1>UnidadesList</formula1>
    </dataValidation>
    <dataValidation type="decimal" operator="greaterThan" allowBlank="1" showInputMessage="1" showErrorMessage="1" sqref="D27">
      <formula1>0</formula1>
    </dataValidation>
    <dataValidation type="decimal" operator="greaterThan" allowBlank="1" showInputMessage="1" showErrorMessage="1" sqref="E27">
      <formula1>0</formula1>
    </dataValidation>
    <dataValidation type="whole" operator="greaterThan" allowBlank="1" showInputMessage="1" showErrorMessage="1" sqref="A28">
      <formula1>0</formula1>
    </dataValidation>
    <dataValidation type="list" allowBlank="1" showInputMessage="1" showErrorMessage="1" sqref="C28">
      <formula1>UnidadesList</formula1>
    </dataValidation>
    <dataValidation type="decimal" operator="greaterThan" allowBlank="1" showInputMessage="1" showErrorMessage="1" sqref="D28">
      <formula1>0</formula1>
    </dataValidation>
    <dataValidation type="decimal" operator="greaterThan" allowBlank="1" showInputMessage="1" showErrorMessage="1" sqref="E28">
      <formula1>0</formula1>
    </dataValidation>
    <dataValidation type="whole" operator="greaterThan" allowBlank="1" showInputMessage="1" showErrorMessage="1" sqref="A29">
      <formula1>0</formula1>
    </dataValidation>
    <dataValidation type="list" allowBlank="1" showInputMessage="1" showErrorMessage="1" sqref="C29">
      <formula1>UnidadesList</formula1>
    </dataValidation>
    <dataValidation type="decimal" operator="greaterThan" allowBlank="1" showInputMessage="1" showErrorMessage="1" sqref="D29">
      <formula1>0</formula1>
    </dataValidation>
    <dataValidation type="decimal" operator="greaterThan" allowBlank="1" showInputMessage="1" showErrorMessage="1" sqref="E29">
      <formula1>0</formula1>
    </dataValidation>
    <dataValidation type="whole" operator="greaterThan" allowBlank="1" showInputMessage="1" showErrorMessage="1" sqref="A30">
      <formula1>0</formula1>
    </dataValidation>
    <dataValidation type="list" allowBlank="1" showInputMessage="1" showErrorMessage="1" sqref="C30">
      <formula1>UnidadesList</formula1>
    </dataValidation>
    <dataValidation type="decimal" operator="greaterThan" allowBlank="1" showInputMessage="1" showErrorMessage="1" sqref="D30">
      <formula1>0</formula1>
    </dataValidation>
    <dataValidation type="decimal" operator="greaterThan" allowBlank="1" showInputMessage="1" showErrorMessage="1" sqref="E30">
      <formula1>0</formula1>
    </dataValidation>
    <dataValidation type="whole" operator="greaterThan" allowBlank="1" showInputMessage="1" showErrorMessage="1" sqref="A31">
      <formula1>0</formula1>
    </dataValidation>
    <dataValidation type="list" allowBlank="1" showInputMessage="1" showErrorMessage="1" sqref="C31">
      <formula1>UnidadesList</formula1>
    </dataValidation>
    <dataValidation type="decimal" operator="greaterThan" allowBlank="1" showInputMessage="1" showErrorMessage="1" sqref="D31">
      <formula1>0</formula1>
    </dataValidation>
    <dataValidation type="decimal" operator="greaterThan" allowBlank="1" showInputMessage="1" showErrorMessage="1" sqref="E31">
      <formula1>0</formula1>
    </dataValidation>
    <dataValidation type="whole" operator="greaterThan" allowBlank="1" showInputMessage="1" showErrorMessage="1" sqref="A32">
      <formula1>0</formula1>
    </dataValidation>
    <dataValidation type="list" allowBlank="1" showInputMessage="1" showErrorMessage="1" sqref="C32">
      <formula1>UnidadesList</formula1>
    </dataValidation>
    <dataValidation type="decimal" operator="greaterThan" allowBlank="1" showInputMessage="1" showErrorMessage="1" sqref="D32">
      <formula1>0</formula1>
    </dataValidation>
    <dataValidation type="decimal" operator="greaterThan" allowBlank="1" showInputMessage="1" showErrorMessage="1" sqref="E32">
      <formula1>0</formula1>
    </dataValidation>
    <dataValidation type="whole" operator="greaterThan" allowBlank="1" showInputMessage="1" showErrorMessage="1" sqref="A33">
      <formula1>0</formula1>
    </dataValidation>
    <dataValidation type="list" allowBlank="1" showInputMessage="1" showErrorMessage="1" sqref="C33">
      <formula1>UnidadesList</formula1>
    </dataValidation>
    <dataValidation type="decimal" operator="greaterThan" allowBlank="1" showInputMessage="1" showErrorMessage="1" sqref="D33">
      <formula1>0</formula1>
    </dataValidation>
    <dataValidation type="decimal" operator="greaterThan" allowBlank="1" showInputMessage="1" showErrorMessage="1" sqref="E33">
      <formula1>0</formula1>
    </dataValidation>
    <dataValidation type="whole" operator="greaterThan" allowBlank="1" showInputMessage="1" showErrorMessage="1" sqref="A34">
      <formula1>0</formula1>
    </dataValidation>
    <dataValidation type="list" allowBlank="1" showInputMessage="1" showErrorMessage="1" sqref="C34">
      <formula1>UnidadesList</formula1>
    </dataValidation>
    <dataValidation type="decimal" operator="greaterThan" allowBlank="1" showInputMessage="1" showErrorMessage="1" sqref="D34">
      <formula1>0</formula1>
    </dataValidation>
    <dataValidation type="decimal" operator="greaterThan" allowBlank="1" showInputMessage="1" showErrorMessage="1" sqref="E34">
      <formula1>0</formula1>
    </dataValidation>
    <dataValidation type="whole" operator="greaterThan" allowBlank="1" showInputMessage="1" showErrorMessage="1" sqref="A35">
      <formula1>0</formula1>
    </dataValidation>
    <dataValidation type="list" allowBlank="1" showInputMessage="1" showErrorMessage="1" sqref="C35">
      <formula1>UnidadesList</formula1>
    </dataValidation>
    <dataValidation type="decimal" operator="greaterThan" allowBlank="1" showInputMessage="1" showErrorMessage="1" sqref="D35">
      <formula1>0</formula1>
    </dataValidation>
    <dataValidation type="decimal" operator="greaterThan" allowBlank="1" showInputMessage="1" showErrorMessage="1" sqref="E35">
      <formula1>0</formula1>
    </dataValidation>
    <dataValidation type="whole" operator="greaterThan" allowBlank="1" showInputMessage="1" showErrorMessage="1" sqref="A36">
      <formula1>0</formula1>
    </dataValidation>
    <dataValidation type="list" allowBlank="1" showInputMessage="1" showErrorMessage="1" sqref="C36">
      <formula1>UnidadesList</formula1>
    </dataValidation>
    <dataValidation type="decimal" operator="greaterThan" allowBlank="1" showInputMessage="1" showErrorMessage="1" sqref="D36">
      <formula1>0</formula1>
    </dataValidation>
    <dataValidation type="decimal" operator="greaterThan" allowBlank="1" showInputMessage="1" showErrorMessage="1" sqref="E36">
      <formula1>0</formula1>
    </dataValidation>
    <dataValidation type="whole" operator="greaterThan" allowBlank="1" showInputMessage="1" showErrorMessage="1" sqref="A37">
      <formula1>0</formula1>
    </dataValidation>
    <dataValidation type="list" allowBlank="1" showInputMessage="1" showErrorMessage="1" sqref="C37">
      <formula1>UnidadesList</formula1>
    </dataValidation>
    <dataValidation type="decimal" operator="greaterThan" allowBlank="1" showInputMessage="1" showErrorMessage="1" sqref="D37">
      <formula1>0</formula1>
    </dataValidation>
    <dataValidation type="decimal" operator="greaterThan" allowBlank="1" showInputMessage="1" showErrorMessage="1" sqref="E37">
      <formula1>0</formula1>
    </dataValidation>
    <dataValidation type="whole" operator="greaterThan" allowBlank="1" showInputMessage="1" showErrorMessage="1" sqref="A38">
      <formula1>0</formula1>
    </dataValidation>
    <dataValidation type="list" allowBlank="1" showInputMessage="1" showErrorMessage="1" sqref="C38">
      <formula1>UnidadesList</formula1>
    </dataValidation>
    <dataValidation type="decimal" operator="greaterThan" allowBlank="1" showInputMessage="1" showErrorMessage="1" sqref="D38">
      <formula1>0</formula1>
    </dataValidation>
    <dataValidation type="decimal" operator="greaterThan" allowBlank="1" showInputMessage="1" showErrorMessage="1" sqref="E38">
      <formula1>0</formula1>
    </dataValidation>
    <dataValidation type="whole" operator="greaterThan" allowBlank="1" showInputMessage="1" showErrorMessage="1" sqref="A39">
      <formula1>0</formula1>
    </dataValidation>
    <dataValidation type="list" allowBlank="1" showInputMessage="1" showErrorMessage="1" sqref="C39">
      <formula1>UnidadesList</formula1>
    </dataValidation>
    <dataValidation type="decimal" operator="greaterThan" allowBlank="1" showInputMessage="1" showErrorMessage="1" sqref="D39">
      <formula1>0</formula1>
    </dataValidation>
    <dataValidation type="decimal" operator="greaterThan" allowBlank="1" showInputMessage="1" showErrorMessage="1" sqref="E39">
      <formula1>0</formula1>
    </dataValidation>
    <dataValidation type="whole" operator="greaterThan" allowBlank="1" showInputMessage="1" showErrorMessage="1" sqref="A40">
      <formula1>0</formula1>
    </dataValidation>
    <dataValidation type="list" allowBlank="1" showInputMessage="1" showErrorMessage="1" sqref="C40">
      <formula1>UnidadesList</formula1>
    </dataValidation>
    <dataValidation type="decimal" operator="greaterThan" allowBlank="1" showInputMessage="1" showErrorMessage="1" sqref="D40">
      <formula1>0</formula1>
    </dataValidation>
    <dataValidation type="decimal" operator="greaterThan" allowBlank="1" showInputMessage="1" showErrorMessage="1" sqref="E40">
      <formula1>0</formula1>
    </dataValidation>
    <dataValidation type="whole" operator="greaterThan" allowBlank="1" showInputMessage="1" showErrorMessage="1" sqref="A41">
      <formula1>0</formula1>
    </dataValidation>
    <dataValidation type="list" allowBlank="1" showInputMessage="1" showErrorMessage="1" sqref="C41">
      <formula1>UnidadesList</formula1>
    </dataValidation>
    <dataValidation type="decimal" operator="greaterThan" allowBlank="1" showInputMessage="1" showErrorMessage="1" sqref="D41">
      <formula1>0</formula1>
    </dataValidation>
    <dataValidation type="decimal" operator="greaterThan" allowBlank="1" showInputMessage="1" showErrorMessage="1" sqref="E41">
      <formula1>0</formula1>
    </dataValidation>
    <dataValidation type="whole" operator="greaterThan" allowBlank="1" showInputMessage="1" showErrorMessage="1" sqref="A42">
      <formula1>0</formula1>
    </dataValidation>
    <dataValidation type="list" allowBlank="1" showInputMessage="1" showErrorMessage="1" sqref="C42">
      <formula1>UnidadesList</formula1>
    </dataValidation>
    <dataValidation type="decimal" operator="greaterThan" allowBlank="1" showInputMessage="1" showErrorMessage="1" sqref="D42">
      <formula1>0</formula1>
    </dataValidation>
    <dataValidation type="decimal" operator="greaterThan" allowBlank="1" showInputMessage="1" showErrorMessage="1" sqref="E42">
      <formula1>0</formula1>
    </dataValidation>
    <dataValidation type="whole" operator="greaterThan" allowBlank="1" showInputMessage="1" showErrorMessage="1" sqref="A43">
      <formula1>0</formula1>
    </dataValidation>
    <dataValidation type="list" allowBlank="1" showInputMessage="1" showErrorMessage="1" sqref="C43">
      <formula1>UnidadesList</formula1>
    </dataValidation>
    <dataValidation type="decimal" operator="greaterThan" allowBlank="1" showInputMessage="1" showErrorMessage="1" sqref="D43">
      <formula1>0</formula1>
    </dataValidation>
    <dataValidation type="decimal" operator="greaterThan" allowBlank="1" showInputMessage="1" showErrorMessage="1" sqref="E43">
      <formula1>0</formula1>
    </dataValidation>
    <dataValidation type="date" operator="lessThanOrEqual" allowBlank="1" showInputMessage="1" showErrorMessage="1" sqref="C48">
      <formula1>C50</formula1>
    </dataValidation>
    <dataValidation type="date" operator="greaterThanOrEqual" allowBlank="1" showInputMessage="1" showErrorMessage="1" sqref="C50">
      <formula1>C48</formula1>
    </dataValidation>
    <dataValidation type="list" allowBlank="1" showInputMessage="1" showErrorMessage="1" sqref="F4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4">
      <formula1>0</formula1>
    </dataValidation>
    <dataValidation type="list" allowBlank="1" showInputMessage="1" showErrorMessage="1" sqref="C54">
      <formula1>UnidadesList</formula1>
    </dataValidation>
    <dataValidation type="decimal" operator="greaterThan" allowBlank="1" showInputMessage="1" showErrorMessage="1" sqref="D54">
      <formula1>0</formula1>
    </dataValidation>
    <dataValidation type="decimal" operator="greaterThan" allowBlank="1" showInputMessage="1" showErrorMessage="1" sqref="E54">
      <formula1>0</formula1>
    </dataValidation>
    <dataValidation type="whole" operator="greaterThan" allowBlank="1" showInputMessage="1" showErrorMessage="1" sqref="A55">
      <formula1>0</formula1>
    </dataValidation>
    <dataValidation type="list" allowBlank="1" showInputMessage="1" showErrorMessage="1" sqref="C55">
      <formula1>UnidadesList</formula1>
    </dataValidation>
    <dataValidation type="decimal" operator="greaterThan" allowBlank="1" showInputMessage="1" showErrorMessage="1" sqref="D55">
      <formula1>0</formula1>
    </dataValidation>
    <dataValidation type="decimal" operator="greaterThan" allowBlank="1" showInputMessage="1" showErrorMessage="1" sqref="E55">
      <formula1>0</formula1>
    </dataValidation>
    <dataValidation type="whole" operator="greaterThan" allowBlank="1" showInputMessage="1" showErrorMessage="1" sqref="A56">
      <formula1>0</formula1>
    </dataValidation>
    <dataValidation type="list" allowBlank="1" showInputMessage="1" showErrorMessage="1" sqref="C56">
      <formula1>UnidadesList</formula1>
    </dataValidation>
    <dataValidation type="decimal" operator="greaterThan" allowBlank="1" showInputMessage="1" showErrorMessage="1" sqref="D56">
      <formula1>0</formula1>
    </dataValidation>
    <dataValidation type="decimal" operator="greaterThan" allowBlank="1" showInputMessage="1" showErrorMessage="1" sqref="E56">
      <formula1>0</formula1>
    </dataValidation>
    <dataValidation type="whole" operator="greaterThan" allowBlank="1" showInputMessage="1" showErrorMessage="1" sqref="A57">
      <formula1>0</formula1>
    </dataValidation>
    <dataValidation type="list" allowBlank="1" showInputMessage="1" showErrorMessage="1" sqref="C57">
      <formula1>UnidadesList</formula1>
    </dataValidation>
    <dataValidation type="decimal" operator="greaterThan" allowBlank="1" showInputMessage="1" showErrorMessage="1" sqref="D57">
      <formula1>0</formula1>
    </dataValidation>
    <dataValidation type="decimal" operator="greaterThan" allowBlank="1" showInputMessage="1" showErrorMessage="1" sqref="E57">
      <formula1>0</formula1>
    </dataValidation>
    <dataValidation type="whole" operator="greaterThan" allowBlank="1" showInputMessage="1" showErrorMessage="1" sqref="A58">
      <formula1>0</formula1>
    </dataValidation>
    <dataValidation type="list" allowBlank="1" showInputMessage="1" showErrorMessage="1" sqref="C58">
      <formula1>UnidadesList</formula1>
    </dataValidation>
    <dataValidation type="decimal" operator="greaterThan" allowBlank="1" showInputMessage="1" showErrorMessage="1" sqref="D58">
      <formula1>0</formula1>
    </dataValidation>
    <dataValidation type="decimal" operator="greaterThan" allowBlank="1" showInputMessage="1" showErrorMessage="1" sqref="E58">
      <formula1>0</formula1>
    </dataValidation>
    <dataValidation type="whole" operator="greaterThan" allowBlank="1" showInputMessage="1" showErrorMessage="1" sqref="A59">
      <formula1>0</formula1>
    </dataValidation>
    <dataValidation type="list" allowBlank="1" showInputMessage="1" showErrorMessage="1" sqref="C59">
      <formula1>UnidadesList</formula1>
    </dataValidation>
    <dataValidation type="decimal" operator="greaterThan" allowBlank="1" showInputMessage="1" showErrorMessage="1" sqref="D59">
      <formula1>0</formula1>
    </dataValidation>
    <dataValidation type="decimal" operator="greaterThan" allowBlank="1" showInputMessage="1" showErrorMessage="1" sqref="E59">
      <formula1>0</formula1>
    </dataValidation>
    <dataValidation type="whole" operator="greaterThan" allowBlank="1" showInputMessage="1" showErrorMessage="1" sqref="A60">
      <formula1>0</formula1>
    </dataValidation>
    <dataValidation type="list" allowBlank="1" showInputMessage="1" showErrorMessage="1" sqref="C60">
      <formula1>UnidadesList</formula1>
    </dataValidation>
    <dataValidation type="decimal" operator="greaterThan" allowBlank="1" showInputMessage="1" showErrorMessage="1" sqref="D60">
      <formula1>0</formula1>
    </dataValidation>
    <dataValidation type="decimal" operator="greaterThan" allowBlank="1" showInputMessage="1" showErrorMessage="1" sqref="E60">
      <formula1>0</formula1>
    </dataValidation>
    <dataValidation type="whole" operator="greaterThan" allowBlank="1" showInputMessage="1" showErrorMessage="1" sqref="A61">
      <formula1>0</formula1>
    </dataValidation>
    <dataValidation type="list" allowBlank="1" showInputMessage="1" showErrorMessage="1" sqref="C61">
      <formula1>UnidadesList</formula1>
    </dataValidation>
    <dataValidation type="decimal" operator="greaterThan" allowBlank="1" showInputMessage="1" showErrorMessage="1" sqref="D61">
      <formula1>0</formula1>
    </dataValidation>
    <dataValidation type="decimal" operator="greaterThan" allowBlank="1" showInputMessage="1" showErrorMessage="1" sqref="E61">
      <formula1>0</formula1>
    </dataValidation>
    <dataValidation type="whole" operator="greaterThan" allowBlank="1" showInputMessage="1" showErrorMessage="1" sqref="A62">
      <formula1>0</formula1>
    </dataValidation>
    <dataValidation type="list" allowBlank="1" showInputMessage="1" showErrorMessage="1" sqref="C62">
      <formula1>UnidadesList</formula1>
    </dataValidation>
    <dataValidation type="decimal" operator="greaterThan" allowBlank="1" showInputMessage="1" showErrorMessage="1" sqref="D62">
      <formula1>0</formula1>
    </dataValidation>
    <dataValidation type="decimal" operator="greaterThan" allowBlank="1" showInputMessage="1" showErrorMessage="1" sqref="E62">
      <formula1>0</formula1>
    </dataValidation>
    <dataValidation type="whole" operator="greaterThan" allowBlank="1" showInputMessage="1" showErrorMessage="1" sqref="A63">
      <formula1>0</formula1>
    </dataValidation>
    <dataValidation type="list" allowBlank="1" showInputMessage="1" showErrorMessage="1" sqref="C63">
      <formula1>UnidadesList</formula1>
    </dataValidation>
    <dataValidation type="decimal" operator="greaterThan" allowBlank="1" showInputMessage="1" showErrorMessage="1" sqref="D63">
      <formula1>0</formula1>
    </dataValidation>
    <dataValidation type="decimal" operator="greaterThan" allowBlank="1" showInputMessage="1" showErrorMessage="1" sqref="E63">
      <formula1>0</formula1>
    </dataValidation>
    <dataValidation type="whole" operator="greaterThan" allowBlank="1" showInputMessage="1" showErrorMessage="1" sqref="A64">
      <formula1>0</formula1>
    </dataValidation>
    <dataValidation type="list" allowBlank="1" showInputMessage="1" showErrorMessage="1" sqref="C64">
      <formula1>UnidadesList</formula1>
    </dataValidation>
    <dataValidation type="decimal" operator="greaterThan" allowBlank="1" showInputMessage="1" showErrorMessage="1" sqref="D64">
      <formula1>0</formula1>
    </dataValidation>
    <dataValidation type="decimal" operator="greaterThan" allowBlank="1" showInputMessage="1" showErrorMessage="1" sqref="E64">
      <formula1>0</formula1>
    </dataValidation>
    <dataValidation type="whole" operator="greaterThan" allowBlank="1" showInputMessage="1" showErrorMessage="1" sqref="A65">
      <formula1>0</formula1>
    </dataValidation>
    <dataValidation type="list" allowBlank="1" showInputMessage="1" showErrorMessage="1" sqref="C65">
      <formula1>UnidadesList</formula1>
    </dataValidation>
    <dataValidation type="decimal" operator="greaterThan" allowBlank="1" showInputMessage="1" showErrorMessage="1" sqref="D65">
      <formula1>0</formula1>
    </dataValidation>
    <dataValidation type="decimal" operator="greaterThan" allowBlank="1" showInputMessage="1" showErrorMessage="1" sqref="E65">
      <formula1>0</formula1>
    </dataValidation>
    <dataValidation type="whole" operator="greaterThan" allowBlank="1" showInputMessage="1" showErrorMessage="1" sqref="A66">
      <formula1>0</formula1>
    </dataValidation>
    <dataValidation type="list" allowBlank="1" showInputMessage="1" showErrorMessage="1" sqref="C66">
      <formula1>UnidadesList</formula1>
    </dataValidation>
    <dataValidation type="decimal" operator="greaterThan" allowBlank="1" showInputMessage="1" showErrorMessage="1" sqref="D66">
      <formula1>0</formula1>
    </dataValidation>
    <dataValidation type="decimal" operator="greaterThan" allowBlank="1" showInputMessage="1" showErrorMessage="1" sqref="E66">
      <formula1>0</formula1>
    </dataValidation>
    <dataValidation type="whole" operator="greaterThan" allowBlank="1" showInputMessage="1" showErrorMessage="1" sqref="A67">
      <formula1>0</formula1>
    </dataValidation>
    <dataValidation type="list" allowBlank="1" showInputMessage="1" showErrorMessage="1" sqref="C67">
      <formula1>UnidadesList</formula1>
    </dataValidation>
    <dataValidation type="decimal" operator="greaterThan" allowBlank="1" showInputMessage="1" showErrorMessage="1" sqref="D67">
      <formula1>0</formula1>
    </dataValidation>
    <dataValidation type="decimal" operator="greaterThan" allowBlank="1" showInputMessage="1" showErrorMessage="1" sqref="E67">
      <formula1>0</formula1>
    </dataValidation>
    <dataValidation type="whole" operator="greaterThan" allowBlank="1" showInputMessage="1" showErrorMessage="1" sqref="A68">
      <formula1>0</formula1>
    </dataValidation>
    <dataValidation type="list" allowBlank="1" showInputMessage="1" showErrorMessage="1" sqref="C68">
      <formula1>UnidadesList</formula1>
    </dataValidation>
    <dataValidation type="decimal" operator="greaterThan" allowBlank="1" showInputMessage="1" showErrorMessage="1" sqref="D68">
      <formula1>0</formula1>
    </dataValidation>
    <dataValidation type="decimal" operator="greaterThan" allowBlank="1" showInputMessage="1" showErrorMessage="1" sqref="E68">
      <formula1>0</formula1>
    </dataValidation>
    <dataValidation type="whole" operator="greaterThan" allowBlank="1" showInputMessage="1" showErrorMessage="1" sqref="A69">
      <formula1>0</formula1>
    </dataValidation>
    <dataValidation type="list" allowBlank="1" showInputMessage="1" showErrorMessage="1" sqref="C69">
      <formula1>UnidadesList</formula1>
    </dataValidation>
    <dataValidation type="decimal" operator="greaterThan" allowBlank="1" showInputMessage="1" showErrorMessage="1" sqref="D69">
      <formula1>0</formula1>
    </dataValidation>
    <dataValidation type="decimal" operator="greaterThan" allowBlank="1" showInputMessage="1" showErrorMessage="1" sqref="E69">
      <formula1>0</formula1>
    </dataValidation>
    <dataValidation type="whole" operator="greaterThan" allowBlank="1" showInputMessage="1" showErrorMessage="1" sqref="A70">
      <formula1>0</formula1>
    </dataValidation>
    <dataValidation type="list" allowBlank="1" showInputMessage="1" showErrorMessage="1" sqref="C70">
      <formula1>UnidadesList</formula1>
    </dataValidation>
    <dataValidation type="decimal" operator="greaterThan" allowBlank="1" showInputMessage="1" showErrorMessage="1" sqref="D70">
      <formula1>0</formula1>
    </dataValidation>
    <dataValidation type="decimal" operator="greaterThan" allowBlank="1" showInputMessage="1" showErrorMessage="1" sqref="E70">
      <formula1>0</formula1>
    </dataValidation>
    <dataValidation type="whole" operator="greaterThan" allowBlank="1" showInputMessage="1" showErrorMessage="1" sqref="A71">
      <formula1>0</formula1>
    </dataValidation>
    <dataValidation type="list" allowBlank="1" showInputMessage="1" showErrorMessage="1" sqref="C71">
      <formula1>UnidadesList</formula1>
    </dataValidation>
    <dataValidation type="decimal" operator="greaterThan" allowBlank="1" showInputMessage="1" showErrorMessage="1" sqref="D71">
      <formula1>0</formula1>
    </dataValidation>
    <dataValidation type="decimal" operator="greaterThan" allowBlank="1" showInputMessage="1" showErrorMessage="1" sqref="E71">
      <formula1>0</formula1>
    </dataValidation>
    <dataValidation type="whole" operator="greaterThan" allowBlank="1" showInputMessage="1" showErrorMessage="1" sqref="A72">
      <formula1>0</formula1>
    </dataValidation>
    <dataValidation type="list" allowBlank="1" showInputMessage="1" showErrorMessage="1" sqref="C72">
      <formula1>UnidadesList</formula1>
    </dataValidation>
    <dataValidation type="decimal" operator="greaterThan" allowBlank="1" showInputMessage="1" showErrorMessage="1" sqref="D72">
      <formula1>0</formula1>
    </dataValidation>
    <dataValidation type="decimal" operator="greaterThan" allowBlank="1" showInputMessage="1" showErrorMessage="1" sqref="E72">
      <formula1>0</formula1>
    </dataValidation>
    <dataValidation type="whole" operator="greaterThan" allowBlank="1" showInputMessage="1" showErrorMessage="1" sqref="A73">
      <formula1>0</formula1>
    </dataValidation>
    <dataValidation type="list" allowBlank="1" showInputMessage="1" showErrorMessage="1" sqref="C73">
      <formula1>UnidadesList</formula1>
    </dataValidation>
    <dataValidation type="decimal" operator="greaterThan" allowBlank="1" showInputMessage="1" showErrorMessage="1" sqref="D73">
      <formula1>0</formula1>
    </dataValidation>
    <dataValidation type="decimal" operator="greaterThan" allowBlank="1" showInputMessage="1" showErrorMessage="1" sqref="E73">
      <formula1>0</formula1>
    </dataValidation>
    <dataValidation type="whole" operator="greaterThan" allowBlank="1" showInputMessage="1" showErrorMessage="1" sqref="A74">
      <formula1>0</formula1>
    </dataValidation>
    <dataValidation type="list" allowBlank="1" showInputMessage="1" showErrorMessage="1" sqref="C74">
      <formula1>UnidadesList</formula1>
    </dataValidation>
    <dataValidation type="decimal" operator="greaterThan" allowBlank="1" showInputMessage="1" showErrorMessage="1" sqref="D74">
      <formula1>0</formula1>
    </dataValidation>
    <dataValidation type="decimal" operator="greaterThan" allowBlank="1" showInputMessage="1" showErrorMessage="1" sqref="E74">
      <formula1>0</formula1>
    </dataValidation>
    <dataValidation type="whole" operator="greaterThan" allowBlank="1" showInputMessage="1" showErrorMessage="1" sqref="A75">
      <formula1>0</formula1>
    </dataValidation>
    <dataValidation type="list" allowBlank="1" showInputMessage="1" showErrorMessage="1" sqref="C75">
      <formula1>UnidadesList</formula1>
    </dataValidation>
    <dataValidation type="decimal" operator="greaterThan" allowBlank="1" showInputMessage="1" showErrorMessage="1" sqref="D75">
      <formula1>0</formula1>
    </dataValidation>
    <dataValidation type="decimal" operator="greaterThan" allowBlank="1" showInputMessage="1" showErrorMessage="1" sqref="E75">
      <formula1>0</formula1>
    </dataValidation>
    <dataValidation type="whole" operator="greaterThan" allowBlank="1" showInputMessage="1" showErrorMessage="1" sqref="A76">
      <formula1>0</formula1>
    </dataValidation>
    <dataValidation type="list" allowBlank="1" showInputMessage="1" showErrorMessage="1" sqref="C76">
      <formula1>UnidadesList</formula1>
    </dataValidation>
    <dataValidation type="decimal" operator="greaterThan" allowBlank="1" showInputMessage="1" showErrorMessage="1" sqref="D76">
      <formula1>0</formula1>
    </dataValidation>
    <dataValidation type="decimal" operator="greaterThan" allowBlank="1" showInputMessage="1" showErrorMessage="1" sqref="E76">
      <formula1>0</formula1>
    </dataValidation>
    <dataValidation type="whole" operator="greaterThan" allowBlank="1" showInputMessage="1" showErrorMessage="1" sqref="A77">
      <formula1>0</formula1>
    </dataValidation>
    <dataValidation type="list" allowBlank="1" showInputMessage="1" showErrorMessage="1" sqref="C77">
      <formula1>UnidadesList</formula1>
    </dataValidation>
    <dataValidation type="decimal" operator="greaterThan" allowBlank="1" showInputMessage="1" showErrorMessage="1" sqref="D77">
      <formula1>0</formula1>
    </dataValidation>
    <dataValidation type="decimal" operator="greaterThan" allowBlank="1" showInputMessage="1" showErrorMessage="1" sqref="E77">
      <formula1>0</formula1>
    </dataValidation>
    <dataValidation type="whole" operator="greaterThan" allowBlank="1" showInputMessage="1" showErrorMessage="1" sqref="A78">
      <formula1>0</formula1>
    </dataValidation>
    <dataValidation type="list" allowBlank="1" showInputMessage="1" showErrorMessage="1" sqref="C78">
      <formula1>UnidadesList</formula1>
    </dataValidation>
    <dataValidation type="decimal" operator="greaterThan" allowBlank="1" showInputMessage="1" showErrorMessage="1" sqref="D78">
      <formula1>0</formula1>
    </dataValidation>
    <dataValidation type="decimal" operator="greaterThan" allowBlank="1" showInputMessage="1" showErrorMessage="1" sqref="E78">
      <formula1>0</formula1>
    </dataValidation>
    <dataValidation type="whole" operator="greaterThan" allowBlank="1" showInputMessage="1" showErrorMessage="1" sqref="A79">
      <formula1>0</formula1>
    </dataValidation>
    <dataValidation type="list" allowBlank="1" showInputMessage="1" showErrorMessage="1" sqref="C79">
      <formula1>UnidadesList</formula1>
    </dataValidation>
    <dataValidation type="decimal" operator="greaterThan" allowBlank="1" showInputMessage="1" showErrorMessage="1" sqref="D79">
      <formula1>0</formula1>
    </dataValidation>
    <dataValidation type="decimal" operator="greaterThan" allowBlank="1" showInputMessage="1" showErrorMessage="1" sqref="E79">
      <formula1>0</formula1>
    </dataValidation>
    <dataValidation type="whole" operator="greaterThan" allowBlank="1" showInputMessage="1" showErrorMessage="1" sqref="A80">
      <formula1>0</formula1>
    </dataValidation>
    <dataValidation type="list" allowBlank="1" showInputMessage="1" showErrorMessage="1" sqref="C80">
      <formula1>UnidadesList</formula1>
    </dataValidation>
    <dataValidation type="decimal" operator="greaterThan" allowBlank="1" showInputMessage="1" showErrorMessage="1" sqref="D80">
      <formula1>0</formula1>
    </dataValidation>
    <dataValidation type="decimal" operator="greaterThan" allowBlank="1" showInputMessage="1" showErrorMessage="1" sqref="E80">
      <formula1>0</formula1>
    </dataValidation>
    <dataValidation type="whole" operator="greaterThan" allowBlank="1" showInputMessage="1" showErrorMessage="1" sqref="A81">
      <formula1>0</formula1>
    </dataValidation>
    <dataValidation type="list" allowBlank="1" showInputMessage="1" showErrorMessage="1" sqref="C81">
      <formula1>UnidadesList</formula1>
    </dataValidation>
    <dataValidation type="decimal" operator="greaterThan" allowBlank="1" showInputMessage="1" showErrorMessage="1" sqref="D81">
      <formula1>0</formula1>
    </dataValidation>
    <dataValidation type="decimal" operator="greaterThan" allowBlank="1" showInputMessage="1" showErrorMessage="1" sqref="E81">
      <formula1>0</formula1>
    </dataValidation>
    <dataValidation type="whole" operator="greaterThan" allowBlank="1" showInputMessage="1" showErrorMessage="1" sqref="A82">
      <formula1>0</formula1>
    </dataValidation>
    <dataValidation type="list" allowBlank="1" showInputMessage="1" showErrorMessage="1" sqref="C82">
      <formula1>UnidadesList</formula1>
    </dataValidation>
    <dataValidation type="decimal" operator="greaterThan" allowBlank="1" showInputMessage="1" showErrorMessage="1" sqref="D82">
      <formula1>0</formula1>
    </dataValidation>
    <dataValidation type="decimal" operator="greaterThan" allowBlank="1" showInputMessage="1" showErrorMessage="1" sqref="E82">
      <formula1>0</formula1>
    </dataValidation>
    <dataValidation type="whole" operator="greaterThan" allowBlank="1" showInputMessage="1" showErrorMessage="1" sqref="A83">
      <formula1>0</formula1>
    </dataValidation>
    <dataValidation type="list" allowBlank="1" showInputMessage="1" showErrorMessage="1" sqref="C83">
      <formula1>UnidadesList</formula1>
    </dataValidation>
    <dataValidation type="decimal" operator="greaterThan" allowBlank="1" showInputMessage="1" showErrorMessage="1" sqref="D83">
      <formula1>0</formula1>
    </dataValidation>
    <dataValidation type="decimal" operator="greaterThan" allowBlank="1" showInputMessage="1" showErrorMessage="1" sqref="E83">
      <formula1>0</formula1>
    </dataValidation>
    <dataValidation type="whole" operator="greaterThan" allowBlank="1" showInputMessage="1" showErrorMessage="1" sqref="A84">
      <formula1>0</formula1>
    </dataValidation>
    <dataValidation type="list" allowBlank="1" showInputMessage="1" showErrorMessage="1" sqref="C84">
      <formula1>UnidadesList</formula1>
    </dataValidation>
    <dataValidation type="decimal" operator="greaterThan" allowBlank="1" showInputMessage="1" showErrorMessage="1" sqref="D84">
      <formula1>0</formula1>
    </dataValidation>
    <dataValidation type="decimal" operator="greaterThan" allowBlank="1" showInputMessage="1" showErrorMessage="1" sqref="E84">
      <formula1>0</formula1>
    </dataValidation>
    <dataValidation type="whole" operator="greaterThan" allowBlank="1" showInputMessage="1" showErrorMessage="1" sqref="A85">
      <formula1>0</formula1>
    </dataValidation>
    <dataValidation type="list" allowBlank="1" showInputMessage="1" showErrorMessage="1" sqref="C85">
      <formula1>UnidadesList</formula1>
    </dataValidation>
    <dataValidation type="decimal" operator="greaterThan" allowBlank="1" showInputMessage="1" showErrorMessage="1" sqref="D85">
      <formula1>0</formula1>
    </dataValidation>
    <dataValidation type="decimal" operator="greaterThan" allowBlank="1" showInputMessage="1" showErrorMessage="1" sqref="E85">
      <formula1>0</formula1>
    </dataValidation>
    <dataValidation type="whole" operator="greaterThan" allowBlank="1" showInputMessage="1" showErrorMessage="1" sqref="A86">
      <formula1>0</formula1>
    </dataValidation>
    <dataValidation type="list" allowBlank="1" showInputMessage="1" showErrorMessage="1" sqref="C86">
      <formula1>UnidadesList</formula1>
    </dataValidation>
    <dataValidation type="decimal" operator="greaterThan" allowBlank="1" showInputMessage="1" showErrorMessage="1" sqref="D86">
      <formula1>0</formula1>
    </dataValidation>
    <dataValidation type="decimal" operator="greaterThan" allowBlank="1" showInputMessage="1" showErrorMessage="1" sqref="E86">
      <formula1>0</formula1>
    </dataValidation>
    <dataValidation type="whole" operator="greaterThan" allowBlank="1" showInputMessage="1" showErrorMessage="1" sqref="A87">
      <formula1>0</formula1>
    </dataValidation>
    <dataValidation type="list" allowBlank="1" showInputMessage="1" showErrorMessage="1" sqref="C87">
      <formula1>UnidadesList</formula1>
    </dataValidation>
    <dataValidation type="decimal" operator="greaterThan" allowBlank="1" showInputMessage="1" showErrorMessage="1" sqref="D87">
      <formula1>0</formula1>
    </dataValidation>
    <dataValidation type="decimal" operator="greaterThan" allowBlank="1" showInputMessage="1" showErrorMessage="1" sqref="E87">
      <formula1>0</formula1>
    </dataValidation>
    <dataValidation type="whole" operator="greaterThan" allowBlank="1" showInputMessage="1" showErrorMessage="1" sqref="A88">
      <formula1>0</formula1>
    </dataValidation>
    <dataValidation type="list" allowBlank="1" showInputMessage="1" showErrorMessage="1" sqref="C88">
      <formula1>UnidadesList</formula1>
    </dataValidation>
    <dataValidation type="decimal" operator="greaterThan" allowBlank="1" showInputMessage="1" showErrorMessage="1" sqref="D88">
      <formula1>0</formula1>
    </dataValidation>
    <dataValidation type="decimal" operator="greaterThan" allowBlank="1" showInputMessage="1" showErrorMessage="1" sqref="E88">
      <formula1>0</formula1>
    </dataValidation>
    <dataValidation type="whole" operator="greaterThan" allowBlank="1" showInputMessage="1" showErrorMessage="1" sqref="A89">
      <formula1>0</formula1>
    </dataValidation>
    <dataValidation type="list" allowBlank="1" showInputMessage="1" showErrorMessage="1" sqref="C89">
      <formula1>UnidadesList</formula1>
    </dataValidation>
    <dataValidation type="decimal" operator="greaterThan" allowBlank="1" showInputMessage="1" showErrorMessage="1" sqref="D89">
      <formula1>0</formula1>
    </dataValidation>
    <dataValidation type="decimal" operator="greaterThan" allowBlank="1" showInputMessage="1" showErrorMessage="1" sqref="E89">
      <formula1>0</formula1>
    </dataValidation>
    <dataValidation type="whole" operator="greaterThan" allowBlank="1" showInputMessage="1" showErrorMessage="1" sqref="A90">
      <formula1>0</formula1>
    </dataValidation>
    <dataValidation type="list" allowBlank="1" showInputMessage="1" showErrorMessage="1" sqref="C90">
      <formula1>UnidadesList</formula1>
    </dataValidation>
    <dataValidation type="decimal" operator="greaterThan" allowBlank="1" showInputMessage="1" showErrorMessage="1" sqref="D90">
      <formula1>0</formula1>
    </dataValidation>
    <dataValidation type="decimal" operator="greaterThan" allowBlank="1" showInputMessage="1" showErrorMessage="1" sqref="E90">
      <formula1>0</formula1>
    </dataValidation>
    <dataValidation type="whole" operator="greaterThan" allowBlank="1" showInputMessage="1" showErrorMessage="1" sqref="A91">
      <formula1>0</formula1>
    </dataValidation>
    <dataValidation type="list" allowBlank="1" showInputMessage="1" showErrorMessage="1" sqref="C91">
      <formula1>UnidadesList</formula1>
    </dataValidation>
    <dataValidation type="decimal" operator="greaterThan" allowBlank="1" showInputMessage="1" showErrorMessage="1" sqref="D91">
      <formula1>0</formula1>
    </dataValidation>
    <dataValidation type="decimal" operator="greaterThan" allowBlank="1" showInputMessage="1" showErrorMessage="1" sqref="E91">
      <formula1>0</formula1>
    </dataValidation>
    <dataValidation type="whole" operator="greaterThan" allowBlank="1" showInputMessage="1" showErrorMessage="1" sqref="A92">
      <formula1>0</formula1>
    </dataValidation>
    <dataValidation type="list" allowBlank="1" showInputMessage="1" showErrorMessage="1" sqref="C92">
      <formula1>UnidadesList</formula1>
    </dataValidation>
    <dataValidation type="decimal" operator="greaterThan" allowBlank="1" showInputMessage="1" showErrorMessage="1" sqref="D92">
      <formula1>0</formula1>
    </dataValidation>
    <dataValidation type="decimal" operator="greaterThan" allowBlank="1" showInputMessage="1" showErrorMessage="1" sqref="E92">
      <formula1>0</formula1>
    </dataValidation>
    <dataValidation type="whole" operator="greaterThan" allowBlank="1" showInputMessage="1" showErrorMessage="1" sqref="A93">
      <formula1>0</formula1>
    </dataValidation>
    <dataValidation type="list" allowBlank="1" showInputMessage="1" showErrorMessage="1" sqref="C93">
      <formula1>UnidadesList</formula1>
    </dataValidation>
    <dataValidation type="decimal" operator="greaterThan" allowBlank="1" showInputMessage="1" showErrorMessage="1" sqref="D93">
      <formula1>0</formula1>
    </dataValidation>
    <dataValidation type="decimal" operator="greaterThan" allowBlank="1" showInputMessage="1" showErrorMessage="1" sqref="E93">
      <formula1>0</formula1>
    </dataValidation>
    <dataValidation type="whole" operator="greaterThan" allowBlank="1" showInputMessage="1" showErrorMessage="1" sqref="A94">
      <formula1>0</formula1>
    </dataValidation>
    <dataValidation type="list" allowBlank="1" showInputMessage="1" showErrorMessage="1" sqref="C94">
      <formula1>UnidadesList</formula1>
    </dataValidation>
    <dataValidation type="decimal" operator="greaterThan" allowBlank="1" showInputMessage="1" showErrorMessage="1" sqref="D94">
      <formula1>0</formula1>
    </dataValidation>
    <dataValidation type="decimal" operator="greaterThan" allowBlank="1" showInputMessage="1" showErrorMessage="1" sqref="E94">
      <formula1>0</formula1>
    </dataValidation>
    <dataValidation type="whole" operator="greaterThan" allowBlank="1" showInputMessage="1" showErrorMessage="1" sqref="A95">
      <formula1>0</formula1>
    </dataValidation>
    <dataValidation type="list" allowBlank="1" showInputMessage="1" showErrorMessage="1" sqref="C95">
      <formula1>UnidadesList</formula1>
    </dataValidation>
    <dataValidation type="decimal" operator="greaterThan" allowBlank="1" showInputMessage="1" showErrorMessage="1" sqref="D95">
      <formula1>0</formula1>
    </dataValidation>
    <dataValidation type="decimal" operator="greaterThan" allowBlank="1" showInputMessage="1" showErrorMessage="1" sqref="E95">
      <formula1>0</formula1>
    </dataValidation>
    <dataValidation type="whole" operator="greaterThan" allowBlank="1" showInputMessage="1" showErrorMessage="1" sqref="A96">
      <formula1>0</formula1>
    </dataValidation>
    <dataValidation type="list" allowBlank="1" showInputMessage="1" showErrorMessage="1" sqref="C96">
      <formula1>UnidadesList</formula1>
    </dataValidation>
    <dataValidation type="decimal" operator="greaterThan" allowBlank="1" showInputMessage="1" showErrorMessage="1" sqref="D96">
      <formula1>0</formula1>
    </dataValidation>
    <dataValidation type="decimal" operator="greaterThan" allowBlank="1" showInputMessage="1" showErrorMessage="1" sqref="E96">
      <formula1>0</formula1>
    </dataValidation>
    <dataValidation type="whole" operator="greaterThan" allowBlank="1" showInputMessage="1" showErrorMessage="1" sqref="A97">
      <formula1>0</formula1>
    </dataValidation>
    <dataValidation type="list" allowBlank="1" showInputMessage="1" showErrorMessage="1" sqref="C97">
      <formula1>UnidadesList</formula1>
    </dataValidation>
    <dataValidation type="decimal" operator="greaterThan" allowBlank="1" showInputMessage="1" showErrorMessage="1" sqref="D97">
      <formula1>0</formula1>
    </dataValidation>
    <dataValidation type="decimal" operator="greaterThan" allowBlank="1" showInputMessage="1" showErrorMessage="1" sqref="E97">
      <formula1>0</formula1>
    </dataValidation>
    <dataValidation type="date" operator="lessThanOrEqual" allowBlank="1" showInputMessage="1" showErrorMessage="1" sqref="C102">
      <formula1>C104</formula1>
    </dataValidation>
    <dataValidation type="date" operator="greaterThanOrEqual" allowBlank="1" showInputMessage="1" showErrorMessage="1" sqref="C104">
      <formula1>C102</formula1>
    </dataValidation>
    <dataValidation type="list" allowBlank="1" showInputMessage="1" showErrorMessage="1" sqref="F1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8">
      <formula1>0</formula1>
    </dataValidation>
    <dataValidation type="list" allowBlank="1" showInputMessage="1" showErrorMessage="1" sqref="C108">
      <formula1>UnidadesList</formula1>
    </dataValidation>
    <dataValidation type="decimal" operator="greaterThan" allowBlank="1" showInputMessage="1" showErrorMessage="1" sqref="D108">
      <formula1>0</formula1>
    </dataValidation>
    <dataValidation type="decimal" operator="greaterThan" allowBlank="1" showInputMessage="1" showErrorMessage="1" sqref="E108">
      <formula1>0</formula1>
    </dataValidation>
    <dataValidation type="whole" operator="greaterThan" allowBlank="1" showInputMessage="1" showErrorMessage="1" sqref="A109">
      <formula1>0</formula1>
    </dataValidation>
    <dataValidation type="list" allowBlank="1" showInputMessage="1" showErrorMessage="1" sqref="C109">
      <formula1>UnidadesList</formula1>
    </dataValidation>
    <dataValidation type="decimal" operator="greaterThan" allowBlank="1" showInputMessage="1" showErrorMessage="1" sqref="D109">
      <formula1>0</formula1>
    </dataValidation>
    <dataValidation type="decimal" operator="greaterThan" allowBlank="1" showInputMessage="1" showErrorMessage="1" sqref="E109">
      <formula1>0</formula1>
    </dataValidation>
    <dataValidation type="whole" operator="greaterThan" allowBlank="1" showInputMessage="1" showErrorMessage="1" sqref="A110">
      <formula1>0</formula1>
    </dataValidation>
    <dataValidation type="list" allowBlank="1" showInputMessage="1" showErrorMessage="1" sqref="C110">
      <formula1>UnidadesList</formula1>
    </dataValidation>
    <dataValidation type="decimal" operator="greaterThan" allowBlank="1" showInputMessage="1" showErrorMessage="1" sqref="D110">
      <formula1>0</formula1>
    </dataValidation>
    <dataValidation type="decimal" operator="greaterThan" allowBlank="1" showInputMessage="1" showErrorMessage="1" sqref="E110">
      <formula1>0</formula1>
    </dataValidation>
    <dataValidation type="whole" operator="greaterThan" allowBlank="1" showInputMessage="1" showErrorMessage="1" sqref="A111">
      <formula1>0</formula1>
    </dataValidation>
    <dataValidation type="list" allowBlank="1" showInputMessage="1" showErrorMessage="1" sqref="C111">
      <formula1>UnidadesList</formula1>
    </dataValidation>
    <dataValidation type="decimal" operator="greaterThan" allowBlank="1" showInputMessage="1" showErrorMessage="1" sqref="D111">
      <formula1>0</formula1>
    </dataValidation>
    <dataValidation type="decimal" operator="greaterThan" allowBlank="1" showInputMessage="1" showErrorMessage="1" sqref="E111">
      <formula1>0</formula1>
    </dataValidation>
    <dataValidation type="whole" operator="greaterThan" allowBlank="1" showInputMessage="1" showErrorMessage="1" sqref="A112">
      <formula1>0</formula1>
    </dataValidation>
    <dataValidation type="list" allowBlank="1" showInputMessage="1" showErrorMessage="1" sqref="C112">
      <formula1>UnidadesList</formula1>
    </dataValidation>
    <dataValidation type="decimal" operator="greaterThan" allowBlank="1" showInputMessage="1" showErrorMessage="1" sqref="D112">
      <formula1>0</formula1>
    </dataValidation>
    <dataValidation type="decimal" operator="greaterThan" allowBlank="1" showInputMessage="1" showErrorMessage="1" sqref="E112">
      <formula1>0</formula1>
    </dataValidation>
    <dataValidation type="whole" operator="greaterThan" allowBlank="1" showInputMessage="1" showErrorMessage="1" sqref="A113">
      <formula1>0</formula1>
    </dataValidation>
    <dataValidation type="list" allowBlank="1" showInputMessage="1" showErrorMessage="1" sqref="C113">
      <formula1>UnidadesList</formula1>
    </dataValidation>
    <dataValidation type="decimal" operator="greaterThan" allowBlank="1" showInputMessage="1" showErrorMessage="1" sqref="D113">
      <formula1>0</formula1>
    </dataValidation>
    <dataValidation type="decimal" operator="greaterThan" allowBlank="1" showInputMessage="1" showErrorMessage="1" sqref="E113">
      <formula1>0</formula1>
    </dataValidation>
    <dataValidation type="whole" operator="greaterThan" allowBlank="1" showInputMessage="1" showErrorMessage="1" sqref="A114">
      <formula1>0</formula1>
    </dataValidation>
    <dataValidation type="list" allowBlank="1" showInputMessage="1" showErrorMessage="1" sqref="C114">
      <formula1>UnidadesList</formula1>
    </dataValidation>
    <dataValidation type="decimal" operator="greaterThan" allowBlank="1" showInputMessage="1" showErrorMessage="1" sqref="D114">
      <formula1>0</formula1>
    </dataValidation>
    <dataValidation type="decimal" operator="greaterThan" allowBlank="1" showInputMessage="1" showErrorMessage="1" sqref="E114">
      <formula1>0</formula1>
    </dataValidation>
    <dataValidation type="whole" operator="greaterThan" allowBlank="1" showInputMessage="1" showErrorMessage="1" sqref="A115">
      <formula1>0</formula1>
    </dataValidation>
    <dataValidation type="list" allowBlank="1" showInputMessage="1" showErrorMessage="1" sqref="C115">
      <formula1>UnidadesList</formula1>
    </dataValidation>
    <dataValidation type="decimal" operator="greaterThan" allowBlank="1" showInputMessage="1" showErrorMessage="1" sqref="D115">
      <formula1>0</formula1>
    </dataValidation>
    <dataValidation type="decimal" operator="greaterThan" allowBlank="1" showInputMessage="1" showErrorMessage="1" sqref="E115">
      <formula1>0</formula1>
    </dataValidation>
    <dataValidation type="whole" operator="greaterThan" allowBlank="1" showInputMessage="1" showErrorMessage="1" sqref="A116">
      <formula1>0</formula1>
    </dataValidation>
    <dataValidation type="list" allowBlank="1" showInputMessage="1" showErrorMessage="1" sqref="C116">
      <formula1>UnidadesList</formula1>
    </dataValidation>
    <dataValidation type="decimal" operator="greaterThan" allowBlank="1" showInputMessage="1" showErrorMessage="1" sqref="D116">
      <formula1>0</formula1>
    </dataValidation>
    <dataValidation type="decimal" operator="greaterThan" allowBlank="1" showInputMessage="1" showErrorMessage="1" sqref="E116">
      <formula1>0</formula1>
    </dataValidation>
    <dataValidation type="whole" operator="greaterThan" allowBlank="1" showInputMessage="1" showErrorMessage="1" sqref="A117">
      <formula1>0</formula1>
    </dataValidation>
    <dataValidation type="list" allowBlank="1" showInputMessage="1" showErrorMessage="1" sqref="C117">
      <formula1>UnidadesList</formula1>
    </dataValidation>
    <dataValidation type="decimal" operator="greaterThan" allowBlank="1" showInputMessage="1" showErrorMessage="1" sqref="D117">
      <formula1>0</formula1>
    </dataValidation>
    <dataValidation type="decimal" operator="greaterThan" allowBlank="1" showInputMessage="1" showErrorMessage="1" sqref="E117">
      <formula1>0</formula1>
    </dataValidation>
    <dataValidation type="whole" operator="greaterThan" allowBlank="1" showInputMessage="1" showErrorMessage="1" sqref="A118">
      <formula1>0</formula1>
    </dataValidation>
    <dataValidation type="list" allowBlank="1" showInputMessage="1" showErrorMessage="1" sqref="C118">
      <formula1>UnidadesList</formula1>
    </dataValidation>
    <dataValidation type="decimal" operator="greaterThan" allowBlank="1" showInputMessage="1" showErrorMessage="1" sqref="D118">
      <formula1>0</formula1>
    </dataValidation>
    <dataValidation type="decimal" operator="greaterThan" allowBlank="1" showInputMessage="1" showErrorMessage="1" sqref="E118">
      <formula1>0</formula1>
    </dataValidation>
    <dataValidation type="whole" operator="greaterThan" allowBlank="1" showInputMessage="1" showErrorMessage="1" sqref="A119">
      <formula1>0</formula1>
    </dataValidation>
    <dataValidation type="list" allowBlank="1" showInputMessage="1" showErrorMessage="1" sqref="C119">
      <formula1>UnidadesList</formula1>
    </dataValidation>
    <dataValidation type="decimal" operator="greaterThan" allowBlank="1" showInputMessage="1" showErrorMessage="1" sqref="D119">
      <formula1>0</formula1>
    </dataValidation>
    <dataValidation type="decimal" operator="greaterThan" allowBlank="1" showInputMessage="1" showErrorMessage="1" sqref="E119">
      <formula1>0</formula1>
    </dataValidation>
    <dataValidation type="whole" operator="greaterThan" allowBlank="1" showInputMessage="1" showErrorMessage="1" sqref="A120">
      <formula1>0</formula1>
    </dataValidation>
    <dataValidation type="list" allowBlank="1" showInputMessage="1" showErrorMessage="1" sqref="C120">
      <formula1>UnidadesList</formula1>
    </dataValidation>
    <dataValidation type="decimal" operator="greaterThan" allowBlank="1" showInputMessage="1" showErrorMessage="1" sqref="D120">
      <formula1>0</formula1>
    </dataValidation>
    <dataValidation type="decimal" operator="greaterThan" allowBlank="1" showInputMessage="1" showErrorMessage="1" sqref="E120">
      <formula1>0</formula1>
    </dataValidation>
    <dataValidation type="whole" operator="greaterThan" allowBlank="1" showInputMessage="1" showErrorMessage="1" sqref="A121">
      <formula1>0</formula1>
    </dataValidation>
    <dataValidation type="list" allowBlank="1" showInputMessage="1" showErrorMessage="1" sqref="C121">
      <formula1>UnidadesList</formula1>
    </dataValidation>
    <dataValidation type="decimal" operator="greaterThan" allowBlank="1" showInputMessage="1" showErrorMessage="1" sqref="D121">
      <formula1>0</formula1>
    </dataValidation>
    <dataValidation type="decimal" operator="greaterThan" allowBlank="1" showInputMessage="1" showErrorMessage="1" sqref="E121">
      <formula1>0</formula1>
    </dataValidation>
    <dataValidation type="whole" operator="greaterThan" allowBlank="1" showInputMessage="1" showErrorMessage="1" sqref="A122">
      <formula1>0</formula1>
    </dataValidation>
    <dataValidation type="list" allowBlank="1" showInputMessage="1" showErrorMessage="1" sqref="C122">
      <formula1>UnidadesList</formula1>
    </dataValidation>
    <dataValidation type="decimal" operator="greaterThan" allowBlank="1" showInputMessage="1" showErrorMessage="1" sqref="D122">
      <formula1>0</formula1>
    </dataValidation>
    <dataValidation type="decimal" operator="greaterThan" allowBlank="1" showInputMessage="1" showErrorMessage="1" sqref="E122">
      <formula1>0</formula1>
    </dataValidation>
    <dataValidation type="whole" operator="greaterThan" allowBlank="1" showInputMessage="1" showErrorMessage="1" sqref="A123">
      <formula1>0</formula1>
    </dataValidation>
    <dataValidation type="list" allowBlank="1" showInputMessage="1" showErrorMessage="1" sqref="C123">
      <formula1>UnidadesList</formula1>
    </dataValidation>
    <dataValidation type="decimal" operator="greaterThan" allowBlank="1" showInputMessage="1" showErrorMessage="1" sqref="D123">
      <formula1>0</formula1>
    </dataValidation>
    <dataValidation type="decimal" operator="greaterThan" allowBlank="1" showInputMessage="1" showErrorMessage="1" sqref="E123">
      <formula1>0</formula1>
    </dataValidation>
    <dataValidation type="whole" operator="greaterThan" allowBlank="1" showInputMessage="1" showErrorMessage="1" sqref="A124">
      <formula1>0</formula1>
    </dataValidation>
    <dataValidation type="list" allowBlank="1" showInputMessage="1" showErrorMessage="1" sqref="C124">
      <formula1>UnidadesList</formula1>
    </dataValidation>
    <dataValidation type="decimal" operator="greaterThan" allowBlank="1" showInputMessage="1" showErrorMessage="1" sqref="D124">
      <formula1>0</formula1>
    </dataValidation>
    <dataValidation type="decimal" operator="greaterThan" allowBlank="1" showInputMessage="1" showErrorMessage="1" sqref="E124">
      <formula1>0</formula1>
    </dataValidation>
    <dataValidation type="whole" operator="greaterThan" allowBlank="1" showInputMessage="1" showErrorMessage="1" sqref="A125">
      <formula1>0</formula1>
    </dataValidation>
    <dataValidation type="list" allowBlank="1" showInputMessage="1" showErrorMessage="1" sqref="C125">
      <formula1>UnidadesList</formula1>
    </dataValidation>
    <dataValidation type="decimal" operator="greaterThan" allowBlank="1" showInputMessage="1" showErrorMessage="1" sqref="D125">
      <formula1>0</formula1>
    </dataValidation>
    <dataValidation type="decimal" operator="greaterThan" allowBlank="1" showInputMessage="1" showErrorMessage="1" sqref="E125">
      <formula1>0</formula1>
    </dataValidation>
    <dataValidation type="whole" operator="greaterThan" allowBlank="1" showInputMessage="1" showErrorMessage="1" sqref="A126">
      <formula1>0</formula1>
    </dataValidation>
    <dataValidation type="list" allowBlank="1" showInputMessage="1" showErrorMessage="1" sqref="C126">
      <formula1>UnidadesList</formula1>
    </dataValidation>
    <dataValidation type="decimal" operator="greaterThan" allowBlank="1" showInputMessage="1" showErrorMessage="1" sqref="D126">
      <formula1>0</formula1>
    </dataValidation>
    <dataValidation type="decimal" operator="greaterThan" allowBlank="1" showInputMessage="1" showErrorMessage="1" sqref="E126">
      <formula1>0</formula1>
    </dataValidation>
    <dataValidation type="whole" operator="greaterThan" allowBlank="1" showInputMessage="1" showErrorMessage="1" sqref="A127">
      <formula1>0</formula1>
    </dataValidation>
    <dataValidation type="list" allowBlank="1" showInputMessage="1" showErrorMessage="1" sqref="C127">
      <formula1>UnidadesList</formula1>
    </dataValidation>
    <dataValidation type="decimal" operator="greaterThan" allowBlank="1" showInputMessage="1" showErrorMessage="1" sqref="D127">
      <formula1>0</formula1>
    </dataValidation>
    <dataValidation type="decimal" operator="greaterThan" allowBlank="1" showInputMessage="1" showErrorMessage="1" sqref="E127">
      <formula1>0</formula1>
    </dataValidation>
    <dataValidation type="whole" operator="greaterThan" allowBlank="1" showInputMessage="1" showErrorMessage="1" sqref="A128">
      <formula1>0</formula1>
    </dataValidation>
    <dataValidation type="list" allowBlank="1" showInputMessage="1" showErrorMessage="1" sqref="C128">
      <formula1>UnidadesList</formula1>
    </dataValidation>
    <dataValidation type="decimal" operator="greaterThan" allowBlank="1" showInputMessage="1" showErrorMessage="1" sqref="D128">
      <formula1>0</formula1>
    </dataValidation>
    <dataValidation type="decimal" operator="greaterThan" allowBlank="1" showInputMessage="1" showErrorMessage="1" sqref="E128">
      <formula1>0</formula1>
    </dataValidation>
    <dataValidation type="whole" operator="greaterThan" allowBlank="1" showInputMessage="1" showErrorMessage="1" sqref="A129">
      <formula1>0</formula1>
    </dataValidation>
    <dataValidation type="list" allowBlank="1" showInputMessage="1" showErrorMessage="1" sqref="C129">
      <formula1>UnidadesList</formula1>
    </dataValidation>
    <dataValidation type="decimal" operator="greaterThan" allowBlank="1" showInputMessage="1" showErrorMessage="1" sqref="D129">
      <formula1>0</formula1>
    </dataValidation>
    <dataValidation type="decimal" operator="greaterThan" allowBlank="1" showInputMessage="1" showErrorMessage="1" sqref="E129">
      <formula1>0</formula1>
    </dataValidation>
    <dataValidation type="whole" operator="greaterThan" allowBlank="1" showInputMessage="1" showErrorMessage="1" sqref="A130">
      <formula1>0</formula1>
    </dataValidation>
    <dataValidation type="list" allowBlank="1" showInputMessage="1" showErrorMessage="1" sqref="C130">
      <formula1>UnidadesList</formula1>
    </dataValidation>
    <dataValidation type="decimal" operator="greaterThan" allowBlank="1" showInputMessage="1" showErrorMessage="1" sqref="D130">
      <formula1>0</formula1>
    </dataValidation>
    <dataValidation type="decimal" operator="greaterThan" allowBlank="1" showInputMessage="1" showErrorMessage="1" sqref="E130">
      <formula1>0</formula1>
    </dataValidation>
    <dataValidation type="whole" operator="greaterThan" allowBlank="1" showInputMessage="1" showErrorMessage="1" sqref="A131">
      <formula1>0</formula1>
    </dataValidation>
    <dataValidation type="list" allowBlank="1" showInputMessage="1" showErrorMessage="1" sqref="C131">
      <formula1>UnidadesList</formula1>
    </dataValidation>
    <dataValidation type="decimal" operator="greaterThan" allowBlank="1" showInputMessage="1" showErrorMessage="1" sqref="D131">
      <formula1>0</formula1>
    </dataValidation>
    <dataValidation type="decimal" operator="greaterThan" allowBlank="1" showInputMessage="1" showErrorMessage="1" sqref="E131">
      <formula1>0</formula1>
    </dataValidation>
    <dataValidation type="whole" operator="greaterThan" allowBlank="1" showInputMessage="1" showErrorMessage="1" sqref="A132">
      <formula1>0</formula1>
    </dataValidation>
    <dataValidation type="list" allowBlank="1" showInputMessage="1" showErrorMessage="1" sqref="C132">
      <formula1>UnidadesList</formula1>
    </dataValidation>
    <dataValidation type="decimal" operator="greaterThan" allowBlank="1" showInputMessage="1" showErrorMessage="1" sqref="D132">
      <formula1>0</formula1>
    </dataValidation>
    <dataValidation type="decimal" operator="greaterThan" allowBlank="1" showInputMessage="1" showErrorMessage="1" sqref="E132">
      <formula1>0</formula1>
    </dataValidation>
    <dataValidation type="whole" operator="greaterThan" allowBlank="1" showInputMessage="1" showErrorMessage="1" sqref="A133">
      <formula1>0</formula1>
    </dataValidation>
    <dataValidation type="list" allowBlank="1" showInputMessage="1" showErrorMessage="1" sqref="C133">
      <formula1>UnidadesList</formula1>
    </dataValidation>
    <dataValidation type="decimal" operator="greaterThan" allowBlank="1" showInputMessage="1" showErrorMessage="1" sqref="D133">
      <formula1>0</formula1>
    </dataValidation>
    <dataValidation type="decimal" operator="greaterThan" allowBlank="1" showInputMessage="1" showErrorMessage="1" sqref="E133">
      <formula1>0</formula1>
    </dataValidation>
    <dataValidation type="whole" operator="greaterThan" allowBlank="1" showInputMessage="1" showErrorMessage="1" sqref="A134">
      <formula1>0</formula1>
    </dataValidation>
    <dataValidation type="list" allowBlank="1" showInputMessage="1" showErrorMessage="1" sqref="C134">
      <formula1>UnidadesList</formula1>
    </dataValidation>
    <dataValidation type="decimal" operator="greaterThan" allowBlank="1" showInputMessage="1" showErrorMessage="1" sqref="D134">
      <formula1>0</formula1>
    </dataValidation>
    <dataValidation type="decimal" operator="greaterThan" allowBlank="1" showInputMessage="1" showErrorMessage="1" sqref="E134">
      <formula1>0</formula1>
    </dataValidation>
    <dataValidation type="whole" operator="greaterThan" allowBlank="1" showInputMessage="1" showErrorMessage="1" sqref="A135">
      <formula1>0</formula1>
    </dataValidation>
    <dataValidation type="list" allowBlank="1" showInputMessage="1" showErrorMessage="1" sqref="C135">
      <formula1>UnidadesList</formula1>
    </dataValidation>
    <dataValidation type="decimal" operator="greaterThan" allowBlank="1" showInputMessage="1" showErrorMessage="1" sqref="D135">
      <formula1>0</formula1>
    </dataValidation>
    <dataValidation type="decimal" operator="greaterThan" allowBlank="1" showInputMessage="1" showErrorMessage="1" sqref="E135">
      <formula1>0</formula1>
    </dataValidation>
    <dataValidation type="whole" operator="greaterThan" allowBlank="1" showInputMessage="1" showErrorMessage="1" sqref="A136">
      <formula1>0</formula1>
    </dataValidation>
    <dataValidation type="list" allowBlank="1" showInputMessage="1" showErrorMessage="1" sqref="C136">
      <formula1>UnidadesList</formula1>
    </dataValidation>
    <dataValidation type="decimal" operator="greaterThan" allowBlank="1" showInputMessage="1" showErrorMessage="1" sqref="D136">
      <formula1>0</formula1>
    </dataValidation>
    <dataValidation type="decimal" operator="greaterThan" allowBlank="1" showInputMessage="1" showErrorMessage="1" sqref="E136">
      <formula1>0</formula1>
    </dataValidation>
    <dataValidation type="whole" operator="greaterThan" allowBlank="1" showInputMessage="1" showErrorMessage="1" sqref="A137">
      <formula1>0</formula1>
    </dataValidation>
    <dataValidation type="list" allowBlank="1" showInputMessage="1" showErrorMessage="1" sqref="C137">
      <formula1>UnidadesList</formula1>
    </dataValidation>
    <dataValidation type="decimal" operator="greaterThan" allowBlank="1" showInputMessage="1" showErrorMessage="1" sqref="D137">
      <formula1>0</formula1>
    </dataValidation>
    <dataValidation type="decimal" operator="greaterThan" allowBlank="1" showInputMessage="1" showErrorMessage="1" sqref="E137">
      <formula1>0</formula1>
    </dataValidation>
    <dataValidation type="whole" operator="greaterThan" allowBlank="1" showInputMessage="1" showErrorMessage="1" sqref="A138">
      <formula1>0</formula1>
    </dataValidation>
    <dataValidation type="list" allowBlank="1" showInputMessage="1" showErrorMessage="1" sqref="C138">
      <formula1>UnidadesList</formula1>
    </dataValidation>
    <dataValidation type="decimal" operator="greaterThan" allowBlank="1" showInputMessage="1" showErrorMessage="1" sqref="D138">
      <formula1>0</formula1>
    </dataValidation>
    <dataValidation type="decimal" operator="greaterThan" allowBlank="1" showInputMessage="1" showErrorMessage="1" sqref="E138">
      <formula1>0</formula1>
    </dataValidation>
    <dataValidation type="whole" operator="greaterThan" allowBlank="1" showInputMessage="1" showErrorMessage="1" sqref="A139">
      <formula1>0</formula1>
    </dataValidation>
    <dataValidation type="list" allowBlank="1" showInputMessage="1" showErrorMessage="1" sqref="C139">
      <formula1>UnidadesList</formula1>
    </dataValidation>
    <dataValidation type="decimal" operator="greaterThan" allowBlank="1" showInputMessage="1" showErrorMessage="1" sqref="D139">
      <formula1>0</formula1>
    </dataValidation>
    <dataValidation type="decimal" operator="greaterThan" allowBlank="1" showInputMessage="1" showErrorMessage="1" sqref="E139">
      <formula1>0</formula1>
    </dataValidation>
    <dataValidation type="whole" operator="greaterThan" allowBlank="1" showInputMessage="1" showErrorMessage="1" sqref="A140">
      <formula1>0</formula1>
    </dataValidation>
    <dataValidation type="list" allowBlank="1" showInputMessage="1" showErrorMessage="1" sqref="C140">
      <formula1>UnidadesList</formula1>
    </dataValidation>
    <dataValidation type="decimal" operator="greaterThan" allowBlank="1" showInputMessage="1" showErrorMessage="1" sqref="D140">
      <formula1>0</formula1>
    </dataValidation>
    <dataValidation type="decimal" operator="greaterThan" allowBlank="1" showInputMessage="1" showErrorMessage="1" sqref="E140">
      <formula1>0</formula1>
    </dataValidation>
    <dataValidation type="whole" operator="greaterThan" allowBlank="1" showInputMessage="1" showErrorMessage="1" sqref="A141">
      <formula1>0</formula1>
    </dataValidation>
    <dataValidation type="list" allowBlank="1" showInputMessage="1" showErrorMessage="1" sqref="C141">
      <formula1>UnidadesList</formula1>
    </dataValidation>
    <dataValidation type="decimal" operator="greaterThan" allowBlank="1" showInputMessage="1" showErrorMessage="1" sqref="D141">
      <formula1>0</formula1>
    </dataValidation>
    <dataValidation type="decimal" operator="greaterThan" allowBlank="1" showInputMessage="1" showErrorMessage="1" sqref="E141">
      <formula1>0</formula1>
    </dataValidation>
    <dataValidation type="whole" operator="greaterThan" allowBlank="1" showInputMessage="1" showErrorMessage="1" sqref="A142">
      <formula1>0</formula1>
    </dataValidation>
    <dataValidation type="list" allowBlank="1" showInputMessage="1" showErrorMessage="1" sqref="C142">
      <formula1>UnidadesList</formula1>
    </dataValidation>
    <dataValidation type="decimal" operator="greaterThan" allowBlank="1" showInputMessage="1" showErrorMessage="1" sqref="D142">
      <formula1>0</formula1>
    </dataValidation>
    <dataValidation type="decimal" operator="greaterThan" allowBlank="1" showInputMessage="1" showErrorMessage="1" sqref="E142">
      <formula1>0</formula1>
    </dataValidation>
    <dataValidation type="whole" operator="greaterThan" allowBlank="1" showInputMessage="1" showErrorMessage="1" sqref="A143">
      <formula1>0</formula1>
    </dataValidation>
    <dataValidation type="list" allowBlank="1" showInputMessage="1" showErrorMessage="1" sqref="C143">
      <formula1>UnidadesList</formula1>
    </dataValidation>
    <dataValidation type="decimal" operator="greaterThan" allowBlank="1" showInputMessage="1" showErrorMessage="1" sqref="D143">
      <formula1>0</formula1>
    </dataValidation>
    <dataValidation type="decimal" operator="greaterThan" allowBlank="1" showInputMessage="1" showErrorMessage="1" sqref="E143">
      <formula1>0</formula1>
    </dataValidation>
    <dataValidation type="whole" operator="greaterThan" allowBlank="1" showInputMessage="1" showErrorMessage="1" sqref="A144">
      <formula1>0</formula1>
    </dataValidation>
    <dataValidation type="list" allowBlank="1" showInputMessage="1" showErrorMessage="1" sqref="C144">
      <formula1>UnidadesList</formula1>
    </dataValidation>
    <dataValidation type="decimal" operator="greaterThan" allowBlank="1" showInputMessage="1" showErrorMessage="1" sqref="D144">
      <formula1>0</formula1>
    </dataValidation>
    <dataValidation type="decimal" operator="greaterThan" allowBlank="1" showInputMessage="1" showErrorMessage="1" sqref="E144">
      <formula1>0</formula1>
    </dataValidation>
    <dataValidation type="whole" operator="greaterThan" allowBlank="1" showInputMessage="1" showErrorMessage="1" sqref="A145">
      <formula1>0</formula1>
    </dataValidation>
    <dataValidation type="list" allowBlank="1" showInputMessage="1" showErrorMessage="1" sqref="C145">
      <formula1>UnidadesList</formula1>
    </dataValidation>
    <dataValidation type="decimal" operator="greaterThan" allowBlank="1" showInputMessage="1" showErrorMessage="1" sqref="D145">
      <formula1>0</formula1>
    </dataValidation>
    <dataValidation type="decimal" operator="greaterThan" allowBlank="1" showInputMessage="1" showErrorMessage="1" sqref="E145">
      <formula1>0</formula1>
    </dataValidation>
    <dataValidation type="whole" operator="greaterThan" allowBlank="1" showInputMessage="1" showErrorMessage="1" sqref="A146">
      <formula1>0</formula1>
    </dataValidation>
    <dataValidation type="list" allowBlank="1" showInputMessage="1" showErrorMessage="1" sqref="C146">
      <formula1>UnidadesList</formula1>
    </dataValidation>
    <dataValidation type="decimal" operator="greaterThan" allowBlank="1" showInputMessage="1" showErrorMessage="1" sqref="D146">
      <formula1>0</formula1>
    </dataValidation>
    <dataValidation type="decimal" operator="greaterThan" allowBlank="1" showInputMessage="1" showErrorMessage="1" sqref="E146">
      <formula1>0</formula1>
    </dataValidation>
    <dataValidation type="whole" operator="greaterThan" allowBlank="1" showInputMessage="1" showErrorMessage="1" sqref="A147">
      <formula1>0</formula1>
    </dataValidation>
    <dataValidation type="list" allowBlank="1" showInputMessage="1" showErrorMessage="1" sqref="C147">
      <formula1>UnidadesList</formula1>
    </dataValidation>
    <dataValidation type="decimal" operator="greaterThan" allowBlank="1" showInputMessage="1" showErrorMessage="1" sqref="D147">
      <formula1>0</formula1>
    </dataValidation>
    <dataValidation type="decimal" operator="greaterThan" allowBlank="1" showInputMessage="1" showErrorMessage="1" sqref="E147">
      <formula1>0</formula1>
    </dataValidation>
    <dataValidation type="whole" operator="greaterThan" allowBlank="1" showInputMessage="1" showErrorMessage="1" sqref="A148">
      <formula1>0</formula1>
    </dataValidation>
    <dataValidation type="list" allowBlank="1" showInputMessage="1" showErrorMessage="1" sqref="C148">
      <formula1>UnidadesList</formula1>
    </dataValidation>
    <dataValidation type="decimal" operator="greaterThan" allowBlank="1" showInputMessage="1" showErrorMessage="1" sqref="D148">
      <formula1>0</formula1>
    </dataValidation>
    <dataValidation type="decimal" operator="greaterThan" allowBlank="1" showInputMessage="1" showErrorMessage="1" sqref="E148">
      <formula1>0</formula1>
    </dataValidation>
    <dataValidation type="whole" operator="greaterThan" allowBlank="1" showInputMessage="1" showErrorMessage="1" sqref="A149">
      <formula1>0</formula1>
    </dataValidation>
    <dataValidation type="list" allowBlank="1" showInputMessage="1" showErrorMessage="1" sqref="C149">
      <formula1>UnidadesList</formula1>
    </dataValidation>
    <dataValidation type="decimal" operator="greaterThan" allowBlank="1" showInputMessage="1" showErrorMessage="1" sqref="D149">
      <formula1>0</formula1>
    </dataValidation>
    <dataValidation type="decimal" operator="greaterThan" allowBlank="1" showInputMessage="1" showErrorMessage="1" sqref="E149">
      <formula1>0</formula1>
    </dataValidation>
    <dataValidation type="whole" operator="greaterThan" allowBlank="1" showInputMessage="1" showErrorMessage="1" sqref="A150">
      <formula1>0</formula1>
    </dataValidation>
    <dataValidation type="list" allowBlank="1" showInputMessage="1" showErrorMessage="1" sqref="C150">
      <formula1>UnidadesList</formula1>
    </dataValidation>
    <dataValidation type="decimal" operator="greaterThan" allowBlank="1" showInputMessage="1" showErrorMessage="1" sqref="D150">
      <formula1>0</formula1>
    </dataValidation>
    <dataValidation type="decimal" operator="greaterThan" allowBlank="1" showInputMessage="1" showErrorMessage="1" sqref="E150">
      <formula1>0</formula1>
    </dataValidation>
    <dataValidation type="whole" operator="greaterThan" allowBlank="1" showInputMessage="1" showErrorMessage="1" sqref="A151">
      <formula1>0</formula1>
    </dataValidation>
    <dataValidation type="list" allowBlank="1" showInputMessage="1" showErrorMessage="1" sqref="C151">
      <formula1>UnidadesList</formula1>
    </dataValidation>
    <dataValidation type="decimal" operator="greaterThan" allowBlank="1" showInputMessage="1" showErrorMessage="1" sqref="D151">
      <formula1>0</formula1>
    </dataValidation>
    <dataValidation type="decimal" operator="greaterThan" allowBlank="1" showInputMessage="1" showErrorMessage="1" sqref="E151">
      <formula1>0</formula1>
    </dataValidation>
    <dataValidation type="date" operator="lessThanOrEqual" allowBlank="1" showInputMessage="1" showErrorMessage="1" sqref="C156">
      <formula1>C158</formula1>
    </dataValidation>
    <dataValidation type="date" operator="greaterThanOrEqual" allowBlank="1" showInputMessage="1" showErrorMessage="1" sqref="C158">
      <formula1>C156</formula1>
    </dataValidation>
    <dataValidation type="list" allowBlank="1" showInputMessage="1" showErrorMessage="1" sqref="F15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2">
      <formula1>0</formula1>
    </dataValidation>
    <dataValidation type="list" allowBlank="1" showInputMessage="1" showErrorMessage="1" sqref="C162">
      <formula1>UnidadesList</formula1>
    </dataValidation>
    <dataValidation type="decimal" operator="greaterThan" allowBlank="1" showInputMessage="1" showErrorMessage="1" sqref="D162">
      <formula1>0</formula1>
    </dataValidation>
    <dataValidation type="decimal" operator="greaterThan" allowBlank="1" showInputMessage="1" showErrorMessage="1" sqref="E162">
      <formula1>0</formula1>
    </dataValidation>
    <dataValidation type="whole" operator="greaterThan" allowBlank="1" showInputMessage="1" showErrorMessage="1" sqref="A163">
      <formula1>0</formula1>
    </dataValidation>
    <dataValidation type="list" allowBlank="1" showInputMessage="1" showErrorMessage="1" sqref="C163">
      <formula1>UnidadesList</formula1>
    </dataValidation>
    <dataValidation type="decimal" operator="greaterThan" allowBlank="1" showInputMessage="1" showErrorMessage="1" sqref="D163">
      <formula1>0</formula1>
    </dataValidation>
    <dataValidation type="decimal" operator="greaterThan" allowBlank="1" showInputMessage="1" showErrorMessage="1" sqref="E163">
      <formula1>0</formula1>
    </dataValidation>
    <dataValidation type="whole" operator="greaterThan" allowBlank="1" showInputMessage="1" showErrorMessage="1" sqref="A164">
      <formula1>0</formula1>
    </dataValidation>
    <dataValidation type="list" allowBlank="1" showInputMessage="1" showErrorMessage="1" sqref="C164">
      <formula1>UnidadesList</formula1>
    </dataValidation>
    <dataValidation type="decimal" operator="greaterThan" allowBlank="1" showInputMessage="1" showErrorMessage="1" sqref="D164">
      <formula1>0</formula1>
    </dataValidation>
    <dataValidation type="decimal" operator="greaterThan" allowBlank="1" showInputMessage="1" showErrorMessage="1" sqref="E164">
      <formula1>0</formula1>
    </dataValidation>
    <dataValidation type="whole" operator="greaterThan" allowBlank="1" showInputMessage="1" showErrorMessage="1" sqref="A165">
      <formula1>0</formula1>
    </dataValidation>
    <dataValidation type="list" allowBlank="1" showInputMessage="1" showErrorMessage="1" sqref="C165">
      <formula1>UnidadesList</formula1>
    </dataValidation>
    <dataValidation type="decimal" operator="greaterThan" allowBlank="1" showInputMessage="1" showErrorMessage="1" sqref="D165">
      <formula1>0</formula1>
    </dataValidation>
    <dataValidation type="decimal" operator="greaterThan" allowBlank="1" showInputMessage="1" showErrorMessage="1" sqref="E165">
      <formula1>0</formula1>
    </dataValidation>
    <dataValidation type="whole" operator="greaterThan" allowBlank="1" showInputMessage="1" showErrorMessage="1" sqref="A166">
      <formula1>0</formula1>
    </dataValidation>
    <dataValidation type="list" allowBlank="1" showInputMessage="1" showErrorMessage="1" sqref="C166">
      <formula1>UnidadesList</formula1>
    </dataValidation>
    <dataValidation type="decimal" operator="greaterThan" allowBlank="1" showInputMessage="1" showErrorMessage="1" sqref="D166">
      <formula1>0</formula1>
    </dataValidation>
    <dataValidation type="decimal" operator="greaterThan" allowBlank="1" showInputMessage="1" showErrorMessage="1" sqref="E166">
      <formula1>0</formula1>
    </dataValidation>
    <dataValidation type="whole" operator="greaterThan" allowBlank="1" showInputMessage="1" showErrorMessage="1" sqref="A167">
      <formula1>0</formula1>
    </dataValidation>
    <dataValidation type="list" allowBlank="1" showInputMessage="1" showErrorMessage="1" sqref="C167">
      <formula1>UnidadesList</formula1>
    </dataValidation>
    <dataValidation type="decimal" operator="greaterThan" allowBlank="1" showInputMessage="1" showErrorMessage="1" sqref="D167">
      <formula1>0</formula1>
    </dataValidation>
    <dataValidation type="decimal" operator="greaterThan" allowBlank="1" showInputMessage="1" showErrorMessage="1" sqref="E167">
      <formula1>0</formula1>
    </dataValidation>
    <dataValidation type="whole" operator="greaterThan" allowBlank="1" showInputMessage="1" showErrorMessage="1" sqref="A168">
      <formula1>0</formula1>
    </dataValidation>
    <dataValidation type="list" allowBlank="1" showInputMessage="1" showErrorMessage="1" sqref="C168">
      <formula1>UnidadesList</formula1>
    </dataValidation>
    <dataValidation type="decimal" operator="greaterThan" allowBlank="1" showInputMessage="1" showErrorMessage="1" sqref="D168">
      <formula1>0</formula1>
    </dataValidation>
    <dataValidation type="decimal" operator="greaterThan" allowBlank="1" showInputMessage="1" showErrorMessage="1" sqref="E168">
      <formula1>0</formula1>
    </dataValidation>
    <dataValidation type="whole" operator="greaterThan" allowBlank="1" showInputMessage="1" showErrorMessage="1" sqref="A169">
      <formula1>0</formula1>
    </dataValidation>
    <dataValidation type="list" allowBlank="1" showInputMessage="1" showErrorMessage="1" sqref="C169">
      <formula1>UnidadesList</formula1>
    </dataValidation>
    <dataValidation type="decimal" operator="greaterThan" allowBlank="1" showInputMessage="1" showErrorMessage="1" sqref="D169">
      <formula1>0</formula1>
    </dataValidation>
    <dataValidation type="decimal" operator="greaterThan" allowBlank="1" showInputMessage="1" showErrorMessage="1" sqref="E169">
      <formula1>0</formula1>
    </dataValidation>
    <dataValidation type="whole" operator="greaterThan" allowBlank="1" showInputMessage="1" showErrorMessage="1" sqref="A170">
      <formula1>0</formula1>
    </dataValidation>
    <dataValidation type="list" allowBlank="1" showInputMessage="1" showErrorMessage="1" sqref="C170">
      <formula1>UnidadesList</formula1>
    </dataValidation>
    <dataValidation type="decimal" operator="greaterThan" allowBlank="1" showInputMessage="1" showErrorMessage="1" sqref="D170">
      <formula1>0</formula1>
    </dataValidation>
    <dataValidation type="decimal" operator="greaterThan" allowBlank="1" showInputMessage="1" showErrorMessage="1" sqref="E170">
      <formula1>0</formula1>
    </dataValidation>
    <dataValidation type="whole" operator="greaterThan" allowBlank="1" showInputMessage="1" showErrorMessage="1" sqref="A171">
      <formula1>0</formula1>
    </dataValidation>
    <dataValidation type="list" allowBlank="1" showInputMessage="1" showErrorMessage="1" sqref="C171">
      <formula1>UnidadesList</formula1>
    </dataValidation>
    <dataValidation type="decimal" operator="greaterThan" allowBlank="1" showInputMessage="1" showErrorMessage="1" sqref="D171">
      <formula1>0</formula1>
    </dataValidation>
    <dataValidation type="decimal" operator="greaterThan" allowBlank="1" showInputMessage="1" showErrorMessage="1" sqref="E171">
      <formula1>0</formula1>
    </dataValidation>
    <dataValidation type="whole" operator="greaterThan" allowBlank="1" showInputMessage="1" showErrorMessage="1" sqref="A172">
      <formula1>0</formula1>
    </dataValidation>
    <dataValidation type="list" allowBlank="1" showInputMessage="1" showErrorMessage="1" sqref="C172">
      <formula1>UnidadesList</formula1>
    </dataValidation>
    <dataValidation type="decimal" operator="greaterThan" allowBlank="1" showInputMessage="1" showErrorMessage="1" sqref="D172">
      <formula1>0</formula1>
    </dataValidation>
    <dataValidation type="decimal" operator="greaterThan" allowBlank="1" showInputMessage="1" showErrorMessage="1" sqref="E172">
      <formula1>0</formula1>
    </dataValidation>
    <dataValidation type="whole" operator="greaterThan" allowBlank="1" showInputMessage="1" showErrorMessage="1" sqref="A173">
      <formula1>0</formula1>
    </dataValidation>
    <dataValidation type="list" allowBlank="1" showInputMessage="1" showErrorMessage="1" sqref="C173">
      <formula1>UnidadesList</formula1>
    </dataValidation>
    <dataValidation type="decimal" operator="greaterThan" allowBlank="1" showInputMessage="1" showErrorMessage="1" sqref="D173">
      <formula1>0</formula1>
    </dataValidation>
    <dataValidation type="decimal" operator="greaterThan" allowBlank="1" showInputMessage="1" showErrorMessage="1" sqref="E173">
      <formula1>0</formula1>
    </dataValidation>
    <dataValidation type="whole" operator="greaterThan" allowBlank="1" showInputMessage="1" showErrorMessage="1" sqref="A174">
      <formula1>0</formula1>
    </dataValidation>
    <dataValidation type="list" allowBlank="1" showInputMessage="1" showErrorMessage="1" sqref="C174">
      <formula1>UnidadesList</formula1>
    </dataValidation>
    <dataValidation type="decimal" operator="greaterThan" allowBlank="1" showInputMessage="1" showErrorMessage="1" sqref="D174">
      <formula1>0</formula1>
    </dataValidation>
    <dataValidation type="decimal" operator="greaterThan" allowBlank="1" showInputMessage="1" showErrorMessage="1" sqref="E174">
      <formula1>0</formula1>
    </dataValidation>
    <dataValidation type="whole" operator="greaterThan" allowBlank="1" showInputMessage="1" showErrorMessage="1" sqref="A175">
      <formula1>0</formula1>
    </dataValidation>
    <dataValidation type="list" allowBlank="1" showInputMessage="1" showErrorMessage="1" sqref="C175">
      <formula1>UnidadesList</formula1>
    </dataValidation>
    <dataValidation type="decimal" operator="greaterThan" allowBlank="1" showInputMessage="1" showErrorMessage="1" sqref="D175">
      <formula1>0</formula1>
    </dataValidation>
    <dataValidation type="decimal" operator="greaterThan" allowBlank="1" showInputMessage="1" showErrorMessage="1" sqref="E175">
      <formula1>0</formula1>
    </dataValidation>
    <dataValidation type="whole" operator="greaterThan" allowBlank="1" showInputMessage="1" showErrorMessage="1" sqref="A176">
      <formula1>0</formula1>
    </dataValidation>
    <dataValidation type="list" allowBlank="1" showInputMessage="1" showErrorMessage="1" sqref="C176">
      <formula1>UnidadesList</formula1>
    </dataValidation>
    <dataValidation type="decimal" operator="greaterThan" allowBlank="1" showInputMessage="1" showErrorMessage="1" sqref="D176">
      <formula1>0</formula1>
    </dataValidation>
    <dataValidation type="decimal" operator="greaterThan" allowBlank="1" showInputMessage="1" showErrorMessage="1" sqref="E176">
      <formula1>0</formula1>
    </dataValidation>
    <dataValidation type="whole" operator="greaterThan" allowBlank="1" showInputMessage="1" showErrorMessage="1" sqref="A177">
      <formula1>0</formula1>
    </dataValidation>
    <dataValidation type="list" allowBlank="1" showInputMessage="1" showErrorMessage="1" sqref="C177">
      <formula1>UnidadesList</formula1>
    </dataValidation>
    <dataValidation type="decimal" operator="greaterThan" allowBlank="1" showInputMessage="1" showErrorMessage="1" sqref="D177">
      <formula1>0</formula1>
    </dataValidation>
    <dataValidation type="decimal" operator="greaterThan" allowBlank="1" showInputMessage="1" showErrorMessage="1" sqref="E177">
      <formula1>0</formula1>
    </dataValidation>
    <dataValidation type="whole" operator="greaterThan" allowBlank="1" showInputMessage="1" showErrorMessage="1" sqref="A178">
      <formula1>0</formula1>
    </dataValidation>
    <dataValidation type="list" allowBlank="1" showInputMessage="1" showErrorMessage="1" sqref="C178">
      <formula1>UnidadesList</formula1>
    </dataValidation>
    <dataValidation type="decimal" operator="greaterThan" allowBlank="1" showInputMessage="1" showErrorMessage="1" sqref="D178">
      <formula1>0</formula1>
    </dataValidation>
    <dataValidation type="decimal" operator="greaterThan" allowBlank="1" showInputMessage="1" showErrorMessage="1" sqref="E178">
      <formula1>0</formula1>
    </dataValidation>
    <dataValidation type="whole" operator="greaterThan" allowBlank="1" showInputMessage="1" showErrorMessage="1" sqref="A179">
      <formula1>0</formula1>
    </dataValidation>
    <dataValidation type="list" allowBlank="1" showInputMessage="1" showErrorMessage="1" sqref="C179">
      <formula1>UnidadesList</formula1>
    </dataValidation>
    <dataValidation type="decimal" operator="greaterThan" allowBlank="1" showInputMessage="1" showErrorMessage="1" sqref="D179">
      <formula1>0</formula1>
    </dataValidation>
    <dataValidation type="decimal" operator="greaterThan" allowBlank="1" showInputMessage="1" showErrorMessage="1" sqref="E179">
      <formula1>0</formula1>
    </dataValidation>
    <dataValidation type="whole" operator="greaterThan" allowBlank="1" showInputMessage="1" showErrorMessage="1" sqref="A180">
      <formula1>0</formula1>
    </dataValidation>
    <dataValidation type="list" allowBlank="1" showInputMessage="1" showErrorMessage="1" sqref="C180">
      <formula1>UnidadesList</formula1>
    </dataValidation>
    <dataValidation type="decimal" operator="greaterThan" allowBlank="1" showInputMessage="1" showErrorMessage="1" sqref="D180">
      <formula1>0</formula1>
    </dataValidation>
    <dataValidation type="decimal" operator="greaterThan" allowBlank="1" showInputMessage="1" showErrorMessage="1" sqref="E180">
      <formula1>0</formula1>
    </dataValidation>
    <dataValidation type="whole" operator="greaterThan" allowBlank="1" showInputMessage="1" showErrorMessage="1" sqref="A181">
      <formula1>0</formula1>
    </dataValidation>
    <dataValidation type="list" allowBlank="1" showInputMessage="1" showErrorMessage="1" sqref="C181">
      <formula1>UnidadesList</formula1>
    </dataValidation>
    <dataValidation type="decimal" operator="greaterThan" allowBlank="1" showInputMessage="1" showErrorMessage="1" sqref="D181">
      <formula1>0</formula1>
    </dataValidation>
    <dataValidation type="decimal" operator="greaterThan" allowBlank="1" showInputMessage="1" showErrorMessage="1" sqref="E181">
      <formula1>0</formula1>
    </dataValidation>
    <dataValidation type="whole" operator="greaterThan" allowBlank="1" showInputMessage="1" showErrorMessage="1" sqref="A182">
      <formula1>0</formula1>
    </dataValidation>
    <dataValidation type="list" allowBlank="1" showInputMessage="1" showErrorMessage="1" sqref="C182">
      <formula1>UnidadesList</formula1>
    </dataValidation>
    <dataValidation type="decimal" operator="greaterThan" allowBlank="1" showInputMessage="1" showErrorMessage="1" sqref="D182">
      <formula1>0</formula1>
    </dataValidation>
    <dataValidation type="decimal" operator="greaterThan" allowBlank="1" showInputMessage="1" showErrorMessage="1" sqref="E182">
      <formula1>0</formula1>
    </dataValidation>
    <dataValidation type="whole" operator="greaterThan" allowBlank="1" showInputMessage="1" showErrorMessage="1" sqref="A183">
      <formula1>0</formula1>
    </dataValidation>
    <dataValidation type="list" allowBlank="1" showInputMessage="1" showErrorMessage="1" sqref="C183">
      <formula1>UnidadesList</formula1>
    </dataValidation>
    <dataValidation type="decimal" operator="greaterThan" allowBlank="1" showInputMessage="1" showErrorMessage="1" sqref="D183">
      <formula1>0</formula1>
    </dataValidation>
    <dataValidation type="decimal" operator="greaterThan" allowBlank="1" showInputMessage="1" showErrorMessage="1" sqref="E183">
      <formula1>0</formula1>
    </dataValidation>
    <dataValidation type="whole" operator="greaterThan" allowBlank="1" showInputMessage="1" showErrorMessage="1" sqref="A184">
      <formula1>0</formula1>
    </dataValidation>
    <dataValidation type="list" allowBlank="1" showInputMessage="1" showErrorMessage="1" sqref="C184">
      <formula1>UnidadesList</formula1>
    </dataValidation>
    <dataValidation type="decimal" operator="greaterThan" allowBlank="1" showInputMessage="1" showErrorMessage="1" sqref="D184">
      <formula1>0</formula1>
    </dataValidation>
    <dataValidation type="decimal" operator="greaterThan" allowBlank="1" showInputMessage="1" showErrorMessage="1" sqref="E184">
      <formula1>0</formula1>
    </dataValidation>
    <dataValidation type="whole" operator="greaterThan" allowBlank="1" showInputMessage="1" showErrorMessage="1" sqref="A185">
      <formula1>0</formula1>
    </dataValidation>
    <dataValidation type="list" allowBlank="1" showInputMessage="1" showErrorMessage="1" sqref="C185">
      <formula1>UnidadesList</formula1>
    </dataValidation>
    <dataValidation type="decimal" operator="greaterThan" allowBlank="1" showInputMessage="1" showErrorMessage="1" sqref="D185">
      <formula1>0</formula1>
    </dataValidation>
    <dataValidation type="decimal" operator="greaterThan" allowBlank="1" showInputMessage="1" showErrorMessage="1" sqref="E185">
      <formula1>0</formula1>
    </dataValidation>
    <dataValidation type="whole" operator="greaterThan" allowBlank="1" showInputMessage="1" showErrorMessage="1" sqref="A186">
      <formula1>0</formula1>
    </dataValidation>
    <dataValidation type="list" allowBlank="1" showInputMessage="1" showErrorMessage="1" sqref="C186">
      <formula1>UnidadesList</formula1>
    </dataValidation>
    <dataValidation type="decimal" operator="greaterThan" allowBlank="1" showInputMessage="1" showErrorMessage="1" sqref="D186">
      <formula1>0</formula1>
    </dataValidation>
    <dataValidation type="decimal" operator="greaterThan" allowBlank="1" showInputMessage="1" showErrorMessage="1" sqref="E186">
      <formula1>0</formula1>
    </dataValidation>
    <dataValidation type="whole" operator="greaterThan" allowBlank="1" showInputMessage="1" showErrorMessage="1" sqref="A187">
      <formula1>0</formula1>
    </dataValidation>
    <dataValidation type="list" allowBlank="1" showInputMessage="1" showErrorMessage="1" sqref="C187">
      <formula1>UnidadesList</formula1>
    </dataValidation>
    <dataValidation type="decimal" operator="greaterThan" allowBlank="1" showInputMessage="1" showErrorMessage="1" sqref="D187">
      <formula1>0</formula1>
    </dataValidation>
    <dataValidation type="decimal" operator="greaterThan" allowBlank="1" showInputMessage="1" showErrorMessage="1" sqref="E187">
      <formula1>0</formula1>
    </dataValidation>
    <dataValidation type="whole" operator="greaterThan" allowBlank="1" showInputMessage="1" showErrorMessage="1" sqref="A188">
      <formula1>0</formula1>
    </dataValidation>
    <dataValidation type="list" allowBlank="1" showInputMessage="1" showErrorMessage="1" sqref="C188">
      <formula1>UnidadesList</formula1>
    </dataValidation>
    <dataValidation type="decimal" operator="greaterThan" allowBlank="1" showInputMessage="1" showErrorMessage="1" sqref="D188">
      <formula1>0</formula1>
    </dataValidation>
    <dataValidation type="decimal" operator="greaterThan" allowBlank="1" showInputMessage="1" showErrorMessage="1" sqref="E188">
      <formula1>0</formula1>
    </dataValidation>
    <dataValidation type="whole" operator="greaterThan" allowBlank="1" showInputMessage="1" showErrorMessage="1" sqref="A189">
      <formula1>0</formula1>
    </dataValidation>
    <dataValidation type="list" allowBlank="1" showInputMessage="1" showErrorMessage="1" sqref="C189">
      <formula1>UnidadesList</formula1>
    </dataValidation>
    <dataValidation type="decimal" operator="greaterThan" allowBlank="1" showInputMessage="1" showErrorMessage="1" sqref="D189">
      <formula1>0</formula1>
    </dataValidation>
    <dataValidation type="decimal" operator="greaterThan" allowBlank="1" showInputMessage="1" showErrorMessage="1" sqref="E189">
      <formula1>0</formula1>
    </dataValidation>
    <dataValidation type="whole" operator="greaterThan" allowBlank="1" showInputMessage="1" showErrorMessage="1" sqref="A190">
      <formula1>0</formula1>
    </dataValidation>
    <dataValidation type="list" allowBlank="1" showInputMessage="1" showErrorMessage="1" sqref="C190">
      <formula1>UnidadesList</formula1>
    </dataValidation>
    <dataValidation type="decimal" operator="greaterThan" allowBlank="1" showInputMessage="1" showErrorMessage="1" sqref="D190">
      <formula1>0</formula1>
    </dataValidation>
    <dataValidation type="decimal" operator="greaterThan" allowBlank="1" showInputMessage="1" showErrorMessage="1" sqref="E190">
      <formula1>0</formula1>
    </dataValidation>
    <dataValidation type="whole" operator="greaterThan" allowBlank="1" showInputMessage="1" showErrorMessage="1" sqref="A191">
      <formula1>0</formula1>
    </dataValidation>
    <dataValidation type="list" allowBlank="1" showInputMessage="1" showErrorMessage="1" sqref="C191">
      <formula1>UnidadesList</formula1>
    </dataValidation>
    <dataValidation type="decimal" operator="greaterThan" allowBlank="1" showInputMessage="1" showErrorMessage="1" sqref="D191">
      <formula1>0</formula1>
    </dataValidation>
    <dataValidation type="decimal" operator="greaterThan" allowBlank="1" showInputMessage="1" showErrorMessage="1" sqref="E191">
      <formula1>0</formula1>
    </dataValidation>
    <dataValidation type="whole" operator="greaterThan" allowBlank="1" showInputMessage="1" showErrorMessage="1" sqref="A192">
      <formula1>0</formula1>
    </dataValidation>
    <dataValidation type="list" allowBlank="1" showInputMessage="1" showErrorMessage="1" sqref="C192">
      <formula1>UnidadesList</formula1>
    </dataValidation>
    <dataValidation type="decimal" operator="greaterThan" allowBlank="1" showInputMessage="1" showErrorMessage="1" sqref="D192">
      <formula1>0</formula1>
    </dataValidation>
    <dataValidation type="decimal" operator="greaterThan" allowBlank="1" showInputMessage="1" showErrorMessage="1" sqref="E192">
      <formula1>0</formula1>
    </dataValidation>
    <dataValidation type="whole" operator="greaterThan" allowBlank="1" showInputMessage="1" showErrorMessage="1" sqref="A193">
      <formula1>0</formula1>
    </dataValidation>
    <dataValidation type="list" allowBlank="1" showInputMessage="1" showErrorMessage="1" sqref="C193">
      <formula1>UnidadesList</formula1>
    </dataValidation>
    <dataValidation type="decimal" operator="greaterThan" allowBlank="1" showInputMessage="1" showErrorMessage="1" sqref="D193">
      <formula1>0</formula1>
    </dataValidation>
    <dataValidation type="decimal" operator="greaterThan" allowBlank="1" showInputMessage="1" showErrorMessage="1" sqref="E193">
      <formula1>0</formula1>
    </dataValidation>
    <dataValidation type="whole" operator="greaterThan" allowBlank="1" showInputMessage="1" showErrorMessage="1" sqref="A194">
      <formula1>0</formula1>
    </dataValidation>
    <dataValidation type="list" allowBlank="1" showInputMessage="1" showErrorMessage="1" sqref="C194">
      <formula1>UnidadesList</formula1>
    </dataValidation>
    <dataValidation type="decimal" operator="greaterThan" allowBlank="1" showInputMessage="1" showErrorMessage="1" sqref="D194">
      <formula1>0</formula1>
    </dataValidation>
    <dataValidation type="decimal" operator="greaterThan" allowBlank="1" showInputMessage="1" showErrorMessage="1" sqref="E194">
      <formula1>0</formula1>
    </dataValidation>
    <dataValidation type="whole" operator="greaterThan" allowBlank="1" showInputMessage="1" showErrorMessage="1" sqref="A195">
      <formula1>0</formula1>
    </dataValidation>
    <dataValidation type="list" allowBlank="1" showInputMessage="1" showErrorMessage="1" sqref="C195">
      <formula1>UnidadesList</formula1>
    </dataValidation>
    <dataValidation type="decimal" operator="greaterThan" allowBlank="1" showInputMessage="1" showErrorMessage="1" sqref="D195">
      <formula1>0</formula1>
    </dataValidation>
    <dataValidation type="decimal" operator="greaterThan" allowBlank="1" showInputMessage="1" showErrorMessage="1" sqref="E195">
      <formula1>0</formula1>
    </dataValidation>
    <dataValidation type="whole" operator="greaterThan" allowBlank="1" showInputMessage="1" showErrorMessage="1" sqref="A196">
      <formula1>0</formula1>
    </dataValidation>
    <dataValidation type="list" allowBlank="1" showInputMessage="1" showErrorMessage="1" sqref="C196">
      <formula1>UnidadesList</formula1>
    </dataValidation>
    <dataValidation type="decimal" operator="greaterThan" allowBlank="1" showInputMessage="1" showErrorMessage="1" sqref="D196">
      <formula1>0</formula1>
    </dataValidation>
    <dataValidation type="decimal" operator="greaterThan" allowBlank="1" showInputMessage="1" showErrorMessage="1" sqref="E196">
      <formula1>0</formula1>
    </dataValidation>
    <dataValidation type="whole" operator="greaterThan" allowBlank="1" showInputMessage="1" showErrorMessage="1" sqref="A197">
      <formula1>0</formula1>
    </dataValidation>
    <dataValidation type="list" allowBlank="1" showInputMessage="1" showErrorMessage="1" sqref="C197">
      <formula1>UnidadesList</formula1>
    </dataValidation>
    <dataValidation type="decimal" operator="greaterThan" allowBlank="1" showInputMessage="1" showErrorMessage="1" sqref="D197">
      <formula1>0</formula1>
    </dataValidation>
    <dataValidation type="decimal" operator="greaterThan" allowBlank="1" showInputMessage="1" showErrorMessage="1" sqref="E197">
      <formula1>0</formula1>
    </dataValidation>
    <dataValidation type="whole" operator="greaterThan" allowBlank="1" showInputMessage="1" showErrorMessage="1" sqref="A198">
      <formula1>0</formula1>
    </dataValidation>
    <dataValidation type="list" allowBlank="1" showInputMessage="1" showErrorMessage="1" sqref="C198">
      <formula1>UnidadesList</formula1>
    </dataValidation>
    <dataValidation type="decimal" operator="greaterThan" allowBlank="1" showInputMessage="1" showErrorMessage="1" sqref="D198">
      <formula1>0</formula1>
    </dataValidation>
    <dataValidation type="decimal" operator="greaterThan" allowBlank="1" showInputMessage="1" showErrorMessage="1" sqref="E198">
      <formula1>0</formula1>
    </dataValidation>
    <dataValidation type="whole" operator="greaterThan" allowBlank="1" showInputMessage="1" showErrorMessage="1" sqref="A199">
      <formula1>0</formula1>
    </dataValidation>
    <dataValidation type="list" allowBlank="1" showInputMessage="1" showErrorMessage="1" sqref="C199">
      <formula1>UnidadesList</formula1>
    </dataValidation>
    <dataValidation type="decimal" operator="greaterThan" allowBlank="1" showInputMessage="1" showErrorMessage="1" sqref="D199">
      <formula1>0</formula1>
    </dataValidation>
    <dataValidation type="decimal" operator="greaterThan" allowBlank="1" showInputMessage="1" showErrorMessage="1" sqref="E199">
      <formula1>0</formula1>
    </dataValidation>
    <dataValidation type="whole" operator="greaterThan" allowBlank="1" showInputMessage="1" showErrorMessage="1" sqref="A200">
      <formula1>0</formula1>
    </dataValidation>
    <dataValidation type="list" allowBlank="1" showInputMessage="1" showErrorMessage="1" sqref="C200">
      <formula1>UnidadesList</formula1>
    </dataValidation>
    <dataValidation type="decimal" operator="greaterThan" allowBlank="1" showInputMessage="1" showErrorMessage="1" sqref="D200">
      <formula1>0</formula1>
    </dataValidation>
    <dataValidation type="decimal" operator="greaterThan" allowBlank="1" showInputMessage="1" showErrorMessage="1" sqref="E200">
      <formula1>0</formula1>
    </dataValidation>
    <dataValidation type="whole" operator="greaterThan" allowBlank="1" showInputMessage="1" showErrorMessage="1" sqref="A201">
      <formula1>0</formula1>
    </dataValidation>
    <dataValidation type="list" allowBlank="1" showInputMessage="1" showErrorMessage="1" sqref="C201">
      <formula1>UnidadesList</formula1>
    </dataValidation>
    <dataValidation type="decimal" operator="greaterThan" allowBlank="1" showInputMessage="1" showErrorMessage="1" sqref="D201">
      <formula1>0</formula1>
    </dataValidation>
    <dataValidation type="decimal" operator="greaterThan" allowBlank="1" showInputMessage="1" showErrorMessage="1" sqref="E201">
      <formula1>0</formula1>
    </dataValidation>
    <dataValidation type="whole" operator="greaterThan" allowBlank="1" showInputMessage="1" showErrorMessage="1" sqref="A202">
      <formula1>0</formula1>
    </dataValidation>
    <dataValidation type="list" allowBlank="1" showInputMessage="1" showErrorMessage="1" sqref="C202">
      <formula1>UnidadesList</formula1>
    </dataValidation>
    <dataValidation type="decimal" operator="greaterThan" allowBlank="1" showInputMessage="1" showErrorMessage="1" sqref="D202">
      <formula1>0</formula1>
    </dataValidation>
    <dataValidation type="decimal" operator="greaterThan" allowBlank="1" showInputMessage="1" showErrorMessage="1" sqref="E202">
      <formula1>0</formula1>
    </dataValidation>
    <dataValidation type="whole" operator="greaterThan" allowBlank="1" showInputMessage="1" showErrorMessage="1" sqref="A203">
      <formula1>0</formula1>
    </dataValidation>
    <dataValidation type="list" allowBlank="1" showInputMessage="1" showErrorMessage="1" sqref="C203">
      <formula1>UnidadesList</formula1>
    </dataValidation>
    <dataValidation type="decimal" operator="greaterThan" allowBlank="1" showInputMessage="1" showErrorMessage="1" sqref="D203">
      <formula1>0</formula1>
    </dataValidation>
    <dataValidation type="decimal" operator="greaterThan" allowBlank="1" showInputMessage="1" showErrorMessage="1" sqref="E203">
      <formula1>0</formula1>
    </dataValidation>
    <dataValidation type="whole" operator="greaterThan" allowBlank="1" showInputMessage="1" showErrorMessage="1" sqref="A204">
      <formula1>0</formula1>
    </dataValidation>
    <dataValidation type="list" allowBlank="1" showInputMessage="1" showErrorMessage="1" sqref="C204">
      <formula1>UnidadesList</formula1>
    </dataValidation>
    <dataValidation type="decimal" operator="greaterThan" allowBlank="1" showInputMessage="1" showErrorMessage="1" sqref="D204">
      <formula1>0</formula1>
    </dataValidation>
    <dataValidation type="decimal" operator="greaterThan" allowBlank="1" showInputMessage="1" showErrorMessage="1" sqref="E204">
      <formula1>0</formula1>
    </dataValidation>
    <dataValidation type="whole" operator="greaterThan" allowBlank="1" showInputMessage="1" showErrorMessage="1" sqref="A205">
      <formula1>0</formula1>
    </dataValidation>
    <dataValidation type="list" allowBlank="1" showInputMessage="1" showErrorMessage="1" sqref="C205">
      <formula1>UnidadesList</formula1>
    </dataValidation>
    <dataValidation type="decimal" operator="greaterThan" allowBlank="1" showInputMessage="1" showErrorMessage="1" sqref="D205">
      <formula1>0</formula1>
    </dataValidation>
    <dataValidation type="decimal" operator="greaterThan" allowBlank="1" showInputMessage="1" showErrorMessage="1" sqref="E205">
      <formula1>0</formula1>
    </dataValidation>
    <dataValidation type="date" operator="lessThanOrEqual" allowBlank="1" showInputMessage="1" showErrorMessage="1" sqref="C210">
      <formula1>C212</formula1>
    </dataValidation>
    <dataValidation type="date" operator="greaterThanOrEqual" allowBlank="1" showInputMessage="1" showErrorMessage="1" sqref="C212">
      <formula1>C210</formula1>
    </dataValidation>
    <dataValidation type="list" allowBlank="1" showInputMessage="1" showErrorMessage="1" sqref="F2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16">
      <formula1>0</formula1>
    </dataValidation>
    <dataValidation type="list" allowBlank="1" showInputMessage="1" showErrorMessage="1" sqref="C216">
      <formula1>UnidadesList</formula1>
    </dataValidation>
    <dataValidation type="decimal" operator="greaterThan" allowBlank="1" showInputMessage="1" showErrorMessage="1" sqref="D216">
      <formula1>0</formula1>
    </dataValidation>
    <dataValidation type="decimal" operator="greaterThan" allowBlank="1" showInputMessage="1" showErrorMessage="1" sqref="E216">
      <formula1>0</formula1>
    </dataValidation>
    <dataValidation type="whole" operator="greaterThan" allowBlank="1" showInputMessage="1" showErrorMessage="1" sqref="A217">
      <formula1>0</formula1>
    </dataValidation>
    <dataValidation type="list" allowBlank="1" showInputMessage="1" showErrorMessage="1" sqref="C217">
      <formula1>UnidadesList</formula1>
    </dataValidation>
    <dataValidation type="decimal" operator="greaterThan" allowBlank="1" showInputMessage="1" showErrorMessage="1" sqref="D217">
      <formula1>0</formula1>
    </dataValidation>
    <dataValidation type="decimal" operator="greaterThan" allowBlank="1" showInputMessage="1" showErrorMessage="1" sqref="E217">
      <formula1>0</formula1>
    </dataValidation>
    <dataValidation type="whole" operator="greaterThan" allowBlank="1" showInputMessage="1" showErrorMessage="1" sqref="A218">
      <formula1>0</formula1>
    </dataValidation>
    <dataValidation type="list" allowBlank="1" showInputMessage="1" showErrorMessage="1" sqref="C218">
      <formula1>UnidadesList</formula1>
    </dataValidation>
    <dataValidation type="decimal" operator="greaterThan" allowBlank="1" showInputMessage="1" showErrorMessage="1" sqref="D218">
      <formula1>0</formula1>
    </dataValidation>
    <dataValidation type="decimal" operator="greaterThan" allowBlank="1" showInputMessage="1" showErrorMessage="1" sqref="E218">
      <formula1>0</formula1>
    </dataValidation>
    <dataValidation type="whole" operator="greaterThan" allowBlank="1" showInputMessage="1" showErrorMessage="1" sqref="A219">
      <formula1>0</formula1>
    </dataValidation>
    <dataValidation type="list" allowBlank="1" showInputMessage="1" showErrorMessage="1" sqref="C219">
      <formula1>UnidadesList</formula1>
    </dataValidation>
    <dataValidation type="decimal" operator="greaterThan" allowBlank="1" showInputMessage="1" showErrorMessage="1" sqref="D219">
      <formula1>0</formula1>
    </dataValidation>
    <dataValidation type="decimal" operator="greaterThan" allowBlank="1" showInputMessage="1" showErrorMessage="1" sqref="E219">
      <formula1>0</formula1>
    </dataValidation>
    <dataValidation type="whole" operator="greaterThan" allowBlank="1" showInputMessage="1" showErrorMessage="1" sqref="A220">
      <formula1>0</formula1>
    </dataValidation>
    <dataValidation type="list" allowBlank="1" showInputMessage="1" showErrorMessage="1" sqref="C220">
      <formula1>UnidadesList</formula1>
    </dataValidation>
    <dataValidation type="decimal" operator="greaterThan" allowBlank="1" showInputMessage="1" showErrorMessage="1" sqref="D220">
      <formula1>0</formula1>
    </dataValidation>
    <dataValidation type="decimal" operator="greaterThan" allowBlank="1" showInputMessage="1" showErrorMessage="1" sqref="E220">
      <formula1>0</formula1>
    </dataValidation>
    <dataValidation type="whole" operator="greaterThan" allowBlank="1" showInputMessage="1" showErrorMessage="1" sqref="A221">
      <formula1>0</formula1>
    </dataValidation>
    <dataValidation type="list" allowBlank="1" showInputMessage="1" showErrorMessage="1" sqref="C221">
      <formula1>UnidadesList</formula1>
    </dataValidation>
    <dataValidation type="decimal" operator="greaterThan" allowBlank="1" showInputMessage="1" showErrorMessage="1" sqref="D221">
      <formula1>0</formula1>
    </dataValidation>
    <dataValidation type="decimal" operator="greaterThan" allowBlank="1" showInputMessage="1" showErrorMessage="1" sqref="E221">
      <formula1>0</formula1>
    </dataValidation>
    <dataValidation type="whole" operator="greaterThan" allowBlank="1" showInputMessage="1" showErrorMessage="1" sqref="A222">
      <formula1>0</formula1>
    </dataValidation>
    <dataValidation type="list" allowBlank="1" showInputMessage="1" showErrorMessage="1" sqref="C222">
      <formula1>UnidadesList</formula1>
    </dataValidation>
    <dataValidation type="decimal" operator="greaterThan" allowBlank="1" showInputMessage="1" showErrorMessage="1" sqref="D222">
      <formula1>0</formula1>
    </dataValidation>
    <dataValidation type="decimal" operator="greaterThan" allowBlank="1" showInputMessage="1" showErrorMessage="1" sqref="E222">
      <formula1>0</formula1>
    </dataValidation>
    <dataValidation type="whole" operator="greaterThan" allowBlank="1" showInputMessage="1" showErrorMessage="1" sqref="A223">
      <formula1>0</formula1>
    </dataValidation>
    <dataValidation type="list" allowBlank="1" showInputMessage="1" showErrorMessage="1" sqref="C223">
      <formula1>UnidadesList</formula1>
    </dataValidation>
    <dataValidation type="decimal" operator="greaterThan" allowBlank="1" showInputMessage="1" showErrorMessage="1" sqref="D223">
      <formula1>0</formula1>
    </dataValidation>
    <dataValidation type="decimal" operator="greaterThan" allowBlank="1" showInputMessage="1" showErrorMessage="1" sqref="E223">
      <formula1>0</formula1>
    </dataValidation>
    <dataValidation type="whole" operator="greaterThan" allowBlank="1" showInputMessage="1" showErrorMessage="1" sqref="A224">
      <formula1>0</formula1>
    </dataValidation>
    <dataValidation type="list" allowBlank="1" showInputMessage="1" showErrorMessage="1" sqref="C224">
      <formula1>UnidadesList</formula1>
    </dataValidation>
    <dataValidation type="decimal" operator="greaterThan" allowBlank="1" showInputMessage="1" showErrorMessage="1" sqref="D224">
      <formula1>0</formula1>
    </dataValidation>
    <dataValidation type="decimal" operator="greaterThan" allowBlank="1" showInputMessage="1" showErrorMessage="1" sqref="E224">
      <formula1>0</formula1>
    </dataValidation>
    <dataValidation type="whole" operator="greaterThan" allowBlank="1" showInputMessage="1" showErrorMessage="1" sqref="A225">
      <formula1>0</formula1>
    </dataValidation>
    <dataValidation type="list" allowBlank="1" showInputMessage="1" showErrorMessage="1" sqref="C225">
      <formula1>UnidadesList</formula1>
    </dataValidation>
    <dataValidation type="decimal" operator="greaterThan" allowBlank="1" showInputMessage="1" showErrorMessage="1" sqref="D225">
      <formula1>0</formula1>
    </dataValidation>
    <dataValidation type="decimal" operator="greaterThan" allowBlank="1" showInputMessage="1" showErrorMessage="1" sqref="E225">
      <formula1>0</formula1>
    </dataValidation>
    <dataValidation type="whole" operator="greaterThan" allowBlank="1" showInputMessage="1" showErrorMessage="1" sqref="A226">
      <formula1>0</formula1>
    </dataValidation>
    <dataValidation type="list" allowBlank="1" showInputMessage="1" showErrorMessage="1" sqref="C226">
      <formula1>UnidadesList</formula1>
    </dataValidation>
    <dataValidation type="decimal" operator="greaterThan" allowBlank="1" showInputMessage="1" showErrorMessage="1" sqref="D226">
      <formula1>0</formula1>
    </dataValidation>
    <dataValidation type="decimal" operator="greaterThan" allowBlank="1" showInputMessage="1" showErrorMessage="1" sqref="E226">
      <formula1>0</formula1>
    </dataValidation>
    <dataValidation type="whole" operator="greaterThan" allowBlank="1" showInputMessage="1" showErrorMessage="1" sqref="A227">
      <formula1>0</formula1>
    </dataValidation>
    <dataValidation type="list" allowBlank="1" showInputMessage="1" showErrorMessage="1" sqref="C227">
      <formula1>UnidadesList</formula1>
    </dataValidation>
    <dataValidation type="decimal" operator="greaterThan" allowBlank="1" showInputMessage="1" showErrorMessage="1" sqref="D227">
      <formula1>0</formula1>
    </dataValidation>
    <dataValidation type="decimal" operator="greaterThan" allowBlank="1" showInputMessage="1" showErrorMessage="1" sqref="E227">
      <formula1>0</formula1>
    </dataValidation>
    <dataValidation type="whole" operator="greaterThan" allowBlank="1" showInputMessage="1" showErrorMessage="1" sqref="A228">
      <formula1>0</formula1>
    </dataValidation>
    <dataValidation type="list" allowBlank="1" showInputMessage="1" showErrorMessage="1" sqref="C228">
      <formula1>UnidadesList</formula1>
    </dataValidation>
    <dataValidation type="decimal" operator="greaterThan" allowBlank="1" showInputMessage="1" showErrorMessage="1" sqref="D228">
      <formula1>0</formula1>
    </dataValidation>
    <dataValidation type="decimal" operator="greaterThan" allowBlank="1" showInputMessage="1" showErrorMessage="1" sqref="E228">
      <formula1>0</formula1>
    </dataValidation>
    <dataValidation type="whole" operator="greaterThan" allowBlank="1" showInputMessage="1" showErrorMessage="1" sqref="A229">
      <formula1>0</formula1>
    </dataValidation>
    <dataValidation type="list" allowBlank="1" showInputMessage="1" showErrorMessage="1" sqref="C229">
      <formula1>UnidadesList</formula1>
    </dataValidation>
    <dataValidation type="decimal" operator="greaterThan" allowBlank="1" showInputMessage="1" showErrorMessage="1" sqref="D229">
      <formula1>0</formula1>
    </dataValidation>
    <dataValidation type="decimal" operator="greaterThan" allowBlank="1" showInputMessage="1" showErrorMessage="1" sqref="E229">
      <formula1>0</formula1>
    </dataValidation>
    <dataValidation type="whole" operator="greaterThan" allowBlank="1" showInputMessage="1" showErrorMessage="1" sqref="A230">
      <formula1>0</formula1>
    </dataValidation>
    <dataValidation type="list" allowBlank="1" showInputMessage="1" showErrorMessage="1" sqref="C230">
      <formula1>UnidadesList</formula1>
    </dataValidation>
    <dataValidation type="decimal" operator="greaterThan" allowBlank="1" showInputMessage="1" showErrorMessage="1" sqref="D230">
      <formula1>0</formula1>
    </dataValidation>
    <dataValidation type="decimal" operator="greaterThan" allowBlank="1" showInputMessage="1" showErrorMessage="1" sqref="E230">
      <formula1>0</formula1>
    </dataValidation>
    <dataValidation type="whole" operator="greaterThan" allowBlank="1" showInputMessage="1" showErrorMessage="1" sqref="A231">
      <formula1>0</formula1>
    </dataValidation>
    <dataValidation type="list" allowBlank="1" showInputMessage="1" showErrorMessage="1" sqref="C231">
      <formula1>UnidadesList</formula1>
    </dataValidation>
    <dataValidation type="decimal" operator="greaterThan" allowBlank="1" showInputMessage="1" showErrorMessage="1" sqref="D231">
      <formula1>0</formula1>
    </dataValidation>
    <dataValidation type="decimal" operator="greaterThan" allowBlank="1" showInputMessage="1" showErrorMessage="1" sqref="E231">
      <formula1>0</formula1>
    </dataValidation>
    <dataValidation type="whole" operator="greaterThan" allowBlank="1" showInputMessage="1" showErrorMessage="1" sqref="A232">
      <formula1>0</formula1>
    </dataValidation>
    <dataValidation type="list" allowBlank="1" showInputMessage="1" showErrorMessage="1" sqref="C232">
      <formula1>UnidadesList</formula1>
    </dataValidation>
    <dataValidation type="decimal" operator="greaterThan" allowBlank="1" showInputMessage="1" showErrorMessage="1" sqref="D232">
      <formula1>0</formula1>
    </dataValidation>
    <dataValidation type="decimal" operator="greaterThan" allowBlank="1" showInputMessage="1" showErrorMessage="1" sqref="E232">
      <formula1>0</formula1>
    </dataValidation>
    <dataValidation type="whole" operator="greaterThan" allowBlank="1" showInputMessage="1" showErrorMessage="1" sqref="A233">
      <formula1>0</formula1>
    </dataValidation>
    <dataValidation type="list" allowBlank="1" showInputMessage="1" showErrorMessage="1" sqref="C233">
      <formula1>UnidadesList</formula1>
    </dataValidation>
    <dataValidation type="decimal" operator="greaterThan" allowBlank="1" showInputMessage="1" showErrorMessage="1" sqref="D233">
      <formula1>0</formula1>
    </dataValidation>
    <dataValidation type="decimal" operator="greaterThan" allowBlank="1" showInputMessage="1" showErrorMessage="1" sqref="E233">
      <formula1>0</formula1>
    </dataValidation>
    <dataValidation type="whole" operator="greaterThan" allowBlank="1" showInputMessage="1" showErrorMessage="1" sqref="A234">
      <formula1>0</formula1>
    </dataValidation>
    <dataValidation type="list" allowBlank="1" showInputMessage="1" showErrorMessage="1" sqref="C234">
      <formula1>UnidadesList</formula1>
    </dataValidation>
    <dataValidation type="decimal" operator="greaterThan" allowBlank="1" showInputMessage="1" showErrorMessage="1" sqref="D234">
      <formula1>0</formula1>
    </dataValidation>
    <dataValidation type="decimal" operator="greaterThan" allowBlank="1" showInputMessage="1" showErrorMessage="1" sqref="E234">
      <formula1>0</formula1>
    </dataValidation>
    <dataValidation type="whole" operator="greaterThan" allowBlank="1" showInputMessage="1" showErrorMessage="1" sqref="A235">
      <formula1>0</formula1>
    </dataValidation>
    <dataValidation type="list" allowBlank="1" showInputMessage="1" showErrorMessage="1" sqref="C235">
      <formula1>UnidadesList</formula1>
    </dataValidation>
    <dataValidation type="decimal" operator="greaterThan" allowBlank="1" showInputMessage="1" showErrorMessage="1" sqref="D235">
      <formula1>0</formula1>
    </dataValidation>
    <dataValidation type="decimal" operator="greaterThan" allowBlank="1" showInputMessage="1" showErrorMessage="1" sqref="E235">
      <formula1>0</formula1>
    </dataValidation>
    <dataValidation type="whole" operator="greaterThan" allowBlank="1" showInputMessage="1" showErrorMessage="1" sqref="A236">
      <formula1>0</formula1>
    </dataValidation>
    <dataValidation type="list" allowBlank="1" showInputMessage="1" showErrorMessage="1" sqref="C236">
      <formula1>UnidadesList</formula1>
    </dataValidation>
    <dataValidation type="decimal" operator="greaterThan" allowBlank="1" showInputMessage="1" showErrorMessage="1" sqref="D236">
      <formula1>0</formula1>
    </dataValidation>
    <dataValidation type="decimal" operator="greaterThan" allowBlank="1" showInputMessage="1" showErrorMessage="1" sqref="E236">
      <formula1>0</formula1>
    </dataValidation>
    <dataValidation type="whole" operator="greaterThan" allowBlank="1" showInputMessage="1" showErrorMessage="1" sqref="A237">
      <formula1>0</formula1>
    </dataValidation>
    <dataValidation type="list" allowBlank="1" showInputMessage="1" showErrorMessage="1" sqref="C237">
      <formula1>UnidadesList</formula1>
    </dataValidation>
    <dataValidation type="decimal" operator="greaterThan" allowBlank="1" showInputMessage="1" showErrorMessage="1" sqref="D237">
      <formula1>0</formula1>
    </dataValidation>
    <dataValidation type="decimal" operator="greaterThan" allowBlank="1" showInputMessage="1" showErrorMessage="1" sqref="E237">
      <formula1>0</formula1>
    </dataValidation>
    <dataValidation type="whole" operator="greaterThan" allowBlank="1" showInputMessage="1" showErrorMessage="1" sqref="A238">
      <formula1>0</formula1>
    </dataValidation>
    <dataValidation type="list" allowBlank="1" showInputMessage="1" showErrorMessage="1" sqref="C238">
      <formula1>UnidadesList</formula1>
    </dataValidation>
    <dataValidation type="decimal" operator="greaterThan" allowBlank="1" showInputMessage="1" showErrorMessage="1" sqref="D238">
      <formula1>0</formula1>
    </dataValidation>
    <dataValidation type="decimal" operator="greaterThan" allowBlank="1" showInputMessage="1" showErrorMessage="1" sqref="E238">
      <formula1>0</formula1>
    </dataValidation>
    <dataValidation type="whole" operator="greaterThan" allowBlank="1" showInputMessage="1" showErrorMessage="1" sqref="A239">
      <formula1>0</formula1>
    </dataValidation>
    <dataValidation type="list" allowBlank="1" showInputMessage="1" showErrorMessage="1" sqref="C239">
      <formula1>UnidadesList</formula1>
    </dataValidation>
    <dataValidation type="decimal" operator="greaterThan" allowBlank="1" showInputMessage="1" showErrorMessage="1" sqref="D239">
      <formula1>0</formula1>
    </dataValidation>
    <dataValidation type="decimal" operator="greaterThan" allowBlank="1" showInputMessage="1" showErrorMessage="1" sqref="E239">
      <formula1>0</formula1>
    </dataValidation>
    <dataValidation type="whole" operator="greaterThan" allowBlank="1" showInputMessage="1" showErrorMessage="1" sqref="A240">
      <formula1>0</formula1>
    </dataValidation>
    <dataValidation type="list" allowBlank="1" showInputMessage="1" showErrorMessage="1" sqref="C240">
      <formula1>UnidadesList</formula1>
    </dataValidation>
    <dataValidation type="decimal" operator="greaterThan" allowBlank="1" showInputMessage="1" showErrorMessage="1" sqref="D240">
      <formula1>0</formula1>
    </dataValidation>
    <dataValidation type="decimal" operator="greaterThan" allowBlank="1" showInputMessage="1" showErrorMessage="1" sqref="E240">
      <formula1>0</formula1>
    </dataValidation>
    <dataValidation type="whole" operator="greaterThan" allowBlank="1" showInputMessage="1" showErrorMessage="1" sqref="A241">
      <formula1>0</formula1>
    </dataValidation>
    <dataValidation type="list" allowBlank="1" showInputMessage="1" showErrorMessage="1" sqref="C241">
      <formula1>UnidadesList</formula1>
    </dataValidation>
    <dataValidation type="decimal" operator="greaterThan" allowBlank="1" showInputMessage="1" showErrorMessage="1" sqref="D241">
      <formula1>0</formula1>
    </dataValidation>
    <dataValidation type="decimal" operator="greaterThan" allowBlank="1" showInputMessage="1" showErrorMessage="1" sqref="E241">
      <formula1>0</formula1>
    </dataValidation>
    <dataValidation type="whole" operator="greaterThan" allowBlank="1" showInputMessage="1" showErrorMessage="1" sqref="A242">
      <formula1>0</formula1>
    </dataValidation>
    <dataValidation type="list" allowBlank="1" showInputMessage="1" showErrorMessage="1" sqref="C242">
      <formula1>UnidadesList</formula1>
    </dataValidation>
    <dataValidation type="decimal" operator="greaterThan" allowBlank="1" showInputMessage="1" showErrorMessage="1" sqref="D242">
      <formula1>0</formula1>
    </dataValidation>
    <dataValidation type="decimal" operator="greaterThan" allowBlank="1" showInputMessage="1" showErrorMessage="1" sqref="E242">
      <formula1>0</formula1>
    </dataValidation>
    <dataValidation type="whole" operator="greaterThan" allowBlank="1" showInputMessage="1" showErrorMessage="1" sqref="A243">
      <formula1>0</formula1>
    </dataValidation>
    <dataValidation type="list" allowBlank="1" showInputMessage="1" showErrorMessage="1" sqref="C243">
      <formula1>UnidadesList</formula1>
    </dataValidation>
    <dataValidation type="decimal" operator="greaterThan" allowBlank="1" showInputMessage="1" showErrorMessage="1" sqref="D243">
      <formula1>0</formula1>
    </dataValidation>
    <dataValidation type="decimal" operator="greaterThan" allowBlank="1" showInputMessage="1" showErrorMessage="1" sqref="E243">
      <formula1>0</formula1>
    </dataValidation>
    <dataValidation type="whole" operator="greaterThan" allowBlank="1" showInputMessage="1" showErrorMessage="1" sqref="A244">
      <formula1>0</formula1>
    </dataValidation>
    <dataValidation type="list" allowBlank="1" showInputMessage="1" showErrorMessage="1" sqref="C244">
      <formula1>UnidadesList</formula1>
    </dataValidation>
    <dataValidation type="decimal" operator="greaterThan" allowBlank="1" showInputMessage="1" showErrorMessage="1" sqref="D244">
      <formula1>0</formula1>
    </dataValidation>
    <dataValidation type="decimal" operator="greaterThan" allowBlank="1" showInputMessage="1" showErrorMessage="1" sqref="E244">
      <formula1>0</formula1>
    </dataValidation>
    <dataValidation type="whole" operator="greaterThan" allowBlank="1" showInputMessage="1" showErrorMessage="1" sqref="A245">
      <formula1>0</formula1>
    </dataValidation>
    <dataValidation type="list" allowBlank="1" showInputMessage="1" showErrorMessage="1" sqref="C245">
      <formula1>UnidadesList</formula1>
    </dataValidation>
    <dataValidation type="decimal" operator="greaterThan" allowBlank="1" showInputMessage="1" showErrorMessage="1" sqref="D245">
      <formula1>0</formula1>
    </dataValidation>
    <dataValidation type="decimal" operator="greaterThan" allowBlank="1" showInputMessage="1" showErrorMessage="1" sqref="E245">
      <formula1>0</formula1>
    </dataValidation>
    <dataValidation type="whole" operator="greaterThan" allowBlank="1" showInputMessage="1" showErrorMessage="1" sqref="A246">
      <formula1>0</formula1>
    </dataValidation>
    <dataValidation type="list" allowBlank="1" showInputMessage="1" showErrorMessage="1" sqref="C246">
      <formula1>UnidadesList</formula1>
    </dataValidation>
    <dataValidation type="decimal" operator="greaterThan" allowBlank="1" showInputMessage="1" showErrorMessage="1" sqref="D246">
      <formula1>0</formula1>
    </dataValidation>
    <dataValidation type="decimal" operator="greaterThan" allowBlank="1" showInputMessage="1" showErrorMessage="1" sqref="E246">
      <formula1>0</formula1>
    </dataValidation>
    <dataValidation type="whole" operator="greaterThan" allowBlank="1" showInputMessage="1" showErrorMessage="1" sqref="A247">
      <formula1>0</formula1>
    </dataValidation>
    <dataValidation type="list" allowBlank="1" showInputMessage="1" showErrorMessage="1" sqref="C247">
      <formula1>UnidadesList</formula1>
    </dataValidation>
    <dataValidation type="decimal" operator="greaterThan" allowBlank="1" showInputMessage="1" showErrorMessage="1" sqref="D247">
      <formula1>0</formula1>
    </dataValidation>
    <dataValidation type="decimal" operator="greaterThan" allowBlank="1" showInputMessage="1" showErrorMessage="1" sqref="E247">
      <formula1>0</formula1>
    </dataValidation>
    <dataValidation type="whole" operator="greaterThan" allowBlank="1" showInputMessage="1" showErrorMessage="1" sqref="A248">
      <formula1>0</formula1>
    </dataValidation>
    <dataValidation type="list" allowBlank="1" showInputMessage="1" showErrorMessage="1" sqref="C248">
      <formula1>UnidadesList</formula1>
    </dataValidation>
    <dataValidation type="decimal" operator="greaterThan" allowBlank="1" showInputMessage="1" showErrorMessage="1" sqref="D248">
      <formula1>0</formula1>
    </dataValidation>
    <dataValidation type="decimal" operator="greaterThan" allowBlank="1" showInputMessage="1" showErrorMessage="1" sqref="E248">
      <formula1>0</formula1>
    </dataValidation>
    <dataValidation type="whole" operator="greaterThan" allowBlank="1" showInputMessage="1" showErrorMessage="1" sqref="A249">
      <formula1>0</formula1>
    </dataValidation>
    <dataValidation type="list" allowBlank="1" showInputMessage="1" showErrorMessage="1" sqref="C249">
      <formula1>UnidadesList</formula1>
    </dataValidation>
    <dataValidation type="decimal" operator="greaterThan" allowBlank="1" showInputMessage="1" showErrorMessage="1" sqref="D249">
      <formula1>0</formula1>
    </dataValidation>
    <dataValidation type="decimal" operator="greaterThan" allowBlank="1" showInputMessage="1" showErrorMessage="1" sqref="E249">
      <formula1>0</formula1>
    </dataValidation>
    <dataValidation type="whole" operator="greaterThan" allowBlank="1" showInputMessage="1" showErrorMessage="1" sqref="A250">
      <formula1>0</formula1>
    </dataValidation>
    <dataValidation type="list" allowBlank="1" showInputMessage="1" showErrorMessage="1" sqref="C250">
      <formula1>UnidadesList</formula1>
    </dataValidation>
    <dataValidation type="decimal" operator="greaterThan" allowBlank="1" showInputMessage="1" showErrorMessage="1" sqref="D250">
      <formula1>0</formula1>
    </dataValidation>
    <dataValidation type="decimal" operator="greaterThan" allowBlank="1" showInputMessage="1" showErrorMessage="1" sqref="E250">
      <formula1>0</formula1>
    </dataValidation>
    <dataValidation type="whole" operator="greaterThan" allowBlank="1" showInputMessage="1" showErrorMessage="1" sqref="A251">
      <formula1>0</formula1>
    </dataValidation>
    <dataValidation type="list" allowBlank="1" showInputMessage="1" showErrorMessage="1" sqref="C251">
      <formula1>UnidadesList</formula1>
    </dataValidation>
    <dataValidation type="decimal" operator="greaterThan" allowBlank="1" showInputMessage="1" showErrorMessage="1" sqref="D251">
      <formula1>0</formula1>
    </dataValidation>
    <dataValidation type="decimal" operator="greaterThan" allowBlank="1" showInputMessage="1" showErrorMessage="1" sqref="E251">
      <formula1>0</formula1>
    </dataValidation>
    <dataValidation type="whole" operator="greaterThan" allowBlank="1" showInputMessage="1" showErrorMessage="1" sqref="A252">
      <formula1>0</formula1>
    </dataValidation>
    <dataValidation type="list" allowBlank="1" showInputMessage="1" showErrorMessage="1" sqref="C252">
      <formula1>UnidadesList</formula1>
    </dataValidation>
    <dataValidation type="decimal" operator="greaterThan" allowBlank="1" showInputMessage="1" showErrorMessage="1" sqref="D252">
      <formula1>0</formula1>
    </dataValidation>
    <dataValidation type="decimal" operator="greaterThan" allowBlank="1" showInputMessage="1" showErrorMessage="1" sqref="E252">
      <formula1>0</formula1>
    </dataValidation>
    <dataValidation type="whole" operator="greaterThan" allowBlank="1" showInputMessage="1" showErrorMessage="1" sqref="A253">
      <formula1>0</formula1>
    </dataValidation>
    <dataValidation type="list" allowBlank="1" showInputMessage="1" showErrorMessage="1" sqref="C253">
      <formula1>UnidadesList</formula1>
    </dataValidation>
    <dataValidation type="decimal" operator="greaterThan" allowBlank="1" showInputMessage="1" showErrorMessage="1" sqref="D253">
      <formula1>0</formula1>
    </dataValidation>
    <dataValidation type="decimal" operator="greaterThan" allowBlank="1" showInputMessage="1" showErrorMessage="1" sqref="E253">
      <formula1>0</formula1>
    </dataValidation>
    <dataValidation type="whole" operator="greaterThan" allowBlank="1" showInputMessage="1" showErrorMessage="1" sqref="A254">
      <formula1>0</formula1>
    </dataValidation>
    <dataValidation type="list" allowBlank="1" showInputMessage="1" showErrorMessage="1" sqref="C254">
      <formula1>UnidadesList</formula1>
    </dataValidation>
    <dataValidation type="decimal" operator="greaterThan" allowBlank="1" showInputMessage="1" showErrorMessage="1" sqref="D254">
      <formula1>0</formula1>
    </dataValidation>
    <dataValidation type="decimal" operator="greaterThan" allowBlank="1" showInputMessage="1" showErrorMessage="1" sqref="E254">
      <formula1>0</formula1>
    </dataValidation>
    <dataValidation type="whole" operator="greaterThan" allowBlank="1" showInputMessage="1" showErrorMessage="1" sqref="A255">
      <formula1>0</formula1>
    </dataValidation>
    <dataValidation type="list" allowBlank="1" showInputMessage="1" showErrorMessage="1" sqref="C255">
      <formula1>UnidadesList</formula1>
    </dataValidation>
    <dataValidation type="decimal" operator="greaterThan" allowBlank="1" showInputMessage="1" showErrorMessage="1" sqref="D255">
      <formula1>0</formula1>
    </dataValidation>
    <dataValidation type="decimal" operator="greaterThan" allowBlank="1" showInputMessage="1" showErrorMessage="1" sqref="E255">
      <formula1>0</formula1>
    </dataValidation>
    <dataValidation type="whole" operator="greaterThan" allowBlank="1" showInputMessage="1" showErrorMessage="1" sqref="A256">
      <formula1>0</formula1>
    </dataValidation>
    <dataValidation type="list" allowBlank="1" showInputMessage="1" showErrorMessage="1" sqref="C256">
      <formula1>UnidadesList</formula1>
    </dataValidation>
    <dataValidation type="decimal" operator="greaterThan" allowBlank="1" showInputMessage="1" showErrorMessage="1" sqref="D256">
      <formula1>0</formula1>
    </dataValidation>
    <dataValidation type="decimal" operator="greaterThan" allowBlank="1" showInputMessage="1" showErrorMessage="1" sqref="E256">
      <formula1>0</formula1>
    </dataValidation>
    <dataValidation type="whole" operator="greaterThan" allowBlank="1" showInputMessage="1" showErrorMessage="1" sqref="A257">
      <formula1>0</formula1>
    </dataValidation>
    <dataValidation type="list" allowBlank="1" showInputMessage="1" showErrorMessage="1" sqref="C257">
      <formula1>UnidadesList</formula1>
    </dataValidation>
    <dataValidation type="decimal" operator="greaterThan" allowBlank="1" showInputMessage="1" showErrorMessage="1" sqref="D257">
      <formula1>0</formula1>
    </dataValidation>
    <dataValidation type="decimal" operator="greaterThan" allowBlank="1" showInputMessage="1" showErrorMessage="1" sqref="E257">
      <formula1>0</formula1>
    </dataValidation>
    <dataValidation type="date" operator="lessThanOrEqual" allowBlank="1" showInputMessage="1" showErrorMessage="1" sqref="C262">
      <formula1>C264</formula1>
    </dataValidation>
    <dataValidation type="date" operator="greaterThanOrEqual" allowBlank="1" showInputMessage="1" showErrorMessage="1" sqref="C264">
      <formula1>C262</formula1>
    </dataValidation>
    <dataValidation type="list" allowBlank="1" showInputMessage="1" showErrorMessage="1" sqref="F2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8">
      <formula1>0</formula1>
    </dataValidation>
    <dataValidation type="list" allowBlank="1" showInputMessage="1" showErrorMessage="1" sqref="C268">
      <formula1>UnidadesList</formula1>
    </dataValidation>
    <dataValidation type="decimal" operator="greaterThan" allowBlank="1" showInputMessage="1" showErrorMessage="1" sqref="D268">
      <formula1>0</formula1>
    </dataValidation>
    <dataValidation type="decimal" operator="greaterThan" allowBlank="1" showInputMessage="1" showErrorMessage="1" sqref="E268">
      <formula1>0</formula1>
    </dataValidation>
    <dataValidation type="whole" operator="greaterThan" allowBlank="1" showInputMessage="1" showErrorMessage="1" sqref="A269">
      <formula1>0</formula1>
    </dataValidation>
    <dataValidation type="list" allowBlank="1" showInputMessage="1" showErrorMessage="1" sqref="C269">
      <formula1>UnidadesList</formula1>
    </dataValidation>
    <dataValidation type="decimal" operator="greaterThan" allowBlank="1" showInputMessage="1" showErrorMessage="1" sqref="D269">
      <formula1>0</formula1>
    </dataValidation>
    <dataValidation type="decimal" operator="greaterThan" allowBlank="1" showInputMessage="1" showErrorMessage="1" sqref="E269">
      <formula1>0</formula1>
    </dataValidation>
    <dataValidation type="whole" operator="greaterThan" allowBlank="1" showInputMessage="1" showErrorMessage="1" sqref="A270">
      <formula1>0</formula1>
    </dataValidation>
    <dataValidation type="list" allowBlank="1" showInputMessage="1" showErrorMessage="1" sqref="C270">
      <formula1>UnidadesList</formula1>
    </dataValidation>
    <dataValidation type="decimal" operator="greaterThan" allowBlank="1" showInputMessage="1" showErrorMessage="1" sqref="D270">
      <formula1>0</formula1>
    </dataValidation>
    <dataValidation type="decimal" operator="greaterThan" allowBlank="1" showInputMessage="1" showErrorMessage="1" sqref="E270">
      <formula1>0</formula1>
    </dataValidation>
    <dataValidation type="whole" operator="greaterThan" allowBlank="1" showInputMessage="1" showErrorMessage="1" sqref="A271">
      <formula1>0</formula1>
    </dataValidation>
    <dataValidation type="list" allowBlank="1" showInputMessage="1" showErrorMessage="1" sqref="C271">
      <formula1>UnidadesList</formula1>
    </dataValidation>
    <dataValidation type="decimal" operator="greaterThan" allowBlank="1" showInputMessage="1" showErrorMessage="1" sqref="D271">
      <formula1>0</formula1>
    </dataValidation>
    <dataValidation type="decimal" operator="greaterThan" allowBlank="1" showInputMessage="1" showErrorMessage="1" sqref="E271">
      <formula1>0</formula1>
    </dataValidation>
    <dataValidation type="whole" operator="greaterThan" allowBlank="1" showInputMessage="1" showErrorMessage="1" sqref="A272">
      <formula1>0</formula1>
    </dataValidation>
    <dataValidation type="list" allowBlank="1" showInputMessage="1" showErrorMessage="1" sqref="C272">
      <formula1>UnidadesList</formula1>
    </dataValidation>
    <dataValidation type="decimal" operator="greaterThan" allowBlank="1" showInputMessage="1" showErrorMessage="1" sqref="D272">
      <formula1>0</formula1>
    </dataValidation>
    <dataValidation type="decimal" operator="greaterThan" allowBlank="1" showInputMessage="1" showErrorMessage="1" sqref="E272">
      <formula1>0</formula1>
    </dataValidation>
    <dataValidation type="whole" operator="greaterThan" allowBlank="1" showInputMessage="1" showErrorMessage="1" sqref="A273">
      <formula1>0</formula1>
    </dataValidation>
    <dataValidation type="list" allowBlank="1" showInputMessage="1" showErrorMessage="1" sqref="C273">
      <formula1>UnidadesList</formula1>
    </dataValidation>
    <dataValidation type="decimal" operator="greaterThan" allowBlank="1" showInputMessage="1" showErrorMessage="1" sqref="D273">
      <formula1>0</formula1>
    </dataValidation>
    <dataValidation type="decimal" operator="greaterThan" allowBlank="1" showInputMessage="1" showErrorMessage="1" sqref="E273">
      <formula1>0</formula1>
    </dataValidation>
    <dataValidation type="whole" operator="greaterThan" allowBlank="1" showInputMessage="1" showErrorMessage="1" sqref="A274">
      <formula1>0</formula1>
    </dataValidation>
    <dataValidation type="list" allowBlank="1" showInputMessage="1" showErrorMessage="1" sqref="C274">
      <formula1>UnidadesList</formula1>
    </dataValidation>
    <dataValidation type="decimal" operator="greaterThan" allowBlank="1" showInputMessage="1" showErrorMessage="1" sqref="D274">
      <formula1>0</formula1>
    </dataValidation>
    <dataValidation type="decimal" operator="greaterThan" allowBlank="1" showInputMessage="1" showErrorMessage="1" sqref="E274">
      <formula1>0</formula1>
    </dataValidation>
    <dataValidation type="whole" operator="greaterThan" allowBlank="1" showInputMessage="1" showErrorMessage="1" sqref="A275">
      <formula1>0</formula1>
    </dataValidation>
    <dataValidation type="list" allowBlank="1" showInputMessage="1" showErrorMessage="1" sqref="C275">
      <formula1>UnidadesList</formula1>
    </dataValidation>
    <dataValidation type="decimal" operator="greaterThan" allowBlank="1" showInputMessage="1" showErrorMessage="1" sqref="D275">
      <formula1>0</formula1>
    </dataValidation>
    <dataValidation type="decimal" operator="greaterThan" allowBlank="1" showInputMessage="1" showErrorMessage="1" sqref="E275">
      <formula1>0</formula1>
    </dataValidation>
    <dataValidation type="whole" operator="greaterThan" allowBlank="1" showInputMessage="1" showErrorMessage="1" sqref="A276">
      <formula1>0</formula1>
    </dataValidation>
    <dataValidation type="list" allowBlank="1" showInputMessage="1" showErrorMessage="1" sqref="C276">
      <formula1>UnidadesList</formula1>
    </dataValidation>
    <dataValidation type="decimal" operator="greaterThan" allowBlank="1" showInputMessage="1" showErrorMessage="1" sqref="D276">
      <formula1>0</formula1>
    </dataValidation>
    <dataValidation type="decimal" operator="greaterThan" allowBlank="1" showInputMessage="1" showErrorMessage="1" sqref="E276">
      <formula1>0</formula1>
    </dataValidation>
    <dataValidation type="whole" operator="greaterThan" allowBlank="1" showInputMessage="1" showErrorMessage="1" sqref="A277">
      <formula1>0</formula1>
    </dataValidation>
    <dataValidation type="list" allowBlank="1" showInputMessage="1" showErrorMessage="1" sqref="C277">
      <formula1>UnidadesList</formula1>
    </dataValidation>
    <dataValidation type="decimal" operator="greaterThan" allowBlank="1" showInputMessage="1" showErrorMessage="1" sqref="D277">
      <formula1>0</formula1>
    </dataValidation>
    <dataValidation type="decimal" operator="greaterThan" allowBlank="1" showInputMessage="1" showErrorMessage="1" sqref="E277">
      <formula1>0</formula1>
    </dataValidation>
    <dataValidation type="whole" operator="greaterThan" allowBlank="1" showInputMessage="1" showErrorMessage="1" sqref="A278">
      <formula1>0</formula1>
    </dataValidation>
    <dataValidation type="list" allowBlank="1" showInputMessage="1" showErrorMessage="1" sqref="C278">
      <formula1>UnidadesList</formula1>
    </dataValidation>
    <dataValidation type="decimal" operator="greaterThan" allowBlank="1" showInputMessage="1" showErrorMessage="1" sqref="D278">
      <formula1>0</formula1>
    </dataValidation>
    <dataValidation type="decimal" operator="greaterThan" allowBlank="1" showInputMessage="1" showErrorMessage="1" sqref="E278">
      <formula1>0</formula1>
    </dataValidation>
    <dataValidation type="whole" operator="greaterThan" allowBlank="1" showInputMessage="1" showErrorMessage="1" sqref="A279">
      <formula1>0</formula1>
    </dataValidation>
    <dataValidation type="list" allowBlank="1" showInputMessage="1" showErrorMessage="1" sqref="C279">
      <formula1>UnidadesList</formula1>
    </dataValidation>
    <dataValidation type="decimal" operator="greaterThan" allowBlank="1" showInputMessage="1" showErrorMessage="1" sqref="D279">
      <formula1>0</formula1>
    </dataValidation>
    <dataValidation type="decimal" operator="greaterThan" allowBlank="1" showInputMessage="1" showErrorMessage="1" sqref="E279">
      <formula1>0</formula1>
    </dataValidation>
    <dataValidation type="whole" operator="greaterThan" allowBlank="1" showInputMessage="1" showErrorMessage="1" sqref="A280">
      <formula1>0</formula1>
    </dataValidation>
    <dataValidation type="list" allowBlank="1" showInputMessage="1" showErrorMessage="1" sqref="C280">
      <formula1>UnidadesList</formula1>
    </dataValidation>
    <dataValidation type="decimal" operator="greaterThan" allowBlank="1" showInputMessage="1" showErrorMessage="1" sqref="D280">
      <formula1>0</formula1>
    </dataValidation>
    <dataValidation type="decimal" operator="greaterThan" allowBlank="1" showInputMessage="1" showErrorMessage="1" sqref="E280">
      <formula1>0</formula1>
    </dataValidation>
    <dataValidation type="whole" operator="greaterThan" allowBlank="1" showInputMessage="1" showErrorMessage="1" sqref="A281">
      <formula1>0</formula1>
    </dataValidation>
    <dataValidation type="list" allowBlank="1" showInputMessage="1" showErrorMessage="1" sqref="C281">
      <formula1>UnidadesList</formula1>
    </dataValidation>
    <dataValidation type="decimal" operator="greaterThan" allowBlank="1" showInputMessage="1" showErrorMessage="1" sqref="D281">
      <formula1>0</formula1>
    </dataValidation>
    <dataValidation type="decimal" operator="greaterThan" allowBlank="1" showInputMessage="1" showErrorMessage="1" sqref="E281">
      <formula1>0</formula1>
    </dataValidation>
    <dataValidation type="whole" operator="greaterThan" allowBlank="1" showInputMessage="1" showErrorMessage="1" sqref="A282">
      <formula1>0</formula1>
    </dataValidation>
    <dataValidation type="list" allowBlank="1" showInputMessage="1" showErrorMessage="1" sqref="C282">
      <formula1>UnidadesList</formula1>
    </dataValidation>
    <dataValidation type="decimal" operator="greaterThan" allowBlank="1" showInputMessage="1" showErrorMessage="1" sqref="D282">
      <formula1>0</formula1>
    </dataValidation>
    <dataValidation type="decimal" operator="greaterThan" allowBlank="1" showInputMessage="1" showErrorMessage="1" sqref="E282">
      <formula1>0</formula1>
    </dataValidation>
    <dataValidation type="whole" operator="greaterThan" allowBlank="1" showInputMessage="1" showErrorMessage="1" sqref="A283">
      <formula1>0</formula1>
    </dataValidation>
    <dataValidation type="list" allowBlank="1" showInputMessage="1" showErrorMessage="1" sqref="C283">
      <formula1>UnidadesList</formula1>
    </dataValidation>
    <dataValidation type="decimal" operator="greaterThan" allowBlank="1" showInputMessage="1" showErrorMessage="1" sqref="D283">
      <formula1>0</formula1>
    </dataValidation>
    <dataValidation type="decimal" operator="greaterThan" allowBlank="1" showInputMessage="1" showErrorMessage="1" sqref="E283">
      <formula1>0</formula1>
    </dataValidation>
    <dataValidation type="whole" operator="greaterThan" allowBlank="1" showInputMessage="1" showErrorMessage="1" sqref="A284">
      <formula1>0</formula1>
    </dataValidation>
    <dataValidation type="list" allowBlank="1" showInputMessage="1" showErrorMessage="1" sqref="C284">
      <formula1>UnidadesList</formula1>
    </dataValidation>
    <dataValidation type="decimal" operator="greaterThan" allowBlank="1" showInputMessage="1" showErrorMessage="1" sqref="D284">
      <formula1>0</formula1>
    </dataValidation>
    <dataValidation type="decimal" operator="greaterThan" allowBlank="1" showInputMessage="1" showErrorMessage="1" sqref="E284">
      <formula1>0</formula1>
    </dataValidation>
    <dataValidation type="whole" operator="greaterThan" allowBlank="1" showInputMessage="1" showErrorMessage="1" sqref="A285">
      <formula1>0</formula1>
    </dataValidation>
    <dataValidation type="list" allowBlank="1" showInputMessage="1" showErrorMessage="1" sqref="C285">
      <formula1>UnidadesList</formula1>
    </dataValidation>
    <dataValidation type="decimal" operator="greaterThan" allowBlank="1" showInputMessage="1" showErrorMessage="1" sqref="D285">
      <formula1>0</formula1>
    </dataValidation>
    <dataValidation type="decimal" operator="greaterThan" allowBlank="1" showInputMessage="1" showErrorMessage="1" sqref="E285">
      <formula1>0</formula1>
    </dataValidation>
    <dataValidation type="whole" operator="greaterThan" allowBlank="1" showInputMessage="1" showErrorMessage="1" sqref="A286">
      <formula1>0</formula1>
    </dataValidation>
    <dataValidation type="list" allowBlank="1" showInputMessage="1" showErrorMessage="1" sqref="C286">
      <formula1>UnidadesList</formula1>
    </dataValidation>
    <dataValidation type="decimal" operator="greaterThan" allowBlank="1" showInputMessage="1" showErrorMessage="1" sqref="D286">
      <formula1>0</formula1>
    </dataValidation>
    <dataValidation type="decimal" operator="greaterThan" allowBlank="1" showInputMessage="1" showErrorMessage="1" sqref="E286">
      <formula1>0</formula1>
    </dataValidation>
    <dataValidation type="whole" operator="greaterThan" allowBlank="1" showInputMessage="1" showErrorMessage="1" sqref="A287">
      <formula1>0</formula1>
    </dataValidation>
    <dataValidation type="list" allowBlank="1" showInputMessage="1" showErrorMessage="1" sqref="C287">
      <formula1>UnidadesList</formula1>
    </dataValidation>
    <dataValidation type="decimal" operator="greaterThan" allowBlank="1" showInputMessage="1" showErrorMessage="1" sqref="D287">
      <formula1>0</formula1>
    </dataValidation>
    <dataValidation type="decimal" operator="greaterThan" allowBlank="1" showInputMessage="1" showErrorMessage="1" sqref="E287">
      <formula1>0</formula1>
    </dataValidation>
    <dataValidation type="whole" operator="greaterThan" allowBlank="1" showInputMessage="1" showErrorMessage="1" sqref="A288">
      <formula1>0</formula1>
    </dataValidation>
    <dataValidation type="list" allowBlank="1" showInputMessage="1" showErrorMessage="1" sqref="C288">
      <formula1>UnidadesList</formula1>
    </dataValidation>
    <dataValidation type="decimal" operator="greaterThan" allowBlank="1" showInputMessage="1" showErrorMessage="1" sqref="D288">
      <formula1>0</formula1>
    </dataValidation>
    <dataValidation type="decimal" operator="greaterThan" allowBlank="1" showInputMessage="1" showErrorMessage="1" sqref="E288">
      <formula1>0</formula1>
    </dataValidation>
    <dataValidation type="date" operator="lessThanOrEqual" allowBlank="1" showInputMessage="1" showErrorMessage="1" sqref="C293">
      <formula1>C295</formula1>
    </dataValidation>
    <dataValidation type="date" operator="greaterThanOrEqual" allowBlank="1" showInputMessage="1" showErrorMessage="1" sqref="C295">
      <formula1>C293</formula1>
    </dataValidation>
    <dataValidation type="list" allowBlank="1" showInputMessage="1" showErrorMessage="1" sqref="F2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9">
      <formula1>0</formula1>
    </dataValidation>
    <dataValidation type="list" allowBlank="1" showInputMessage="1" showErrorMessage="1" sqref="C299">
      <formula1>UnidadesList</formula1>
    </dataValidation>
    <dataValidation type="decimal" operator="greaterThan" allowBlank="1" showInputMessage="1" showErrorMessage="1" sqref="D299">
      <formula1>0</formula1>
    </dataValidation>
    <dataValidation type="decimal" operator="greaterThan" allowBlank="1" showInputMessage="1" showErrorMessage="1" sqref="E299">
      <formula1>0</formula1>
    </dataValidation>
    <dataValidation type="whole" operator="greaterThan" allowBlank="1" showInputMessage="1" showErrorMessage="1" sqref="A300">
      <formula1>0</formula1>
    </dataValidation>
    <dataValidation type="list" allowBlank="1" showInputMessage="1" showErrorMessage="1" sqref="C300">
      <formula1>UnidadesList</formula1>
    </dataValidation>
    <dataValidation type="decimal" operator="greaterThan" allowBlank="1" showInputMessage="1" showErrorMessage="1" sqref="D300">
      <formula1>0</formula1>
    </dataValidation>
    <dataValidation type="decimal" operator="greaterThan" allowBlank="1" showInputMessage="1" showErrorMessage="1" sqref="E300">
      <formula1>0</formula1>
    </dataValidation>
    <dataValidation type="whole" operator="greaterThan" allowBlank="1" showInputMessage="1" showErrorMessage="1" sqref="A301">
      <formula1>0</formula1>
    </dataValidation>
    <dataValidation type="list" allowBlank="1" showInputMessage="1" showErrorMessage="1" sqref="C301">
      <formula1>UnidadesList</formula1>
    </dataValidation>
    <dataValidation type="decimal" operator="greaterThan" allowBlank="1" showInputMessage="1" showErrorMessage="1" sqref="D301">
      <formula1>0</formula1>
    </dataValidation>
    <dataValidation type="decimal" operator="greaterThan" allowBlank="1" showInputMessage="1" showErrorMessage="1" sqref="E301">
      <formula1>0</formula1>
    </dataValidation>
    <dataValidation type="whole" operator="greaterThan" allowBlank="1" showInputMessage="1" showErrorMessage="1" sqref="A302">
      <formula1>0</formula1>
    </dataValidation>
    <dataValidation type="list" allowBlank="1" showInputMessage="1" showErrorMessage="1" sqref="C302">
      <formula1>UnidadesList</formula1>
    </dataValidation>
    <dataValidation type="decimal" operator="greaterThan" allowBlank="1" showInputMessage="1" showErrorMessage="1" sqref="D302">
      <formula1>0</formula1>
    </dataValidation>
    <dataValidation type="decimal" operator="greaterThan" allowBlank="1" showInputMessage="1" showErrorMessage="1" sqref="E302">
      <formula1>0</formula1>
    </dataValidation>
    <dataValidation type="whole" operator="greaterThan" allowBlank="1" showInputMessage="1" showErrorMessage="1" sqref="A303">
      <formula1>0</formula1>
    </dataValidation>
    <dataValidation type="list" allowBlank="1" showInputMessage="1" showErrorMessage="1" sqref="C303">
      <formula1>UnidadesList</formula1>
    </dataValidation>
    <dataValidation type="decimal" operator="greaterThan" allowBlank="1" showInputMessage="1" showErrorMessage="1" sqref="D303">
      <formula1>0</formula1>
    </dataValidation>
    <dataValidation type="decimal" operator="greaterThan" allowBlank="1" showInputMessage="1" showErrorMessage="1" sqref="E303">
      <formula1>0</formula1>
    </dataValidation>
    <dataValidation type="whole" operator="greaterThan" allowBlank="1" showInputMessage="1" showErrorMessage="1" sqref="A304">
      <formula1>0</formula1>
    </dataValidation>
    <dataValidation type="list" allowBlank="1" showInputMessage="1" showErrorMessage="1" sqref="C304">
      <formula1>UnidadesList</formula1>
    </dataValidation>
    <dataValidation type="decimal" operator="greaterThan" allowBlank="1" showInputMessage="1" showErrorMessage="1" sqref="D304">
      <formula1>0</formula1>
    </dataValidation>
    <dataValidation type="decimal" operator="greaterThan" allowBlank="1" showInputMessage="1" showErrorMessage="1" sqref="E304">
      <formula1>0</formula1>
    </dataValidation>
    <dataValidation type="whole" operator="greaterThan" allowBlank="1" showInputMessage="1" showErrorMessage="1" sqref="A305">
      <formula1>0</formula1>
    </dataValidation>
    <dataValidation type="list" allowBlank="1" showInputMessage="1" showErrorMessage="1" sqref="C305">
      <formula1>UnidadesList</formula1>
    </dataValidation>
    <dataValidation type="decimal" operator="greaterThan" allowBlank="1" showInputMessage="1" showErrorMessage="1" sqref="D305">
      <formula1>0</formula1>
    </dataValidation>
    <dataValidation type="decimal" operator="greaterThan" allowBlank="1" showInputMessage="1" showErrorMessage="1" sqref="E305">
      <formula1>0</formula1>
    </dataValidation>
    <dataValidation type="whole" operator="greaterThan" allowBlank="1" showInputMessage="1" showErrorMessage="1" sqref="A306">
      <formula1>0</formula1>
    </dataValidation>
    <dataValidation type="list" allowBlank="1" showInputMessage="1" showErrorMessage="1" sqref="C306">
      <formula1>UnidadesList</formula1>
    </dataValidation>
    <dataValidation type="decimal" operator="greaterThan" allowBlank="1" showInputMessage="1" showErrorMessage="1" sqref="D306">
      <formula1>0</formula1>
    </dataValidation>
    <dataValidation type="decimal" operator="greaterThan" allowBlank="1" showInputMessage="1" showErrorMessage="1" sqref="E306">
      <formula1>0</formula1>
    </dataValidation>
    <dataValidation type="whole" operator="greaterThan" allowBlank="1" showInputMessage="1" showErrorMessage="1" sqref="A307">
      <formula1>0</formula1>
    </dataValidation>
    <dataValidation type="list" allowBlank="1" showInputMessage="1" showErrorMessage="1" sqref="C307">
      <formula1>UnidadesList</formula1>
    </dataValidation>
    <dataValidation type="decimal" operator="greaterThan" allowBlank="1" showInputMessage="1" showErrorMessage="1" sqref="D307">
      <formula1>0</formula1>
    </dataValidation>
    <dataValidation type="decimal" operator="greaterThan" allowBlank="1" showInputMessage="1" showErrorMessage="1" sqref="E307">
      <formula1>0</formula1>
    </dataValidation>
    <dataValidation type="whole" operator="greaterThan" allowBlank="1" showInputMessage="1" showErrorMessage="1" sqref="A308">
      <formula1>0</formula1>
    </dataValidation>
    <dataValidation type="list" allowBlank="1" showInputMessage="1" showErrorMessage="1" sqref="C308">
      <formula1>UnidadesList</formula1>
    </dataValidation>
    <dataValidation type="decimal" operator="greaterThan" allowBlank="1" showInputMessage="1" showErrorMessage="1" sqref="D308">
      <formula1>0</formula1>
    </dataValidation>
    <dataValidation type="decimal" operator="greaterThan" allowBlank="1" showInputMessage="1" showErrorMessage="1" sqref="E308">
      <formula1>0</formula1>
    </dataValidation>
    <dataValidation type="whole" operator="greaterThan" allowBlank="1" showInputMessage="1" showErrorMessage="1" sqref="A309">
      <formula1>0</formula1>
    </dataValidation>
    <dataValidation type="list" allowBlank="1" showInputMessage="1" showErrorMessage="1" sqref="C309">
      <formula1>UnidadesList</formula1>
    </dataValidation>
    <dataValidation type="decimal" operator="greaterThan" allowBlank="1" showInputMessage="1" showErrorMessage="1" sqref="D309">
      <formula1>0</formula1>
    </dataValidation>
    <dataValidation type="decimal" operator="greaterThan" allowBlank="1" showInputMessage="1" showErrorMessage="1" sqref="E309">
      <formula1>0</formula1>
    </dataValidation>
    <dataValidation type="whole" operator="greaterThan" allowBlank="1" showInputMessage="1" showErrorMessage="1" sqref="A310">
      <formula1>0</formula1>
    </dataValidation>
    <dataValidation type="list" allowBlank="1" showInputMessage="1" showErrorMessage="1" sqref="C310">
      <formula1>UnidadesList</formula1>
    </dataValidation>
    <dataValidation type="decimal" operator="greaterThan" allowBlank="1" showInputMessage="1" showErrorMessage="1" sqref="D310">
      <formula1>0</formula1>
    </dataValidation>
    <dataValidation type="decimal" operator="greaterThan" allowBlank="1" showInputMessage="1" showErrorMessage="1" sqref="E310">
      <formula1>0</formula1>
    </dataValidation>
    <dataValidation type="whole" operator="greaterThan" allowBlank="1" showInputMessage="1" showErrorMessage="1" sqref="A311">
      <formula1>0</formula1>
    </dataValidation>
    <dataValidation type="list" allowBlank="1" showInputMessage="1" showErrorMessage="1" sqref="C311">
      <formula1>UnidadesList</formula1>
    </dataValidation>
    <dataValidation type="decimal" operator="greaterThan" allowBlank="1" showInputMessage="1" showErrorMessage="1" sqref="D311">
      <formula1>0</formula1>
    </dataValidation>
    <dataValidation type="decimal" operator="greaterThan" allowBlank="1" showInputMessage="1" showErrorMessage="1" sqref="E311">
      <formula1>0</formula1>
    </dataValidation>
    <dataValidation type="whole" operator="greaterThan" allowBlank="1" showInputMessage="1" showErrorMessage="1" sqref="A312">
      <formula1>0</formula1>
    </dataValidation>
    <dataValidation type="list" allowBlank="1" showInputMessage="1" showErrorMessage="1" sqref="C312">
      <formula1>UnidadesList</formula1>
    </dataValidation>
    <dataValidation type="decimal" operator="greaterThan" allowBlank="1" showInputMessage="1" showErrorMessage="1" sqref="D312">
      <formula1>0</formula1>
    </dataValidation>
    <dataValidation type="decimal" operator="greaterThan" allowBlank="1" showInputMessage="1" showErrorMessage="1" sqref="E312">
      <formula1>0</formula1>
    </dataValidation>
    <dataValidation type="whole" operator="greaterThan" allowBlank="1" showInputMessage="1" showErrorMessage="1" sqref="A313">
      <formula1>0</formula1>
    </dataValidation>
    <dataValidation type="list" allowBlank="1" showInputMessage="1" showErrorMessage="1" sqref="C313">
      <formula1>UnidadesList</formula1>
    </dataValidation>
    <dataValidation type="decimal" operator="greaterThan" allowBlank="1" showInputMessage="1" showErrorMessage="1" sqref="D313">
      <formula1>0</formula1>
    </dataValidation>
    <dataValidation type="decimal" operator="greaterThan" allowBlank="1" showInputMessage="1" showErrorMessage="1" sqref="E313">
      <formula1>0</formula1>
    </dataValidation>
    <dataValidation type="whole" operator="greaterThan" allowBlank="1" showInputMessage="1" showErrorMessage="1" sqref="A314">
      <formula1>0</formula1>
    </dataValidation>
    <dataValidation type="list" allowBlank="1" showInputMessage="1" showErrorMessage="1" sqref="C314">
      <formula1>UnidadesList</formula1>
    </dataValidation>
    <dataValidation type="decimal" operator="greaterThan" allowBlank="1" showInputMessage="1" showErrorMessage="1" sqref="D314">
      <formula1>0</formula1>
    </dataValidation>
    <dataValidation type="decimal" operator="greaterThan" allowBlank="1" showInputMessage="1" showErrorMessage="1" sqref="E314">
      <formula1>0</formula1>
    </dataValidation>
    <dataValidation type="whole" operator="greaterThan" allowBlank="1" showInputMessage="1" showErrorMessage="1" sqref="A315">
      <formula1>0</formula1>
    </dataValidation>
    <dataValidation type="list" allowBlank="1" showInputMessage="1" showErrorMessage="1" sqref="C315">
      <formula1>UnidadesList</formula1>
    </dataValidation>
    <dataValidation type="decimal" operator="greaterThan" allowBlank="1" showInputMessage="1" showErrorMessage="1" sqref="D315">
      <formula1>0</formula1>
    </dataValidation>
    <dataValidation type="decimal" operator="greaterThan" allowBlank="1" showInputMessage="1" showErrorMessage="1" sqref="E315">
      <formula1>0</formula1>
    </dataValidation>
    <dataValidation type="whole" operator="greaterThan" allowBlank="1" showInputMessage="1" showErrorMessage="1" sqref="A316">
      <formula1>0</formula1>
    </dataValidation>
    <dataValidation type="list" allowBlank="1" showInputMessage="1" showErrorMessage="1" sqref="C316">
      <formula1>UnidadesList</formula1>
    </dataValidation>
    <dataValidation type="decimal" operator="greaterThan" allowBlank="1" showInputMessage="1" showErrorMessage="1" sqref="D316">
      <formula1>0</formula1>
    </dataValidation>
    <dataValidation type="decimal" operator="greaterThan" allowBlank="1" showInputMessage="1" showErrorMessage="1" sqref="E316">
      <formula1>0</formula1>
    </dataValidation>
    <dataValidation type="whole" operator="greaterThan" allowBlank="1" showInputMessage="1" showErrorMessage="1" sqref="A317">
      <formula1>0</formula1>
    </dataValidation>
    <dataValidation type="list" allowBlank="1" showInputMessage="1" showErrorMessage="1" sqref="C317">
      <formula1>UnidadesList</formula1>
    </dataValidation>
    <dataValidation type="decimal" operator="greaterThan" allowBlank="1" showInputMessage="1" showErrorMessage="1" sqref="D317">
      <formula1>0</formula1>
    </dataValidation>
    <dataValidation type="decimal" operator="greaterThan" allowBlank="1" showInputMessage="1" showErrorMessage="1" sqref="E317">
      <formula1>0</formula1>
    </dataValidation>
    <dataValidation type="whole" operator="greaterThan" allowBlank="1" showInputMessage="1" showErrorMessage="1" sqref="A318">
      <formula1>0</formula1>
    </dataValidation>
    <dataValidation type="list" allowBlank="1" showInputMessage="1" showErrorMessage="1" sqref="C318">
      <formula1>UnidadesList</formula1>
    </dataValidation>
    <dataValidation type="decimal" operator="greaterThan" allowBlank="1" showInputMessage="1" showErrorMessage="1" sqref="D318">
      <formula1>0</formula1>
    </dataValidation>
    <dataValidation type="decimal" operator="greaterThan" allowBlank="1" showInputMessage="1" showErrorMessage="1" sqref="E318">
      <formula1>0</formula1>
    </dataValidation>
    <dataValidation type="whole" operator="greaterThan" allowBlank="1" showInputMessage="1" showErrorMessage="1" sqref="A319">
      <formula1>0</formula1>
    </dataValidation>
    <dataValidation type="list" allowBlank="1" showInputMessage="1" showErrorMessage="1" sqref="C319">
      <formula1>UnidadesList</formula1>
    </dataValidation>
    <dataValidation type="decimal" operator="greaterThan" allowBlank="1" showInputMessage="1" showErrorMessage="1" sqref="D319">
      <formula1>0</formula1>
    </dataValidation>
    <dataValidation type="decimal" operator="greaterThan" allowBlank="1" showInputMessage="1" showErrorMessage="1" sqref="E319">
      <formula1>0</formula1>
    </dataValidation>
    <dataValidation type="whole" operator="greaterThan" allowBlank="1" showInputMessage="1" showErrorMessage="1" sqref="A320">
      <formula1>0</formula1>
    </dataValidation>
    <dataValidation type="list" allowBlank="1" showInputMessage="1" showErrorMessage="1" sqref="C320">
      <formula1>UnidadesList</formula1>
    </dataValidation>
    <dataValidation type="decimal" operator="greaterThan" allowBlank="1" showInputMessage="1" showErrorMessage="1" sqref="D320">
      <formula1>0</formula1>
    </dataValidation>
    <dataValidation type="decimal" operator="greaterThan" allowBlank="1" showInputMessage="1" showErrorMessage="1" sqref="E320">
      <formula1>0</formula1>
    </dataValidation>
    <dataValidation type="whole" operator="greaterThan" allowBlank="1" showInputMessage="1" showErrorMessage="1" sqref="A321">
      <formula1>0</formula1>
    </dataValidation>
    <dataValidation type="list" allowBlank="1" showInputMessage="1" showErrorMessage="1" sqref="C321">
      <formula1>UnidadesList</formula1>
    </dataValidation>
    <dataValidation type="decimal" operator="greaterThan" allowBlank="1" showInputMessage="1" showErrorMessage="1" sqref="D321">
      <formula1>0</formula1>
    </dataValidation>
    <dataValidation type="decimal" operator="greaterThan" allowBlank="1" showInputMessage="1" showErrorMessage="1" sqref="E321">
      <formula1>0</formula1>
    </dataValidation>
    <dataValidation type="whole" operator="greaterThan" allowBlank="1" showInputMessage="1" showErrorMessage="1" sqref="A322">
      <formula1>0</formula1>
    </dataValidation>
    <dataValidation type="list" allowBlank="1" showInputMessage="1" showErrorMessage="1" sqref="C322">
      <formula1>UnidadesList</formula1>
    </dataValidation>
    <dataValidation type="decimal" operator="greaterThan" allowBlank="1" showInputMessage="1" showErrorMessage="1" sqref="D322">
      <formula1>0</formula1>
    </dataValidation>
    <dataValidation type="decimal" operator="greaterThan" allowBlank="1" showInputMessage="1" showErrorMessage="1" sqref="E322">
      <formula1>0</formula1>
    </dataValidation>
    <dataValidation type="date" operator="lessThanOrEqual" allowBlank="1" showInputMessage="1" showErrorMessage="1" sqref="C327">
      <formula1>C329</formula1>
    </dataValidation>
    <dataValidation type="date" operator="greaterThanOrEqual" allowBlank="1" showInputMessage="1" showErrorMessage="1" sqref="C329">
      <formula1>C327</formula1>
    </dataValidation>
    <dataValidation type="list" allowBlank="1" showInputMessage="1" showErrorMessage="1" sqref="F3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33">
      <formula1>0</formula1>
    </dataValidation>
    <dataValidation type="list" allowBlank="1" showInputMessage="1" showErrorMessage="1" sqref="C333">
      <formula1>UnidadesList</formula1>
    </dataValidation>
    <dataValidation type="decimal" operator="greaterThan" allowBlank="1" showInputMessage="1" showErrorMessage="1" sqref="D333">
      <formula1>0</formula1>
    </dataValidation>
    <dataValidation type="decimal" operator="greaterThan" allowBlank="1" showInputMessage="1" showErrorMessage="1" sqref="E333">
      <formula1>0</formula1>
    </dataValidation>
    <dataValidation type="whole" operator="greaterThan" allowBlank="1" showInputMessage="1" showErrorMessage="1" sqref="A334">
      <formula1>0</formula1>
    </dataValidation>
    <dataValidation type="list" allowBlank="1" showInputMessage="1" showErrorMessage="1" sqref="C334">
      <formula1>UnidadesList</formula1>
    </dataValidation>
    <dataValidation type="decimal" operator="greaterThan" allowBlank="1" showInputMessage="1" showErrorMessage="1" sqref="D334">
      <formula1>0</formula1>
    </dataValidation>
    <dataValidation type="decimal" operator="greaterThan" allowBlank="1" showInputMessage="1" showErrorMessage="1" sqref="E334">
      <formula1>0</formula1>
    </dataValidation>
    <dataValidation type="whole" operator="greaterThan" allowBlank="1" showInputMessage="1" showErrorMessage="1" sqref="A335">
      <formula1>0</formula1>
    </dataValidation>
    <dataValidation type="list" allowBlank="1" showInputMessage="1" showErrorMessage="1" sqref="C335">
      <formula1>UnidadesList</formula1>
    </dataValidation>
    <dataValidation type="decimal" operator="greaterThan" allowBlank="1" showInputMessage="1" showErrorMessage="1" sqref="D335">
      <formula1>0</formula1>
    </dataValidation>
    <dataValidation type="decimal" operator="greaterThan" allowBlank="1" showInputMessage="1" showErrorMessage="1" sqref="E335">
      <formula1>0</formula1>
    </dataValidation>
    <dataValidation type="whole" operator="greaterThan" allowBlank="1" showInputMessage="1" showErrorMessage="1" sqref="A336">
      <formula1>0</formula1>
    </dataValidation>
    <dataValidation type="list" allowBlank="1" showInputMessage="1" showErrorMessage="1" sqref="C336">
      <formula1>UnidadesList</formula1>
    </dataValidation>
    <dataValidation type="decimal" operator="greaterThan" allowBlank="1" showInputMessage="1" showErrorMessage="1" sqref="D336">
      <formula1>0</formula1>
    </dataValidation>
    <dataValidation type="decimal" operator="greaterThan" allowBlank="1" showInputMessage="1" showErrorMessage="1" sqref="E336">
      <formula1>0</formula1>
    </dataValidation>
    <dataValidation type="date" operator="lessThanOrEqual" allowBlank="1" showInputMessage="1" showErrorMessage="1" sqref="C341">
      <formula1>C343</formula1>
    </dataValidation>
    <dataValidation type="date" operator="greaterThanOrEqual" allowBlank="1" showInputMessage="1" showErrorMessage="1" sqref="C343">
      <formula1>C341</formula1>
    </dataValidation>
    <dataValidation type="list" allowBlank="1" showInputMessage="1" showErrorMessage="1" sqref="F3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47">
      <formula1>0</formula1>
    </dataValidation>
    <dataValidation type="list" allowBlank="1" showInputMessage="1" showErrorMessage="1" sqref="C347">
      <formula1>UnidadesList</formula1>
    </dataValidation>
    <dataValidation type="decimal" operator="greaterThan" allowBlank="1" showInputMessage="1" showErrorMessage="1" sqref="D347">
      <formula1>0</formula1>
    </dataValidation>
    <dataValidation type="decimal" operator="greaterThan" allowBlank="1" showInputMessage="1" showErrorMessage="1" sqref="E347">
      <formula1>0</formula1>
    </dataValidation>
    <dataValidation type="whole" operator="greaterThan" allowBlank="1" showInputMessage="1" showErrorMessage="1" sqref="A348">
      <formula1>0</formula1>
    </dataValidation>
    <dataValidation type="list" allowBlank="1" showInputMessage="1" showErrorMessage="1" sqref="C348">
      <formula1>UnidadesList</formula1>
    </dataValidation>
    <dataValidation type="decimal" operator="greaterThan" allowBlank="1" showInputMessage="1" showErrorMessage="1" sqref="D348">
      <formula1>0</formula1>
    </dataValidation>
    <dataValidation type="decimal" operator="greaterThan" allowBlank="1" showInputMessage="1" showErrorMessage="1" sqref="E348">
      <formula1>0</formula1>
    </dataValidation>
    <dataValidation type="whole" operator="greaterThan" allowBlank="1" showInputMessage="1" showErrorMessage="1" sqref="A349">
      <formula1>0</formula1>
    </dataValidation>
    <dataValidation type="list" allowBlank="1" showInputMessage="1" showErrorMessage="1" sqref="C349">
      <formula1>UnidadesList</formula1>
    </dataValidation>
    <dataValidation type="decimal" operator="greaterThan" allowBlank="1" showInputMessage="1" showErrorMessage="1" sqref="D349">
      <formula1>0</formula1>
    </dataValidation>
    <dataValidation type="decimal" operator="greaterThan" allowBlank="1" showInputMessage="1" showErrorMessage="1" sqref="E349">
      <formula1>0</formula1>
    </dataValidation>
    <dataValidation type="whole" operator="greaterThan" allowBlank="1" showInputMessage="1" showErrorMessage="1" sqref="A350">
      <formula1>0</formula1>
    </dataValidation>
    <dataValidation type="list" allowBlank="1" showInputMessage="1" showErrorMessage="1" sqref="C350">
      <formula1>UnidadesList</formula1>
    </dataValidation>
    <dataValidation type="decimal" operator="greaterThan" allowBlank="1" showInputMessage="1" showErrorMessage="1" sqref="D350">
      <formula1>0</formula1>
    </dataValidation>
    <dataValidation type="decimal" operator="greaterThan" allowBlank="1" showInputMessage="1" showErrorMessage="1" sqref="E350">
      <formula1>0</formula1>
    </dataValidation>
    <dataValidation type="whole" operator="greaterThan" allowBlank="1" showInputMessage="1" showErrorMessage="1" sqref="A351">
      <formula1>0</formula1>
    </dataValidation>
    <dataValidation type="list" allowBlank="1" showInputMessage="1" showErrorMessage="1" sqref="C351">
      <formula1>UnidadesList</formula1>
    </dataValidation>
    <dataValidation type="decimal" operator="greaterThan" allowBlank="1" showInputMessage="1" showErrorMessage="1" sqref="D351">
      <formula1>0</formula1>
    </dataValidation>
    <dataValidation type="decimal" operator="greaterThan" allowBlank="1" showInputMessage="1" showErrorMessage="1" sqref="E351">
      <formula1>0</formula1>
    </dataValidation>
    <dataValidation type="whole" operator="greaterThan" allowBlank="1" showInputMessage="1" showErrorMessage="1" sqref="A352">
      <formula1>0</formula1>
    </dataValidation>
    <dataValidation type="list" allowBlank="1" showInputMessage="1" showErrorMessage="1" sqref="C352">
      <formula1>UnidadesList</formula1>
    </dataValidation>
    <dataValidation type="decimal" operator="greaterThan" allowBlank="1" showInputMessage="1" showErrorMessage="1" sqref="D352">
      <formula1>0</formula1>
    </dataValidation>
    <dataValidation type="decimal" operator="greaterThan" allowBlank="1" showInputMessage="1" showErrorMessage="1" sqref="E352">
      <formula1>0</formula1>
    </dataValidation>
    <dataValidation type="whole" operator="greaterThan" allowBlank="1" showInputMessage="1" showErrorMessage="1" sqref="A353">
      <formula1>0</formula1>
    </dataValidation>
    <dataValidation type="list" allowBlank="1" showInputMessage="1" showErrorMessage="1" sqref="C353">
      <formula1>UnidadesList</formula1>
    </dataValidation>
    <dataValidation type="decimal" operator="greaterThan" allowBlank="1" showInputMessage="1" showErrorMessage="1" sqref="D353">
      <formula1>0</formula1>
    </dataValidation>
    <dataValidation type="decimal" operator="greaterThan" allowBlank="1" showInputMessage="1" showErrorMessage="1" sqref="E353">
      <formula1>0</formula1>
    </dataValidation>
    <dataValidation type="whole" operator="greaterThan" allowBlank="1" showInputMessage="1" showErrorMessage="1" sqref="A354">
      <formula1>0</formula1>
    </dataValidation>
    <dataValidation type="list" allowBlank="1" showInputMessage="1" showErrorMessage="1" sqref="C354">
      <formula1>UnidadesList</formula1>
    </dataValidation>
    <dataValidation type="decimal" operator="greaterThan" allowBlank="1" showInputMessage="1" showErrorMessage="1" sqref="D354">
      <formula1>0</formula1>
    </dataValidation>
    <dataValidation type="decimal" operator="greaterThan" allowBlank="1" showInputMessage="1" showErrorMessage="1" sqref="E354">
      <formula1>0</formula1>
    </dataValidation>
    <dataValidation type="whole" operator="greaterThan" allowBlank="1" showInputMessage="1" showErrorMessage="1" sqref="A355">
      <formula1>0</formula1>
    </dataValidation>
    <dataValidation type="list" allowBlank="1" showInputMessage="1" showErrorMessage="1" sqref="C355">
      <formula1>UnidadesList</formula1>
    </dataValidation>
    <dataValidation type="decimal" operator="greaterThan" allowBlank="1" showInputMessage="1" showErrorMessage="1" sqref="D355">
      <formula1>0</formula1>
    </dataValidation>
    <dataValidation type="decimal" operator="greaterThan" allowBlank="1" showInputMessage="1" showErrorMessage="1" sqref="E355">
      <formula1>0</formula1>
    </dataValidation>
    <dataValidation type="whole" operator="greaterThan" allowBlank="1" showInputMessage="1" showErrorMessage="1" sqref="A356">
      <formula1>0</formula1>
    </dataValidation>
    <dataValidation type="list" allowBlank="1" showInputMessage="1" showErrorMessage="1" sqref="C356">
      <formula1>UnidadesList</formula1>
    </dataValidation>
    <dataValidation type="decimal" operator="greaterThan" allowBlank="1" showInputMessage="1" showErrorMessage="1" sqref="D356">
      <formula1>0</formula1>
    </dataValidation>
    <dataValidation type="decimal" operator="greaterThan" allowBlank="1" showInputMessage="1" showErrorMessage="1" sqref="E356">
      <formula1>0</formula1>
    </dataValidation>
    <dataValidation type="whole" operator="greaterThan" allowBlank="1" showInputMessage="1" showErrorMessage="1" sqref="A357">
      <formula1>0</formula1>
    </dataValidation>
    <dataValidation type="list" allowBlank="1" showInputMessage="1" showErrorMessage="1" sqref="C357">
      <formula1>UnidadesList</formula1>
    </dataValidation>
    <dataValidation type="decimal" operator="greaterThan" allowBlank="1" showInputMessage="1" showErrorMessage="1" sqref="D357">
      <formula1>0</formula1>
    </dataValidation>
    <dataValidation type="decimal" operator="greaterThan" allowBlank="1" showInputMessage="1" showErrorMessage="1" sqref="E357">
      <formula1>0</formula1>
    </dataValidation>
    <dataValidation type="whole" operator="greaterThan" allowBlank="1" showInputMessage="1" showErrorMessage="1" sqref="A358">
      <formula1>0</formula1>
    </dataValidation>
    <dataValidation type="list" allowBlank="1" showInputMessage="1" showErrorMessage="1" sqref="C358">
      <formula1>UnidadesList</formula1>
    </dataValidation>
    <dataValidation type="decimal" operator="greaterThan" allowBlank="1" showInputMessage="1" showErrorMessage="1" sqref="D358">
      <formula1>0</formula1>
    </dataValidation>
    <dataValidation type="decimal" operator="greaterThan" allowBlank="1" showInputMessage="1" showErrorMessage="1" sqref="E358">
      <formula1>0</formula1>
    </dataValidation>
    <dataValidation type="whole" operator="greaterThan" allowBlank="1" showInputMessage="1" showErrorMessage="1" sqref="A359">
      <formula1>0</formula1>
    </dataValidation>
    <dataValidation type="list" allowBlank="1" showInputMessage="1" showErrorMessage="1" sqref="C359">
      <formula1>UnidadesList</formula1>
    </dataValidation>
    <dataValidation type="decimal" operator="greaterThan" allowBlank="1" showInputMessage="1" showErrorMessage="1" sqref="D359">
      <formula1>0</formula1>
    </dataValidation>
    <dataValidation type="decimal" operator="greaterThan" allowBlank="1" showInputMessage="1" showErrorMessage="1" sqref="E359">
      <formula1>0</formula1>
    </dataValidation>
    <dataValidation type="whole" operator="greaterThan" allowBlank="1" showInputMessage="1" showErrorMessage="1" sqref="A360">
      <formula1>0</formula1>
    </dataValidation>
    <dataValidation type="list" allowBlank="1" showInputMessage="1" showErrorMessage="1" sqref="C360">
      <formula1>UnidadesList</formula1>
    </dataValidation>
    <dataValidation type="decimal" operator="greaterThan" allowBlank="1" showInputMessage="1" showErrorMessage="1" sqref="D360">
      <formula1>0</formula1>
    </dataValidation>
    <dataValidation type="decimal" operator="greaterThan" allowBlank="1" showInputMessage="1" showErrorMessage="1" sqref="E360">
      <formula1>0</formula1>
    </dataValidation>
    <dataValidation type="whole" operator="greaterThan" allowBlank="1" showInputMessage="1" showErrorMessage="1" sqref="A361">
      <formula1>0</formula1>
    </dataValidation>
    <dataValidation type="list" allowBlank="1" showInputMessage="1" showErrorMessage="1" sqref="C361">
      <formula1>UnidadesList</formula1>
    </dataValidation>
    <dataValidation type="decimal" operator="greaterThan" allowBlank="1" showInputMessage="1" showErrorMessage="1" sqref="D361">
      <formula1>0</formula1>
    </dataValidation>
    <dataValidation type="decimal" operator="greaterThan" allowBlank="1" showInputMessage="1" showErrorMessage="1" sqref="E361">
      <formula1>0</formula1>
    </dataValidation>
    <dataValidation type="whole" operator="greaterThan" allowBlank="1" showInputMessage="1" showErrorMessage="1" sqref="A362">
      <formula1>0</formula1>
    </dataValidation>
    <dataValidation type="list" allowBlank="1" showInputMessage="1" showErrorMessage="1" sqref="C362">
      <formula1>UnidadesList</formula1>
    </dataValidation>
    <dataValidation type="decimal" operator="greaterThan" allowBlank="1" showInputMessage="1" showErrorMessage="1" sqref="D362">
      <formula1>0</formula1>
    </dataValidation>
    <dataValidation type="decimal" operator="greaterThan" allowBlank="1" showInputMessage="1" showErrorMessage="1" sqref="E362">
      <formula1>0</formula1>
    </dataValidation>
    <dataValidation type="whole" operator="greaterThan" allowBlank="1" showInputMessage="1" showErrorMessage="1" sqref="A363">
      <formula1>0</formula1>
    </dataValidation>
    <dataValidation type="list" allowBlank="1" showInputMessage="1" showErrorMessage="1" sqref="C363">
      <formula1>UnidadesList</formula1>
    </dataValidation>
    <dataValidation type="decimal" operator="greaterThan" allowBlank="1" showInputMessage="1" showErrorMessage="1" sqref="D363">
      <formula1>0</formula1>
    </dataValidation>
    <dataValidation type="decimal" operator="greaterThan" allowBlank="1" showInputMessage="1" showErrorMessage="1" sqref="E363">
      <formula1>0</formula1>
    </dataValidation>
    <dataValidation type="whole" operator="greaterThan" allowBlank="1" showInputMessage="1" showErrorMessage="1" sqref="A364">
      <formula1>0</formula1>
    </dataValidation>
    <dataValidation type="list" allowBlank="1" showInputMessage="1" showErrorMessage="1" sqref="C364">
      <formula1>UnidadesList</formula1>
    </dataValidation>
    <dataValidation type="decimal" operator="greaterThan" allowBlank="1" showInputMessage="1" showErrorMessage="1" sqref="D364">
      <formula1>0</formula1>
    </dataValidation>
    <dataValidation type="decimal" operator="greaterThan" allowBlank="1" showInputMessage="1" showErrorMessage="1" sqref="E364">
      <formula1>0</formula1>
    </dataValidation>
    <dataValidation type="date" operator="lessThanOrEqual" allowBlank="1" showInputMessage="1" showErrorMessage="1" sqref="C369">
      <formula1>C371</formula1>
    </dataValidation>
    <dataValidation type="date" operator="greaterThanOrEqual" allowBlank="1" showInputMessage="1" showErrorMessage="1" sqref="C371">
      <formula1>C369</formula1>
    </dataValidation>
    <dataValidation type="list" allowBlank="1" showInputMessage="1" showErrorMessage="1" sqref="F3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75">
      <formula1>0</formula1>
    </dataValidation>
    <dataValidation type="list" allowBlank="1" showInputMessage="1" showErrorMessage="1" sqref="C375">
      <formula1>UnidadesList</formula1>
    </dataValidation>
    <dataValidation type="decimal" operator="greaterThan" allowBlank="1" showInputMessage="1" showErrorMessage="1" sqref="D375">
      <formula1>0</formula1>
    </dataValidation>
    <dataValidation type="decimal" operator="greaterThan" allowBlank="1" showInputMessage="1" showErrorMessage="1" sqref="E375">
      <formula1>0</formula1>
    </dataValidation>
    <dataValidation type="whole" operator="greaterThan" allowBlank="1" showInputMessage="1" showErrorMessage="1" sqref="A376">
      <formula1>0</formula1>
    </dataValidation>
    <dataValidation type="list" allowBlank="1" showInputMessage="1" showErrorMessage="1" sqref="C376">
      <formula1>UnidadesList</formula1>
    </dataValidation>
    <dataValidation type="decimal" operator="greaterThan" allowBlank="1" showInputMessage="1" showErrorMessage="1" sqref="D376">
      <formula1>0</formula1>
    </dataValidation>
    <dataValidation type="decimal" operator="greaterThan" allowBlank="1" showInputMessage="1" showErrorMessage="1" sqref="E376">
      <formula1>0</formula1>
    </dataValidation>
    <dataValidation type="whole" operator="greaterThan" allowBlank="1" showInputMessage="1" showErrorMessage="1" sqref="A377">
      <formula1>0</formula1>
    </dataValidation>
    <dataValidation type="list" allowBlank="1" showInputMessage="1" showErrorMessage="1" sqref="C377">
      <formula1>UnidadesList</formula1>
    </dataValidation>
    <dataValidation type="decimal" operator="greaterThan" allowBlank="1" showInputMessage="1" showErrorMessage="1" sqref="D377">
      <formula1>0</formula1>
    </dataValidation>
    <dataValidation type="decimal" operator="greaterThan" allowBlank="1" showInputMessage="1" showErrorMessage="1" sqref="E377">
      <formula1>0</formula1>
    </dataValidation>
    <dataValidation type="date" operator="lessThanOrEqual" allowBlank="1" showInputMessage="1" showErrorMessage="1" sqref="C382">
      <formula1>C384</formula1>
    </dataValidation>
    <dataValidation type="date" operator="greaterThanOrEqual" allowBlank="1" showInputMessage="1" showErrorMessage="1" sqref="C384">
      <formula1>C382</formula1>
    </dataValidation>
    <dataValidation type="list" allowBlank="1" showInputMessage="1" showErrorMessage="1" sqref="F38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8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8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8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88">
      <formula1>0</formula1>
    </dataValidation>
    <dataValidation type="list" allowBlank="1" showInputMessage="1" showErrorMessage="1" sqref="C388">
      <formula1>UnidadesList</formula1>
    </dataValidation>
    <dataValidation type="decimal" operator="greaterThan" allowBlank="1" showInputMessage="1" showErrorMessage="1" sqref="D388">
      <formula1>0</formula1>
    </dataValidation>
    <dataValidation type="decimal" operator="greaterThan" allowBlank="1" showInputMessage="1" showErrorMessage="1" sqref="E388">
      <formula1>0</formula1>
    </dataValidation>
    <dataValidation type="whole" operator="greaterThan" allowBlank="1" showInputMessage="1" showErrorMessage="1" sqref="A389">
      <formula1>0</formula1>
    </dataValidation>
    <dataValidation type="list" allowBlank="1" showInputMessage="1" showErrorMessage="1" sqref="C389">
      <formula1>UnidadesList</formula1>
    </dataValidation>
    <dataValidation type="decimal" operator="greaterThan" allowBlank="1" showInputMessage="1" showErrorMessage="1" sqref="D389">
      <formula1>0</formula1>
    </dataValidation>
    <dataValidation type="decimal" operator="greaterThan" allowBlank="1" showInputMessage="1" showErrorMessage="1" sqref="E389">
      <formula1>0</formula1>
    </dataValidation>
    <dataValidation type="whole" operator="greaterThan" allowBlank="1" showInputMessage="1" showErrorMessage="1" sqref="A390">
      <formula1>0</formula1>
    </dataValidation>
    <dataValidation type="list" allowBlank="1" showInputMessage="1" showErrorMessage="1" sqref="C390">
      <formula1>UnidadesList</formula1>
    </dataValidation>
    <dataValidation type="decimal" operator="greaterThan" allowBlank="1" showInputMessage="1" showErrorMessage="1" sqref="D390">
      <formula1>0</formula1>
    </dataValidation>
    <dataValidation type="decimal" operator="greaterThan" allowBlank="1" showInputMessage="1" showErrorMessage="1" sqref="E390">
      <formula1>0</formula1>
    </dataValidation>
    <dataValidation type="whole" operator="greaterThan" allowBlank="1" showInputMessage="1" showErrorMessage="1" sqref="A391">
      <formula1>0</formula1>
    </dataValidation>
    <dataValidation type="list" allowBlank="1" showInputMessage="1" showErrorMessage="1" sqref="C391">
      <formula1>UnidadesList</formula1>
    </dataValidation>
    <dataValidation type="decimal" operator="greaterThan" allowBlank="1" showInputMessage="1" showErrorMessage="1" sqref="D391">
      <formula1>0</formula1>
    </dataValidation>
    <dataValidation type="decimal" operator="greaterThan" allowBlank="1" showInputMessage="1" showErrorMessage="1" sqref="E391">
      <formula1>0</formula1>
    </dataValidation>
    <dataValidation type="whole" operator="greaterThan" allowBlank="1" showInputMessage="1" showErrorMessage="1" sqref="A392">
      <formula1>0</formula1>
    </dataValidation>
    <dataValidation type="list" allowBlank="1" showInputMessage="1" showErrorMessage="1" sqref="C392">
      <formula1>UnidadesList</formula1>
    </dataValidation>
    <dataValidation type="decimal" operator="greaterThan" allowBlank="1" showInputMessage="1" showErrorMessage="1" sqref="D392">
      <formula1>0</formula1>
    </dataValidation>
    <dataValidation type="decimal" operator="greaterThan" allowBlank="1" showInputMessage="1" showErrorMessage="1" sqref="E392">
      <formula1>0</formula1>
    </dataValidation>
    <dataValidation type="whole" operator="greaterThan" allowBlank="1" showInputMessage="1" showErrorMessage="1" sqref="A393">
      <formula1>0</formula1>
    </dataValidation>
    <dataValidation type="list" allowBlank="1" showInputMessage="1" showErrorMessage="1" sqref="C393">
      <formula1>UnidadesList</formula1>
    </dataValidation>
    <dataValidation type="decimal" operator="greaterThan" allowBlank="1" showInputMessage="1" showErrorMessage="1" sqref="D393">
      <formula1>0</formula1>
    </dataValidation>
    <dataValidation type="decimal" operator="greaterThan" allowBlank="1" showInputMessage="1" showErrorMessage="1" sqref="E393">
      <formula1>0</formula1>
    </dataValidation>
    <dataValidation type="whole" operator="greaterThan" allowBlank="1" showInputMessage="1" showErrorMessage="1" sqref="A394">
      <formula1>0</formula1>
    </dataValidation>
    <dataValidation type="list" allowBlank="1" showInputMessage="1" showErrorMessage="1" sqref="C394">
      <formula1>UnidadesList</formula1>
    </dataValidation>
    <dataValidation type="decimal" operator="greaterThan" allowBlank="1" showInputMessage="1" showErrorMessage="1" sqref="D394">
      <formula1>0</formula1>
    </dataValidation>
    <dataValidation type="decimal" operator="greaterThan" allowBlank="1" showInputMessage="1" showErrorMessage="1" sqref="E394">
      <formula1>0</formula1>
    </dataValidation>
    <dataValidation type="whole" operator="greaterThan" allowBlank="1" showInputMessage="1" showErrorMessage="1" sqref="A395">
      <formula1>0</formula1>
    </dataValidation>
    <dataValidation type="list" allowBlank="1" showInputMessage="1" showErrorMessage="1" sqref="C395">
      <formula1>UnidadesList</formula1>
    </dataValidation>
    <dataValidation type="decimal" operator="greaterThan" allowBlank="1" showInputMessage="1" showErrorMessage="1" sqref="D395">
      <formula1>0</formula1>
    </dataValidation>
    <dataValidation type="decimal" operator="greaterThan" allowBlank="1" showInputMessage="1" showErrorMessage="1" sqref="E395">
      <formula1>0</formula1>
    </dataValidation>
    <dataValidation type="whole" operator="greaterThan" allowBlank="1" showInputMessage="1" showErrorMessage="1" sqref="A396">
      <formula1>0</formula1>
    </dataValidation>
    <dataValidation type="list" allowBlank="1" showInputMessage="1" showErrorMessage="1" sqref="C396">
      <formula1>UnidadesList</formula1>
    </dataValidation>
    <dataValidation type="decimal" operator="greaterThan" allowBlank="1" showInputMessage="1" showErrorMessage="1" sqref="D396">
      <formula1>0</formula1>
    </dataValidation>
    <dataValidation type="decimal" operator="greaterThan" allowBlank="1" showInputMessage="1" showErrorMessage="1" sqref="E396">
      <formula1>0</formula1>
    </dataValidation>
    <dataValidation type="whole" operator="greaterThan" allowBlank="1" showInputMessage="1" showErrorMessage="1" sqref="A397">
      <formula1>0</formula1>
    </dataValidation>
    <dataValidation type="list" allowBlank="1" showInputMessage="1" showErrorMessage="1" sqref="C397">
      <formula1>UnidadesList</formula1>
    </dataValidation>
    <dataValidation type="decimal" operator="greaterThan" allowBlank="1" showInputMessage="1" showErrorMessage="1" sqref="D397">
      <formula1>0</formula1>
    </dataValidation>
    <dataValidation type="decimal" operator="greaterThan" allowBlank="1" showInputMessage="1" showErrorMessage="1" sqref="E397">
      <formula1>0</formula1>
    </dataValidation>
    <dataValidation type="whole" operator="greaterThan" allowBlank="1" showInputMessage="1" showErrorMessage="1" sqref="A398">
      <formula1>0</formula1>
    </dataValidation>
    <dataValidation type="list" allowBlank="1" showInputMessage="1" showErrorMessage="1" sqref="C398">
      <formula1>UnidadesList</formula1>
    </dataValidation>
    <dataValidation type="decimal" operator="greaterThan" allowBlank="1" showInputMessage="1" showErrorMessage="1" sqref="D398">
      <formula1>0</formula1>
    </dataValidation>
    <dataValidation type="decimal" operator="greaterThan" allowBlank="1" showInputMessage="1" showErrorMessage="1" sqref="E398">
      <formula1>0</formula1>
    </dataValidation>
    <dataValidation type="whole" operator="greaterThan" allowBlank="1" showInputMessage="1" showErrorMessage="1" sqref="A399">
      <formula1>0</formula1>
    </dataValidation>
    <dataValidation type="list" allowBlank="1" showInputMessage="1" showErrorMessage="1" sqref="C399">
      <formula1>UnidadesList</formula1>
    </dataValidation>
    <dataValidation type="decimal" operator="greaterThan" allowBlank="1" showInputMessage="1" showErrorMessage="1" sqref="D399">
      <formula1>0</formula1>
    </dataValidation>
    <dataValidation type="decimal" operator="greaterThan" allowBlank="1" showInputMessage="1" showErrorMessage="1" sqref="E399">
      <formula1>0</formula1>
    </dataValidation>
    <dataValidation type="whole" operator="greaterThan" allowBlank="1" showInputMessage="1" showErrorMessage="1" sqref="A400">
      <formula1>0</formula1>
    </dataValidation>
    <dataValidation type="list" allowBlank="1" showInputMessage="1" showErrorMessage="1" sqref="C400">
      <formula1>UnidadesList</formula1>
    </dataValidation>
    <dataValidation type="decimal" operator="greaterThan" allowBlank="1" showInputMessage="1" showErrorMessage="1" sqref="D400">
      <formula1>0</formula1>
    </dataValidation>
    <dataValidation type="decimal" operator="greaterThan" allowBlank="1" showInputMessage="1" showErrorMessage="1" sqref="E400">
      <formula1>0</formula1>
    </dataValidation>
    <dataValidation type="whole" operator="greaterThan" allowBlank="1" showInputMessage="1" showErrorMessage="1" sqref="A401">
      <formula1>0</formula1>
    </dataValidation>
    <dataValidation type="list" allowBlank="1" showInputMessage="1" showErrorMessage="1" sqref="C401">
      <formula1>UnidadesList</formula1>
    </dataValidation>
    <dataValidation type="decimal" operator="greaterThan" allowBlank="1" showInputMessage="1" showErrorMessage="1" sqref="D401">
      <formula1>0</formula1>
    </dataValidation>
    <dataValidation type="decimal" operator="greaterThan" allowBlank="1" showInputMessage="1" showErrorMessage="1" sqref="E401">
      <formula1>0</formula1>
    </dataValidation>
    <dataValidation type="whole" operator="greaterThan" allowBlank="1" showInputMessage="1" showErrorMessage="1" sqref="A402">
      <formula1>0</formula1>
    </dataValidation>
    <dataValidation type="list" allowBlank="1" showInputMessage="1" showErrorMessage="1" sqref="C402">
      <formula1>UnidadesList</formula1>
    </dataValidation>
    <dataValidation type="decimal" operator="greaterThan" allowBlank="1" showInputMessage="1" showErrorMessage="1" sqref="D402">
      <formula1>0</formula1>
    </dataValidation>
    <dataValidation type="decimal" operator="greaterThan" allowBlank="1" showInputMessage="1" showErrorMessage="1" sqref="E402">
      <formula1>0</formula1>
    </dataValidation>
    <dataValidation type="whole" operator="greaterThan" allowBlank="1" showInputMessage="1" showErrorMessage="1" sqref="A403">
      <formula1>0</formula1>
    </dataValidation>
    <dataValidation type="list" allowBlank="1" showInputMessage="1" showErrorMessage="1" sqref="C403">
      <formula1>UnidadesList</formula1>
    </dataValidation>
    <dataValidation type="decimal" operator="greaterThan" allowBlank="1" showInputMessage="1" showErrorMessage="1" sqref="D403">
      <formula1>0</formula1>
    </dataValidation>
    <dataValidation type="decimal" operator="greaterThan" allowBlank="1" showInputMessage="1" showErrorMessage="1" sqref="E403">
      <formula1>0</formula1>
    </dataValidation>
    <dataValidation type="whole" operator="greaterThan" allowBlank="1" showInputMessage="1" showErrorMessage="1" sqref="A404">
      <formula1>0</formula1>
    </dataValidation>
    <dataValidation type="list" allowBlank="1" showInputMessage="1" showErrorMessage="1" sqref="C404">
      <formula1>UnidadesList</formula1>
    </dataValidation>
    <dataValidation type="decimal" operator="greaterThan" allowBlank="1" showInputMessage="1" showErrorMessage="1" sqref="D404">
      <formula1>0</formula1>
    </dataValidation>
    <dataValidation type="decimal" operator="greaterThan" allowBlank="1" showInputMessage="1" showErrorMessage="1" sqref="E404">
      <formula1>0</formula1>
    </dataValidation>
    <dataValidation type="whole" operator="greaterThan" allowBlank="1" showInputMessage="1" showErrorMessage="1" sqref="A405">
      <formula1>0</formula1>
    </dataValidation>
    <dataValidation type="list" allowBlank="1" showInputMessage="1" showErrorMessage="1" sqref="C405">
      <formula1>UnidadesList</formula1>
    </dataValidation>
    <dataValidation type="decimal" operator="greaterThan" allowBlank="1" showInputMessage="1" showErrorMessage="1" sqref="D405">
      <formula1>0</formula1>
    </dataValidation>
    <dataValidation type="decimal" operator="greaterThan" allowBlank="1" showInputMessage="1" showErrorMessage="1" sqref="E405">
      <formula1>0</formula1>
    </dataValidation>
    <dataValidation type="whole" operator="greaterThan" allowBlank="1" showInputMessage="1" showErrorMessage="1" sqref="A406">
      <formula1>0</formula1>
    </dataValidation>
    <dataValidation type="list" allowBlank="1" showInputMessage="1" showErrorMessage="1" sqref="C406">
      <formula1>UnidadesList</formula1>
    </dataValidation>
    <dataValidation type="decimal" operator="greaterThan" allowBlank="1" showInputMessage="1" showErrorMessage="1" sqref="D406">
      <formula1>0</formula1>
    </dataValidation>
    <dataValidation type="decimal" operator="greaterThan" allowBlank="1" showInputMessage="1" showErrorMessage="1" sqref="E406">
      <formula1>0</formula1>
    </dataValidation>
    <dataValidation type="whole" operator="greaterThan" allowBlank="1" showInputMessage="1" showErrorMessage="1" sqref="A407">
      <formula1>0</formula1>
    </dataValidation>
    <dataValidation type="list" allowBlank="1" showInputMessage="1" showErrorMessage="1" sqref="C407">
      <formula1>UnidadesList</formula1>
    </dataValidation>
    <dataValidation type="decimal" operator="greaterThan" allowBlank="1" showInputMessage="1" showErrorMessage="1" sqref="D407">
      <formula1>0</formula1>
    </dataValidation>
    <dataValidation type="decimal" operator="greaterThan" allowBlank="1" showInputMessage="1" showErrorMessage="1" sqref="E407">
      <formula1>0</formula1>
    </dataValidation>
    <dataValidation type="whole" operator="greaterThan" allowBlank="1" showInputMessage="1" showErrorMessage="1" sqref="A408">
      <formula1>0</formula1>
    </dataValidation>
    <dataValidation type="list" allowBlank="1" showInputMessage="1" showErrorMessage="1" sqref="C408">
      <formula1>UnidadesList</formula1>
    </dataValidation>
    <dataValidation type="decimal" operator="greaterThan" allowBlank="1" showInputMessage="1" showErrorMessage="1" sqref="D408">
      <formula1>0</formula1>
    </dataValidation>
    <dataValidation type="decimal" operator="greaterThan" allowBlank="1" showInputMessage="1" showErrorMessage="1" sqref="E408">
      <formula1>0</formula1>
    </dataValidation>
    <dataValidation type="date" operator="lessThanOrEqual" allowBlank="1" showInputMessage="1" showErrorMessage="1" sqref="C413">
      <formula1>C415</formula1>
    </dataValidation>
    <dataValidation type="date" operator="greaterThanOrEqual" allowBlank="1" showInputMessage="1" showErrorMessage="1" sqref="C415">
      <formula1>C413</formula1>
    </dataValidation>
    <dataValidation type="list" allowBlank="1" showInputMessage="1" showErrorMessage="1" sqref="F4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9">
      <formula1>0</formula1>
    </dataValidation>
    <dataValidation type="list" allowBlank="1" showInputMessage="1" showErrorMessage="1" sqref="C419">
      <formula1>UnidadesList</formula1>
    </dataValidation>
    <dataValidation type="decimal" operator="greaterThan" allowBlank="1" showInputMessage="1" showErrorMessage="1" sqref="D419">
      <formula1>0</formula1>
    </dataValidation>
    <dataValidation type="decimal" operator="greaterThan" allowBlank="1" showInputMessage="1" showErrorMessage="1" sqref="E419">
      <formula1>0</formula1>
    </dataValidation>
    <dataValidation type="whole" operator="greaterThan" allowBlank="1" showInputMessage="1" showErrorMessage="1" sqref="A420">
      <formula1>0</formula1>
    </dataValidation>
    <dataValidation type="list" allowBlank="1" showInputMessage="1" showErrorMessage="1" sqref="C420">
      <formula1>UnidadesList</formula1>
    </dataValidation>
    <dataValidation type="decimal" operator="greaterThan" allowBlank="1" showInputMessage="1" showErrorMessage="1" sqref="D420">
      <formula1>0</formula1>
    </dataValidation>
    <dataValidation type="decimal" operator="greaterThan" allowBlank="1" showInputMessage="1" showErrorMessage="1" sqref="E420">
      <formula1>0</formula1>
    </dataValidation>
    <dataValidation type="whole" operator="greaterThan" allowBlank="1" showInputMessage="1" showErrorMessage="1" sqref="A421">
      <formula1>0</formula1>
    </dataValidation>
    <dataValidation type="list" allowBlank="1" showInputMessage="1" showErrorMessage="1" sqref="C421">
      <formula1>UnidadesList</formula1>
    </dataValidation>
    <dataValidation type="decimal" operator="greaterThan" allowBlank="1" showInputMessage="1" showErrorMessage="1" sqref="D421">
      <formula1>0</formula1>
    </dataValidation>
    <dataValidation type="decimal" operator="greaterThan" allowBlank="1" showInputMessage="1" showErrorMessage="1" sqref="E421">
      <formula1>0</formula1>
    </dataValidation>
    <dataValidation type="whole" operator="greaterThan" allowBlank="1" showInputMessage="1" showErrorMessage="1" sqref="A422">
      <formula1>0</formula1>
    </dataValidation>
    <dataValidation type="list" allowBlank="1" showInputMessage="1" showErrorMessage="1" sqref="C422">
      <formula1>UnidadesList</formula1>
    </dataValidation>
    <dataValidation type="decimal" operator="greaterThan" allowBlank="1" showInputMessage="1" showErrorMessage="1" sqref="D422">
      <formula1>0</formula1>
    </dataValidation>
    <dataValidation type="decimal" operator="greaterThan" allowBlank="1" showInputMessage="1" showErrorMessage="1" sqref="E422">
      <formula1>0</formula1>
    </dataValidation>
    <dataValidation type="whole" operator="greaterThan" allowBlank="1" showInputMessage="1" showErrorMessage="1" sqref="A423">
      <formula1>0</formula1>
    </dataValidation>
    <dataValidation type="list" allowBlank="1" showInputMessage="1" showErrorMessage="1" sqref="C423">
      <formula1>UnidadesList</formula1>
    </dataValidation>
    <dataValidation type="decimal" operator="greaterThan" allowBlank="1" showInputMessage="1" showErrorMessage="1" sqref="D423">
      <formula1>0</formula1>
    </dataValidation>
    <dataValidation type="decimal" operator="greaterThan" allowBlank="1" showInputMessage="1" showErrorMessage="1" sqref="E423">
      <formula1>0</formula1>
    </dataValidation>
    <dataValidation type="whole" operator="greaterThan" allowBlank="1" showInputMessage="1" showErrorMessage="1" sqref="A424">
      <formula1>0</formula1>
    </dataValidation>
    <dataValidation type="list" allowBlank="1" showInputMessage="1" showErrorMessage="1" sqref="C424">
      <formula1>UnidadesList</formula1>
    </dataValidation>
    <dataValidation type="decimal" operator="greaterThan" allowBlank="1" showInputMessage="1" showErrorMessage="1" sqref="D424">
      <formula1>0</formula1>
    </dataValidation>
    <dataValidation type="decimal" operator="greaterThan" allowBlank="1" showInputMessage="1" showErrorMessage="1" sqref="E424">
      <formula1>0</formula1>
    </dataValidation>
    <dataValidation type="whole" operator="greaterThan" allowBlank="1" showInputMessage="1" showErrorMessage="1" sqref="A425">
      <formula1>0</formula1>
    </dataValidation>
    <dataValidation type="list" allowBlank="1" showInputMessage="1" showErrorMessage="1" sqref="C425">
      <formula1>UnidadesList</formula1>
    </dataValidation>
    <dataValidation type="decimal" operator="greaterThan" allowBlank="1" showInputMessage="1" showErrorMessage="1" sqref="D425">
      <formula1>0</formula1>
    </dataValidation>
    <dataValidation type="decimal" operator="greaterThan" allowBlank="1" showInputMessage="1" showErrorMessage="1" sqref="E425">
      <formula1>0</formula1>
    </dataValidation>
    <dataValidation type="whole" operator="greaterThan" allowBlank="1" showInputMessage="1" showErrorMessage="1" sqref="A426">
      <formula1>0</formula1>
    </dataValidation>
    <dataValidation type="list" allowBlank="1" showInputMessage="1" showErrorMessage="1" sqref="C426">
      <formula1>UnidadesList</formula1>
    </dataValidation>
    <dataValidation type="decimal" operator="greaterThan" allowBlank="1" showInputMessage="1" showErrorMessage="1" sqref="D426">
      <formula1>0</formula1>
    </dataValidation>
    <dataValidation type="decimal" operator="greaterThan" allowBlank="1" showInputMessage="1" showErrorMessage="1" sqref="E426">
      <formula1>0</formula1>
    </dataValidation>
    <dataValidation type="whole" operator="greaterThan" allowBlank="1" showInputMessage="1" showErrorMessage="1" sqref="A427">
      <formula1>0</formula1>
    </dataValidation>
    <dataValidation type="list" allowBlank="1" showInputMessage="1" showErrorMessage="1" sqref="C427">
      <formula1>UnidadesList</formula1>
    </dataValidation>
    <dataValidation type="decimal" operator="greaterThan" allowBlank="1" showInputMessage="1" showErrorMessage="1" sqref="D427">
      <formula1>0</formula1>
    </dataValidation>
    <dataValidation type="decimal" operator="greaterThan" allowBlank="1" showInputMessage="1" showErrorMessage="1" sqref="E427">
      <formula1>0</formula1>
    </dataValidation>
    <dataValidation type="whole" operator="greaterThan" allowBlank="1" showInputMessage="1" showErrorMessage="1" sqref="A428">
      <formula1>0</formula1>
    </dataValidation>
    <dataValidation type="list" allowBlank="1" showInputMessage="1" showErrorMessage="1" sqref="C428">
      <formula1>UnidadesList</formula1>
    </dataValidation>
    <dataValidation type="decimal" operator="greaterThan" allowBlank="1" showInputMessage="1" showErrorMessage="1" sqref="D428">
      <formula1>0</formula1>
    </dataValidation>
    <dataValidation type="decimal" operator="greaterThan" allowBlank="1" showInputMessage="1" showErrorMessage="1" sqref="E428">
      <formula1>0</formula1>
    </dataValidation>
    <dataValidation type="whole" operator="greaterThan" allowBlank="1" showInputMessage="1" showErrorMessage="1" sqref="A429">
      <formula1>0</formula1>
    </dataValidation>
    <dataValidation type="list" allowBlank="1" showInputMessage="1" showErrorMessage="1" sqref="C429">
      <formula1>UnidadesList</formula1>
    </dataValidation>
    <dataValidation type="decimal" operator="greaterThan" allowBlank="1" showInputMessage="1" showErrorMessage="1" sqref="D429">
      <formula1>0</formula1>
    </dataValidation>
    <dataValidation type="decimal" operator="greaterThan" allowBlank="1" showInputMessage="1" showErrorMessage="1" sqref="E429">
      <formula1>0</formula1>
    </dataValidation>
    <dataValidation type="whole" operator="greaterThan" allowBlank="1" showInputMessage="1" showErrorMessage="1" sqref="A430">
      <formula1>0</formula1>
    </dataValidation>
    <dataValidation type="list" allowBlank="1" showInputMessage="1" showErrorMessage="1" sqref="C430">
      <formula1>UnidadesList</formula1>
    </dataValidation>
    <dataValidation type="decimal" operator="greaterThan" allowBlank="1" showInputMessage="1" showErrorMessage="1" sqref="D430">
      <formula1>0</formula1>
    </dataValidation>
    <dataValidation type="decimal" operator="greaterThan" allowBlank="1" showInputMessage="1" showErrorMessage="1" sqref="E430">
      <formula1>0</formula1>
    </dataValidation>
    <dataValidation type="whole" operator="greaterThan" allowBlank="1" showInputMessage="1" showErrorMessage="1" sqref="A431">
      <formula1>0</formula1>
    </dataValidation>
    <dataValidation type="list" allowBlank="1" showInputMessage="1" showErrorMessage="1" sqref="C431">
      <formula1>UnidadesList</formula1>
    </dataValidation>
    <dataValidation type="decimal" operator="greaterThan" allowBlank="1" showInputMessage="1" showErrorMessage="1" sqref="D431">
      <formula1>0</formula1>
    </dataValidation>
    <dataValidation type="decimal" operator="greaterThan" allowBlank="1" showInputMessage="1" showErrorMessage="1" sqref="E431">
      <formula1>0</formula1>
    </dataValidation>
    <dataValidation type="whole" operator="greaterThan" allowBlank="1" showInputMessage="1" showErrorMessage="1" sqref="A432">
      <formula1>0</formula1>
    </dataValidation>
    <dataValidation type="list" allowBlank="1" showInputMessage="1" showErrorMessage="1" sqref="C432">
      <formula1>UnidadesList</formula1>
    </dataValidation>
    <dataValidation type="decimal" operator="greaterThan" allowBlank="1" showInputMessage="1" showErrorMessage="1" sqref="D432">
      <formula1>0</formula1>
    </dataValidation>
    <dataValidation type="decimal" operator="greaterThan" allowBlank="1" showInputMessage="1" showErrorMessage="1" sqref="E432">
      <formula1>0</formula1>
    </dataValidation>
    <dataValidation type="whole" operator="greaterThan" allowBlank="1" showInputMessage="1" showErrorMessage="1" sqref="A433">
      <formula1>0</formula1>
    </dataValidation>
    <dataValidation type="list" allowBlank="1" showInputMessage="1" showErrorMessage="1" sqref="C433">
      <formula1>UnidadesList</formula1>
    </dataValidation>
    <dataValidation type="decimal" operator="greaterThan" allowBlank="1" showInputMessage="1" showErrorMessage="1" sqref="D433">
      <formula1>0</formula1>
    </dataValidation>
    <dataValidation type="decimal" operator="greaterThan" allowBlank="1" showInputMessage="1" showErrorMessage="1" sqref="E433">
      <formula1>0</formula1>
    </dataValidation>
    <dataValidation type="whole" operator="greaterThan" allowBlank="1" showInputMessage="1" showErrorMessage="1" sqref="A434">
      <formula1>0</formula1>
    </dataValidation>
    <dataValidation type="list" allowBlank="1" showInputMessage="1" showErrorMessage="1" sqref="C434">
      <formula1>UnidadesList</formula1>
    </dataValidation>
    <dataValidation type="decimal" operator="greaterThan" allowBlank="1" showInputMessage="1" showErrorMessage="1" sqref="D434">
      <formula1>0</formula1>
    </dataValidation>
    <dataValidation type="decimal" operator="greaterThan" allowBlank="1" showInputMessage="1" showErrorMessage="1" sqref="E434">
      <formula1>0</formula1>
    </dataValidation>
    <dataValidation type="whole" operator="greaterThan" allowBlank="1" showInputMessage="1" showErrorMessage="1" sqref="A435">
      <formula1>0</formula1>
    </dataValidation>
    <dataValidation type="list" allowBlank="1" showInputMessage="1" showErrorMessage="1" sqref="C435">
      <formula1>UnidadesList</formula1>
    </dataValidation>
    <dataValidation type="decimal" operator="greaterThan" allowBlank="1" showInputMessage="1" showErrorMessage="1" sqref="D435">
      <formula1>0</formula1>
    </dataValidation>
    <dataValidation type="decimal" operator="greaterThan" allowBlank="1" showInputMessage="1" showErrorMessage="1" sqref="E435">
      <formula1>0</formula1>
    </dataValidation>
    <dataValidation type="whole" operator="greaterThan" allowBlank="1" showInputMessage="1" showErrorMessage="1" sqref="A436">
      <formula1>0</formula1>
    </dataValidation>
    <dataValidation type="list" allowBlank="1" showInputMessage="1" showErrorMessage="1" sqref="C436">
      <formula1>UnidadesList</formula1>
    </dataValidation>
    <dataValidation type="decimal" operator="greaterThan" allowBlank="1" showInputMessage="1" showErrorMessage="1" sqref="D436">
      <formula1>0</formula1>
    </dataValidation>
    <dataValidation type="decimal" operator="greaterThan" allowBlank="1" showInputMessage="1" showErrorMessage="1" sqref="E436">
      <formula1>0</formula1>
    </dataValidation>
    <dataValidation type="whole" operator="greaterThan" allowBlank="1" showInputMessage="1" showErrorMessage="1" sqref="A437">
      <formula1>0</formula1>
    </dataValidation>
    <dataValidation type="list" allowBlank="1" showInputMessage="1" showErrorMessage="1" sqref="C437">
      <formula1>UnidadesList</formula1>
    </dataValidation>
    <dataValidation type="decimal" operator="greaterThan" allowBlank="1" showInputMessage="1" showErrorMessage="1" sqref="D437">
      <formula1>0</formula1>
    </dataValidation>
    <dataValidation type="decimal" operator="greaterThan" allowBlank="1" showInputMessage="1" showErrorMessage="1" sqref="E437">
      <formula1>0</formula1>
    </dataValidation>
    <dataValidation type="whole" operator="greaterThan" allowBlank="1" showInputMessage="1" showErrorMessage="1" sqref="A438">
      <formula1>0</formula1>
    </dataValidation>
    <dataValidation type="list" allowBlank="1" showInputMessage="1" showErrorMessage="1" sqref="C438">
      <formula1>UnidadesList</formula1>
    </dataValidation>
    <dataValidation type="decimal" operator="greaterThan" allowBlank="1" showInputMessage="1" showErrorMessage="1" sqref="D438">
      <formula1>0</formula1>
    </dataValidation>
    <dataValidation type="decimal" operator="greaterThan" allowBlank="1" showInputMessage="1" showErrorMessage="1" sqref="E438">
      <formula1>0</formula1>
    </dataValidation>
    <dataValidation type="whole" operator="greaterThan" allowBlank="1" showInputMessage="1" showErrorMessage="1" sqref="A439">
      <formula1>0</formula1>
    </dataValidation>
    <dataValidation type="list" allowBlank="1" showInputMessage="1" showErrorMessage="1" sqref="C439">
      <formula1>UnidadesList</formula1>
    </dataValidation>
    <dataValidation type="decimal" operator="greaterThan" allowBlank="1" showInputMessage="1" showErrorMessage="1" sqref="D439">
      <formula1>0</formula1>
    </dataValidation>
    <dataValidation type="decimal" operator="greaterThan" allowBlank="1" showInputMessage="1" showErrorMessage="1" sqref="E439">
      <formula1>0</formula1>
    </dataValidation>
    <dataValidation type="date" operator="lessThanOrEqual" allowBlank="1" showInputMessage="1" showErrorMessage="1" sqref="C444">
      <formula1>C446</formula1>
    </dataValidation>
    <dataValidation type="date" operator="greaterThanOrEqual" allowBlank="1" showInputMessage="1" showErrorMessage="1" sqref="C446">
      <formula1>C444</formula1>
    </dataValidation>
    <dataValidation type="list" allowBlank="1" showInputMessage="1" showErrorMessage="1" sqref="F4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50">
      <formula1>0</formula1>
    </dataValidation>
    <dataValidation type="list" allowBlank="1" showInputMessage="1" showErrorMessage="1" sqref="C450">
      <formula1>UnidadesList</formula1>
    </dataValidation>
    <dataValidation type="decimal" operator="greaterThan" allowBlank="1" showInputMessage="1" showErrorMessage="1" sqref="D450">
      <formula1>0</formula1>
    </dataValidation>
    <dataValidation type="decimal" operator="greaterThan" allowBlank="1" showInputMessage="1" showErrorMessage="1" sqref="E450">
      <formula1>0</formula1>
    </dataValidation>
    <dataValidation type="whole" operator="greaterThan" allowBlank="1" showInputMessage="1" showErrorMessage="1" sqref="A451">
      <formula1>0</formula1>
    </dataValidation>
    <dataValidation type="list" allowBlank="1" showInputMessage="1" showErrorMessage="1" sqref="C451">
      <formula1>UnidadesList</formula1>
    </dataValidation>
    <dataValidation type="decimal" operator="greaterThan" allowBlank="1" showInputMessage="1" showErrorMessage="1" sqref="D451">
      <formula1>0</formula1>
    </dataValidation>
    <dataValidation type="decimal" operator="greaterThan" allowBlank="1" showInputMessage="1" showErrorMessage="1" sqref="E451">
      <formula1>0</formula1>
    </dataValidation>
    <dataValidation type="whole" operator="greaterThan" allowBlank="1" showInputMessage="1" showErrorMessage="1" sqref="A452">
      <formula1>0</formula1>
    </dataValidation>
    <dataValidation type="list" allowBlank="1" showInputMessage="1" showErrorMessage="1" sqref="C452">
      <formula1>UnidadesList</formula1>
    </dataValidation>
    <dataValidation type="decimal" operator="greaterThan" allowBlank="1" showInputMessage="1" showErrorMessage="1" sqref="D452">
      <formula1>0</formula1>
    </dataValidation>
    <dataValidation type="decimal" operator="greaterThan" allowBlank="1" showInputMessage="1" showErrorMessage="1" sqref="E452">
      <formula1>0</formula1>
    </dataValidation>
    <dataValidation type="date" operator="lessThanOrEqual" allowBlank="1" showInputMessage="1" showErrorMessage="1" sqref="C457">
      <formula1>C459</formula1>
    </dataValidation>
    <dataValidation type="date" operator="greaterThanOrEqual" allowBlank="1" showInputMessage="1" showErrorMessage="1" sqref="C459">
      <formula1>C457</formula1>
    </dataValidation>
    <dataValidation type="list" allowBlank="1" showInputMessage="1" showErrorMessage="1" sqref="F45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5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5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6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63">
      <formula1>0</formula1>
    </dataValidation>
    <dataValidation type="list" allowBlank="1" showInputMessage="1" showErrorMessage="1" sqref="C463">
      <formula1>UnidadesList</formula1>
    </dataValidation>
    <dataValidation type="decimal" operator="greaterThan" allowBlank="1" showInputMessage="1" showErrorMessage="1" sqref="D463">
      <formula1>0</formula1>
    </dataValidation>
    <dataValidation type="decimal" operator="greaterThan" allowBlank="1" showInputMessage="1" showErrorMessage="1" sqref="E463">
      <formula1>0</formula1>
    </dataValidation>
    <dataValidation type="whole" operator="greaterThan" allowBlank="1" showInputMessage="1" showErrorMessage="1" sqref="A464">
      <formula1>0</formula1>
    </dataValidation>
    <dataValidation type="list" allowBlank="1" showInputMessage="1" showErrorMessage="1" sqref="C464">
      <formula1>UnidadesList</formula1>
    </dataValidation>
    <dataValidation type="decimal" operator="greaterThan" allowBlank="1" showInputMessage="1" showErrorMessage="1" sqref="D464">
      <formula1>0</formula1>
    </dataValidation>
    <dataValidation type="decimal" operator="greaterThan" allowBlank="1" showInputMessage="1" showErrorMessage="1" sqref="E464">
      <formula1>0</formula1>
    </dataValidation>
    <dataValidation type="date" operator="lessThanOrEqual" allowBlank="1" showInputMessage="1" showErrorMessage="1" sqref="C469">
      <formula1>C471</formula1>
    </dataValidation>
    <dataValidation type="date" operator="greaterThanOrEqual" allowBlank="1" showInputMessage="1" showErrorMessage="1" sqref="C471">
      <formula1>C469</formula1>
    </dataValidation>
    <dataValidation type="list" allowBlank="1" showInputMessage="1" showErrorMessage="1" sqref="F4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5">
      <formula1>0</formula1>
    </dataValidation>
    <dataValidation type="list" allowBlank="1" showInputMessage="1" showErrorMessage="1" sqref="C475">
      <formula1>UnidadesList</formula1>
    </dataValidation>
    <dataValidation type="decimal" operator="greaterThan" allowBlank="1" showInputMessage="1" showErrorMessage="1" sqref="D475">
      <formula1>0</formula1>
    </dataValidation>
    <dataValidation type="decimal" operator="greaterThan" allowBlank="1" showInputMessage="1" showErrorMessage="1" sqref="E475">
      <formula1>0</formula1>
    </dataValidation>
    <dataValidation type="whole" operator="greaterThan" allowBlank="1" showInputMessage="1" showErrorMessage="1" sqref="A476">
      <formula1>0</formula1>
    </dataValidation>
    <dataValidation type="list" allowBlank="1" showInputMessage="1" showErrorMessage="1" sqref="C476">
      <formula1>UnidadesList</formula1>
    </dataValidation>
    <dataValidation type="decimal" operator="greaterThan" allowBlank="1" showInputMessage="1" showErrorMessage="1" sqref="D476">
      <formula1>0</formula1>
    </dataValidation>
    <dataValidation type="decimal" operator="greaterThan" allowBlank="1" showInputMessage="1" showErrorMessage="1" sqref="E476">
      <formula1>0</formula1>
    </dataValidation>
    <dataValidation type="date" operator="lessThanOrEqual" allowBlank="1" showInputMessage="1" showErrorMessage="1" sqref="C481">
      <formula1>C483</formula1>
    </dataValidation>
    <dataValidation type="date" operator="greaterThanOrEqual" allowBlank="1" showInputMessage="1" showErrorMessage="1" sqref="C483">
      <formula1>C481</formula1>
    </dataValidation>
    <dataValidation type="list" allowBlank="1" showInputMessage="1" showErrorMessage="1" sqref="F48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7">
      <formula1>0</formula1>
    </dataValidation>
    <dataValidation type="list" allowBlank="1" showInputMessage="1" showErrorMessage="1" sqref="C487">
      <formula1>UnidadesList</formula1>
    </dataValidation>
    <dataValidation type="decimal" operator="greaterThan" allowBlank="1" showInputMessage="1" showErrorMessage="1" sqref="D487">
      <formula1>0</formula1>
    </dataValidation>
    <dataValidation type="decimal" operator="greaterThan" allowBlank="1" showInputMessage="1" showErrorMessage="1" sqref="E487">
      <formula1>0</formula1>
    </dataValidation>
    <dataValidation type="whole" operator="greaterThan" allowBlank="1" showInputMessage="1" showErrorMessage="1" sqref="A488">
      <formula1>0</formula1>
    </dataValidation>
    <dataValidation type="list" allowBlank="1" showInputMessage="1" showErrorMessage="1" sqref="C488">
      <formula1>UnidadesList</formula1>
    </dataValidation>
    <dataValidation type="decimal" operator="greaterThan" allowBlank="1" showInputMessage="1" showErrorMessage="1" sqref="D488">
      <formula1>0</formula1>
    </dataValidation>
    <dataValidation type="decimal" operator="greaterThan" allowBlank="1" showInputMessage="1" showErrorMessage="1" sqref="E488">
      <formula1>0</formula1>
    </dataValidation>
    <dataValidation type="whole" operator="greaterThan" allowBlank="1" showInputMessage="1" showErrorMessage="1" sqref="A489">
      <formula1>0</formula1>
    </dataValidation>
    <dataValidation type="list" allowBlank="1" showInputMessage="1" showErrorMessage="1" sqref="C489">
      <formula1>UnidadesList</formula1>
    </dataValidation>
    <dataValidation type="decimal" operator="greaterThan" allowBlank="1" showInputMessage="1" showErrorMessage="1" sqref="D489">
      <formula1>0</formula1>
    </dataValidation>
    <dataValidation type="decimal" operator="greaterThan" allowBlank="1" showInputMessage="1" showErrorMessage="1" sqref="E489">
      <formula1>0</formula1>
    </dataValidation>
    <dataValidation type="date" operator="lessThanOrEqual" allowBlank="1" showInputMessage="1" showErrorMessage="1" sqref="C494">
      <formula1>C496</formula1>
    </dataValidation>
    <dataValidation type="date" operator="greaterThanOrEqual" allowBlank="1" showInputMessage="1" showErrorMessage="1" sqref="C496">
      <formula1>C494</formula1>
    </dataValidation>
    <dataValidation type="list" allowBlank="1" showInputMessage="1" showErrorMessage="1" sqref="F4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0">
      <formula1>0</formula1>
    </dataValidation>
    <dataValidation type="list" allowBlank="1" showInputMessage="1" showErrorMessage="1" sqref="C500">
      <formula1>UnidadesList</formula1>
    </dataValidation>
    <dataValidation type="decimal" operator="greaterThan" allowBlank="1" showInputMessage="1" showErrorMessage="1" sqref="D500">
      <formula1>0</formula1>
    </dataValidation>
    <dataValidation type="decimal" operator="greaterThan" allowBlank="1" showInputMessage="1" showErrorMessage="1" sqref="E500">
      <formula1>0</formula1>
    </dataValidation>
    <dataValidation type="whole" operator="greaterThan" allowBlank="1" showInputMessage="1" showErrorMessage="1" sqref="A501">
      <formula1>0</formula1>
    </dataValidation>
    <dataValidation type="list" allowBlank="1" showInputMessage="1" showErrorMessage="1" sqref="C501">
      <formula1>UnidadesList</formula1>
    </dataValidation>
    <dataValidation type="decimal" operator="greaterThan" allowBlank="1" showInputMessage="1" showErrorMessage="1" sqref="D501">
      <formula1>0</formula1>
    </dataValidation>
    <dataValidation type="decimal" operator="greaterThan" allowBlank="1" showInputMessage="1" showErrorMessage="1" sqref="E501">
      <formula1>0</formula1>
    </dataValidation>
    <dataValidation type="whole" operator="greaterThan" allowBlank="1" showInputMessage="1" showErrorMessage="1" sqref="A502">
      <formula1>0</formula1>
    </dataValidation>
    <dataValidation type="list" allowBlank="1" showInputMessage="1" showErrorMessage="1" sqref="C502">
      <formula1>UnidadesList</formula1>
    </dataValidation>
    <dataValidation type="decimal" operator="greaterThan" allowBlank="1" showInputMessage="1" showErrorMessage="1" sqref="D502">
      <formula1>0</formula1>
    </dataValidation>
    <dataValidation type="decimal" operator="greaterThan" allowBlank="1" showInputMessage="1" showErrorMessage="1" sqref="E502">
      <formula1>0</formula1>
    </dataValidation>
    <dataValidation type="whole" operator="greaterThan" allowBlank="1" showInputMessage="1" showErrorMessage="1" sqref="A503">
      <formula1>0</formula1>
    </dataValidation>
    <dataValidation type="list" allowBlank="1" showInputMessage="1" showErrorMessage="1" sqref="C503">
      <formula1>UnidadesList</formula1>
    </dataValidation>
    <dataValidation type="decimal" operator="greaterThan" allowBlank="1" showInputMessage="1" showErrorMessage="1" sqref="D503">
      <formula1>0</formula1>
    </dataValidation>
    <dataValidation type="decimal" operator="greaterThan" allowBlank="1" showInputMessage="1" showErrorMessage="1" sqref="E503">
      <formula1>0</formula1>
    </dataValidation>
    <dataValidation type="whole" operator="greaterThan" allowBlank="1" showInputMessage="1" showErrorMessage="1" sqref="A504">
      <formula1>0</formula1>
    </dataValidation>
    <dataValidation type="list" allowBlank="1" showInputMessage="1" showErrorMessage="1" sqref="C504">
      <formula1>UnidadesList</formula1>
    </dataValidation>
    <dataValidation type="decimal" operator="greaterThan" allowBlank="1" showInputMessage="1" showErrorMessage="1" sqref="D504">
      <formula1>0</formula1>
    </dataValidation>
    <dataValidation type="decimal" operator="greaterThan" allowBlank="1" showInputMessage="1" showErrorMessage="1" sqref="E504">
      <formula1>0</formula1>
    </dataValidation>
    <dataValidation type="whole" operator="greaterThan" allowBlank="1" showInputMessage="1" showErrorMessage="1" sqref="A505">
      <formula1>0</formula1>
    </dataValidation>
    <dataValidation type="list" allowBlank="1" showInputMessage="1" showErrorMessage="1" sqref="C505">
      <formula1>UnidadesList</formula1>
    </dataValidation>
    <dataValidation type="decimal" operator="greaterThan" allowBlank="1" showInputMessage="1" showErrorMessage="1" sqref="D505">
      <formula1>0</formula1>
    </dataValidation>
    <dataValidation type="decimal" operator="greaterThan" allowBlank="1" showInputMessage="1" showErrorMessage="1" sqref="E505">
      <formula1>0</formula1>
    </dataValidation>
    <dataValidation type="whole" operator="greaterThan" allowBlank="1" showInputMessage="1" showErrorMessage="1" sqref="A506">
      <formula1>0</formula1>
    </dataValidation>
    <dataValidation type="list" allowBlank="1" showInputMessage="1" showErrorMessage="1" sqref="C506">
      <formula1>UnidadesList</formula1>
    </dataValidation>
    <dataValidation type="decimal" operator="greaterThan" allowBlank="1" showInputMessage="1" showErrorMessage="1" sqref="D506">
      <formula1>0</formula1>
    </dataValidation>
    <dataValidation type="decimal" operator="greaterThan" allowBlank="1" showInputMessage="1" showErrorMessage="1" sqref="E506">
      <formula1>0</formula1>
    </dataValidation>
    <dataValidation type="whole" operator="greaterThan" allowBlank="1" showInputMessage="1" showErrorMessage="1" sqref="A507">
      <formula1>0</formula1>
    </dataValidation>
    <dataValidation type="list" allowBlank="1" showInputMessage="1" showErrorMessage="1" sqref="C507">
      <formula1>UnidadesList</formula1>
    </dataValidation>
    <dataValidation type="decimal" operator="greaterThan" allowBlank="1" showInputMessage="1" showErrorMessage="1" sqref="D507">
      <formula1>0</formula1>
    </dataValidation>
    <dataValidation type="decimal" operator="greaterThan" allowBlank="1" showInputMessage="1" showErrorMessage="1" sqref="E507">
      <formula1>0</formula1>
    </dataValidation>
    <dataValidation type="whole" operator="greaterThan" allowBlank="1" showInputMessage="1" showErrorMessage="1" sqref="A508">
      <formula1>0</formula1>
    </dataValidation>
    <dataValidation type="list" allowBlank="1" showInputMessage="1" showErrorMessage="1" sqref="C508">
      <formula1>UnidadesList</formula1>
    </dataValidation>
    <dataValidation type="decimal" operator="greaterThan" allowBlank="1" showInputMessage="1" showErrorMessage="1" sqref="D508">
      <formula1>0</formula1>
    </dataValidation>
    <dataValidation type="decimal" operator="greaterThan" allowBlank="1" showInputMessage="1" showErrorMessage="1" sqref="E508">
      <formula1>0</formula1>
    </dataValidation>
    <dataValidation type="whole" operator="greaterThan" allowBlank="1" showInputMessage="1" showErrorMessage="1" sqref="A509">
      <formula1>0</formula1>
    </dataValidation>
    <dataValidation type="list" allowBlank="1" showInputMessage="1" showErrorMessage="1" sqref="C509">
      <formula1>UnidadesList</formula1>
    </dataValidation>
    <dataValidation type="decimal" operator="greaterThan" allowBlank="1" showInputMessage="1" showErrorMessage="1" sqref="D509">
      <formula1>0</formula1>
    </dataValidation>
    <dataValidation type="decimal" operator="greaterThan" allowBlank="1" showInputMessage="1" showErrorMessage="1" sqref="E509">
      <formula1>0</formula1>
    </dataValidation>
    <dataValidation type="whole" operator="greaterThan" allowBlank="1" showInputMessage="1" showErrorMessage="1" sqref="A510">
      <formula1>0</formula1>
    </dataValidation>
    <dataValidation type="list" allowBlank="1" showInputMessage="1" showErrorMessage="1" sqref="C510">
      <formula1>UnidadesList</formula1>
    </dataValidation>
    <dataValidation type="decimal" operator="greaterThan" allowBlank="1" showInputMessage="1" showErrorMessage="1" sqref="D510">
      <formula1>0</formula1>
    </dataValidation>
    <dataValidation type="decimal" operator="greaterThan" allowBlank="1" showInputMessage="1" showErrorMessage="1" sqref="E510">
      <formula1>0</formula1>
    </dataValidation>
    <dataValidation type="whole" operator="greaterThan" allowBlank="1" showInputMessage="1" showErrorMessage="1" sqref="A511">
      <formula1>0</formula1>
    </dataValidation>
    <dataValidation type="list" allowBlank="1" showInputMessage="1" showErrorMessage="1" sqref="C511">
      <formula1>UnidadesList</formula1>
    </dataValidation>
    <dataValidation type="decimal" operator="greaterThan" allowBlank="1" showInputMessage="1" showErrorMessage="1" sqref="D511">
      <formula1>0</formula1>
    </dataValidation>
    <dataValidation type="decimal" operator="greaterThan" allowBlank="1" showInputMessage="1" showErrorMessage="1" sqref="E511">
      <formula1>0</formula1>
    </dataValidation>
    <dataValidation type="whole" operator="greaterThan" allowBlank="1" showInputMessage="1" showErrorMessage="1" sqref="A512">
      <formula1>0</formula1>
    </dataValidation>
    <dataValidation type="list" allowBlank="1" showInputMessage="1" showErrorMessage="1" sqref="C512">
      <formula1>UnidadesList</formula1>
    </dataValidation>
    <dataValidation type="decimal" operator="greaterThan" allowBlank="1" showInputMessage="1" showErrorMessage="1" sqref="D512">
      <formula1>0</formula1>
    </dataValidation>
    <dataValidation type="decimal" operator="greaterThan" allowBlank="1" showInputMessage="1" showErrorMessage="1" sqref="E512">
      <formula1>0</formula1>
    </dataValidation>
    <dataValidation type="whole" operator="greaterThan" allowBlank="1" showInputMessage="1" showErrorMessage="1" sqref="A513">
      <formula1>0</formula1>
    </dataValidation>
    <dataValidation type="list" allowBlank="1" showInputMessage="1" showErrorMessage="1" sqref="C513">
      <formula1>UnidadesList</formula1>
    </dataValidation>
    <dataValidation type="decimal" operator="greaterThan" allowBlank="1" showInputMessage="1" showErrorMessage="1" sqref="D513">
      <formula1>0</formula1>
    </dataValidation>
    <dataValidation type="decimal" operator="greaterThan" allowBlank="1" showInputMessage="1" showErrorMessage="1" sqref="E513">
      <formula1>0</formula1>
    </dataValidation>
    <dataValidation type="whole" operator="greaterThan" allowBlank="1" showInputMessage="1" showErrorMessage="1" sqref="A514">
      <formula1>0</formula1>
    </dataValidation>
    <dataValidation type="list" allowBlank="1" showInputMessage="1" showErrorMessage="1" sqref="C514">
      <formula1>UnidadesList</formula1>
    </dataValidation>
    <dataValidation type="decimal" operator="greaterThan" allowBlank="1" showInputMessage="1" showErrorMessage="1" sqref="D514">
      <formula1>0</formula1>
    </dataValidation>
    <dataValidation type="decimal" operator="greaterThan" allowBlank="1" showInputMessage="1" showErrorMessage="1" sqref="E514">
      <formula1>0</formula1>
    </dataValidation>
    <dataValidation type="whole" operator="greaterThan" allowBlank="1" showInputMessage="1" showErrorMessage="1" sqref="A515">
      <formula1>0</formula1>
    </dataValidation>
    <dataValidation type="list" allowBlank="1" showInputMessage="1" showErrorMessage="1" sqref="C515">
      <formula1>UnidadesList</formula1>
    </dataValidation>
    <dataValidation type="decimal" operator="greaterThan" allowBlank="1" showInputMessage="1" showErrorMessage="1" sqref="D515">
      <formula1>0</formula1>
    </dataValidation>
    <dataValidation type="decimal" operator="greaterThan" allowBlank="1" showInputMessage="1" showErrorMessage="1" sqref="E515">
      <formula1>0</formula1>
    </dataValidation>
    <dataValidation type="whole" operator="greaterThan" allowBlank="1" showInputMessage="1" showErrorMessage="1" sqref="A516">
      <formula1>0</formula1>
    </dataValidation>
    <dataValidation type="list" allowBlank="1" showInputMessage="1" showErrorMessage="1" sqref="C516">
      <formula1>UnidadesList</formula1>
    </dataValidation>
    <dataValidation type="decimal" operator="greaterThan" allowBlank="1" showInputMessage="1" showErrorMessage="1" sqref="D516">
      <formula1>0</formula1>
    </dataValidation>
    <dataValidation type="decimal" operator="greaterThan" allowBlank="1" showInputMessage="1" showErrorMessage="1" sqref="E516">
      <formula1>0</formula1>
    </dataValidation>
    <dataValidation type="whole" operator="greaterThan" allowBlank="1" showInputMessage="1" showErrorMessage="1" sqref="A517">
      <formula1>0</formula1>
    </dataValidation>
    <dataValidation type="list" allowBlank="1" showInputMessage="1" showErrorMessage="1" sqref="C517">
      <formula1>UnidadesList</formula1>
    </dataValidation>
    <dataValidation type="decimal" operator="greaterThan" allowBlank="1" showInputMessage="1" showErrorMessage="1" sqref="D517">
      <formula1>0</formula1>
    </dataValidation>
    <dataValidation type="decimal" operator="greaterThan" allowBlank="1" showInputMessage="1" showErrorMessage="1" sqref="E517">
      <formula1>0</formula1>
    </dataValidation>
    <dataValidation type="whole" operator="greaterThan" allowBlank="1" showInputMessage="1" showErrorMessage="1" sqref="A518">
      <formula1>0</formula1>
    </dataValidation>
    <dataValidation type="list" allowBlank="1" showInputMessage="1" showErrorMessage="1" sqref="C518">
      <formula1>UnidadesList</formula1>
    </dataValidation>
    <dataValidation type="decimal" operator="greaterThan" allowBlank="1" showInputMessage="1" showErrorMessage="1" sqref="D518">
      <formula1>0</formula1>
    </dataValidation>
    <dataValidation type="decimal" operator="greaterThan" allowBlank="1" showInputMessage="1" showErrorMessage="1" sqref="E518">
      <formula1>0</formula1>
    </dataValidation>
    <dataValidation type="whole" operator="greaterThan" allowBlank="1" showInputMessage="1" showErrorMessage="1" sqref="A519">
      <formula1>0</formula1>
    </dataValidation>
    <dataValidation type="list" allowBlank="1" showInputMessage="1" showErrorMessage="1" sqref="C519">
      <formula1>UnidadesList</formula1>
    </dataValidation>
    <dataValidation type="decimal" operator="greaterThan" allowBlank="1" showInputMessage="1" showErrorMessage="1" sqref="D519">
      <formula1>0</formula1>
    </dataValidation>
    <dataValidation type="decimal" operator="greaterThan" allowBlank="1" showInputMessage="1" showErrorMessage="1" sqref="E519">
      <formula1>0</formula1>
    </dataValidation>
    <dataValidation type="whole" operator="greaterThan" allowBlank="1" showInputMessage="1" showErrorMessage="1" sqref="A520">
      <formula1>0</formula1>
    </dataValidation>
    <dataValidation type="list" allowBlank="1" showInputMessage="1" showErrorMessage="1" sqref="C520">
      <formula1>UnidadesList</formula1>
    </dataValidation>
    <dataValidation type="decimal" operator="greaterThan" allowBlank="1" showInputMessage="1" showErrorMessage="1" sqref="D520">
      <formula1>0</formula1>
    </dataValidation>
    <dataValidation type="decimal" operator="greaterThan" allowBlank="1" showInputMessage="1" showErrorMessage="1" sqref="E520">
      <formula1>0</formula1>
    </dataValidation>
    <dataValidation type="whole" operator="greaterThan" allowBlank="1" showInputMessage="1" showErrorMessage="1" sqref="A521">
      <formula1>0</formula1>
    </dataValidation>
    <dataValidation type="list" allowBlank="1" showInputMessage="1" showErrorMessage="1" sqref="C521">
      <formula1>UnidadesList</formula1>
    </dataValidation>
    <dataValidation type="decimal" operator="greaterThan" allowBlank="1" showInputMessage="1" showErrorMessage="1" sqref="D521">
      <formula1>0</formula1>
    </dataValidation>
    <dataValidation type="decimal" operator="greaterThan" allowBlank="1" showInputMessage="1" showErrorMessage="1" sqref="E521">
      <formula1>0</formula1>
    </dataValidation>
    <dataValidation type="whole" operator="greaterThan" allowBlank="1" showInputMessage="1" showErrorMessage="1" sqref="A522">
      <formula1>0</formula1>
    </dataValidation>
    <dataValidation type="list" allowBlank="1" showInputMessage="1" showErrorMessage="1" sqref="C522">
      <formula1>UnidadesList</formula1>
    </dataValidation>
    <dataValidation type="decimal" operator="greaterThan" allowBlank="1" showInputMessage="1" showErrorMessage="1" sqref="D522">
      <formula1>0</formula1>
    </dataValidation>
    <dataValidation type="decimal" operator="greaterThan" allowBlank="1" showInputMessage="1" showErrorMessage="1" sqref="E522">
      <formula1>0</formula1>
    </dataValidation>
    <dataValidation type="whole" operator="greaterThan" allowBlank="1" showInputMessage="1" showErrorMessage="1" sqref="A523">
      <formula1>0</formula1>
    </dataValidation>
    <dataValidation type="list" allowBlank="1" showInputMessage="1" showErrorMessage="1" sqref="C523">
      <formula1>UnidadesList</formula1>
    </dataValidation>
    <dataValidation type="decimal" operator="greaterThan" allowBlank="1" showInputMessage="1" showErrorMessage="1" sqref="D523">
      <formula1>0</formula1>
    </dataValidation>
    <dataValidation type="decimal" operator="greaterThan" allowBlank="1" showInputMessage="1" showErrorMessage="1" sqref="E523">
      <formula1>0</formula1>
    </dataValidation>
    <dataValidation type="whole" operator="greaterThan" allowBlank="1" showInputMessage="1" showErrorMessage="1" sqref="A524">
      <formula1>0</formula1>
    </dataValidation>
    <dataValidation type="list" allowBlank="1" showInputMessage="1" showErrorMessage="1" sqref="C524">
      <formula1>UnidadesList</formula1>
    </dataValidation>
    <dataValidation type="decimal" operator="greaterThan" allowBlank="1" showInputMessage="1" showErrorMessage="1" sqref="D524">
      <formula1>0</formula1>
    </dataValidation>
    <dataValidation type="decimal" operator="greaterThan" allowBlank="1" showInputMessage="1" showErrorMessage="1" sqref="E524">
      <formula1>0</formula1>
    </dataValidation>
    <dataValidation type="whole" operator="greaterThan" allowBlank="1" showInputMessage="1" showErrorMessage="1" sqref="A525">
      <formula1>0</formula1>
    </dataValidation>
    <dataValidation type="list" allowBlank="1" showInputMessage="1" showErrorMessage="1" sqref="C525">
      <formula1>UnidadesList</formula1>
    </dataValidation>
    <dataValidation type="decimal" operator="greaterThan" allowBlank="1" showInputMessage="1" showErrorMessage="1" sqref="D525">
      <formula1>0</formula1>
    </dataValidation>
    <dataValidation type="decimal" operator="greaterThan" allowBlank="1" showInputMessage="1" showErrorMessage="1" sqref="E525">
      <formula1>0</formula1>
    </dataValidation>
    <dataValidation type="whole" operator="greaterThan" allowBlank="1" showInputMessage="1" showErrorMessage="1" sqref="A526">
      <formula1>0</formula1>
    </dataValidation>
    <dataValidation type="list" allowBlank="1" showInputMessage="1" showErrorMessage="1" sqref="C526">
      <formula1>UnidadesList</formula1>
    </dataValidation>
    <dataValidation type="decimal" operator="greaterThan" allowBlank="1" showInputMessage="1" showErrorMessage="1" sqref="D526">
      <formula1>0</formula1>
    </dataValidation>
    <dataValidation type="decimal" operator="greaterThan" allowBlank="1" showInputMessage="1" showErrorMessage="1" sqref="E526">
      <formula1>0</formula1>
    </dataValidation>
    <dataValidation type="whole" operator="greaterThan" allowBlank="1" showInputMessage="1" showErrorMessage="1" sqref="A527">
      <formula1>0</formula1>
    </dataValidation>
    <dataValidation type="list" allowBlank="1" showInputMessage="1" showErrorMessage="1" sqref="C527">
      <formula1>UnidadesList</formula1>
    </dataValidation>
    <dataValidation type="decimal" operator="greaterThan" allowBlank="1" showInputMessage="1" showErrorMessage="1" sqref="D527">
      <formula1>0</formula1>
    </dataValidation>
    <dataValidation type="decimal" operator="greaterThan" allowBlank="1" showInputMessage="1" showErrorMessage="1" sqref="E527">
      <formula1>0</formula1>
    </dataValidation>
    <dataValidation type="whole" operator="greaterThan" allowBlank="1" showInputMessage="1" showErrorMessage="1" sqref="A528">
      <formula1>0</formula1>
    </dataValidation>
    <dataValidation type="list" allowBlank="1" showInputMessage="1" showErrorMessage="1" sqref="C528">
      <formula1>UnidadesList</formula1>
    </dataValidation>
    <dataValidation type="decimal" operator="greaterThan" allowBlank="1" showInputMessage="1" showErrorMessage="1" sqref="D528">
      <formula1>0</formula1>
    </dataValidation>
    <dataValidation type="decimal" operator="greaterThan" allowBlank="1" showInputMessage="1" showErrorMessage="1" sqref="E528">
      <formula1>0</formula1>
    </dataValidation>
    <dataValidation type="whole" operator="greaterThan" allowBlank="1" showInputMessage="1" showErrorMessage="1" sqref="A529">
      <formula1>0</formula1>
    </dataValidation>
    <dataValidation type="list" allowBlank="1" showInputMessage="1" showErrorMessage="1" sqref="C529">
      <formula1>UnidadesList</formula1>
    </dataValidation>
    <dataValidation type="decimal" operator="greaterThan" allowBlank="1" showInputMessage="1" showErrorMessage="1" sqref="D529">
      <formula1>0</formula1>
    </dataValidation>
    <dataValidation type="decimal" operator="greaterThan" allowBlank="1" showInputMessage="1" showErrorMessage="1" sqref="E529">
      <formula1>0</formula1>
    </dataValidation>
    <dataValidation type="whole" operator="greaterThan" allowBlank="1" showInputMessage="1" showErrorMessage="1" sqref="A530">
      <formula1>0</formula1>
    </dataValidation>
    <dataValidation type="list" allowBlank="1" showInputMessage="1" showErrorMessage="1" sqref="C530">
      <formula1>UnidadesList</formula1>
    </dataValidation>
    <dataValidation type="decimal" operator="greaterThan" allowBlank="1" showInputMessage="1" showErrorMessage="1" sqref="D530">
      <formula1>0</formula1>
    </dataValidation>
    <dataValidation type="decimal" operator="greaterThan" allowBlank="1" showInputMessage="1" showErrorMessage="1" sqref="E530">
      <formula1>0</formula1>
    </dataValidation>
    <dataValidation type="whole" operator="greaterThan" allowBlank="1" showInputMessage="1" showErrorMessage="1" sqref="A531">
      <formula1>0</formula1>
    </dataValidation>
    <dataValidation type="list" allowBlank="1" showInputMessage="1" showErrorMessage="1" sqref="C531">
      <formula1>UnidadesList</formula1>
    </dataValidation>
    <dataValidation type="decimal" operator="greaterThan" allowBlank="1" showInputMessage="1" showErrorMessage="1" sqref="D531">
      <formula1>0</formula1>
    </dataValidation>
    <dataValidation type="decimal" operator="greaterThan" allowBlank="1" showInputMessage="1" showErrorMessage="1" sqref="E531">
      <formula1>0</formula1>
    </dataValidation>
    <dataValidation type="whole" operator="greaterThan" allowBlank="1" showInputMessage="1" showErrorMessage="1" sqref="A532">
      <formula1>0</formula1>
    </dataValidation>
    <dataValidation type="list" allowBlank="1" showInputMessage="1" showErrorMessage="1" sqref="C532">
      <formula1>UnidadesList</formula1>
    </dataValidation>
    <dataValidation type="decimal" operator="greaterThan" allowBlank="1" showInputMessage="1" showErrorMessage="1" sqref="D532">
      <formula1>0</formula1>
    </dataValidation>
    <dataValidation type="decimal" operator="greaterThan" allowBlank="1" showInputMessage="1" showErrorMessage="1" sqref="E532">
      <formula1>0</formula1>
    </dataValidation>
    <dataValidation type="whole" operator="greaterThan" allowBlank="1" showInputMessage="1" showErrorMessage="1" sqref="A533">
      <formula1>0</formula1>
    </dataValidation>
    <dataValidation type="list" allowBlank="1" showInputMessage="1" showErrorMessage="1" sqref="C533">
      <formula1>UnidadesList</formula1>
    </dataValidation>
    <dataValidation type="decimal" operator="greaterThan" allowBlank="1" showInputMessage="1" showErrorMessage="1" sqref="D533">
      <formula1>0</formula1>
    </dataValidation>
    <dataValidation type="decimal" operator="greaterThan" allowBlank="1" showInputMessage="1" showErrorMessage="1" sqref="E533">
      <formula1>0</formula1>
    </dataValidation>
    <dataValidation type="whole" operator="greaterThan" allowBlank="1" showInputMessage="1" showErrorMessage="1" sqref="A534">
      <formula1>0</formula1>
    </dataValidation>
    <dataValidation type="list" allowBlank="1" showInputMessage="1" showErrorMessage="1" sqref="C534">
      <formula1>UnidadesList</formula1>
    </dataValidation>
    <dataValidation type="decimal" operator="greaterThan" allowBlank="1" showInputMessage="1" showErrorMessage="1" sqref="D534">
      <formula1>0</formula1>
    </dataValidation>
    <dataValidation type="decimal" operator="greaterThan" allowBlank="1" showInputMessage="1" showErrorMessage="1" sqref="E534">
      <formula1>0</formula1>
    </dataValidation>
    <dataValidation type="whole" operator="greaterThan" allowBlank="1" showInputMessage="1" showErrorMessage="1" sqref="A535">
      <formula1>0</formula1>
    </dataValidation>
    <dataValidation type="list" allowBlank="1" showInputMessage="1" showErrorMessage="1" sqref="C535">
      <formula1>UnidadesList</formula1>
    </dataValidation>
    <dataValidation type="decimal" operator="greaterThan" allowBlank="1" showInputMessage="1" showErrorMessage="1" sqref="D535">
      <formula1>0</formula1>
    </dataValidation>
    <dataValidation type="decimal" operator="greaterThan" allowBlank="1" showInputMessage="1" showErrorMessage="1" sqref="E535">
      <formula1>0</formula1>
    </dataValidation>
    <dataValidation type="whole" operator="greaterThan" allowBlank="1" showInputMessage="1" showErrorMessage="1" sqref="A536">
      <formula1>0</formula1>
    </dataValidation>
    <dataValidation type="list" allowBlank="1" showInputMessage="1" showErrorMessage="1" sqref="C536">
      <formula1>UnidadesList</formula1>
    </dataValidation>
    <dataValidation type="decimal" operator="greaterThan" allowBlank="1" showInputMessage="1" showErrorMessage="1" sqref="D536">
      <formula1>0</formula1>
    </dataValidation>
    <dataValidation type="decimal" operator="greaterThan" allowBlank="1" showInputMessage="1" showErrorMessage="1" sqref="E536">
      <formula1>0</formula1>
    </dataValidation>
    <dataValidation type="whole" operator="greaterThan" allowBlank="1" showInputMessage="1" showErrorMessage="1" sqref="A537">
      <formula1>0</formula1>
    </dataValidation>
    <dataValidation type="list" allowBlank="1" showInputMessage="1" showErrorMessage="1" sqref="C537">
      <formula1>UnidadesList</formula1>
    </dataValidation>
    <dataValidation type="decimal" operator="greaterThan" allowBlank="1" showInputMessage="1" showErrorMessage="1" sqref="D537">
      <formula1>0</formula1>
    </dataValidation>
    <dataValidation type="decimal" operator="greaterThan" allowBlank="1" showInputMessage="1" showErrorMessage="1" sqref="E537">
      <formula1>0</formula1>
    </dataValidation>
    <dataValidation type="whole" operator="greaterThan" allowBlank="1" showInputMessage="1" showErrorMessage="1" sqref="A538">
      <formula1>0</formula1>
    </dataValidation>
    <dataValidation type="list" allowBlank="1" showInputMessage="1" showErrorMessage="1" sqref="C538">
      <formula1>UnidadesList</formula1>
    </dataValidation>
    <dataValidation type="decimal" operator="greaterThan" allowBlank="1" showInputMessage="1" showErrorMessage="1" sqref="D538">
      <formula1>0</formula1>
    </dataValidation>
    <dataValidation type="decimal" operator="greaterThan" allowBlank="1" showInputMessage="1" showErrorMessage="1" sqref="E538">
      <formula1>0</formula1>
    </dataValidation>
    <dataValidation type="whole" operator="greaterThan" allowBlank="1" showInputMessage="1" showErrorMessage="1" sqref="A539">
      <formula1>0</formula1>
    </dataValidation>
    <dataValidation type="list" allowBlank="1" showInputMessage="1" showErrorMessage="1" sqref="C539">
      <formula1>UnidadesList</formula1>
    </dataValidation>
    <dataValidation type="decimal" operator="greaterThan" allowBlank="1" showInputMessage="1" showErrorMessage="1" sqref="D539">
      <formula1>0</formula1>
    </dataValidation>
    <dataValidation type="decimal" operator="greaterThan" allowBlank="1" showInputMessage="1" showErrorMessage="1" sqref="E539">
      <formula1>0</formula1>
    </dataValidation>
    <dataValidation type="whole" operator="greaterThan" allowBlank="1" showInputMessage="1" showErrorMessage="1" sqref="A540">
      <formula1>0</formula1>
    </dataValidation>
    <dataValidation type="list" allowBlank="1" showInputMessage="1" showErrorMessage="1" sqref="C540">
      <formula1>UnidadesList</formula1>
    </dataValidation>
    <dataValidation type="decimal" operator="greaterThan" allowBlank="1" showInputMessage="1" showErrorMessage="1" sqref="D540">
      <formula1>0</formula1>
    </dataValidation>
    <dataValidation type="decimal" operator="greaterThan" allowBlank="1" showInputMessage="1" showErrorMessage="1" sqref="E540">
      <formula1>0</formula1>
    </dataValidation>
    <dataValidation type="whole" operator="greaterThan" allowBlank="1" showInputMessage="1" showErrorMessage="1" sqref="A541">
      <formula1>0</formula1>
    </dataValidation>
    <dataValidation type="list" allowBlank="1" showInputMessage="1" showErrorMessage="1" sqref="C541">
      <formula1>UnidadesList</formula1>
    </dataValidation>
    <dataValidation type="decimal" operator="greaterThan" allowBlank="1" showInputMessage="1" showErrorMessage="1" sqref="D541">
      <formula1>0</formula1>
    </dataValidation>
    <dataValidation type="decimal" operator="greaterThan" allowBlank="1" showInputMessage="1" showErrorMessage="1" sqref="E541">
      <formula1>0</formula1>
    </dataValidation>
    <dataValidation type="whole" operator="greaterThan" allowBlank="1" showInputMessage="1" showErrorMessage="1" sqref="A542">
      <formula1>0</formula1>
    </dataValidation>
    <dataValidation type="list" allowBlank="1" showInputMessage="1" showErrorMessage="1" sqref="C542">
      <formula1>UnidadesList</formula1>
    </dataValidation>
    <dataValidation type="decimal" operator="greaterThan" allowBlank="1" showInputMessage="1" showErrorMessage="1" sqref="D542">
      <formula1>0</formula1>
    </dataValidation>
    <dataValidation type="decimal" operator="greaterThan" allowBlank="1" showInputMessage="1" showErrorMessage="1" sqref="E542">
      <formula1>0</formula1>
    </dataValidation>
    <dataValidation type="whole" operator="greaterThan" allowBlank="1" showInputMessage="1" showErrorMessage="1" sqref="A543">
      <formula1>0</formula1>
    </dataValidation>
    <dataValidation type="list" allowBlank="1" showInputMessage="1" showErrorMessage="1" sqref="C543">
      <formula1>UnidadesList</formula1>
    </dataValidation>
    <dataValidation type="decimal" operator="greaterThan" allowBlank="1" showInputMessage="1" showErrorMessage="1" sqref="D543">
      <formula1>0</formula1>
    </dataValidation>
    <dataValidation type="decimal" operator="greaterThan" allowBlank="1" showInputMessage="1" showErrorMessage="1" sqref="E543">
      <formula1>0</formula1>
    </dataValidation>
    <dataValidation type="whole" operator="greaterThan" allowBlank="1" showInputMessage="1" showErrorMessage="1" sqref="A544">
      <formula1>0</formula1>
    </dataValidation>
    <dataValidation type="list" allowBlank="1" showInputMessage="1" showErrorMessage="1" sqref="C544">
      <formula1>UnidadesList</formula1>
    </dataValidation>
    <dataValidation type="decimal" operator="greaterThan" allowBlank="1" showInputMessage="1" showErrorMessage="1" sqref="D544">
      <formula1>0</formula1>
    </dataValidation>
    <dataValidation type="decimal" operator="greaterThan" allowBlank="1" showInputMessage="1" showErrorMessage="1" sqref="E544">
      <formula1>0</formula1>
    </dataValidation>
    <dataValidation type="whole" operator="greaterThan" allowBlank="1" showInputMessage="1" showErrorMessage="1" sqref="A545">
      <formula1>0</formula1>
    </dataValidation>
    <dataValidation type="list" allowBlank="1" showInputMessage="1" showErrorMessage="1" sqref="C545">
      <formula1>UnidadesList</formula1>
    </dataValidation>
    <dataValidation type="decimal" operator="greaterThan" allowBlank="1" showInputMessage="1" showErrorMessage="1" sqref="D545">
      <formula1>0</formula1>
    </dataValidation>
    <dataValidation type="decimal" operator="greaterThan" allowBlank="1" showInputMessage="1" showErrorMessage="1" sqref="E545">
      <formula1>0</formula1>
    </dataValidation>
    <dataValidation type="whole" operator="greaterThan" allowBlank="1" showInputMessage="1" showErrorMessage="1" sqref="A546">
      <formula1>0</formula1>
    </dataValidation>
    <dataValidation type="list" allowBlank="1" showInputMessage="1" showErrorMessage="1" sqref="C546">
      <formula1>UnidadesList</formula1>
    </dataValidation>
    <dataValidation type="decimal" operator="greaterThan" allowBlank="1" showInputMessage="1" showErrorMessage="1" sqref="D546">
      <formula1>0</formula1>
    </dataValidation>
    <dataValidation type="decimal" operator="greaterThan" allowBlank="1" showInputMessage="1" showErrorMessage="1" sqref="E546">
      <formula1>0</formula1>
    </dataValidation>
    <dataValidation type="whole" operator="greaterThan" allowBlank="1" showInputMessage="1" showErrorMessage="1" sqref="A547">
      <formula1>0</formula1>
    </dataValidation>
    <dataValidation type="list" allowBlank="1" showInputMessage="1" showErrorMessage="1" sqref="C547">
      <formula1>UnidadesList</formula1>
    </dataValidation>
    <dataValidation type="decimal" operator="greaterThan" allowBlank="1" showInputMessage="1" showErrorMessage="1" sqref="D547">
      <formula1>0</formula1>
    </dataValidation>
    <dataValidation type="decimal" operator="greaterThan" allowBlank="1" showInputMessage="1" showErrorMessage="1" sqref="E547">
      <formula1>0</formula1>
    </dataValidation>
    <dataValidation type="whole" operator="greaterThan" allowBlank="1" showInputMessage="1" showErrorMessage="1" sqref="A548">
      <formula1>0</formula1>
    </dataValidation>
    <dataValidation type="list" allowBlank="1" showInputMessage="1" showErrorMessage="1" sqref="C548">
      <formula1>UnidadesList</formula1>
    </dataValidation>
    <dataValidation type="decimal" operator="greaterThan" allowBlank="1" showInputMessage="1" showErrorMessage="1" sqref="D548">
      <formula1>0</formula1>
    </dataValidation>
    <dataValidation type="decimal" operator="greaterThan" allowBlank="1" showInputMessage="1" showErrorMessage="1" sqref="E548">
      <formula1>0</formula1>
    </dataValidation>
    <dataValidation type="whole" operator="greaterThan" allowBlank="1" showInputMessage="1" showErrorMessage="1" sqref="A549">
      <formula1>0</formula1>
    </dataValidation>
    <dataValidation type="list" allowBlank="1" showInputMessage="1" showErrorMessage="1" sqref="C549">
      <formula1>UnidadesList</formula1>
    </dataValidation>
    <dataValidation type="decimal" operator="greaterThan" allowBlank="1" showInputMessage="1" showErrorMessage="1" sqref="D549">
      <formula1>0</formula1>
    </dataValidation>
    <dataValidation type="decimal" operator="greaterThan" allowBlank="1" showInputMessage="1" showErrorMessage="1" sqref="E549">
      <formula1>0</formula1>
    </dataValidation>
    <dataValidation type="whole" operator="greaterThan" allowBlank="1" showInputMessage="1" showErrorMessage="1" sqref="A550">
      <formula1>0</formula1>
    </dataValidation>
    <dataValidation type="list" allowBlank="1" showInputMessage="1" showErrorMessage="1" sqref="C550">
      <formula1>UnidadesList</formula1>
    </dataValidation>
    <dataValidation type="decimal" operator="greaterThan" allowBlank="1" showInputMessage="1" showErrorMessage="1" sqref="D550">
      <formula1>0</formula1>
    </dataValidation>
    <dataValidation type="decimal" operator="greaterThan" allowBlank="1" showInputMessage="1" showErrorMessage="1" sqref="E550">
      <formula1>0</formula1>
    </dataValidation>
    <dataValidation type="whole" operator="greaterThan" allowBlank="1" showInputMessage="1" showErrorMessage="1" sqref="A551">
      <formula1>0</formula1>
    </dataValidation>
    <dataValidation type="list" allowBlank="1" showInputMessage="1" showErrorMessage="1" sqref="C551">
      <formula1>UnidadesList</formula1>
    </dataValidation>
    <dataValidation type="decimal" operator="greaterThan" allowBlank="1" showInputMessage="1" showErrorMessage="1" sqref="D551">
      <formula1>0</formula1>
    </dataValidation>
    <dataValidation type="decimal" operator="greaterThan" allowBlank="1" showInputMessage="1" showErrorMessage="1" sqref="E551">
      <formula1>0</formula1>
    </dataValidation>
    <dataValidation type="whole" operator="greaterThan" allowBlank="1" showInputMessage="1" showErrorMessage="1" sqref="A552">
      <formula1>0</formula1>
    </dataValidation>
    <dataValidation type="list" allowBlank="1" showInputMessage="1" showErrorMessage="1" sqref="C552">
      <formula1>UnidadesList</formula1>
    </dataValidation>
    <dataValidation type="decimal" operator="greaterThan" allowBlank="1" showInputMessage="1" showErrorMessage="1" sqref="D552">
      <formula1>0</formula1>
    </dataValidation>
    <dataValidation type="decimal" operator="greaterThan" allowBlank="1" showInputMessage="1" showErrorMessage="1" sqref="E552">
      <formula1>0</formula1>
    </dataValidation>
    <dataValidation type="whole" operator="greaterThan" allowBlank="1" showInputMessage="1" showErrorMessage="1" sqref="A553">
      <formula1>0</formula1>
    </dataValidation>
    <dataValidation type="list" allowBlank="1" showInputMessage="1" showErrorMessage="1" sqref="C553">
      <formula1>UnidadesList</formula1>
    </dataValidation>
    <dataValidation type="decimal" operator="greaterThan" allowBlank="1" showInputMessage="1" showErrorMessage="1" sqref="D553">
      <formula1>0</formula1>
    </dataValidation>
    <dataValidation type="decimal" operator="greaterThan" allowBlank="1" showInputMessage="1" showErrorMessage="1" sqref="E553">
      <formula1>0</formula1>
    </dataValidation>
    <dataValidation type="whole" operator="greaterThan" allowBlank="1" showInputMessage="1" showErrorMessage="1" sqref="A554">
      <formula1>0</formula1>
    </dataValidation>
    <dataValidation type="list" allowBlank="1" showInputMessage="1" showErrorMessage="1" sqref="C554">
      <formula1>UnidadesList</formula1>
    </dataValidation>
    <dataValidation type="decimal" operator="greaterThan" allowBlank="1" showInputMessage="1" showErrorMessage="1" sqref="D554">
      <formula1>0</formula1>
    </dataValidation>
    <dataValidation type="decimal" operator="greaterThan" allowBlank="1" showInputMessage="1" showErrorMessage="1" sqref="E554">
      <formula1>0</formula1>
    </dataValidation>
    <dataValidation type="whole" operator="greaterThan" allowBlank="1" showInputMessage="1" showErrorMessage="1" sqref="A555">
      <formula1>0</formula1>
    </dataValidation>
    <dataValidation type="list" allowBlank="1" showInputMessage="1" showErrorMessage="1" sqref="C555">
      <formula1>UnidadesList</formula1>
    </dataValidation>
    <dataValidation type="decimal" operator="greaterThan" allowBlank="1" showInputMessage="1" showErrorMessage="1" sqref="D555">
      <formula1>0</formula1>
    </dataValidation>
    <dataValidation type="decimal" operator="greaterThan" allowBlank="1" showInputMessage="1" showErrorMessage="1" sqref="E555">
      <formula1>0</formula1>
    </dataValidation>
    <dataValidation type="whole" operator="greaterThan" allowBlank="1" showInputMessage="1" showErrorMessage="1" sqref="A556">
      <formula1>0</formula1>
    </dataValidation>
    <dataValidation type="list" allowBlank="1" showInputMessage="1" showErrorMessage="1" sqref="C556">
      <formula1>UnidadesList</formula1>
    </dataValidation>
    <dataValidation type="decimal" operator="greaterThan" allowBlank="1" showInputMessage="1" showErrorMessage="1" sqref="D556">
      <formula1>0</formula1>
    </dataValidation>
    <dataValidation type="decimal" operator="greaterThan" allowBlank="1" showInputMessage="1" showErrorMessage="1" sqref="E556">
      <formula1>0</formula1>
    </dataValidation>
    <dataValidation type="whole" operator="greaterThan" allowBlank="1" showInputMessage="1" showErrorMessage="1" sqref="A557">
      <formula1>0</formula1>
    </dataValidation>
    <dataValidation type="list" allowBlank="1" showInputMessage="1" showErrorMessage="1" sqref="C557">
      <formula1>UnidadesList</formula1>
    </dataValidation>
    <dataValidation type="decimal" operator="greaterThan" allowBlank="1" showInputMessage="1" showErrorMessage="1" sqref="D557">
      <formula1>0</formula1>
    </dataValidation>
    <dataValidation type="decimal" operator="greaterThan" allowBlank="1" showInputMessage="1" showErrorMessage="1" sqref="E557">
      <formula1>0</formula1>
    </dataValidation>
    <dataValidation type="whole" operator="greaterThan" allowBlank="1" showInputMessage="1" showErrorMessage="1" sqref="A558">
      <formula1>0</formula1>
    </dataValidation>
    <dataValidation type="list" allowBlank="1" showInputMessage="1" showErrorMessage="1" sqref="C558">
      <formula1>UnidadesList</formula1>
    </dataValidation>
    <dataValidation type="decimal" operator="greaterThan" allowBlank="1" showInputMessage="1" showErrorMessage="1" sqref="D558">
      <formula1>0</formula1>
    </dataValidation>
    <dataValidation type="decimal" operator="greaterThan" allowBlank="1" showInputMessage="1" showErrorMessage="1" sqref="E558">
      <formula1>0</formula1>
    </dataValidation>
    <dataValidation type="whole" operator="greaterThan" allowBlank="1" showInputMessage="1" showErrorMessage="1" sqref="A559">
      <formula1>0</formula1>
    </dataValidation>
    <dataValidation type="list" allowBlank="1" showInputMessage="1" showErrorMessage="1" sqref="C559">
      <formula1>UnidadesList</formula1>
    </dataValidation>
    <dataValidation type="decimal" operator="greaterThan" allowBlank="1" showInputMessage="1" showErrorMessage="1" sqref="D559">
      <formula1>0</formula1>
    </dataValidation>
    <dataValidation type="decimal" operator="greaterThan" allowBlank="1" showInputMessage="1" showErrorMessage="1" sqref="E559">
      <formula1>0</formula1>
    </dataValidation>
    <dataValidation type="whole" operator="greaterThan" allowBlank="1" showInputMessage="1" showErrorMessage="1" sqref="A560">
      <formula1>0</formula1>
    </dataValidation>
    <dataValidation type="list" allowBlank="1" showInputMessage="1" showErrorMessage="1" sqref="C560">
      <formula1>UnidadesList</formula1>
    </dataValidation>
    <dataValidation type="decimal" operator="greaterThan" allowBlank="1" showInputMessage="1" showErrorMessage="1" sqref="D560">
      <formula1>0</formula1>
    </dataValidation>
    <dataValidation type="decimal" operator="greaterThan" allowBlank="1" showInputMessage="1" showErrorMessage="1" sqref="E560">
      <formula1>0</formula1>
    </dataValidation>
    <dataValidation type="whole" operator="greaterThan" allowBlank="1" showInputMessage="1" showErrorMessage="1" sqref="A561">
      <formula1>0</formula1>
    </dataValidation>
    <dataValidation type="list" allowBlank="1" showInputMessage="1" showErrorMessage="1" sqref="C561">
      <formula1>UnidadesList</formula1>
    </dataValidation>
    <dataValidation type="decimal" operator="greaterThan" allowBlank="1" showInputMessage="1" showErrorMessage="1" sqref="D561">
      <formula1>0</formula1>
    </dataValidation>
    <dataValidation type="decimal" operator="greaterThan" allowBlank="1" showInputMessage="1" showErrorMessage="1" sqref="E561">
      <formula1>0</formula1>
    </dataValidation>
    <dataValidation type="whole" operator="greaterThan" allowBlank="1" showInputMessage="1" showErrorMessage="1" sqref="A562">
      <formula1>0</formula1>
    </dataValidation>
    <dataValidation type="list" allowBlank="1" showInputMessage="1" showErrorMessage="1" sqref="C562">
      <formula1>UnidadesList</formula1>
    </dataValidation>
    <dataValidation type="decimal" operator="greaterThan" allowBlank="1" showInputMessage="1" showErrorMessage="1" sqref="D562">
      <formula1>0</formula1>
    </dataValidation>
    <dataValidation type="decimal" operator="greaterThan" allowBlank="1" showInputMessage="1" showErrorMessage="1" sqref="E562">
      <formula1>0</formula1>
    </dataValidation>
    <dataValidation type="whole" operator="greaterThan" allowBlank="1" showInputMessage="1" showErrorMessage="1" sqref="A563">
      <formula1>0</formula1>
    </dataValidation>
    <dataValidation type="list" allowBlank="1" showInputMessage="1" showErrorMessage="1" sqref="C563">
      <formula1>UnidadesList</formula1>
    </dataValidation>
    <dataValidation type="decimal" operator="greaterThan" allowBlank="1" showInputMessage="1" showErrorMessage="1" sqref="D563">
      <formula1>0</formula1>
    </dataValidation>
    <dataValidation type="decimal" operator="greaterThan" allowBlank="1" showInputMessage="1" showErrorMessage="1" sqref="E563">
      <formula1>0</formula1>
    </dataValidation>
    <dataValidation type="whole" operator="greaterThan" allowBlank="1" showInputMessage="1" showErrorMessage="1" sqref="A564">
      <formula1>0</formula1>
    </dataValidation>
    <dataValidation type="list" allowBlank="1" showInputMessage="1" showErrorMessage="1" sqref="C564">
      <formula1>UnidadesList</formula1>
    </dataValidation>
    <dataValidation type="decimal" operator="greaterThan" allowBlank="1" showInputMessage="1" showErrorMessage="1" sqref="D564">
      <formula1>0</formula1>
    </dataValidation>
    <dataValidation type="decimal" operator="greaterThan" allowBlank="1" showInputMessage="1" showErrorMessage="1" sqref="E564">
      <formula1>0</formula1>
    </dataValidation>
    <dataValidation type="whole" operator="greaterThan" allowBlank="1" showInputMessage="1" showErrorMessage="1" sqref="A565">
      <formula1>0</formula1>
    </dataValidation>
    <dataValidation type="list" allowBlank="1" showInputMessage="1" showErrorMessage="1" sqref="C565">
      <formula1>UnidadesList</formula1>
    </dataValidation>
    <dataValidation type="decimal" operator="greaterThan" allowBlank="1" showInputMessage="1" showErrorMessage="1" sqref="D565">
      <formula1>0</formula1>
    </dataValidation>
    <dataValidation type="decimal" operator="greaterThan" allowBlank="1" showInputMessage="1" showErrorMessage="1" sqref="E565">
      <formula1>0</formula1>
    </dataValidation>
    <dataValidation type="whole" operator="greaterThan" allowBlank="1" showInputMessage="1" showErrorMessage="1" sqref="A566">
      <formula1>0</formula1>
    </dataValidation>
    <dataValidation type="list" allowBlank="1" showInputMessage="1" showErrorMessage="1" sqref="C566">
      <formula1>UnidadesList</formula1>
    </dataValidation>
    <dataValidation type="decimal" operator="greaterThan" allowBlank="1" showInputMessage="1" showErrorMessage="1" sqref="D566">
      <formula1>0</formula1>
    </dataValidation>
    <dataValidation type="decimal" operator="greaterThan" allowBlank="1" showInputMessage="1" showErrorMessage="1" sqref="E566">
      <formula1>0</formula1>
    </dataValidation>
    <dataValidation type="whole" operator="greaterThan" allowBlank="1" showInputMessage="1" showErrorMessage="1" sqref="A567">
      <formula1>0</formula1>
    </dataValidation>
    <dataValidation type="list" allowBlank="1" showInputMessage="1" showErrorMessage="1" sqref="C567">
      <formula1>UnidadesList</formula1>
    </dataValidation>
    <dataValidation type="decimal" operator="greaterThan" allowBlank="1" showInputMessage="1" showErrorMessage="1" sqref="D567">
      <formula1>0</formula1>
    </dataValidation>
    <dataValidation type="decimal" operator="greaterThan" allowBlank="1" showInputMessage="1" showErrorMessage="1" sqref="E567">
      <formula1>0</formula1>
    </dataValidation>
    <dataValidation type="whole" operator="greaterThan" allowBlank="1" showInputMessage="1" showErrorMessage="1" sqref="A568">
      <formula1>0</formula1>
    </dataValidation>
    <dataValidation type="list" allowBlank="1" showInputMessage="1" showErrorMessage="1" sqref="C568">
      <formula1>UnidadesList</formula1>
    </dataValidation>
    <dataValidation type="decimal" operator="greaterThan" allowBlank="1" showInputMessage="1" showErrorMessage="1" sqref="D568">
      <formula1>0</formula1>
    </dataValidation>
    <dataValidation type="decimal" operator="greaterThan" allowBlank="1" showInputMessage="1" showErrorMessage="1" sqref="E568">
      <formula1>0</formula1>
    </dataValidation>
    <dataValidation type="whole" operator="greaterThan" allowBlank="1" showInputMessage="1" showErrorMessage="1" sqref="A569">
      <formula1>0</formula1>
    </dataValidation>
    <dataValidation type="list" allowBlank="1" showInputMessage="1" showErrorMessage="1" sqref="C569">
      <formula1>UnidadesList</formula1>
    </dataValidation>
    <dataValidation type="decimal" operator="greaterThan" allowBlank="1" showInputMessage="1" showErrorMessage="1" sqref="D569">
      <formula1>0</formula1>
    </dataValidation>
    <dataValidation type="decimal" operator="greaterThan" allowBlank="1" showInputMessage="1" showErrorMessage="1" sqref="E569">
      <formula1>0</formula1>
    </dataValidation>
    <dataValidation type="whole" operator="greaterThan" allowBlank="1" showInputMessage="1" showErrorMessage="1" sqref="A570">
      <formula1>0</formula1>
    </dataValidation>
    <dataValidation type="list" allowBlank="1" showInputMessage="1" showErrorMessage="1" sqref="C570">
      <formula1>UnidadesList</formula1>
    </dataValidation>
    <dataValidation type="decimal" operator="greaterThan" allowBlank="1" showInputMessage="1" showErrorMessage="1" sqref="D570">
      <formula1>0</formula1>
    </dataValidation>
    <dataValidation type="decimal" operator="greaterThan" allowBlank="1" showInputMessage="1" showErrorMessage="1" sqref="E570">
      <formula1>0</formula1>
    </dataValidation>
    <dataValidation type="whole" operator="greaterThan" allowBlank="1" showInputMessage="1" showErrorMessage="1" sqref="A571">
      <formula1>0</formula1>
    </dataValidation>
    <dataValidation type="list" allowBlank="1" showInputMessage="1" showErrorMessage="1" sqref="C571">
      <formula1>UnidadesList</formula1>
    </dataValidation>
    <dataValidation type="decimal" operator="greaterThan" allowBlank="1" showInputMessage="1" showErrorMessage="1" sqref="D571">
      <formula1>0</formula1>
    </dataValidation>
    <dataValidation type="decimal" operator="greaterThan" allowBlank="1" showInputMessage="1" showErrorMessage="1" sqref="E571">
      <formula1>0</formula1>
    </dataValidation>
    <dataValidation type="date" operator="lessThanOrEqual" allowBlank="1" showInputMessage="1" showErrorMessage="1" sqref="C576">
      <formula1>C578</formula1>
    </dataValidation>
    <dataValidation type="date" operator="greaterThanOrEqual" allowBlank="1" showInputMessage="1" showErrorMessage="1" sqref="C578">
      <formula1>C576</formula1>
    </dataValidation>
    <dataValidation type="list" allowBlank="1" showInputMessage="1" showErrorMessage="1" sqref="F5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2">
      <formula1>0</formula1>
    </dataValidation>
    <dataValidation type="list" allowBlank="1" showInputMessage="1" showErrorMessage="1" sqref="C582">
      <formula1>UnidadesList</formula1>
    </dataValidation>
    <dataValidation type="decimal" operator="greaterThan" allowBlank="1" showInputMessage="1" showErrorMessage="1" sqref="D582">
      <formula1>0</formula1>
    </dataValidation>
    <dataValidation type="decimal" operator="greaterThan" allowBlank="1" showInputMessage="1" showErrorMessage="1" sqref="E582">
      <formula1>0</formula1>
    </dataValidation>
    <dataValidation type="whole" operator="greaterThan" allowBlank="1" showInputMessage="1" showErrorMessage="1" sqref="A583">
      <formula1>0</formula1>
    </dataValidation>
    <dataValidation type="list" allowBlank="1" showInputMessage="1" showErrorMessage="1" sqref="C583">
      <formula1>UnidadesList</formula1>
    </dataValidation>
    <dataValidation type="decimal" operator="greaterThan" allowBlank="1" showInputMessage="1" showErrorMessage="1" sqref="D583">
      <formula1>0</formula1>
    </dataValidation>
    <dataValidation type="decimal" operator="greaterThan" allowBlank="1" showInputMessage="1" showErrorMessage="1" sqref="E583">
      <formula1>0</formula1>
    </dataValidation>
    <dataValidation type="whole" operator="greaterThan" allowBlank="1" showInputMessage="1" showErrorMessage="1" sqref="A584">
      <formula1>0</formula1>
    </dataValidation>
    <dataValidation type="list" allowBlank="1" showInputMessage="1" showErrorMessage="1" sqref="C584">
      <formula1>UnidadesList</formula1>
    </dataValidation>
    <dataValidation type="decimal" operator="greaterThan" allowBlank="1" showInputMessage="1" showErrorMessage="1" sqref="D584">
      <formula1>0</formula1>
    </dataValidation>
    <dataValidation type="decimal" operator="greaterThan" allowBlank="1" showInputMessage="1" showErrorMessage="1" sqref="E584">
      <formula1>0</formula1>
    </dataValidation>
    <dataValidation type="whole" operator="greaterThan" allowBlank="1" showInputMessage="1" showErrorMessage="1" sqref="A585">
      <formula1>0</formula1>
    </dataValidation>
    <dataValidation type="list" allowBlank="1" showInputMessage="1" showErrorMessage="1" sqref="C585">
      <formula1>UnidadesList</formula1>
    </dataValidation>
    <dataValidation type="decimal" operator="greaterThan" allowBlank="1" showInputMessage="1" showErrorMessage="1" sqref="D585">
      <formula1>0</formula1>
    </dataValidation>
    <dataValidation type="decimal" operator="greaterThan" allowBlank="1" showInputMessage="1" showErrorMessage="1" sqref="E585">
      <formula1>0</formula1>
    </dataValidation>
    <dataValidation type="whole" operator="greaterThan" allowBlank="1" showInputMessage="1" showErrorMessage="1" sqref="A586">
      <formula1>0</formula1>
    </dataValidation>
    <dataValidation type="list" allowBlank="1" showInputMessage="1" showErrorMessage="1" sqref="C586">
      <formula1>UnidadesList</formula1>
    </dataValidation>
    <dataValidation type="decimal" operator="greaterThan" allowBlank="1" showInputMessage="1" showErrorMessage="1" sqref="D586">
      <formula1>0</formula1>
    </dataValidation>
    <dataValidation type="decimal" operator="greaterThan" allowBlank="1" showInputMessage="1" showErrorMessage="1" sqref="E586">
      <formula1>0</formula1>
    </dataValidation>
    <dataValidation type="date" operator="lessThanOrEqual" allowBlank="1" showInputMessage="1" showErrorMessage="1" sqref="C591">
      <formula1>C593</formula1>
    </dataValidation>
    <dataValidation type="date" operator="greaterThanOrEqual" allowBlank="1" showInputMessage="1" showErrorMessage="1" sqref="C593">
      <formula1>C591</formula1>
    </dataValidation>
    <dataValidation type="list" allowBlank="1" showInputMessage="1" showErrorMessage="1" sqref="F59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9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9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9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97">
      <formula1>0</formula1>
    </dataValidation>
    <dataValidation type="list" allowBlank="1" showInputMessage="1" showErrorMessage="1" sqref="C597">
      <formula1>UnidadesList</formula1>
    </dataValidation>
    <dataValidation type="decimal" operator="greaterThan" allowBlank="1" showInputMessage="1" showErrorMessage="1" sqref="D597">
      <formula1>0</formula1>
    </dataValidation>
    <dataValidation type="decimal" operator="greaterThan" allowBlank="1" showInputMessage="1" showErrorMessage="1" sqref="E597">
      <formula1>0</formula1>
    </dataValidation>
    <dataValidation type="whole" operator="greaterThan" allowBlank="1" showInputMessage="1" showErrorMessage="1" sqref="A598">
      <formula1>0</formula1>
    </dataValidation>
    <dataValidation type="list" allowBlank="1" showInputMessage="1" showErrorMessage="1" sqref="C598">
      <formula1>UnidadesList</formula1>
    </dataValidation>
    <dataValidation type="decimal" operator="greaterThan" allowBlank="1" showInputMessage="1" showErrorMessage="1" sqref="D598">
      <formula1>0</formula1>
    </dataValidation>
    <dataValidation type="decimal" operator="greaterThan" allowBlank="1" showInputMessage="1" showErrorMessage="1" sqref="E598">
      <formula1>0</formula1>
    </dataValidation>
    <dataValidation type="whole" operator="greaterThan" allowBlank="1" showInputMessage="1" showErrorMessage="1" sqref="A599">
      <formula1>0</formula1>
    </dataValidation>
    <dataValidation type="list" allowBlank="1" showInputMessage="1" showErrorMessage="1" sqref="C599">
      <formula1>UnidadesList</formula1>
    </dataValidation>
    <dataValidation type="decimal" operator="greaterThan" allowBlank="1" showInputMessage="1" showErrorMessage="1" sqref="D599">
      <formula1>0</formula1>
    </dataValidation>
    <dataValidation type="decimal" operator="greaterThan" allowBlank="1" showInputMessage="1" showErrorMessage="1" sqref="E599">
      <formula1>0</formula1>
    </dataValidation>
    <dataValidation type="whole" operator="greaterThan" allowBlank="1" showInputMessage="1" showErrorMessage="1" sqref="A600">
      <formula1>0</formula1>
    </dataValidation>
    <dataValidation type="list" allowBlank="1" showInputMessage="1" showErrorMessage="1" sqref="C600">
      <formula1>UnidadesList</formula1>
    </dataValidation>
    <dataValidation type="decimal" operator="greaterThan" allowBlank="1" showInputMessage="1" showErrorMessage="1" sqref="D600">
      <formula1>0</formula1>
    </dataValidation>
    <dataValidation type="decimal" operator="greaterThan" allowBlank="1" showInputMessage="1" showErrorMessage="1" sqref="E600">
      <formula1>0</formula1>
    </dataValidation>
    <dataValidation type="whole" operator="greaterThan" allowBlank="1" showInputMessage="1" showErrorMessage="1" sqref="A601">
      <formula1>0</formula1>
    </dataValidation>
    <dataValidation type="list" allowBlank="1" showInputMessage="1" showErrorMessage="1" sqref="C601">
      <formula1>UnidadesList</formula1>
    </dataValidation>
    <dataValidation type="decimal" operator="greaterThan" allowBlank="1" showInputMessage="1" showErrorMessage="1" sqref="D601">
      <formula1>0</formula1>
    </dataValidation>
    <dataValidation type="decimal" operator="greaterThan" allowBlank="1" showInputMessage="1" showErrorMessage="1" sqref="E601">
      <formula1>0</formula1>
    </dataValidation>
    <dataValidation type="date" operator="lessThanOrEqual" allowBlank="1" showInputMessage="1" showErrorMessage="1" sqref="C606">
      <formula1>C608</formula1>
    </dataValidation>
    <dataValidation type="date" operator="greaterThanOrEqual" allowBlank="1" showInputMessage="1" showErrorMessage="1" sqref="C608">
      <formula1>C606</formula1>
    </dataValidation>
    <dataValidation type="list" allowBlank="1" showInputMessage="1" showErrorMessage="1" sqref="F60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0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0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12">
      <formula1>0</formula1>
    </dataValidation>
    <dataValidation type="list" allowBlank="1" showInputMessage="1" showErrorMessage="1" sqref="C612">
      <formula1>UnidadesList</formula1>
    </dataValidation>
    <dataValidation type="decimal" operator="greaterThan" allowBlank="1" showInputMessage="1" showErrorMessage="1" sqref="D612">
      <formula1>0</formula1>
    </dataValidation>
    <dataValidation type="decimal" operator="greaterThan" allowBlank="1" showInputMessage="1" showErrorMessage="1" sqref="E612">
      <formula1>0</formula1>
    </dataValidation>
    <dataValidation type="whole" operator="greaterThan" allowBlank="1" showInputMessage="1" showErrorMessage="1" sqref="A613">
      <formula1>0</formula1>
    </dataValidation>
    <dataValidation type="list" allowBlank="1" showInputMessage="1" showErrorMessage="1" sqref="C613">
      <formula1>UnidadesList</formula1>
    </dataValidation>
    <dataValidation type="decimal" operator="greaterThan" allowBlank="1" showInputMessage="1" showErrorMessage="1" sqref="D613">
      <formula1>0</formula1>
    </dataValidation>
    <dataValidation type="decimal" operator="greaterThan" allowBlank="1" showInputMessage="1" showErrorMessage="1" sqref="E613">
      <formula1>0</formula1>
    </dataValidation>
    <dataValidation type="whole" operator="greaterThan" allowBlank="1" showInputMessage="1" showErrorMessage="1" sqref="A614">
      <formula1>0</formula1>
    </dataValidation>
    <dataValidation type="list" allowBlank="1" showInputMessage="1" showErrorMessage="1" sqref="C614">
      <formula1>UnidadesList</formula1>
    </dataValidation>
    <dataValidation type="decimal" operator="greaterThan" allowBlank="1" showInputMessage="1" showErrorMessage="1" sqref="D614">
      <formula1>0</formula1>
    </dataValidation>
    <dataValidation type="decimal" operator="greaterThan" allowBlank="1" showInputMessage="1" showErrorMessage="1" sqref="E614">
      <formula1>0</formula1>
    </dataValidation>
    <dataValidation type="whole" operator="greaterThan" allowBlank="1" showInputMessage="1" showErrorMessage="1" sqref="A615">
      <formula1>0</formula1>
    </dataValidation>
    <dataValidation type="list" allowBlank="1" showInputMessage="1" showErrorMessage="1" sqref="C615">
      <formula1>UnidadesList</formula1>
    </dataValidation>
    <dataValidation type="decimal" operator="greaterThan" allowBlank="1" showInputMessage="1" showErrorMessage="1" sqref="D615">
      <formula1>0</formula1>
    </dataValidation>
    <dataValidation type="decimal" operator="greaterThan" allowBlank="1" showInputMessage="1" showErrorMessage="1" sqref="E615">
      <formula1>0</formula1>
    </dataValidation>
    <dataValidation type="whole" operator="greaterThan" allowBlank="1" showInputMessage="1" showErrorMessage="1" sqref="A616">
      <formula1>0</formula1>
    </dataValidation>
    <dataValidation type="list" allowBlank="1" showInputMessage="1" showErrorMessage="1" sqref="C616">
      <formula1>UnidadesList</formula1>
    </dataValidation>
    <dataValidation type="decimal" operator="greaterThan" allowBlank="1" showInputMessage="1" showErrorMessage="1" sqref="D616">
      <formula1>0</formula1>
    </dataValidation>
    <dataValidation type="decimal" operator="greaterThan" allowBlank="1" showInputMessage="1" showErrorMessage="1" sqref="E616">
      <formula1>0</formula1>
    </dataValidation>
    <dataValidation type="date" operator="lessThanOrEqual" allowBlank="1" showInputMessage="1" showErrorMessage="1" sqref="C621">
      <formula1>C623</formula1>
    </dataValidation>
    <dataValidation type="date" operator="greaterThanOrEqual" allowBlank="1" showInputMessage="1" showErrorMessage="1" sqref="C623">
      <formula1>C621</formula1>
    </dataValidation>
    <dataValidation type="list" allowBlank="1" showInputMessage="1" showErrorMessage="1" sqref="F6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27">
      <formula1>0</formula1>
    </dataValidation>
    <dataValidation type="list" allowBlank="1" showInputMessage="1" showErrorMessage="1" sqref="C627">
      <formula1>UnidadesList</formula1>
    </dataValidation>
    <dataValidation type="decimal" operator="greaterThan" allowBlank="1" showInputMessage="1" showErrorMessage="1" sqref="D627">
      <formula1>0</formula1>
    </dataValidation>
    <dataValidation type="decimal" operator="greaterThan" allowBlank="1" showInputMessage="1" showErrorMessage="1" sqref="E627">
      <formula1>0</formula1>
    </dataValidation>
    <dataValidation type="whole" operator="greaterThan" allowBlank="1" showInputMessage="1" showErrorMessage="1" sqref="A628">
      <formula1>0</formula1>
    </dataValidation>
    <dataValidation type="list" allowBlank="1" showInputMessage="1" showErrorMessage="1" sqref="C628">
      <formula1>UnidadesList</formula1>
    </dataValidation>
    <dataValidation type="decimal" operator="greaterThan" allowBlank="1" showInputMessage="1" showErrorMessage="1" sqref="D628">
      <formula1>0</formula1>
    </dataValidation>
    <dataValidation type="decimal" operator="greaterThan" allowBlank="1" showInputMessage="1" showErrorMessage="1" sqref="E628">
      <formula1>0</formula1>
    </dataValidation>
    <dataValidation type="whole" operator="greaterThan" allowBlank="1" showInputMessage="1" showErrorMessage="1" sqref="A629">
      <formula1>0</formula1>
    </dataValidation>
    <dataValidation type="list" allowBlank="1" showInputMessage="1" showErrorMessage="1" sqref="C629">
      <formula1>UnidadesList</formula1>
    </dataValidation>
    <dataValidation type="decimal" operator="greaterThan" allowBlank="1" showInputMessage="1" showErrorMessage="1" sqref="D629">
      <formula1>0</formula1>
    </dataValidation>
    <dataValidation type="decimal" operator="greaterThan" allowBlank="1" showInputMessage="1" showErrorMessage="1" sqref="E629">
      <formula1>0</formula1>
    </dataValidation>
    <dataValidation type="whole" operator="greaterThan" allowBlank="1" showInputMessage="1" showErrorMessage="1" sqref="A630">
      <formula1>0</formula1>
    </dataValidation>
    <dataValidation type="list" allowBlank="1" showInputMessage="1" showErrorMessage="1" sqref="C630">
      <formula1>UnidadesList</formula1>
    </dataValidation>
    <dataValidation type="decimal" operator="greaterThan" allowBlank="1" showInputMessage="1" showErrorMessage="1" sqref="D630">
      <formula1>0</formula1>
    </dataValidation>
    <dataValidation type="decimal" operator="greaterThan" allowBlank="1" showInputMessage="1" showErrorMessage="1" sqref="E630">
      <formula1>0</formula1>
    </dataValidation>
    <dataValidation type="whole" operator="greaterThan" allowBlank="1" showInputMessage="1" showErrorMessage="1" sqref="A631">
      <formula1>0</formula1>
    </dataValidation>
    <dataValidation type="list" allowBlank="1" showInputMessage="1" showErrorMessage="1" sqref="C631">
      <formula1>UnidadesList</formula1>
    </dataValidation>
    <dataValidation type="decimal" operator="greaterThan" allowBlank="1" showInputMessage="1" showErrorMessage="1" sqref="D631">
      <formula1>0</formula1>
    </dataValidation>
    <dataValidation type="decimal" operator="greaterThan" allowBlank="1" showInputMessage="1" showErrorMessage="1" sqref="E631">
      <formula1>0</formula1>
    </dataValidation>
    <dataValidation type="date" operator="lessThanOrEqual" allowBlank="1" showInputMessage="1" showErrorMessage="1" sqref="C636">
      <formula1>C638</formula1>
    </dataValidation>
    <dataValidation type="date" operator="greaterThanOrEqual" allowBlank="1" showInputMessage="1" showErrorMessage="1" sqref="C638">
      <formula1>C636</formula1>
    </dataValidation>
    <dataValidation type="list" allowBlank="1" showInputMessage="1" showErrorMessage="1" sqref="F63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3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3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3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42">
      <formula1>0</formula1>
    </dataValidation>
    <dataValidation type="list" allowBlank="1" showInputMessage="1" showErrorMessage="1" sqref="C642">
      <formula1>UnidadesList</formula1>
    </dataValidation>
    <dataValidation type="decimal" operator="greaterThan" allowBlank="1" showInputMessage="1" showErrorMessage="1" sqref="D642">
      <formula1>0</formula1>
    </dataValidation>
    <dataValidation type="decimal" operator="greaterThan" allowBlank="1" showInputMessage="1" showErrorMessage="1" sqref="E642">
      <formula1>0</formula1>
    </dataValidation>
    <dataValidation type="whole" operator="greaterThan" allowBlank="1" showInputMessage="1" showErrorMessage="1" sqref="A643">
      <formula1>0</formula1>
    </dataValidation>
    <dataValidation type="list" allowBlank="1" showInputMessage="1" showErrorMessage="1" sqref="C643">
      <formula1>UnidadesList</formula1>
    </dataValidation>
    <dataValidation type="decimal" operator="greaterThan" allowBlank="1" showInputMessage="1" showErrorMessage="1" sqref="D643">
      <formula1>0</formula1>
    </dataValidation>
    <dataValidation type="decimal" operator="greaterThan" allowBlank="1" showInputMessage="1" showErrorMessage="1" sqref="E643">
      <formula1>0</formula1>
    </dataValidation>
    <dataValidation type="whole" operator="greaterThan" allowBlank="1" showInputMessage="1" showErrorMessage="1" sqref="A644">
      <formula1>0</formula1>
    </dataValidation>
    <dataValidation type="list" allowBlank="1" showInputMessage="1" showErrorMessage="1" sqref="C644">
      <formula1>UnidadesList</formula1>
    </dataValidation>
    <dataValidation type="decimal" operator="greaterThan" allowBlank="1" showInputMessage="1" showErrorMessage="1" sqref="D644">
      <formula1>0</formula1>
    </dataValidation>
    <dataValidation type="decimal" operator="greaterThan" allowBlank="1" showInputMessage="1" showErrorMessage="1" sqref="E644">
      <formula1>0</formula1>
    </dataValidation>
    <dataValidation type="date" operator="lessThanOrEqual" allowBlank="1" showInputMessage="1" showErrorMessage="1" sqref="C649">
      <formula1>C651</formula1>
    </dataValidation>
    <dataValidation type="date" operator="greaterThanOrEqual" allowBlank="1" showInputMessage="1" showErrorMessage="1" sqref="C651">
      <formula1>C649</formula1>
    </dataValidation>
    <dataValidation type="list" allowBlank="1" showInputMessage="1" showErrorMessage="1" sqref="F64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5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5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5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55">
      <formula1>0</formula1>
    </dataValidation>
    <dataValidation type="list" allowBlank="1" showInputMessage="1" showErrorMessage="1" sqref="C655">
      <formula1>UnidadesList</formula1>
    </dataValidation>
    <dataValidation type="decimal" operator="greaterThan" allowBlank="1" showInputMessage="1" showErrorMessage="1" sqref="D655">
      <formula1>0</formula1>
    </dataValidation>
    <dataValidation type="decimal" operator="greaterThan" allowBlank="1" showInputMessage="1" showErrorMessage="1" sqref="E655">
      <formula1>0</formula1>
    </dataValidation>
    <dataValidation type="whole" operator="greaterThan" allowBlank="1" showInputMessage="1" showErrorMessage="1" sqref="A656">
      <formula1>0</formula1>
    </dataValidation>
    <dataValidation type="list" allowBlank="1" showInputMessage="1" showErrorMessage="1" sqref="C656">
      <formula1>UnidadesList</formula1>
    </dataValidation>
    <dataValidation type="decimal" operator="greaterThan" allowBlank="1" showInputMessage="1" showErrorMessage="1" sqref="D656">
      <formula1>0</formula1>
    </dataValidation>
    <dataValidation type="decimal" operator="greaterThan" allowBlank="1" showInputMessage="1" showErrorMessage="1" sqref="E656">
      <formula1>0</formula1>
    </dataValidation>
    <dataValidation type="whole" operator="greaterThan" allowBlank="1" showInputMessage="1" showErrorMessage="1" sqref="A657">
      <formula1>0</formula1>
    </dataValidation>
    <dataValidation type="list" allowBlank="1" showInputMessage="1" showErrorMessage="1" sqref="C657">
      <formula1>UnidadesList</formula1>
    </dataValidation>
    <dataValidation type="decimal" operator="greaterThan" allowBlank="1" showInputMessage="1" showErrorMessage="1" sqref="D657">
      <formula1>0</formula1>
    </dataValidation>
    <dataValidation type="decimal" operator="greaterThan" allowBlank="1" showInputMessage="1" showErrorMessage="1" sqref="E657">
      <formula1>0</formula1>
    </dataValidation>
    <dataValidation type="date" operator="lessThanOrEqual" allowBlank="1" showInputMessage="1" showErrorMessage="1" sqref="C662">
      <formula1>C664</formula1>
    </dataValidation>
    <dataValidation type="date" operator="greaterThanOrEqual" allowBlank="1" showInputMessage="1" showErrorMessage="1" sqref="C664">
      <formula1>C662</formula1>
    </dataValidation>
    <dataValidation type="list" allowBlank="1" showInputMessage="1" showErrorMessage="1" sqref="F6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8">
      <formula1>0</formula1>
    </dataValidation>
    <dataValidation type="list" allowBlank="1" showInputMessage="1" showErrorMessage="1" sqref="C668">
      <formula1>UnidadesList</formula1>
    </dataValidation>
    <dataValidation type="decimal" operator="greaterThan" allowBlank="1" showInputMessage="1" showErrorMessage="1" sqref="D668">
      <formula1>0</formula1>
    </dataValidation>
    <dataValidation type="decimal" operator="greaterThan" allowBlank="1" showInputMessage="1" showErrorMessage="1" sqref="E668">
      <formula1>0</formula1>
    </dataValidation>
    <dataValidation type="whole" operator="greaterThan" allowBlank="1" showInputMessage="1" showErrorMessage="1" sqref="A669">
      <formula1>0</formula1>
    </dataValidation>
    <dataValidation type="list" allowBlank="1" showInputMessage="1" showErrorMessage="1" sqref="C669">
      <formula1>UnidadesList</formula1>
    </dataValidation>
    <dataValidation type="decimal" operator="greaterThan" allowBlank="1" showInputMessage="1" showErrorMessage="1" sqref="D669">
      <formula1>0</formula1>
    </dataValidation>
    <dataValidation type="decimal" operator="greaterThan" allowBlank="1" showInputMessage="1" showErrorMessage="1" sqref="E669">
      <formula1>0</formula1>
    </dataValidation>
    <dataValidation type="whole" operator="greaterThan" allowBlank="1" showInputMessage="1" showErrorMessage="1" sqref="A670">
      <formula1>0</formula1>
    </dataValidation>
    <dataValidation type="list" allowBlank="1" showInputMessage="1" showErrorMessage="1" sqref="C670">
      <formula1>UnidadesList</formula1>
    </dataValidation>
    <dataValidation type="decimal" operator="greaterThan" allowBlank="1" showInputMessage="1" showErrorMessage="1" sqref="D670">
      <formula1>0</formula1>
    </dataValidation>
    <dataValidation type="decimal" operator="greaterThan" allowBlank="1" showInputMessage="1" showErrorMessage="1" sqref="E670">
      <formula1>0</formula1>
    </dataValidation>
    <dataValidation type="date" operator="lessThanOrEqual" allowBlank="1" showInputMessage="1" showErrorMessage="1" sqref="C675">
      <formula1>C677</formula1>
    </dataValidation>
    <dataValidation type="date" operator="greaterThanOrEqual" allowBlank="1" showInputMessage="1" showErrorMessage="1" sqref="C677">
      <formula1>C675</formula1>
    </dataValidation>
    <dataValidation type="list" allowBlank="1" showInputMessage="1" showErrorMessage="1" sqref="F6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1">
      <formula1>0</formula1>
    </dataValidation>
    <dataValidation type="list" allowBlank="1" showInputMessage="1" showErrorMessage="1" sqref="C681">
      <formula1>UnidadesList</formula1>
    </dataValidation>
    <dataValidation type="decimal" operator="greaterThan" allowBlank="1" showInputMessage="1" showErrorMessage="1" sqref="D681">
      <formula1>0</formula1>
    </dataValidation>
    <dataValidation type="decimal" operator="greaterThan" allowBlank="1" showInputMessage="1" showErrorMessage="1" sqref="E681">
      <formula1>0</formula1>
    </dataValidation>
    <dataValidation type="whole" operator="greaterThan" allowBlank="1" showInputMessage="1" showErrorMessage="1" sqref="A682">
      <formula1>0</formula1>
    </dataValidation>
    <dataValidation type="list" allowBlank="1" showInputMessage="1" showErrorMessage="1" sqref="C682">
      <formula1>UnidadesList</formula1>
    </dataValidation>
    <dataValidation type="decimal" operator="greaterThan" allowBlank="1" showInputMessage="1" showErrorMessage="1" sqref="D682">
      <formula1>0</formula1>
    </dataValidation>
    <dataValidation type="decimal" operator="greaterThan" allowBlank="1" showInputMessage="1" showErrorMessage="1" sqref="E682">
      <formula1>0</formula1>
    </dataValidation>
    <dataValidation type="whole" operator="greaterThan" allowBlank="1" showInputMessage="1" showErrorMessage="1" sqref="A683">
      <formula1>0</formula1>
    </dataValidation>
    <dataValidation type="list" allowBlank="1" showInputMessage="1" showErrorMessage="1" sqref="C683">
      <formula1>UnidadesList</formula1>
    </dataValidation>
    <dataValidation type="decimal" operator="greaterThan" allowBlank="1" showInputMessage="1" showErrorMessage="1" sqref="D683">
      <formula1>0</formula1>
    </dataValidation>
    <dataValidation type="decimal" operator="greaterThan" allowBlank="1" showInputMessage="1" showErrorMessage="1" sqref="E683">
      <formula1>0</formula1>
    </dataValidation>
    <dataValidation type="date" operator="lessThanOrEqual" allowBlank="1" showInputMessage="1" showErrorMessage="1" sqref="C688">
      <formula1>C690</formula1>
    </dataValidation>
    <dataValidation type="date" operator="greaterThanOrEqual" allowBlank="1" showInputMessage="1" showErrorMessage="1" sqref="C690">
      <formula1>C688</formula1>
    </dataValidation>
    <dataValidation type="list" allowBlank="1" showInputMessage="1" showErrorMessage="1" sqref="F68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9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9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94">
      <formula1>0</formula1>
    </dataValidation>
    <dataValidation type="list" allowBlank="1" showInputMessage="1" showErrorMessage="1" sqref="C694">
      <formula1>UnidadesList</formula1>
    </dataValidation>
    <dataValidation type="decimal" operator="greaterThan" allowBlank="1" showInputMessage="1" showErrorMessage="1" sqref="D694">
      <formula1>0</formula1>
    </dataValidation>
    <dataValidation type="decimal" operator="greaterThan" allowBlank="1" showInputMessage="1" showErrorMessage="1" sqref="E694">
      <formula1>0</formula1>
    </dataValidation>
    <dataValidation type="whole" operator="greaterThan" allowBlank="1" showInputMessage="1" showErrorMessage="1" sqref="A695">
      <formula1>0</formula1>
    </dataValidation>
    <dataValidation type="list" allowBlank="1" showInputMessage="1" showErrorMessage="1" sqref="C695">
      <formula1>UnidadesList</formula1>
    </dataValidation>
    <dataValidation type="decimal" operator="greaterThan" allowBlank="1" showInputMessage="1" showErrorMessage="1" sqref="D695">
      <formula1>0</formula1>
    </dataValidation>
    <dataValidation type="decimal" operator="greaterThan" allowBlank="1" showInputMessage="1" showErrorMessage="1" sqref="E695">
      <formula1>0</formula1>
    </dataValidation>
    <dataValidation type="whole" operator="greaterThan" allowBlank="1" showInputMessage="1" showErrorMessage="1" sqref="A696">
      <formula1>0</formula1>
    </dataValidation>
    <dataValidation type="list" allowBlank="1" showInputMessage="1" showErrorMessage="1" sqref="C696">
      <formula1>UnidadesList</formula1>
    </dataValidation>
    <dataValidation type="decimal" operator="greaterThan" allowBlank="1" showInputMessage="1" showErrorMessage="1" sqref="D696">
      <formula1>0</formula1>
    </dataValidation>
    <dataValidation type="decimal" operator="greaterThan" allowBlank="1" showInputMessage="1" showErrorMessage="1" sqref="E696">
      <formula1>0</formula1>
    </dataValidation>
    <dataValidation type="whole" operator="greaterThan" allowBlank="1" showInputMessage="1" showErrorMessage="1" sqref="A697">
      <formula1>0</formula1>
    </dataValidation>
    <dataValidation type="list" allowBlank="1" showInputMessage="1" showErrorMessage="1" sqref="C697">
      <formula1>UnidadesList</formula1>
    </dataValidation>
    <dataValidation type="decimal" operator="greaterThan" allowBlank="1" showInputMessage="1" showErrorMessage="1" sqref="D697">
      <formula1>0</formula1>
    </dataValidation>
    <dataValidation type="decimal" operator="greaterThan" allowBlank="1" showInputMessage="1" showErrorMessage="1" sqref="E697">
      <formula1>0</formula1>
    </dataValidation>
    <dataValidation type="whole" operator="greaterThan" allowBlank="1" showInputMessage="1" showErrorMessage="1" sqref="A698">
      <formula1>0</formula1>
    </dataValidation>
    <dataValidation type="list" allowBlank="1" showInputMessage="1" showErrorMessage="1" sqref="C698">
      <formula1>UnidadesList</formula1>
    </dataValidation>
    <dataValidation type="decimal" operator="greaterThan" allowBlank="1" showInputMessage="1" showErrorMessage="1" sqref="D698">
      <formula1>0</formula1>
    </dataValidation>
    <dataValidation type="decimal" operator="greaterThan" allowBlank="1" showInputMessage="1" showErrorMessage="1" sqref="E698">
      <formula1>0</formula1>
    </dataValidation>
    <dataValidation type="whole" operator="greaterThan" allowBlank="1" showInputMessage="1" showErrorMessage="1" sqref="A699">
      <formula1>0</formula1>
    </dataValidation>
    <dataValidation type="list" allowBlank="1" showInputMessage="1" showErrorMessage="1" sqref="C699">
      <formula1>UnidadesList</formula1>
    </dataValidation>
    <dataValidation type="decimal" operator="greaterThan" allowBlank="1" showInputMessage="1" showErrorMessage="1" sqref="D699">
      <formula1>0</formula1>
    </dataValidation>
    <dataValidation type="decimal" operator="greaterThan" allowBlank="1" showInputMessage="1" showErrorMessage="1" sqref="E699">
      <formula1>0</formula1>
    </dataValidation>
    <dataValidation type="date" operator="lessThanOrEqual" allowBlank="1" showInputMessage="1" showErrorMessage="1" sqref="C704">
      <formula1>C706</formula1>
    </dataValidation>
    <dataValidation type="date" operator="greaterThanOrEqual" allowBlank="1" showInputMessage="1" showErrorMessage="1" sqref="C706">
      <formula1>C704</formula1>
    </dataValidation>
    <dataValidation type="list" allowBlank="1" showInputMessage="1" showErrorMessage="1" sqref="F7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10">
      <formula1>0</formula1>
    </dataValidation>
    <dataValidation type="list" allowBlank="1" showInputMessage="1" showErrorMessage="1" sqref="C710">
      <formula1>UnidadesList</formula1>
    </dataValidation>
    <dataValidation type="decimal" operator="greaterThan" allowBlank="1" showInputMessage="1" showErrorMessage="1" sqref="D710">
      <formula1>0</formula1>
    </dataValidation>
    <dataValidation type="decimal" operator="greaterThan" allowBlank="1" showInputMessage="1" showErrorMessage="1" sqref="E710">
      <formula1>0</formula1>
    </dataValidation>
    <dataValidation type="whole" operator="greaterThan" allowBlank="1" showInputMessage="1" showErrorMessage="1" sqref="A711">
      <formula1>0</formula1>
    </dataValidation>
    <dataValidation type="list" allowBlank="1" showInputMessage="1" showErrorMessage="1" sqref="C711">
      <formula1>UnidadesList</formula1>
    </dataValidation>
    <dataValidation type="decimal" operator="greaterThan" allowBlank="1" showInputMessage="1" showErrorMessage="1" sqref="D711">
      <formula1>0</formula1>
    </dataValidation>
    <dataValidation type="decimal" operator="greaterThan" allowBlank="1" showInputMessage="1" showErrorMessage="1" sqref="E711">
      <formula1>0</formula1>
    </dataValidation>
    <dataValidation type="whole" operator="greaterThan" allowBlank="1" showInputMessage="1" showErrorMessage="1" sqref="A712">
      <formula1>0</formula1>
    </dataValidation>
    <dataValidation type="list" allowBlank="1" showInputMessage="1" showErrorMessage="1" sqref="C712">
      <formula1>UnidadesList</formula1>
    </dataValidation>
    <dataValidation type="decimal" operator="greaterThan" allowBlank="1" showInputMessage="1" showErrorMessage="1" sqref="D712">
      <formula1>0</formula1>
    </dataValidation>
    <dataValidation type="decimal" operator="greaterThan" allowBlank="1" showInputMessage="1" showErrorMessage="1" sqref="E712">
      <formula1>0</formula1>
    </dataValidation>
    <dataValidation type="whole" operator="greaterThan" allowBlank="1" showInputMessage="1" showErrorMessage="1" sqref="A713">
      <formula1>0</formula1>
    </dataValidation>
    <dataValidation type="list" allowBlank="1" showInputMessage="1" showErrorMessage="1" sqref="C713">
      <formula1>UnidadesList</formula1>
    </dataValidation>
    <dataValidation type="decimal" operator="greaterThan" allowBlank="1" showInputMessage="1" showErrorMessage="1" sqref="D713">
      <formula1>0</formula1>
    </dataValidation>
    <dataValidation type="decimal" operator="greaterThan" allowBlank="1" showInputMessage="1" showErrorMessage="1" sqref="E713">
      <formula1>0</formula1>
    </dataValidation>
    <dataValidation type="whole" operator="greaterThan" allowBlank="1" showInputMessage="1" showErrorMessage="1" sqref="A714">
      <formula1>0</formula1>
    </dataValidation>
    <dataValidation type="list" allowBlank="1" showInputMessage="1" showErrorMessage="1" sqref="C714">
      <formula1>UnidadesList</formula1>
    </dataValidation>
    <dataValidation type="decimal" operator="greaterThan" allowBlank="1" showInputMessage="1" showErrorMessage="1" sqref="D714">
      <formula1>0</formula1>
    </dataValidation>
    <dataValidation type="decimal" operator="greaterThan" allowBlank="1" showInputMessage="1" showErrorMessage="1" sqref="E714">
      <formula1>0</formula1>
    </dataValidation>
    <dataValidation type="whole" operator="greaterThan" allowBlank="1" showInputMessage="1" showErrorMessage="1" sqref="A715">
      <formula1>0</formula1>
    </dataValidation>
    <dataValidation type="list" allowBlank="1" showInputMessage="1" showErrorMessage="1" sqref="C715">
      <formula1>UnidadesList</formula1>
    </dataValidation>
    <dataValidation type="decimal" operator="greaterThan" allowBlank="1" showInputMessage="1" showErrorMessage="1" sqref="D715">
      <formula1>0</formula1>
    </dataValidation>
    <dataValidation type="decimal" operator="greaterThan" allowBlank="1" showInputMessage="1" showErrorMessage="1" sqref="E715">
      <formula1>0</formula1>
    </dataValidation>
    <dataValidation type="whole" operator="greaterThan" allowBlank="1" showInputMessage="1" showErrorMessage="1" sqref="A716">
      <formula1>0</formula1>
    </dataValidation>
    <dataValidation type="list" allowBlank="1" showInputMessage="1" showErrorMessage="1" sqref="C716">
      <formula1>UnidadesList</formula1>
    </dataValidation>
    <dataValidation type="decimal" operator="greaterThan" allowBlank="1" showInputMessage="1" showErrorMessage="1" sqref="D716">
      <formula1>0</formula1>
    </dataValidation>
    <dataValidation type="decimal" operator="greaterThan" allowBlank="1" showInputMessage="1" showErrorMessage="1" sqref="E716">
      <formula1>0</formula1>
    </dataValidation>
    <dataValidation type="whole" operator="greaterThan" allowBlank="1" showInputMessage="1" showErrorMessage="1" sqref="A717">
      <formula1>0</formula1>
    </dataValidation>
    <dataValidation type="list" allowBlank="1" showInputMessage="1" showErrorMessage="1" sqref="C717">
      <formula1>UnidadesList</formula1>
    </dataValidation>
    <dataValidation type="decimal" operator="greaterThan" allowBlank="1" showInputMessage="1" showErrorMessage="1" sqref="D717">
      <formula1>0</formula1>
    </dataValidation>
    <dataValidation type="decimal" operator="greaterThan" allowBlank="1" showInputMessage="1" showErrorMessage="1" sqref="E717">
      <formula1>0</formula1>
    </dataValidation>
    <dataValidation type="date" operator="lessThanOrEqual" allowBlank="1" showInputMessage="1" showErrorMessage="1" sqref="C722">
      <formula1>C724</formula1>
    </dataValidation>
    <dataValidation type="date" operator="greaterThanOrEqual" allowBlank="1" showInputMessage="1" showErrorMessage="1" sqref="C724">
      <formula1>C722</formula1>
    </dataValidation>
    <dataValidation type="list" allowBlank="1" showInputMessage="1" showErrorMessage="1" sqref="F72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2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2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2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28">
      <formula1>0</formula1>
    </dataValidation>
    <dataValidation type="list" allowBlank="1" showInputMessage="1" showErrorMessage="1" sqref="C728">
      <formula1>UnidadesList</formula1>
    </dataValidation>
    <dataValidation type="decimal" operator="greaterThan" allowBlank="1" showInputMessage="1" showErrorMessage="1" sqref="D728">
      <formula1>0</formula1>
    </dataValidation>
    <dataValidation type="decimal" operator="greaterThan" allowBlank="1" showInputMessage="1" showErrorMessage="1" sqref="E728">
      <formula1>0</formula1>
    </dataValidation>
    <dataValidation type="whole" operator="greaterThan" allowBlank="1" showInputMessage="1" showErrorMessage="1" sqref="A729">
      <formula1>0</formula1>
    </dataValidation>
    <dataValidation type="list" allowBlank="1" showInputMessage="1" showErrorMessage="1" sqref="C729">
      <formula1>UnidadesList</formula1>
    </dataValidation>
    <dataValidation type="decimal" operator="greaterThan" allowBlank="1" showInputMessage="1" showErrorMessage="1" sqref="D729">
      <formula1>0</formula1>
    </dataValidation>
    <dataValidation type="decimal" operator="greaterThan" allowBlank="1" showInputMessage="1" showErrorMessage="1" sqref="E729">
      <formula1>0</formula1>
    </dataValidation>
    <dataValidation type="whole" operator="greaterThan" allowBlank="1" showInputMessage="1" showErrorMessage="1" sqref="A730">
      <formula1>0</formula1>
    </dataValidation>
    <dataValidation type="list" allowBlank="1" showInputMessage="1" showErrorMessage="1" sqref="C730">
      <formula1>UnidadesList</formula1>
    </dataValidation>
    <dataValidation type="decimal" operator="greaterThan" allowBlank="1" showInputMessage="1" showErrorMessage="1" sqref="D730">
      <formula1>0</formula1>
    </dataValidation>
    <dataValidation type="decimal" operator="greaterThan" allowBlank="1" showInputMessage="1" showErrorMessage="1" sqref="E730">
      <formula1>0</formula1>
    </dataValidation>
    <dataValidation type="whole" operator="greaterThan" allowBlank="1" showInputMessage="1" showErrorMessage="1" sqref="A731">
      <formula1>0</formula1>
    </dataValidation>
    <dataValidation type="list" allowBlank="1" showInputMessage="1" showErrorMessage="1" sqref="C731">
      <formula1>UnidadesList</formula1>
    </dataValidation>
    <dataValidation type="decimal" operator="greaterThan" allowBlank="1" showInputMessage="1" showErrorMessage="1" sqref="D731">
      <formula1>0</formula1>
    </dataValidation>
    <dataValidation type="decimal" operator="greaterThan" allowBlank="1" showInputMessage="1" showErrorMessage="1" sqref="E731">
      <formula1>0</formula1>
    </dataValidation>
    <dataValidation type="whole" operator="greaterThan" allowBlank="1" showInputMessage="1" showErrorMessage="1" sqref="A732">
      <formula1>0</formula1>
    </dataValidation>
    <dataValidation type="list" allowBlank="1" showInputMessage="1" showErrorMessage="1" sqref="C732">
      <formula1>UnidadesList</formula1>
    </dataValidation>
    <dataValidation type="decimal" operator="greaterThan" allowBlank="1" showInputMessage="1" showErrorMessage="1" sqref="D732">
      <formula1>0</formula1>
    </dataValidation>
    <dataValidation type="decimal" operator="greaterThan" allowBlank="1" showInputMessage="1" showErrorMessage="1" sqref="E732">
      <formula1>0</formula1>
    </dataValidation>
    <dataValidation type="whole" operator="greaterThan" allowBlank="1" showInputMessage="1" showErrorMessage="1" sqref="A733">
      <formula1>0</formula1>
    </dataValidation>
    <dataValidation type="list" allowBlank="1" showInputMessage="1" showErrorMessage="1" sqref="C733">
      <formula1>UnidadesList</formula1>
    </dataValidation>
    <dataValidation type="decimal" operator="greaterThan" allowBlank="1" showInputMessage="1" showErrorMessage="1" sqref="D733">
      <formula1>0</formula1>
    </dataValidation>
    <dataValidation type="decimal" operator="greaterThan" allowBlank="1" showInputMessage="1" showErrorMessage="1" sqref="E733">
      <formula1>0</formula1>
    </dataValidation>
    <dataValidation type="whole" operator="greaterThan" allowBlank="1" showInputMessage="1" showErrorMessage="1" sqref="A734">
      <formula1>0</formula1>
    </dataValidation>
    <dataValidation type="list" allowBlank="1" showInputMessage="1" showErrorMessage="1" sqref="C734">
      <formula1>UnidadesList</formula1>
    </dataValidation>
    <dataValidation type="decimal" operator="greaterThan" allowBlank="1" showInputMessage="1" showErrorMessage="1" sqref="D734">
      <formula1>0</formula1>
    </dataValidation>
    <dataValidation type="decimal" operator="greaterThan" allowBlank="1" showInputMessage="1" showErrorMessage="1" sqref="E734">
      <formula1>0</formula1>
    </dataValidation>
    <dataValidation type="whole" operator="greaterThan" allowBlank="1" showInputMessage="1" showErrorMessage="1" sqref="A735">
      <formula1>0</formula1>
    </dataValidation>
    <dataValidation type="list" allowBlank="1" showInputMessage="1" showErrorMessage="1" sqref="C735">
      <formula1>UnidadesList</formula1>
    </dataValidation>
    <dataValidation type="decimal" operator="greaterThan" allowBlank="1" showInputMessage="1" showErrorMessage="1" sqref="D735">
      <formula1>0</formula1>
    </dataValidation>
    <dataValidation type="decimal" operator="greaterThan" allowBlank="1" showInputMessage="1" showErrorMessage="1" sqref="E735">
      <formula1>0</formula1>
    </dataValidation>
    <dataValidation type="date" operator="lessThanOrEqual" allowBlank="1" showInputMessage="1" showErrorMessage="1" sqref="C740">
      <formula1>C742</formula1>
    </dataValidation>
    <dataValidation type="date" operator="greaterThanOrEqual" allowBlank="1" showInputMessage="1" showErrorMessage="1" sqref="C742">
      <formula1>C740</formula1>
    </dataValidation>
    <dataValidation type="list" allowBlank="1" showInputMessage="1" showErrorMessage="1" sqref="F7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46">
      <formula1>0</formula1>
    </dataValidation>
    <dataValidation type="list" allowBlank="1" showInputMessage="1" showErrorMessage="1" sqref="C746">
      <formula1>UnidadesList</formula1>
    </dataValidation>
    <dataValidation type="decimal" operator="greaterThan" allowBlank="1" showInputMessage="1" showErrorMessage="1" sqref="D746">
      <formula1>0</formula1>
    </dataValidation>
    <dataValidation type="decimal" operator="greaterThan" allowBlank="1" showInputMessage="1" showErrorMessage="1" sqref="E746">
      <formula1>0</formula1>
    </dataValidation>
    <dataValidation type="whole" operator="greaterThan" allowBlank="1" showInputMessage="1" showErrorMessage="1" sqref="A747">
      <formula1>0</formula1>
    </dataValidation>
    <dataValidation type="list" allowBlank="1" showInputMessage="1" showErrorMessage="1" sqref="C747">
      <formula1>UnidadesList</formula1>
    </dataValidation>
    <dataValidation type="decimal" operator="greaterThan" allowBlank="1" showInputMessage="1" showErrorMessage="1" sqref="D747">
      <formula1>0</formula1>
    </dataValidation>
    <dataValidation type="decimal" operator="greaterThan" allowBlank="1" showInputMessage="1" showErrorMessage="1" sqref="E747">
      <formula1>0</formula1>
    </dataValidation>
    <dataValidation type="whole" operator="greaterThan" allowBlank="1" showInputMessage="1" showErrorMessage="1" sqref="A748">
      <formula1>0</formula1>
    </dataValidation>
    <dataValidation type="list" allowBlank="1" showInputMessage="1" showErrorMessage="1" sqref="C748">
      <formula1>UnidadesList</formula1>
    </dataValidation>
    <dataValidation type="decimal" operator="greaterThan" allowBlank="1" showInputMessage="1" showErrorMessage="1" sqref="D748">
      <formula1>0</formula1>
    </dataValidation>
    <dataValidation type="decimal" operator="greaterThan" allowBlank="1" showInputMessage="1" showErrorMessage="1" sqref="E748">
      <formula1>0</formula1>
    </dataValidation>
    <dataValidation type="whole" operator="greaterThan" allowBlank="1" showInputMessage="1" showErrorMessage="1" sqref="A749">
      <formula1>0</formula1>
    </dataValidation>
    <dataValidation type="list" allowBlank="1" showInputMessage="1" showErrorMessage="1" sqref="C749">
      <formula1>UnidadesList</formula1>
    </dataValidation>
    <dataValidation type="decimal" operator="greaterThan" allowBlank="1" showInputMessage="1" showErrorMessage="1" sqref="D749">
      <formula1>0</formula1>
    </dataValidation>
    <dataValidation type="decimal" operator="greaterThan" allowBlank="1" showInputMessage="1" showErrorMessage="1" sqref="E749">
      <formula1>0</formula1>
    </dataValidation>
    <dataValidation type="whole" operator="greaterThan" allowBlank="1" showInputMessage="1" showErrorMessage="1" sqref="A750">
      <formula1>0</formula1>
    </dataValidation>
    <dataValidation type="list" allowBlank="1" showInputMessage="1" showErrorMessage="1" sqref="C750">
      <formula1>UnidadesList</formula1>
    </dataValidation>
    <dataValidation type="decimal" operator="greaterThan" allowBlank="1" showInputMessage="1" showErrorMessage="1" sqref="D750">
      <formula1>0</formula1>
    </dataValidation>
    <dataValidation type="decimal" operator="greaterThan" allowBlank="1" showInputMessage="1" showErrorMessage="1" sqref="E750">
      <formula1>0</formula1>
    </dataValidation>
    <dataValidation type="whole" operator="greaterThan" allowBlank="1" showInputMessage="1" showErrorMessage="1" sqref="A751">
      <formula1>0</formula1>
    </dataValidation>
    <dataValidation type="list" allowBlank="1" showInputMessage="1" showErrorMessage="1" sqref="C751">
      <formula1>UnidadesList</formula1>
    </dataValidation>
    <dataValidation type="decimal" operator="greaterThan" allowBlank="1" showInputMessage="1" showErrorMessage="1" sqref="D751">
      <formula1>0</formula1>
    </dataValidation>
    <dataValidation type="decimal" operator="greaterThan" allowBlank="1" showInputMessage="1" showErrorMessage="1" sqref="E751">
      <formula1>0</formula1>
    </dataValidation>
    <dataValidation type="whole" operator="greaterThan" allowBlank="1" showInputMessage="1" showErrorMessage="1" sqref="A752">
      <formula1>0</formula1>
    </dataValidation>
    <dataValidation type="list" allowBlank="1" showInputMessage="1" showErrorMessage="1" sqref="C752">
      <formula1>UnidadesList</formula1>
    </dataValidation>
    <dataValidation type="decimal" operator="greaterThan" allowBlank="1" showInputMessage="1" showErrorMessage="1" sqref="D752">
      <formula1>0</formula1>
    </dataValidation>
    <dataValidation type="decimal" operator="greaterThan" allowBlank="1" showInputMessage="1" showErrorMessage="1" sqref="E752">
      <formula1>0</formula1>
    </dataValidation>
    <dataValidation type="whole" operator="greaterThan" allowBlank="1" showInputMessage="1" showErrorMessage="1" sqref="A753">
      <formula1>0</formula1>
    </dataValidation>
    <dataValidation type="list" allowBlank="1" showInputMessage="1" showErrorMessage="1" sqref="C753">
      <formula1>UnidadesList</formula1>
    </dataValidation>
    <dataValidation type="decimal" operator="greaterThan" allowBlank="1" showInputMessage="1" showErrorMessage="1" sqref="D753">
      <formula1>0</formula1>
    </dataValidation>
    <dataValidation type="decimal" operator="greaterThan" allowBlank="1" showInputMessage="1" showErrorMessage="1" sqref="E753">
      <formula1>0</formula1>
    </dataValidation>
    <dataValidation type="date" operator="lessThanOrEqual" allowBlank="1" showInputMessage="1" showErrorMessage="1" sqref="C758">
      <formula1>C760</formula1>
    </dataValidation>
    <dataValidation type="date" operator="greaterThanOrEqual" allowBlank="1" showInputMessage="1" showErrorMessage="1" sqref="C760">
      <formula1>C758</formula1>
    </dataValidation>
    <dataValidation type="list" allowBlank="1" showInputMessage="1" showErrorMessage="1" sqref="F7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64">
      <formula1>0</formula1>
    </dataValidation>
    <dataValidation type="list" allowBlank="1" showInputMessage="1" showErrorMessage="1" sqref="C764">
      <formula1>UnidadesList</formula1>
    </dataValidation>
    <dataValidation type="decimal" operator="greaterThan" allowBlank="1" showInputMessage="1" showErrorMessage="1" sqref="D764">
      <formula1>0</formula1>
    </dataValidation>
    <dataValidation type="decimal" operator="greaterThan" allowBlank="1" showInputMessage="1" showErrorMessage="1" sqref="E764">
      <formula1>0</formula1>
    </dataValidation>
    <dataValidation type="whole" operator="greaterThan" allowBlank="1" showInputMessage="1" showErrorMessage="1" sqref="A765">
      <formula1>0</formula1>
    </dataValidation>
    <dataValidation type="list" allowBlank="1" showInputMessage="1" showErrorMessage="1" sqref="C765">
      <formula1>UnidadesList</formula1>
    </dataValidation>
    <dataValidation type="decimal" operator="greaterThan" allowBlank="1" showInputMessage="1" showErrorMessage="1" sqref="D765">
      <formula1>0</formula1>
    </dataValidation>
    <dataValidation type="decimal" operator="greaterThan" allowBlank="1" showInputMessage="1" showErrorMessage="1" sqref="E765">
      <formula1>0</formula1>
    </dataValidation>
    <dataValidation type="whole" operator="greaterThan" allowBlank="1" showInputMessage="1" showErrorMessage="1" sqref="A766">
      <formula1>0</formula1>
    </dataValidation>
    <dataValidation type="list" allowBlank="1" showInputMessage="1" showErrorMessage="1" sqref="C766">
      <formula1>UnidadesList</formula1>
    </dataValidation>
    <dataValidation type="decimal" operator="greaterThan" allowBlank="1" showInputMessage="1" showErrorMessage="1" sqref="D766">
      <formula1>0</formula1>
    </dataValidation>
    <dataValidation type="decimal" operator="greaterThan" allowBlank="1" showInputMessage="1" showErrorMessage="1" sqref="E766">
      <formula1>0</formula1>
    </dataValidation>
    <dataValidation type="whole" operator="greaterThan" allowBlank="1" showInputMessage="1" showErrorMessage="1" sqref="A767">
      <formula1>0</formula1>
    </dataValidation>
    <dataValidation type="list" allowBlank="1" showInputMessage="1" showErrorMessage="1" sqref="C767">
      <formula1>UnidadesList</formula1>
    </dataValidation>
    <dataValidation type="decimal" operator="greaterThan" allowBlank="1" showInputMessage="1" showErrorMessage="1" sqref="D767">
      <formula1>0</formula1>
    </dataValidation>
    <dataValidation type="decimal" operator="greaterThan" allowBlank="1" showInputMessage="1" showErrorMessage="1" sqref="E767">
      <formula1>0</formula1>
    </dataValidation>
    <dataValidation type="whole" operator="greaterThan" allowBlank="1" showInputMessage="1" showErrorMessage="1" sqref="A768">
      <formula1>0</formula1>
    </dataValidation>
    <dataValidation type="list" allowBlank="1" showInputMessage="1" showErrorMessage="1" sqref="C768">
      <formula1>UnidadesList</formula1>
    </dataValidation>
    <dataValidation type="decimal" operator="greaterThan" allowBlank="1" showInputMessage="1" showErrorMessage="1" sqref="D768">
      <formula1>0</formula1>
    </dataValidation>
    <dataValidation type="decimal" operator="greaterThan" allowBlank="1" showInputMessage="1" showErrorMessage="1" sqref="E768">
      <formula1>0</formula1>
    </dataValidation>
    <dataValidation type="whole" operator="greaterThan" allowBlank="1" showInputMessage="1" showErrorMessage="1" sqref="A769">
      <formula1>0</formula1>
    </dataValidation>
    <dataValidation type="list" allowBlank="1" showInputMessage="1" showErrorMessage="1" sqref="C769">
      <formula1>UnidadesList</formula1>
    </dataValidation>
    <dataValidation type="decimal" operator="greaterThan" allowBlank="1" showInputMessage="1" showErrorMessage="1" sqref="D769">
      <formula1>0</formula1>
    </dataValidation>
    <dataValidation type="decimal" operator="greaterThan" allowBlank="1" showInputMessage="1" showErrorMessage="1" sqref="E769">
      <formula1>0</formula1>
    </dataValidation>
    <dataValidation type="whole" operator="greaterThan" allowBlank="1" showInputMessage="1" showErrorMessage="1" sqref="A770">
      <formula1>0</formula1>
    </dataValidation>
    <dataValidation type="list" allowBlank="1" showInputMessage="1" showErrorMessage="1" sqref="C770">
      <formula1>UnidadesList</formula1>
    </dataValidation>
    <dataValidation type="decimal" operator="greaterThan" allowBlank="1" showInputMessage="1" showErrorMessage="1" sqref="D770">
      <formula1>0</formula1>
    </dataValidation>
    <dataValidation type="decimal" operator="greaterThan" allowBlank="1" showInputMessage="1" showErrorMessage="1" sqref="E770">
      <formula1>0</formula1>
    </dataValidation>
    <dataValidation type="whole" operator="greaterThan" allowBlank="1" showInputMessage="1" showErrorMessage="1" sqref="A771">
      <formula1>0</formula1>
    </dataValidation>
    <dataValidation type="list" allowBlank="1" showInputMessage="1" showErrorMessage="1" sqref="C771">
      <formula1>UnidadesList</formula1>
    </dataValidation>
    <dataValidation type="decimal" operator="greaterThan" allowBlank="1" showInputMessage="1" showErrorMessage="1" sqref="D771">
      <formula1>0</formula1>
    </dataValidation>
    <dataValidation type="decimal" operator="greaterThan" allowBlank="1" showInputMessage="1" showErrorMessage="1" sqref="E771">
      <formula1>0</formula1>
    </dataValidation>
    <dataValidation type="date" operator="lessThanOrEqual" allowBlank="1" showInputMessage="1" showErrorMessage="1" sqref="C776">
      <formula1>C778</formula1>
    </dataValidation>
    <dataValidation type="date" operator="greaterThanOrEqual" allowBlank="1" showInputMessage="1" showErrorMessage="1" sqref="C778">
      <formula1>C776</formula1>
    </dataValidation>
    <dataValidation type="list" allowBlank="1" showInputMessage="1" showErrorMessage="1" sqref="F7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82">
      <formula1>0</formula1>
    </dataValidation>
    <dataValidation type="list" allowBlank="1" showInputMessage="1" showErrorMessage="1" sqref="C782">
      <formula1>UnidadesList</formula1>
    </dataValidation>
    <dataValidation type="decimal" operator="greaterThan" allowBlank="1" showInputMessage="1" showErrorMessage="1" sqref="D782">
      <formula1>0</formula1>
    </dataValidation>
    <dataValidation type="decimal" operator="greaterThan" allowBlank="1" showInputMessage="1" showErrorMessage="1" sqref="E782">
      <formula1>0</formula1>
    </dataValidation>
    <dataValidation type="whole" operator="greaterThan" allowBlank="1" showInputMessage="1" showErrorMessage="1" sqref="A783">
      <formula1>0</formula1>
    </dataValidation>
    <dataValidation type="list" allowBlank="1" showInputMessage="1" showErrorMessage="1" sqref="C783">
      <formula1>UnidadesList</formula1>
    </dataValidation>
    <dataValidation type="decimal" operator="greaterThan" allowBlank="1" showInputMessage="1" showErrorMessage="1" sqref="D783">
      <formula1>0</formula1>
    </dataValidation>
    <dataValidation type="decimal" operator="greaterThan" allowBlank="1" showInputMessage="1" showErrorMessage="1" sqref="E783">
      <formula1>0</formula1>
    </dataValidation>
    <dataValidation type="whole" operator="greaterThan" allowBlank="1" showInputMessage="1" showErrorMessage="1" sqref="A784">
      <formula1>0</formula1>
    </dataValidation>
    <dataValidation type="list" allowBlank="1" showInputMessage="1" showErrorMessage="1" sqref="C784">
      <formula1>UnidadesList</formula1>
    </dataValidation>
    <dataValidation type="decimal" operator="greaterThan" allowBlank="1" showInputMessage="1" showErrorMessage="1" sqref="D784">
      <formula1>0</formula1>
    </dataValidation>
    <dataValidation type="decimal" operator="greaterThan" allowBlank="1" showInputMessage="1" showErrorMessage="1" sqref="E784">
      <formula1>0</formula1>
    </dataValidation>
    <dataValidation type="whole" operator="greaterThan" allowBlank="1" showInputMessage="1" showErrorMessage="1" sqref="A785">
      <formula1>0</formula1>
    </dataValidation>
    <dataValidation type="list" allowBlank="1" showInputMessage="1" showErrorMessage="1" sqref="C785">
      <formula1>UnidadesList</formula1>
    </dataValidation>
    <dataValidation type="decimal" operator="greaterThan" allowBlank="1" showInputMessage="1" showErrorMessage="1" sqref="D785">
      <formula1>0</formula1>
    </dataValidation>
    <dataValidation type="decimal" operator="greaterThan" allowBlank="1" showInputMessage="1" showErrorMessage="1" sqref="E785">
      <formula1>0</formula1>
    </dataValidation>
    <dataValidation type="whole" operator="greaterThan" allowBlank="1" showInputMessage="1" showErrorMessage="1" sqref="A786">
      <formula1>0</formula1>
    </dataValidation>
    <dataValidation type="list" allowBlank="1" showInputMessage="1" showErrorMessage="1" sqref="C786">
      <formula1>UnidadesList</formula1>
    </dataValidation>
    <dataValidation type="decimal" operator="greaterThan" allowBlank="1" showInputMessage="1" showErrorMessage="1" sqref="D786">
      <formula1>0</formula1>
    </dataValidation>
    <dataValidation type="decimal" operator="greaterThan" allowBlank="1" showInputMessage="1" showErrorMessage="1" sqref="E786">
      <formula1>0</formula1>
    </dataValidation>
    <dataValidation type="whole" operator="greaterThan" allowBlank="1" showInputMessage="1" showErrorMessage="1" sqref="A787">
      <formula1>0</formula1>
    </dataValidation>
    <dataValidation type="list" allowBlank="1" showInputMessage="1" showErrorMessage="1" sqref="C787">
      <formula1>UnidadesList</formula1>
    </dataValidation>
    <dataValidation type="decimal" operator="greaterThan" allowBlank="1" showInputMessage="1" showErrorMessage="1" sqref="D787">
      <formula1>0</formula1>
    </dataValidation>
    <dataValidation type="decimal" operator="greaterThan" allowBlank="1" showInputMessage="1" showErrorMessage="1" sqref="E787">
      <formula1>0</formula1>
    </dataValidation>
    <dataValidation type="date" operator="lessThanOrEqual" allowBlank="1" showInputMessage="1" showErrorMessage="1" sqref="C792">
      <formula1>C794</formula1>
    </dataValidation>
    <dataValidation type="date" operator="greaterThanOrEqual" allowBlank="1" showInputMessage="1" showErrorMessage="1" sqref="C794">
      <formula1>C792</formula1>
    </dataValidation>
    <dataValidation type="list" allowBlank="1" showInputMessage="1" showErrorMessage="1" sqref="F79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9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9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9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98">
      <formula1>0</formula1>
    </dataValidation>
    <dataValidation type="list" allowBlank="1" showInputMessage="1" showErrorMessage="1" sqref="C798">
      <formula1>UnidadesList</formula1>
    </dataValidation>
    <dataValidation type="decimal" operator="greaterThan" allowBlank="1" showInputMessage="1" showErrorMessage="1" sqref="D798">
      <formula1>0</formula1>
    </dataValidation>
    <dataValidation type="decimal" operator="greaterThan" allowBlank="1" showInputMessage="1" showErrorMessage="1" sqref="E798">
      <formula1>0</formula1>
    </dataValidation>
    <dataValidation type="whole" operator="greaterThan" allowBlank="1" showInputMessage="1" showErrorMessage="1" sqref="A799">
      <formula1>0</formula1>
    </dataValidation>
    <dataValidation type="list" allowBlank="1" showInputMessage="1" showErrorMessage="1" sqref="C799">
      <formula1>UnidadesList</formula1>
    </dataValidation>
    <dataValidation type="decimal" operator="greaterThan" allowBlank="1" showInputMessage="1" showErrorMessage="1" sqref="D799">
      <formula1>0</formula1>
    </dataValidation>
    <dataValidation type="decimal" operator="greaterThan" allowBlank="1" showInputMessage="1" showErrorMessage="1" sqref="E799">
      <formula1>0</formula1>
    </dataValidation>
    <dataValidation type="whole" operator="greaterThan" allowBlank="1" showInputMessage="1" showErrorMessage="1" sqref="A800">
      <formula1>0</formula1>
    </dataValidation>
    <dataValidation type="list" allowBlank="1" showInputMessage="1" showErrorMessage="1" sqref="C800">
      <formula1>UnidadesList</formula1>
    </dataValidation>
    <dataValidation type="decimal" operator="greaterThan" allowBlank="1" showInputMessage="1" showErrorMessage="1" sqref="D800">
      <formula1>0</formula1>
    </dataValidation>
    <dataValidation type="decimal" operator="greaterThan" allowBlank="1" showInputMessage="1" showErrorMessage="1" sqref="E800">
      <formula1>0</formula1>
    </dataValidation>
    <dataValidation type="whole" operator="greaterThan" allowBlank="1" showInputMessage="1" showErrorMessage="1" sqref="A801">
      <formula1>0</formula1>
    </dataValidation>
    <dataValidation type="list" allowBlank="1" showInputMessage="1" showErrorMessage="1" sqref="C801">
      <formula1>UnidadesList</formula1>
    </dataValidation>
    <dataValidation type="decimal" operator="greaterThan" allowBlank="1" showInputMessage="1" showErrorMessage="1" sqref="D801">
      <formula1>0</formula1>
    </dataValidation>
    <dataValidation type="decimal" operator="greaterThan" allowBlank="1" showInputMessage="1" showErrorMessage="1" sqref="E801">
      <formula1>0</formula1>
    </dataValidation>
    <dataValidation type="whole" operator="greaterThan" allowBlank="1" showInputMessage="1" showErrorMessage="1" sqref="A802">
      <formula1>0</formula1>
    </dataValidation>
    <dataValidation type="list" allowBlank="1" showInputMessage="1" showErrorMessage="1" sqref="C802">
      <formula1>UnidadesList</formula1>
    </dataValidation>
    <dataValidation type="decimal" operator="greaterThan" allowBlank="1" showInputMessage="1" showErrorMessage="1" sqref="D802">
      <formula1>0</formula1>
    </dataValidation>
    <dataValidation type="decimal" operator="greaterThan" allowBlank="1" showInputMessage="1" showErrorMessage="1" sqref="E802">
      <formula1>0</formula1>
    </dataValidation>
    <dataValidation type="whole" operator="greaterThan" allowBlank="1" showInputMessage="1" showErrorMessage="1" sqref="A803">
      <formula1>0</formula1>
    </dataValidation>
    <dataValidation type="list" allowBlank="1" showInputMessage="1" showErrorMessage="1" sqref="C803">
      <formula1>UnidadesList</formula1>
    </dataValidation>
    <dataValidation type="decimal" operator="greaterThan" allowBlank="1" showInputMessage="1" showErrorMessage="1" sqref="D803">
      <formula1>0</formula1>
    </dataValidation>
    <dataValidation type="decimal" operator="greaterThan" allowBlank="1" showInputMessage="1" showErrorMessage="1" sqref="E803">
      <formula1>0</formula1>
    </dataValidation>
    <dataValidation type="whole" operator="greaterThan" allowBlank="1" showInputMessage="1" showErrorMessage="1" sqref="A804">
      <formula1>0</formula1>
    </dataValidation>
    <dataValidation type="list" allowBlank="1" showInputMessage="1" showErrorMessage="1" sqref="C804">
      <formula1>UnidadesList</formula1>
    </dataValidation>
    <dataValidation type="decimal" operator="greaterThan" allowBlank="1" showInputMessage="1" showErrorMessage="1" sqref="D804">
      <formula1>0</formula1>
    </dataValidation>
    <dataValidation type="decimal" operator="greaterThan" allowBlank="1" showInputMessage="1" showErrorMessage="1" sqref="E804">
      <formula1>0</formula1>
    </dataValidation>
    <dataValidation type="whole" operator="greaterThan" allowBlank="1" showInputMessage="1" showErrorMessage="1" sqref="A805">
      <formula1>0</formula1>
    </dataValidation>
    <dataValidation type="list" allowBlank="1" showInputMessage="1" showErrorMessage="1" sqref="C805">
      <formula1>UnidadesList</formula1>
    </dataValidation>
    <dataValidation type="decimal" operator="greaterThan" allowBlank="1" showInputMessage="1" showErrorMessage="1" sqref="D805">
      <formula1>0</formula1>
    </dataValidation>
    <dataValidation type="decimal" operator="greaterThan" allowBlank="1" showInputMessage="1" showErrorMessage="1" sqref="E805">
      <formula1>0</formula1>
    </dataValidation>
    <dataValidation type="whole" operator="greaterThan" allowBlank="1" showInputMessage="1" showErrorMessage="1" sqref="A806">
      <formula1>0</formula1>
    </dataValidation>
    <dataValidation type="list" allowBlank="1" showInputMessage="1" showErrorMessage="1" sqref="C806">
      <formula1>UnidadesList</formula1>
    </dataValidation>
    <dataValidation type="decimal" operator="greaterThan" allowBlank="1" showInputMessage="1" showErrorMessage="1" sqref="D806">
      <formula1>0</formula1>
    </dataValidation>
    <dataValidation type="decimal" operator="greaterThan" allowBlank="1" showInputMessage="1" showErrorMessage="1" sqref="E806">
      <formula1>0</formula1>
    </dataValidation>
    <dataValidation type="whole" operator="greaterThan" allowBlank="1" showInputMessage="1" showErrorMessage="1" sqref="A807">
      <formula1>0</formula1>
    </dataValidation>
    <dataValidation type="list" allowBlank="1" showInputMessage="1" showErrorMessage="1" sqref="C807">
      <formula1>UnidadesList</formula1>
    </dataValidation>
    <dataValidation type="decimal" operator="greaterThan" allowBlank="1" showInputMessage="1" showErrorMessage="1" sqref="D807">
      <formula1>0</formula1>
    </dataValidation>
    <dataValidation type="decimal" operator="greaterThan" allowBlank="1" showInputMessage="1" showErrorMessage="1" sqref="E807">
      <formula1>0</formula1>
    </dataValidation>
    <dataValidation type="whole" operator="greaterThan" allowBlank="1" showInputMessage="1" showErrorMessage="1" sqref="A808">
      <formula1>0</formula1>
    </dataValidation>
    <dataValidation type="list" allowBlank="1" showInputMessage="1" showErrorMessage="1" sqref="C808">
      <formula1>UnidadesList</formula1>
    </dataValidation>
    <dataValidation type="decimal" operator="greaterThan" allowBlank="1" showInputMessage="1" showErrorMessage="1" sqref="D808">
      <formula1>0</formula1>
    </dataValidation>
    <dataValidation type="decimal" operator="greaterThan" allowBlank="1" showInputMessage="1" showErrorMessage="1" sqref="E808">
      <formula1>0</formula1>
    </dataValidation>
    <dataValidation type="whole" operator="greaterThan" allowBlank="1" showInputMessage="1" showErrorMessage="1" sqref="A809">
      <formula1>0</formula1>
    </dataValidation>
    <dataValidation type="list" allowBlank="1" showInputMessage="1" showErrorMessage="1" sqref="C809">
      <formula1>UnidadesList</formula1>
    </dataValidation>
    <dataValidation type="decimal" operator="greaterThan" allowBlank="1" showInputMessage="1" showErrorMessage="1" sqref="D809">
      <formula1>0</formula1>
    </dataValidation>
    <dataValidation type="decimal" operator="greaterThan" allowBlank="1" showInputMessage="1" showErrorMessage="1" sqref="E809">
      <formula1>0</formula1>
    </dataValidation>
    <dataValidation type="whole" operator="greaterThan" allowBlank="1" showInputMessage="1" showErrorMessage="1" sqref="A810">
      <formula1>0</formula1>
    </dataValidation>
    <dataValidation type="list" allowBlank="1" showInputMessage="1" showErrorMessage="1" sqref="C810">
      <formula1>UnidadesList</formula1>
    </dataValidation>
    <dataValidation type="decimal" operator="greaterThan" allowBlank="1" showInputMessage="1" showErrorMessage="1" sqref="D810">
      <formula1>0</formula1>
    </dataValidation>
    <dataValidation type="decimal" operator="greaterThan" allowBlank="1" showInputMessage="1" showErrorMessage="1" sqref="E810">
      <formula1>0</formula1>
    </dataValidation>
    <dataValidation type="whole" operator="greaterThan" allowBlank="1" showInputMessage="1" showErrorMessage="1" sqref="A811">
      <formula1>0</formula1>
    </dataValidation>
    <dataValidation type="list" allowBlank="1" showInputMessage="1" showErrorMessage="1" sqref="C811">
      <formula1>UnidadesList</formula1>
    </dataValidation>
    <dataValidation type="decimal" operator="greaterThan" allowBlank="1" showInputMessage="1" showErrorMessage="1" sqref="D811">
      <formula1>0</formula1>
    </dataValidation>
    <dataValidation type="decimal" operator="greaterThan" allowBlank="1" showInputMessage="1" showErrorMessage="1" sqref="E811">
      <formula1>0</formula1>
    </dataValidation>
    <dataValidation type="whole" operator="greaterThan" allowBlank="1" showInputMessage="1" showErrorMessage="1" sqref="A812">
      <formula1>0</formula1>
    </dataValidation>
    <dataValidation type="list" allowBlank="1" showInputMessage="1" showErrorMessage="1" sqref="C812">
      <formula1>UnidadesList</formula1>
    </dataValidation>
    <dataValidation type="decimal" operator="greaterThan" allowBlank="1" showInputMessage="1" showErrorMessage="1" sqref="D812">
      <formula1>0</formula1>
    </dataValidation>
    <dataValidation type="decimal" operator="greaterThan" allowBlank="1" showInputMessage="1" showErrorMessage="1" sqref="E812">
      <formula1>0</formula1>
    </dataValidation>
    <dataValidation type="whole" operator="greaterThan" allowBlank="1" showInputMessage="1" showErrorMessage="1" sqref="A813">
      <formula1>0</formula1>
    </dataValidation>
    <dataValidation type="list" allowBlank="1" showInputMessage="1" showErrorMessage="1" sqref="C813">
      <formula1>UnidadesList</formula1>
    </dataValidation>
    <dataValidation type="decimal" operator="greaterThan" allowBlank="1" showInputMessage="1" showErrorMessage="1" sqref="D813">
      <formula1>0</formula1>
    </dataValidation>
    <dataValidation type="decimal" operator="greaterThan" allowBlank="1" showInputMessage="1" showErrorMessage="1" sqref="E813">
      <formula1>0</formula1>
    </dataValidation>
    <dataValidation type="whole" operator="greaterThan" allowBlank="1" showInputMessage="1" showErrorMessage="1" sqref="A814">
      <formula1>0</formula1>
    </dataValidation>
    <dataValidation type="list" allowBlank="1" showInputMessage="1" showErrorMessage="1" sqref="C814">
      <formula1>UnidadesList</formula1>
    </dataValidation>
    <dataValidation type="decimal" operator="greaterThan" allowBlank="1" showInputMessage="1" showErrorMessage="1" sqref="D814">
      <formula1>0</formula1>
    </dataValidation>
    <dataValidation type="decimal" operator="greaterThan" allowBlank="1" showInputMessage="1" showErrorMessage="1" sqref="E814">
      <formula1>0</formula1>
    </dataValidation>
    <dataValidation type="date" operator="lessThanOrEqual" allowBlank="1" showInputMessage="1" showErrorMessage="1" sqref="C819">
      <formula1>C821</formula1>
    </dataValidation>
    <dataValidation type="date" operator="greaterThanOrEqual" allowBlank="1" showInputMessage="1" showErrorMessage="1" sqref="C821">
      <formula1>C819</formula1>
    </dataValidation>
    <dataValidation type="list" allowBlank="1" showInputMessage="1" showErrorMessage="1" sqref="F81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2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2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2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25">
      <formula1>0</formula1>
    </dataValidation>
    <dataValidation type="list" allowBlank="1" showInputMessage="1" showErrorMessage="1" sqref="C825">
      <formula1>UnidadesList</formula1>
    </dataValidation>
    <dataValidation type="decimal" operator="greaterThan" allowBlank="1" showInputMessage="1" showErrorMessage="1" sqref="D825">
      <formula1>0</formula1>
    </dataValidation>
    <dataValidation type="decimal" operator="greaterThan" allowBlank="1" showInputMessage="1" showErrorMessage="1" sqref="E825">
      <formula1>0</formula1>
    </dataValidation>
    <dataValidation type="whole" operator="greaterThan" allowBlank="1" showInputMessage="1" showErrorMessage="1" sqref="A826">
      <formula1>0</formula1>
    </dataValidation>
    <dataValidation type="list" allowBlank="1" showInputMessage="1" showErrorMessage="1" sqref="C826">
      <formula1>UnidadesList</formula1>
    </dataValidation>
    <dataValidation type="decimal" operator="greaterThan" allowBlank="1" showInputMessage="1" showErrorMessage="1" sqref="D826">
      <formula1>0</formula1>
    </dataValidation>
    <dataValidation type="decimal" operator="greaterThan" allowBlank="1" showInputMessage="1" showErrorMessage="1" sqref="E826">
      <formula1>0</formula1>
    </dataValidation>
    <dataValidation type="whole" operator="greaterThan" allowBlank="1" showInputMessage="1" showErrorMessage="1" sqref="A827">
      <formula1>0</formula1>
    </dataValidation>
    <dataValidation type="list" allowBlank="1" showInputMessage="1" showErrorMessage="1" sqref="C827">
      <formula1>UnidadesList</formula1>
    </dataValidation>
    <dataValidation type="decimal" operator="greaterThan" allowBlank="1" showInputMessage="1" showErrorMessage="1" sqref="D827">
      <formula1>0</formula1>
    </dataValidation>
    <dataValidation type="decimal" operator="greaterThan" allowBlank="1" showInputMessage="1" showErrorMessage="1" sqref="E827">
      <formula1>0</formula1>
    </dataValidation>
    <dataValidation type="whole" operator="greaterThan" allowBlank="1" showInputMessage="1" showErrorMessage="1" sqref="A828">
      <formula1>0</formula1>
    </dataValidation>
    <dataValidation type="list" allowBlank="1" showInputMessage="1" showErrorMessage="1" sqref="C828">
      <formula1>UnidadesList</formula1>
    </dataValidation>
    <dataValidation type="decimal" operator="greaterThan" allowBlank="1" showInputMessage="1" showErrorMessage="1" sqref="D828">
      <formula1>0</formula1>
    </dataValidation>
    <dataValidation type="decimal" operator="greaterThan" allowBlank="1" showInputMessage="1" showErrorMessage="1" sqref="E828">
      <formula1>0</formula1>
    </dataValidation>
    <dataValidation type="whole" operator="greaterThan" allowBlank="1" showInputMessage="1" showErrorMessage="1" sqref="A829">
      <formula1>0</formula1>
    </dataValidation>
    <dataValidation type="list" allowBlank="1" showInputMessage="1" showErrorMessage="1" sqref="C829">
      <formula1>UnidadesList</formula1>
    </dataValidation>
    <dataValidation type="decimal" operator="greaterThan" allowBlank="1" showInputMessage="1" showErrorMessage="1" sqref="D829">
      <formula1>0</formula1>
    </dataValidation>
    <dataValidation type="decimal" operator="greaterThan" allowBlank="1" showInputMessage="1" showErrorMessage="1" sqref="E829">
      <formula1>0</formula1>
    </dataValidation>
    <dataValidation type="whole" operator="greaterThan" allowBlank="1" showInputMessage="1" showErrorMessage="1" sqref="A830">
      <formula1>0</formula1>
    </dataValidation>
    <dataValidation type="list" allowBlank="1" showInputMessage="1" showErrorMessage="1" sqref="C830">
      <formula1>UnidadesList</formula1>
    </dataValidation>
    <dataValidation type="decimal" operator="greaterThan" allowBlank="1" showInputMessage="1" showErrorMessage="1" sqref="D830">
      <formula1>0</formula1>
    </dataValidation>
    <dataValidation type="decimal" operator="greaterThan" allowBlank="1" showInputMessage="1" showErrorMessage="1" sqref="E830">
      <formula1>0</formula1>
    </dataValidation>
    <dataValidation type="whole" operator="greaterThan" allowBlank="1" showInputMessage="1" showErrorMessage="1" sqref="A831">
      <formula1>0</formula1>
    </dataValidation>
    <dataValidation type="list" allowBlank="1" showInputMessage="1" showErrorMessage="1" sqref="C831">
      <formula1>UnidadesList</formula1>
    </dataValidation>
    <dataValidation type="decimal" operator="greaterThan" allowBlank="1" showInputMessage="1" showErrorMessage="1" sqref="D831">
      <formula1>0</formula1>
    </dataValidation>
    <dataValidation type="decimal" operator="greaterThan" allowBlank="1" showInputMessage="1" showErrorMessage="1" sqref="E831">
      <formula1>0</formula1>
    </dataValidation>
    <dataValidation type="whole" operator="greaterThan" allowBlank="1" showInputMessage="1" showErrorMessage="1" sqref="A832">
      <formula1>0</formula1>
    </dataValidation>
    <dataValidation type="list" allowBlank="1" showInputMessage="1" showErrorMessage="1" sqref="C832">
      <formula1>UnidadesList</formula1>
    </dataValidation>
    <dataValidation type="decimal" operator="greaterThan" allowBlank="1" showInputMessage="1" showErrorMessage="1" sqref="D832">
      <formula1>0</formula1>
    </dataValidation>
    <dataValidation type="decimal" operator="greaterThan" allowBlank="1" showInputMessage="1" showErrorMessage="1" sqref="E832">
      <formula1>0</formula1>
    </dataValidation>
    <dataValidation type="date" operator="lessThanOrEqual" allowBlank="1" showInputMessage="1" showErrorMessage="1" sqref="C837">
      <formula1>C839</formula1>
    </dataValidation>
    <dataValidation type="date" operator="greaterThanOrEqual" allowBlank="1" showInputMessage="1" showErrorMessage="1" sqref="C839">
      <formula1>C837</formula1>
    </dataValidation>
    <dataValidation type="list" allowBlank="1" showInputMessage="1" showErrorMessage="1" sqref="F83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3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3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3">
      <formula1>0</formula1>
    </dataValidation>
    <dataValidation type="list" allowBlank="1" showInputMessage="1" showErrorMessage="1" sqref="C843">
      <formula1>UnidadesList</formula1>
    </dataValidation>
    <dataValidation type="decimal" operator="greaterThan" allowBlank="1" showInputMessage="1" showErrorMessage="1" sqref="D843">
      <formula1>0</formula1>
    </dataValidation>
    <dataValidation type="decimal" operator="greaterThan" allowBlank="1" showInputMessage="1" showErrorMessage="1" sqref="E843">
      <formula1>0</formula1>
    </dataValidation>
    <dataValidation type="whole" operator="greaterThan" allowBlank="1" showInputMessage="1" showErrorMessage="1" sqref="A844">
      <formula1>0</formula1>
    </dataValidation>
    <dataValidation type="list" allowBlank="1" showInputMessage="1" showErrorMessage="1" sqref="C844">
      <formula1>UnidadesList</formula1>
    </dataValidation>
    <dataValidation type="decimal" operator="greaterThan" allowBlank="1" showInputMessage="1" showErrorMessage="1" sqref="D844">
      <formula1>0</formula1>
    </dataValidation>
    <dataValidation type="decimal" operator="greaterThan" allowBlank="1" showInputMessage="1" showErrorMessage="1" sqref="E844">
      <formula1>0</formula1>
    </dataValidation>
    <dataValidation type="whole" operator="greaterThan" allowBlank="1" showInputMessage="1" showErrorMessage="1" sqref="A845">
      <formula1>0</formula1>
    </dataValidation>
    <dataValidation type="list" allowBlank="1" showInputMessage="1" showErrorMessage="1" sqref="C845">
      <formula1>UnidadesList</formula1>
    </dataValidation>
    <dataValidation type="decimal" operator="greaterThan" allowBlank="1" showInputMessage="1" showErrorMessage="1" sqref="D845">
      <formula1>0</formula1>
    </dataValidation>
    <dataValidation type="decimal" operator="greaterThan" allowBlank="1" showInputMessage="1" showErrorMessage="1" sqref="E845">
      <formula1>0</formula1>
    </dataValidation>
    <dataValidation type="whole" operator="greaterThan" allowBlank="1" showInputMessage="1" showErrorMessage="1" sqref="A846">
      <formula1>0</formula1>
    </dataValidation>
    <dataValidation type="list" allowBlank="1" showInputMessage="1" showErrorMessage="1" sqref="C846">
      <formula1>UnidadesList</formula1>
    </dataValidation>
    <dataValidation type="decimal" operator="greaterThan" allowBlank="1" showInputMessage="1" showErrorMessage="1" sqref="D846">
      <formula1>0</formula1>
    </dataValidation>
    <dataValidation type="decimal" operator="greaterThan" allowBlank="1" showInputMessage="1" showErrorMessage="1" sqref="E846">
      <formula1>0</formula1>
    </dataValidation>
    <dataValidation type="whole" operator="greaterThan" allowBlank="1" showInputMessage="1" showErrorMessage="1" sqref="A847">
      <formula1>0</formula1>
    </dataValidation>
    <dataValidation type="list" allowBlank="1" showInputMessage="1" showErrorMessage="1" sqref="C847">
      <formula1>UnidadesList</formula1>
    </dataValidation>
    <dataValidation type="decimal" operator="greaterThan" allowBlank="1" showInputMessage="1" showErrorMessage="1" sqref="D847">
      <formula1>0</formula1>
    </dataValidation>
    <dataValidation type="decimal" operator="greaterThan" allowBlank="1" showInputMessage="1" showErrorMessage="1" sqref="E847">
      <formula1>0</formula1>
    </dataValidation>
    <dataValidation type="whole" operator="greaterThan" allowBlank="1" showInputMessage="1" showErrorMessage="1" sqref="A848">
      <formula1>0</formula1>
    </dataValidation>
    <dataValidation type="list" allowBlank="1" showInputMessage="1" showErrorMessage="1" sqref="C848">
      <formula1>UnidadesList</formula1>
    </dataValidation>
    <dataValidation type="decimal" operator="greaterThan" allowBlank="1" showInputMessage="1" showErrorMessage="1" sqref="D848">
      <formula1>0</formula1>
    </dataValidation>
    <dataValidation type="decimal" operator="greaterThan" allowBlank="1" showInputMessage="1" showErrorMessage="1" sqref="E848">
      <formula1>0</formula1>
    </dataValidation>
    <dataValidation type="whole" operator="greaterThan" allowBlank="1" showInputMessage="1" showErrorMessage="1" sqref="A849">
      <formula1>0</formula1>
    </dataValidation>
    <dataValidation type="list" allowBlank="1" showInputMessage="1" showErrorMessage="1" sqref="C849">
      <formula1>UnidadesList</formula1>
    </dataValidation>
    <dataValidation type="decimal" operator="greaterThan" allowBlank="1" showInputMessage="1" showErrorMessage="1" sqref="D849">
      <formula1>0</formula1>
    </dataValidation>
    <dataValidation type="decimal" operator="greaterThan" allowBlank="1" showInputMessage="1" showErrorMessage="1" sqref="E849">
      <formula1>0</formula1>
    </dataValidation>
    <dataValidation type="whole" operator="greaterThan" allowBlank="1" showInputMessage="1" showErrorMessage="1" sqref="A850">
      <formula1>0</formula1>
    </dataValidation>
    <dataValidation type="list" allowBlank="1" showInputMessage="1" showErrorMessage="1" sqref="C850">
      <formula1>UnidadesList</formula1>
    </dataValidation>
    <dataValidation type="decimal" operator="greaterThan" allowBlank="1" showInputMessage="1" showErrorMessage="1" sqref="D850">
      <formula1>0</formula1>
    </dataValidation>
    <dataValidation type="decimal" operator="greaterThan" allowBlank="1" showInputMessage="1" showErrorMessage="1" sqref="E850">
      <formula1>0</formula1>
    </dataValidation>
    <dataValidation type="whole" operator="greaterThan" allowBlank="1" showInputMessage="1" showErrorMessage="1" sqref="A851">
      <formula1>0</formula1>
    </dataValidation>
    <dataValidation type="list" allowBlank="1" showInputMessage="1" showErrorMessage="1" sqref="C851">
      <formula1>UnidadesList</formula1>
    </dataValidation>
    <dataValidation type="decimal" operator="greaterThan" allowBlank="1" showInputMessage="1" showErrorMessage="1" sqref="D851">
      <formula1>0</formula1>
    </dataValidation>
    <dataValidation type="decimal" operator="greaterThan" allowBlank="1" showInputMessage="1" showErrorMessage="1" sqref="E851">
      <formula1>0</formula1>
    </dataValidation>
    <dataValidation type="whole" operator="greaterThan" allowBlank="1" showInputMessage="1" showErrorMessage="1" sqref="A852">
      <formula1>0</formula1>
    </dataValidation>
    <dataValidation type="list" allowBlank="1" showInputMessage="1" showErrorMessage="1" sqref="C852">
      <formula1>UnidadesList</formula1>
    </dataValidation>
    <dataValidation type="decimal" operator="greaterThan" allowBlank="1" showInputMessage="1" showErrorMessage="1" sqref="D852">
      <formula1>0</formula1>
    </dataValidation>
    <dataValidation type="decimal" operator="greaterThan" allowBlank="1" showInputMessage="1" showErrorMessage="1" sqref="E852">
      <formula1>0</formula1>
    </dataValidation>
    <dataValidation type="whole" operator="greaterThan" allowBlank="1" showInputMessage="1" showErrorMessage="1" sqref="A853">
      <formula1>0</formula1>
    </dataValidation>
    <dataValidation type="list" allowBlank="1" showInputMessage="1" showErrorMessage="1" sqref="C853">
      <formula1>UnidadesList</formula1>
    </dataValidation>
    <dataValidation type="decimal" operator="greaterThan" allowBlank="1" showInputMessage="1" showErrorMessage="1" sqref="D853">
      <formula1>0</formula1>
    </dataValidation>
    <dataValidation type="decimal" operator="greaterThan" allowBlank="1" showInputMessage="1" showErrorMessage="1" sqref="E853">
      <formula1>0</formula1>
    </dataValidation>
    <dataValidation type="date" operator="lessThanOrEqual" allowBlank="1" showInputMessage="1" showErrorMessage="1" sqref="C858">
      <formula1>C860</formula1>
    </dataValidation>
    <dataValidation type="date" operator="greaterThanOrEqual" allowBlank="1" showInputMessage="1" showErrorMessage="1" sqref="C860">
      <formula1>C858</formula1>
    </dataValidation>
    <dataValidation type="list" allowBlank="1" showInputMessage="1" showErrorMessage="1" sqref="F8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64">
      <formula1>0</formula1>
    </dataValidation>
    <dataValidation type="list" allowBlank="1" showInputMessage="1" showErrorMessage="1" sqref="C864">
      <formula1>UnidadesList</formula1>
    </dataValidation>
    <dataValidation type="decimal" operator="greaterThan" allowBlank="1" showInputMessage="1" showErrorMessage="1" sqref="D864">
      <formula1>0</formula1>
    </dataValidation>
    <dataValidation type="decimal" operator="greaterThan" allowBlank="1" showInputMessage="1" showErrorMessage="1" sqref="E864">
      <formula1>0</formula1>
    </dataValidation>
    <dataValidation type="whole" operator="greaterThan" allowBlank="1" showInputMessage="1" showErrorMessage="1" sqref="A865">
      <formula1>0</formula1>
    </dataValidation>
    <dataValidation type="list" allowBlank="1" showInputMessage="1" showErrorMessage="1" sqref="C865">
      <formula1>UnidadesList</formula1>
    </dataValidation>
    <dataValidation type="decimal" operator="greaterThan" allowBlank="1" showInputMessage="1" showErrorMessage="1" sqref="D865">
      <formula1>0</formula1>
    </dataValidation>
    <dataValidation type="decimal" operator="greaterThan" allowBlank="1" showInputMessage="1" showErrorMessage="1" sqref="E865">
      <formula1>0</formula1>
    </dataValidation>
    <dataValidation type="whole" operator="greaterThan" allowBlank="1" showInputMessage="1" showErrorMessage="1" sqref="A866">
      <formula1>0</formula1>
    </dataValidation>
    <dataValidation type="list" allowBlank="1" showInputMessage="1" showErrorMessage="1" sqref="C866">
      <formula1>UnidadesList</formula1>
    </dataValidation>
    <dataValidation type="decimal" operator="greaterThan" allowBlank="1" showInputMessage="1" showErrorMessage="1" sqref="D866">
      <formula1>0</formula1>
    </dataValidation>
    <dataValidation type="decimal" operator="greaterThan" allowBlank="1" showInputMessage="1" showErrorMessage="1" sqref="E866">
      <formula1>0</formula1>
    </dataValidation>
    <dataValidation type="whole" operator="greaterThan" allowBlank="1" showInputMessage="1" showErrorMessage="1" sqref="A867">
      <formula1>0</formula1>
    </dataValidation>
    <dataValidation type="list" allowBlank="1" showInputMessage="1" showErrorMessage="1" sqref="C867">
      <formula1>UnidadesList</formula1>
    </dataValidation>
    <dataValidation type="decimal" operator="greaterThan" allowBlank="1" showInputMessage="1" showErrorMessage="1" sqref="D867">
      <formula1>0</formula1>
    </dataValidation>
    <dataValidation type="decimal" operator="greaterThan" allowBlank="1" showInputMessage="1" showErrorMessage="1" sqref="E867">
      <formula1>0</formula1>
    </dataValidation>
    <dataValidation type="whole" operator="greaterThan" allowBlank="1" showInputMessage="1" showErrorMessage="1" sqref="A868">
      <formula1>0</formula1>
    </dataValidation>
    <dataValidation type="list" allowBlank="1" showInputMessage="1" showErrorMessage="1" sqref="C868">
      <formula1>UnidadesList</formula1>
    </dataValidation>
    <dataValidation type="decimal" operator="greaterThan" allowBlank="1" showInputMessage="1" showErrorMessage="1" sqref="D868">
      <formula1>0</formula1>
    </dataValidation>
    <dataValidation type="decimal" operator="greaterThan" allowBlank="1" showInputMessage="1" showErrorMessage="1" sqref="E868">
      <formula1>0</formula1>
    </dataValidation>
    <dataValidation type="whole" operator="greaterThan" allowBlank="1" showInputMessage="1" showErrorMessage="1" sqref="A869">
      <formula1>0</formula1>
    </dataValidation>
    <dataValidation type="list" allowBlank="1" showInputMessage="1" showErrorMessage="1" sqref="C869">
      <formula1>UnidadesList</formula1>
    </dataValidation>
    <dataValidation type="decimal" operator="greaterThan" allowBlank="1" showInputMessage="1" showErrorMessage="1" sqref="D869">
      <formula1>0</formula1>
    </dataValidation>
    <dataValidation type="decimal" operator="greaterThan" allowBlank="1" showInputMessage="1" showErrorMessage="1" sqref="E869">
      <formula1>0</formula1>
    </dataValidation>
    <dataValidation type="whole" operator="greaterThan" allowBlank="1" showInputMessage="1" showErrorMessage="1" sqref="A870">
      <formula1>0</formula1>
    </dataValidation>
    <dataValidation type="list" allowBlank="1" showInputMessage="1" showErrorMessage="1" sqref="C870">
      <formula1>UnidadesList</formula1>
    </dataValidation>
    <dataValidation type="decimal" operator="greaterThan" allowBlank="1" showInputMessage="1" showErrorMessage="1" sqref="D870">
      <formula1>0</formula1>
    </dataValidation>
    <dataValidation type="decimal" operator="greaterThan" allowBlank="1" showInputMessage="1" showErrorMessage="1" sqref="E870">
      <formula1>0</formula1>
    </dataValidation>
    <dataValidation type="date" operator="lessThanOrEqual" allowBlank="1" showInputMessage="1" showErrorMessage="1" sqref="C875">
      <formula1>C877</formula1>
    </dataValidation>
    <dataValidation type="date" operator="greaterThanOrEqual" allowBlank="1" showInputMessage="1" showErrorMessage="1" sqref="C877">
      <formula1>C875</formula1>
    </dataValidation>
    <dataValidation type="list" allowBlank="1" showInputMessage="1" showErrorMessage="1" sqref="F8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81">
      <formula1>0</formula1>
    </dataValidation>
    <dataValidation type="list" allowBlank="1" showInputMessage="1" showErrorMessage="1" sqref="C881">
      <formula1>UnidadesList</formula1>
    </dataValidation>
    <dataValidation type="decimal" operator="greaterThan" allowBlank="1" showInputMessage="1" showErrorMessage="1" sqref="D881">
      <formula1>0</formula1>
    </dataValidation>
    <dataValidation type="decimal" operator="greaterThan" allowBlank="1" showInputMessage="1" showErrorMessage="1" sqref="E881">
      <formula1>0</formula1>
    </dataValidation>
    <dataValidation type="whole" operator="greaterThan" allowBlank="1" showInputMessage="1" showErrorMessage="1" sqref="A882">
      <formula1>0</formula1>
    </dataValidation>
    <dataValidation type="list" allowBlank="1" showInputMessage="1" showErrorMessage="1" sqref="C882">
      <formula1>UnidadesList</formula1>
    </dataValidation>
    <dataValidation type="decimal" operator="greaterThan" allowBlank="1" showInputMessage="1" showErrorMessage="1" sqref="D882">
      <formula1>0</formula1>
    </dataValidation>
    <dataValidation type="decimal" operator="greaterThan" allowBlank="1" showInputMessage="1" showErrorMessage="1" sqref="E882">
      <formula1>0</formula1>
    </dataValidation>
    <dataValidation type="whole" operator="greaterThan" allowBlank="1" showInputMessage="1" showErrorMessage="1" sqref="A883">
      <formula1>0</formula1>
    </dataValidation>
    <dataValidation type="list" allowBlank="1" showInputMessage="1" showErrorMessage="1" sqref="C883">
      <formula1>UnidadesList</formula1>
    </dataValidation>
    <dataValidation type="decimal" operator="greaterThan" allowBlank="1" showInputMessage="1" showErrorMessage="1" sqref="D883">
      <formula1>0</formula1>
    </dataValidation>
    <dataValidation type="decimal" operator="greaterThan" allowBlank="1" showInputMessage="1" showErrorMessage="1" sqref="E883">
      <formula1>0</formula1>
    </dataValidation>
    <dataValidation type="whole" operator="greaterThan" allowBlank="1" showInputMessage="1" showErrorMessage="1" sqref="A884">
      <formula1>0</formula1>
    </dataValidation>
    <dataValidation type="list" allowBlank="1" showInputMessage="1" showErrorMessage="1" sqref="C884">
      <formula1>UnidadesList</formula1>
    </dataValidation>
    <dataValidation type="decimal" operator="greaterThan" allowBlank="1" showInputMessage="1" showErrorMessage="1" sqref="D884">
      <formula1>0</formula1>
    </dataValidation>
    <dataValidation type="decimal" operator="greaterThan" allowBlank="1" showInputMessage="1" showErrorMessage="1" sqref="E884">
      <formula1>0</formula1>
    </dataValidation>
    <dataValidation type="whole" operator="greaterThan" allowBlank="1" showInputMessage="1" showErrorMessage="1" sqref="A885">
      <formula1>0</formula1>
    </dataValidation>
    <dataValidation type="list" allowBlank="1" showInputMessage="1" showErrorMessage="1" sqref="C885">
      <formula1>UnidadesList</formula1>
    </dataValidation>
    <dataValidation type="decimal" operator="greaterThan" allowBlank="1" showInputMessage="1" showErrorMessage="1" sqref="D885">
      <formula1>0</formula1>
    </dataValidation>
    <dataValidation type="decimal" operator="greaterThan" allowBlank="1" showInputMessage="1" showErrorMessage="1" sqref="E885">
      <formula1>0</formula1>
    </dataValidation>
    <dataValidation type="whole" operator="greaterThan" allowBlank="1" showInputMessage="1" showErrorMessage="1" sqref="A886">
      <formula1>0</formula1>
    </dataValidation>
    <dataValidation type="list" allowBlank="1" showInputMessage="1" showErrorMessage="1" sqref="C886">
      <formula1>UnidadesList</formula1>
    </dataValidation>
    <dataValidation type="decimal" operator="greaterThan" allowBlank="1" showInputMessage="1" showErrorMessage="1" sqref="D886">
      <formula1>0</formula1>
    </dataValidation>
    <dataValidation type="decimal" operator="greaterThan" allowBlank="1" showInputMessage="1" showErrorMessage="1" sqref="E886">
      <formula1>0</formula1>
    </dataValidation>
    <dataValidation type="whole" operator="greaterThan" allowBlank="1" showInputMessage="1" showErrorMessage="1" sqref="A887">
      <formula1>0</formula1>
    </dataValidation>
    <dataValidation type="list" allowBlank="1" showInputMessage="1" showErrorMessage="1" sqref="C887">
      <formula1>UnidadesList</formula1>
    </dataValidation>
    <dataValidation type="decimal" operator="greaterThan" allowBlank="1" showInputMessage="1" showErrorMessage="1" sqref="D887">
      <formula1>0</formula1>
    </dataValidation>
    <dataValidation type="decimal" operator="greaterThan" allowBlank="1" showInputMessage="1" showErrorMessage="1" sqref="E887">
      <formula1>0</formula1>
    </dataValidation>
    <dataValidation type="whole" operator="greaterThan" allowBlank="1" showInputMessage="1" showErrorMessage="1" sqref="A888">
      <formula1>0</formula1>
    </dataValidation>
    <dataValidation type="list" allowBlank="1" showInputMessage="1" showErrorMessage="1" sqref="C888">
      <formula1>UnidadesList</formula1>
    </dataValidation>
    <dataValidation type="decimal" operator="greaterThan" allowBlank="1" showInputMessage="1" showErrorMessage="1" sqref="D888">
      <formula1>0</formula1>
    </dataValidation>
    <dataValidation type="decimal" operator="greaterThan" allowBlank="1" showInputMessage="1" showErrorMessage="1" sqref="E888">
      <formula1>0</formula1>
    </dataValidation>
    <dataValidation type="whole" operator="greaterThan" allowBlank="1" showInputMessage="1" showErrorMessage="1" sqref="A889">
      <formula1>0</formula1>
    </dataValidation>
    <dataValidation type="list" allowBlank="1" showInputMessage="1" showErrorMessage="1" sqref="C889">
      <formula1>UnidadesList</formula1>
    </dataValidation>
    <dataValidation type="decimal" operator="greaterThan" allowBlank="1" showInputMessage="1" showErrorMessage="1" sqref="D889">
      <formula1>0</formula1>
    </dataValidation>
    <dataValidation type="decimal" operator="greaterThan" allowBlank="1" showInputMessage="1" showErrorMessage="1" sqref="E889">
      <formula1>0</formula1>
    </dataValidation>
    <dataValidation type="whole" operator="greaterThan" allowBlank="1" showInputMessage="1" showErrorMessage="1" sqref="A890">
      <formula1>0</formula1>
    </dataValidation>
    <dataValidation type="list" allowBlank="1" showInputMessage="1" showErrorMessage="1" sqref="C890">
      <formula1>UnidadesList</formula1>
    </dataValidation>
    <dataValidation type="decimal" operator="greaterThan" allowBlank="1" showInputMessage="1" showErrorMessage="1" sqref="D890">
      <formula1>0</formula1>
    </dataValidation>
    <dataValidation type="decimal" operator="greaterThan" allowBlank="1" showInputMessage="1" showErrorMessage="1" sqref="E890">
      <formula1>0</formula1>
    </dataValidation>
    <dataValidation type="whole" operator="greaterThan" allowBlank="1" showInputMessage="1" showErrorMessage="1" sqref="A891">
      <formula1>0</formula1>
    </dataValidation>
    <dataValidation type="list" allowBlank="1" showInputMessage="1" showErrorMessage="1" sqref="C891">
      <formula1>UnidadesList</formula1>
    </dataValidation>
    <dataValidation type="decimal" operator="greaterThan" allowBlank="1" showInputMessage="1" showErrorMessage="1" sqref="D891">
      <formula1>0</formula1>
    </dataValidation>
    <dataValidation type="decimal" operator="greaterThan" allowBlank="1" showInputMessage="1" showErrorMessage="1" sqref="E891">
      <formula1>0</formula1>
    </dataValidation>
    <dataValidation type="whole" operator="greaterThan" allowBlank="1" showInputMessage="1" showErrorMessage="1" sqref="A892">
      <formula1>0</formula1>
    </dataValidation>
    <dataValidation type="list" allowBlank="1" showInputMessage="1" showErrorMessage="1" sqref="C892">
      <formula1>UnidadesList</formula1>
    </dataValidation>
    <dataValidation type="decimal" operator="greaterThan" allowBlank="1" showInputMessage="1" showErrorMessage="1" sqref="D892">
      <formula1>0</formula1>
    </dataValidation>
    <dataValidation type="decimal" operator="greaterThan" allowBlank="1" showInputMessage="1" showErrorMessage="1" sqref="E892">
      <formula1>0</formula1>
    </dataValidation>
    <dataValidation type="whole" operator="greaterThan" allowBlank="1" showInputMessage="1" showErrorMessage="1" sqref="A893">
      <formula1>0</formula1>
    </dataValidation>
    <dataValidation type="list" allowBlank="1" showInputMessage="1" showErrorMessage="1" sqref="C893">
      <formula1>UnidadesList</formula1>
    </dataValidation>
    <dataValidation type="decimal" operator="greaterThan" allowBlank="1" showInputMessage="1" showErrorMessage="1" sqref="D893">
      <formula1>0</formula1>
    </dataValidation>
    <dataValidation type="decimal" operator="greaterThan" allowBlank="1" showInputMessage="1" showErrorMessage="1" sqref="E893">
      <formula1>0</formula1>
    </dataValidation>
    <dataValidation type="whole" operator="greaterThan" allowBlank="1" showInputMessage="1" showErrorMessage="1" sqref="A894">
      <formula1>0</formula1>
    </dataValidation>
    <dataValidation type="list" allowBlank="1" showInputMessage="1" showErrorMessage="1" sqref="C894">
      <formula1>UnidadesList</formula1>
    </dataValidation>
    <dataValidation type="decimal" operator="greaterThan" allowBlank="1" showInputMessage="1" showErrorMessage="1" sqref="D894">
      <formula1>0</formula1>
    </dataValidation>
    <dataValidation type="decimal" operator="greaterThan" allowBlank="1" showInputMessage="1" showErrorMessage="1" sqref="E894">
      <formula1>0</formula1>
    </dataValidation>
    <dataValidation type="whole" operator="greaterThan" allowBlank="1" showInputMessage="1" showErrorMessage="1" sqref="A895">
      <formula1>0</formula1>
    </dataValidation>
    <dataValidation type="list" allowBlank="1" showInputMessage="1" showErrorMessage="1" sqref="C895">
      <formula1>UnidadesList</formula1>
    </dataValidation>
    <dataValidation type="decimal" operator="greaterThan" allowBlank="1" showInputMessage="1" showErrorMessage="1" sqref="D895">
      <formula1>0</formula1>
    </dataValidation>
    <dataValidation type="decimal" operator="greaterThan" allowBlank="1" showInputMessage="1" showErrorMessage="1" sqref="E895">
      <formula1>0</formula1>
    </dataValidation>
    <dataValidation type="date" operator="lessThanOrEqual" allowBlank="1" showInputMessage="1" showErrorMessage="1" sqref="C900">
      <formula1>C902</formula1>
    </dataValidation>
    <dataValidation type="date" operator="greaterThanOrEqual" allowBlank="1" showInputMessage="1" showErrorMessage="1" sqref="C902">
      <formula1>C900</formula1>
    </dataValidation>
    <dataValidation type="list" allowBlank="1" showInputMessage="1" showErrorMessage="1" sqref="F90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0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0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0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06">
      <formula1>0</formula1>
    </dataValidation>
    <dataValidation type="list" allowBlank="1" showInputMessage="1" showErrorMessage="1" sqref="C906">
      <formula1>UnidadesList</formula1>
    </dataValidation>
    <dataValidation type="decimal" operator="greaterThan" allowBlank="1" showInputMessage="1" showErrorMessage="1" sqref="D906">
      <formula1>0</formula1>
    </dataValidation>
    <dataValidation type="decimal" operator="greaterThan" allowBlank="1" showInputMessage="1" showErrorMessage="1" sqref="E906">
      <formula1>0</formula1>
    </dataValidation>
    <dataValidation type="whole" operator="greaterThan" allowBlank="1" showInputMessage="1" showErrorMessage="1" sqref="A907">
      <formula1>0</formula1>
    </dataValidation>
    <dataValidation type="list" allowBlank="1" showInputMessage="1" showErrorMessage="1" sqref="C907">
      <formula1>UnidadesList</formula1>
    </dataValidation>
    <dataValidation type="decimal" operator="greaterThan" allowBlank="1" showInputMessage="1" showErrorMessage="1" sqref="D907">
      <formula1>0</formula1>
    </dataValidation>
    <dataValidation type="decimal" operator="greaterThan" allowBlank="1" showInputMessage="1" showErrorMessage="1" sqref="E907">
      <formula1>0</formula1>
    </dataValidation>
    <dataValidation type="whole" operator="greaterThan" allowBlank="1" showInputMessage="1" showErrorMessage="1" sqref="A908">
      <formula1>0</formula1>
    </dataValidation>
    <dataValidation type="list" allowBlank="1" showInputMessage="1" showErrorMessage="1" sqref="C908">
      <formula1>UnidadesList</formula1>
    </dataValidation>
    <dataValidation type="decimal" operator="greaterThan" allowBlank="1" showInputMessage="1" showErrorMessage="1" sqref="D908">
      <formula1>0</formula1>
    </dataValidation>
    <dataValidation type="decimal" operator="greaterThan" allowBlank="1" showInputMessage="1" showErrorMessage="1" sqref="E908">
      <formula1>0</formula1>
    </dataValidation>
    <dataValidation type="whole" operator="greaterThan" allowBlank="1" showInputMessage="1" showErrorMessage="1" sqref="A909">
      <formula1>0</formula1>
    </dataValidation>
    <dataValidation type="list" allowBlank="1" showInputMessage="1" showErrorMessage="1" sqref="C909">
      <formula1>UnidadesList</formula1>
    </dataValidation>
    <dataValidation type="decimal" operator="greaterThan" allowBlank="1" showInputMessage="1" showErrorMessage="1" sqref="D909">
      <formula1>0</formula1>
    </dataValidation>
    <dataValidation type="decimal" operator="greaterThan" allowBlank="1" showInputMessage="1" showErrorMessage="1" sqref="E909">
      <formula1>0</formula1>
    </dataValidation>
    <dataValidation type="whole" operator="greaterThan" allowBlank="1" showInputMessage="1" showErrorMessage="1" sqref="A910">
      <formula1>0</formula1>
    </dataValidation>
    <dataValidation type="list" allowBlank="1" showInputMessage="1" showErrorMessage="1" sqref="C910">
      <formula1>UnidadesList</formula1>
    </dataValidation>
    <dataValidation type="decimal" operator="greaterThan" allowBlank="1" showInputMessage="1" showErrorMessage="1" sqref="D910">
      <formula1>0</formula1>
    </dataValidation>
    <dataValidation type="decimal" operator="greaterThan" allowBlank="1" showInputMessage="1" showErrorMessage="1" sqref="E910">
      <formula1>0</formula1>
    </dataValidation>
    <dataValidation type="whole" operator="greaterThan" allowBlank="1" showInputMessage="1" showErrorMessage="1" sqref="A911">
      <formula1>0</formula1>
    </dataValidation>
    <dataValidation type="list" allowBlank="1" showInputMessage="1" showErrorMessage="1" sqref="C911">
      <formula1>UnidadesList</formula1>
    </dataValidation>
    <dataValidation type="decimal" operator="greaterThan" allowBlank="1" showInputMessage="1" showErrorMessage="1" sqref="D911">
      <formula1>0</formula1>
    </dataValidation>
    <dataValidation type="decimal" operator="greaterThan" allowBlank="1" showInputMessage="1" showErrorMessage="1" sqref="E911">
      <formula1>0</formula1>
    </dataValidation>
    <dataValidation type="whole" operator="greaterThan" allowBlank="1" showInputMessage="1" showErrorMessage="1" sqref="A912">
      <formula1>0</formula1>
    </dataValidation>
    <dataValidation type="list" allowBlank="1" showInputMessage="1" showErrorMessage="1" sqref="C912">
      <formula1>UnidadesList</formula1>
    </dataValidation>
    <dataValidation type="decimal" operator="greaterThan" allowBlank="1" showInputMessage="1" showErrorMessage="1" sqref="D912">
      <formula1>0</formula1>
    </dataValidation>
    <dataValidation type="decimal" operator="greaterThan" allowBlank="1" showInputMessage="1" showErrorMessage="1" sqref="E912">
      <formula1>0</formula1>
    </dataValidation>
    <dataValidation type="whole" operator="greaterThan" allowBlank="1" showInputMessage="1" showErrorMessage="1" sqref="A913">
      <formula1>0</formula1>
    </dataValidation>
    <dataValidation type="list" allowBlank="1" showInputMessage="1" showErrorMessage="1" sqref="C913">
      <formula1>UnidadesList</formula1>
    </dataValidation>
    <dataValidation type="decimal" operator="greaterThan" allowBlank="1" showInputMessage="1" showErrorMessage="1" sqref="D913">
      <formula1>0</formula1>
    </dataValidation>
    <dataValidation type="decimal" operator="greaterThan" allowBlank="1" showInputMessage="1" showErrorMessage="1" sqref="E913">
      <formula1>0</formula1>
    </dataValidation>
    <dataValidation type="whole" operator="greaterThan" allowBlank="1" showInputMessage="1" showErrorMessage="1" sqref="A914">
      <formula1>0</formula1>
    </dataValidation>
    <dataValidation type="list" allowBlank="1" showInputMessage="1" showErrorMessage="1" sqref="C914">
      <formula1>UnidadesList</formula1>
    </dataValidation>
    <dataValidation type="decimal" operator="greaterThan" allowBlank="1" showInputMessage="1" showErrorMessage="1" sqref="D914">
      <formula1>0</formula1>
    </dataValidation>
    <dataValidation type="decimal" operator="greaterThan" allowBlank="1" showInputMessage="1" showErrorMessage="1" sqref="E914">
      <formula1>0</formula1>
    </dataValidation>
    <dataValidation type="whole" operator="greaterThan" allowBlank="1" showInputMessage="1" showErrorMessage="1" sqref="A915">
      <formula1>0</formula1>
    </dataValidation>
    <dataValidation type="list" allowBlank="1" showInputMessage="1" showErrorMessage="1" sqref="C915">
      <formula1>UnidadesList</formula1>
    </dataValidation>
    <dataValidation type="decimal" operator="greaterThan" allowBlank="1" showInputMessage="1" showErrorMessage="1" sqref="D915">
      <formula1>0</formula1>
    </dataValidation>
    <dataValidation type="decimal" operator="greaterThan" allowBlank="1" showInputMessage="1" showErrorMessage="1" sqref="E915">
      <formula1>0</formula1>
    </dataValidation>
    <dataValidation type="whole" operator="greaterThan" allowBlank="1" showInputMessage="1" showErrorMessage="1" sqref="A916">
      <formula1>0</formula1>
    </dataValidation>
    <dataValidation type="list" allowBlank="1" showInputMessage="1" showErrorMessage="1" sqref="C916">
      <formula1>UnidadesList</formula1>
    </dataValidation>
    <dataValidation type="decimal" operator="greaterThan" allowBlank="1" showInputMessage="1" showErrorMessage="1" sqref="D916">
      <formula1>0</formula1>
    </dataValidation>
    <dataValidation type="decimal" operator="greaterThan" allowBlank="1" showInputMessage="1" showErrorMessage="1" sqref="E916">
      <formula1>0</formula1>
    </dataValidation>
    <dataValidation type="whole" operator="greaterThan" allowBlank="1" showInputMessage="1" showErrorMessage="1" sqref="A917">
      <formula1>0</formula1>
    </dataValidation>
    <dataValidation type="list" allowBlank="1" showInputMessage="1" showErrorMessage="1" sqref="C917">
      <formula1>UnidadesList</formula1>
    </dataValidation>
    <dataValidation type="decimal" operator="greaterThan" allowBlank="1" showInputMessage="1" showErrorMessage="1" sqref="D917">
      <formula1>0</formula1>
    </dataValidation>
    <dataValidation type="decimal" operator="greaterThan" allowBlank="1" showInputMessage="1" showErrorMessage="1" sqref="E917">
      <formula1>0</formula1>
    </dataValidation>
    <dataValidation type="whole" operator="greaterThan" allowBlank="1" showInputMessage="1" showErrorMessage="1" sqref="A918">
      <formula1>0</formula1>
    </dataValidation>
    <dataValidation type="list" allowBlank="1" showInputMessage="1" showErrorMessage="1" sqref="C918">
      <formula1>UnidadesList</formula1>
    </dataValidation>
    <dataValidation type="decimal" operator="greaterThan" allowBlank="1" showInputMessage="1" showErrorMessage="1" sqref="D918">
      <formula1>0</formula1>
    </dataValidation>
    <dataValidation type="decimal" operator="greaterThan" allowBlank="1" showInputMessage="1" showErrorMessage="1" sqref="E918">
      <formula1>0</formula1>
    </dataValidation>
    <dataValidation type="whole" operator="greaterThan" allowBlank="1" showInputMessage="1" showErrorMessage="1" sqref="A919">
      <formula1>0</formula1>
    </dataValidation>
    <dataValidation type="list" allowBlank="1" showInputMessage="1" showErrorMessage="1" sqref="C919">
      <formula1>UnidadesList</formula1>
    </dataValidation>
    <dataValidation type="decimal" operator="greaterThan" allowBlank="1" showInputMessage="1" showErrorMessage="1" sqref="D919">
      <formula1>0</formula1>
    </dataValidation>
    <dataValidation type="decimal" operator="greaterThan" allowBlank="1" showInputMessage="1" showErrorMessage="1" sqref="E919">
      <formula1>0</formula1>
    </dataValidation>
    <dataValidation type="whole" operator="greaterThan" allowBlank="1" showInputMessage="1" showErrorMessage="1" sqref="A920">
      <formula1>0</formula1>
    </dataValidation>
    <dataValidation type="list" allowBlank="1" showInputMessage="1" showErrorMessage="1" sqref="C920">
      <formula1>UnidadesList</formula1>
    </dataValidation>
    <dataValidation type="decimal" operator="greaterThan" allowBlank="1" showInputMessage="1" showErrorMessage="1" sqref="D920">
      <formula1>0</formula1>
    </dataValidation>
    <dataValidation type="decimal" operator="greaterThan" allowBlank="1" showInputMessage="1" showErrorMessage="1" sqref="E920">
      <formula1>0</formula1>
    </dataValidation>
    <dataValidation type="date" operator="lessThanOrEqual" allowBlank="1" showInputMessage="1" showErrorMessage="1" sqref="C925">
      <formula1>C927</formula1>
    </dataValidation>
    <dataValidation type="date" operator="greaterThanOrEqual" allowBlank="1" showInputMessage="1" showErrorMessage="1" sqref="C927">
      <formula1>C925</formula1>
    </dataValidation>
    <dataValidation type="list" allowBlank="1" showInputMessage="1" showErrorMessage="1" sqref="F92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31">
      <formula1>0</formula1>
    </dataValidation>
    <dataValidation type="list" allowBlank="1" showInputMessage="1" showErrorMessage="1" sqref="C931">
      <formula1>UnidadesList</formula1>
    </dataValidation>
    <dataValidation type="decimal" operator="greaterThan" allowBlank="1" showInputMessage="1" showErrorMessage="1" sqref="D931">
      <formula1>0</formula1>
    </dataValidation>
    <dataValidation type="decimal" operator="greaterThan" allowBlank="1" showInputMessage="1" showErrorMessage="1" sqref="E931">
      <formula1>0</formula1>
    </dataValidation>
    <dataValidation type="whole" operator="greaterThan" allowBlank="1" showInputMessage="1" showErrorMessage="1" sqref="A932">
      <formula1>0</formula1>
    </dataValidation>
    <dataValidation type="list" allowBlank="1" showInputMessage="1" showErrorMessage="1" sqref="C932">
      <formula1>UnidadesList</formula1>
    </dataValidation>
    <dataValidation type="decimal" operator="greaterThan" allowBlank="1" showInputMessage="1" showErrorMessage="1" sqref="D932">
      <formula1>0</formula1>
    </dataValidation>
    <dataValidation type="decimal" operator="greaterThan" allowBlank="1" showInputMessage="1" showErrorMessage="1" sqref="E932">
      <formula1>0</formula1>
    </dataValidation>
    <dataValidation type="whole" operator="greaterThan" allowBlank="1" showInputMessage="1" showErrorMessage="1" sqref="A933">
      <formula1>0</formula1>
    </dataValidation>
    <dataValidation type="list" allowBlank="1" showInputMessage="1" showErrorMessage="1" sqref="C933">
      <formula1>UnidadesList</formula1>
    </dataValidation>
    <dataValidation type="decimal" operator="greaterThan" allowBlank="1" showInputMessage="1" showErrorMessage="1" sqref="D933">
      <formula1>0</formula1>
    </dataValidation>
    <dataValidation type="decimal" operator="greaterThan" allowBlank="1" showInputMessage="1" showErrorMessage="1" sqref="E933">
      <formula1>0</formula1>
    </dataValidation>
    <dataValidation type="whole" operator="greaterThan" allowBlank="1" showInputMessage="1" showErrorMessage="1" sqref="A934">
      <formula1>0</formula1>
    </dataValidation>
    <dataValidation type="list" allowBlank="1" showInputMessage="1" showErrorMessage="1" sqref="C934">
      <formula1>UnidadesList</formula1>
    </dataValidation>
    <dataValidation type="decimal" operator="greaterThan" allowBlank="1" showInputMessage="1" showErrorMessage="1" sqref="D934">
      <formula1>0</formula1>
    </dataValidation>
    <dataValidation type="decimal" operator="greaterThan" allowBlank="1" showInputMessage="1" showErrorMessage="1" sqref="E934">
      <formula1>0</formula1>
    </dataValidation>
    <dataValidation type="whole" operator="greaterThan" allowBlank="1" showInputMessage="1" showErrorMessage="1" sqref="A935">
      <formula1>0</formula1>
    </dataValidation>
    <dataValidation type="list" allowBlank="1" showInputMessage="1" showErrorMessage="1" sqref="C935">
      <formula1>UnidadesList</formula1>
    </dataValidation>
    <dataValidation type="decimal" operator="greaterThan" allowBlank="1" showInputMessage="1" showErrorMessage="1" sqref="D935">
      <formula1>0</formula1>
    </dataValidation>
    <dataValidation type="decimal" operator="greaterThan" allowBlank="1" showInputMessage="1" showErrorMessage="1" sqref="E935">
      <formula1>0</formula1>
    </dataValidation>
    <dataValidation type="whole" operator="greaterThan" allowBlank="1" showInputMessage="1" showErrorMessage="1" sqref="A936">
      <formula1>0</formula1>
    </dataValidation>
    <dataValidation type="list" allowBlank="1" showInputMessage="1" showErrorMessage="1" sqref="C936">
      <formula1>UnidadesList</formula1>
    </dataValidation>
    <dataValidation type="decimal" operator="greaterThan" allowBlank="1" showInputMessage="1" showErrorMessage="1" sqref="D936">
      <formula1>0</formula1>
    </dataValidation>
    <dataValidation type="decimal" operator="greaterThan" allowBlank="1" showInputMessage="1" showErrorMessage="1" sqref="E936">
      <formula1>0</formula1>
    </dataValidation>
    <dataValidation type="whole" operator="greaterThan" allowBlank="1" showInputMessage="1" showErrorMessage="1" sqref="A937">
      <formula1>0</formula1>
    </dataValidation>
    <dataValidation type="list" allowBlank="1" showInputMessage="1" showErrorMessage="1" sqref="C937">
      <formula1>UnidadesList</formula1>
    </dataValidation>
    <dataValidation type="decimal" operator="greaterThan" allowBlank="1" showInputMessage="1" showErrorMessage="1" sqref="D937">
      <formula1>0</formula1>
    </dataValidation>
    <dataValidation type="decimal" operator="greaterThan" allowBlank="1" showInputMessage="1" showErrorMessage="1" sqref="E937">
      <formula1>0</formula1>
    </dataValidation>
    <dataValidation type="whole" operator="greaterThan" allowBlank="1" showInputMessage="1" showErrorMessage="1" sqref="A938">
      <formula1>0</formula1>
    </dataValidation>
    <dataValidation type="list" allowBlank="1" showInputMessage="1" showErrorMessage="1" sqref="C938">
      <formula1>UnidadesList</formula1>
    </dataValidation>
    <dataValidation type="decimal" operator="greaterThan" allowBlank="1" showInputMessage="1" showErrorMessage="1" sqref="D938">
      <formula1>0</formula1>
    </dataValidation>
    <dataValidation type="decimal" operator="greaterThan" allowBlank="1" showInputMessage="1" showErrorMessage="1" sqref="E938">
      <formula1>0</formula1>
    </dataValidation>
    <dataValidation type="whole" operator="greaterThan" allowBlank="1" showInputMessage="1" showErrorMessage="1" sqref="A939">
      <formula1>0</formula1>
    </dataValidation>
    <dataValidation type="list" allowBlank="1" showInputMessage="1" showErrorMessage="1" sqref="C939">
      <formula1>UnidadesList</formula1>
    </dataValidation>
    <dataValidation type="decimal" operator="greaterThan" allowBlank="1" showInputMessage="1" showErrorMessage="1" sqref="D939">
      <formula1>0</formula1>
    </dataValidation>
    <dataValidation type="decimal" operator="greaterThan" allowBlank="1" showInputMessage="1" showErrorMessage="1" sqref="E939">
      <formula1>0</formula1>
    </dataValidation>
    <dataValidation type="whole" operator="greaterThan" allowBlank="1" showInputMessage="1" showErrorMessage="1" sqref="A940">
      <formula1>0</formula1>
    </dataValidation>
    <dataValidation type="list" allowBlank="1" showInputMessage="1" showErrorMessage="1" sqref="C940">
      <formula1>UnidadesList</formula1>
    </dataValidation>
    <dataValidation type="decimal" operator="greaterThan" allowBlank="1" showInputMessage="1" showErrorMessage="1" sqref="D940">
      <formula1>0</formula1>
    </dataValidation>
    <dataValidation type="decimal" operator="greaterThan" allowBlank="1" showInputMessage="1" showErrorMessage="1" sqref="E940">
      <formula1>0</formula1>
    </dataValidation>
    <dataValidation type="whole" operator="greaterThan" allowBlank="1" showInputMessage="1" showErrorMessage="1" sqref="A941">
      <formula1>0</formula1>
    </dataValidation>
    <dataValidation type="list" allowBlank="1" showInputMessage="1" showErrorMessage="1" sqref="C941">
      <formula1>UnidadesList</formula1>
    </dataValidation>
    <dataValidation type="decimal" operator="greaterThan" allowBlank="1" showInputMessage="1" showErrorMessage="1" sqref="D941">
      <formula1>0</formula1>
    </dataValidation>
    <dataValidation type="decimal" operator="greaterThan" allowBlank="1" showInputMessage="1" showErrorMessage="1" sqref="E941">
      <formula1>0</formula1>
    </dataValidation>
    <dataValidation type="whole" operator="greaterThan" allowBlank="1" showInputMessage="1" showErrorMessage="1" sqref="A942">
      <formula1>0</formula1>
    </dataValidation>
    <dataValidation type="list" allowBlank="1" showInputMessage="1" showErrorMessage="1" sqref="C942">
      <formula1>UnidadesList</formula1>
    </dataValidation>
    <dataValidation type="decimal" operator="greaterThan" allowBlank="1" showInputMessage="1" showErrorMessage="1" sqref="D942">
      <formula1>0</formula1>
    </dataValidation>
    <dataValidation type="decimal" operator="greaterThan" allowBlank="1" showInputMessage="1" showErrorMessage="1" sqref="E942">
      <formula1>0</formula1>
    </dataValidation>
    <dataValidation type="whole" operator="greaterThan" allowBlank="1" showInputMessage="1" showErrorMessage="1" sqref="A943">
      <formula1>0</formula1>
    </dataValidation>
    <dataValidation type="list" allowBlank="1" showInputMessage="1" showErrorMessage="1" sqref="C943">
      <formula1>UnidadesList</formula1>
    </dataValidation>
    <dataValidation type="decimal" operator="greaterThan" allowBlank="1" showInputMessage="1" showErrorMessage="1" sqref="D943">
      <formula1>0</formula1>
    </dataValidation>
    <dataValidation type="decimal" operator="greaterThan" allowBlank="1" showInputMessage="1" showErrorMessage="1" sqref="E943">
      <formula1>0</formula1>
    </dataValidation>
    <dataValidation type="date" operator="lessThanOrEqual" allowBlank="1" showInputMessage="1" showErrorMessage="1" sqref="C948">
      <formula1>C950</formula1>
    </dataValidation>
    <dataValidation type="date" operator="greaterThanOrEqual" allowBlank="1" showInputMessage="1" showErrorMessage="1" sqref="C950">
      <formula1>C948</formula1>
    </dataValidation>
    <dataValidation type="list" allowBlank="1" showInputMessage="1" showErrorMessage="1" sqref="F94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4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5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5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54">
      <formula1>0</formula1>
    </dataValidation>
    <dataValidation type="list" allowBlank="1" showInputMessage="1" showErrorMessage="1" sqref="C954">
      <formula1>UnidadesList</formula1>
    </dataValidation>
    <dataValidation type="decimal" operator="greaterThan" allowBlank="1" showInputMessage="1" showErrorMessage="1" sqref="D954">
      <formula1>0</formula1>
    </dataValidation>
    <dataValidation type="decimal" operator="greaterThan" allowBlank="1" showInputMessage="1" showErrorMessage="1" sqref="E954">
      <formula1>0</formula1>
    </dataValidation>
    <dataValidation type="whole" operator="greaterThan" allowBlank="1" showInputMessage="1" showErrorMessage="1" sqref="A955">
      <formula1>0</formula1>
    </dataValidation>
    <dataValidation type="list" allowBlank="1" showInputMessage="1" showErrorMessage="1" sqref="C955">
      <formula1>UnidadesList</formula1>
    </dataValidation>
    <dataValidation type="decimal" operator="greaterThan" allowBlank="1" showInputMessage="1" showErrorMessage="1" sqref="D955">
      <formula1>0</formula1>
    </dataValidation>
    <dataValidation type="decimal" operator="greaterThan" allowBlank="1" showInputMessage="1" showErrorMessage="1" sqref="E955">
      <formula1>0</formula1>
    </dataValidation>
    <dataValidation type="whole" operator="greaterThan" allowBlank="1" showInputMessage="1" showErrorMessage="1" sqref="A956">
      <formula1>0</formula1>
    </dataValidation>
    <dataValidation type="list" allowBlank="1" showInputMessage="1" showErrorMessage="1" sqref="C956">
      <formula1>UnidadesList</formula1>
    </dataValidation>
    <dataValidation type="decimal" operator="greaterThan" allowBlank="1" showInputMessage="1" showErrorMessage="1" sqref="D956">
      <formula1>0</formula1>
    </dataValidation>
    <dataValidation type="decimal" operator="greaterThan" allowBlank="1" showInputMessage="1" showErrorMessage="1" sqref="E956">
      <formula1>0</formula1>
    </dataValidation>
    <dataValidation type="whole" operator="greaterThan" allowBlank="1" showInputMessage="1" showErrorMessage="1" sqref="A957">
      <formula1>0</formula1>
    </dataValidation>
    <dataValidation type="list" allowBlank="1" showInputMessage="1" showErrorMessage="1" sqref="C957">
      <formula1>UnidadesList</formula1>
    </dataValidation>
    <dataValidation type="decimal" operator="greaterThan" allowBlank="1" showInputMessage="1" showErrorMessage="1" sqref="D957">
      <formula1>0</formula1>
    </dataValidation>
    <dataValidation type="decimal" operator="greaterThan" allowBlank="1" showInputMessage="1" showErrorMessage="1" sqref="E957">
      <formula1>0</formula1>
    </dataValidation>
    <dataValidation type="whole" operator="greaterThan" allowBlank="1" showInputMessage="1" showErrorMessage="1" sqref="A958">
      <formula1>0</formula1>
    </dataValidation>
    <dataValidation type="list" allowBlank="1" showInputMessage="1" showErrorMessage="1" sqref="C958">
      <formula1>UnidadesList</formula1>
    </dataValidation>
    <dataValidation type="decimal" operator="greaterThan" allowBlank="1" showInputMessage="1" showErrorMessage="1" sqref="D958">
      <formula1>0</formula1>
    </dataValidation>
    <dataValidation type="decimal" operator="greaterThan" allowBlank="1" showInputMessage="1" showErrorMessage="1" sqref="E958">
      <formula1>0</formula1>
    </dataValidation>
    <dataValidation type="whole" operator="greaterThan" allowBlank="1" showInputMessage="1" showErrorMessage="1" sqref="A959">
      <formula1>0</formula1>
    </dataValidation>
    <dataValidation type="list" allowBlank="1" showInputMessage="1" showErrorMessage="1" sqref="C959">
      <formula1>UnidadesList</formula1>
    </dataValidation>
    <dataValidation type="decimal" operator="greaterThan" allowBlank="1" showInputMessage="1" showErrorMessage="1" sqref="D959">
      <formula1>0</formula1>
    </dataValidation>
    <dataValidation type="decimal" operator="greaterThan" allowBlank="1" showInputMessage="1" showErrorMessage="1" sqref="E959">
      <formula1>0</formula1>
    </dataValidation>
    <dataValidation type="whole" operator="greaterThan" allowBlank="1" showInputMessage="1" showErrorMessage="1" sqref="A960">
      <formula1>0</formula1>
    </dataValidation>
    <dataValidation type="list" allowBlank="1" showInputMessage="1" showErrorMessage="1" sqref="C960">
      <formula1>UnidadesList</formula1>
    </dataValidation>
    <dataValidation type="decimal" operator="greaterThan" allowBlank="1" showInputMessage="1" showErrorMessage="1" sqref="D960">
      <formula1>0</formula1>
    </dataValidation>
    <dataValidation type="decimal" operator="greaterThan" allowBlank="1" showInputMessage="1" showErrorMessage="1" sqref="E960">
      <formula1>0</formula1>
    </dataValidation>
    <dataValidation type="whole" operator="greaterThan" allowBlank="1" showInputMessage="1" showErrorMessage="1" sqref="A961">
      <formula1>0</formula1>
    </dataValidation>
    <dataValidation type="list" allowBlank="1" showInputMessage="1" showErrorMessage="1" sqref="C961">
      <formula1>UnidadesList</formula1>
    </dataValidation>
    <dataValidation type="decimal" operator="greaterThan" allowBlank="1" showInputMessage="1" showErrorMessage="1" sqref="D961">
      <formula1>0</formula1>
    </dataValidation>
    <dataValidation type="decimal" operator="greaterThan" allowBlank="1" showInputMessage="1" showErrorMessage="1" sqref="E961">
      <formula1>0</formula1>
    </dataValidation>
    <dataValidation type="whole" operator="greaterThan" allowBlank="1" showInputMessage="1" showErrorMessage="1" sqref="A962">
      <formula1>0</formula1>
    </dataValidation>
    <dataValidation type="list" allowBlank="1" showInputMessage="1" showErrorMessage="1" sqref="C962">
      <formula1>UnidadesList</formula1>
    </dataValidation>
    <dataValidation type="decimal" operator="greaterThan" allowBlank="1" showInputMessage="1" showErrorMessage="1" sqref="D962">
      <formula1>0</formula1>
    </dataValidation>
    <dataValidation type="decimal" operator="greaterThan" allowBlank="1" showInputMessage="1" showErrorMessage="1" sqref="E962">
      <formula1>0</formula1>
    </dataValidation>
    <dataValidation type="whole" operator="greaterThan" allowBlank="1" showInputMessage="1" showErrorMessage="1" sqref="A963">
      <formula1>0</formula1>
    </dataValidation>
    <dataValidation type="list" allowBlank="1" showInputMessage="1" showErrorMessage="1" sqref="C963">
      <formula1>UnidadesList</formula1>
    </dataValidation>
    <dataValidation type="decimal" operator="greaterThan" allowBlank="1" showInputMessage="1" showErrorMessage="1" sqref="D963">
      <formula1>0</formula1>
    </dataValidation>
    <dataValidation type="decimal" operator="greaterThan" allowBlank="1" showInputMessage="1" showErrorMessage="1" sqref="E963">
      <formula1>0</formula1>
    </dataValidation>
    <dataValidation type="whole" operator="greaterThan" allowBlank="1" showInputMessage="1" showErrorMessage="1" sqref="A964">
      <formula1>0</formula1>
    </dataValidation>
    <dataValidation type="list" allowBlank="1" showInputMessage="1" showErrorMessage="1" sqref="C964">
      <formula1>UnidadesList</formula1>
    </dataValidation>
    <dataValidation type="decimal" operator="greaterThan" allowBlank="1" showInputMessage="1" showErrorMessage="1" sqref="D964">
      <formula1>0</formula1>
    </dataValidation>
    <dataValidation type="decimal" operator="greaterThan" allowBlank="1" showInputMessage="1" showErrorMessage="1" sqref="E964">
      <formula1>0</formula1>
    </dataValidation>
    <dataValidation type="whole" operator="greaterThan" allowBlank="1" showInputMessage="1" showErrorMessage="1" sqref="A965">
      <formula1>0</formula1>
    </dataValidation>
    <dataValidation type="list" allowBlank="1" showInputMessage="1" showErrorMessage="1" sqref="C965">
      <formula1>UnidadesList</formula1>
    </dataValidation>
    <dataValidation type="decimal" operator="greaterThan" allowBlank="1" showInputMessage="1" showErrorMessage="1" sqref="D965">
      <formula1>0</formula1>
    </dataValidation>
    <dataValidation type="decimal" operator="greaterThan" allowBlank="1" showInputMessage="1" showErrorMessage="1" sqref="E965">
      <formula1>0</formula1>
    </dataValidation>
    <dataValidation type="whole" operator="greaterThan" allowBlank="1" showInputMessage="1" showErrorMessage="1" sqref="A966">
      <formula1>0</formula1>
    </dataValidation>
    <dataValidation type="list" allowBlank="1" showInputMessage="1" showErrorMessage="1" sqref="C966">
      <formula1>UnidadesList</formula1>
    </dataValidation>
    <dataValidation type="decimal" operator="greaterThan" allowBlank="1" showInputMessage="1" showErrorMessage="1" sqref="D966">
      <formula1>0</formula1>
    </dataValidation>
    <dataValidation type="decimal" operator="greaterThan" allowBlank="1" showInputMessage="1" showErrorMessage="1" sqref="E966">
      <formula1>0</formula1>
    </dataValidation>
    <dataValidation type="whole" operator="greaterThan" allowBlank="1" showInputMessage="1" showErrorMessage="1" sqref="A967">
      <formula1>0</formula1>
    </dataValidation>
    <dataValidation type="list" allowBlank="1" showInputMessage="1" showErrorMessage="1" sqref="C967">
      <formula1>UnidadesList</formula1>
    </dataValidation>
    <dataValidation type="decimal" operator="greaterThan" allowBlank="1" showInputMessage="1" showErrorMessage="1" sqref="D967">
      <formula1>0</formula1>
    </dataValidation>
    <dataValidation type="decimal" operator="greaterThan" allowBlank="1" showInputMessage="1" showErrorMessage="1" sqref="E967">
      <formula1>0</formula1>
    </dataValidation>
    <dataValidation type="whole" operator="greaterThan" allowBlank="1" showInputMessage="1" showErrorMessage="1" sqref="A968">
      <formula1>0</formula1>
    </dataValidation>
    <dataValidation type="list" allowBlank="1" showInputMessage="1" showErrorMessage="1" sqref="C968">
      <formula1>UnidadesList</formula1>
    </dataValidation>
    <dataValidation type="decimal" operator="greaterThan" allowBlank="1" showInputMessage="1" showErrorMessage="1" sqref="D968">
      <formula1>0</formula1>
    </dataValidation>
    <dataValidation type="decimal" operator="greaterThan" allowBlank="1" showInputMessage="1" showErrorMessage="1" sqref="E968">
      <formula1>0</formula1>
    </dataValidation>
    <dataValidation type="whole" operator="greaterThan" allowBlank="1" showInputMessage="1" showErrorMessage="1" sqref="A969">
      <formula1>0</formula1>
    </dataValidation>
    <dataValidation type="list" allowBlank="1" showInputMessage="1" showErrorMessage="1" sqref="C969">
      <formula1>UnidadesList</formula1>
    </dataValidation>
    <dataValidation type="decimal" operator="greaterThan" allowBlank="1" showInputMessage="1" showErrorMessage="1" sqref="D969">
      <formula1>0</formula1>
    </dataValidation>
    <dataValidation type="decimal" operator="greaterThan" allowBlank="1" showInputMessage="1" showErrorMessage="1" sqref="E969">
      <formula1>0</formula1>
    </dataValidation>
    <dataValidation type="whole" operator="greaterThan" allowBlank="1" showInputMessage="1" showErrorMessage="1" sqref="A970">
      <formula1>0</formula1>
    </dataValidation>
    <dataValidation type="list" allowBlank="1" showInputMessage="1" showErrorMessage="1" sqref="C970">
      <formula1>UnidadesList</formula1>
    </dataValidation>
    <dataValidation type="decimal" operator="greaterThan" allowBlank="1" showInputMessage="1" showErrorMessage="1" sqref="D970">
      <formula1>0</formula1>
    </dataValidation>
    <dataValidation type="decimal" operator="greaterThan" allowBlank="1" showInputMessage="1" showErrorMessage="1" sqref="E970">
      <formula1>0</formula1>
    </dataValidation>
    <dataValidation type="whole" operator="greaterThan" allowBlank="1" showInputMessage="1" showErrorMessage="1" sqref="A971">
      <formula1>0</formula1>
    </dataValidation>
    <dataValidation type="list" allowBlank="1" showInputMessage="1" showErrorMessage="1" sqref="C971">
      <formula1>UnidadesList</formula1>
    </dataValidation>
    <dataValidation type="decimal" operator="greaterThan" allowBlank="1" showInputMessage="1" showErrorMessage="1" sqref="D971">
      <formula1>0</formula1>
    </dataValidation>
    <dataValidation type="decimal" operator="greaterThan" allowBlank="1" showInputMessage="1" showErrorMessage="1" sqref="E971">
      <formula1>0</formula1>
    </dataValidation>
    <dataValidation type="whole" operator="greaterThan" allowBlank="1" showInputMessage="1" showErrorMessage="1" sqref="A972">
      <formula1>0</formula1>
    </dataValidation>
    <dataValidation type="list" allowBlank="1" showInputMessage="1" showErrorMessage="1" sqref="C972">
      <formula1>UnidadesList</formula1>
    </dataValidation>
    <dataValidation type="decimal" operator="greaterThan" allowBlank="1" showInputMessage="1" showErrorMessage="1" sqref="D972">
      <formula1>0</formula1>
    </dataValidation>
    <dataValidation type="decimal" operator="greaterThan" allowBlank="1" showInputMessage="1" showErrorMessage="1" sqref="E972">
      <formula1>0</formula1>
    </dataValidation>
    <dataValidation type="whole" operator="greaterThan" allowBlank="1" showInputMessage="1" showErrorMessage="1" sqref="A973">
      <formula1>0</formula1>
    </dataValidation>
    <dataValidation type="list" allowBlank="1" showInputMessage="1" showErrorMessage="1" sqref="C973">
      <formula1>UnidadesList</formula1>
    </dataValidation>
    <dataValidation type="decimal" operator="greaterThan" allowBlank="1" showInputMessage="1" showErrorMessage="1" sqref="D973">
      <formula1>0</formula1>
    </dataValidation>
    <dataValidation type="decimal" operator="greaterThan" allowBlank="1" showInputMessage="1" showErrorMessage="1" sqref="E973">
      <formula1>0</formula1>
    </dataValidation>
    <dataValidation type="whole" operator="greaterThan" allowBlank="1" showInputMessage="1" showErrorMessage="1" sqref="A974">
      <formula1>0</formula1>
    </dataValidation>
    <dataValidation type="list" allowBlank="1" showInputMessage="1" showErrorMessage="1" sqref="C974">
      <formula1>UnidadesList</formula1>
    </dataValidation>
    <dataValidation type="decimal" operator="greaterThan" allowBlank="1" showInputMessage="1" showErrorMessage="1" sqref="D974">
      <formula1>0</formula1>
    </dataValidation>
    <dataValidation type="decimal" operator="greaterThan" allowBlank="1" showInputMessage="1" showErrorMessage="1" sqref="E974">
      <formula1>0</formula1>
    </dataValidation>
    <dataValidation type="whole" operator="greaterThan" allowBlank="1" showInputMessage="1" showErrorMessage="1" sqref="A975">
      <formula1>0</formula1>
    </dataValidation>
    <dataValidation type="list" allowBlank="1" showInputMessage="1" showErrorMessage="1" sqref="C975">
      <formula1>UnidadesList</formula1>
    </dataValidation>
    <dataValidation type="decimal" operator="greaterThan" allowBlank="1" showInputMessage="1" showErrorMessage="1" sqref="D975">
      <formula1>0</formula1>
    </dataValidation>
    <dataValidation type="decimal" operator="greaterThan" allowBlank="1" showInputMessage="1" showErrorMessage="1" sqref="E975">
      <formula1>0</formula1>
    </dataValidation>
    <dataValidation type="whole" operator="greaterThan" allowBlank="1" showInputMessage="1" showErrorMessage="1" sqref="A976">
      <formula1>0</formula1>
    </dataValidation>
    <dataValidation type="list" allowBlank="1" showInputMessage="1" showErrorMessage="1" sqref="C976">
      <formula1>UnidadesList</formula1>
    </dataValidation>
    <dataValidation type="decimal" operator="greaterThan" allowBlank="1" showInputMessage="1" showErrorMessage="1" sqref="D976">
      <formula1>0</formula1>
    </dataValidation>
    <dataValidation type="decimal" operator="greaterThan" allowBlank="1" showInputMessage="1" showErrorMessage="1" sqref="E976">
      <formula1>0</formula1>
    </dataValidation>
    <dataValidation type="whole" operator="greaterThan" allowBlank="1" showInputMessage="1" showErrorMessage="1" sqref="A977">
      <formula1>0</formula1>
    </dataValidation>
    <dataValidation type="list" allowBlank="1" showInputMessage="1" showErrorMessage="1" sqref="C977">
      <formula1>UnidadesList</formula1>
    </dataValidation>
    <dataValidation type="decimal" operator="greaterThan" allowBlank="1" showInputMessage="1" showErrorMessage="1" sqref="D977">
      <formula1>0</formula1>
    </dataValidation>
    <dataValidation type="decimal" operator="greaterThan" allowBlank="1" showInputMessage="1" showErrorMessage="1" sqref="E977">
      <formula1>0</formula1>
    </dataValidation>
    <dataValidation type="whole" operator="greaterThan" allowBlank="1" showInputMessage="1" showErrorMessage="1" sqref="A978">
      <formula1>0</formula1>
    </dataValidation>
    <dataValidation type="list" allowBlank="1" showInputMessage="1" showErrorMessage="1" sqref="C978">
      <formula1>UnidadesList</formula1>
    </dataValidation>
    <dataValidation type="decimal" operator="greaterThan" allowBlank="1" showInputMessage="1" showErrorMessage="1" sqref="D978">
      <formula1>0</formula1>
    </dataValidation>
    <dataValidation type="decimal" operator="greaterThan" allowBlank="1" showInputMessage="1" showErrorMessage="1" sqref="E978">
      <formula1>0</formula1>
    </dataValidation>
    <dataValidation type="whole" operator="greaterThan" allowBlank="1" showInputMessage="1" showErrorMessage="1" sqref="A979">
      <formula1>0</formula1>
    </dataValidation>
    <dataValidation type="list" allowBlank="1" showInputMessage="1" showErrorMessage="1" sqref="C979">
      <formula1>UnidadesList</formula1>
    </dataValidation>
    <dataValidation type="decimal" operator="greaterThan" allowBlank="1" showInputMessage="1" showErrorMessage="1" sqref="D979">
      <formula1>0</formula1>
    </dataValidation>
    <dataValidation type="decimal" operator="greaterThan" allowBlank="1" showInputMessage="1" showErrorMessage="1" sqref="E979">
      <formula1>0</formula1>
    </dataValidation>
    <dataValidation type="whole" operator="greaterThan" allowBlank="1" showInputMessage="1" showErrorMessage="1" sqref="A980">
      <formula1>0</formula1>
    </dataValidation>
    <dataValidation type="list" allowBlank="1" showInputMessage="1" showErrorMessage="1" sqref="C980">
      <formula1>UnidadesList</formula1>
    </dataValidation>
    <dataValidation type="decimal" operator="greaterThan" allowBlank="1" showInputMessage="1" showErrorMessage="1" sqref="D980">
      <formula1>0</formula1>
    </dataValidation>
    <dataValidation type="decimal" operator="greaterThan" allowBlank="1" showInputMessage="1" showErrorMessage="1" sqref="E980">
      <formula1>0</formula1>
    </dataValidation>
    <dataValidation type="whole" operator="greaterThan" allowBlank="1" showInputMessage="1" showErrorMessage="1" sqref="A981">
      <formula1>0</formula1>
    </dataValidation>
    <dataValidation type="list" allowBlank="1" showInputMessage="1" showErrorMessage="1" sqref="C981">
      <formula1>UnidadesList</formula1>
    </dataValidation>
    <dataValidation type="decimal" operator="greaterThan" allowBlank="1" showInputMessage="1" showErrorMessage="1" sqref="D981">
      <formula1>0</formula1>
    </dataValidation>
    <dataValidation type="decimal" operator="greaterThan" allowBlank="1" showInputMessage="1" showErrorMessage="1" sqref="E981">
      <formula1>0</formula1>
    </dataValidation>
    <dataValidation type="whole" operator="greaterThan" allowBlank="1" showInputMessage="1" showErrorMessage="1" sqref="A982">
      <formula1>0</formula1>
    </dataValidation>
    <dataValidation type="list" allowBlank="1" showInputMessage="1" showErrorMessage="1" sqref="C982">
      <formula1>UnidadesList</formula1>
    </dataValidation>
    <dataValidation type="decimal" operator="greaterThan" allowBlank="1" showInputMessage="1" showErrorMessage="1" sqref="D982">
      <formula1>0</formula1>
    </dataValidation>
    <dataValidation type="decimal" operator="greaterThan" allowBlank="1" showInputMessage="1" showErrorMessage="1" sqref="E982">
      <formula1>0</formula1>
    </dataValidation>
    <dataValidation type="whole" operator="greaterThan" allowBlank="1" showInputMessage="1" showErrorMessage="1" sqref="A983">
      <formula1>0</formula1>
    </dataValidation>
    <dataValidation type="list" allowBlank="1" showInputMessage="1" showErrorMessage="1" sqref="C983">
      <formula1>UnidadesList</formula1>
    </dataValidation>
    <dataValidation type="decimal" operator="greaterThan" allowBlank="1" showInputMessage="1" showErrorMessage="1" sqref="D983">
      <formula1>0</formula1>
    </dataValidation>
    <dataValidation type="decimal" operator="greaterThan" allowBlank="1" showInputMessage="1" showErrorMessage="1" sqref="E983">
      <formula1>0</formula1>
    </dataValidation>
    <dataValidation type="whole" operator="greaterThan" allowBlank="1" showInputMessage="1" showErrorMessage="1" sqref="A984">
      <formula1>0</formula1>
    </dataValidation>
    <dataValidation type="list" allowBlank="1" showInputMessage="1" showErrorMessage="1" sqref="C984">
      <formula1>UnidadesList</formula1>
    </dataValidation>
    <dataValidation type="decimal" operator="greaterThan" allowBlank="1" showInputMessage="1" showErrorMessage="1" sqref="D984">
      <formula1>0</formula1>
    </dataValidation>
    <dataValidation type="decimal" operator="greaterThan" allowBlank="1" showInputMessage="1" showErrorMessage="1" sqref="E984">
      <formula1>0</formula1>
    </dataValidation>
    <dataValidation type="whole" operator="greaterThan" allowBlank="1" showInputMessage="1" showErrorMessage="1" sqref="A985">
      <formula1>0</formula1>
    </dataValidation>
    <dataValidation type="list" allowBlank="1" showInputMessage="1" showErrorMessage="1" sqref="C985">
      <formula1>UnidadesList</formula1>
    </dataValidation>
    <dataValidation type="decimal" operator="greaterThan" allowBlank="1" showInputMessage="1" showErrorMessage="1" sqref="D985">
      <formula1>0</formula1>
    </dataValidation>
    <dataValidation type="decimal" operator="greaterThan" allowBlank="1" showInputMessage="1" showErrorMessage="1" sqref="E985">
      <formula1>0</formula1>
    </dataValidation>
    <dataValidation type="whole" operator="greaterThan" allowBlank="1" showInputMessage="1" showErrorMessage="1" sqref="A986">
      <formula1>0</formula1>
    </dataValidation>
    <dataValidation type="list" allowBlank="1" showInputMessage="1" showErrorMessage="1" sqref="C986">
      <formula1>UnidadesList</formula1>
    </dataValidation>
    <dataValidation type="decimal" operator="greaterThan" allowBlank="1" showInputMessage="1" showErrorMessage="1" sqref="D986">
      <formula1>0</formula1>
    </dataValidation>
    <dataValidation type="decimal" operator="greaterThan" allowBlank="1" showInputMessage="1" showErrorMessage="1" sqref="E986">
      <formula1>0</formula1>
    </dataValidation>
    <dataValidation type="whole" operator="greaterThan" allowBlank="1" showInputMessage="1" showErrorMessage="1" sqref="A987">
      <formula1>0</formula1>
    </dataValidation>
    <dataValidation type="list" allowBlank="1" showInputMessage="1" showErrorMessage="1" sqref="C987">
      <formula1>UnidadesList</formula1>
    </dataValidation>
    <dataValidation type="decimal" operator="greaterThan" allowBlank="1" showInputMessage="1" showErrorMessage="1" sqref="D987">
      <formula1>0</formula1>
    </dataValidation>
    <dataValidation type="decimal" operator="greaterThan" allowBlank="1" showInputMessage="1" showErrorMessage="1" sqref="E987">
      <formula1>0</formula1>
    </dataValidation>
    <dataValidation type="whole" operator="greaterThan" allowBlank="1" showInputMessage="1" showErrorMessage="1" sqref="A988">
      <formula1>0</formula1>
    </dataValidation>
    <dataValidation type="list" allowBlank="1" showInputMessage="1" showErrorMessage="1" sqref="C988">
      <formula1>UnidadesList</formula1>
    </dataValidation>
    <dataValidation type="decimal" operator="greaterThan" allowBlank="1" showInputMessage="1" showErrorMessage="1" sqref="D988">
      <formula1>0</formula1>
    </dataValidation>
    <dataValidation type="decimal" operator="greaterThan" allowBlank="1" showInputMessage="1" showErrorMessage="1" sqref="E988">
      <formula1>0</formula1>
    </dataValidation>
    <dataValidation type="whole" operator="greaterThan" allowBlank="1" showInputMessage="1" showErrorMessage="1" sqref="A989">
      <formula1>0</formula1>
    </dataValidation>
    <dataValidation type="list" allowBlank="1" showInputMessage="1" showErrorMessage="1" sqref="C989">
      <formula1>UnidadesList</formula1>
    </dataValidation>
    <dataValidation type="decimal" operator="greaterThan" allowBlank="1" showInputMessage="1" showErrorMessage="1" sqref="D989">
      <formula1>0</formula1>
    </dataValidation>
    <dataValidation type="decimal" operator="greaterThan" allowBlank="1" showInputMessage="1" showErrorMessage="1" sqref="E989">
      <formula1>0</formula1>
    </dataValidation>
    <dataValidation type="whole" operator="greaterThan" allowBlank="1" showInputMessage="1" showErrorMessage="1" sqref="A990">
      <formula1>0</formula1>
    </dataValidation>
    <dataValidation type="list" allowBlank="1" showInputMessage="1" showErrorMessage="1" sqref="C990">
      <formula1>UnidadesList</formula1>
    </dataValidation>
    <dataValidation type="decimal" operator="greaterThan" allowBlank="1" showInputMessage="1" showErrorMessage="1" sqref="D990">
      <formula1>0</formula1>
    </dataValidation>
    <dataValidation type="decimal" operator="greaterThan" allowBlank="1" showInputMessage="1" showErrorMessage="1" sqref="E990">
      <formula1>0</formula1>
    </dataValidation>
    <dataValidation type="date" operator="lessThanOrEqual" allowBlank="1" showInputMessage="1" showErrorMessage="1" sqref="C995">
      <formula1>C997</formula1>
    </dataValidation>
    <dataValidation type="date" operator="greaterThanOrEqual" allowBlank="1" showInputMessage="1" showErrorMessage="1" sqref="C997">
      <formula1>C995</formula1>
    </dataValidation>
    <dataValidation type="list" allowBlank="1" showInputMessage="1" showErrorMessage="1" sqref="F99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9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9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9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01">
      <formula1>0</formula1>
    </dataValidation>
    <dataValidation type="list" allowBlank="1" showInputMessage="1" showErrorMessage="1" sqref="C1001">
      <formula1>UnidadesList</formula1>
    </dataValidation>
    <dataValidation type="decimal" operator="greaterThan" allowBlank="1" showInputMessage="1" showErrorMessage="1" sqref="D1001">
      <formula1>0</formula1>
    </dataValidation>
    <dataValidation type="decimal" operator="greaterThan" allowBlank="1" showInputMessage="1" showErrorMessage="1" sqref="E1001">
      <formula1>0</formula1>
    </dataValidation>
    <dataValidation type="whole" operator="greaterThan" allowBlank="1" showInputMessage="1" showErrorMessage="1" sqref="A1002">
      <formula1>0</formula1>
    </dataValidation>
    <dataValidation type="list" allowBlank="1" showInputMessage="1" showErrorMessage="1" sqref="C1002">
      <formula1>UnidadesList</formula1>
    </dataValidation>
    <dataValidation type="decimal" operator="greaterThan" allowBlank="1" showInputMessage="1" showErrorMessage="1" sqref="D1002">
      <formula1>0</formula1>
    </dataValidation>
    <dataValidation type="decimal" operator="greaterThan" allowBlank="1" showInputMessage="1" showErrorMessage="1" sqref="E1002">
      <formula1>0</formula1>
    </dataValidation>
    <dataValidation type="whole" operator="greaterThan" allowBlank="1" showInputMessage="1" showErrorMessage="1" sqref="A1003">
      <formula1>0</formula1>
    </dataValidation>
    <dataValidation type="list" allowBlank="1" showInputMessage="1" showErrorMessage="1" sqref="C1003">
      <formula1>UnidadesList</formula1>
    </dataValidation>
    <dataValidation type="decimal" operator="greaterThan" allowBlank="1" showInputMessage="1" showErrorMessage="1" sqref="D1003">
      <formula1>0</formula1>
    </dataValidation>
    <dataValidation type="decimal" operator="greaterThan" allowBlank="1" showInputMessage="1" showErrorMessage="1" sqref="E1003">
      <formula1>0</formula1>
    </dataValidation>
    <dataValidation type="whole" operator="greaterThan" allowBlank="1" showInputMessage="1" showErrorMessage="1" sqref="A1004">
      <formula1>0</formula1>
    </dataValidation>
    <dataValidation type="list" allowBlank="1" showInputMessage="1" showErrorMessage="1" sqref="C1004">
      <formula1>UnidadesList</formula1>
    </dataValidation>
    <dataValidation type="decimal" operator="greaterThan" allowBlank="1" showInputMessage="1" showErrorMessage="1" sqref="D1004">
      <formula1>0</formula1>
    </dataValidation>
    <dataValidation type="decimal" operator="greaterThan" allowBlank="1" showInputMessage="1" showErrorMessage="1" sqref="E1004">
      <formula1>0</formula1>
    </dataValidation>
    <dataValidation type="whole" operator="greaterThan" allowBlank="1" showInputMessage="1" showErrorMessage="1" sqref="A1005">
      <formula1>0</formula1>
    </dataValidation>
    <dataValidation type="list" allowBlank="1" showInputMessage="1" showErrorMessage="1" sqref="C1005">
      <formula1>UnidadesList</formula1>
    </dataValidation>
    <dataValidation type="decimal" operator="greaterThan" allowBlank="1" showInputMessage="1" showErrorMessage="1" sqref="D1005">
      <formula1>0</formula1>
    </dataValidation>
    <dataValidation type="decimal" operator="greaterThan" allowBlank="1" showInputMessage="1" showErrorMessage="1" sqref="E1005">
      <formula1>0</formula1>
    </dataValidation>
    <dataValidation type="whole" operator="greaterThan" allowBlank="1" showInputMessage="1" showErrorMessage="1" sqref="A1006">
      <formula1>0</formula1>
    </dataValidation>
    <dataValidation type="list" allowBlank="1" showInputMessage="1" showErrorMessage="1" sqref="C1006">
      <formula1>UnidadesList</formula1>
    </dataValidation>
    <dataValidation type="decimal" operator="greaterThan" allowBlank="1" showInputMessage="1" showErrorMessage="1" sqref="D1006">
      <formula1>0</formula1>
    </dataValidation>
    <dataValidation type="decimal" operator="greaterThan" allowBlank="1" showInputMessage="1" showErrorMessage="1" sqref="E1006">
      <formula1>0</formula1>
    </dataValidation>
    <dataValidation type="whole" operator="greaterThan" allowBlank="1" showInputMessage="1" showErrorMessage="1" sqref="A1007">
      <formula1>0</formula1>
    </dataValidation>
    <dataValidation type="list" allowBlank="1" showInputMessage="1" showErrorMessage="1" sqref="C1007">
      <formula1>UnidadesList</formula1>
    </dataValidation>
    <dataValidation type="decimal" operator="greaterThan" allowBlank="1" showInputMessage="1" showErrorMessage="1" sqref="D1007">
      <formula1>0</formula1>
    </dataValidation>
    <dataValidation type="decimal" operator="greaterThan" allowBlank="1" showInputMessage="1" showErrorMessage="1" sqref="E1007">
      <formula1>0</formula1>
    </dataValidation>
    <dataValidation type="whole" operator="greaterThan" allowBlank="1" showInputMessage="1" showErrorMessage="1" sqref="A1008">
      <formula1>0</formula1>
    </dataValidation>
    <dataValidation type="list" allowBlank="1" showInputMessage="1" showErrorMessage="1" sqref="C1008">
      <formula1>UnidadesList</formula1>
    </dataValidation>
    <dataValidation type="decimal" operator="greaterThan" allowBlank="1" showInputMessage="1" showErrorMessage="1" sqref="D1008">
      <formula1>0</formula1>
    </dataValidation>
    <dataValidation type="decimal" operator="greaterThan" allowBlank="1" showInputMessage="1" showErrorMessage="1" sqref="E1008">
      <formula1>0</formula1>
    </dataValidation>
    <dataValidation type="whole" operator="greaterThan" allowBlank="1" showInputMessage="1" showErrorMessage="1" sqref="A1009">
      <formula1>0</formula1>
    </dataValidation>
    <dataValidation type="list" allowBlank="1" showInputMessage="1" showErrorMessage="1" sqref="C1009">
      <formula1>UnidadesList</formula1>
    </dataValidation>
    <dataValidation type="decimal" operator="greaterThan" allowBlank="1" showInputMessage="1" showErrorMessage="1" sqref="D1009">
      <formula1>0</formula1>
    </dataValidation>
    <dataValidation type="decimal" operator="greaterThan" allowBlank="1" showInputMessage="1" showErrorMessage="1" sqref="E1009">
      <formula1>0</formula1>
    </dataValidation>
    <dataValidation type="whole" operator="greaterThan" allowBlank="1" showInputMessage="1" showErrorMessage="1" sqref="A1010">
      <formula1>0</formula1>
    </dataValidation>
    <dataValidation type="list" allowBlank="1" showInputMessage="1" showErrorMessage="1" sqref="C1010">
      <formula1>UnidadesList</formula1>
    </dataValidation>
    <dataValidation type="decimal" operator="greaterThan" allowBlank="1" showInputMessage="1" showErrorMessage="1" sqref="D1010">
      <formula1>0</formula1>
    </dataValidation>
    <dataValidation type="decimal" operator="greaterThan" allowBlank="1" showInputMessage="1" showErrorMessage="1" sqref="E1010">
      <formula1>0</formula1>
    </dataValidation>
    <dataValidation type="whole" operator="greaterThan" allowBlank="1" showInputMessage="1" showErrorMessage="1" sqref="A1011">
      <formula1>0</formula1>
    </dataValidation>
    <dataValidation type="list" allowBlank="1" showInputMessage="1" showErrorMessage="1" sqref="C1011">
      <formula1>UnidadesList</formula1>
    </dataValidation>
    <dataValidation type="decimal" operator="greaterThan" allowBlank="1" showInputMessage="1" showErrorMessage="1" sqref="D1011">
      <formula1>0</formula1>
    </dataValidation>
    <dataValidation type="decimal" operator="greaterThan" allowBlank="1" showInputMessage="1" showErrorMessage="1" sqref="E1011">
      <formula1>0</formula1>
    </dataValidation>
    <dataValidation type="whole" operator="greaterThan" allowBlank="1" showInputMessage="1" showErrorMessage="1" sqref="A1012">
      <formula1>0</formula1>
    </dataValidation>
    <dataValidation type="list" allowBlank="1" showInputMessage="1" showErrorMessage="1" sqref="C1012">
      <formula1>UnidadesList</formula1>
    </dataValidation>
    <dataValidation type="decimal" operator="greaterThan" allowBlank="1" showInputMessage="1" showErrorMessage="1" sqref="D1012">
      <formula1>0</formula1>
    </dataValidation>
    <dataValidation type="decimal" operator="greaterThan" allowBlank="1" showInputMessage="1" showErrorMessage="1" sqref="E1012">
      <formula1>0</formula1>
    </dataValidation>
    <dataValidation type="whole" operator="greaterThan" allowBlank="1" showInputMessage="1" showErrorMessage="1" sqref="A1013">
      <formula1>0</formula1>
    </dataValidation>
    <dataValidation type="list" allowBlank="1" showInputMessage="1" showErrorMessage="1" sqref="C1013">
      <formula1>UnidadesList</formula1>
    </dataValidation>
    <dataValidation type="decimal" operator="greaterThan" allowBlank="1" showInputMessage="1" showErrorMessage="1" sqref="D1013">
      <formula1>0</formula1>
    </dataValidation>
    <dataValidation type="decimal" operator="greaterThan" allowBlank="1" showInputMessage="1" showErrorMessage="1" sqref="E1013">
      <formula1>0</formula1>
    </dataValidation>
    <dataValidation type="whole" operator="greaterThan" allowBlank="1" showInputMessage="1" showErrorMessage="1" sqref="A1014">
      <formula1>0</formula1>
    </dataValidation>
    <dataValidation type="list" allowBlank="1" showInputMessage="1" showErrorMessage="1" sqref="C1014">
      <formula1>UnidadesList</formula1>
    </dataValidation>
    <dataValidation type="decimal" operator="greaterThan" allowBlank="1" showInputMessage="1" showErrorMessage="1" sqref="D1014">
      <formula1>0</formula1>
    </dataValidation>
    <dataValidation type="decimal" operator="greaterThan" allowBlank="1" showInputMessage="1" showErrorMessage="1" sqref="E1014">
      <formula1>0</formula1>
    </dataValidation>
    <dataValidation type="whole" operator="greaterThan" allowBlank="1" showInputMessage="1" showErrorMessage="1" sqref="A1015">
      <formula1>0</formula1>
    </dataValidation>
    <dataValidation type="list" allowBlank="1" showInputMessage="1" showErrorMessage="1" sqref="C1015">
      <formula1>UnidadesList</formula1>
    </dataValidation>
    <dataValidation type="decimal" operator="greaterThan" allowBlank="1" showInputMessage="1" showErrorMessage="1" sqref="D1015">
      <formula1>0</formula1>
    </dataValidation>
    <dataValidation type="decimal" operator="greaterThan" allowBlank="1" showInputMessage="1" showErrorMessage="1" sqref="E1015">
      <formula1>0</formula1>
    </dataValidation>
    <dataValidation type="whole" operator="greaterThan" allowBlank="1" showInputMessage="1" showErrorMessage="1" sqref="A1016">
      <formula1>0</formula1>
    </dataValidation>
    <dataValidation type="list" allowBlank="1" showInputMessage="1" showErrorMessage="1" sqref="C1016">
      <formula1>UnidadesList</formula1>
    </dataValidation>
    <dataValidation type="decimal" operator="greaterThan" allowBlank="1" showInputMessage="1" showErrorMessage="1" sqref="D1016">
      <formula1>0</formula1>
    </dataValidation>
    <dataValidation type="decimal" operator="greaterThan" allowBlank="1" showInputMessage="1" showErrorMessage="1" sqref="E1016">
      <formula1>0</formula1>
    </dataValidation>
    <dataValidation type="whole" operator="greaterThan" allowBlank="1" showInputMessage="1" showErrorMessage="1" sqref="A1017">
      <formula1>0</formula1>
    </dataValidation>
    <dataValidation type="list" allowBlank="1" showInputMessage="1" showErrorMessage="1" sqref="C1017">
      <formula1>UnidadesList</formula1>
    </dataValidation>
    <dataValidation type="decimal" operator="greaterThan" allowBlank="1" showInputMessage="1" showErrorMessage="1" sqref="D1017">
      <formula1>0</formula1>
    </dataValidation>
    <dataValidation type="decimal" operator="greaterThan" allowBlank="1" showInputMessage="1" showErrorMessage="1" sqref="E1017">
      <formula1>0</formula1>
    </dataValidation>
    <dataValidation type="whole" operator="greaterThan" allowBlank="1" showInputMessage="1" showErrorMessage="1" sqref="A1018">
      <formula1>0</formula1>
    </dataValidation>
    <dataValidation type="list" allowBlank="1" showInputMessage="1" showErrorMessage="1" sqref="C1018">
      <formula1>UnidadesList</formula1>
    </dataValidation>
    <dataValidation type="decimal" operator="greaterThan" allowBlank="1" showInputMessage="1" showErrorMessage="1" sqref="D1018">
      <formula1>0</formula1>
    </dataValidation>
    <dataValidation type="decimal" operator="greaterThan" allowBlank="1" showInputMessage="1" showErrorMessage="1" sqref="E1018">
      <formula1>0</formula1>
    </dataValidation>
    <dataValidation type="whole" operator="greaterThan" allowBlank="1" showInputMessage="1" showErrorMessage="1" sqref="A1019">
      <formula1>0</formula1>
    </dataValidation>
    <dataValidation type="list" allowBlank="1" showInputMessage="1" showErrorMessage="1" sqref="C1019">
      <formula1>UnidadesList</formula1>
    </dataValidation>
    <dataValidation type="decimal" operator="greaterThan" allowBlank="1" showInputMessage="1" showErrorMessage="1" sqref="D1019">
      <formula1>0</formula1>
    </dataValidation>
    <dataValidation type="decimal" operator="greaterThan" allowBlank="1" showInputMessage="1" showErrorMessage="1" sqref="E1019">
      <formula1>0</formula1>
    </dataValidation>
    <dataValidation type="whole" operator="greaterThan" allowBlank="1" showInputMessage="1" showErrorMessage="1" sqref="A1020">
      <formula1>0</formula1>
    </dataValidation>
    <dataValidation type="list" allowBlank="1" showInputMessage="1" showErrorMessage="1" sqref="C1020">
      <formula1>UnidadesList</formula1>
    </dataValidation>
    <dataValidation type="decimal" operator="greaterThan" allowBlank="1" showInputMessage="1" showErrorMessage="1" sqref="D1020">
      <formula1>0</formula1>
    </dataValidation>
    <dataValidation type="decimal" operator="greaterThan" allowBlank="1" showInputMessage="1" showErrorMessage="1" sqref="E1020">
      <formula1>0</formula1>
    </dataValidation>
    <dataValidation type="whole" operator="greaterThan" allowBlank="1" showInputMessage="1" showErrorMessage="1" sqref="A1021">
      <formula1>0</formula1>
    </dataValidation>
    <dataValidation type="list" allowBlank="1" showInputMessage="1" showErrorMessage="1" sqref="C1021">
      <formula1>UnidadesList</formula1>
    </dataValidation>
    <dataValidation type="decimal" operator="greaterThan" allowBlank="1" showInputMessage="1" showErrorMessage="1" sqref="D1021">
      <formula1>0</formula1>
    </dataValidation>
    <dataValidation type="decimal" operator="greaterThan" allowBlank="1" showInputMessage="1" showErrorMessage="1" sqref="E1021">
      <formula1>0</formula1>
    </dataValidation>
    <dataValidation type="whole" operator="greaterThan" allowBlank="1" showInputMessage="1" showErrorMessage="1" sqref="A1022">
      <formula1>0</formula1>
    </dataValidation>
    <dataValidation type="list" allowBlank="1" showInputMessage="1" showErrorMessage="1" sqref="C1022">
      <formula1>UnidadesList</formula1>
    </dataValidation>
    <dataValidation type="decimal" operator="greaterThan" allowBlank="1" showInputMessage="1" showErrorMessage="1" sqref="D1022">
      <formula1>0</formula1>
    </dataValidation>
    <dataValidation type="decimal" operator="greaterThan" allowBlank="1" showInputMessage="1" showErrorMessage="1" sqref="E1022">
      <formula1>0</formula1>
    </dataValidation>
    <dataValidation type="whole" operator="greaterThan" allowBlank="1" showInputMessage="1" showErrorMessage="1" sqref="A1023">
      <formula1>0</formula1>
    </dataValidation>
    <dataValidation type="list" allowBlank="1" showInputMessage="1" showErrorMessage="1" sqref="C1023">
      <formula1>UnidadesList</formula1>
    </dataValidation>
    <dataValidation type="decimal" operator="greaterThan" allowBlank="1" showInputMessage="1" showErrorMessage="1" sqref="D1023">
      <formula1>0</formula1>
    </dataValidation>
    <dataValidation type="decimal" operator="greaterThan" allowBlank="1" showInputMessage="1" showErrorMessage="1" sqref="E1023">
      <formula1>0</formula1>
    </dataValidation>
    <dataValidation type="whole" operator="greaterThan" allowBlank="1" showInputMessage="1" showErrorMessage="1" sqref="A1024">
      <formula1>0</formula1>
    </dataValidation>
    <dataValidation type="list" allowBlank="1" showInputMessage="1" showErrorMessage="1" sqref="C1024">
      <formula1>UnidadesList</formula1>
    </dataValidation>
    <dataValidation type="decimal" operator="greaterThan" allowBlank="1" showInputMessage="1" showErrorMessage="1" sqref="D1024">
      <formula1>0</formula1>
    </dataValidation>
    <dataValidation type="decimal" operator="greaterThan" allowBlank="1" showInputMessage="1" showErrorMessage="1" sqref="E1024">
      <formula1>0</formula1>
    </dataValidation>
    <dataValidation type="whole" operator="greaterThan" allowBlank="1" showInputMessage="1" showErrorMessage="1" sqref="A1025">
      <formula1>0</formula1>
    </dataValidation>
    <dataValidation type="list" allowBlank="1" showInputMessage="1" showErrorMessage="1" sqref="C1025">
      <formula1>UnidadesList</formula1>
    </dataValidation>
    <dataValidation type="decimal" operator="greaterThan" allowBlank="1" showInputMessage="1" showErrorMessage="1" sqref="D1025">
      <formula1>0</formula1>
    </dataValidation>
    <dataValidation type="decimal" operator="greaterThan" allowBlank="1" showInputMessage="1" showErrorMessage="1" sqref="E1025">
      <formula1>0</formula1>
    </dataValidation>
    <dataValidation type="whole" operator="greaterThan" allowBlank="1" showInputMessage="1" showErrorMessage="1" sqref="A1026">
      <formula1>0</formula1>
    </dataValidation>
    <dataValidation type="list" allowBlank="1" showInputMessage="1" showErrorMessage="1" sqref="C1026">
      <formula1>UnidadesList</formula1>
    </dataValidation>
    <dataValidation type="decimal" operator="greaterThan" allowBlank="1" showInputMessage="1" showErrorMessage="1" sqref="D1026">
      <formula1>0</formula1>
    </dataValidation>
    <dataValidation type="decimal" operator="greaterThan" allowBlank="1" showInputMessage="1" showErrorMessage="1" sqref="E1026">
      <formula1>0</formula1>
    </dataValidation>
    <dataValidation type="whole" operator="greaterThan" allowBlank="1" showInputMessage="1" showErrorMessage="1" sqref="A1027">
      <formula1>0</formula1>
    </dataValidation>
    <dataValidation type="list" allowBlank="1" showInputMessage="1" showErrorMessage="1" sqref="C1027">
      <formula1>UnidadesList</formula1>
    </dataValidation>
    <dataValidation type="decimal" operator="greaterThan" allowBlank="1" showInputMessage="1" showErrorMessage="1" sqref="D1027">
      <formula1>0</formula1>
    </dataValidation>
    <dataValidation type="decimal" operator="greaterThan" allowBlank="1" showInputMessage="1" showErrorMessage="1" sqref="E1027">
      <formula1>0</formula1>
    </dataValidation>
    <dataValidation type="whole" operator="greaterThan" allowBlank="1" showInputMessage="1" showErrorMessage="1" sqref="A1028">
      <formula1>0</formula1>
    </dataValidation>
    <dataValidation type="list" allowBlank="1" showInputMessage="1" showErrorMessage="1" sqref="C1028">
      <formula1>UnidadesList</formula1>
    </dataValidation>
    <dataValidation type="decimal" operator="greaterThan" allowBlank="1" showInputMessage="1" showErrorMessage="1" sqref="D1028">
      <formula1>0</formula1>
    </dataValidation>
    <dataValidation type="decimal" operator="greaterThan" allowBlank="1" showInputMessage="1" showErrorMessage="1" sqref="E1028">
      <formula1>0</formula1>
    </dataValidation>
    <dataValidation type="whole" operator="greaterThan" allowBlank="1" showInputMessage="1" showErrorMessage="1" sqref="A1029">
      <formula1>0</formula1>
    </dataValidation>
    <dataValidation type="list" allowBlank="1" showInputMessage="1" showErrorMessage="1" sqref="C1029">
      <formula1>UnidadesList</formula1>
    </dataValidation>
    <dataValidation type="decimal" operator="greaterThan" allowBlank="1" showInputMessage="1" showErrorMessage="1" sqref="D1029">
      <formula1>0</formula1>
    </dataValidation>
    <dataValidation type="decimal" operator="greaterThan" allowBlank="1" showInputMessage="1" showErrorMessage="1" sqref="E1029">
      <formula1>0</formula1>
    </dataValidation>
    <dataValidation type="whole" operator="greaterThan" allowBlank="1" showInputMessage="1" showErrorMessage="1" sqref="A1030">
      <formula1>0</formula1>
    </dataValidation>
    <dataValidation type="list" allowBlank="1" showInputMessage="1" showErrorMessage="1" sqref="C1030">
      <formula1>UnidadesList</formula1>
    </dataValidation>
    <dataValidation type="decimal" operator="greaterThan" allowBlank="1" showInputMessage="1" showErrorMessage="1" sqref="D1030">
      <formula1>0</formula1>
    </dataValidation>
    <dataValidation type="decimal" operator="greaterThan" allowBlank="1" showInputMessage="1" showErrorMessage="1" sqref="E1030">
      <formula1>0</formula1>
    </dataValidation>
    <dataValidation type="whole" operator="greaterThan" allowBlank="1" showInputMessage="1" showErrorMessage="1" sqref="A1031">
      <formula1>0</formula1>
    </dataValidation>
    <dataValidation type="list" allowBlank="1" showInputMessage="1" showErrorMessage="1" sqref="C1031">
      <formula1>UnidadesList</formula1>
    </dataValidation>
    <dataValidation type="decimal" operator="greaterThan" allowBlank="1" showInputMessage="1" showErrorMessage="1" sqref="D1031">
      <formula1>0</formula1>
    </dataValidation>
    <dataValidation type="decimal" operator="greaterThan" allowBlank="1" showInputMessage="1" showErrorMessage="1" sqref="E1031">
      <formula1>0</formula1>
    </dataValidation>
    <dataValidation type="whole" operator="greaterThan" allowBlank="1" showInputMessage="1" showErrorMessage="1" sqref="A1032">
      <formula1>0</formula1>
    </dataValidation>
    <dataValidation type="list" allowBlank="1" showInputMessage="1" showErrorMessage="1" sqref="C1032">
      <formula1>UnidadesList</formula1>
    </dataValidation>
    <dataValidation type="decimal" operator="greaterThan" allowBlank="1" showInputMessage="1" showErrorMessage="1" sqref="D1032">
      <formula1>0</formula1>
    </dataValidation>
    <dataValidation type="decimal" operator="greaterThan" allowBlank="1" showInputMessage="1" showErrorMessage="1" sqref="E1032">
      <formula1>0</formula1>
    </dataValidation>
    <dataValidation type="whole" operator="greaterThan" allowBlank="1" showInputMessage="1" showErrorMessage="1" sqref="A1033">
      <formula1>0</formula1>
    </dataValidation>
    <dataValidation type="list" allowBlank="1" showInputMessage="1" showErrorMessage="1" sqref="C1033">
      <formula1>UnidadesList</formula1>
    </dataValidation>
    <dataValidation type="decimal" operator="greaterThan" allowBlank="1" showInputMessage="1" showErrorMessage="1" sqref="D1033">
      <formula1>0</formula1>
    </dataValidation>
    <dataValidation type="decimal" operator="greaterThan" allowBlank="1" showInputMessage="1" showErrorMessage="1" sqref="E1033">
      <formula1>0</formula1>
    </dataValidation>
    <dataValidation type="whole" operator="greaterThan" allowBlank="1" showInputMessage="1" showErrorMessage="1" sqref="A1034">
      <formula1>0</formula1>
    </dataValidation>
    <dataValidation type="list" allowBlank="1" showInputMessage="1" showErrorMessage="1" sqref="C1034">
      <formula1>UnidadesList</formula1>
    </dataValidation>
    <dataValidation type="decimal" operator="greaterThan" allowBlank="1" showInputMessage="1" showErrorMessage="1" sqref="D1034">
      <formula1>0</formula1>
    </dataValidation>
    <dataValidation type="decimal" operator="greaterThan" allowBlank="1" showInputMessage="1" showErrorMessage="1" sqref="E1034">
      <formula1>0</formula1>
    </dataValidation>
    <dataValidation type="whole" operator="greaterThan" allowBlank="1" showInputMessage="1" showErrorMessage="1" sqref="A1035">
      <formula1>0</formula1>
    </dataValidation>
    <dataValidation type="list" allowBlank="1" showInputMessage="1" showErrorMessage="1" sqref="C1035">
      <formula1>UnidadesList</formula1>
    </dataValidation>
    <dataValidation type="decimal" operator="greaterThan" allowBlank="1" showInputMessage="1" showErrorMessage="1" sqref="D1035">
      <formula1>0</formula1>
    </dataValidation>
    <dataValidation type="decimal" operator="greaterThan" allowBlank="1" showInputMessage="1" showErrorMessage="1" sqref="E1035">
      <formula1>0</formula1>
    </dataValidation>
    <dataValidation type="whole" operator="greaterThan" allowBlank="1" showInputMessage="1" showErrorMessage="1" sqref="A1036">
      <formula1>0</formula1>
    </dataValidation>
    <dataValidation type="list" allowBlank="1" showInputMessage="1" showErrorMessage="1" sqref="C1036">
      <formula1>UnidadesList</formula1>
    </dataValidation>
    <dataValidation type="decimal" operator="greaterThan" allowBlank="1" showInputMessage="1" showErrorMessage="1" sqref="D1036">
      <formula1>0</formula1>
    </dataValidation>
    <dataValidation type="decimal" operator="greaterThan" allowBlank="1" showInputMessage="1" showErrorMessage="1" sqref="E1036">
      <formula1>0</formula1>
    </dataValidation>
    <dataValidation type="whole" operator="greaterThan" allowBlank="1" showInputMessage="1" showErrorMessage="1" sqref="A1037">
      <formula1>0</formula1>
    </dataValidation>
    <dataValidation type="list" allowBlank="1" showInputMessage="1" showErrorMessage="1" sqref="C1037">
      <formula1>UnidadesList</formula1>
    </dataValidation>
    <dataValidation type="decimal" operator="greaterThan" allowBlank="1" showInputMessage="1" showErrorMessage="1" sqref="D1037">
      <formula1>0</formula1>
    </dataValidation>
    <dataValidation type="decimal" operator="greaterThan" allowBlank="1" showInputMessage="1" showErrorMessage="1" sqref="E1037">
      <formula1>0</formula1>
    </dataValidation>
    <dataValidation type="date" operator="lessThanOrEqual" allowBlank="1" showInputMessage="1" showErrorMessage="1" sqref="C1042">
      <formula1>C1044</formula1>
    </dataValidation>
    <dataValidation type="date" operator="greaterThanOrEqual" allowBlank="1" showInputMessage="1" showErrorMessage="1" sqref="C1044">
      <formula1>C1042</formula1>
    </dataValidation>
    <dataValidation type="list" allowBlank="1" showInputMessage="1" showErrorMessage="1" sqref="F10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48">
      <formula1>0</formula1>
    </dataValidation>
    <dataValidation type="list" allowBlank="1" showInputMessage="1" showErrorMessage="1" sqref="C1048">
      <formula1>UnidadesList</formula1>
    </dataValidation>
    <dataValidation type="decimal" operator="greaterThan" allowBlank="1" showInputMessage="1" showErrorMessage="1" sqref="D1048">
      <formula1>0</formula1>
    </dataValidation>
    <dataValidation type="decimal" operator="greaterThan" allowBlank="1" showInputMessage="1" showErrorMessage="1" sqref="E1048">
      <formula1>0</formula1>
    </dataValidation>
    <dataValidation type="whole" operator="greaterThan" allowBlank="1" showInputMessage="1" showErrorMessage="1" sqref="A1049">
      <formula1>0</formula1>
    </dataValidation>
    <dataValidation type="list" allowBlank="1" showInputMessage="1" showErrorMessage="1" sqref="C1049">
      <formula1>UnidadesList</formula1>
    </dataValidation>
    <dataValidation type="decimal" operator="greaterThan" allowBlank="1" showInputMessage="1" showErrorMessage="1" sqref="D1049">
      <formula1>0</formula1>
    </dataValidation>
    <dataValidation type="decimal" operator="greaterThan" allowBlank="1" showInputMessage="1" showErrorMessage="1" sqref="E1049">
      <formula1>0</formula1>
    </dataValidation>
    <dataValidation type="whole" operator="greaterThan" allowBlank="1" showInputMessage="1" showErrorMessage="1" sqref="A1050">
      <formula1>0</formula1>
    </dataValidation>
    <dataValidation type="list" allowBlank="1" showInputMessage="1" showErrorMessage="1" sqref="C1050">
      <formula1>UnidadesList</formula1>
    </dataValidation>
    <dataValidation type="decimal" operator="greaterThan" allowBlank="1" showInputMessage="1" showErrorMessage="1" sqref="D1050">
      <formula1>0</formula1>
    </dataValidation>
    <dataValidation type="decimal" operator="greaterThan" allowBlank="1" showInputMessage="1" showErrorMessage="1" sqref="E1050">
      <formula1>0</formula1>
    </dataValidation>
    <dataValidation type="whole" operator="greaterThan" allowBlank="1" showInputMessage="1" showErrorMessage="1" sqref="A1051">
      <formula1>0</formula1>
    </dataValidation>
    <dataValidation type="list" allowBlank="1" showInputMessage="1" showErrorMessage="1" sqref="C1051">
      <formula1>UnidadesList</formula1>
    </dataValidation>
    <dataValidation type="decimal" operator="greaterThan" allowBlank="1" showInputMessage="1" showErrorMessage="1" sqref="D1051">
      <formula1>0</formula1>
    </dataValidation>
    <dataValidation type="decimal" operator="greaterThan" allowBlank="1" showInputMessage="1" showErrorMessage="1" sqref="E1051">
      <formula1>0</formula1>
    </dataValidation>
    <dataValidation type="whole" operator="greaterThan" allowBlank="1" showInputMessage="1" showErrorMessage="1" sqref="A1052">
      <formula1>0</formula1>
    </dataValidation>
    <dataValidation type="list" allowBlank="1" showInputMessage="1" showErrorMessage="1" sqref="C1052">
      <formula1>UnidadesList</formula1>
    </dataValidation>
    <dataValidation type="decimal" operator="greaterThan" allowBlank="1" showInputMessage="1" showErrorMessage="1" sqref="D1052">
      <formula1>0</formula1>
    </dataValidation>
    <dataValidation type="decimal" operator="greaterThan" allowBlank="1" showInputMessage="1" showErrorMessage="1" sqref="E1052">
      <formula1>0</formula1>
    </dataValidation>
    <dataValidation type="whole" operator="greaterThan" allowBlank="1" showInputMessage="1" showErrorMessage="1" sqref="A1053">
      <formula1>0</formula1>
    </dataValidation>
    <dataValidation type="list" allowBlank="1" showInputMessage="1" showErrorMessage="1" sqref="C1053">
      <formula1>UnidadesList</formula1>
    </dataValidation>
    <dataValidation type="decimal" operator="greaterThan" allowBlank="1" showInputMessage="1" showErrorMessage="1" sqref="D1053">
      <formula1>0</formula1>
    </dataValidation>
    <dataValidation type="decimal" operator="greaterThan" allowBlank="1" showInputMessage="1" showErrorMessage="1" sqref="E1053">
      <formula1>0</formula1>
    </dataValidation>
    <dataValidation type="whole" operator="greaterThan" allowBlank="1" showInputMessage="1" showErrorMessage="1" sqref="A1054">
      <formula1>0</formula1>
    </dataValidation>
    <dataValidation type="list" allowBlank="1" showInputMessage="1" showErrorMessage="1" sqref="C1054">
      <formula1>UnidadesList</formula1>
    </dataValidation>
    <dataValidation type="decimal" operator="greaterThan" allowBlank="1" showInputMessage="1" showErrorMessage="1" sqref="D1054">
      <formula1>0</formula1>
    </dataValidation>
    <dataValidation type="decimal" operator="greaterThan" allowBlank="1" showInputMessage="1" showErrorMessage="1" sqref="E1054">
      <formula1>0</formula1>
    </dataValidation>
    <dataValidation type="whole" operator="greaterThan" allowBlank="1" showInputMessage="1" showErrorMessage="1" sqref="A1055">
      <formula1>0</formula1>
    </dataValidation>
    <dataValidation type="list" allowBlank="1" showInputMessage="1" showErrorMessage="1" sqref="C1055">
      <formula1>UnidadesList</formula1>
    </dataValidation>
    <dataValidation type="decimal" operator="greaterThan" allowBlank="1" showInputMessage="1" showErrorMessage="1" sqref="D1055">
      <formula1>0</formula1>
    </dataValidation>
    <dataValidation type="decimal" operator="greaterThan" allowBlank="1" showInputMessage="1" showErrorMessage="1" sqref="E1055">
      <formula1>0</formula1>
    </dataValidation>
    <dataValidation type="whole" operator="greaterThan" allowBlank="1" showInputMessage="1" showErrorMessage="1" sqref="A1056">
      <formula1>0</formula1>
    </dataValidation>
    <dataValidation type="list" allowBlank="1" showInputMessage="1" showErrorMessage="1" sqref="C1056">
      <formula1>UnidadesList</formula1>
    </dataValidation>
    <dataValidation type="decimal" operator="greaterThan" allowBlank="1" showInputMessage="1" showErrorMessage="1" sqref="D1056">
      <formula1>0</formula1>
    </dataValidation>
    <dataValidation type="decimal" operator="greaterThan" allowBlank="1" showInputMessage="1" showErrorMessage="1" sqref="E1056">
      <formula1>0</formula1>
    </dataValidation>
    <dataValidation type="whole" operator="greaterThan" allowBlank="1" showInputMessage="1" showErrorMessage="1" sqref="A1057">
      <formula1>0</formula1>
    </dataValidation>
    <dataValidation type="list" allowBlank="1" showInputMessage="1" showErrorMessage="1" sqref="C1057">
      <formula1>UnidadesList</formula1>
    </dataValidation>
    <dataValidation type="decimal" operator="greaterThan" allowBlank="1" showInputMessage="1" showErrorMessage="1" sqref="D1057">
      <formula1>0</formula1>
    </dataValidation>
    <dataValidation type="decimal" operator="greaterThan" allowBlank="1" showInputMessage="1" showErrorMessage="1" sqref="E1057">
      <formula1>0</formula1>
    </dataValidation>
    <dataValidation type="whole" operator="greaterThan" allowBlank="1" showInputMessage="1" showErrorMessage="1" sqref="A1058">
      <formula1>0</formula1>
    </dataValidation>
    <dataValidation type="list" allowBlank="1" showInputMessage="1" showErrorMessage="1" sqref="C1058">
      <formula1>UnidadesList</formula1>
    </dataValidation>
    <dataValidation type="decimal" operator="greaterThan" allowBlank="1" showInputMessage="1" showErrorMessage="1" sqref="D1058">
      <formula1>0</formula1>
    </dataValidation>
    <dataValidation type="decimal" operator="greaterThan" allowBlank="1" showInputMessage="1" showErrorMessage="1" sqref="E1058">
      <formula1>0</formula1>
    </dataValidation>
    <dataValidation type="whole" operator="greaterThan" allowBlank="1" showInputMessage="1" showErrorMessage="1" sqref="A1059">
      <formula1>0</formula1>
    </dataValidation>
    <dataValidation type="list" allowBlank="1" showInputMessage="1" showErrorMessage="1" sqref="C1059">
      <formula1>UnidadesList</formula1>
    </dataValidation>
    <dataValidation type="decimal" operator="greaterThan" allowBlank="1" showInputMessage="1" showErrorMessage="1" sqref="D1059">
      <formula1>0</formula1>
    </dataValidation>
    <dataValidation type="decimal" operator="greaterThan" allowBlank="1" showInputMessage="1" showErrorMessage="1" sqref="E1059">
      <formula1>0</formula1>
    </dataValidation>
    <dataValidation type="whole" operator="greaterThan" allowBlank="1" showInputMessage="1" showErrorMessage="1" sqref="A1060">
      <formula1>0</formula1>
    </dataValidation>
    <dataValidation type="list" allowBlank="1" showInputMessage="1" showErrorMessage="1" sqref="C1060">
      <formula1>UnidadesList</formula1>
    </dataValidation>
    <dataValidation type="decimal" operator="greaterThan" allowBlank="1" showInputMessage="1" showErrorMessage="1" sqref="D1060">
      <formula1>0</formula1>
    </dataValidation>
    <dataValidation type="decimal" operator="greaterThan" allowBlank="1" showInputMessage="1" showErrorMessage="1" sqref="E1060">
      <formula1>0</formula1>
    </dataValidation>
    <dataValidation type="whole" operator="greaterThan" allowBlank="1" showInputMessage="1" showErrorMessage="1" sqref="A1061">
      <formula1>0</formula1>
    </dataValidation>
    <dataValidation type="list" allowBlank="1" showInputMessage="1" showErrorMessage="1" sqref="C1061">
      <formula1>UnidadesList</formula1>
    </dataValidation>
    <dataValidation type="decimal" operator="greaterThan" allowBlank="1" showInputMessage="1" showErrorMessage="1" sqref="D1061">
      <formula1>0</formula1>
    </dataValidation>
    <dataValidation type="decimal" operator="greaterThan" allowBlank="1" showInputMessage="1" showErrorMessage="1" sqref="E1061">
      <formula1>0</formula1>
    </dataValidation>
    <dataValidation type="whole" operator="greaterThan" allowBlank="1" showInputMessage="1" showErrorMessage="1" sqref="A1062">
      <formula1>0</formula1>
    </dataValidation>
    <dataValidation type="list" allowBlank="1" showInputMessage="1" showErrorMessage="1" sqref="C1062">
      <formula1>UnidadesList</formula1>
    </dataValidation>
    <dataValidation type="decimal" operator="greaterThan" allowBlank="1" showInputMessage="1" showErrorMessage="1" sqref="D1062">
      <formula1>0</formula1>
    </dataValidation>
    <dataValidation type="decimal" operator="greaterThan" allowBlank="1" showInputMessage="1" showErrorMessage="1" sqref="E1062">
      <formula1>0</formula1>
    </dataValidation>
    <dataValidation type="whole" operator="greaterThan" allowBlank="1" showInputMessage="1" showErrorMessage="1" sqref="A1063">
      <formula1>0</formula1>
    </dataValidation>
    <dataValidation type="list" allowBlank="1" showInputMessage="1" showErrorMessage="1" sqref="C1063">
      <formula1>UnidadesList</formula1>
    </dataValidation>
    <dataValidation type="decimal" operator="greaterThan" allowBlank="1" showInputMessage="1" showErrorMessage="1" sqref="D1063">
      <formula1>0</formula1>
    </dataValidation>
    <dataValidation type="decimal" operator="greaterThan" allowBlank="1" showInputMessage="1" showErrorMessage="1" sqref="E1063">
      <formula1>0</formula1>
    </dataValidation>
    <dataValidation type="whole" operator="greaterThan" allowBlank="1" showInputMessage="1" showErrorMessage="1" sqref="A1064">
      <formula1>0</formula1>
    </dataValidation>
    <dataValidation type="list" allowBlank="1" showInputMessage="1" showErrorMessage="1" sqref="C1064">
      <formula1>UnidadesList</formula1>
    </dataValidation>
    <dataValidation type="decimal" operator="greaterThan" allowBlank="1" showInputMessage="1" showErrorMessage="1" sqref="D1064">
      <formula1>0</formula1>
    </dataValidation>
    <dataValidation type="decimal" operator="greaterThan" allowBlank="1" showInputMessage="1" showErrorMessage="1" sqref="E1064">
      <formula1>0</formula1>
    </dataValidation>
    <dataValidation type="whole" operator="greaterThan" allowBlank="1" showInputMessage="1" showErrorMessage="1" sqref="A1065">
      <formula1>0</formula1>
    </dataValidation>
    <dataValidation type="list" allowBlank="1" showInputMessage="1" showErrorMessage="1" sqref="C1065">
      <formula1>UnidadesList</formula1>
    </dataValidation>
    <dataValidation type="decimal" operator="greaterThan" allowBlank="1" showInputMessage="1" showErrorMessage="1" sqref="D1065">
      <formula1>0</formula1>
    </dataValidation>
    <dataValidation type="decimal" operator="greaterThan" allowBlank="1" showInputMessage="1" showErrorMessage="1" sqref="E1065">
      <formula1>0</formula1>
    </dataValidation>
    <dataValidation type="whole" operator="greaterThan" allowBlank="1" showInputMessage="1" showErrorMessage="1" sqref="A1066">
      <formula1>0</formula1>
    </dataValidation>
    <dataValidation type="list" allowBlank="1" showInputMessage="1" showErrorMessage="1" sqref="C1066">
      <formula1>UnidadesList</formula1>
    </dataValidation>
    <dataValidation type="decimal" operator="greaterThan" allowBlank="1" showInputMessage="1" showErrorMessage="1" sqref="D1066">
      <formula1>0</formula1>
    </dataValidation>
    <dataValidation type="decimal" operator="greaterThan" allowBlank="1" showInputMessage="1" showErrorMessage="1" sqref="E1066">
      <formula1>0</formula1>
    </dataValidation>
    <dataValidation type="whole" operator="greaterThan" allowBlank="1" showInputMessage="1" showErrorMessage="1" sqref="A1067">
      <formula1>0</formula1>
    </dataValidation>
    <dataValidation type="list" allowBlank="1" showInputMessage="1" showErrorMessage="1" sqref="C1067">
      <formula1>UnidadesList</formula1>
    </dataValidation>
    <dataValidation type="decimal" operator="greaterThan" allowBlank="1" showInputMessage="1" showErrorMessage="1" sqref="D1067">
      <formula1>0</formula1>
    </dataValidation>
    <dataValidation type="decimal" operator="greaterThan" allowBlank="1" showInputMessage="1" showErrorMessage="1" sqref="E1067">
      <formula1>0</formula1>
    </dataValidation>
    <dataValidation type="whole" operator="greaterThan" allowBlank="1" showInputMessage="1" showErrorMessage="1" sqref="A1068">
      <formula1>0</formula1>
    </dataValidation>
    <dataValidation type="list" allowBlank="1" showInputMessage="1" showErrorMessage="1" sqref="C1068">
      <formula1>UnidadesList</formula1>
    </dataValidation>
    <dataValidation type="decimal" operator="greaterThan" allowBlank="1" showInputMessage="1" showErrorMessage="1" sqref="D1068">
      <formula1>0</formula1>
    </dataValidation>
    <dataValidation type="decimal" operator="greaterThan" allowBlank="1" showInputMessage="1" showErrorMessage="1" sqref="E1068">
      <formula1>0</formula1>
    </dataValidation>
    <dataValidation type="whole" operator="greaterThan" allowBlank="1" showInputMessage="1" showErrorMessage="1" sqref="A1069">
      <formula1>0</formula1>
    </dataValidation>
    <dataValidation type="list" allowBlank="1" showInputMessage="1" showErrorMessage="1" sqref="C1069">
      <formula1>UnidadesList</formula1>
    </dataValidation>
    <dataValidation type="decimal" operator="greaterThan" allowBlank="1" showInputMessage="1" showErrorMessage="1" sqref="D1069">
      <formula1>0</formula1>
    </dataValidation>
    <dataValidation type="decimal" operator="greaterThan" allowBlank="1" showInputMessage="1" showErrorMessage="1" sqref="E1069">
      <formula1>0</formula1>
    </dataValidation>
    <dataValidation type="whole" operator="greaterThan" allowBlank="1" showInputMessage="1" showErrorMessage="1" sqref="A1070">
      <formula1>0</formula1>
    </dataValidation>
    <dataValidation type="list" allowBlank="1" showInputMessage="1" showErrorMessage="1" sqref="C1070">
      <formula1>UnidadesList</formula1>
    </dataValidation>
    <dataValidation type="decimal" operator="greaterThan" allowBlank="1" showInputMessage="1" showErrorMessage="1" sqref="D1070">
      <formula1>0</formula1>
    </dataValidation>
    <dataValidation type="decimal" operator="greaterThan" allowBlank="1" showInputMessage="1" showErrorMessage="1" sqref="E1070">
      <formula1>0</formula1>
    </dataValidation>
    <dataValidation type="whole" operator="greaterThan" allowBlank="1" showInputMessage="1" showErrorMessage="1" sqref="A1071">
      <formula1>0</formula1>
    </dataValidation>
    <dataValidation type="list" allowBlank="1" showInputMessage="1" showErrorMessage="1" sqref="C1071">
      <formula1>UnidadesList</formula1>
    </dataValidation>
    <dataValidation type="decimal" operator="greaterThan" allowBlank="1" showInputMessage="1" showErrorMessage="1" sqref="D1071">
      <formula1>0</formula1>
    </dataValidation>
    <dataValidation type="decimal" operator="greaterThan" allowBlank="1" showInputMessage="1" showErrorMessage="1" sqref="E1071">
      <formula1>0</formula1>
    </dataValidation>
    <dataValidation type="whole" operator="greaterThan" allowBlank="1" showInputMessage="1" showErrorMessage="1" sqref="A1072">
      <formula1>0</formula1>
    </dataValidation>
    <dataValidation type="list" allowBlank="1" showInputMessage="1" showErrorMessage="1" sqref="C1072">
      <formula1>UnidadesList</formula1>
    </dataValidation>
    <dataValidation type="decimal" operator="greaterThan" allowBlank="1" showInputMessage="1" showErrorMessage="1" sqref="D1072">
      <formula1>0</formula1>
    </dataValidation>
    <dataValidation type="decimal" operator="greaterThan" allowBlank="1" showInputMessage="1" showErrorMessage="1" sqref="E1072">
      <formula1>0</formula1>
    </dataValidation>
    <dataValidation type="whole" operator="greaterThan" allowBlank="1" showInputMessage="1" showErrorMessage="1" sqref="A1073">
      <formula1>0</formula1>
    </dataValidation>
    <dataValidation type="list" allowBlank="1" showInputMessage="1" showErrorMessage="1" sqref="C1073">
      <formula1>UnidadesList</formula1>
    </dataValidation>
    <dataValidation type="decimal" operator="greaterThan" allowBlank="1" showInputMessage="1" showErrorMessage="1" sqref="D1073">
      <formula1>0</formula1>
    </dataValidation>
    <dataValidation type="decimal" operator="greaterThan" allowBlank="1" showInputMessage="1" showErrorMessage="1" sqref="E1073">
      <formula1>0</formula1>
    </dataValidation>
    <dataValidation type="whole" operator="greaterThan" allowBlank="1" showInputMessage="1" showErrorMessage="1" sqref="A1074">
      <formula1>0</formula1>
    </dataValidation>
    <dataValidation type="list" allowBlank="1" showInputMessage="1" showErrorMessage="1" sqref="C1074">
      <formula1>UnidadesList</formula1>
    </dataValidation>
    <dataValidation type="decimal" operator="greaterThan" allowBlank="1" showInputMessage="1" showErrorMessage="1" sqref="D1074">
      <formula1>0</formula1>
    </dataValidation>
    <dataValidation type="decimal" operator="greaterThan" allowBlank="1" showInputMessage="1" showErrorMessage="1" sqref="E1074">
      <formula1>0</formula1>
    </dataValidation>
    <dataValidation type="whole" operator="greaterThan" allowBlank="1" showInputMessage="1" showErrorMessage="1" sqref="A1075">
      <formula1>0</formula1>
    </dataValidation>
    <dataValidation type="list" allowBlank="1" showInputMessage="1" showErrorMessage="1" sqref="C1075">
      <formula1>UnidadesList</formula1>
    </dataValidation>
    <dataValidation type="decimal" operator="greaterThan" allowBlank="1" showInputMessage="1" showErrorMessage="1" sqref="D1075">
      <formula1>0</formula1>
    </dataValidation>
    <dataValidation type="decimal" operator="greaterThan" allowBlank="1" showInputMessage="1" showErrorMessage="1" sqref="E1075">
      <formula1>0</formula1>
    </dataValidation>
    <dataValidation type="whole" operator="greaterThan" allowBlank="1" showInputMessage="1" showErrorMessage="1" sqref="A1076">
      <formula1>0</formula1>
    </dataValidation>
    <dataValidation type="list" allowBlank="1" showInputMessage="1" showErrorMessage="1" sqref="C1076">
      <formula1>UnidadesList</formula1>
    </dataValidation>
    <dataValidation type="decimal" operator="greaterThan" allowBlank="1" showInputMessage="1" showErrorMessage="1" sqref="D1076">
      <formula1>0</formula1>
    </dataValidation>
    <dataValidation type="decimal" operator="greaterThan" allowBlank="1" showInputMessage="1" showErrorMessage="1" sqref="E1076">
      <formula1>0</formula1>
    </dataValidation>
    <dataValidation type="whole" operator="greaterThan" allowBlank="1" showInputMessage="1" showErrorMessage="1" sqref="A1077">
      <formula1>0</formula1>
    </dataValidation>
    <dataValidation type="list" allowBlank="1" showInputMessage="1" showErrorMessage="1" sqref="C1077">
      <formula1>UnidadesList</formula1>
    </dataValidation>
    <dataValidation type="decimal" operator="greaterThan" allowBlank="1" showInputMessage="1" showErrorMessage="1" sqref="D1077">
      <formula1>0</formula1>
    </dataValidation>
    <dataValidation type="decimal" operator="greaterThan" allowBlank="1" showInputMessage="1" showErrorMessage="1" sqref="E1077">
      <formula1>0</formula1>
    </dataValidation>
    <dataValidation type="whole" operator="greaterThan" allowBlank="1" showInputMessage="1" showErrorMessage="1" sqref="A1078">
      <formula1>0</formula1>
    </dataValidation>
    <dataValidation type="list" allowBlank="1" showInputMessage="1" showErrorMessage="1" sqref="C1078">
      <formula1>UnidadesList</formula1>
    </dataValidation>
    <dataValidation type="decimal" operator="greaterThan" allowBlank="1" showInputMessage="1" showErrorMessage="1" sqref="D1078">
      <formula1>0</formula1>
    </dataValidation>
    <dataValidation type="decimal" operator="greaterThan" allowBlank="1" showInputMessage="1" showErrorMessage="1" sqref="E1078">
      <formula1>0</formula1>
    </dataValidation>
    <dataValidation type="whole" operator="greaterThan" allowBlank="1" showInputMessage="1" showErrorMessage="1" sqref="A1079">
      <formula1>0</formula1>
    </dataValidation>
    <dataValidation type="list" allowBlank="1" showInputMessage="1" showErrorMessage="1" sqref="C1079">
      <formula1>UnidadesList</formula1>
    </dataValidation>
    <dataValidation type="decimal" operator="greaterThan" allowBlank="1" showInputMessage="1" showErrorMessage="1" sqref="D1079">
      <formula1>0</formula1>
    </dataValidation>
    <dataValidation type="decimal" operator="greaterThan" allowBlank="1" showInputMessage="1" showErrorMessage="1" sqref="E1079">
      <formula1>0</formula1>
    </dataValidation>
    <dataValidation type="whole" operator="greaterThan" allowBlank="1" showInputMessage="1" showErrorMessage="1" sqref="A1080">
      <formula1>0</formula1>
    </dataValidation>
    <dataValidation type="list" allowBlank="1" showInputMessage="1" showErrorMessage="1" sqref="C1080">
      <formula1>UnidadesList</formula1>
    </dataValidation>
    <dataValidation type="decimal" operator="greaterThan" allowBlank="1" showInputMessage="1" showErrorMessage="1" sqref="D1080">
      <formula1>0</formula1>
    </dataValidation>
    <dataValidation type="decimal" operator="greaterThan" allowBlank="1" showInputMessage="1" showErrorMessage="1" sqref="E1080">
      <formula1>0</formula1>
    </dataValidation>
    <dataValidation type="whole" operator="greaterThan" allowBlank="1" showInputMessage="1" showErrorMessage="1" sqref="A1081">
      <formula1>0</formula1>
    </dataValidation>
    <dataValidation type="list" allowBlank="1" showInputMessage="1" showErrorMessage="1" sqref="C1081">
      <formula1>UnidadesList</formula1>
    </dataValidation>
    <dataValidation type="decimal" operator="greaterThan" allowBlank="1" showInputMessage="1" showErrorMessage="1" sqref="D1081">
      <formula1>0</formula1>
    </dataValidation>
    <dataValidation type="decimal" operator="greaterThan" allowBlank="1" showInputMessage="1" showErrorMessage="1" sqref="E1081">
      <formula1>0</formula1>
    </dataValidation>
    <dataValidation type="whole" operator="greaterThan" allowBlank="1" showInputMessage="1" showErrorMessage="1" sqref="A1082">
      <formula1>0</formula1>
    </dataValidation>
    <dataValidation type="list" allowBlank="1" showInputMessage="1" showErrorMessage="1" sqref="C1082">
      <formula1>UnidadesList</formula1>
    </dataValidation>
    <dataValidation type="decimal" operator="greaterThan" allowBlank="1" showInputMessage="1" showErrorMessage="1" sqref="D1082">
      <formula1>0</formula1>
    </dataValidation>
    <dataValidation type="decimal" operator="greaterThan" allowBlank="1" showInputMessage="1" showErrorMessage="1" sqref="E1082">
      <formula1>0</formula1>
    </dataValidation>
    <dataValidation type="whole" operator="greaterThan" allowBlank="1" showInputMessage="1" showErrorMessage="1" sqref="A1083">
      <formula1>0</formula1>
    </dataValidation>
    <dataValidation type="list" allowBlank="1" showInputMessage="1" showErrorMessage="1" sqref="C1083">
      <formula1>UnidadesList</formula1>
    </dataValidation>
    <dataValidation type="decimal" operator="greaterThan" allowBlank="1" showInputMessage="1" showErrorMessage="1" sqref="D1083">
      <formula1>0</formula1>
    </dataValidation>
    <dataValidation type="decimal" operator="greaterThan" allowBlank="1" showInputMessage="1" showErrorMessage="1" sqref="E1083">
      <formula1>0</formula1>
    </dataValidation>
    <dataValidation type="whole" operator="greaterThan" allowBlank="1" showInputMessage="1" showErrorMessage="1" sqref="A1084">
      <formula1>0</formula1>
    </dataValidation>
    <dataValidation type="list" allowBlank="1" showInputMessage="1" showErrorMessage="1" sqref="C1084">
      <formula1>UnidadesList</formula1>
    </dataValidation>
    <dataValidation type="decimal" operator="greaterThan" allowBlank="1" showInputMessage="1" showErrorMessage="1" sqref="D1084">
      <formula1>0</formula1>
    </dataValidation>
    <dataValidation type="decimal" operator="greaterThan" allowBlank="1" showInputMessage="1" showErrorMessage="1" sqref="E1084">
      <formula1>0</formula1>
    </dataValidation>
    <dataValidation type="date" operator="lessThanOrEqual" allowBlank="1" showInputMessage="1" showErrorMessage="1" sqref="C1089">
      <formula1>C1091</formula1>
    </dataValidation>
    <dataValidation type="date" operator="greaterThanOrEqual" allowBlank="1" showInputMessage="1" showErrorMessage="1" sqref="C1091">
      <formula1>C1089</formula1>
    </dataValidation>
    <dataValidation type="list" allowBlank="1" showInputMessage="1" showErrorMessage="1" sqref="F10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95">
      <formula1>0</formula1>
    </dataValidation>
    <dataValidation type="list" allowBlank="1" showInputMessage="1" showErrorMessage="1" sqref="C1095">
      <formula1>UnidadesList</formula1>
    </dataValidation>
    <dataValidation type="decimal" operator="greaterThan" allowBlank="1" showInputMessage="1" showErrorMessage="1" sqref="D1095">
      <formula1>0</formula1>
    </dataValidation>
    <dataValidation type="decimal" operator="greaterThan" allowBlank="1" showInputMessage="1" showErrorMessage="1" sqref="E1095">
      <formula1>0</formula1>
    </dataValidation>
    <dataValidation type="whole" operator="greaterThan" allowBlank="1" showInputMessage="1" showErrorMessage="1" sqref="A1096">
      <formula1>0</formula1>
    </dataValidation>
    <dataValidation type="list" allowBlank="1" showInputMessage="1" showErrorMessage="1" sqref="C1096">
      <formula1>UnidadesList</formula1>
    </dataValidation>
    <dataValidation type="decimal" operator="greaterThan" allowBlank="1" showInputMessage="1" showErrorMessage="1" sqref="D1096">
      <formula1>0</formula1>
    </dataValidation>
    <dataValidation type="decimal" operator="greaterThan" allowBlank="1" showInputMessage="1" showErrorMessage="1" sqref="E1096">
      <formula1>0</formula1>
    </dataValidation>
    <dataValidation type="whole" operator="greaterThan" allowBlank="1" showInputMessage="1" showErrorMessage="1" sqref="A1097">
      <formula1>0</formula1>
    </dataValidation>
    <dataValidation type="list" allowBlank="1" showInputMessage="1" showErrorMessage="1" sqref="C1097">
      <formula1>UnidadesList</formula1>
    </dataValidation>
    <dataValidation type="decimal" operator="greaterThan" allowBlank="1" showInputMessage="1" showErrorMessage="1" sqref="D1097">
      <formula1>0</formula1>
    </dataValidation>
    <dataValidation type="decimal" operator="greaterThan" allowBlank="1" showInputMessage="1" showErrorMessage="1" sqref="E1097">
      <formula1>0</formula1>
    </dataValidation>
    <dataValidation type="whole" operator="greaterThan" allowBlank="1" showInputMessage="1" showErrorMessage="1" sqref="A1098">
      <formula1>0</formula1>
    </dataValidation>
    <dataValidation type="list" allowBlank="1" showInputMessage="1" showErrorMessage="1" sqref="C1098">
      <formula1>UnidadesList</formula1>
    </dataValidation>
    <dataValidation type="decimal" operator="greaterThan" allowBlank="1" showInputMessage="1" showErrorMessage="1" sqref="D1098">
      <formula1>0</formula1>
    </dataValidation>
    <dataValidation type="decimal" operator="greaterThan" allowBlank="1" showInputMessage="1" showErrorMessage="1" sqref="E1098">
      <formula1>0</formula1>
    </dataValidation>
    <dataValidation type="whole" operator="greaterThan" allowBlank="1" showInputMessage="1" showErrorMessage="1" sqref="A1099">
      <formula1>0</formula1>
    </dataValidation>
    <dataValidation type="list" allowBlank="1" showInputMessage="1" showErrorMessage="1" sqref="C1099">
      <formula1>UnidadesList</formula1>
    </dataValidation>
    <dataValidation type="decimal" operator="greaterThan" allowBlank="1" showInputMessage="1" showErrorMessage="1" sqref="D1099">
      <formula1>0</formula1>
    </dataValidation>
    <dataValidation type="decimal" operator="greaterThan" allowBlank="1" showInputMessage="1" showErrorMessage="1" sqref="E1099">
      <formula1>0</formula1>
    </dataValidation>
    <dataValidation type="whole" operator="greaterThan" allowBlank="1" showInputMessage="1" showErrorMessage="1" sqref="A1100">
      <formula1>0</formula1>
    </dataValidation>
    <dataValidation type="list" allowBlank="1" showInputMessage="1" showErrorMessage="1" sqref="C1100">
      <formula1>UnidadesList</formula1>
    </dataValidation>
    <dataValidation type="decimal" operator="greaterThan" allowBlank="1" showInputMessage="1" showErrorMessage="1" sqref="D1100">
      <formula1>0</formula1>
    </dataValidation>
    <dataValidation type="decimal" operator="greaterThan" allowBlank="1" showInputMessage="1" showErrorMessage="1" sqref="E1100">
      <formula1>0</formula1>
    </dataValidation>
    <dataValidation type="whole" operator="greaterThan" allowBlank="1" showInputMessage="1" showErrorMessage="1" sqref="A1101">
      <formula1>0</formula1>
    </dataValidation>
    <dataValidation type="list" allowBlank="1" showInputMessage="1" showErrorMessage="1" sqref="C1101">
      <formula1>UnidadesList</formula1>
    </dataValidation>
    <dataValidation type="decimal" operator="greaterThan" allowBlank="1" showInputMessage="1" showErrorMessage="1" sqref="D1101">
      <formula1>0</formula1>
    </dataValidation>
    <dataValidation type="decimal" operator="greaterThan" allowBlank="1" showInputMessage="1" showErrorMessage="1" sqref="E1101">
      <formula1>0</formula1>
    </dataValidation>
    <dataValidation type="whole" operator="greaterThan" allowBlank="1" showInputMessage="1" showErrorMessage="1" sqref="A1102">
      <formula1>0</formula1>
    </dataValidation>
    <dataValidation type="list" allowBlank="1" showInputMessage="1" showErrorMessage="1" sqref="C1102">
      <formula1>UnidadesList</formula1>
    </dataValidation>
    <dataValidation type="decimal" operator="greaterThan" allowBlank="1" showInputMessage="1" showErrorMessage="1" sqref="D1102">
      <formula1>0</formula1>
    </dataValidation>
    <dataValidation type="decimal" operator="greaterThan" allowBlank="1" showInputMessage="1" showErrorMessage="1" sqref="E1102">
      <formula1>0</formula1>
    </dataValidation>
    <dataValidation type="whole" operator="greaterThan" allowBlank="1" showInputMessage="1" showErrorMessage="1" sqref="A1103">
      <formula1>0</formula1>
    </dataValidation>
    <dataValidation type="list" allowBlank="1" showInputMessage="1" showErrorMessage="1" sqref="C1103">
      <formula1>UnidadesList</formula1>
    </dataValidation>
    <dataValidation type="decimal" operator="greaterThan" allowBlank="1" showInputMessage="1" showErrorMessage="1" sqref="D1103">
      <formula1>0</formula1>
    </dataValidation>
    <dataValidation type="decimal" operator="greaterThan" allowBlank="1" showInputMessage="1" showErrorMessage="1" sqref="E1103">
      <formula1>0</formula1>
    </dataValidation>
    <dataValidation type="whole" operator="greaterThan" allowBlank="1" showInputMessage="1" showErrorMessage="1" sqref="A1104">
      <formula1>0</formula1>
    </dataValidation>
    <dataValidation type="list" allowBlank="1" showInputMessage="1" showErrorMessage="1" sqref="C1104">
      <formula1>UnidadesList</formula1>
    </dataValidation>
    <dataValidation type="decimal" operator="greaterThan" allowBlank="1" showInputMessage="1" showErrorMessage="1" sqref="D1104">
      <formula1>0</formula1>
    </dataValidation>
    <dataValidation type="decimal" operator="greaterThan" allowBlank="1" showInputMessage="1" showErrorMessage="1" sqref="E1104">
      <formula1>0</formula1>
    </dataValidation>
    <dataValidation type="whole" operator="greaterThan" allowBlank="1" showInputMessage="1" showErrorMessage="1" sqref="A1105">
      <formula1>0</formula1>
    </dataValidation>
    <dataValidation type="list" allowBlank="1" showInputMessage="1" showErrorMessage="1" sqref="C1105">
      <formula1>UnidadesList</formula1>
    </dataValidation>
    <dataValidation type="decimal" operator="greaterThan" allowBlank="1" showInputMessage="1" showErrorMessage="1" sqref="D1105">
      <formula1>0</formula1>
    </dataValidation>
    <dataValidation type="decimal" operator="greaterThan" allowBlank="1" showInputMessage="1" showErrorMessage="1" sqref="E1105">
      <formula1>0</formula1>
    </dataValidation>
    <dataValidation type="whole" operator="greaterThan" allowBlank="1" showInputMessage="1" showErrorMessage="1" sqref="A1106">
      <formula1>0</formula1>
    </dataValidation>
    <dataValidation type="list" allowBlank="1" showInputMessage="1" showErrorMessage="1" sqref="C1106">
      <formula1>UnidadesList</formula1>
    </dataValidation>
    <dataValidation type="decimal" operator="greaterThan" allowBlank="1" showInputMessage="1" showErrorMessage="1" sqref="D1106">
      <formula1>0</formula1>
    </dataValidation>
    <dataValidation type="decimal" operator="greaterThan" allowBlank="1" showInputMessage="1" showErrorMessage="1" sqref="E1106">
      <formula1>0</formula1>
    </dataValidation>
    <dataValidation type="whole" operator="greaterThan" allowBlank="1" showInputMessage="1" showErrorMessage="1" sqref="A1107">
      <formula1>0</formula1>
    </dataValidation>
    <dataValidation type="list" allowBlank="1" showInputMessage="1" showErrorMessage="1" sqref="C1107">
      <formula1>UnidadesList</formula1>
    </dataValidation>
    <dataValidation type="decimal" operator="greaterThan" allowBlank="1" showInputMessage="1" showErrorMessage="1" sqref="D1107">
      <formula1>0</formula1>
    </dataValidation>
    <dataValidation type="decimal" operator="greaterThan" allowBlank="1" showInputMessage="1" showErrorMessage="1" sqref="E1107">
      <formula1>0</formula1>
    </dataValidation>
    <dataValidation type="whole" operator="greaterThan" allowBlank="1" showInputMessage="1" showErrorMessage="1" sqref="A1108">
      <formula1>0</formula1>
    </dataValidation>
    <dataValidation type="list" allowBlank="1" showInputMessage="1" showErrorMessage="1" sqref="C1108">
      <formula1>UnidadesList</formula1>
    </dataValidation>
    <dataValidation type="decimal" operator="greaterThan" allowBlank="1" showInputMessage="1" showErrorMessage="1" sqref="D1108">
      <formula1>0</formula1>
    </dataValidation>
    <dataValidation type="decimal" operator="greaterThan" allowBlank="1" showInputMessage="1" showErrorMessage="1" sqref="E1108">
      <formula1>0</formula1>
    </dataValidation>
    <dataValidation type="whole" operator="greaterThan" allowBlank="1" showInputMessage="1" showErrorMessage="1" sqref="A1109">
      <formula1>0</formula1>
    </dataValidation>
    <dataValidation type="list" allowBlank="1" showInputMessage="1" showErrorMessage="1" sqref="C1109">
      <formula1>UnidadesList</formula1>
    </dataValidation>
    <dataValidation type="decimal" operator="greaterThan" allowBlank="1" showInputMessage="1" showErrorMessage="1" sqref="D1109">
      <formula1>0</formula1>
    </dataValidation>
    <dataValidation type="decimal" operator="greaterThan" allowBlank="1" showInputMessage="1" showErrorMessage="1" sqref="E1109">
      <formula1>0</formula1>
    </dataValidation>
    <dataValidation type="whole" operator="greaterThan" allowBlank="1" showInputMessage="1" showErrorMessage="1" sqref="A1110">
      <formula1>0</formula1>
    </dataValidation>
    <dataValidation type="list" allowBlank="1" showInputMessage="1" showErrorMessage="1" sqref="C1110">
      <formula1>UnidadesList</formula1>
    </dataValidation>
    <dataValidation type="decimal" operator="greaterThan" allowBlank="1" showInputMessage="1" showErrorMessage="1" sqref="D1110">
      <formula1>0</formula1>
    </dataValidation>
    <dataValidation type="decimal" operator="greaterThan" allowBlank="1" showInputMessage="1" showErrorMessage="1" sqref="E1110">
      <formula1>0</formula1>
    </dataValidation>
    <dataValidation type="whole" operator="greaterThan" allowBlank="1" showInputMessage="1" showErrorMessage="1" sqref="A1111">
      <formula1>0</formula1>
    </dataValidation>
    <dataValidation type="list" allowBlank="1" showInputMessage="1" showErrorMessage="1" sqref="C1111">
      <formula1>UnidadesList</formula1>
    </dataValidation>
    <dataValidation type="decimal" operator="greaterThan" allowBlank="1" showInputMessage="1" showErrorMessage="1" sqref="D1111">
      <formula1>0</formula1>
    </dataValidation>
    <dataValidation type="decimal" operator="greaterThan" allowBlank="1" showInputMessage="1" showErrorMessage="1" sqref="E1111">
      <formula1>0</formula1>
    </dataValidation>
    <dataValidation type="whole" operator="greaterThan" allowBlank="1" showInputMessage="1" showErrorMessage="1" sqref="A1112">
      <formula1>0</formula1>
    </dataValidation>
    <dataValidation type="list" allowBlank="1" showInputMessage="1" showErrorMessage="1" sqref="C1112">
      <formula1>UnidadesList</formula1>
    </dataValidation>
    <dataValidation type="decimal" operator="greaterThan" allowBlank="1" showInputMessage="1" showErrorMessage="1" sqref="D1112">
      <formula1>0</formula1>
    </dataValidation>
    <dataValidation type="decimal" operator="greaterThan" allowBlank="1" showInputMessage="1" showErrorMessage="1" sqref="E1112">
      <formula1>0</formula1>
    </dataValidation>
    <dataValidation type="whole" operator="greaterThan" allowBlank="1" showInputMessage="1" showErrorMessage="1" sqref="A1113">
      <formula1>0</formula1>
    </dataValidation>
    <dataValidation type="list" allowBlank="1" showInputMessage="1" showErrorMessage="1" sqref="C1113">
      <formula1>UnidadesList</formula1>
    </dataValidation>
    <dataValidation type="decimal" operator="greaterThan" allowBlank="1" showInputMessage="1" showErrorMessage="1" sqref="D1113">
      <formula1>0</formula1>
    </dataValidation>
    <dataValidation type="decimal" operator="greaterThan" allowBlank="1" showInputMessage="1" showErrorMessage="1" sqref="E1113">
      <formula1>0</formula1>
    </dataValidation>
    <dataValidation type="whole" operator="greaterThan" allowBlank="1" showInputMessage="1" showErrorMessage="1" sqref="A1114">
      <formula1>0</formula1>
    </dataValidation>
    <dataValidation type="list" allowBlank="1" showInputMessage="1" showErrorMessage="1" sqref="C1114">
      <formula1>UnidadesList</formula1>
    </dataValidation>
    <dataValidation type="decimal" operator="greaterThan" allowBlank="1" showInputMessage="1" showErrorMessage="1" sqref="D1114">
      <formula1>0</formula1>
    </dataValidation>
    <dataValidation type="decimal" operator="greaterThan" allowBlank="1" showInputMessage="1" showErrorMessage="1" sqref="E1114">
      <formula1>0</formula1>
    </dataValidation>
    <dataValidation type="whole" operator="greaterThan" allowBlank="1" showInputMessage="1" showErrorMessage="1" sqref="A1115">
      <formula1>0</formula1>
    </dataValidation>
    <dataValidation type="list" allowBlank="1" showInputMessage="1" showErrorMessage="1" sqref="C1115">
      <formula1>UnidadesList</formula1>
    </dataValidation>
    <dataValidation type="decimal" operator="greaterThan" allowBlank="1" showInputMessage="1" showErrorMessage="1" sqref="D1115">
      <formula1>0</formula1>
    </dataValidation>
    <dataValidation type="decimal" operator="greaterThan" allowBlank="1" showInputMessage="1" showErrorMessage="1" sqref="E1115">
      <formula1>0</formula1>
    </dataValidation>
    <dataValidation type="whole" operator="greaterThan" allowBlank="1" showInputMessage="1" showErrorMessage="1" sqref="A1116">
      <formula1>0</formula1>
    </dataValidation>
    <dataValidation type="list" allowBlank="1" showInputMessage="1" showErrorMessage="1" sqref="C1116">
      <formula1>UnidadesList</formula1>
    </dataValidation>
    <dataValidation type="decimal" operator="greaterThan" allowBlank="1" showInputMessage="1" showErrorMessage="1" sqref="D1116">
      <formula1>0</formula1>
    </dataValidation>
    <dataValidation type="decimal" operator="greaterThan" allowBlank="1" showInputMessage="1" showErrorMessage="1" sqref="E1116">
      <formula1>0</formula1>
    </dataValidation>
    <dataValidation type="whole" operator="greaterThan" allowBlank="1" showInputMessage="1" showErrorMessage="1" sqref="A1117">
      <formula1>0</formula1>
    </dataValidation>
    <dataValidation type="list" allowBlank="1" showInputMessage="1" showErrorMessage="1" sqref="C1117">
      <formula1>UnidadesList</formula1>
    </dataValidation>
    <dataValidation type="decimal" operator="greaterThan" allowBlank="1" showInputMessage="1" showErrorMessage="1" sqref="D1117">
      <formula1>0</formula1>
    </dataValidation>
    <dataValidation type="decimal" operator="greaterThan" allowBlank="1" showInputMessage="1" showErrorMessage="1" sqref="E1117">
      <formula1>0</formula1>
    </dataValidation>
    <dataValidation type="whole" operator="greaterThan" allowBlank="1" showInputMessage="1" showErrorMessage="1" sqref="A1118">
      <formula1>0</formula1>
    </dataValidation>
    <dataValidation type="list" allowBlank="1" showInputMessage="1" showErrorMessage="1" sqref="C1118">
      <formula1>UnidadesList</formula1>
    </dataValidation>
    <dataValidation type="decimal" operator="greaterThan" allowBlank="1" showInputMessage="1" showErrorMessage="1" sqref="D1118">
      <formula1>0</formula1>
    </dataValidation>
    <dataValidation type="decimal" operator="greaterThan" allowBlank="1" showInputMessage="1" showErrorMessage="1" sqref="E1118">
      <formula1>0</formula1>
    </dataValidation>
    <dataValidation type="whole" operator="greaterThan" allowBlank="1" showInputMessage="1" showErrorMessage="1" sqref="A1119">
      <formula1>0</formula1>
    </dataValidation>
    <dataValidation type="list" allowBlank="1" showInputMessage="1" showErrorMessage="1" sqref="C1119">
      <formula1>UnidadesList</formula1>
    </dataValidation>
    <dataValidation type="decimal" operator="greaterThan" allowBlank="1" showInputMessage="1" showErrorMessage="1" sqref="D1119">
      <formula1>0</formula1>
    </dataValidation>
    <dataValidation type="decimal" operator="greaterThan" allowBlank="1" showInputMessage="1" showErrorMessage="1" sqref="E1119">
      <formula1>0</formula1>
    </dataValidation>
    <dataValidation type="whole" operator="greaterThan" allowBlank="1" showInputMessage="1" showErrorMessage="1" sqref="A1120">
      <formula1>0</formula1>
    </dataValidation>
    <dataValidation type="list" allowBlank="1" showInputMessage="1" showErrorMessage="1" sqref="C1120">
      <formula1>UnidadesList</formula1>
    </dataValidation>
    <dataValidation type="decimal" operator="greaterThan" allowBlank="1" showInputMessage="1" showErrorMessage="1" sqref="D1120">
      <formula1>0</formula1>
    </dataValidation>
    <dataValidation type="decimal" operator="greaterThan" allowBlank="1" showInputMessage="1" showErrorMessage="1" sqref="E1120">
      <formula1>0</formula1>
    </dataValidation>
    <dataValidation type="whole" operator="greaterThan" allowBlank="1" showInputMessage="1" showErrorMessage="1" sqref="A1121">
      <formula1>0</formula1>
    </dataValidation>
    <dataValidation type="list" allowBlank="1" showInputMessage="1" showErrorMessage="1" sqref="C1121">
      <formula1>UnidadesList</formula1>
    </dataValidation>
    <dataValidation type="decimal" operator="greaterThan" allowBlank="1" showInputMessage="1" showErrorMessage="1" sqref="D1121">
      <formula1>0</formula1>
    </dataValidation>
    <dataValidation type="decimal" operator="greaterThan" allowBlank="1" showInputMessage="1" showErrorMessage="1" sqref="E1121">
      <formula1>0</formula1>
    </dataValidation>
    <dataValidation type="whole" operator="greaterThan" allowBlank="1" showInputMessage="1" showErrorMessage="1" sqref="A1122">
      <formula1>0</formula1>
    </dataValidation>
    <dataValidation type="list" allowBlank="1" showInputMessage="1" showErrorMessage="1" sqref="C1122">
      <formula1>UnidadesList</formula1>
    </dataValidation>
    <dataValidation type="decimal" operator="greaterThan" allowBlank="1" showInputMessage="1" showErrorMessage="1" sqref="D1122">
      <formula1>0</formula1>
    </dataValidation>
    <dataValidation type="decimal" operator="greaterThan" allowBlank="1" showInputMessage="1" showErrorMessage="1" sqref="E1122">
      <formula1>0</formula1>
    </dataValidation>
    <dataValidation type="whole" operator="greaterThan" allowBlank="1" showInputMessage="1" showErrorMessage="1" sqref="A1123">
      <formula1>0</formula1>
    </dataValidation>
    <dataValidation type="list" allowBlank="1" showInputMessage="1" showErrorMessage="1" sqref="C1123">
      <formula1>UnidadesList</formula1>
    </dataValidation>
    <dataValidation type="decimal" operator="greaterThan" allowBlank="1" showInputMessage="1" showErrorMessage="1" sqref="D1123">
      <formula1>0</formula1>
    </dataValidation>
    <dataValidation type="decimal" operator="greaterThan" allowBlank="1" showInputMessage="1" showErrorMessage="1" sqref="E1123">
      <formula1>0</formula1>
    </dataValidation>
    <dataValidation type="whole" operator="greaterThan" allowBlank="1" showInputMessage="1" showErrorMessage="1" sqref="A1124">
      <formula1>0</formula1>
    </dataValidation>
    <dataValidation type="list" allowBlank="1" showInputMessage="1" showErrorMessage="1" sqref="C1124">
      <formula1>UnidadesList</formula1>
    </dataValidation>
    <dataValidation type="decimal" operator="greaterThan" allowBlank="1" showInputMessage="1" showErrorMessage="1" sqref="D1124">
      <formula1>0</formula1>
    </dataValidation>
    <dataValidation type="decimal" operator="greaterThan" allowBlank="1" showInputMessage="1" showErrorMessage="1" sqref="E1124">
      <formula1>0</formula1>
    </dataValidation>
    <dataValidation type="whole" operator="greaterThan" allowBlank="1" showInputMessage="1" showErrorMessage="1" sqref="A1125">
      <formula1>0</formula1>
    </dataValidation>
    <dataValidation type="list" allowBlank="1" showInputMessage="1" showErrorMessage="1" sqref="C1125">
      <formula1>UnidadesList</formula1>
    </dataValidation>
    <dataValidation type="decimal" operator="greaterThan" allowBlank="1" showInputMessage="1" showErrorMessage="1" sqref="D1125">
      <formula1>0</formula1>
    </dataValidation>
    <dataValidation type="decimal" operator="greaterThan" allowBlank="1" showInputMessage="1" showErrorMessage="1" sqref="E1125">
      <formula1>0</formula1>
    </dataValidation>
    <dataValidation type="whole" operator="greaterThan" allowBlank="1" showInputMessage="1" showErrorMessage="1" sqref="A1126">
      <formula1>0</formula1>
    </dataValidation>
    <dataValidation type="list" allowBlank="1" showInputMessage="1" showErrorMessage="1" sqref="C1126">
      <formula1>UnidadesList</formula1>
    </dataValidation>
    <dataValidation type="decimal" operator="greaterThan" allowBlank="1" showInputMessage="1" showErrorMessage="1" sqref="D1126">
      <formula1>0</formula1>
    </dataValidation>
    <dataValidation type="decimal" operator="greaterThan" allowBlank="1" showInputMessage="1" showErrorMessage="1" sqref="E1126">
      <formula1>0</formula1>
    </dataValidation>
    <dataValidation type="whole" operator="greaterThan" allowBlank="1" showInputMessage="1" showErrorMessage="1" sqref="A1127">
      <formula1>0</formula1>
    </dataValidation>
    <dataValidation type="list" allowBlank="1" showInputMessage="1" showErrorMessage="1" sqref="C1127">
      <formula1>UnidadesList</formula1>
    </dataValidation>
    <dataValidation type="decimal" operator="greaterThan" allowBlank="1" showInputMessage="1" showErrorMessage="1" sqref="D1127">
      <formula1>0</formula1>
    </dataValidation>
    <dataValidation type="decimal" operator="greaterThan" allowBlank="1" showInputMessage="1" showErrorMessage="1" sqref="E1127">
      <formula1>0</formula1>
    </dataValidation>
    <dataValidation type="whole" operator="greaterThan" allowBlank="1" showInputMessage="1" showErrorMessage="1" sqref="A1128">
      <formula1>0</formula1>
    </dataValidation>
    <dataValidation type="list" allowBlank="1" showInputMessage="1" showErrorMessage="1" sqref="C1128">
      <formula1>UnidadesList</formula1>
    </dataValidation>
    <dataValidation type="decimal" operator="greaterThan" allowBlank="1" showInputMessage="1" showErrorMessage="1" sqref="D1128">
      <formula1>0</formula1>
    </dataValidation>
    <dataValidation type="decimal" operator="greaterThan" allowBlank="1" showInputMessage="1" showErrorMessage="1" sqref="E1128">
      <formula1>0</formula1>
    </dataValidation>
    <dataValidation type="whole" operator="greaterThan" allowBlank="1" showInputMessage="1" showErrorMessage="1" sqref="A1129">
      <formula1>0</formula1>
    </dataValidation>
    <dataValidation type="list" allowBlank="1" showInputMessage="1" showErrorMessage="1" sqref="C1129">
      <formula1>UnidadesList</formula1>
    </dataValidation>
    <dataValidation type="decimal" operator="greaterThan" allowBlank="1" showInputMessage="1" showErrorMessage="1" sqref="D1129">
      <formula1>0</formula1>
    </dataValidation>
    <dataValidation type="decimal" operator="greaterThan" allowBlank="1" showInputMessage="1" showErrorMessage="1" sqref="E1129">
      <formula1>0</formula1>
    </dataValidation>
    <dataValidation type="whole" operator="greaterThan" allowBlank="1" showInputMessage="1" showErrorMessage="1" sqref="A1130">
      <formula1>0</formula1>
    </dataValidation>
    <dataValidation type="list" allowBlank="1" showInputMessage="1" showErrorMessage="1" sqref="C1130">
      <formula1>UnidadesList</formula1>
    </dataValidation>
    <dataValidation type="decimal" operator="greaterThan" allowBlank="1" showInputMessage="1" showErrorMessage="1" sqref="D1130">
      <formula1>0</formula1>
    </dataValidation>
    <dataValidation type="decimal" operator="greaterThan" allowBlank="1" showInputMessage="1" showErrorMessage="1" sqref="E1130">
      <formula1>0</formula1>
    </dataValidation>
    <dataValidation type="whole" operator="greaterThan" allowBlank="1" showInputMessage="1" showErrorMessage="1" sqref="A1131">
      <formula1>0</formula1>
    </dataValidation>
    <dataValidation type="list" allowBlank="1" showInputMessage="1" showErrorMessage="1" sqref="C1131">
      <formula1>UnidadesList</formula1>
    </dataValidation>
    <dataValidation type="decimal" operator="greaterThan" allowBlank="1" showInputMessage="1" showErrorMessage="1" sqref="D1131">
      <formula1>0</formula1>
    </dataValidation>
    <dataValidation type="decimal" operator="greaterThan" allowBlank="1" showInputMessage="1" showErrorMessage="1" sqref="E1131">
      <formula1>0</formula1>
    </dataValidation>
    <dataValidation type="date" operator="lessThanOrEqual" allowBlank="1" showInputMessage="1" showErrorMessage="1" sqref="C1136">
      <formula1>C1138</formula1>
    </dataValidation>
    <dataValidation type="date" operator="greaterThanOrEqual" allowBlank="1" showInputMessage="1" showErrorMessage="1" sqref="C1138">
      <formula1>C1136</formula1>
    </dataValidation>
    <dataValidation type="list" allowBlank="1" showInputMessage="1" showErrorMessage="1" sqref="F113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3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3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3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42">
      <formula1>0</formula1>
    </dataValidation>
    <dataValidation type="list" allowBlank="1" showInputMessage="1" showErrorMessage="1" sqref="C1142">
      <formula1>UnidadesList</formula1>
    </dataValidation>
    <dataValidation type="decimal" operator="greaterThan" allowBlank="1" showInputMessage="1" showErrorMessage="1" sqref="D1142">
      <formula1>0</formula1>
    </dataValidation>
    <dataValidation type="decimal" operator="greaterThan" allowBlank="1" showInputMessage="1" showErrorMessage="1" sqref="E1142">
      <formula1>0</formula1>
    </dataValidation>
    <dataValidation type="whole" operator="greaterThan" allowBlank="1" showInputMessage="1" showErrorMessage="1" sqref="A1143">
      <formula1>0</formula1>
    </dataValidation>
    <dataValidation type="list" allowBlank="1" showInputMessage="1" showErrorMessage="1" sqref="C1143">
      <formula1>UnidadesList</formula1>
    </dataValidation>
    <dataValidation type="decimal" operator="greaterThan" allowBlank="1" showInputMessage="1" showErrorMessage="1" sqref="D1143">
      <formula1>0</formula1>
    </dataValidation>
    <dataValidation type="decimal" operator="greaterThan" allowBlank="1" showInputMessage="1" showErrorMessage="1" sqref="E1143">
      <formula1>0</formula1>
    </dataValidation>
    <dataValidation type="whole" operator="greaterThan" allowBlank="1" showInputMessage="1" showErrorMessage="1" sqref="A1144">
      <formula1>0</formula1>
    </dataValidation>
    <dataValidation type="list" allowBlank="1" showInputMessage="1" showErrorMessage="1" sqref="C1144">
      <formula1>UnidadesList</formula1>
    </dataValidation>
    <dataValidation type="decimal" operator="greaterThan" allowBlank="1" showInputMessage="1" showErrorMessage="1" sqref="D1144">
      <formula1>0</formula1>
    </dataValidation>
    <dataValidation type="decimal" operator="greaterThan" allowBlank="1" showInputMessage="1" showErrorMessage="1" sqref="E1144">
      <formula1>0</formula1>
    </dataValidation>
    <dataValidation type="whole" operator="greaterThan" allowBlank="1" showInputMessage="1" showErrorMessage="1" sqref="A1145">
      <formula1>0</formula1>
    </dataValidation>
    <dataValidation type="list" allowBlank="1" showInputMessage="1" showErrorMessage="1" sqref="C1145">
      <formula1>UnidadesList</formula1>
    </dataValidation>
    <dataValidation type="decimal" operator="greaterThan" allowBlank="1" showInputMessage="1" showErrorMessage="1" sqref="D1145">
      <formula1>0</formula1>
    </dataValidation>
    <dataValidation type="decimal" operator="greaterThan" allowBlank="1" showInputMessage="1" showErrorMessage="1" sqref="E1145">
      <formula1>0</formula1>
    </dataValidation>
    <dataValidation type="whole" operator="greaterThan" allowBlank="1" showInputMessage="1" showErrorMessage="1" sqref="A1146">
      <formula1>0</formula1>
    </dataValidation>
    <dataValidation type="list" allowBlank="1" showInputMessage="1" showErrorMessage="1" sqref="C1146">
      <formula1>UnidadesList</formula1>
    </dataValidation>
    <dataValidation type="decimal" operator="greaterThan" allowBlank="1" showInputMessage="1" showErrorMessage="1" sqref="D1146">
      <formula1>0</formula1>
    </dataValidation>
    <dataValidation type="decimal" operator="greaterThan" allowBlank="1" showInputMessage="1" showErrorMessage="1" sqref="E1146">
      <formula1>0</formula1>
    </dataValidation>
    <dataValidation type="whole" operator="greaterThan" allowBlank="1" showInputMessage="1" showErrorMessage="1" sqref="A1147">
      <formula1>0</formula1>
    </dataValidation>
    <dataValidation type="list" allowBlank="1" showInputMessage="1" showErrorMessage="1" sqref="C1147">
      <formula1>UnidadesList</formula1>
    </dataValidation>
    <dataValidation type="decimal" operator="greaterThan" allowBlank="1" showInputMessage="1" showErrorMessage="1" sqref="D1147">
      <formula1>0</formula1>
    </dataValidation>
    <dataValidation type="decimal" operator="greaterThan" allowBlank="1" showInputMessage="1" showErrorMessage="1" sqref="E1147">
      <formula1>0</formula1>
    </dataValidation>
    <dataValidation type="whole" operator="greaterThan" allowBlank="1" showInputMessage="1" showErrorMessage="1" sqref="A1148">
      <formula1>0</formula1>
    </dataValidation>
    <dataValidation type="list" allowBlank="1" showInputMessage="1" showErrorMessage="1" sqref="C1148">
      <formula1>UnidadesList</formula1>
    </dataValidation>
    <dataValidation type="decimal" operator="greaterThan" allowBlank="1" showInputMessage="1" showErrorMessage="1" sqref="D1148">
      <formula1>0</formula1>
    </dataValidation>
    <dataValidation type="decimal" operator="greaterThan" allowBlank="1" showInputMessage="1" showErrorMessage="1" sqref="E1148">
      <formula1>0</formula1>
    </dataValidation>
    <dataValidation type="whole" operator="greaterThan" allowBlank="1" showInputMessage="1" showErrorMessage="1" sqref="A1149">
      <formula1>0</formula1>
    </dataValidation>
    <dataValidation type="list" allowBlank="1" showInputMessage="1" showErrorMessage="1" sqref="C1149">
      <formula1>UnidadesList</formula1>
    </dataValidation>
    <dataValidation type="decimal" operator="greaterThan" allowBlank="1" showInputMessage="1" showErrorMessage="1" sqref="D1149">
      <formula1>0</formula1>
    </dataValidation>
    <dataValidation type="decimal" operator="greaterThan" allowBlank="1" showInputMessage="1" showErrorMessage="1" sqref="E1149">
      <formula1>0</formula1>
    </dataValidation>
    <dataValidation type="whole" operator="greaterThan" allowBlank="1" showInputMessage="1" showErrorMessage="1" sqref="A1150">
      <formula1>0</formula1>
    </dataValidation>
    <dataValidation type="list" allowBlank="1" showInputMessage="1" showErrorMessage="1" sqref="C1150">
      <formula1>UnidadesList</formula1>
    </dataValidation>
    <dataValidation type="decimal" operator="greaterThan" allowBlank="1" showInputMessage="1" showErrorMessage="1" sqref="D1150">
      <formula1>0</formula1>
    </dataValidation>
    <dataValidation type="decimal" operator="greaterThan" allowBlank="1" showInputMessage="1" showErrorMessage="1" sqref="E1150">
      <formula1>0</formula1>
    </dataValidation>
    <dataValidation type="whole" operator="greaterThan" allowBlank="1" showInputMessage="1" showErrorMessage="1" sqref="A1151">
      <formula1>0</formula1>
    </dataValidation>
    <dataValidation type="list" allowBlank="1" showInputMessage="1" showErrorMessage="1" sqref="C1151">
      <formula1>UnidadesList</formula1>
    </dataValidation>
    <dataValidation type="decimal" operator="greaterThan" allowBlank="1" showInputMessage="1" showErrorMessage="1" sqref="D1151">
      <formula1>0</formula1>
    </dataValidation>
    <dataValidation type="decimal" operator="greaterThan" allowBlank="1" showInputMessage="1" showErrorMessage="1" sqref="E1151">
      <formula1>0</formula1>
    </dataValidation>
    <dataValidation type="whole" operator="greaterThan" allowBlank="1" showInputMessage="1" showErrorMessage="1" sqref="A1152">
      <formula1>0</formula1>
    </dataValidation>
    <dataValidation type="list" allowBlank="1" showInputMessage="1" showErrorMessage="1" sqref="C1152">
      <formula1>UnidadesList</formula1>
    </dataValidation>
    <dataValidation type="decimal" operator="greaterThan" allowBlank="1" showInputMessage="1" showErrorMessage="1" sqref="D1152">
      <formula1>0</formula1>
    </dataValidation>
    <dataValidation type="decimal" operator="greaterThan" allowBlank="1" showInputMessage="1" showErrorMessage="1" sqref="E1152">
      <formula1>0</formula1>
    </dataValidation>
    <dataValidation type="whole" operator="greaterThan" allowBlank="1" showInputMessage="1" showErrorMessage="1" sqref="A1153">
      <formula1>0</formula1>
    </dataValidation>
    <dataValidation type="list" allowBlank="1" showInputMessage="1" showErrorMessage="1" sqref="C1153">
      <formula1>UnidadesList</formula1>
    </dataValidation>
    <dataValidation type="decimal" operator="greaterThan" allowBlank="1" showInputMessage="1" showErrorMessage="1" sqref="D1153">
      <formula1>0</formula1>
    </dataValidation>
    <dataValidation type="decimal" operator="greaterThan" allowBlank="1" showInputMessage="1" showErrorMessage="1" sqref="E1153">
      <formula1>0</formula1>
    </dataValidation>
    <dataValidation type="whole" operator="greaterThan" allowBlank="1" showInputMessage="1" showErrorMessage="1" sqref="A1154">
      <formula1>0</formula1>
    </dataValidation>
    <dataValidation type="list" allowBlank="1" showInputMessage="1" showErrorMessage="1" sqref="C1154">
      <formula1>UnidadesList</formula1>
    </dataValidation>
    <dataValidation type="decimal" operator="greaterThan" allowBlank="1" showInputMessage="1" showErrorMessage="1" sqref="D1154">
      <formula1>0</formula1>
    </dataValidation>
    <dataValidation type="decimal" operator="greaterThan" allowBlank="1" showInputMessage="1" showErrorMessage="1" sqref="E1154">
      <formula1>0</formula1>
    </dataValidation>
    <dataValidation type="whole" operator="greaterThan" allowBlank="1" showInputMessage="1" showErrorMessage="1" sqref="A1155">
      <formula1>0</formula1>
    </dataValidation>
    <dataValidation type="list" allowBlank="1" showInputMessage="1" showErrorMessage="1" sqref="C1155">
      <formula1>UnidadesList</formula1>
    </dataValidation>
    <dataValidation type="decimal" operator="greaterThan" allowBlank="1" showInputMessage="1" showErrorMessage="1" sqref="D1155">
      <formula1>0</formula1>
    </dataValidation>
    <dataValidation type="decimal" operator="greaterThan" allowBlank="1" showInputMessage="1" showErrorMessage="1" sqref="E1155">
      <formula1>0</formula1>
    </dataValidation>
    <dataValidation type="whole" operator="greaterThan" allowBlank="1" showInputMessage="1" showErrorMessage="1" sqref="A1156">
      <formula1>0</formula1>
    </dataValidation>
    <dataValidation type="list" allowBlank="1" showInputMessage="1" showErrorMessage="1" sqref="C1156">
      <formula1>UnidadesList</formula1>
    </dataValidation>
    <dataValidation type="decimal" operator="greaterThan" allowBlank="1" showInputMessage="1" showErrorMessage="1" sqref="D1156">
      <formula1>0</formula1>
    </dataValidation>
    <dataValidation type="decimal" operator="greaterThan" allowBlank="1" showInputMessage="1" showErrorMessage="1" sqref="E1156">
      <formula1>0</formula1>
    </dataValidation>
    <dataValidation type="date" operator="lessThanOrEqual" allowBlank="1" showInputMessage="1" showErrorMessage="1" sqref="C1161">
      <formula1>C1163</formula1>
    </dataValidation>
    <dataValidation type="date" operator="greaterThanOrEqual" allowBlank="1" showInputMessage="1" showErrorMessage="1" sqref="C1163">
      <formula1>C1161</formula1>
    </dataValidation>
    <dataValidation type="list" allowBlank="1" showInputMessage="1" showErrorMessage="1" sqref="F116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6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6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6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67">
      <formula1>0</formula1>
    </dataValidation>
    <dataValidation type="list" allowBlank="1" showInputMessage="1" showErrorMessage="1" sqref="C1167">
      <formula1>UnidadesList</formula1>
    </dataValidation>
    <dataValidation type="decimal" operator="greaterThan" allowBlank="1" showInputMessage="1" showErrorMessage="1" sqref="D1167">
      <formula1>0</formula1>
    </dataValidation>
    <dataValidation type="decimal" operator="greaterThan" allowBlank="1" showInputMessage="1" showErrorMessage="1" sqref="E1167">
      <formula1>0</formula1>
    </dataValidation>
    <dataValidation type="whole" operator="greaterThan" allowBlank="1" showInputMessage="1" showErrorMessage="1" sqref="A1168">
      <formula1>0</formula1>
    </dataValidation>
    <dataValidation type="list" allowBlank="1" showInputMessage="1" showErrorMessage="1" sqref="C1168">
      <formula1>UnidadesList</formula1>
    </dataValidation>
    <dataValidation type="decimal" operator="greaterThan" allowBlank="1" showInputMessage="1" showErrorMessage="1" sqref="D1168">
      <formula1>0</formula1>
    </dataValidation>
    <dataValidation type="decimal" operator="greaterThan" allowBlank="1" showInputMessage="1" showErrorMessage="1" sqref="E1168">
      <formula1>0</formula1>
    </dataValidation>
    <dataValidation type="whole" operator="greaterThan" allowBlank="1" showInputMessage="1" showErrorMessage="1" sqref="A1169">
      <formula1>0</formula1>
    </dataValidation>
    <dataValidation type="list" allowBlank="1" showInputMessage="1" showErrorMessage="1" sqref="C1169">
      <formula1>UnidadesList</formula1>
    </dataValidation>
    <dataValidation type="decimal" operator="greaterThan" allowBlank="1" showInputMessage="1" showErrorMessage="1" sqref="D1169">
      <formula1>0</formula1>
    </dataValidation>
    <dataValidation type="decimal" operator="greaterThan" allowBlank="1" showInputMessage="1" showErrorMessage="1" sqref="E1169">
      <formula1>0</formula1>
    </dataValidation>
    <dataValidation type="whole" operator="greaterThan" allowBlank="1" showInputMessage="1" showErrorMessage="1" sqref="A1170">
      <formula1>0</formula1>
    </dataValidation>
    <dataValidation type="list" allowBlank="1" showInputMessage="1" showErrorMessage="1" sqref="C1170">
      <formula1>UnidadesList</formula1>
    </dataValidation>
    <dataValidation type="decimal" operator="greaterThan" allowBlank="1" showInputMessage="1" showErrorMessage="1" sqref="D1170">
      <formula1>0</formula1>
    </dataValidation>
    <dataValidation type="decimal" operator="greaterThan" allowBlank="1" showInputMessage="1" showErrorMessage="1" sqref="E1170">
      <formula1>0</formula1>
    </dataValidation>
    <dataValidation type="whole" operator="greaterThan" allowBlank="1" showInputMessage="1" showErrorMessage="1" sqref="A1171">
      <formula1>0</formula1>
    </dataValidation>
    <dataValidation type="list" allowBlank="1" showInputMessage="1" showErrorMessage="1" sqref="C1171">
      <formula1>UnidadesList</formula1>
    </dataValidation>
    <dataValidation type="decimal" operator="greaterThan" allowBlank="1" showInputMessage="1" showErrorMessage="1" sqref="D1171">
      <formula1>0</formula1>
    </dataValidation>
    <dataValidation type="decimal" operator="greaterThan" allowBlank="1" showInputMessage="1" showErrorMessage="1" sqref="E1171">
      <formula1>0</formula1>
    </dataValidation>
    <dataValidation type="whole" operator="greaterThan" allowBlank="1" showInputMessage="1" showErrorMessage="1" sqref="A1172">
      <formula1>0</formula1>
    </dataValidation>
    <dataValidation type="list" allowBlank="1" showInputMessage="1" showErrorMessage="1" sqref="C1172">
      <formula1>UnidadesList</formula1>
    </dataValidation>
    <dataValidation type="decimal" operator="greaterThan" allowBlank="1" showInputMessage="1" showErrorMessage="1" sqref="D1172">
      <formula1>0</formula1>
    </dataValidation>
    <dataValidation type="decimal" operator="greaterThan" allowBlank="1" showInputMessage="1" showErrorMessage="1" sqref="E1172">
      <formula1>0</formula1>
    </dataValidation>
    <dataValidation type="whole" operator="greaterThan" allowBlank="1" showInputMessage="1" showErrorMessage="1" sqref="A1173">
      <formula1>0</formula1>
    </dataValidation>
    <dataValidation type="list" allowBlank="1" showInputMessage="1" showErrorMessage="1" sqref="C1173">
      <formula1>UnidadesList</formula1>
    </dataValidation>
    <dataValidation type="decimal" operator="greaterThan" allowBlank="1" showInputMessage="1" showErrorMessage="1" sqref="D1173">
      <formula1>0</formula1>
    </dataValidation>
    <dataValidation type="decimal" operator="greaterThan" allowBlank="1" showInputMessage="1" showErrorMessage="1" sqref="E1173">
      <formula1>0</formula1>
    </dataValidation>
    <dataValidation type="whole" operator="greaterThan" allowBlank="1" showInputMessage="1" showErrorMessage="1" sqref="A1174">
      <formula1>0</formula1>
    </dataValidation>
    <dataValidation type="list" allowBlank="1" showInputMessage="1" showErrorMessage="1" sqref="C1174">
      <formula1>UnidadesList</formula1>
    </dataValidation>
    <dataValidation type="decimal" operator="greaterThan" allowBlank="1" showInputMessage="1" showErrorMessage="1" sqref="D1174">
      <formula1>0</formula1>
    </dataValidation>
    <dataValidation type="decimal" operator="greaterThan" allowBlank="1" showInputMessage="1" showErrorMessage="1" sqref="E1174">
      <formula1>0</formula1>
    </dataValidation>
    <dataValidation type="whole" operator="greaterThan" allowBlank="1" showInputMessage="1" showErrorMessage="1" sqref="A1175">
      <formula1>0</formula1>
    </dataValidation>
    <dataValidation type="list" allowBlank="1" showInputMessage="1" showErrorMessage="1" sqref="C1175">
      <formula1>UnidadesList</formula1>
    </dataValidation>
    <dataValidation type="decimal" operator="greaterThan" allowBlank="1" showInputMessage="1" showErrorMessage="1" sqref="D1175">
      <formula1>0</formula1>
    </dataValidation>
    <dataValidation type="decimal" operator="greaterThan" allowBlank="1" showInputMessage="1" showErrorMessage="1" sqref="E1175">
      <formula1>0</formula1>
    </dataValidation>
    <dataValidation type="whole" operator="greaterThan" allowBlank="1" showInputMessage="1" showErrorMessage="1" sqref="A1176">
      <formula1>0</formula1>
    </dataValidation>
    <dataValidation type="list" allowBlank="1" showInputMessage="1" showErrorMessage="1" sqref="C1176">
      <formula1>UnidadesList</formula1>
    </dataValidation>
    <dataValidation type="decimal" operator="greaterThan" allowBlank="1" showInputMessage="1" showErrorMessage="1" sqref="D1176">
      <formula1>0</formula1>
    </dataValidation>
    <dataValidation type="decimal" operator="greaterThan" allowBlank="1" showInputMessage="1" showErrorMessage="1" sqref="E1176">
      <formula1>0</formula1>
    </dataValidation>
    <dataValidation type="whole" operator="greaterThan" allowBlank="1" showInputMessage="1" showErrorMessage="1" sqref="A1177">
      <formula1>0</formula1>
    </dataValidation>
    <dataValidation type="list" allowBlank="1" showInputMessage="1" showErrorMessage="1" sqref="C1177">
      <formula1>UnidadesList</formula1>
    </dataValidation>
    <dataValidation type="decimal" operator="greaterThan" allowBlank="1" showInputMessage="1" showErrorMessage="1" sqref="D1177">
      <formula1>0</formula1>
    </dataValidation>
    <dataValidation type="decimal" operator="greaterThan" allowBlank="1" showInputMessage="1" showErrorMessage="1" sqref="E1177">
      <formula1>0</formula1>
    </dataValidation>
    <dataValidation type="whole" operator="greaterThan" allowBlank="1" showInputMessage="1" showErrorMessage="1" sqref="A1178">
      <formula1>0</formula1>
    </dataValidation>
    <dataValidation type="list" allowBlank="1" showInputMessage="1" showErrorMessage="1" sqref="C1178">
      <formula1>UnidadesList</formula1>
    </dataValidation>
    <dataValidation type="decimal" operator="greaterThan" allowBlank="1" showInputMessage="1" showErrorMessage="1" sqref="D1178">
      <formula1>0</formula1>
    </dataValidation>
    <dataValidation type="decimal" operator="greaterThan" allowBlank="1" showInputMessage="1" showErrorMessage="1" sqref="E1178">
      <formula1>0</formula1>
    </dataValidation>
    <dataValidation type="whole" operator="greaterThan" allowBlank="1" showInputMessage="1" showErrorMessage="1" sqref="A1179">
      <formula1>0</formula1>
    </dataValidation>
    <dataValidation type="list" allowBlank="1" showInputMessage="1" showErrorMessage="1" sqref="C1179">
      <formula1>UnidadesList</formula1>
    </dataValidation>
    <dataValidation type="decimal" operator="greaterThan" allowBlank="1" showInputMessage="1" showErrorMessage="1" sqref="D1179">
      <formula1>0</formula1>
    </dataValidation>
    <dataValidation type="decimal" operator="greaterThan" allowBlank="1" showInputMessage="1" showErrorMessage="1" sqref="E1179">
      <formula1>0</formula1>
    </dataValidation>
    <dataValidation type="whole" operator="greaterThan" allowBlank="1" showInputMessage="1" showErrorMessage="1" sqref="A1180">
      <formula1>0</formula1>
    </dataValidation>
    <dataValidation type="list" allowBlank="1" showInputMessage="1" showErrorMessage="1" sqref="C1180">
      <formula1>UnidadesList</formula1>
    </dataValidation>
    <dataValidation type="decimal" operator="greaterThan" allowBlank="1" showInputMessage="1" showErrorMessage="1" sqref="D1180">
      <formula1>0</formula1>
    </dataValidation>
    <dataValidation type="decimal" operator="greaterThan" allowBlank="1" showInputMessage="1" showErrorMessage="1" sqref="E1180">
      <formula1>0</formula1>
    </dataValidation>
    <dataValidation type="whole" operator="greaterThan" allowBlank="1" showInputMessage="1" showErrorMessage="1" sqref="A1181">
      <formula1>0</formula1>
    </dataValidation>
    <dataValidation type="list" allowBlank="1" showInputMessage="1" showErrorMessage="1" sqref="C1181">
      <formula1>UnidadesList</formula1>
    </dataValidation>
    <dataValidation type="decimal" operator="greaterThan" allowBlank="1" showInputMessage="1" showErrorMessage="1" sqref="D1181">
      <formula1>0</formula1>
    </dataValidation>
    <dataValidation type="decimal" operator="greaterThan" allowBlank="1" showInputMessage="1" showErrorMessage="1" sqref="E1181">
      <formula1>0</formula1>
    </dataValidation>
    <dataValidation type="date" operator="lessThanOrEqual" allowBlank="1" showInputMessage="1" showErrorMessage="1" sqref="C1186">
      <formula1>C1188</formula1>
    </dataValidation>
    <dataValidation type="date" operator="greaterThanOrEqual" allowBlank="1" showInputMessage="1" showErrorMessage="1" sqref="C1188">
      <formula1>C1186</formula1>
    </dataValidation>
    <dataValidation type="list" allowBlank="1" showInputMessage="1" showErrorMessage="1" sqref="F11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92">
      <formula1>0</formula1>
    </dataValidation>
    <dataValidation type="list" allowBlank="1" showInputMessage="1" showErrorMessage="1" sqref="C1192">
      <formula1>UnidadesList</formula1>
    </dataValidation>
    <dataValidation type="decimal" operator="greaterThan" allowBlank="1" showInputMessage="1" showErrorMessage="1" sqref="D1192">
      <formula1>0</formula1>
    </dataValidation>
    <dataValidation type="decimal" operator="greaterThan" allowBlank="1" showInputMessage="1" showErrorMessage="1" sqref="E1192">
      <formula1>0</formula1>
    </dataValidation>
    <dataValidation type="whole" operator="greaterThan" allowBlank="1" showInputMessage="1" showErrorMessage="1" sqref="A1193">
      <formula1>0</formula1>
    </dataValidation>
    <dataValidation type="list" allowBlank="1" showInputMessage="1" showErrorMessage="1" sqref="C1193">
      <formula1>UnidadesList</formula1>
    </dataValidation>
    <dataValidation type="decimal" operator="greaterThan" allowBlank="1" showInputMessage="1" showErrorMessage="1" sqref="D1193">
      <formula1>0</formula1>
    </dataValidation>
    <dataValidation type="decimal" operator="greaterThan" allowBlank="1" showInputMessage="1" showErrorMessage="1" sqref="E1193">
      <formula1>0</formula1>
    </dataValidation>
    <dataValidation type="whole" operator="greaterThan" allowBlank="1" showInputMessage="1" showErrorMessage="1" sqref="A1194">
      <formula1>0</formula1>
    </dataValidation>
    <dataValidation type="list" allowBlank="1" showInputMessage="1" showErrorMessage="1" sqref="C1194">
      <formula1>UnidadesList</formula1>
    </dataValidation>
    <dataValidation type="decimal" operator="greaterThan" allowBlank="1" showInputMessage="1" showErrorMessage="1" sqref="D1194">
      <formula1>0</formula1>
    </dataValidation>
    <dataValidation type="decimal" operator="greaterThan" allowBlank="1" showInputMessage="1" showErrorMessage="1" sqref="E1194">
      <formula1>0</formula1>
    </dataValidation>
    <dataValidation type="whole" operator="greaterThan" allowBlank="1" showInputMessage="1" showErrorMessage="1" sqref="A1195">
      <formula1>0</formula1>
    </dataValidation>
    <dataValidation type="list" allowBlank="1" showInputMessage="1" showErrorMessage="1" sqref="C1195">
      <formula1>UnidadesList</formula1>
    </dataValidation>
    <dataValidation type="decimal" operator="greaterThan" allowBlank="1" showInputMessage="1" showErrorMessage="1" sqref="D1195">
      <formula1>0</formula1>
    </dataValidation>
    <dataValidation type="decimal" operator="greaterThan" allowBlank="1" showInputMessage="1" showErrorMessage="1" sqref="E1195">
      <formula1>0</formula1>
    </dataValidation>
    <dataValidation type="whole" operator="greaterThan" allowBlank="1" showInputMessage="1" showErrorMessage="1" sqref="A1196">
      <formula1>0</formula1>
    </dataValidation>
    <dataValidation type="list" allowBlank="1" showInputMessage="1" showErrorMessage="1" sqref="C1196">
      <formula1>UnidadesList</formula1>
    </dataValidation>
    <dataValidation type="decimal" operator="greaterThan" allowBlank="1" showInputMessage="1" showErrorMessage="1" sqref="D1196">
      <formula1>0</formula1>
    </dataValidation>
    <dataValidation type="decimal" operator="greaterThan" allowBlank="1" showInputMessage="1" showErrorMessage="1" sqref="E1196">
      <formula1>0</formula1>
    </dataValidation>
    <dataValidation type="whole" operator="greaterThan" allowBlank="1" showInputMessage="1" showErrorMessage="1" sqref="A1197">
      <formula1>0</formula1>
    </dataValidation>
    <dataValidation type="list" allowBlank="1" showInputMessage="1" showErrorMessage="1" sqref="C1197">
      <formula1>UnidadesList</formula1>
    </dataValidation>
    <dataValidation type="decimal" operator="greaterThan" allowBlank="1" showInputMessage="1" showErrorMessage="1" sqref="D1197">
      <formula1>0</formula1>
    </dataValidation>
    <dataValidation type="decimal" operator="greaterThan" allowBlank="1" showInputMessage="1" showErrorMessage="1" sqref="E1197">
      <formula1>0</formula1>
    </dataValidation>
    <dataValidation type="whole" operator="greaterThan" allowBlank="1" showInputMessage="1" showErrorMessage="1" sqref="A1198">
      <formula1>0</formula1>
    </dataValidation>
    <dataValidation type="list" allowBlank="1" showInputMessage="1" showErrorMessage="1" sqref="C1198">
      <formula1>UnidadesList</formula1>
    </dataValidation>
    <dataValidation type="decimal" operator="greaterThan" allowBlank="1" showInputMessage="1" showErrorMessage="1" sqref="D1198">
      <formula1>0</formula1>
    </dataValidation>
    <dataValidation type="decimal" operator="greaterThan" allowBlank="1" showInputMessage="1" showErrorMessage="1" sqref="E1198">
      <formula1>0</formula1>
    </dataValidation>
    <dataValidation type="whole" operator="greaterThan" allowBlank="1" showInputMessage="1" showErrorMessage="1" sqref="A1199">
      <formula1>0</formula1>
    </dataValidation>
    <dataValidation type="list" allowBlank="1" showInputMessage="1" showErrorMessage="1" sqref="C1199">
      <formula1>UnidadesList</formula1>
    </dataValidation>
    <dataValidation type="decimal" operator="greaterThan" allowBlank="1" showInputMessage="1" showErrorMessage="1" sqref="D1199">
      <formula1>0</formula1>
    </dataValidation>
    <dataValidation type="decimal" operator="greaterThan" allowBlank="1" showInputMessage="1" showErrorMessage="1" sqref="E1199">
      <formula1>0</formula1>
    </dataValidation>
    <dataValidation type="whole" operator="greaterThan" allowBlank="1" showInputMessage="1" showErrorMessage="1" sqref="A1200">
      <formula1>0</formula1>
    </dataValidation>
    <dataValidation type="list" allowBlank="1" showInputMessage="1" showErrorMessage="1" sqref="C1200">
      <formula1>UnidadesList</formula1>
    </dataValidation>
    <dataValidation type="decimal" operator="greaterThan" allowBlank="1" showInputMessage="1" showErrorMessage="1" sqref="D1200">
      <formula1>0</formula1>
    </dataValidation>
    <dataValidation type="decimal" operator="greaterThan" allowBlank="1" showInputMessage="1" showErrorMessage="1" sqref="E1200">
      <formula1>0</formula1>
    </dataValidation>
    <dataValidation type="whole" operator="greaterThan" allowBlank="1" showInputMessage="1" showErrorMessage="1" sqref="A1201">
      <formula1>0</formula1>
    </dataValidation>
    <dataValidation type="list" allowBlank="1" showInputMessage="1" showErrorMessage="1" sqref="C1201">
      <formula1>UnidadesList</formula1>
    </dataValidation>
    <dataValidation type="decimal" operator="greaterThan" allowBlank="1" showInputMessage="1" showErrorMessage="1" sqref="D1201">
      <formula1>0</formula1>
    </dataValidation>
    <dataValidation type="decimal" operator="greaterThan" allowBlank="1" showInputMessage="1" showErrorMessage="1" sqref="E1201">
      <formula1>0</formula1>
    </dataValidation>
    <dataValidation type="date" operator="lessThanOrEqual" allowBlank="1" showInputMessage="1" showErrorMessage="1" sqref="C1206">
      <formula1>C1208</formula1>
    </dataValidation>
    <dataValidation type="date" operator="greaterThanOrEqual" allowBlank="1" showInputMessage="1" showErrorMessage="1" sqref="C1208">
      <formula1>C1206</formula1>
    </dataValidation>
    <dataValidation type="list" allowBlank="1" showInputMessage="1" showErrorMessage="1" sqref="F120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0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0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0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12">
      <formula1>0</formula1>
    </dataValidation>
    <dataValidation type="list" allowBlank="1" showInputMessage="1" showErrorMessage="1" sqref="C1212">
      <formula1>UnidadesList</formula1>
    </dataValidation>
    <dataValidation type="decimal" operator="greaterThan" allowBlank="1" showInputMessage="1" showErrorMessage="1" sqref="D1212">
      <formula1>0</formula1>
    </dataValidation>
    <dataValidation type="decimal" operator="greaterThan" allowBlank="1" showInputMessage="1" showErrorMessage="1" sqref="E1212">
      <formula1>0</formula1>
    </dataValidation>
    <dataValidation type="whole" operator="greaterThan" allowBlank="1" showInputMessage="1" showErrorMessage="1" sqref="A1213">
      <formula1>0</formula1>
    </dataValidation>
    <dataValidation type="list" allowBlank="1" showInputMessage="1" showErrorMessage="1" sqref="C1213">
      <formula1>UnidadesList</formula1>
    </dataValidation>
    <dataValidation type="decimal" operator="greaterThan" allowBlank="1" showInputMessage="1" showErrorMessage="1" sqref="D1213">
      <formula1>0</formula1>
    </dataValidation>
    <dataValidation type="decimal" operator="greaterThan" allowBlank="1" showInputMessage="1" showErrorMessage="1" sqref="E1213">
      <formula1>0</formula1>
    </dataValidation>
    <dataValidation type="whole" operator="greaterThan" allowBlank="1" showInputMessage="1" showErrorMessage="1" sqref="A1214">
      <formula1>0</formula1>
    </dataValidation>
    <dataValidation type="list" allowBlank="1" showInputMessage="1" showErrorMessage="1" sqref="C1214">
      <formula1>UnidadesList</formula1>
    </dataValidation>
    <dataValidation type="decimal" operator="greaterThan" allowBlank="1" showInputMessage="1" showErrorMessage="1" sqref="D1214">
      <formula1>0</formula1>
    </dataValidation>
    <dataValidation type="decimal" operator="greaterThan" allowBlank="1" showInputMessage="1" showErrorMessage="1" sqref="E1214">
      <formula1>0</formula1>
    </dataValidation>
    <dataValidation type="whole" operator="greaterThan" allowBlank="1" showInputMessage="1" showErrorMessage="1" sqref="A1215">
      <formula1>0</formula1>
    </dataValidation>
    <dataValidation type="list" allowBlank="1" showInputMessage="1" showErrorMessage="1" sqref="C1215">
      <formula1>UnidadesList</formula1>
    </dataValidation>
    <dataValidation type="decimal" operator="greaterThan" allowBlank="1" showInputMessage="1" showErrorMessage="1" sqref="D1215">
      <formula1>0</formula1>
    </dataValidation>
    <dataValidation type="decimal" operator="greaterThan" allowBlank="1" showInputMessage="1" showErrorMessage="1" sqref="E1215">
      <formula1>0</formula1>
    </dataValidation>
    <dataValidation type="whole" operator="greaterThan" allowBlank="1" showInputMessage="1" showErrorMessage="1" sqref="A1216">
      <formula1>0</formula1>
    </dataValidation>
    <dataValidation type="list" allowBlank="1" showInputMessage="1" showErrorMessage="1" sqref="C1216">
      <formula1>UnidadesList</formula1>
    </dataValidation>
    <dataValidation type="decimal" operator="greaterThan" allowBlank="1" showInputMessage="1" showErrorMessage="1" sqref="D1216">
      <formula1>0</formula1>
    </dataValidation>
    <dataValidation type="decimal" operator="greaterThan" allowBlank="1" showInputMessage="1" showErrorMessage="1" sqref="E1216">
      <formula1>0</formula1>
    </dataValidation>
    <dataValidation type="whole" operator="greaterThan" allowBlank="1" showInputMessage="1" showErrorMessage="1" sqref="A1217">
      <formula1>0</formula1>
    </dataValidation>
    <dataValidation type="list" allowBlank="1" showInputMessage="1" showErrorMessage="1" sqref="C1217">
      <formula1>UnidadesList</formula1>
    </dataValidation>
    <dataValidation type="decimal" operator="greaterThan" allowBlank="1" showInputMessage="1" showErrorMessage="1" sqref="D1217">
      <formula1>0</formula1>
    </dataValidation>
    <dataValidation type="decimal" operator="greaterThan" allowBlank="1" showInputMessage="1" showErrorMessage="1" sqref="E1217">
      <formula1>0</formula1>
    </dataValidation>
    <dataValidation type="whole" operator="greaterThan" allowBlank="1" showInputMessage="1" showErrorMessage="1" sqref="A1218">
      <formula1>0</formula1>
    </dataValidation>
    <dataValidation type="list" allowBlank="1" showInputMessage="1" showErrorMessage="1" sqref="C1218">
      <formula1>UnidadesList</formula1>
    </dataValidation>
    <dataValidation type="decimal" operator="greaterThan" allowBlank="1" showInputMessage="1" showErrorMessage="1" sqref="D1218">
      <formula1>0</formula1>
    </dataValidation>
    <dataValidation type="decimal" operator="greaterThan" allowBlank="1" showInputMessage="1" showErrorMessage="1" sqref="E1218">
      <formula1>0</formula1>
    </dataValidation>
    <dataValidation type="whole" operator="greaterThan" allowBlank="1" showInputMessage="1" showErrorMessage="1" sqref="A1219">
      <formula1>0</formula1>
    </dataValidation>
    <dataValidation type="list" allowBlank="1" showInputMessage="1" showErrorMessage="1" sqref="C1219">
      <formula1>UnidadesList</formula1>
    </dataValidation>
    <dataValidation type="decimal" operator="greaterThan" allowBlank="1" showInputMessage="1" showErrorMessage="1" sqref="D1219">
      <formula1>0</formula1>
    </dataValidation>
    <dataValidation type="decimal" operator="greaterThan" allowBlank="1" showInputMessage="1" showErrorMessage="1" sqref="E1219">
      <formula1>0</formula1>
    </dataValidation>
    <dataValidation type="whole" operator="greaterThan" allowBlank="1" showInputMessage="1" showErrorMessage="1" sqref="A1220">
      <formula1>0</formula1>
    </dataValidation>
    <dataValidation type="list" allowBlank="1" showInputMessage="1" showErrorMessage="1" sqref="C1220">
      <formula1>UnidadesList</formula1>
    </dataValidation>
    <dataValidation type="decimal" operator="greaterThan" allowBlank="1" showInputMessage="1" showErrorMessage="1" sqref="D1220">
      <formula1>0</formula1>
    </dataValidation>
    <dataValidation type="decimal" operator="greaterThan" allowBlank="1" showInputMessage="1" showErrorMessage="1" sqref="E1220">
      <formula1>0</formula1>
    </dataValidation>
    <dataValidation type="whole" operator="greaterThan" allowBlank="1" showInputMessage="1" showErrorMessage="1" sqref="A1221">
      <formula1>0</formula1>
    </dataValidation>
    <dataValidation type="list" allowBlank="1" showInputMessage="1" showErrorMessage="1" sqref="C1221">
      <formula1>UnidadesList</formula1>
    </dataValidation>
    <dataValidation type="decimal" operator="greaterThan" allowBlank="1" showInputMessage="1" showErrorMessage="1" sqref="D1221">
      <formula1>0</formula1>
    </dataValidation>
    <dataValidation type="decimal" operator="greaterThan" allowBlank="1" showInputMessage="1" showErrorMessage="1" sqref="E1221">
      <formula1>0</formula1>
    </dataValidation>
    <dataValidation type="date" operator="lessThanOrEqual" allowBlank="1" showInputMessage="1" showErrorMessage="1" sqref="C1226">
      <formula1>C1228</formula1>
    </dataValidation>
    <dataValidation type="date" operator="greaterThanOrEqual" allowBlank="1" showInputMessage="1" showErrorMessage="1" sqref="C1228">
      <formula1>C1226</formula1>
    </dataValidation>
    <dataValidation type="list" allowBlank="1" showInputMessage="1" showErrorMessage="1" sqref="F122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2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2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2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32">
      <formula1>0</formula1>
    </dataValidation>
    <dataValidation type="list" allowBlank="1" showInputMessage="1" showErrorMessage="1" sqref="C1232">
      <formula1>UnidadesList</formula1>
    </dataValidation>
    <dataValidation type="decimal" operator="greaterThan" allowBlank="1" showInputMessage="1" showErrorMessage="1" sqref="D1232">
      <formula1>0</formula1>
    </dataValidation>
    <dataValidation type="decimal" operator="greaterThan" allowBlank="1" showInputMessage="1" showErrorMessage="1" sqref="E1232">
      <formula1>0</formula1>
    </dataValidation>
    <dataValidation type="whole" operator="greaterThan" allowBlank="1" showInputMessage="1" showErrorMessage="1" sqref="A1233">
      <formula1>0</formula1>
    </dataValidation>
    <dataValidation type="list" allowBlank="1" showInputMessage="1" showErrorMessage="1" sqref="C1233">
      <formula1>UnidadesList</formula1>
    </dataValidation>
    <dataValidation type="decimal" operator="greaterThan" allowBlank="1" showInputMessage="1" showErrorMessage="1" sqref="D1233">
      <formula1>0</formula1>
    </dataValidation>
    <dataValidation type="decimal" operator="greaterThan" allowBlank="1" showInputMessage="1" showErrorMessage="1" sqref="E1233">
      <formula1>0</formula1>
    </dataValidation>
    <dataValidation type="whole" operator="greaterThan" allowBlank="1" showInputMessage="1" showErrorMessage="1" sqref="A1234">
      <formula1>0</formula1>
    </dataValidation>
    <dataValidation type="list" allowBlank="1" showInputMessage="1" showErrorMessage="1" sqref="C1234">
      <formula1>UnidadesList</formula1>
    </dataValidation>
    <dataValidation type="decimal" operator="greaterThan" allowBlank="1" showInputMessage="1" showErrorMessage="1" sqref="D1234">
      <formula1>0</formula1>
    </dataValidation>
    <dataValidation type="decimal" operator="greaterThan" allowBlank="1" showInputMessage="1" showErrorMessage="1" sqref="E1234">
      <formula1>0</formula1>
    </dataValidation>
    <dataValidation type="whole" operator="greaterThan" allowBlank="1" showInputMessage="1" showErrorMessage="1" sqref="A1235">
      <formula1>0</formula1>
    </dataValidation>
    <dataValidation type="list" allowBlank="1" showInputMessage="1" showErrorMessage="1" sqref="C1235">
      <formula1>UnidadesList</formula1>
    </dataValidation>
    <dataValidation type="decimal" operator="greaterThan" allowBlank="1" showInputMessage="1" showErrorMessage="1" sqref="D1235">
      <formula1>0</formula1>
    </dataValidation>
    <dataValidation type="decimal" operator="greaterThan" allowBlank="1" showInputMessage="1" showErrorMessage="1" sqref="E1235">
      <formula1>0</formula1>
    </dataValidation>
    <dataValidation type="whole" operator="greaterThan" allowBlank="1" showInputMessage="1" showErrorMessage="1" sqref="A1236">
      <formula1>0</formula1>
    </dataValidation>
    <dataValidation type="list" allowBlank="1" showInputMessage="1" showErrorMessage="1" sqref="C1236">
      <formula1>UnidadesList</formula1>
    </dataValidation>
    <dataValidation type="decimal" operator="greaterThan" allowBlank="1" showInputMessage="1" showErrorMessage="1" sqref="D1236">
      <formula1>0</formula1>
    </dataValidation>
    <dataValidation type="decimal" operator="greaterThan" allowBlank="1" showInputMessage="1" showErrorMessage="1" sqref="E1236">
      <formula1>0</formula1>
    </dataValidation>
    <dataValidation type="whole" operator="greaterThan" allowBlank="1" showInputMessage="1" showErrorMessage="1" sqref="A1237">
      <formula1>0</formula1>
    </dataValidation>
    <dataValidation type="list" allowBlank="1" showInputMessage="1" showErrorMessage="1" sqref="C1237">
      <formula1>UnidadesList</formula1>
    </dataValidation>
    <dataValidation type="decimal" operator="greaterThan" allowBlank="1" showInputMessage="1" showErrorMessage="1" sqref="D1237">
      <formula1>0</formula1>
    </dataValidation>
    <dataValidation type="decimal" operator="greaterThan" allowBlank="1" showInputMessage="1" showErrorMessage="1" sqref="E1237">
      <formula1>0</formula1>
    </dataValidation>
    <dataValidation type="whole" operator="greaterThan" allowBlank="1" showInputMessage="1" showErrorMessage="1" sqref="A1238">
      <formula1>0</formula1>
    </dataValidation>
    <dataValidation type="list" allowBlank="1" showInputMessage="1" showErrorMessage="1" sqref="C1238">
      <formula1>UnidadesList</formula1>
    </dataValidation>
    <dataValidation type="decimal" operator="greaterThan" allowBlank="1" showInputMessage="1" showErrorMessage="1" sqref="D1238">
      <formula1>0</formula1>
    </dataValidation>
    <dataValidation type="decimal" operator="greaterThan" allowBlank="1" showInputMessage="1" showErrorMessage="1" sqref="E1238">
      <formula1>0</formula1>
    </dataValidation>
    <dataValidation type="whole" operator="greaterThan" allowBlank="1" showInputMessage="1" showErrorMessage="1" sqref="A1239">
      <formula1>0</formula1>
    </dataValidation>
    <dataValidation type="list" allowBlank="1" showInputMessage="1" showErrorMessage="1" sqref="C1239">
      <formula1>UnidadesList</formula1>
    </dataValidation>
    <dataValidation type="decimal" operator="greaterThan" allowBlank="1" showInputMessage="1" showErrorMessage="1" sqref="D1239">
      <formula1>0</formula1>
    </dataValidation>
    <dataValidation type="decimal" operator="greaterThan" allowBlank="1" showInputMessage="1" showErrorMessage="1" sqref="E1239">
      <formula1>0</formula1>
    </dataValidation>
    <dataValidation type="whole" operator="greaterThan" allowBlank="1" showInputMessage="1" showErrorMessage="1" sqref="A1240">
      <formula1>0</formula1>
    </dataValidation>
    <dataValidation type="list" allowBlank="1" showInputMessage="1" showErrorMessage="1" sqref="C1240">
      <formula1>UnidadesList</formula1>
    </dataValidation>
    <dataValidation type="decimal" operator="greaterThan" allowBlank="1" showInputMessage="1" showErrorMessage="1" sqref="D1240">
      <formula1>0</formula1>
    </dataValidation>
    <dataValidation type="decimal" operator="greaterThan" allowBlank="1" showInputMessage="1" showErrorMessage="1" sqref="E1240">
      <formula1>0</formula1>
    </dataValidation>
    <dataValidation type="whole" operator="greaterThan" allowBlank="1" showInputMessage="1" showErrorMessage="1" sqref="A1241">
      <formula1>0</formula1>
    </dataValidation>
    <dataValidation type="list" allowBlank="1" showInputMessage="1" showErrorMessage="1" sqref="C1241">
      <formula1>UnidadesList</formula1>
    </dataValidation>
    <dataValidation type="decimal" operator="greaterThan" allowBlank="1" showInputMessage="1" showErrorMessage="1" sqref="D1241">
      <formula1>0</formula1>
    </dataValidation>
    <dataValidation type="decimal" operator="greaterThan" allowBlank="1" showInputMessage="1" showErrorMessage="1" sqref="E1241">
      <formula1>0</formula1>
    </dataValidation>
    <dataValidation type="date" operator="lessThanOrEqual" allowBlank="1" showInputMessage="1" showErrorMessage="1" sqref="C1246">
      <formula1>C1248</formula1>
    </dataValidation>
    <dataValidation type="date" operator="greaterThanOrEqual" allowBlank="1" showInputMessage="1" showErrorMessage="1" sqref="C1248">
      <formula1>C1246</formula1>
    </dataValidation>
    <dataValidation type="list" allowBlank="1" showInputMessage="1" showErrorMessage="1" sqref="F124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4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4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4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52">
      <formula1>0</formula1>
    </dataValidation>
    <dataValidation type="list" allowBlank="1" showInputMessage="1" showErrorMessage="1" sqref="C1252">
      <formula1>UnidadesList</formula1>
    </dataValidation>
    <dataValidation type="decimal" operator="greaterThan" allowBlank="1" showInputMessage="1" showErrorMessage="1" sqref="D1252">
      <formula1>0</formula1>
    </dataValidation>
    <dataValidation type="decimal" operator="greaterThan" allowBlank="1" showInputMessage="1" showErrorMessage="1" sqref="E1252">
      <formula1>0</formula1>
    </dataValidation>
    <dataValidation type="whole" operator="greaterThan" allowBlank="1" showInputMessage="1" showErrorMessage="1" sqref="A1253">
      <formula1>0</formula1>
    </dataValidation>
    <dataValidation type="list" allowBlank="1" showInputMessage="1" showErrorMessage="1" sqref="C1253">
      <formula1>UnidadesList</formula1>
    </dataValidation>
    <dataValidation type="decimal" operator="greaterThan" allowBlank="1" showInputMessage="1" showErrorMessage="1" sqref="D1253">
      <formula1>0</formula1>
    </dataValidation>
    <dataValidation type="decimal" operator="greaterThan" allowBlank="1" showInputMessage="1" showErrorMessage="1" sqref="E1253">
      <formula1>0</formula1>
    </dataValidation>
    <dataValidation type="whole" operator="greaterThan" allowBlank="1" showInputMessage="1" showErrorMessage="1" sqref="A1254">
      <formula1>0</formula1>
    </dataValidation>
    <dataValidation type="list" allowBlank="1" showInputMessage="1" showErrorMessage="1" sqref="C1254">
      <formula1>UnidadesList</formula1>
    </dataValidation>
    <dataValidation type="decimal" operator="greaterThan" allowBlank="1" showInputMessage="1" showErrorMessage="1" sqref="D1254">
      <formula1>0</formula1>
    </dataValidation>
    <dataValidation type="decimal" operator="greaterThan" allowBlank="1" showInputMessage="1" showErrorMessage="1" sqref="E1254">
      <formula1>0</formula1>
    </dataValidation>
    <dataValidation type="whole" operator="greaterThan" allowBlank="1" showInputMessage="1" showErrorMessage="1" sqref="A1255">
      <formula1>0</formula1>
    </dataValidation>
    <dataValidation type="list" allowBlank="1" showInputMessage="1" showErrorMessage="1" sqref="C1255">
      <formula1>UnidadesList</formula1>
    </dataValidation>
    <dataValidation type="decimal" operator="greaterThan" allowBlank="1" showInputMessage="1" showErrorMessage="1" sqref="D1255">
      <formula1>0</formula1>
    </dataValidation>
    <dataValidation type="decimal" operator="greaterThan" allowBlank="1" showInputMessage="1" showErrorMessage="1" sqref="E1255">
      <formula1>0</formula1>
    </dataValidation>
    <dataValidation type="whole" operator="greaterThan" allowBlank="1" showInputMessage="1" showErrorMessage="1" sqref="A1256">
      <formula1>0</formula1>
    </dataValidation>
    <dataValidation type="list" allowBlank="1" showInputMessage="1" showErrorMessage="1" sqref="C1256">
      <formula1>UnidadesList</formula1>
    </dataValidation>
    <dataValidation type="decimal" operator="greaterThan" allowBlank="1" showInputMessage="1" showErrorMessage="1" sqref="D1256">
      <formula1>0</formula1>
    </dataValidation>
    <dataValidation type="decimal" operator="greaterThan" allowBlank="1" showInputMessage="1" showErrorMessage="1" sqref="E1256">
      <formula1>0</formula1>
    </dataValidation>
    <dataValidation type="whole" operator="greaterThan" allowBlank="1" showInputMessage="1" showErrorMessage="1" sqref="A1257">
      <formula1>0</formula1>
    </dataValidation>
    <dataValidation type="list" allowBlank="1" showInputMessage="1" showErrorMessage="1" sqref="C1257">
      <formula1>UnidadesList</formula1>
    </dataValidation>
    <dataValidation type="decimal" operator="greaterThan" allowBlank="1" showInputMessage="1" showErrorMessage="1" sqref="D1257">
      <formula1>0</formula1>
    </dataValidation>
    <dataValidation type="decimal" operator="greaterThan" allowBlank="1" showInputMessage="1" showErrorMessage="1" sqref="E1257">
      <formula1>0</formula1>
    </dataValidation>
    <dataValidation type="whole" operator="greaterThan" allowBlank="1" showInputMessage="1" showErrorMessage="1" sqref="A1258">
      <formula1>0</formula1>
    </dataValidation>
    <dataValidation type="list" allowBlank="1" showInputMessage="1" showErrorMessage="1" sqref="C1258">
      <formula1>UnidadesList</formula1>
    </dataValidation>
    <dataValidation type="decimal" operator="greaterThan" allowBlank="1" showInputMessage="1" showErrorMessage="1" sqref="D1258">
      <formula1>0</formula1>
    </dataValidation>
    <dataValidation type="decimal" operator="greaterThan" allowBlank="1" showInputMessage="1" showErrorMessage="1" sqref="E1258">
      <formula1>0</formula1>
    </dataValidation>
    <dataValidation type="whole" operator="greaterThan" allowBlank="1" showInputMessage="1" showErrorMessage="1" sqref="A1259">
      <formula1>0</formula1>
    </dataValidation>
    <dataValidation type="list" allowBlank="1" showInputMessage="1" showErrorMessage="1" sqref="C1259">
      <formula1>UnidadesList</formula1>
    </dataValidation>
    <dataValidation type="decimal" operator="greaterThan" allowBlank="1" showInputMessage="1" showErrorMessage="1" sqref="D1259">
      <formula1>0</formula1>
    </dataValidation>
    <dataValidation type="decimal" operator="greaterThan" allowBlank="1" showInputMessage="1" showErrorMessage="1" sqref="E1259">
      <formula1>0</formula1>
    </dataValidation>
    <dataValidation type="whole" operator="greaterThan" allowBlank="1" showInputMessage="1" showErrorMessage="1" sqref="A1260">
      <formula1>0</formula1>
    </dataValidation>
    <dataValidation type="list" allowBlank="1" showInputMessage="1" showErrorMessage="1" sqref="C1260">
      <formula1>UnidadesList</formula1>
    </dataValidation>
    <dataValidation type="decimal" operator="greaterThan" allowBlank="1" showInputMessage="1" showErrorMessage="1" sqref="D1260">
      <formula1>0</formula1>
    </dataValidation>
    <dataValidation type="decimal" operator="greaterThan" allowBlank="1" showInputMessage="1" showErrorMessage="1" sqref="E1260">
      <formula1>0</formula1>
    </dataValidation>
    <dataValidation type="whole" operator="greaterThan" allowBlank="1" showInputMessage="1" showErrorMessage="1" sqref="A1261">
      <formula1>0</formula1>
    </dataValidation>
    <dataValidation type="list" allowBlank="1" showInputMessage="1" showErrorMessage="1" sqref="C1261">
      <formula1>UnidadesList</formula1>
    </dataValidation>
    <dataValidation type="decimal" operator="greaterThan" allowBlank="1" showInputMessage="1" showErrorMessage="1" sqref="D1261">
      <formula1>0</formula1>
    </dataValidation>
    <dataValidation type="decimal" operator="greaterThan" allowBlank="1" showInputMessage="1" showErrorMessage="1" sqref="E1261">
      <formula1>0</formula1>
    </dataValidation>
    <dataValidation type="date" operator="lessThanOrEqual" allowBlank="1" showInputMessage="1" showErrorMessage="1" sqref="C1266">
      <formula1>C1268</formula1>
    </dataValidation>
    <dataValidation type="date" operator="greaterThanOrEqual" allowBlank="1" showInputMessage="1" showErrorMessage="1" sqref="C1268">
      <formula1>C1266</formula1>
    </dataValidation>
    <dataValidation type="list" allowBlank="1" showInputMessage="1" showErrorMessage="1" sqref="F126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6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6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6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72">
      <formula1>0</formula1>
    </dataValidation>
    <dataValidation type="list" allowBlank="1" showInputMessage="1" showErrorMessage="1" sqref="C1272">
      <formula1>UnidadesList</formula1>
    </dataValidation>
    <dataValidation type="decimal" operator="greaterThan" allowBlank="1" showInputMessage="1" showErrorMessage="1" sqref="D1272">
      <formula1>0</formula1>
    </dataValidation>
    <dataValidation type="decimal" operator="greaterThan" allowBlank="1" showInputMessage="1" showErrorMessage="1" sqref="E1272">
      <formula1>0</formula1>
    </dataValidation>
    <dataValidation type="whole" operator="greaterThan" allowBlank="1" showInputMessage="1" showErrorMessage="1" sqref="A1273">
      <formula1>0</formula1>
    </dataValidation>
    <dataValidation type="list" allowBlank="1" showInputMessage="1" showErrorMessage="1" sqref="C1273">
      <formula1>UnidadesList</formula1>
    </dataValidation>
    <dataValidation type="decimal" operator="greaterThan" allowBlank="1" showInputMessage="1" showErrorMessage="1" sqref="D1273">
      <formula1>0</formula1>
    </dataValidation>
    <dataValidation type="decimal" operator="greaterThan" allowBlank="1" showInputMessage="1" showErrorMessage="1" sqref="E1273">
      <formula1>0</formula1>
    </dataValidation>
    <dataValidation type="whole" operator="greaterThan" allowBlank="1" showInputMessage="1" showErrorMessage="1" sqref="A1274">
      <formula1>0</formula1>
    </dataValidation>
    <dataValidation type="list" allowBlank="1" showInputMessage="1" showErrorMessage="1" sqref="C1274">
      <formula1>UnidadesList</formula1>
    </dataValidation>
    <dataValidation type="decimal" operator="greaterThan" allowBlank="1" showInputMessage="1" showErrorMessage="1" sqref="D1274">
      <formula1>0</formula1>
    </dataValidation>
    <dataValidation type="decimal" operator="greaterThan" allowBlank="1" showInputMessage="1" showErrorMessage="1" sqref="E1274">
      <formula1>0</formula1>
    </dataValidation>
    <dataValidation type="whole" operator="greaterThan" allowBlank="1" showInputMessage="1" showErrorMessage="1" sqref="A1275">
      <formula1>0</formula1>
    </dataValidation>
    <dataValidation type="list" allowBlank="1" showInputMessage="1" showErrorMessage="1" sqref="C1275">
      <formula1>UnidadesList</formula1>
    </dataValidation>
    <dataValidation type="decimal" operator="greaterThan" allowBlank="1" showInputMessage="1" showErrorMessage="1" sqref="D1275">
      <formula1>0</formula1>
    </dataValidation>
    <dataValidation type="decimal" operator="greaterThan" allowBlank="1" showInputMessage="1" showErrorMessage="1" sqref="E1275">
      <formula1>0</formula1>
    </dataValidation>
    <dataValidation type="whole" operator="greaterThan" allowBlank="1" showInputMessage="1" showErrorMessage="1" sqref="A1276">
      <formula1>0</formula1>
    </dataValidation>
    <dataValidation type="list" allowBlank="1" showInputMessage="1" showErrorMessage="1" sqref="C1276">
      <formula1>UnidadesList</formula1>
    </dataValidation>
    <dataValidation type="decimal" operator="greaterThan" allowBlank="1" showInputMessage="1" showErrorMessage="1" sqref="D1276">
      <formula1>0</formula1>
    </dataValidation>
    <dataValidation type="decimal" operator="greaterThan" allowBlank="1" showInputMessage="1" showErrorMessage="1" sqref="E1276">
      <formula1>0</formula1>
    </dataValidation>
    <dataValidation type="whole" operator="greaterThan" allowBlank="1" showInputMessage="1" showErrorMessage="1" sqref="A1277">
      <formula1>0</formula1>
    </dataValidation>
    <dataValidation type="list" allowBlank="1" showInputMessage="1" showErrorMessage="1" sqref="C1277">
      <formula1>UnidadesList</formula1>
    </dataValidation>
    <dataValidation type="decimal" operator="greaterThan" allowBlank="1" showInputMessage="1" showErrorMessage="1" sqref="D1277">
      <formula1>0</formula1>
    </dataValidation>
    <dataValidation type="decimal" operator="greaterThan" allowBlank="1" showInputMessage="1" showErrorMessage="1" sqref="E1277">
      <formula1>0</formula1>
    </dataValidation>
    <dataValidation type="whole" operator="greaterThan" allowBlank="1" showInputMessage="1" showErrorMessage="1" sqref="A1278">
      <formula1>0</formula1>
    </dataValidation>
    <dataValidation type="list" allowBlank="1" showInputMessage="1" showErrorMessage="1" sqref="C1278">
      <formula1>UnidadesList</formula1>
    </dataValidation>
    <dataValidation type="decimal" operator="greaterThan" allowBlank="1" showInputMessage="1" showErrorMessage="1" sqref="D1278">
      <formula1>0</formula1>
    </dataValidation>
    <dataValidation type="decimal" operator="greaterThan" allowBlank="1" showInputMessage="1" showErrorMessage="1" sqref="E1278">
      <formula1>0</formula1>
    </dataValidation>
    <dataValidation type="whole" operator="greaterThan" allowBlank="1" showInputMessage="1" showErrorMessage="1" sqref="A1279">
      <formula1>0</formula1>
    </dataValidation>
    <dataValidation type="list" allowBlank="1" showInputMessage="1" showErrorMessage="1" sqref="C1279">
      <formula1>UnidadesList</formula1>
    </dataValidation>
    <dataValidation type="decimal" operator="greaterThan" allowBlank="1" showInputMessage="1" showErrorMessage="1" sqref="D1279">
      <formula1>0</formula1>
    </dataValidation>
    <dataValidation type="decimal" operator="greaterThan" allowBlank="1" showInputMessage="1" showErrorMessage="1" sqref="E1279">
      <formula1>0</formula1>
    </dataValidation>
    <dataValidation type="whole" operator="greaterThan" allowBlank="1" showInputMessage="1" showErrorMessage="1" sqref="A1280">
      <formula1>0</formula1>
    </dataValidation>
    <dataValidation type="list" allowBlank="1" showInputMessage="1" showErrorMessage="1" sqref="C1280">
      <formula1>UnidadesList</formula1>
    </dataValidation>
    <dataValidation type="decimal" operator="greaterThan" allowBlank="1" showInputMessage="1" showErrorMessage="1" sqref="D1280">
      <formula1>0</formula1>
    </dataValidation>
    <dataValidation type="decimal" operator="greaterThan" allowBlank="1" showInputMessage="1" showErrorMessage="1" sqref="E1280">
      <formula1>0</formula1>
    </dataValidation>
    <dataValidation type="whole" operator="greaterThan" allowBlank="1" showInputMessage="1" showErrorMessage="1" sqref="A1281">
      <formula1>0</formula1>
    </dataValidation>
    <dataValidation type="list" allowBlank="1" showInputMessage="1" showErrorMessage="1" sqref="C1281">
      <formula1>UnidadesList</formula1>
    </dataValidation>
    <dataValidation type="decimal" operator="greaterThan" allowBlank="1" showInputMessage="1" showErrorMessage="1" sqref="D1281">
      <formula1>0</formula1>
    </dataValidation>
    <dataValidation type="decimal" operator="greaterThan" allowBlank="1" showInputMessage="1" showErrorMessage="1" sqref="E1281">
      <formula1>0</formula1>
    </dataValidation>
    <dataValidation type="whole" operator="greaterThan" allowBlank="1" showInputMessage="1" showErrorMessage="1" sqref="A1282">
      <formula1>0</formula1>
    </dataValidation>
    <dataValidation type="list" allowBlank="1" showInputMessage="1" showErrorMessage="1" sqref="C1282">
      <formula1>UnidadesList</formula1>
    </dataValidation>
    <dataValidation type="decimal" operator="greaterThan" allowBlank="1" showInputMessage="1" showErrorMessage="1" sqref="D1282">
      <formula1>0</formula1>
    </dataValidation>
    <dataValidation type="decimal" operator="greaterThan" allowBlank="1" showInputMessage="1" showErrorMessage="1" sqref="E1282">
      <formula1>0</formula1>
    </dataValidation>
    <dataValidation type="whole" operator="greaterThan" allowBlank="1" showInputMessage="1" showErrorMessage="1" sqref="A1283">
      <formula1>0</formula1>
    </dataValidation>
    <dataValidation type="list" allowBlank="1" showInputMessage="1" showErrorMessage="1" sqref="C1283">
      <formula1>UnidadesList</formula1>
    </dataValidation>
    <dataValidation type="decimal" operator="greaterThan" allowBlank="1" showInputMessage="1" showErrorMessage="1" sqref="D1283">
      <formula1>0</formula1>
    </dataValidation>
    <dataValidation type="decimal" operator="greaterThan" allowBlank="1" showInputMessage="1" showErrorMessage="1" sqref="E1283">
      <formula1>0</formula1>
    </dataValidation>
    <dataValidation type="whole" operator="greaterThan" allowBlank="1" showInputMessage="1" showErrorMessage="1" sqref="A1284">
      <formula1>0</formula1>
    </dataValidation>
    <dataValidation type="list" allowBlank="1" showInputMessage="1" showErrorMessage="1" sqref="C1284">
      <formula1>UnidadesList</formula1>
    </dataValidation>
    <dataValidation type="decimal" operator="greaterThan" allowBlank="1" showInputMessage="1" showErrorMessage="1" sqref="D1284">
      <formula1>0</formula1>
    </dataValidation>
    <dataValidation type="decimal" operator="greaterThan" allowBlank="1" showInputMessage="1" showErrorMessage="1" sqref="E1284">
      <formula1>0</formula1>
    </dataValidation>
    <dataValidation type="whole" operator="greaterThan" allowBlank="1" showInputMessage="1" showErrorMessage="1" sqref="A1285">
      <formula1>0</formula1>
    </dataValidation>
    <dataValidation type="list" allowBlank="1" showInputMessage="1" showErrorMessage="1" sqref="C1285">
      <formula1>UnidadesList</formula1>
    </dataValidation>
    <dataValidation type="decimal" operator="greaterThan" allowBlank="1" showInputMessage="1" showErrorMessage="1" sqref="D1285">
      <formula1>0</formula1>
    </dataValidation>
    <dataValidation type="decimal" operator="greaterThan" allowBlank="1" showInputMessage="1" showErrorMessage="1" sqref="E1285">
      <formula1>0</formula1>
    </dataValidation>
    <dataValidation type="whole" operator="greaterThan" allowBlank="1" showInputMessage="1" showErrorMessage="1" sqref="A1286">
      <formula1>0</formula1>
    </dataValidation>
    <dataValidation type="list" allowBlank="1" showInputMessage="1" showErrorMessage="1" sqref="C1286">
      <formula1>UnidadesList</formula1>
    </dataValidation>
    <dataValidation type="decimal" operator="greaterThan" allowBlank="1" showInputMessage="1" showErrorMessage="1" sqref="D1286">
      <formula1>0</formula1>
    </dataValidation>
    <dataValidation type="decimal" operator="greaterThan" allowBlank="1" showInputMessage="1" showErrorMessage="1" sqref="E1286">
      <formula1>0</formula1>
    </dataValidation>
    <dataValidation type="whole" operator="greaterThan" allowBlank="1" showInputMessage="1" showErrorMessage="1" sqref="A1287">
      <formula1>0</formula1>
    </dataValidation>
    <dataValidation type="list" allowBlank="1" showInputMessage="1" showErrorMessage="1" sqref="C1287">
      <formula1>UnidadesList</formula1>
    </dataValidation>
    <dataValidation type="decimal" operator="greaterThan" allowBlank="1" showInputMessage="1" showErrorMessage="1" sqref="D1287">
      <formula1>0</formula1>
    </dataValidation>
    <dataValidation type="decimal" operator="greaterThan" allowBlank="1" showInputMessage="1" showErrorMessage="1" sqref="E1287">
      <formula1>0</formula1>
    </dataValidation>
    <dataValidation type="date" operator="lessThanOrEqual" allowBlank="1" showInputMessage="1" showErrorMessage="1" sqref="C1292">
      <formula1>C1294</formula1>
    </dataValidation>
    <dataValidation type="date" operator="greaterThanOrEqual" allowBlank="1" showInputMessage="1" showErrorMessage="1" sqref="C1294">
      <formula1>C1292</formula1>
    </dataValidation>
    <dataValidation type="list" allowBlank="1" showInputMessage="1" showErrorMessage="1" sqref="F129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9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9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9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98">
      <formula1>0</formula1>
    </dataValidation>
    <dataValidation type="list" allowBlank="1" showInputMessage="1" showErrorMessage="1" sqref="C1298">
      <formula1>UnidadesList</formula1>
    </dataValidation>
    <dataValidation type="decimal" operator="greaterThan" allowBlank="1" showInputMessage="1" showErrorMessage="1" sqref="D1298">
      <formula1>0</formula1>
    </dataValidation>
    <dataValidation type="decimal" operator="greaterThan" allowBlank="1" showInputMessage="1" showErrorMessage="1" sqref="E1298">
      <formula1>0</formula1>
    </dataValidation>
    <dataValidation type="whole" operator="greaterThan" allowBlank="1" showInputMessage="1" showErrorMessage="1" sqref="A1299">
      <formula1>0</formula1>
    </dataValidation>
    <dataValidation type="list" allowBlank="1" showInputMessage="1" showErrorMessage="1" sqref="C1299">
      <formula1>UnidadesList</formula1>
    </dataValidation>
    <dataValidation type="decimal" operator="greaterThan" allowBlank="1" showInputMessage="1" showErrorMessage="1" sqref="D1299">
      <formula1>0</formula1>
    </dataValidation>
    <dataValidation type="decimal" operator="greaterThan" allowBlank="1" showInputMessage="1" showErrorMessage="1" sqref="E1299">
      <formula1>0</formula1>
    </dataValidation>
    <dataValidation type="whole" operator="greaterThan" allowBlank="1" showInputMessage="1" showErrorMessage="1" sqref="A1300">
      <formula1>0</formula1>
    </dataValidation>
    <dataValidation type="list" allowBlank="1" showInputMessage="1" showErrorMessage="1" sqref="C1300">
      <formula1>UnidadesList</formula1>
    </dataValidation>
    <dataValidation type="decimal" operator="greaterThan" allowBlank="1" showInputMessage="1" showErrorMessage="1" sqref="D1300">
      <formula1>0</formula1>
    </dataValidation>
    <dataValidation type="decimal" operator="greaterThan" allowBlank="1" showInputMessage="1" showErrorMessage="1" sqref="E1300">
      <formula1>0</formula1>
    </dataValidation>
    <dataValidation type="whole" operator="greaterThan" allowBlank="1" showInputMessage="1" showErrorMessage="1" sqref="A1301">
      <formula1>0</formula1>
    </dataValidation>
    <dataValidation type="list" allowBlank="1" showInputMessage="1" showErrorMessage="1" sqref="C1301">
      <formula1>UnidadesList</formula1>
    </dataValidation>
    <dataValidation type="decimal" operator="greaterThan" allowBlank="1" showInputMessage="1" showErrorMessage="1" sqref="D1301">
      <formula1>0</formula1>
    </dataValidation>
    <dataValidation type="decimal" operator="greaterThan" allowBlank="1" showInputMessage="1" showErrorMessage="1" sqref="E1301">
      <formula1>0</formula1>
    </dataValidation>
    <dataValidation type="whole" operator="greaterThan" allowBlank="1" showInputMessage="1" showErrorMessage="1" sqref="A1302">
      <formula1>0</formula1>
    </dataValidation>
    <dataValidation type="list" allowBlank="1" showInputMessage="1" showErrorMessage="1" sqref="C1302">
      <formula1>UnidadesList</formula1>
    </dataValidation>
    <dataValidation type="decimal" operator="greaterThan" allowBlank="1" showInputMessage="1" showErrorMessage="1" sqref="D1302">
      <formula1>0</formula1>
    </dataValidation>
    <dataValidation type="decimal" operator="greaterThan" allowBlank="1" showInputMessage="1" showErrorMessage="1" sqref="E1302">
      <formula1>0</formula1>
    </dataValidation>
    <dataValidation type="whole" operator="greaterThan" allowBlank="1" showInputMessage="1" showErrorMessage="1" sqref="A1303">
      <formula1>0</formula1>
    </dataValidation>
    <dataValidation type="list" allowBlank="1" showInputMessage="1" showErrorMessage="1" sqref="C1303">
      <formula1>UnidadesList</formula1>
    </dataValidation>
    <dataValidation type="decimal" operator="greaterThan" allowBlank="1" showInputMessage="1" showErrorMessage="1" sqref="D1303">
      <formula1>0</formula1>
    </dataValidation>
    <dataValidation type="decimal" operator="greaterThan" allowBlank="1" showInputMessage="1" showErrorMessage="1" sqref="E1303">
      <formula1>0</formula1>
    </dataValidation>
    <dataValidation type="whole" operator="greaterThan" allowBlank="1" showInputMessage="1" showErrorMessage="1" sqref="A1304">
      <formula1>0</formula1>
    </dataValidation>
    <dataValidation type="list" allowBlank="1" showInputMessage="1" showErrorMessage="1" sqref="C1304">
      <formula1>UnidadesList</formula1>
    </dataValidation>
    <dataValidation type="decimal" operator="greaterThan" allowBlank="1" showInputMessage="1" showErrorMessage="1" sqref="D1304">
      <formula1>0</formula1>
    </dataValidation>
    <dataValidation type="decimal" operator="greaterThan" allowBlank="1" showInputMessage="1" showErrorMessage="1" sqref="E1304">
      <formula1>0</formula1>
    </dataValidation>
    <dataValidation type="whole" operator="greaterThan" allowBlank="1" showInputMessage="1" showErrorMessage="1" sqref="A1305">
      <formula1>0</formula1>
    </dataValidation>
    <dataValidation type="list" allowBlank="1" showInputMessage="1" showErrorMessage="1" sqref="C1305">
      <formula1>UnidadesList</formula1>
    </dataValidation>
    <dataValidation type="decimal" operator="greaterThan" allowBlank="1" showInputMessage="1" showErrorMessage="1" sqref="D1305">
      <formula1>0</formula1>
    </dataValidation>
    <dataValidation type="decimal" operator="greaterThan" allowBlank="1" showInputMessage="1" showErrorMessage="1" sqref="E1305">
      <formula1>0</formula1>
    </dataValidation>
    <dataValidation type="whole" operator="greaterThan" allowBlank="1" showInputMessage="1" showErrorMessage="1" sqref="A1306">
      <formula1>0</formula1>
    </dataValidation>
    <dataValidation type="list" allowBlank="1" showInputMessage="1" showErrorMessage="1" sqref="C1306">
      <formula1>UnidadesList</formula1>
    </dataValidation>
    <dataValidation type="decimal" operator="greaterThan" allowBlank="1" showInputMessage="1" showErrorMessage="1" sqref="D1306">
      <formula1>0</formula1>
    </dataValidation>
    <dataValidation type="decimal" operator="greaterThan" allowBlank="1" showInputMessage="1" showErrorMessage="1" sqref="E1306">
      <formula1>0</formula1>
    </dataValidation>
    <dataValidation type="whole" operator="greaterThan" allowBlank="1" showInputMessage="1" showErrorMessage="1" sqref="A1307">
      <formula1>0</formula1>
    </dataValidation>
    <dataValidation type="list" allowBlank="1" showInputMessage="1" showErrorMessage="1" sqref="C1307">
      <formula1>UnidadesList</formula1>
    </dataValidation>
    <dataValidation type="decimal" operator="greaterThan" allowBlank="1" showInputMessage="1" showErrorMessage="1" sqref="D1307">
      <formula1>0</formula1>
    </dataValidation>
    <dataValidation type="decimal" operator="greaterThan" allowBlank="1" showInputMessage="1" showErrorMessage="1" sqref="E1307">
      <formula1>0</formula1>
    </dataValidation>
    <dataValidation type="whole" operator="greaterThan" allowBlank="1" showInputMessage="1" showErrorMessage="1" sqref="A1308">
      <formula1>0</formula1>
    </dataValidation>
    <dataValidation type="list" allowBlank="1" showInputMessage="1" showErrorMessage="1" sqref="C1308">
      <formula1>UnidadesList</formula1>
    </dataValidation>
    <dataValidation type="decimal" operator="greaterThan" allowBlank="1" showInputMessage="1" showErrorMessage="1" sqref="D1308">
      <formula1>0</formula1>
    </dataValidation>
    <dataValidation type="decimal" operator="greaterThan" allowBlank="1" showInputMessage="1" showErrorMessage="1" sqref="E1308">
      <formula1>0</formula1>
    </dataValidation>
    <dataValidation type="whole" operator="greaterThan" allowBlank="1" showInputMessage="1" showErrorMessage="1" sqref="A1309">
      <formula1>0</formula1>
    </dataValidation>
    <dataValidation type="list" allowBlank="1" showInputMessage="1" showErrorMessage="1" sqref="C1309">
      <formula1>UnidadesList</formula1>
    </dataValidation>
    <dataValidation type="decimal" operator="greaterThan" allowBlank="1" showInputMessage="1" showErrorMessage="1" sqref="D1309">
      <formula1>0</formula1>
    </dataValidation>
    <dataValidation type="decimal" operator="greaterThan" allowBlank="1" showInputMessage="1" showErrorMessage="1" sqref="E1309">
      <formula1>0</formula1>
    </dataValidation>
    <dataValidation type="whole" operator="greaterThan" allowBlank="1" showInputMessage="1" showErrorMessage="1" sqref="A1310">
      <formula1>0</formula1>
    </dataValidation>
    <dataValidation type="list" allowBlank="1" showInputMessage="1" showErrorMessage="1" sqref="C1310">
      <formula1>UnidadesList</formula1>
    </dataValidation>
    <dataValidation type="decimal" operator="greaterThan" allowBlank="1" showInputMessage="1" showErrorMessage="1" sqref="D1310">
      <formula1>0</formula1>
    </dataValidation>
    <dataValidation type="decimal" operator="greaterThan" allowBlank="1" showInputMessage="1" showErrorMessage="1" sqref="E1310">
      <formula1>0</formula1>
    </dataValidation>
    <dataValidation type="whole" operator="greaterThan" allowBlank="1" showInputMessage="1" showErrorMessage="1" sqref="A1311">
      <formula1>0</formula1>
    </dataValidation>
    <dataValidation type="list" allowBlank="1" showInputMessage="1" showErrorMessage="1" sqref="C1311">
      <formula1>UnidadesList</formula1>
    </dataValidation>
    <dataValidation type="decimal" operator="greaterThan" allowBlank="1" showInputMessage="1" showErrorMessage="1" sqref="D1311">
      <formula1>0</formula1>
    </dataValidation>
    <dataValidation type="decimal" operator="greaterThan" allowBlank="1" showInputMessage="1" showErrorMessage="1" sqref="E1311">
      <formula1>0</formula1>
    </dataValidation>
    <dataValidation type="whole" operator="greaterThan" allowBlank="1" showInputMessage="1" showErrorMessage="1" sqref="A1312">
      <formula1>0</formula1>
    </dataValidation>
    <dataValidation type="list" allowBlank="1" showInputMessage="1" showErrorMessage="1" sqref="C1312">
      <formula1>UnidadesList</formula1>
    </dataValidation>
    <dataValidation type="decimal" operator="greaterThan" allowBlank="1" showInputMessage="1" showErrorMessage="1" sqref="D1312">
      <formula1>0</formula1>
    </dataValidation>
    <dataValidation type="decimal" operator="greaterThan" allowBlank="1" showInputMessage="1" showErrorMessage="1" sqref="E1312">
      <formula1>0</formula1>
    </dataValidation>
    <dataValidation type="whole" operator="greaterThan" allowBlank="1" showInputMessage="1" showErrorMessage="1" sqref="A1313">
      <formula1>0</formula1>
    </dataValidation>
    <dataValidation type="list" allowBlank="1" showInputMessage="1" showErrorMessage="1" sqref="C1313">
      <formula1>UnidadesList</formula1>
    </dataValidation>
    <dataValidation type="decimal" operator="greaterThan" allowBlank="1" showInputMessage="1" showErrorMessage="1" sqref="D1313">
      <formula1>0</formula1>
    </dataValidation>
    <dataValidation type="decimal" operator="greaterThan" allowBlank="1" showInputMessage="1" showErrorMessage="1" sqref="E1313">
      <formula1>0</formula1>
    </dataValidation>
    <dataValidation type="date" operator="lessThanOrEqual" allowBlank="1" showInputMessage="1" showErrorMessage="1" sqref="C1318">
      <formula1>C1320</formula1>
    </dataValidation>
    <dataValidation type="date" operator="greaterThanOrEqual" allowBlank="1" showInputMessage="1" showErrorMessage="1" sqref="C1320">
      <formula1>C1318</formula1>
    </dataValidation>
    <dataValidation type="list" allowBlank="1" showInputMessage="1" showErrorMessage="1" sqref="F131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1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2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2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24">
      <formula1>0</formula1>
    </dataValidation>
    <dataValidation type="list" allowBlank="1" showInputMessage="1" showErrorMessage="1" sqref="C1324">
      <formula1>UnidadesList</formula1>
    </dataValidation>
    <dataValidation type="decimal" operator="greaterThan" allowBlank="1" showInputMessage="1" showErrorMessage="1" sqref="D1324">
      <formula1>0</formula1>
    </dataValidation>
    <dataValidation type="decimal" operator="greaterThan" allowBlank="1" showInputMessage="1" showErrorMessage="1" sqref="E1324">
      <formula1>0</formula1>
    </dataValidation>
    <dataValidation type="whole" operator="greaterThan" allowBlank="1" showInputMessage="1" showErrorMessage="1" sqref="A1325">
      <formula1>0</formula1>
    </dataValidation>
    <dataValidation type="list" allowBlank="1" showInputMessage="1" showErrorMessage="1" sqref="C1325">
      <formula1>UnidadesList</formula1>
    </dataValidation>
    <dataValidation type="decimal" operator="greaterThan" allowBlank="1" showInputMessage="1" showErrorMessage="1" sqref="D1325">
      <formula1>0</formula1>
    </dataValidation>
    <dataValidation type="decimal" operator="greaterThan" allowBlank="1" showInputMessage="1" showErrorMessage="1" sqref="E1325">
      <formula1>0</formula1>
    </dataValidation>
    <dataValidation type="whole" operator="greaterThan" allowBlank="1" showInputMessage="1" showErrorMessage="1" sqref="A1326">
      <formula1>0</formula1>
    </dataValidation>
    <dataValidation type="list" allowBlank="1" showInputMessage="1" showErrorMessage="1" sqref="C1326">
      <formula1>UnidadesList</formula1>
    </dataValidation>
    <dataValidation type="decimal" operator="greaterThan" allowBlank="1" showInputMessage="1" showErrorMessage="1" sqref="D1326">
      <formula1>0</formula1>
    </dataValidation>
    <dataValidation type="decimal" operator="greaterThan" allowBlank="1" showInputMessage="1" showErrorMessage="1" sqref="E1326">
      <formula1>0</formula1>
    </dataValidation>
    <dataValidation type="whole" operator="greaterThan" allowBlank="1" showInputMessage="1" showErrorMessage="1" sqref="A1327">
      <formula1>0</formula1>
    </dataValidation>
    <dataValidation type="list" allowBlank="1" showInputMessage="1" showErrorMessage="1" sqref="C1327">
      <formula1>UnidadesList</formula1>
    </dataValidation>
    <dataValidation type="decimal" operator="greaterThan" allowBlank="1" showInputMessage="1" showErrorMessage="1" sqref="D1327">
      <formula1>0</formula1>
    </dataValidation>
    <dataValidation type="decimal" operator="greaterThan" allowBlank="1" showInputMessage="1" showErrorMessage="1" sqref="E1327">
      <formula1>0</formula1>
    </dataValidation>
    <dataValidation type="whole" operator="greaterThan" allowBlank="1" showInputMessage="1" showErrorMessage="1" sqref="A1328">
      <formula1>0</formula1>
    </dataValidation>
    <dataValidation type="list" allowBlank="1" showInputMessage="1" showErrorMessage="1" sqref="C1328">
      <formula1>UnidadesList</formula1>
    </dataValidation>
    <dataValidation type="decimal" operator="greaterThan" allowBlank="1" showInputMessage="1" showErrorMessage="1" sqref="D1328">
      <formula1>0</formula1>
    </dataValidation>
    <dataValidation type="decimal" operator="greaterThan" allowBlank="1" showInputMessage="1" showErrorMessage="1" sqref="E1328">
      <formula1>0</formula1>
    </dataValidation>
    <dataValidation type="whole" operator="greaterThan" allowBlank="1" showInputMessage="1" showErrorMessage="1" sqref="A1329">
      <formula1>0</formula1>
    </dataValidation>
    <dataValidation type="list" allowBlank="1" showInputMessage="1" showErrorMessage="1" sqref="C1329">
      <formula1>UnidadesList</formula1>
    </dataValidation>
    <dataValidation type="decimal" operator="greaterThan" allowBlank="1" showInputMessage="1" showErrorMessage="1" sqref="D1329">
      <formula1>0</formula1>
    </dataValidation>
    <dataValidation type="decimal" operator="greaterThan" allowBlank="1" showInputMessage="1" showErrorMessage="1" sqref="E1329">
      <formula1>0</formula1>
    </dataValidation>
    <dataValidation type="whole" operator="greaterThan" allowBlank="1" showInputMessage="1" showErrorMessage="1" sqref="A1330">
      <formula1>0</formula1>
    </dataValidation>
    <dataValidation type="list" allowBlank="1" showInputMessage="1" showErrorMessage="1" sqref="C1330">
      <formula1>UnidadesList</formula1>
    </dataValidation>
    <dataValidation type="decimal" operator="greaterThan" allowBlank="1" showInputMessage="1" showErrorMessage="1" sqref="D1330">
      <formula1>0</formula1>
    </dataValidation>
    <dataValidation type="decimal" operator="greaterThan" allowBlank="1" showInputMessage="1" showErrorMessage="1" sqref="E1330">
      <formula1>0</formula1>
    </dataValidation>
    <dataValidation type="whole" operator="greaterThan" allowBlank="1" showInputMessage="1" showErrorMessage="1" sqref="A1331">
      <formula1>0</formula1>
    </dataValidation>
    <dataValidation type="list" allowBlank="1" showInputMessage="1" showErrorMessage="1" sqref="C1331">
      <formula1>UnidadesList</formula1>
    </dataValidation>
    <dataValidation type="decimal" operator="greaterThan" allowBlank="1" showInputMessage="1" showErrorMessage="1" sqref="D1331">
      <formula1>0</formula1>
    </dataValidation>
    <dataValidation type="decimal" operator="greaterThan" allowBlank="1" showInputMessage="1" showErrorMessage="1" sqref="E1331">
      <formula1>0</formula1>
    </dataValidation>
    <dataValidation type="whole" operator="greaterThan" allowBlank="1" showInputMessage="1" showErrorMessage="1" sqref="A1332">
      <formula1>0</formula1>
    </dataValidation>
    <dataValidation type="list" allowBlank="1" showInputMessage="1" showErrorMessage="1" sqref="C1332">
      <formula1>UnidadesList</formula1>
    </dataValidation>
    <dataValidation type="decimal" operator="greaterThan" allowBlank="1" showInputMessage="1" showErrorMessage="1" sqref="D1332">
      <formula1>0</formula1>
    </dataValidation>
    <dataValidation type="decimal" operator="greaterThan" allowBlank="1" showInputMessage="1" showErrorMessage="1" sqref="E1332">
      <formula1>0</formula1>
    </dataValidation>
    <dataValidation type="whole" operator="greaterThan" allowBlank="1" showInputMessage="1" showErrorMessage="1" sqref="A1333">
      <formula1>0</formula1>
    </dataValidation>
    <dataValidation type="list" allowBlank="1" showInputMessage="1" showErrorMessage="1" sqref="C1333">
      <formula1>UnidadesList</formula1>
    </dataValidation>
    <dataValidation type="decimal" operator="greaterThan" allowBlank="1" showInputMessage="1" showErrorMessage="1" sqref="D1333">
      <formula1>0</formula1>
    </dataValidation>
    <dataValidation type="decimal" operator="greaterThan" allowBlank="1" showInputMessage="1" showErrorMessage="1" sqref="E1333">
      <formula1>0</formula1>
    </dataValidation>
    <dataValidation type="whole" operator="greaterThan" allowBlank="1" showInputMessage="1" showErrorMessage="1" sqref="A1334">
      <formula1>0</formula1>
    </dataValidation>
    <dataValidation type="list" allowBlank="1" showInputMessage="1" showErrorMessage="1" sqref="C1334">
      <formula1>UnidadesList</formula1>
    </dataValidation>
    <dataValidation type="decimal" operator="greaterThan" allowBlank="1" showInputMessage="1" showErrorMessage="1" sqref="D1334">
      <formula1>0</formula1>
    </dataValidation>
    <dataValidation type="decimal" operator="greaterThan" allowBlank="1" showInputMessage="1" showErrorMessage="1" sqref="E1334">
      <formula1>0</formula1>
    </dataValidation>
    <dataValidation type="whole" operator="greaterThan" allowBlank="1" showInputMessage="1" showErrorMessage="1" sqref="A1335">
      <formula1>0</formula1>
    </dataValidation>
    <dataValidation type="list" allowBlank="1" showInputMessage="1" showErrorMessage="1" sqref="C1335">
      <formula1>UnidadesList</formula1>
    </dataValidation>
    <dataValidation type="decimal" operator="greaterThan" allowBlank="1" showInputMessage="1" showErrorMessage="1" sqref="D1335">
      <formula1>0</formula1>
    </dataValidation>
    <dataValidation type="decimal" operator="greaterThan" allowBlank="1" showInputMessage="1" showErrorMessage="1" sqref="E1335">
      <formula1>0</formula1>
    </dataValidation>
    <dataValidation type="whole" operator="greaterThan" allowBlank="1" showInputMessage="1" showErrorMessage="1" sqref="A1336">
      <formula1>0</formula1>
    </dataValidation>
    <dataValidation type="list" allowBlank="1" showInputMessage="1" showErrorMessage="1" sqref="C1336">
      <formula1>UnidadesList</formula1>
    </dataValidation>
    <dataValidation type="decimal" operator="greaterThan" allowBlank="1" showInputMessage="1" showErrorMessage="1" sqref="D1336">
      <formula1>0</formula1>
    </dataValidation>
    <dataValidation type="decimal" operator="greaterThan" allowBlank="1" showInputMessage="1" showErrorMessage="1" sqref="E1336">
      <formula1>0</formula1>
    </dataValidation>
    <dataValidation type="whole" operator="greaterThan" allowBlank="1" showInputMessage="1" showErrorMessage="1" sqref="A1337">
      <formula1>0</formula1>
    </dataValidation>
    <dataValidation type="list" allowBlank="1" showInputMessage="1" showErrorMessage="1" sqref="C1337">
      <formula1>UnidadesList</formula1>
    </dataValidation>
    <dataValidation type="decimal" operator="greaterThan" allowBlank="1" showInputMessage="1" showErrorMessage="1" sqref="D1337">
      <formula1>0</formula1>
    </dataValidation>
    <dataValidation type="decimal" operator="greaterThan" allowBlank="1" showInputMessage="1" showErrorMessage="1" sqref="E1337">
      <formula1>0</formula1>
    </dataValidation>
    <dataValidation type="whole" operator="greaterThan" allowBlank="1" showInputMessage="1" showErrorMessage="1" sqref="A1338">
      <formula1>0</formula1>
    </dataValidation>
    <dataValidation type="list" allowBlank="1" showInputMessage="1" showErrorMessage="1" sqref="C1338">
      <formula1>UnidadesList</formula1>
    </dataValidation>
    <dataValidation type="decimal" operator="greaterThan" allowBlank="1" showInputMessage="1" showErrorMessage="1" sqref="D1338">
      <formula1>0</formula1>
    </dataValidation>
    <dataValidation type="decimal" operator="greaterThan" allowBlank="1" showInputMessage="1" showErrorMessage="1" sqref="E1338">
      <formula1>0</formula1>
    </dataValidation>
    <dataValidation type="whole" operator="greaterThan" allowBlank="1" showInputMessage="1" showErrorMessage="1" sqref="A1339">
      <formula1>0</formula1>
    </dataValidation>
    <dataValidation type="list" allowBlank="1" showInputMessage="1" showErrorMessage="1" sqref="C1339">
      <formula1>UnidadesList</formula1>
    </dataValidation>
    <dataValidation type="decimal" operator="greaterThan" allowBlank="1" showInputMessage="1" showErrorMessage="1" sqref="D1339">
      <formula1>0</formula1>
    </dataValidation>
    <dataValidation type="decimal" operator="greaterThan" allowBlank="1" showInputMessage="1" showErrorMessage="1" sqref="E1339">
      <formula1>0</formula1>
    </dataValidation>
    <dataValidation type="date" operator="lessThanOrEqual" allowBlank="1" showInputMessage="1" showErrorMessage="1" sqref="C1344">
      <formula1>C1346</formula1>
    </dataValidation>
    <dataValidation type="date" operator="greaterThanOrEqual" allowBlank="1" showInputMessage="1" showErrorMessage="1" sqref="C1346">
      <formula1>C1344</formula1>
    </dataValidation>
    <dataValidation type="list" allowBlank="1" showInputMessage="1" showErrorMessage="1" sqref="F13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50">
      <formula1>0</formula1>
    </dataValidation>
    <dataValidation type="list" allowBlank="1" showInputMessage="1" showErrorMessage="1" sqref="C1350">
      <formula1>UnidadesList</formula1>
    </dataValidation>
    <dataValidation type="decimal" operator="greaterThan" allowBlank="1" showInputMessage="1" showErrorMessage="1" sqref="D1350">
      <formula1>0</formula1>
    </dataValidation>
    <dataValidation type="decimal" operator="greaterThan" allowBlank="1" showInputMessage="1" showErrorMessage="1" sqref="E1350">
      <formula1>0</formula1>
    </dataValidation>
    <dataValidation type="whole" operator="greaterThan" allowBlank="1" showInputMessage="1" showErrorMessage="1" sqref="A1351">
      <formula1>0</formula1>
    </dataValidation>
    <dataValidation type="list" allowBlank="1" showInputMessage="1" showErrorMessage="1" sqref="C1351">
      <formula1>UnidadesList</formula1>
    </dataValidation>
    <dataValidation type="decimal" operator="greaterThan" allowBlank="1" showInputMessage="1" showErrorMessage="1" sqref="D1351">
      <formula1>0</formula1>
    </dataValidation>
    <dataValidation type="decimal" operator="greaterThan" allowBlank="1" showInputMessage="1" showErrorMessage="1" sqref="E1351">
      <formula1>0</formula1>
    </dataValidation>
    <dataValidation type="whole" operator="greaterThan" allowBlank="1" showInputMessage="1" showErrorMessage="1" sqref="A1352">
      <formula1>0</formula1>
    </dataValidation>
    <dataValidation type="list" allowBlank="1" showInputMessage="1" showErrorMessage="1" sqref="C1352">
      <formula1>UnidadesList</formula1>
    </dataValidation>
    <dataValidation type="decimal" operator="greaterThan" allowBlank="1" showInputMessage="1" showErrorMessage="1" sqref="D1352">
      <formula1>0</formula1>
    </dataValidation>
    <dataValidation type="decimal" operator="greaterThan" allowBlank="1" showInputMessage="1" showErrorMessage="1" sqref="E1352">
      <formula1>0</formula1>
    </dataValidation>
    <dataValidation type="whole" operator="greaterThan" allowBlank="1" showInputMessage="1" showErrorMessage="1" sqref="A1353">
      <formula1>0</formula1>
    </dataValidation>
    <dataValidation type="list" allowBlank="1" showInputMessage="1" showErrorMessage="1" sqref="C1353">
      <formula1>UnidadesList</formula1>
    </dataValidation>
    <dataValidation type="decimal" operator="greaterThan" allowBlank="1" showInputMessage="1" showErrorMessage="1" sqref="D1353">
      <formula1>0</formula1>
    </dataValidation>
    <dataValidation type="decimal" operator="greaterThan" allowBlank="1" showInputMessage="1" showErrorMessage="1" sqref="E1353">
      <formula1>0</formula1>
    </dataValidation>
    <dataValidation type="whole" operator="greaterThan" allowBlank="1" showInputMessage="1" showErrorMessage="1" sqref="A1354">
      <formula1>0</formula1>
    </dataValidation>
    <dataValidation type="list" allowBlank="1" showInputMessage="1" showErrorMessage="1" sqref="C1354">
      <formula1>UnidadesList</formula1>
    </dataValidation>
    <dataValidation type="decimal" operator="greaterThan" allowBlank="1" showInputMessage="1" showErrorMessage="1" sqref="D1354">
      <formula1>0</formula1>
    </dataValidation>
    <dataValidation type="decimal" operator="greaterThan" allowBlank="1" showInputMessage="1" showErrorMessage="1" sqref="E1354">
      <formula1>0</formula1>
    </dataValidation>
    <dataValidation type="whole" operator="greaterThan" allowBlank="1" showInputMessage="1" showErrorMessage="1" sqref="A1355">
      <formula1>0</formula1>
    </dataValidation>
    <dataValidation type="list" allowBlank="1" showInputMessage="1" showErrorMessage="1" sqref="C1355">
      <formula1>UnidadesList</formula1>
    </dataValidation>
    <dataValidation type="decimal" operator="greaterThan" allowBlank="1" showInputMessage="1" showErrorMessage="1" sqref="D1355">
      <formula1>0</formula1>
    </dataValidation>
    <dataValidation type="decimal" operator="greaterThan" allowBlank="1" showInputMessage="1" showErrorMessage="1" sqref="E1355">
      <formula1>0</formula1>
    </dataValidation>
    <dataValidation type="whole" operator="greaterThan" allowBlank="1" showInputMessage="1" showErrorMessage="1" sqref="A1356">
      <formula1>0</formula1>
    </dataValidation>
    <dataValidation type="list" allowBlank="1" showInputMessage="1" showErrorMessage="1" sqref="C1356">
      <formula1>UnidadesList</formula1>
    </dataValidation>
    <dataValidation type="decimal" operator="greaterThan" allowBlank="1" showInputMessage="1" showErrorMessage="1" sqref="D1356">
      <formula1>0</formula1>
    </dataValidation>
    <dataValidation type="decimal" operator="greaterThan" allowBlank="1" showInputMessage="1" showErrorMessage="1" sqref="E1356">
      <formula1>0</formula1>
    </dataValidation>
    <dataValidation type="whole" operator="greaterThan" allowBlank="1" showInputMessage="1" showErrorMessage="1" sqref="A1357">
      <formula1>0</formula1>
    </dataValidation>
    <dataValidation type="list" allowBlank="1" showInputMessage="1" showErrorMessage="1" sqref="C1357">
      <formula1>UnidadesList</formula1>
    </dataValidation>
    <dataValidation type="decimal" operator="greaterThan" allowBlank="1" showInputMessage="1" showErrorMessage="1" sqref="D1357">
      <formula1>0</formula1>
    </dataValidation>
    <dataValidation type="decimal" operator="greaterThan" allowBlank="1" showInputMessage="1" showErrorMessage="1" sqref="E1357">
      <formula1>0</formula1>
    </dataValidation>
    <dataValidation type="whole" operator="greaterThan" allowBlank="1" showInputMessage="1" showErrorMessage="1" sqref="A1358">
      <formula1>0</formula1>
    </dataValidation>
    <dataValidation type="list" allowBlank="1" showInputMessage="1" showErrorMessage="1" sqref="C1358">
      <formula1>UnidadesList</formula1>
    </dataValidation>
    <dataValidation type="decimal" operator="greaterThan" allowBlank="1" showInputMessage="1" showErrorMessage="1" sqref="D1358">
      <formula1>0</formula1>
    </dataValidation>
    <dataValidation type="decimal" operator="greaterThan" allowBlank="1" showInputMessage="1" showErrorMessage="1" sqref="E1358">
      <formula1>0</formula1>
    </dataValidation>
    <dataValidation type="whole" operator="greaterThan" allowBlank="1" showInputMessage="1" showErrorMessage="1" sqref="A1359">
      <formula1>0</formula1>
    </dataValidation>
    <dataValidation type="list" allowBlank="1" showInputMessage="1" showErrorMessage="1" sqref="C1359">
      <formula1>UnidadesList</formula1>
    </dataValidation>
    <dataValidation type="decimal" operator="greaterThan" allowBlank="1" showInputMessage="1" showErrorMessage="1" sqref="D1359">
      <formula1>0</formula1>
    </dataValidation>
    <dataValidation type="decimal" operator="greaterThan" allowBlank="1" showInputMessage="1" showErrorMessage="1" sqref="E1359">
      <formula1>0</formula1>
    </dataValidation>
    <dataValidation type="whole" operator="greaterThan" allowBlank="1" showInputMessage="1" showErrorMessage="1" sqref="A1360">
      <formula1>0</formula1>
    </dataValidation>
    <dataValidation type="list" allowBlank="1" showInputMessage="1" showErrorMessage="1" sqref="C1360">
      <formula1>UnidadesList</formula1>
    </dataValidation>
    <dataValidation type="decimal" operator="greaterThan" allowBlank="1" showInputMessage="1" showErrorMessage="1" sqref="D1360">
      <formula1>0</formula1>
    </dataValidation>
    <dataValidation type="decimal" operator="greaterThan" allowBlank="1" showInputMessage="1" showErrorMessage="1" sqref="E1360">
      <formula1>0</formula1>
    </dataValidation>
    <dataValidation type="whole" operator="greaterThan" allowBlank="1" showInputMessage="1" showErrorMessage="1" sqref="A1361">
      <formula1>0</formula1>
    </dataValidation>
    <dataValidation type="list" allowBlank="1" showInputMessage="1" showErrorMessage="1" sqref="C1361">
      <formula1>UnidadesList</formula1>
    </dataValidation>
    <dataValidation type="decimal" operator="greaterThan" allowBlank="1" showInputMessage="1" showErrorMessage="1" sqref="D1361">
      <formula1>0</formula1>
    </dataValidation>
    <dataValidation type="decimal" operator="greaterThan" allowBlank="1" showInputMessage="1" showErrorMessage="1" sqref="E1361">
      <formula1>0</formula1>
    </dataValidation>
    <dataValidation type="whole" operator="greaterThan" allowBlank="1" showInputMessage="1" showErrorMessage="1" sqref="A1362">
      <formula1>0</formula1>
    </dataValidation>
    <dataValidation type="list" allowBlank="1" showInputMessage="1" showErrorMessage="1" sqref="C1362">
      <formula1>UnidadesList</formula1>
    </dataValidation>
    <dataValidation type="decimal" operator="greaterThan" allowBlank="1" showInputMessage="1" showErrorMessage="1" sqref="D1362">
      <formula1>0</formula1>
    </dataValidation>
    <dataValidation type="decimal" operator="greaterThan" allowBlank="1" showInputMessage="1" showErrorMessage="1" sqref="E1362">
      <formula1>0</formula1>
    </dataValidation>
    <dataValidation type="whole" operator="greaterThan" allowBlank="1" showInputMessage="1" showErrorMessage="1" sqref="A1363">
      <formula1>0</formula1>
    </dataValidation>
    <dataValidation type="list" allowBlank="1" showInputMessage="1" showErrorMessage="1" sqref="C1363">
      <formula1>UnidadesList</formula1>
    </dataValidation>
    <dataValidation type="decimal" operator="greaterThan" allowBlank="1" showInputMessage="1" showErrorMessage="1" sqref="D1363">
      <formula1>0</formula1>
    </dataValidation>
    <dataValidation type="decimal" operator="greaterThan" allowBlank="1" showInputMessage="1" showErrorMessage="1" sqref="E1363">
      <formula1>0</formula1>
    </dataValidation>
    <dataValidation type="whole" operator="greaterThan" allowBlank="1" showInputMessage="1" showErrorMessage="1" sqref="A1364">
      <formula1>0</formula1>
    </dataValidation>
    <dataValidation type="list" allowBlank="1" showInputMessage="1" showErrorMessage="1" sqref="C1364">
      <formula1>UnidadesList</formula1>
    </dataValidation>
    <dataValidation type="decimal" operator="greaterThan" allowBlank="1" showInputMessage="1" showErrorMessage="1" sqref="D1364">
      <formula1>0</formula1>
    </dataValidation>
    <dataValidation type="decimal" operator="greaterThan" allowBlank="1" showInputMessage="1" showErrorMessage="1" sqref="E1364">
      <formula1>0</formula1>
    </dataValidation>
    <dataValidation type="whole" operator="greaterThan" allowBlank="1" showInputMessage="1" showErrorMessage="1" sqref="A1365">
      <formula1>0</formula1>
    </dataValidation>
    <dataValidation type="list" allowBlank="1" showInputMessage="1" showErrorMessage="1" sqref="C1365">
      <formula1>UnidadesList</formula1>
    </dataValidation>
    <dataValidation type="decimal" operator="greaterThan" allowBlank="1" showInputMessage="1" showErrorMessage="1" sqref="D1365">
      <formula1>0</formula1>
    </dataValidation>
    <dataValidation type="decimal" operator="greaterThan" allowBlank="1" showInputMessage="1" showErrorMessage="1" sqref="E1365">
      <formula1>0</formula1>
    </dataValidation>
    <dataValidation type="date" operator="lessThanOrEqual" allowBlank="1" showInputMessage="1" showErrorMessage="1" sqref="C1370">
      <formula1>C1372</formula1>
    </dataValidation>
    <dataValidation type="date" operator="greaterThanOrEqual" allowBlank="1" showInputMessage="1" showErrorMessage="1" sqref="C1372">
      <formula1>C1370</formula1>
    </dataValidation>
    <dataValidation type="list" allowBlank="1" showInputMessage="1" showErrorMessage="1" sqref="F13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76">
      <formula1>0</formula1>
    </dataValidation>
    <dataValidation type="list" allowBlank="1" showInputMessage="1" showErrorMessage="1" sqref="C1376">
      <formula1>UnidadesList</formula1>
    </dataValidation>
    <dataValidation type="decimal" operator="greaterThan" allowBlank="1" showInputMessage="1" showErrorMessage="1" sqref="D1376">
      <formula1>0</formula1>
    </dataValidation>
    <dataValidation type="decimal" operator="greaterThan" allowBlank="1" showInputMessage="1" showErrorMessage="1" sqref="E1376">
      <formula1>0</formula1>
    </dataValidation>
    <dataValidation type="whole" operator="greaterThan" allowBlank="1" showInputMessage="1" showErrorMessage="1" sqref="A1377">
      <formula1>0</formula1>
    </dataValidation>
    <dataValidation type="list" allowBlank="1" showInputMessage="1" showErrorMessage="1" sqref="C1377">
      <formula1>UnidadesList</formula1>
    </dataValidation>
    <dataValidation type="decimal" operator="greaterThan" allowBlank="1" showInputMessage="1" showErrorMessage="1" sqref="D1377">
      <formula1>0</formula1>
    </dataValidation>
    <dataValidation type="decimal" operator="greaterThan" allowBlank="1" showInputMessage="1" showErrorMessage="1" sqref="E1377">
      <formula1>0</formula1>
    </dataValidation>
    <dataValidation type="whole" operator="greaterThan" allowBlank="1" showInputMessage="1" showErrorMessage="1" sqref="A1378">
      <formula1>0</formula1>
    </dataValidation>
    <dataValidation type="list" allowBlank="1" showInputMessage="1" showErrorMessage="1" sqref="C1378">
      <formula1>UnidadesList</formula1>
    </dataValidation>
    <dataValidation type="decimal" operator="greaterThan" allowBlank="1" showInputMessage="1" showErrorMessage="1" sqref="D1378">
      <formula1>0</formula1>
    </dataValidation>
    <dataValidation type="decimal" operator="greaterThan" allowBlank="1" showInputMessage="1" showErrorMessage="1" sqref="E1378">
      <formula1>0</formula1>
    </dataValidation>
    <dataValidation type="whole" operator="greaterThan" allowBlank="1" showInputMessage="1" showErrorMessage="1" sqref="A1379">
      <formula1>0</formula1>
    </dataValidation>
    <dataValidation type="list" allowBlank="1" showInputMessage="1" showErrorMessage="1" sqref="C1379">
      <formula1>UnidadesList</formula1>
    </dataValidation>
    <dataValidation type="decimal" operator="greaterThan" allowBlank="1" showInputMessage="1" showErrorMessage="1" sqref="D1379">
      <formula1>0</formula1>
    </dataValidation>
    <dataValidation type="decimal" operator="greaterThan" allowBlank="1" showInputMessage="1" showErrorMessage="1" sqref="E1379">
      <formula1>0</formula1>
    </dataValidation>
    <dataValidation type="whole" operator="greaterThan" allowBlank="1" showInputMessage="1" showErrorMessage="1" sqref="A1380">
      <formula1>0</formula1>
    </dataValidation>
    <dataValidation type="list" allowBlank="1" showInputMessage="1" showErrorMessage="1" sqref="C1380">
      <formula1>UnidadesList</formula1>
    </dataValidation>
    <dataValidation type="decimal" operator="greaterThan" allowBlank="1" showInputMessage="1" showErrorMessage="1" sqref="D1380">
      <formula1>0</formula1>
    </dataValidation>
    <dataValidation type="decimal" operator="greaterThan" allowBlank="1" showInputMessage="1" showErrorMessage="1" sqref="E1380">
      <formula1>0</formula1>
    </dataValidation>
    <dataValidation type="whole" operator="greaterThan" allowBlank="1" showInputMessage="1" showErrorMessage="1" sqref="A1381">
      <formula1>0</formula1>
    </dataValidation>
    <dataValidation type="list" allowBlank="1" showInputMessage="1" showErrorMessage="1" sqref="C1381">
      <formula1>UnidadesList</formula1>
    </dataValidation>
    <dataValidation type="decimal" operator="greaterThan" allowBlank="1" showInputMessage="1" showErrorMessage="1" sqref="D1381">
      <formula1>0</formula1>
    </dataValidation>
    <dataValidation type="decimal" operator="greaterThan" allowBlank="1" showInputMessage="1" showErrorMessage="1" sqref="E1381">
      <formula1>0</formula1>
    </dataValidation>
    <dataValidation type="date" operator="lessThanOrEqual" allowBlank="1" showInputMessage="1" showErrorMessage="1" sqref="C1386">
      <formula1>C1388</formula1>
    </dataValidation>
    <dataValidation type="date" operator="greaterThanOrEqual" allowBlank="1" showInputMessage="1" showErrorMessage="1" sqref="C1388">
      <formula1>C1386</formula1>
    </dataValidation>
    <dataValidation type="list" allowBlank="1" showInputMessage="1" showErrorMessage="1" sqref="F13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92">
      <formula1>0</formula1>
    </dataValidation>
    <dataValidation type="list" allowBlank="1" showInputMessage="1" showErrorMessage="1" sqref="C1392">
      <formula1>UnidadesList</formula1>
    </dataValidation>
    <dataValidation type="decimal" operator="greaterThan" allowBlank="1" showInputMessage="1" showErrorMessage="1" sqref="D1392">
      <formula1>0</formula1>
    </dataValidation>
    <dataValidation type="decimal" operator="greaterThan" allowBlank="1" showInputMessage="1" showErrorMessage="1" sqref="E1392">
      <formula1>0</formula1>
    </dataValidation>
    <dataValidation type="whole" operator="greaterThan" allowBlank="1" showInputMessage="1" showErrorMessage="1" sqref="A1393">
      <formula1>0</formula1>
    </dataValidation>
    <dataValidation type="list" allowBlank="1" showInputMessage="1" showErrorMessage="1" sqref="C1393">
      <formula1>UnidadesList</formula1>
    </dataValidation>
    <dataValidation type="decimal" operator="greaterThan" allowBlank="1" showInputMessage="1" showErrorMessage="1" sqref="D1393">
      <formula1>0</formula1>
    </dataValidation>
    <dataValidation type="decimal" operator="greaterThan" allowBlank="1" showInputMessage="1" showErrorMessage="1" sqref="E1393">
      <formula1>0</formula1>
    </dataValidation>
    <dataValidation type="whole" operator="greaterThan" allowBlank="1" showInputMessage="1" showErrorMessage="1" sqref="A1394">
      <formula1>0</formula1>
    </dataValidation>
    <dataValidation type="list" allowBlank="1" showInputMessage="1" showErrorMessage="1" sqref="C1394">
      <formula1>UnidadesList</formula1>
    </dataValidation>
    <dataValidation type="decimal" operator="greaterThan" allowBlank="1" showInputMessage="1" showErrorMessage="1" sqref="D1394">
      <formula1>0</formula1>
    </dataValidation>
    <dataValidation type="decimal" operator="greaterThan" allowBlank="1" showInputMessage="1" showErrorMessage="1" sqref="E1394">
      <formula1>0</formula1>
    </dataValidation>
    <dataValidation type="whole" operator="greaterThan" allowBlank="1" showInputMessage="1" showErrorMessage="1" sqref="A1395">
      <formula1>0</formula1>
    </dataValidation>
    <dataValidation type="list" allowBlank="1" showInputMessage="1" showErrorMessage="1" sqref="C1395">
      <formula1>UnidadesList</formula1>
    </dataValidation>
    <dataValidation type="decimal" operator="greaterThan" allowBlank="1" showInputMessage="1" showErrorMessage="1" sqref="D1395">
      <formula1>0</formula1>
    </dataValidation>
    <dataValidation type="decimal" operator="greaterThan" allowBlank="1" showInputMessage="1" showErrorMessage="1" sqref="E1395">
      <formula1>0</formula1>
    </dataValidation>
    <dataValidation type="whole" operator="greaterThan" allowBlank="1" showInputMessage="1" showErrorMessage="1" sqref="A1396">
      <formula1>0</formula1>
    </dataValidation>
    <dataValidation type="list" allowBlank="1" showInputMessage="1" showErrorMessage="1" sqref="C1396">
      <formula1>UnidadesList</formula1>
    </dataValidation>
    <dataValidation type="decimal" operator="greaterThan" allowBlank="1" showInputMessage="1" showErrorMessage="1" sqref="D1396">
      <formula1>0</formula1>
    </dataValidation>
    <dataValidation type="decimal" operator="greaterThan" allowBlank="1" showInputMessage="1" showErrorMessage="1" sqref="E1396">
      <formula1>0</formula1>
    </dataValidation>
    <dataValidation type="whole" operator="greaterThan" allowBlank="1" showInputMessage="1" showErrorMessage="1" sqref="A1397">
      <formula1>0</formula1>
    </dataValidation>
    <dataValidation type="list" allowBlank="1" showInputMessage="1" showErrorMessage="1" sqref="C1397">
      <formula1>UnidadesList</formula1>
    </dataValidation>
    <dataValidation type="decimal" operator="greaterThan" allowBlank="1" showInputMessage="1" showErrorMessage="1" sqref="D1397">
      <formula1>0</formula1>
    </dataValidation>
    <dataValidation type="decimal" operator="greaterThan" allowBlank="1" showInputMessage="1" showErrorMessage="1" sqref="E1397">
      <formula1>0</formula1>
    </dataValidation>
    <dataValidation type="date" operator="lessThanOrEqual" allowBlank="1" showInputMessage="1" showErrorMessage="1" sqref="C1402">
      <formula1>C1404</formula1>
    </dataValidation>
    <dataValidation type="date" operator="greaterThanOrEqual" allowBlank="1" showInputMessage="1" showErrorMessage="1" sqref="C1404">
      <formula1>C1402</formula1>
    </dataValidation>
    <dataValidation type="list" allowBlank="1" showInputMessage="1" showErrorMessage="1" sqref="F14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4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4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4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408">
      <formula1>0</formula1>
    </dataValidation>
    <dataValidation type="list" allowBlank="1" showInputMessage="1" showErrorMessage="1" sqref="C1408">
      <formula1>UnidadesList</formula1>
    </dataValidation>
    <dataValidation type="decimal" operator="greaterThan" allowBlank="1" showInputMessage="1" showErrorMessage="1" sqref="D1408">
      <formula1>0</formula1>
    </dataValidation>
    <dataValidation type="decimal" operator="greaterThan" allowBlank="1" showInputMessage="1" showErrorMessage="1" sqref="E1408">
      <formula1>0</formula1>
    </dataValidation>
    <dataValidation type="whole" operator="greaterThan" allowBlank="1" showInputMessage="1" showErrorMessage="1" sqref="A1409">
      <formula1>0</formula1>
    </dataValidation>
    <dataValidation type="list" allowBlank="1" showInputMessage="1" showErrorMessage="1" sqref="C1409">
      <formula1>UnidadesList</formula1>
    </dataValidation>
    <dataValidation type="decimal" operator="greaterThan" allowBlank="1" showInputMessage="1" showErrorMessage="1" sqref="D1409">
      <formula1>0</formula1>
    </dataValidation>
    <dataValidation type="decimal" operator="greaterThan" allowBlank="1" showInputMessage="1" showErrorMessage="1" sqref="E1409">
      <formula1>0</formula1>
    </dataValidation>
    <dataValidation type="whole" operator="greaterThan" allowBlank="1" showInputMessage="1" showErrorMessage="1" sqref="A1410">
      <formula1>0</formula1>
    </dataValidation>
    <dataValidation type="list" allowBlank="1" showInputMessage="1" showErrorMessage="1" sqref="C1410">
      <formula1>UnidadesList</formula1>
    </dataValidation>
    <dataValidation type="decimal" operator="greaterThan" allowBlank="1" showInputMessage="1" showErrorMessage="1" sqref="D1410">
      <formula1>0</formula1>
    </dataValidation>
    <dataValidation type="decimal" operator="greaterThan" allowBlank="1" showInputMessage="1" showErrorMessage="1" sqref="E1410">
      <formula1>0</formula1>
    </dataValidation>
    <dataValidation type="whole" operator="greaterThan" allowBlank="1" showInputMessage="1" showErrorMessage="1" sqref="A1411">
      <formula1>0</formula1>
    </dataValidation>
    <dataValidation type="list" allowBlank="1" showInputMessage="1" showErrorMessage="1" sqref="C1411">
      <formula1>UnidadesList</formula1>
    </dataValidation>
    <dataValidation type="decimal" operator="greaterThan" allowBlank="1" showInputMessage="1" showErrorMessage="1" sqref="D1411">
      <formula1>0</formula1>
    </dataValidation>
    <dataValidation type="decimal" operator="greaterThan" allowBlank="1" showInputMessage="1" showErrorMessage="1" sqref="E1411">
      <formula1>0</formula1>
    </dataValidation>
    <dataValidation type="whole" operator="greaterThan" allowBlank="1" showInputMessage="1" showErrorMessage="1" sqref="A1412">
      <formula1>0</formula1>
    </dataValidation>
    <dataValidation type="list" allowBlank="1" showInputMessage="1" showErrorMessage="1" sqref="C1412">
      <formula1>UnidadesList</formula1>
    </dataValidation>
    <dataValidation type="decimal" operator="greaterThan" allowBlank="1" showInputMessage="1" showErrorMessage="1" sqref="D1412">
      <formula1>0</formula1>
    </dataValidation>
    <dataValidation type="decimal" operator="greaterThan" allowBlank="1" showInputMessage="1" showErrorMessage="1" sqref="E1412">
      <formula1>0</formula1>
    </dataValidation>
    <dataValidation type="whole" operator="greaterThan" allowBlank="1" showInputMessage="1" showErrorMessage="1" sqref="A1413">
      <formula1>0</formula1>
    </dataValidation>
    <dataValidation type="list" allowBlank="1" showInputMessage="1" showErrorMessage="1" sqref="C1413">
      <formula1>UnidadesList</formula1>
    </dataValidation>
    <dataValidation type="decimal" operator="greaterThan" allowBlank="1" showInputMessage="1" showErrorMessage="1" sqref="D1413">
      <formula1>0</formula1>
    </dataValidation>
    <dataValidation type="decimal" operator="greaterThan" allowBlank="1" showInputMessage="1" showErrorMessage="1" sqref="E1413">
      <formula1>0</formula1>
    </dataValidation>
    <dataValidation type="whole" operator="greaterThan" allowBlank="1" showInputMessage="1" showErrorMessage="1" sqref="A1414">
      <formula1>0</formula1>
    </dataValidation>
    <dataValidation type="list" allowBlank="1" showInputMessage="1" showErrorMessage="1" sqref="C1414">
      <formula1>UnidadesList</formula1>
    </dataValidation>
    <dataValidation type="decimal" operator="greaterThan" allowBlank="1" showInputMessage="1" showErrorMessage="1" sqref="D1414">
      <formula1>0</formula1>
    </dataValidation>
    <dataValidation type="decimal" operator="greaterThan" allowBlank="1" showInputMessage="1" showErrorMessage="1" sqref="E1414">
      <formula1>0</formula1>
    </dataValidation>
    <dataValidation type="whole" operator="greaterThan" allowBlank="1" showInputMessage="1" showErrorMessage="1" sqref="A1415">
      <formula1>0</formula1>
    </dataValidation>
    <dataValidation type="list" allowBlank="1" showInputMessage="1" showErrorMessage="1" sqref="C1415">
      <formula1>UnidadesList</formula1>
    </dataValidation>
    <dataValidation type="decimal" operator="greaterThan" allowBlank="1" showInputMessage="1" showErrorMessage="1" sqref="D1415">
      <formula1>0</formula1>
    </dataValidation>
    <dataValidation type="decimal" operator="greaterThan" allowBlank="1" showInputMessage="1" showErrorMessage="1" sqref="E1415">
      <formula1>0</formula1>
    </dataValidation>
    <dataValidation type="whole" operator="greaterThan" allowBlank="1" showInputMessage="1" showErrorMessage="1" sqref="A1416">
      <formula1>0</formula1>
    </dataValidation>
    <dataValidation type="list" allowBlank="1" showInputMessage="1" showErrorMessage="1" sqref="C1416">
      <formula1>UnidadesList</formula1>
    </dataValidation>
    <dataValidation type="decimal" operator="greaterThan" allowBlank="1" showInputMessage="1" showErrorMessage="1" sqref="D1416">
      <formula1>0</formula1>
    </dataValidation>
    <dataValidation type="decimal" operator="greaterThan" allowBlank="1" showInputMessage="1" showErrorMessage="1" sqref="E1416">
      <formula1>0</formula1>
    </dataValidation>
    <dataValidation type="whole" operator="greaterThan" allowBlank="1" showInputMessage="1" showErrorMessage="1" sqref="A1417">
      <formula1>0</formula1>
    </dataValidation>
    <dataValidation type="list" allowBlank="1" showInputMessage="1" showErrorMessage="1" sqref="C1417">
      <formula1>UnidadesList</formula1>
    </dataValidation>
    <dataValidation type="decimal" operator="greaterThan" allowBlank="1" showInputMessage="1" showErrorMessage="1" sqref="D1417">
      <formula1>0</formula1>
    </dataValidation>
    <dataValidation type="decimal" operator="greaterThan" allowBlank="1" showInputMessage="1" showErrorMessage="1" sqref="E1417">
      <formula1>0</formula1>
    </dataValidation>
    <dataValidation type="whole" operator="greaterThan" allowBlank="1" showInputMessage="1" showErrorMessage="1" sqref="A1418">
      <formula1>0</formula1>
    </dataValidation>
    <dataValidation type="list" allowBlank="1" showInputMessage="1" showErrorMessage="1" sqref="C1418">
      <formula1>UnidadesList</formula1>
    </dataValidation>
    <dataValidation type="decimal" operator="greaterThan" allowBlank="1" showInputMessage="1" showErrorMessage="1" sqref="D1418">
      <formula1>0</formula1>
    </dataValidation>
    <dataValidation type="decimal" operator="greaterThan" allowBlank="1" showInputMessage="1" showErrorMessage="1" sqref="E1418">
      <formula1>0</formula1>
    </dataValidation>
    <dataValidation type="whole" operator="greaterThan" allowBlank="1" showInputMessage="1" showErrorMessage="1" sqref="A1419">
      <formula1>0</formula1>
    </dataValidation>
    <dataValidation type="list" allowBlank="1" showInputMessage="1" showErrorMessage="1" sqref="C1419">
      <formula1>UnidadesList</formula1>
    </dataValidation>
    <dataValidation type="decimal" operator="greaterThan" allowBlank="1" showInputMessage="1" showErrorMessage="1" sqref="D1419">
      <formula1>0</formula1>
    </dataValidation>
    <dataValidation type="decimal" operator="greaterThan" allowBlank="1" showInputMessage="1" showErrorMessage="1" sqref="E1419">
      <formula1>0</formula1>
    </dataValidation>
    <dataValidation type="date" operator="lessThanOrEqual" allowBlank="1" showInputMessage="1" showErrorMessage="1" sqref="C1424">
      <formula1>C1426</formula1>
    </dataValidation>
    <dataValidation type="date" operator="greaterThanOrEqual" allowBlank="1" showInputMessage="1" showErrorMessage="1" sqref="C1426">
      <formula1>C1424</formula1>
    </dataValidation>
    <dataValidation type="list" allowBlank="1" showInputMessage="1" showErrorMessage="1" sqref="F14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4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4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4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430">
      <formula1>0</formula1>
    </dataValidation>
    <dataValidation type="list" allowBlank="1" showInputMessage="1" showErrorMessage="1" sqref="C1430">
      <formula1>UnidadesList</formula1>
    </dataValidation>
    <dataValidation type="decimal" operator="greaterThan" allowBlank="1" showInputMessage="1" showErrorMessage="1" sqref="D1430">
      <formula1>0</formula1>
    </dataValidation>
    <dataValidation type="decimal" operator="greaterThan" allowBlank="1" showInputMessage="1" showErrorMessage="1" sqref="E1430">
      <formula1>0</formula1>
    </dataValidation>
    <dataValidation type="whole" operator="greaterThan" allowBlank="1" showInputMessage="1" showErrorMessage="1" sqref="A1431">
      <formula1>0</formula1>
    </dataValidation>
    <dataValidation type="list" allowBlank="1" showInputMessage="1" showErrorMessage="1" sqref="C1431">
      <formula1>UnidadesList</formula1>
    </dataValidation>
    <dataValidation type="decimal" operator="greaterThan" allowBlank="1" showInputMessage="1" showErrorMessage="1" sqref="D1431">
      <formula1>0</formula1>
    </dataValidation>
    <dataValidation type="decimal" operator="greaterThan" allowBlank="1" showInputMessage="1" showErrorMessage="1" sqref="E1431">
      <formula1>0</formula1>
    </dataValidation>
    <dataValidation type="whole" operator="greaterThan" allowBlank="1" showInputMessage="1" showErrorMessage="1" sqref="A1432">
      <formula1>0</formula1>
    </dataValidation>
    <dataValidation type="list" allowBlank="1" showInputMessage="1" showErrorMessage="1" sqref="C1432">
      <formula1>UnidadesList</formula1>
    </dataValidation>
    <dataValidation type="decimal" operator="greaterThan" allowBlank="1" showInputMessage="1" showErrorMessage="1" sqref="D1432">
      <formula1>0</formula1>
    </dataValidation>
    <dataValidation type="decimal" operator="greaterThan" allowBlank="1" showInputMessage="1" showErrorMessage="1" sqref="E1432">
      <formula1>0</formula1>
    </dataValidation>
    <dataValidation type="whole" operator="greaterThan" allowBlank="1" showInputMessage="1" showErrorMessage="1" sqref="A1433">
      <formula1>0</formula1>
    </dataValidation>
    <dataValidation type="list" allowBlank="1" showInputMessage="1" showErrorMessage="1" sqref="C1433">
      <formula1>UnidadesList</formula1>
    </dataValidation>
    <dataValidation type="decimal" operator="greaterThan" allowBlank="1" showInputMessage="1" showErrorMessage="1" sqref="D1433">
      <formula1>0</formula1>
    </dataValidation>
    <dataValidation type="decimal" operator="greaterThan" allowBlank="1" showInputMessage="1" showErrorMessage="1" sqref="E1433">
      <formula1>0</formula1>
    </dataValidation>
    <dataValidation type="whole" operator="greaterThan" allowBlank="1" showInputMessage="1" showErrorMessage="1" sqref="A1434">
      <formula1>0</formula1>
    </dataValidation>
    <dataValidation type="list" allowBlank="1" showInputMessage="1" showErrorMessage="1" sqref="C1434">
      <formula1>UnidadesList</formula1>
    </dataValidation>
    <dataValidation type="decimal" operator="greaterThan" allowBlank="1" showInputMessage="1" showErrorMessage="1" sqref="D1434">
      <formula1>0</formula1>
    </dataValidation>
    <dataValidation type="decimal" operator="greaterThan" allowBlank="1" showInputMessage="1" showErrorMessage="1" sqref="E1434">
      <formula1>0</formula1>
    </dataValidation>
    <dataValidation type="whole" operator="greaterThan" allowBlank="1" showInputMessage="1" showErrorMessage="1" sqref="A1435">
      <formula1>0</formula1>
    </dataValidation>
    <dataValidation type="list" allowBlank="1" showInputMessage="1" showErrorMessage="1" sqref="C1435">
      <formula1>UnidadesList</formula1>
    </dataValidation>
    <dataValidation type="decimal" operator="greaterThan" allowBlank="1" showInputMessage="1" showErrorMessage="1" sqref="D1435">
      <formula1>0</formula1>
    </dataValidation>
    <dataValidation type="decimal" operator="greaterThan" allowBlank="1" showInputMessage="1" showErrorMessage="1" sqref="E1435">
      <formula1>0</formula1>
    </dataValidation>
    <dataValidation type="whole" operator="greaterThan" allowBlank="1" showInputMessage="1" showErrorMessage="1" sqref="A1436">
      <formula1>0</formula1>
    </dataValidation>
    <dataValidation type="list" allowBlank="1" showInputMessage="1" showErrorMessage="1" sqref="C1436">
      <formula1>UnidadesList</formula1>
    </dataValidation>
    <dataValidation type="decimal" operator="greaterThan" allowBlank="1" showInputMessage="1" showErrorMessage="1" sqref="D1436">
      <formula1>0</formula1>
    </dataValidation>
    <dataValidation type="decimal" operator="greaterThan" allowBlank="1" showInputMessage="1" showErrorMessage="1" sqref="E1436">
      <formula1>0</formula1>
    </dataValidation>
    <dataValidation type="whole" operator="greaterThan" allowBlank="1" showInputMessage="1" showErrorMessage="1" sqref="A1437">
      <formula1>0</formula1>
    </dataValidation>
    <dataValidation type="list" allowBlank="1" showInputMessage="1" showErrorMessage="1" sqref="C1437">
      <formula1>UnidadesList</formula1>
    </dataValidation>
    <dataValidation type="decimal" operator="greaterThan" allowBlank="1" showInputMessage="1" showErrorMessage="1" sqref="D1437">
      <formula1>0</formula1>
    </dataValidation>
    <dataValidation type="decimal" operator="greaterThan" allowBlank="1" showInputMessage="1" showErrorMessage="1" sqref="E1437">
      <formula1>0</formula1>
    </dataValidation>
    <dataValidation type="whole" operator="greaterThan" allowBlank="1" showInputMessage="1" showErrorMessage="1" sqref="A1438">
      <formula1>0</formula1>
    </dataValidation>
    <dataValidation type="list" allowBlank="1" showInputMessage="1" showErrorMessage="1" sqref="C1438">
      <formula1>UnidadesList</formula1>
    </dataValidation>
    <dataValidation type="decimal" operator="greaterThan" allowBlank="1" showInputMessage="1" showErrorMessage="1" sqref="D1438">
      <formula1>0</formula1>
    </dataValidation>
    <dataValidation type="decimal" operator="greaterThan" allowBlank="1" showInputMessage="1" showErrorMessage="1" sqref="E1438">
      <formula1>0</formula1>
    </dataValidation>
    <dataValidation type="whole" operator="greaterThan" allowBlank="1" showInputMessage="1" showErrorMessage="1" sqref="A1439">
      <formula1>0</formula1>
    </dataValidation>
    <dataValidation type="list" allowBlank="1" showInputMessage="1" showErrorMessage="1" sqref="C1439">
      <formula1>UnidadesList</formula1>
    </dataValidation>
    <dataValidation type="decimal" operator="greaterThan" allowBlank="1" showInputMessage="1" showErrorMessage="1" sqref="D1439">
      <formula1>0</formula1>
    </dataValidation>
    <dataValidation type="decimal" operator="greaterThan" allowBlank="1" showInputMessage="1" showErrorMessage="1" sqref="E1439">
      <formula1>0</formula1>
    </dataValidation>
    <dataValidation type="whole" operator="greaterThan" allowBlank="1" showInputMessage="1" showErrorMessage="1" sqref="A1440">
      <formula1>0</formula1>
    </dataValidation>
    <dataValidation type="list" allowBlank="1" showInputMessage="1" showErrorMessage="1" sqref="C1440">
      <formula1>UnidadesList</formula1>
    </dataValidation>
    <dataValidation type="decimal" operator="greaterThan" allowBlank="1" showInputMessage="1" showErrorMessage="1" sqref="D1440">
      <formula1>0</formula1>
    </dataValidation>
    <dataValidation type="decimal" operator="greaterThan" allowBlank="1" showInputMessage="1" showErrorMessage="1" sqref="E1440">
      <formula1>0</formula1>
    </dataValidation>
    <dataValidation type="whole" operator="greaterThan" allowBlank="1" showInputMessage="1" showErrorMessage="1" sqref="A1441">
      <formula1>0</formula1>
    </dataValidation>
    <dataValidation type="list" allowBlank="1" showInputMessage="1" showErrorMessage="1" sqref="C1441">
      <formula1>UnidadesList</formula1>
    </dataValidation>
    <dataValidation type="decimal" operator="greaterThan" allowBlank="1" showInputMessage="1" showErrorMessage="1" sqref="D1441">
      <formula1>0</formula1>
    </dataValidation>
    <dataValidation type="decimal" operator="greaterThan" allowBlank="1" showInputMessage="1" showErrorMessage="1" sqref="E1441">
      <formula1>0</formula1>
    </dataValidation>
    <dataValidation type="date" operator="lessThanOrEqual" allowBlank="1" showInputMessage="1" showErrorMessage="1" sqref="C1446">
      <formula1>C1448</formula1>
    </dataValidation>
    <dataValidation type="date" operator="greaterThanOrEqual" allowBlank="1" showInputMessage="1" showErrorMessage="1" sqref="C1448">
      <formula1>C1446</formula1>
    </dataValidation>
    <dataValidation type="list" allowBlank="1" showInputMessage="1" showErrorMessage="1" sqref="F144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44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44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44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452">
      <formula1>0</formula1>
    </dataValidation>
    <dataValidation type="list" allowBlank="1" showInputMessage="1" showErrorMessage="1" sqref="C1452">
      <formula1>UnidadesList</formula1>
    </dataValidation>
    <dataValidation type="decimal" operator="greaterThan" allowBlank="1" showInputMessage="1" showErrorMessage="1" sqref="D1452">
      <formula1>0</formula1>
    </dataValidation>
    <dataValidation type="decimal" operator="greaterThan" allowBlank="1" showInputMessage="1" showErrorMessage="1" sqref="E1452">
      <formula1>0</formula1>
    </dataValidation>
    <dataValidation type="whole" operator="greaterThan" allowBlank="1" showInputMessage="1" showErrorMessage="1" sqref="A1453">
      <formula1>0</formula1>
    </dataValidation>
    <dataValidation type="list" allowBlank="1" showInputMessage="1" showErrorMessage="1" sqref="C1453">
      <formula1>UnidadesList</formula1>
    </dataValidation>
    <dataValidation type="decimal" operator="greaterThan" allowBlank="1" showInputMessage="1" showErrorMessage="1" sqref="D1453">
      <formula1>0</formula1>
    </dataValidation>
    <dataValidation type="decimal" operator="greaterThan" allowBlank="1" showInputMessage="1" showErrorMessage="1" sqref="E1453">
      <formula1>0</formula1>
    </dataValidation>
    <dataValidation type="whole" operator="greaterThan" allowBlank="1" showInputMessage="1" showErrorMessage="1" sqref="A1454">
      <formula1>0</formula1>
    </dataValidation>
    <dataValidation type="list" allowBlank="1" showInputMessage="1" showErrorMessage="1" sqref="C1454">
      <formula1>UnidadesList</formula1>
    </dataValidation>
    <dataValidation type="decimal" operator="greaterThan" allowBlank="1" showInputMessage="1" showErrorMessage="1" sqref="D1454">
      <formula1>0</formula1>
    </dataValidation>
    <dataValidation type="decimal" operator="greaterThan" allowBlank="1" showInputMessage="1" showErrorMessage="1" sqref="E1454">
      <formula1>0</formula1>
    </dataValidation>
    <dataValidation type="whole" operator="greaterThan" allowBlank="1" showInputMessage="1" showErrorMessage="1" sqref="A1455">
      <formula1>0</formula1>
    </dataValidation>
    <dataValidation type="list" allowBlank="1" showInputMessage="1" showErrorMessage="1" sqref="C1455">
      <formula1>UnidadesList</formula1>
    </dataValidation>
    <dataValidation type="decimal" operator="greaterThan" allowBlank="1" showInputMessage="1" showErrorMessage="1" sqref="D1455">
      <formula1>0</formula1>
    </dataValidation>
    <dataValidation type="decimal" operator="greaterThan" allowBlank="1" showInputMessage="1" showErrorMessage="1" sqref="E1455">
      <formula1>0</formula1>
    </dataValidation>
    <dataValidation type="whole" operator="greaterThan" allowBlank="1" showInputMessage="1" showErrorMessage="1" sqref="A1456">
      <formula1>0</formula1>
    </dataValidation>
    <dataValidation type="list" allowBlank="1" showInputMessage="1" showErrorMessage="1" sqref="C1456">
      <formula1>UnidadesList</formula1>
    </dataValidation>
    <dataValidation type="decimal" operator="greaterThan" allowBlank="1" showInputMessage="1" showErrorMessage="1" sqref="D1456">
      <formula1>0</formula1>
    </dataValidation>
    <dataValidation type="decimal" operator="greaterThan" allowBlank="1" showInputMessage="1" showErrorMessage="1" sqref="E1456">
      <formula1>0</formula1>
    </dataValidation>
    <dataValidation type="whole" operator="greaterThan" allowBlank="1" showInputMessage="1" showErrorMessage="1" sqref="A1457">
      <formula1>0</formula1>
    </dataValidation>
    <dataValidation type="list" allowBlank="1" showInputMessage="1" showErrorMessage="1" sqref="C1457">
      <formula1>UnidadesList</formula1>
    </dataValidation>
    <dataValidation type="decimal" operator="greaterThan" allowBlank="1" showInputMessage="1" showErrorMessage="1" sqref="D1457">
      <formula1>0</formula1>
    </dataValidation>
    <dataValidation type="decimal" operator="greaterThan" allowBlank="1" showInputMessage="1" showErrorMessage="1" sqref="E1457">
      <formula1>0</formula1>
    </dataValidation>
    <dataValidation type="whole" operator="greaterThan" allowBlank="1" showInputMessage="1" showErrorMessage="1" sqref="A1458">
      <formula1>0</formula1>
    </dataValidation>
    <dataValidation type="list" allowBlank="1" showInputMessage="1" showErrorMessage="1" sqref="C1458">
      <formula1>UnidadesList</formula1>
    </dataValidation>
    <dataValidation type="decimal" operator="greaterThan" allowBlank="1" showInputMessage="1" showErrorMessage="1" sqref="D1458">
      <formula1>0</formula1>
    </dataValidation>
    <dataValidation type="decimal" operator="greaterThan" allowBlank="1" showInputMessage="1" showErrorMessage="1" sqref="E1458">
      <formula1>0</formula1>
    </dataValidation>
    <dataValidation type="whole" operator="greaterThan" allowBlank="1" showInputMessage="1" showErrorMessage="1" sqref="A1459">
      <formula1>0</formula1>
    </dataValidation>
    <dataValidation type="list" allowBlank="1" showInputMessage="1" showErrorMessage="1" sqref="C1459">
      <formula1>UnidadesList</formula1>
    </dataValidation>
    <dataValidation type="decimal" operator="greaterThan" allowBlank="1" showInputMessage="1" showErrorMessage="1" sqref="D1459">
      <formula1>0</formula1>
    </dataValidation>
    <dataValidation type="decimal" operator="greaterThan" allowBlank="1" showInputMessage="1" showErrorMessage="1" sqref="E1459">
      <formula1>0</formula1>
    </dataValidation>
    <dataValidation type="whole" operator="greaterThan" allowBlank="1" showInputMessage="1" showErrorMessage="1" sqref="A1460">
      <formula1>0</formula1>
    </dataValidation>
    <dataValidation type="list" allowBlank="1" showInputMessage="1" showErrorMessage="1" sqref="C1460">
      <formula1>UnidadesList</formula1>
    </dataValidation>
    <dataValidation type="decimal" operator="greaterThan" allowBlank="1" showInputMessage="1" showErrorMessage="1" sqref="D1460">
      <formula1>0</formula1>
    </dataValidation>
    <dataValidation type="decimal" operator="greaterThan" allowBlank="1" showInputMessage="1" showErrorMessage="1" sqref="E1460">
      <formula1>0</formula1>
    </dataValidation>
    <dataValidation type="whole" operator="greaterThan" allowBlank="1" showInputMessage="1" showErrorMessage="1" sqref="A1461">
      <formula1>0</formula1>
    </dataValidation>
    <dataValidation type="list" allowBlank="1" showInputMessage="1" showErrorMessage="1" sqref="C1461">
      <formula1>UnidadesList</formula1>
    </dataValidation>
    <dataValidation type="decimal" operator="greaterThan" allowBlank="1" showInputMessage="1" showErrorMessage="1" sqref="D1461">
      <formula1>0</formula1>
    </dataValidation>
    <dataValidation type="decimal" operator="greaterThan" allowBlank="1" showInputMessage="1" showErrorMessage="1" sqref="E1461">
      <formula1>0</formula1>
    </dataValidation>
    <dataValidation type="whole" operator="greaterThan" allowBlank="1" showInputMessage="1" showErrorMessage="1" sqref="A1462">
      <formula1>0</formula1>
    </dataValidation>
    <dataValidation type="list" allowBlank="1" showInputMessage="1" showErrorMessage="1" sqref="C1462">
      <formula1>UnidadesList</formula1>
    </dataValidation>
    <dataValidation type="decimal" operator="greaterThan" allowBlank="1" showInputMessage="1" showErrorMessage="1" sqref="D1462">
      <formula1>0</formula1>
    </dataValidation>
    <dataValidation type="decimal" operator="greaterThan" allowBlank="1" showInputMessage="1" showErrorMessage="1" sqref="E1462">
      <formula1>0</formula1>
    </dataValidation>
    <dataValidation type="whole" operator="greaterThan" allowBlank="1" showInputMessage="1" showErrorMessage="1" sqref="A1463">
      <formula1>0</formula1>
    </dataValidation>
    <dataValidation type="list" allowBlank="1" showInputMessage="1" showErrorMessage="1" sqref="C1463">
      <formula1>UnidadesList</formula1>
    </dataValidation>
    <dataValidation type="decimal" operator="greaterThan" allowBlank="1" showInputMessage="1" showErrorMessage="1" sqref="D1463">
      <formula1>0</formula1>
    </dataValidation>
    <dataValidation type="decimal" operator="greaterThan" allowBlank="1" showInputMessage="1" showErrorMessage="1" sqref="E1463">
      <formula1>0</formula1>
    </dataValidation>
    <dataValidation type="date" operator="lessThanOrEqual" allowBlank="1" showInputMessage="1" showErrorMessage="1" sqref="C1468">
      <formula1>C1470</formula1>
    </dataValidation>
    <dataValidation type="date" operator="greaterThanOrEqual" allowBlank="1" showInputMessage="1" showErrorMessage="1" sqref="C1470">
      <formula1>C1468</formula1>
    </dataValidation>
    <dataValidation type="list" allowBlank="1" showInputMessage="1" showErrorMessage="1" sqref="F14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4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4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4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474">
      <formula1>0</formula1>
    </dataValidation>
    <dataValidation type="list" allowBlank="1" showInputMessage="1" showErrorMessage="1" sqref="C1474">
      <formula1>UnidadesList</formula1>
    </dataValidation>
    <dataValidation type="decimal" operator="greaterThan" allowBlank="1" showInputMessage="1" showErrorMessage="1" sqref="D1474">
      <formula1>0</formula1>
    </dataValidation>
    <dataValidation type="decimal" operator="greaterThan" allowBlank="1" showInputMessage="1" showErrorMessage="1" sqref="E1474">
      <formula1>0</formula1>
    </dataValidation>
    <dataValidation type="whole" operator="greaterThan" allowBlank="1" showInputMessage="1" showErrorMessage="1" sqref="A1475">
      <formula1>0</formula1>
    </dataValidation>
    <dataValidation type="list" allowBlank="1" showInputMessage="1" showErrorMessage="1" sqref="C1475">
      <formula1>UnidadesList</formula1>
    </dataValidation>
    <dataValidation type="decimal" operator="greaterThan" allowBlank="1" showInputMessage="1" showErrorMessage="1" sqref="D1475">
      <formula1>0</formula1>
    </dataValidation>
    <dataValidation type="decimal" operator="greaterThan" allowBlank="1" showInputMessage="1" showErrorMessage="1" sqref="E1475">
      <formula1>0</formula1>
    </dataValidation>
    <dataValidation type="whole" operator="greaterThan" allowBlank="1" showInputMessage="1" showErrorMessage="1" sqref="A1476">
      <formula1>0</formula1>
    </dataValidation>
    <dataValidation type="list" allowBlank="1" showInputMessage="1" showErrorMessage="1" sqref="C1476">
      <formula1>UnidadesList</formula1>
    </dataValidation>
    <dataValidation type="decimal" operator="greaterThan" allowBlank="1" showInputMessage="1" showErrorMessage="1" sqref="D1476">
      <formula1>0</formula1>
    </dataValidation>
    <dataValidation type="decimal" operator="greaterThan" allowBlank="1" showInputMessage="1" showErrorMessage="1" sqref="E1476">
      <formula1>0</formula1>
    </dataValidation>
    <dataValidation type="whole" operator="greaterThan" allowBlank="1" showInputMessage="1" showErrorMessage="1" sqref="A1477">
      <formula1>0</formula1>
    </dataValidation>
    <dataValidation type="list" allowBlank="1" showInputMessage="1" showErrorMessage="1" sqref="C1477">
      <formula1>UnidadesList</formula1>
    </dataValidation>
    <dataValidation type="decimal" operator="greaterThan" allowBlank="1" showInputMessage="1" showErrorMessage="1" sqref="D1477">
      <formula1>0</formula1>
    </dataValidation>
    <dataValidation type="decimal" operator="greaterThan" allowBlank="1" showInputMessage="1" showErrorMessage="1" sqref="E1477">
      <formula1>0</formula1>
    </dataValidation>
    <dataValidation type="whole" operator="greaterThan" allowBlank="1" showInputMessage="1" showErrorMessage="1" sqref="A1478">
      <formula1>0</formula1>
    </dataValidation>
    <dataValidation type="list" allowBlank="1" showInputMessage="1" showErrorMessage="1" sqref="C1478">
      <formula1>UnidadesList</formula1>
    </dataValidation>
    <dataValidation type="decimal" operator="greaterThan" allowBlank="1" showInputMessage="1" showErrorMessage="1" sqref="D1478">
      <formula1>0</formula1>
    </dataValidation>
    <dataValidation type="decimal" operator="greaterThan" allowBlank="1" showInputMessage="1" showErrorMessage="1" sqref="E1478">
      <formula1>0</formula1>
    </dataValidation>
    <dataValidation type="whole" operator="greaterThan" allowBlank="1" showInputMessage="1" showErrorMessage="1" sqref="A1479">
      <formula1>0</formula1>
    </dataValidation>
    <dataValidation type="list" allowBlank="1" showInputMessage="1" showErrorMessage="1" sqref="C1479">
      <formula1>UnidadesList</formula1>
    </dataValidation>
    <dataValidation type="decimal" operator="greaterThan" allowBlank="1" showInputMessage="1" showErrorMessage="1" sqref="D1479">
      <formula1>0</formula1>
    </dataValidation>
    <dataValidation type="decimal" operator="greaterThan" allowBlank="1" showInputMessage="1" showErrorMessage="1" sqref="E1479">
      <formula1>0</formula1>
    </dataValidation>
    <dataValidation type="whole" operator="greaterThan" allowBlank="1" showInputMessage="1" showErrorMessage="1" sqref="A1480">
      <formula1>0</formula1>
    </dataValidation>
    <dataValidation type="list" allowBlank="1" showInputMessage="1" showErrorMessage="1" sqref="C1480">
      <formula1>UnidadesList</formula1>
    </dataValidation>
    <dataValidation type="decimal" operator="greaterThan" allowBlank="1" showInputMessage="1" showErrorMessage="1" sqref="D1480">
      <formula1>0</formula1>
    </dataValidation>
    <dataValidation type="decimal" operator="greaterThan" allowBlank="1" showInputMessage="1" showErrorMessage="1" sqref="E1480">
      <formula1>0</formula1>
    </dataValidation>
    <dataValidation type="whole" operator="greaterThan" allowBlank="1" showInputMessage="1" showErrorMessage="1" sqref="A1481">
      <formula1>0</formula1>
    </dataValidation>
    <dataValidation type="list" allowBlank="1" showInputMessage="1" showErrorMessage="1" sqref="C1481">
      <formula1>UnidadesList</formula1>
    </dataValidation>
    <dataValidation type="decimal" operator="greaterThan" allowBlank="1" showInputMessage="1" showErrorMessage="1" sqref="D1481">
      <formula1>0</formula1>
    </dataValidation>
    <dataValidation type="decimal" operator="greaterThan" allowBlank="1" showInputMessage="1" showErrorMessage="1" sqref="E1481">
      <formula1>0</formula1>
    </dataValidation>
    <dataValidation type="whole" operator="greaterThan" allowBlank="1" showInputMessage="1" showErrorMessage="1" sqref="A1482">
      <formula1>0</formula1>
    </dataValidation>
    <dataValidation type="list" allowBlank="1" showInputMessage="1" showErrorMessage="1" sqref="C1482">
      <formula1>UnidadesList</formula1>
    </dataValidation>
    <dataValidation type="decimal" operator="greaterThan" allowBlank="1" showInputMessage="1" showErrorMessage="1" sqref="D1482">
      <formula1>0</formula1>
    </dataValidation>
    <dataValidation type="decimal" operator="greaterThan" allowBlank="1" showInputMessage="1" showErrorMessage="1" sqref="E1482">
      <formula1>0</formula1>
    </dataValidation>
    <dataValidation type="whole" operator="greaterThan" allowBlank="1" showInputMessage="1" showErrorMessage="1" sqref="A1483">
      <formula1>0</formula1>
    </dataValidation>
    <dataValidation type="list" allowBlank="1" showInputMessage="1" showErrorMessage="1" sqref="C1483">
      <formula1>UnidadesList</formula1>
    </dataValidation>
    <dataValidation type="decimal" operator="greaterThan" allowBlank="1" showInputMessage="1" showErrorMessage="1" sqref="D1483">
      <formula1>0</formula1>
    </dataValidation>
    <dataValidation type="decimal" operator="greaterThan" allowBlank="1" showInputMessage="1" showErrorMessage="1" sqref="E1483">
      <formula1>0</formula1>
    </dataValidation>
    <dataValidation type="whole" operator="greaterThan" allowBlank="1" showInputMessage="1" showErrorMessage="1" sqref="A1484">
      <formula1>0</formula1>
    </dataValidation>
    <dataValidation type="list" allowBlank="1" showInputMessage="1" showErrorMessage="1" sqref="C1484">
      <formula1>UnidadesList</formula1>
    </dataValidation>
    <dataValidation type="decimal" operator="greaterThan" allowBlank="1" showInputMessage="1" showErrorMessage="1" sqref="D1484">
      <formula1>0</formula1>
    </dataValidation>
    <dataValidation type="decimal" operator="greaterThan" allowBlank="1" showInputMessage="1" showErrorMessage="1" sqref="E1484">
      <formula1>0</formula1>
    </dataValidation>
    <dataValidation type="date" operator="lessThanOrEqual" allowBlank="1" showInputMessage="1" showErrorMessage="1" sqref="C1489">
      <formula1>C1491</formula1>
    </dataValidation>
    <dataValidation type="date" operator="greaterThanOrEqual" allowBlank="1" showInputMessage="1" showErrorMessage="1" sqref="C1491">
      <formula1>C1489</formula1>
    </dataValidation>
    <dataValidation type="list" allowBlank="1" showInputMessage="1" showErrorMessage="1" sqref="F14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4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4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4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495">
      <formula1>0</formula1>
    </dataValidation>
    <dataValidation type="list" allowBlank="1" showInputMessage="1" showErrorMessage="1" sqref="C1495">
      <formula1>UnidadesList</formula1>
    </dataValidation>
    <dataValidation type="decimal" operator="greaterThan" allowBlank="1" showInputMessage="1" showErrorMessage="1" sqref="D1495">
      <formula1>0</formula1>
    </dataValidation>
    <dataValidation type="decimal" operator="greaterThan" allowBlank="1" showInputMessage="1" showErrorMessage="1" sqref="E1495">
      <formula1>0</formula1>
    </dataValidation>
    <dataValidation type="whole" operator="greaterThan" allowBlank="1" showInputMessage="1" showErrorMessage="1" sqref="A1496">
      <formula1>0</formula1>
    </dataValidation>
    <dataValidation type="list" allowBlank="1" showInputMessage="1" showErrorMessage="1" sqref="C1496">
      <formula1>UnidadesList</formula1>
    </dataValidation>
    <dataValidation type="decimal" operator="greaterThan" allowBlank="1" showInputMessage="1" showErrorMessage="1" sqref="D1496">
      <formula1>0</formula1>
    </dataValidation>
    <dataValidation type="decimal" operator="greaterThan" allowBlank="1" showInputMessage="1" showErrorMessage="1" sqref="E1496">
      <formula1>0</formula1>
    </dataValidation>
    <dataValidation type="whole" operator="greaterThan" allowBlank="1" showInputMessage="1" showErrorMessage="1" sqref="A1497">
      <formula1>0</formula1>
    </dataValidation>
    <dataValidation type="list" allowBlank="1" showInputMessage="1" showErrorMessage="1" sqref="C1497">
      <formula1>UnidadesList</formula1>
    </dataValidation>
    <dataValidation type="decimal" operator="greaterThan" allowBlank="1" showInputMessage="1" showErrorMessage="1" sqref="D1497">
      <formula1>0</formula1>
    </dataValidation>
    <dataValidation type="decimal" operator="greaterThan" allowBlank="1" showInputMessage="1" showErrorMessage="1" sqref="E1497">
      <formula1>0</formula1>
    </dataValidation>
    <dataValidation type="whole" operator="greaterThan" allowBlank="1" showInputMessage="1" showErrorMessage="1" sqref="A1498">
      <formula1>0</formula1>
    </dataValidation>
    <dataValidation type="list" allowBlank="1" showInputMessage="1" showErrorMessage="1" sqref="C1498">
      <formula1>UnidadesList</formula1>
    </dataValidation>
    <dataValidation type="decimal" operator="greaterThan" allowBlank="1" showInputMessage="1" showErrorMessage="1" sqref="D1498">
      <formula1>0</formula1>
    </dataValidation>
    <dataValidation type="decimal" operator="greaterThan" allowBlank="1" showInputMessage="1" showErrorMessage="1" sqref="E1498">
      <formula1>0</formula1>
    </dataValidation>
    <dataValidation type="whole" operator="greaterThan" allowBlank="1" showInputMessage="1" showErrorMessage="1" sqref="A1499">
      <formula1>0</formula1>
    </dataValidation>
    <dataValidation type="list" allowBlank="1" showInputMessage="1" showErrorMessage="1" sqref="C1499">
      <formula1>UnidadesList</formula1>
    </dataValidation>
    <dataValidation type="decimal" operator="greaterThan" allowBlank="1" showInputMessage="1" showErrorMessage="1" sqref="D1499">
      <formula1>0</formula1>
    </dataValidation>
    <dataValidation type="decimal" operator="greaterThan" allowBlank="1" showInputMessage="1" showErrorMessage="1" sqref="E1499">
      <formula1>0</formula1>
    </dataValidation>
    <dataValidation type="whole" operator="greaterThan" allowBlank="1" showInputMessage="1" showErrorMessage="1" sqref="A1500">
      <formula1>0</formula1>
    </dataValidation>
    <dataValidation type="list" allowBlank="1" showInputMessage="1" showErrorMessage="1" sqref="C1500">
      <formula1>UnidadesList</formula1>
    </dataValidation>
    <dataValidation type="decimal" operator="greaterThan" allowBlank="1" showInputMessage="1" showErrorMessage="1" sqref="D1500">
      <formula1>0</formula1>
    </dataValidation>
    <dataValidation type="decimal" operator="greaterThan" allowBlank="1" showInputMessage="1" showErrorMessage="1" sqref="E1500">
      <formula1>0</formula1>
    </dataValidation>
    <dataValidation type="whole" operator="greaterThan" allowBlank="1" showInputMessage="1" showErrorMessage="1" sqref="A1501">
      <formula1>0</formula1>
    </dataValidation>
    <dataValidation type="list" allowBlank="1" showInputMessage="1" showErrorMessage="1" sqref="C1501">
      <formula1>UnidadesList</formula1>
    </dataValidation>
    <dataValidation type="decimal" operator="greaterThan" allowBlank="1" showInputMessage="1" showErrorMessage="1" sqref="D1501">
      <formula1>0</formula1>
    </dataValidation>
    <dataValidation type="decimal" operator="greaterThan" allowBlank="1" showInputMessage="1" showErrorMessage="1" sqref="E1501">
      <formula1>0</formula1>
    </dataValidation>
    <dataValidation type="whole" operator="greaterThan" allowBlank="1" showInputMessage="1" showErrorMessage="1" sqref="A1502">
      <formula1>0</formula1>
    </dataValidation>
    <dataValidation type="list" allowBlank="1" showInputMessage="1" showErrorMessage="1" sqref="C1502">
      <formula1>UnidadesList</formula1>
    </dataValidation>
    <dataValidation type="decimal" operator="greaterThan" allowBlank="1" showInputMessage="1" showErrorMessage="1" sqref="D1502">
      <formula1>0</formula1>
    </dataValidation>
    <dataValidation type="decimal" operator="greaterThan" allowBlank="1" showInputMessage="1" showErrorMessage="1" sqref="E1502">
      <formula1>0</formula1>
    </dataValidation>
    <dataValidation type="whole" operator="greaterThan" allowBlank="1" showInputMessage="1" showErrorMessage="1" sqref="A1503">
      <formula1>0</formula1>
    </dataValidation>
    <dataValidation type="list" allowBlank="1" showInputMessage="1" showErrorMessage="1" sqref="C1503">
      <formula1>UnidadesList</formula1>
    </dataValidation>
    <dataValidation type="decimal" operator="greaterThan" allowBlank="1" showInputMessage="1" showErrorMessage="1" sqref="D1503">
      <formula1>0</formula1>
    </dataValidation>
    <dataValidation type="decimal" operator="greaterThan" allowBlank="1" showInputMessage="1" showErrorMessage="1" sqref="E1503">
      <formula1>0</formula1>
    </dataValidation>
    <dataValidation type="whole" operator="greaterThan" allowBlank="1" showInputMessage="1" showErrorMessage="1" sqref="A1504">
      <formula1>0</formula1>
    </dataValidation>
    <dataValidation type="list" allowBlank="1" showInputMessage="1" showErrorMessage="1" sqref="C1504">
      <formula1>UnidadesList</formula1>
    </dataValidation>
    <dataValidation type="decimal" operator="greaterThan" allowBlank="1" showInputMessage="1" showErrorMessage="1" sqref="D1504">
      <formula1>0</formula1>
    </dataValidation>
    <dataValidation type="decimal" operator="greaterThan" allowBlank="1" showInputMessage="1" showErrorMessage="1" sqref="E1504">
      <formula1>0</formula1>
    </dataValidation>
    <dataValidation type="whole" operator="greaterThan" allowBlank="1" showInputMessage="1" showErrorMessage="1" sqref="A1505">
      <formula1>0</formula1>
    </dataValidation>
    <dataValidation type="list" allowBlank="1" showInputMessage="1" showErrorMessage="1" sqref="C1505">
      <formula1>UnidadesList</formula1>
    </dataValidation>
    <dataValidation type="decimal" operator="greaterThan" allowBlank="1" showInputMessage="1" showErrorMessage="1" sqref="D1505">
      <formula1>0</formula1>
    </dataValidation>
    <dataValidation type="decimal" operator="greaterThan" allowBlank="1" showInputMessage="1" showErrorMessage="1" sqref="E1505">
      <formula1>0</formula1>
    </dataValidation>
    <dataValidation type="date" operator="lessThanOrEqual" allowBlank="1" showInputMessage="1" showErrorMessage="1" sqref="C1510">
      <formula1>C1512</formula1>
    </dataValidation>
    <dataValidation type="date" operator="greaterThanOrEqual" allowBlank="1" showInputMessage="1" showErrorMessage="1" sqref="C1512">
      <formula1>C1510</formula1>
    </dataValidation>
    <dataValidation type="list" allowBlank="1" showInputMessage="1" showErrorMessage="1" sqref="F15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16">
      <formula1>0</formula1>
    </dataValidation>
    <dataValidation type="list" allowBlank="1" showInputMessage="1" showErrorMessage="1" sqref="C1516">
      <formula1>UnidadesList</formula1>
    </dataValidation>
    <dataValidation type="decimal" operator="greaterThan" allowBlank="1" showInputMessage="1" showErrorMessage="1" sqref="D1516">
      <formula1>0</formula1>
    </dataValidation>
    <dataValidation type="decimal" operator="greaterThan" allowBlank="1" showInputMessage="1" showErrorMessage="1" sqref="E1516">
      <formula1>0</formula1>
    </dataValidation>
    <dataValidation type="whole" operator="greaterThan" allowBlank="1" showInputMessage="1" showErrorMessage="1" sqref="A1517">
      <formula1>0</formula1>
    </dataValidation>
    <dataValidation type="list" allowBlank="1" showInputMessage="1" showErrorMessage="1" sqref="C1517">
      <formula1>UnidadesList</formula1>
    </dataValidation>
    <dataValidation type="decimal" operator="greaterThan" allowBlank="1" showInputMessage="1" showErrorMessage="1" sqref="D1517">
      <formula1>0</formula1>
    </dataValidation>
    <dataValidation type="decimal" operator="greaterThan" allowBlank="1" showInputMessage="1" showErrorMessage="1" sqref="E1517">
      <formula1>0</formula1>
    </dataValidation>
    <dataValidation type="whole" operator="greaterThan" allowBlank="1" showInputMessage="1" showErrorMessage="1" sqref="A1518">
      <formula1>0</formula1>
    </dataValidation>
    <dataValidation type="list" allowBlank="1" showInputMessage="1" showErrorMessage="1" sqref="C1518">
      <formula1>UnidadesList</formula1>
    </dataValidation>
    <dataValidation type="decimal" operator="greaterThan" allowBlank="1" showInputMessage="1" showErrorMessage="1" sqref="D1518">
      <formula1>0</formula1>
    </dataValidation>
    <dataValidation type="decimal" operator="greaterThan" allowBlank="1" showInputMessage="1" showErrorMessage="1" sqref="E1518">
      <formula1>0</formula1>
    </dataValidation>
    <dataValidation type="whole" operator="greaterThan" allowBlank="1" showInputMessage="1" showErrorMessage="1" sqref="A1519">
      <formula1>0</formula1>
    </dataValidation>
    <dataValidation type="list" allowBlank="1" showInputMessage="1" showErrorMessage="1" sqref="C1519">
      <formula1>UnidadesList</formula1>
    </dataValidation>
    <dataValidation type="decimal" operator="greaterThan" allowBlank="1" showInputMessage="1" showErrorMessage="1" sqref="D1519">
      <formula1>0</formula1>
    </dataValidation>
    <dataValidation type="decimal" operator="greaterThan" allowBlank="1" showInputMessage="1" showErrorMessage="1" sqref="E1519">
      <formula1>0</formula1>
    </dataValidation>
    <dataValidation type="whole" operator="greaterThan" allowBlank="1" showInputMessage="1" showErrorMessage="1" sqref="A1520">
      <formula1>0</formula1>
    </dataValidation>
    <dataValidation type="list" allowBlank="1" showInputMessage="1" showErrorMessage="1" sqref="C1520">
      <formula1>UnidadesList</formula1>
    </dataValidation>
    <dataValidation type="decimal" operator="greaterThan" allowBlank="1" showInputMessage="1" showErrorMessage="1" sqref="D1520">
      <formula1>0</formula1>
    </dataValidation>
    <dataValidation type="decimal" operator="greaterThan" allowBlank="1" showInputMessage="1" showErrorMessage="1" sqref="E1520">
      <formula1>0</formula1>
    </dataValidation>
    <dataValidation type="whole" operator="greaterThan" allowBlank="1" showInputMessage="1" showErrorMessage="1" sqref="A1521">
      <formula1>0</formula1>
    </dataValidation>
    <dataValidation type="list" allowBlank="1" showInputMessage="1" showErrorMessage="1" sqref="C1521">
      <formula1>UnidadesList</formula1>
    </dataValidation>
    <dataValidation type="decimal" operator="greaterThan" allowBlank="1" showInputMessage="1" showErrorMessage="1" sqref="D1521">
      <formula1>0</formula1>
    </dataValidation>
    <dataValidation type="decimal" operator="greaterThan" allowBlank="1" showInputMessage="1" showErrorMessage="1" sqref="E1521">
      <formula1>0</formula1>
    </dataValidation>
    <dataValidation type="whole" operator="greaterThan" allowBlank="1" showInputMessage="1" showErrorMessage="1" sqref="A1522">
      <formula1>0</formula1>
    </dataValidation>
    <dataValidation type="list" allowBlank="1" showInputMessage="1" showErrorMessage="1" sqref="C1522">
      <formula1>UnidadesList</formula1>
    </dataValidation>
    <dataValidation type="decimal" operator="greaterThan" allowBlank="1" showInputMessage="1" showErrorMessage="1" sqref="D1522">
      <formula1>0</formula1>
    </dataValidation>
    <dataValidation type="decimal" operator="greaterThan" allowBlank="1" showInputMessage="1" showErrorMessage="1" sqref="E1522">
      <formula1>0</formula1>
    </dataValidation>
    <dataValidation type="whole" operator="greaterThan" allowBlank="1" showInputMessage="1" showErrorMessage="1" sqref="A1523">
      <formula1>0</formula1>
    </dataValidation>
    <dataValidation type="list" allowBlank="1" showInputMessage="1" showErrorMessage="1" sqref="C1523">
      <formula1>UnidadesList</formula1>
    </dataValidation>
    <dataValidation type="decimal" operator="greaterThan" allowBlank="1" showInputMessage="1" showErrorMessage="1" sqref="D1523">
      <formula1>0</formula1>
    </dataValidation>
    <dataValidation type="decimal" operator="greaterThan" allowBlank="1" showInputMessage="1" showErrorMessage="1" sqref="E1523">
      <formula1>0</formula1>
    </dataValidation>
    <dataValidation type="whole" operator="greaterThan" allowBlank="1" showInputMessage="1" showErrorMessage="1" sqref="A1524">
      <formula1>0</formula1>
    </dataValidation>
    <dataValidation type="list" allowBlank="1" showInputMessage="1" showErrorMessage="1" sqref="C1524">
      <formula1>UnidadesList</formula1>
    </dataValidation>
    <dataValidation type="decimal" operator="greaterThan" allowBlank="1" showInputMessage="1" showErrorMessage="1" sqref="D1524">
      <formula1>0</formula1>
    </dataValidation>
    <dataValidation type="decimal" operator="greaterThan" allowBlank="1" showInputMessage="1" showErrorMessage="1" sqref="E1524">
      <formula1>0</formula1>
    </dataValidation>
    <dataValidation type="whole" operator="greaterThan" allowBlank="1" showInputMessage="1" showErrorMessage="1" sqref="A1525">
      <formula1>0</formula1>
    </dataValidation>
    <dataValidation type="list" allowBlank="1" showInputMessage="1" showErrorMessage="1" sqref="C1525">
      <formula1>UnidadesList</formula1>
    </dataValidation>
    <dataValidation type="decimal" operator="greaterThan" allowBlank="1" showInputMessage="1" showErrorMessage="1" sqref="D1525">
      <formula1>0</formula1>
    </dataValidation>
    <dataValidation type="decimal" operator="greaterThan" allowBlank="1" showInputMessage="1" showErrorMessage="1" sqref="E1525">
      <formula1>0</formula1>
    </dataValidation>
    <dataValidation type="whole" operator="greaterThan" allowBlank="1" showInputMessage="1" showErrorMessage="1" sqref="A1526">
      <formula1>0</formula1>
    </dataValidation>
    <dataValidation type="list" allowBlank="1" showInputMessage="1" showErrorMessage="1" sqref="C1526">
      <formula1>UnidadesList</formula1>
    </dataValidation>
    <dataValidation type="decimal" operator="greaterThan" allowBlank="1" showInputMessage="1" showErrorMessage="1" sqref="D1526">
      <formula1>0</formula1>
    </dataValidation>
    <dataValidation type="decimal" operator="greaterThan" allowBlank="1" showInputMessage="1" showErrorMessage="1" sqref="E1526">
      <formula1>0</formula1>
    </dataValidation>
    <dataValidation type="date" operator="lessThanOrEqual" allowBlank="1" showInputMessage="1" showErrorMessage="1" sqref="C1531">
      <formula1>C1533</formula1>
    </dataValidation>
    <dataValidation type="date" operator="greaterThanOrEqual" allowBlank="1" showInputMessage="1" showErrorMessage="1" sqref="C1533">
      <formula1>C1531</formula1>
    </dataValidation>
    <dataValidation type="list" allowBlank="1" showInputMessage="1" showErrorMessage="1" sqref="F153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3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3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3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37">
      <formula1>0</formula1>
    </dataValidation>
    <dataValidation type="list" allowBlank="1" showInputMessage="1" showErrorMessage="1" sqref="C1537">
      <formula1>UnidadesList</formula1>
    </dataValidation>
    <dataValidation type="decimal" operator="greaterThan" allowBlank="1" showInputMessage="1" showErrorMessage="1" sqref="D1537">
      <formula1>0</formula1>
    </dataValidation>
    <dataValidation type="decimal" operator="greaterThan" allowBlank="1" showInputMessage="1" showErrorMessage="1" sqref="E1537">
      <formula1>0</formula1>
    </dataValidation>
    <dataValidation type="whole" operator="greaterThan" allowBlank="1" showInputMessage="1" showErrorMessage="1" sqref="A1538">
      <formula1>0</formula1>
    </dataValidation>
    <dataValidation type="list" allowBlank="1" showInputMessage="1" showErrorMessage="1" sqref="C1538">
      <formula1>UnidadesList</formula1>
    </dataValidation>
    <dataValidation type="decimal" operator="greaterThan" allowBlank="1" showInputMessage="1" showErrorMessage="1" sqref="D1538">
      <formula1>0</formula1>
    </dataValidation>
    <dataValidation type="decimal" operator="greaterThan" allowBlank="1" showInputMessage="1" showErrorMessage="1" sqref="E1538">
      <formula1>0</formula1>
    </dataValidation>
    <dataValidation type="whole" operator="greaterThan" allowBlank="1" showInputMessage="1" showErrorMessage="1" sqref="A1539">
      <formula1>0</formula1>
    </dataValidation>
    <dataValidation type="list" allowBlank="1" showInputMessage="1" showErrorMessage="1" sqref="C1539">
      <formula1>UnidadesList</formula1>
    </dataValidation>
    <dataValidation type="decimal" operator="greaterThan" allowBlank="1" showInputMessage="1" showErrorMessage="1" sqref="D1539">
      <formula1>0</formula1>
    </dataValidation>
    <dataValidation type="decimal" operator="greaterThan" allowBlank="1" showInputMessage="1" showErrorMessage="1" sqref="E1539">
      <formula1>0</formula1>
    </dataValidation>
    <dataValidation type="whole" operator="greaterThan" allowBlank="1" showInputMessage="1" showErrorMessage="1" sqref="A1540">
      <formula1>0</formula1>
    </dataValidation>
    <dataValidation type="list" allowBlank="1" showInputMessage="1" showErrorMessage="1" sqref="C1540">
      <formula1>UnidadesList</formula1>
    </dataValidation>
    <dataValidation type="decimal" operator="greaterThan" allowBlank="1" showInputMessage="1" showErrorMessage="1" sqref="D1540">
      <formula1>0</formula1>
    </dataValidation>
    <dataValidation type="decimal" operator="greaterThan" allowBlank="1" showInputMessage="1" showErrorMessage="1" sqref="E1540">
      <formula1>0</formula1>
    </dataValidation>
    <dataValidation type="whole" operator="greaterThan" allowBlank="1" showInputMessage="1" showErrorMessage="1" sqref="A1541">
      <formula1>0</formula1>
    </dataValidation>
    <dataValidation type="list" allowBlank="1" showInputMessage="1" showErrorMessage="1" sqref="C1541">
      <formula1>UnidadesList</formula1>
    </dataValidation>
    <dataValidation type="decimal" operator="greaterThan" allowBlank="1" showInputMessage="1" showErrorMessage="1" sqref="D1541">
      <formula1>0</formula1>
    </dataValidation>
    <dataValidation type="decimal" operator="greaterThan" allowBlank="1" showInputMessage="1" showErrorMessage="1" sqref="E1541">
      <formula1>0</formula1>
    </dataValidation>
    <dataValidation type="whole" operator="greaterThan" allowBlank="1" showInputMessage="1" showErrorMessage="1" sqref="A1542">
      <formula1>0</formula1>
    </dataValidation>
    <dataValidation type="list" allowBlank="1" showInputMessage="1" showErrorMessage="1" sqref="C1542">
      <formula1>UnidadesList</formula1>
    </dataValidation>
    <dataValidation type="decimal" operator="greaterThan" allowBlank="1" showInputMessage="1" showErrorMessage="1" sqref="D1542">
      <formula1>0</formula1>
    </dataValidation>
    <dataValidation type="decimal" operator="greaterThan" allowBlank="1" showInputMessage="1" showErrorMessage="1" sqref="E1542">
      <formula1>0</formula1>
    </dataValidation>
    <dataValidation type="whole" operator="greaterThan" allowBlank="1" showInputMessage="1" showErrorMessage="1" sqref="A1543">
      <formula1>0</formula1>
    </dataValidation>
    <dataValidation type="list" allowBlank="1" showInputMessage="1" showErrorMessage="1" sqref="C1543">
      <formula1>UnidadesList</formula1>
    </dataValidation>
    <dataValidation type="decimal" operator="greaterThan" allowBlank="1" showInputMessage="1" showErrorMessage="1" sqref="D1543">
      <formula1>0</formula1>
    </dataValidation>
    <dataValidation type="decimal" operator="greaterThan" allowBlank="1" showInputMessage="1" showErrorMessage="1" sqref="E1543">
      <formula1>0</formula1>
    </dataValidation>
    <dataValidation type="whole" operator="greaterThan" allowBlank="1" showInputMessage="1" showErrorMessage="1" sqref="A1544">
      <formula1>0</formula1>
    </dataValidation>
    <dataValidation type="list" allowBlank="1" showInputMessage="1" showErrorMessage="1" sqref="C1544">
      <formula1>UnidadesList</formula1>
    </dataValidation>
    <dataValidation type="decimal" operator="greaterThan" allowBlank="1" showInputMessage="1" showErrorMessage="1" sqref="D1544">
      <formula1>0</formula1>
    </dataValidation>
    <dataValidation type="decimal" operator="greaterThan" allowBlank="1" showInputMessage="1" showErrorMessage="1" sqref="E1544">
      <formula1>0</formula1>
    </dataValidation>
    <dataValidation type="whole" operator="greaterThan" allowBlank="1" showInputMessage="1" showErrorMessage="1" sqref="A1545">
      <formula1>0</formula1>
    </dataValidation>
    <dataValidation type="list" allowBlank="1" showInputMessage="1" showErrorMessage="1" sqref="C1545">
      <formula1>UnidadesList</formula1>
    </dataValidation>
    <dataValidation type="decimal" operator="greaterThan" allowBlank="1" showInputMessage="1" showErrorMessage="1" sqref="D1545">
      <formula1>0</formula1>
    </dataValidation>
    <dataValidation type="decimal" operator="greaterThan" allowBlank="1" showInputMessage="1" showErrorMessage="1" sqref="E1545">
      <formula1>0</formula1>
    </dataValidation>
    <dataValidation type="whole" operator="greaterThan" allowBlank="1" showInputMessage="1" showErrorMessage="1" sqref="A1546">
      <formula1>0</formula1>
    </dataValidation>
    <dataValidation type="list" allowBlank="1" showInputMessage="1" showErrorMessage="1" sqref="C1546">
      <formula1>UnidadesList</formula1>
    </dataValidation>
    <dataValidation type="decimal" operator="greaterThan" allowBlank="1" showInputMessage="1" showErrorMessage="1" sqref="D1546">
      <formula1>0</formula1>
    </dataValidation>
    <dataValidation type="decimal" operator="greaterThan" allowBlank="1" showInputMessage="1" showErrorMessage="1" sqref="E1546">
      <formula1>0</formula1>
    </dataValidation>
    <dataValidation type="whole" operator="greaterThan" allowBlank="1" showInputMessage="1" showErrorMessage="1" sqref="A1547">
      <formula1>0</formula1>
    </dataValidation>
    <dataValidation type="list" allowBlank="1" showInputMessage="1" showErrorMessage="1" sqref="C1547">
      <formula1>UnidadesList</formula1>
    </dataValidation>
    <dataValidation type="decimal" operator="greaterThan" allowBlank="1" showInputMessage="1" showErrorMessage="1" sqref="D1547">
      <formula1>0</formula1>
    </dataValidation>
    <dataValidation type="decimal" operator="greaterThan" allowBlank="1" showInputMessage="1" showErrorMessage="1" sqref="E1547">
      <formula1>0</formula1>
    </dataValidation>
    <dataValidation type="date" operator="lessThanOrEqual" allowBlank="1" showInputMessage="1" showErrorMessage="1" sqref="C1552">
      <formula1>C1554</formula1>
    </dataValidation>
    <dataValidation type="date" operator="greaterThanOrEqual" allowBlank="1" showInputMessage="1" showErrorMessage="1" sqref="C1554">
      <formula1>C1552</formula1>
    </dataValidation>
    <dataValidation type="list" allowBlank="1" showInputMessage="1" showErrorMessage="1" sqref="F155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5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5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5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58">
      <formula1>0</formula1>
    </dataValidation>
    <dataValidation type="list" allowBlank="1" showInputMessage="1" showErrorMessage="1" sqref="C1558">
      <formula1>UnidadesList</formula1>
    </dataValidation>
    <dataValidation type="decimal" operator="greaterThan" allowBlank="1" showInputMessage="1" showErrorMessage="1" sqref="D1558">
      <formula1>0</formula1>
    </dataValidation>
    <dataValidation type="decimal" operator="greaterThan" allowBlank="1" showInputMessage="1" showErrorMessage="1" sqref="E1558">
      <formula1>0</formula1>
    </dataValidation>
    <dataValidation type="whole" operator="greaterThan" allowBlank="1" showInputMessage="1" showErrorMessage="1" sqref="A1559">
      <formula1>0</formula1>
    </dataValidation>
    <dataValidation type="list" allowBlank="1" showInputMessage="1" showErrorMessage="1" sqref="C1559">
      <formula1>UnidadesList</formula1>
    </dataValidation>
    <dataValidation type="decimal" operator="greaterThan" allowBlank="1" showInputMessage="1" showErrorMessage="1" sqref="D1559">
      <formula1>0</formula1>
    </dataValidation>
    <dataValidation type="decimal" operator="greaterThan" allowBlank="1" showInputMessage="1" showErrorMessage="1" sqref="E1559">
      <formula1>0</formula1>
    </dataValidation>
    <dataValidation type="whole" operator="greaterThan" allowBlank="1" showInputMessage="1" showErrorMessage="1" sqref="A1560">
      <formula1>0</formula1>
    </dataValidation>
    <dataValidation type="list" allowBlank="1" showInputMessage="1" showErrorMessage="1" sqref="C1560">
      <formula1>UnidadesList</formula1>
    </dataValidation>
    <dataValidation type="decimal" operator="greaterThan" allowBlank="1" showInputMessage="1" showErrorMessage="1" sqref="D1560">
      <formula1>0</formula1>
    </dataValidation>
    <dataValidation type="decimal" operator="greaterThan" allowBlank="1" showInputMessage="1" showErrorMessage="1" sqref="E1560">
      <formula1>0</formula1>
    </dataValidation>
    <dataValidation type="whole" operator="greaterThan" allowBlank="1" showInputMessage="1" showErrorMessage="1" sqref="A1561">
      <formula1>0</formula1>
    </dataValidation>
    <dataValidation type="list" allowBlank="1" showInputMessage="1" showErrorMessage="1" sqref="C1561">
      <formula1>UnidadesList</formula1>
    </dataValidation>
    <dataValidation type="decimal" operator="greaterThan" allowBlank="1" showInputMessage="1" showErrorMessage="1" sqref="D1561">
      <formula1>0</formula1>
    </dataValidation>
    <dataValidation type="decimal" operator="greaterThan" allowBlank="1" showInputMessage="1" showErrorMessage="1" sqref="E1561">
      <formula1>0</formula1>
    </dataValidation>
    <dataValidation type="whole" operator="greaterThan" allowBlank="1" showInputMessage="1" showErrorMessage="1" sqref="A1562">
      <formula1>0</formula1>
    </dataValidation>
    <dataValidation type="list" allowBlank="1" showInputMessage="1" showErrorMessage="1" sqref="C1562">
      <formula1>UnidadesList</formula1>
    </dataValidation>
    <dataValidation type="decimal" operator="greaterThan" allowBlank="1" showInputMessage="1" showErrorMessage="1" sqref="D1562">
      <formula1>0</formula1>
    </dataValidation>
    <dataValidation type="decimal" operator="greaterThan" allowBlank="1" showInputMessage="1" showErrorMessage="1" sqref="E1562">
      <formula1>0</formula1>
    </dataValidation>
    <dataValidation type="whole" operator="greaterThan" allowBlank="1" showInputMessage="1" showErrorMessage="1" sqref="A1563">
      <formula1>0</formula1>
    </dataValidation>
    <dataValidation type="list" allowBlank="1" showInputMessage="1" showErrorMessage="1" sqref="C1563">
      <formula1>UnidadesList</formula1>
    </dataValidation>
    <dataValidation type="decimal" operator="greaterThan" allowBlank="1" showInputMessage="1" showErrorMessage="1" sqref="D1563">
      <formula1>0</formula1>
    </dataValidation>
    <dataValidation type="decimal" operator="greaterThan" allowBlank="1" showInputMessage="1" showErrorMessage="1" sqref="E1563">
      <formula1>0</formula1>
    </dataValidation>
    <dataValidation type="whole" operator="greaterThan" allowBlank="1" showInputMessage="1" showErrorMessage="1" sqref="A1564">
      <formula1>0</formula1>
    </dataValidation>
    <dataValidation type="list" allowBlank="1" showInputMessage="1" showErrorMessage="1" sqref="C1564">
      <formula1>UnidadesList</formula1>
    </dataValidation>
    <dataValidation type="decimal" operator="greaterThan" allowBlank="1" showInputMessage="1" showErrorMessage="1" sqref="D1564">
      <formula1>0</formula1>
    </dataValidation>
    <dataValidation type="decimal" operator="greaterThan" allowBlank="1" showInputMessage="1" showErrorMessage="1" sqref="E1564">
      <formula1>0</formula1>
    </dataValidation>
    <dataValidation type="whole" operator="greaterThan" allowBlank="1" showInputMessage="1" showErrorMessage="1" sqref="A1565">
      <formula1>0</formula1>
    </dataValidation>
    <dataValidation type="list" allowBlank="1" showInputMessage="1" showErrorMessage="1" sqref="C1565">
      <formula1>UnidadesList</formula1>
    </dataValidation>
    <dataValidation type="decimal" operator="greaterThan" allowBlank="1" showInputMessage="1" showErrorMessage="1" sqref="D1565">
      <formula1>0</formula1>
    </dataValidation>
    <dataValidation type="decimal" operator="greaterThan" allowBlank="1" showInputMessage="1" showErrorMessage="1" sqref="E1565">
      <formula1>0</formula1>
    </dataValidation>
    <dataValidation type="whole" operator="greaterThan" allowBlank="1" showInputMessage="1" showErrorMessage="1" sqref="A1566">
      <formula1>0</formula1>
    </dataValidation>
    <dataValidation type="list" allowBlank="1" showInputMessage="1" showErrorMessage="1" sqref="C1566">
      <formula1>UnidadesList</formula1>
    </dataValidation>
    <dataValidation type="decimal" operator="greaterThan" allowBlank="1" showInputMessage="1" showErrorMessage="1" sqref="D1566">
      <formula1>0</formula1>
    </dataValidation>
    <dataValidation type="decimal" operator="greaterThan" allowBlank="1" showInputMessage="1" showErrorMessage="1" sqref="E1566">
      <formula1>0</formula1>
    </dataValidation>
    <dataValidation type="whole" operator="greaterThan" allowBlank="1" showInputMessage="1" showErrorMessage="1" sqref="A1567">
      <formula1>0</formula1>
    </dataValidation>
    <dataValidation type="list" allowBlank="1" showInputMessage="1" showErrorMessage="1" sqref="C1567">
      <formula1>UnidadesList</formula1>
    </dataValidation>
    <dataValidation type="decimal" operator="greaterThan" allowBlank="1" showInputMessage="1" showErrorMessage="1" sqref="D1567">
      <formula1>0</formula1>
    </dataValidation>
    <dataValidation type="decimal" operator="greaterThan" allowBlank="1" showInputMessage="1" showErrorMessage="1" sqref="E1567">
      <formula1>0</formula1>
    </dataValidation>
    <dataValidation type="whole" operator="greaterThan" allowBlank="1" showInputMessage="1" showErrorMessage="1" sqref="A1568">
      <formula1>0</formula1>
    </dataValidation>
    <dataValidation type="list" allowBlank="1" showInputMessage="1" showErrorMessage="1" sqref="C1568">
      <formula1>UnidadesList</formula1>
    </dataValidation>
    <dataValidation type="decimal" operator="greaterThan" allowBlank="1" showInputMessage="1" showErrorMessage="1" sqref="D1568">
      <formula1>0</formula1>
    </dataValidation>
    <dataValidation type="decimal" operator="greaterThan" allowBlank="1" showInputMessage="1" showErrorMessage="1" sqref="E1568">
      <formula1>0</formula1>
    </dataValidation>
    <dataValidation type="whole" operator="greaterThan" allowBlank="1" showInputMessage="1" showErrorMessage="1" sqref="A1569">
      <formula1>0</formula1>
    </dataValidation>
    <dataValidation type="list" allowBlank="1" showInputMessage="1" showErrorMessage="1" sqref="C1569">
      <formula1>UnidadesList</formula1>
    </dataValidation>
    <dataValidation type="decimal" operator="greaterThan" allowBlank="1" showInputMessage="1" showErrorMessage="1" sqref="D1569">
      <formula1>0</formula1>
    </dataValidation>
    <dataValidation type="decimal" operator="greaterThan" allowBlank="1" showInputMessage="1" showErrorMessage="1" sqref="E1569">
      <formula1>0</formula1>
    </dataValidation>
    <dataValidation type="date" operator="lessThanOrEqual" allowBlank="1" showInputMessage="1" showErrorMessage="1" sqref="C1574">
      <formula1>C1576</formula1>
    </dataValidation>
    <dataValidation type="date" operator="greaterThanOrEqual" allowBlank="1" showInputMessage="1" showErrorMessage="1" sqref="C1576">
      <formula1>C1574</formula1>
    </dataValidation>
    <dataValidation type="list" allowBlank="1" showInputMessage="1" showErrorMessage="1" sqref="F157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7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7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7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80">
      <formula1>0</formula1>
    </dataValidation>
    <dataValidation type="list" allowBlank="1" showInputMessage="1" showErrorMessage="1" sqref="C1580">
      <formula1>UnidadesList</formula1>
    </dataValidation>
    <dataValidation type="decimal" operator="greaterThan" allowBlank="1" showInputMessage="1" showErrorMessage="1" sqref="D1580">
      <formula1>0</formula1>
    </dataValidation>
    <dataValidation type="decimal" operator="greaterThan" allowBlank="1" showInputMessage="1" showErrorMessage="1" sqref="E1580">
      <formula1>0</formula1>
    </dataValidation>
    <dataValidation type="whole" operator="greaterThan" allowBlank="1" showInputMessage="1" showErrorMessage="1" sqref="A1581">
      <formula1>0</formula1>
    </dataValidation>
    <dataValidation type="list" allowBlank="1" showInputMessage="1" showErrorMessage="1" sqref="C1581">
      <formula1>UnidadesList</formula1>
    </dataValidation>
    <dataValidation type="decimal" operator="greaterThan" allowBlank="1" showInputMessage="1" showErrorMessage="1" sqref="D1581">
      <formula1>0</formula1>
    </dataValidation>
    <dataValidation type="decimal" operator="greaterThan" allowBlank="1" showInputMessage="1" showErrorMessage="1" sqref="E1581">
      <formula1>0</formula1>
    </dataValidation>
    <dataValidation type="whole" operator="greaterThan" allowBlank="1" showInputMessage="1" showErrorMessage="1" sqref="A1582">
      <formula1>0</formula1>
    </dataValidation>
    <dataValidation type="list" allowBlank="1" showInputMessage="1" showErrorMessage="1" sqref="C1582">
      <formula1>UnidadesList</formula1>
    </dataValidation>
    <dataValidation type="decimal" operator="greaterThan" allowBlank="1" showInputMessage="1" showErrorMessage="1" sqref="D1582">
      <formula1>0</formula1>
    </dataValidation>
    <dataValidation type="decimal" operator="greaterThan" allowBlank="1" showInputMessage="1" showErrorMessage="1" sqref="E1582">
      <formula1>0</formula1>
    </dataValidation>
    <dataValidation type="whole" operator="greaterThan" allowBlank="1" showInputMessage="1" showErrorMessage="1" sqref="A1583">
      <formula1>0</formula1>
    </dataValidation>
    <dataValidation type="list" allowBlank="1" showInputMessage="1" showErrorMessage="1" sqref="C1583">
      <formula1>UnidadesList</formula1>
    </dataValidation>
    <dataValidation type="decimal" operator="greaterThan" allowBlank="1" showInputMessage="1" showErrorMessage="1" sqref="D1583">
      <formula1>0</formula1>
    </dataValidation>
    <dataValidation type="decimal" operator="greaterThan" allowBlank="1" showInputMessage="1" showErrorMessage="1" sqref="E1583">
      <formula1>0</formula1>
    </dataValidation>
    <dataValidation type="whole" operator="greaterThan" allowBlank="1" showInputMessage="1" showErrorMessage="1" sqref="A1584">
      <formula1>0</formula1>
    </dataValidation>
    <dataValidation type="list" allowBlank="1" showInputMessage="1" showErrorMessage="1" sqref="C1584">
      <formula1>UnidadesList</formula1>
    </dataValidation>
    <dataValidation type="decimal" operator="greaterThan" allowBlank="1" showInputMessage="1" showErrorMessage="1" sqref="D1584">
      <formula1>0</formula1>
    </dataValidation>
    <dataValidation type="decimal" operator="greaterThan" allowBlank="1" showInputMessage="1" showErrorMessage="1" sqref="E1584">
      <formula1>0</formula1>
    </dataValidation>
    <dataValidation type="date" operator="lessThanOrEqual" allowBlank="1" showInputMessage="1" showErrorMessage="1" sqref="C1589">
      <formula1>C1591</formula1>
    </dataValidation>
    <dataValidation type="date" operator="greaterThanOrEqual" allowBlank="1" showInputMessage="1" showErrorMessage="1" sqref="C1591">
      <formula1>C1589</formula1>
    </dataValidation>
    <dataValidation type="list" allowBlank="1" showInputMessage="1" showErrorMessage="1" sqref="F15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95">
      <formula1>0</formula1>
    </dataValidation>
    <dataValidation type="list" allowBlank="1" showInputMessage="1" showErrorMessage="1" sqref="C1595">
      <formula1>UnidadesList</formula1>
    </dataValidation>
    <dataValidation type="decimal" operator="greaterThan" allowBlank="1" showInputMessage="1" showErrorMessage="1" sqref="D1595">
      <formula1>0</formula1>
    </dataValidation>
    <dataValidation type="decimal" operator="greaterThan" allowBlank="1" showInputMessage="1" showErrorMessage="1" sqref="E1595">
      <formula1>0</formula1>
    </dataValidation>
    <dataValidation type="whole" operator="greaterThan" allowBlank="1" showInputMessage="1" showErrorMessage="1" sqref="A1596">
      <formula1>0</formula1>
    </dataValidation>
    <dataValidation type="list" allowBlank="1" showInputMessage="1" showErrorMessage="1" sqref="C1596">
      <formula1>UnidadesList</formula1>
    </dataValidation>
    <dataValidation type="decimal" operator="greaterThan" allowBlank="1" showInputMessage="1" showErrorMessage="1" sqref="D1596">
      <formula1>0</formula1>
    </dataValidation>
    <dataValidation type="decimal" operator="greaterThan" allowBlank="1" showInputMessage="1" showErrorMessage="1" sqref="E1596">
      <formula1>0</formula1>
    </dataValidation>
    <dataValidation type="whole" operator="greaterThan" allowBlank="1" showInputMessage="1" showErrorMessage="1" sqref="A1597">
      <formula1>0</formula1>
    </dataValidation>
    <dataValidation type="list" allowBlank="1" showInputMessage="1" showErrorMessage="1" sqref="C1597">
      <formula1>UnidadesList</formula1>
    </dataValidation>
    <dataValidation type="decimal" operator="greaterThan" allowBlank="1" showInputMessage="1" showErrorMessage="1" sqref="D1597">
      <formula1>0</formula1>
    </dataValidation>
    <dataValidation type="decimal" operator="greaterThan" allowBlank="1" showInputMessage="1" showErrorMessage="1" sqref="E1597">
      <formula1>0</formula1>
    </dataValidation>
    <dataValidation type="whole" operator="greaterThan" allowBlank="1" showInputMessage="1" showErrorMessage="1" sqref="A1598">
      <formula1>0</formula1>
    </dataValidation>
    <dataValidation type="list" allowBlank="1" showInputMessage="1" showErrorMessage="1" sqref="C1598">
      <formula1>UnidadesList</formula1>
    </dataValidation>
    <dataValidation type="decimal" operator="greaterThan" allowBlank="1" showInputMessage="1" showErrorMessage="1" sqref="D1598">
      <formula1>0</formula1>
    </dataValidation>
    <dataValidation type="decimal" operator="greaterThan" allowBlank="1" showInputMessage="1" showErrorMessage="1" sqref="E1598">
      <formula1>0</formula1>
    </dataValidation>
    <dataValidation type="whole" operator="greaterThan" allowBlank="1" showInputMessage="1" showErrorMessage="1" sqref="A1599">
      <formula1>0</formula1>
    </dataValidation>
    <dataValidation type="list" allowBlank="1" showInputMessage="1" showErrorMessage="1" sqref="C1599">
      <formula1>UnidadesList</formula1>
    </dataValidation>
    <dataValidation type="decimal" operator="greaterThan" allowBlank="1" showInputMessage="1" showErrorMessage="1" sqref="D1599">
      <formula1>0</formula1>
    </dataValidation>
    <dataValidation type="decimal" operator="greaterThan" allowBlank="1" showInputMessage="1" showErrorMessage="1" sqref="E1599">
      <formula1>0</formula1>
    </dataValidation>
    <dataValidation type="date" operator="lessThanOrEqual" allowBlank="1" showInputMessage="1" showErrorMessage="1" sqref="C1604">
      <formula1>C1606</formula1>
    </dataValidation>
    <dataValidation type="date" operator="greaterThanOrEqual" allowBlank="1" showInputMessage="1" showErrorMessage="1" sqref="C1606">
      <formula1>C1604</formula1>
    </dataValidation>
    <dataValidation type="list" allowBlank="1" showInputMessage="1" showErrorMessage="1" sqref="F16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10">
      <formula1>0</formula1>
    </dataValidation>
    <dataValidation type="list" allowBlank="1" showInputMessage="1" showErrorMessage="1" sqref="C1610">
      <formula1>UnidadesList</formula1>
    </dataValidation>
    <dataValidation type="decimal" operator="greaterThan" allowBlank="1" showInputMessage="1" showErrorMessage="1" sqref="D1610">
      <formula1>0</formula1>
    </dataValidation>
    <dataValidation type="decimal" operator="greaterThan" allowBlank="1" showInputMessage="1" showErrorMessage="1" sqref="E1610">
      <formula1>0</formula1>
    </dataValidation>
    <dataValidation type="whole" operator="greaterThan" allowBlank="1" showInputMessage="1" showErrorMessage="1" sqref="A1611">
      <formula1>0</formula1>
    </dataValidation>
    <dataValidation type="list" allowBlank="1" showInputMessage="1" showErrorMessage="1" sqref="C1611">
      <formula1>UnidadesList</formula1>
    </dataValidation>
    <dataValidation type="decimal" operator="greaterThan" allowBlank="1" showInputMessage="1" showErrorMessage="1" sqref="D1611">
      <formula1>0</formula1>
    </dataValidation>
    <dataValidation type="decimal" operator="greaterThan" allowBlank="1" showInputMessage="1" showErrorMessage="1" sqref="E1611">
      <formula1>0</formula1>
    </dataValidation>
    <dataValidation type="whole" operator="greaterThan" allowBlank="1" showInputMessage="1" showErrorMessage="1" sqref="A1612">
      <formula1>0</formula1>
    </dataValidation>
    <dataValidation type="list" allowBlank="1" showInputMessage="1" showErrorMessage="1" sqref="C1612">
      <formula1>UnidadesList</formula1>
    </dataValidation>
    <dataValidation type="decimal" operator="greaterThan" allowBlank="1" showInputMessage="1" showErrorMessage="1" sqref="D1612">
      <formula1>0</formula1>
    </dataValidation>
    <dataValidation type="decimal" operator="greaterThan" allowBlank="1" showInputMessage="1" showErrorMessage="1" sqref="E1612">
      <formula1>0</formula1>
    </dataValidation>
    <dataValidation type="whole" operator="greaterThan" allowBlank="1" showInputMessage="1" showErrorMessage="1" sqref="A1613">
      <formula1>0</formula1>
    </dataValidation>
    <dataValidation type="list" allowBlank="1" showInputMessage="1" showErrorMessage="1" sqref="C1613">
      <formula1>UnidadesList</formula1>
    </dataValidation>
    <dataValidation type="decimal" operator="greaterThan" allowBlank="1" showInputMessage="1" showErrorMessage="1" sqref="D1613">
      <formula1>0</formula1>
    </dataValidation>
    <dataValidation type="decimal" operator="greaterThan" allowBlank="1" showInputMessage="1" showErrorMessage="1" sqref="E1613">
      <formula1>0</formula1>
    </dataValidation>
    <dataValidation type="whole" operator="greaterThan" allowBlank="1" showInputMessage="1" showErrorMessage="1" sqref="A1614">
      <formula1>0</formula1>
    </dataValidation>
    <dataValidation type="list" allowBlank="1" showInputMessage="1" showErrorMessage="1" sqref="C1614">
      <formula1>UnidadesList</formula1>
    </dataValidation>
    <dataValidation type="decimal" operator="greaterThan" allowBlank="1" showInputMessage="1" showErrorMessage="1" sqref="D1614">
      <formula1>0</formula1>
    </dataValidation>
    <dataValidation type="decimal" operator="greaterThan" allowBlank="1" showInputMessage="1" showErrorMessage="1" sqref="E1614">
      <formula1>0</formula1>
    </dataValidation>
    <dataValidation type="whole" operator="greaterThan" allowBlank="1" showInputMessage="1" showErrorMessage="1" sqref="A1615">
      <formula1>0</formula1>
    </dataValidation>
    <dataValidation type="list" allowBlank="1" showInputMessage="1" showErrorMessage="1" sqref="C1615">
      <formula1>UnidadesList</formula1>
    </dataValidation>
    <dataValidation type="decimal" operator="greaterThan" allowBlank="1" showInputMessage="1" showErrorMessage="1" sqref="D1615">
      <formula1>0</formula1>
    </dataValidation>
    <dataValidation type="decimal" operator="greaterThan" allowBlank="1" showInputMessage="1" showErrorMessage="1" sqref="E1615">
      <formula1>0</formula1>
    </dataValidation>
    <dataValidation type="whole" operator="greaterThan" allowBlank="1" showInputMessage="1" showErrorMessage="1" sqref="A1616">
      <formula1>0</formula1>
    </dataValidation>
    <dataValidation type="list" allowBlank="1" showInputMessage="1" showErrorMessage="1" sqref="C1616">
      <formula1>UnidadesList</formula1>
    </dataValidation>
    <dataValidation type="decimal" operator="greaterThan" allowBlank="1" showInputMessage="1" showErrorMessage="1" sqref="D1616">
      <formula1>0</formula1>
    </dataValidation>
    <dataValidation type="decimal" operator="greaterThan" allowBlank="1" showInputMessage="1" showErrorMessage="1" sqref="E1616">
      <formula1>0</formula1>
    </dataValidation>
    <dataValidation type="whole" operator="greaterThan" allowBlank="1" showInputMessage="1" showErrorMessage="1" sqref="A1617">
      <formula1>0</formula1>
    </dataValidation>
    <dataValidation type="list" allowBlank="1" showInputMessage="1" showErrorMessage="1" sqref="C1617">
      <formula1>UnidadesList</formula1>
    </dataValidation>
    <dataValidation type="decimal" operator="greaterThan" allowBlank="1" showInputMessage="1" showErrorMessage="1" sqref="D1617">
      <formula1>0</formula1>
    </dataValidation>
    <dataValidation type="decimal" operator="greaterThan" allowBlank="1" showInputMessage="1" showErrorMessage="1" sqref="E1617">
      <formula1>0</formula1>
    </dataValidation>
    <dataValidation type="whole" operator="greaterThan" allowBlank="1" showInputMessage="1" showErrorMessage="1" sqref="A1618">
      <formula1>0</formula1>
    </dataValidation>
    <dataValidation type="list" allowBlank="1" showInputMessage="1" showErrorMessage="1" sqref="C1618">
      <formula1>UnidadesList</formula1>
    </dataValidation>
    <dataValidation type="decimal" operator="greaterThan" allowBlank="1" showInputMessage="1" showErrorMessage="1" sqref="D1618">
      <formula1>0</formula1>
    </dataValidation>
    <dataValidation type="decimal" operator="greaterThan" allowBlank="1" showInputMessage="1" showErrorMessage="1" sqref="E1618">
      <formula1>0</formula1>
    </dataValidation>
    <dataValidation type="whole" operator="greaterThan" allowBlank="1" showInputMessage="1" showErrorMessage="1" sqref="A1619">
      <formula1>0</formula1>
    </dataValidation>
    <dataValidation type="list" allowBlank="1" showInputMessage="1" showErrorMessage="1" sqref="C1619">
      <formula1>UnidadesList</formula1>
    </dataValidation>
    <dataValidation type="decimal" operator="greaterThan" allowBlank="1" showInputMessage="1" showErrorMessage="1" sqref="D1619">
      <formula1>0</formula1>
    </dataValidation>
    <dataValidation type="decimal" operator="greaterThan" allowBlank="1" showInputMessage="1" showErrorMessage="1" sqref="E1619">
      <formula1>0</formula1>
    </dataValidation>
    <dataValidation type="whole" operator="greaterThan" allowBlank="1" showInputMessage="1" showErrorMessage="1" sqref="A1620">
      <formula1>0</formula1>
    </dataValidation>
    <dataValidation type="list" allowBlank="1" showInputMessage="1" showErrorMessage="1" sqref="C1620">
      <formula1>UnidadesList</formula1>
    </dataValidation>
    <dataValidation type="decimal" operator="greaterThan" allowBlank="1" showInputMessage="1" showErrorMessage="1" sqref="D1620">
      <formula1>0</formula1>
    </dataValidation>
    <dataValidation type="decimal" operator="greaterThan" allowBlank="1" showInputMessage="1" showErrorMessage="1" sqref="E1620">
      <formula1>0</formula1>
    </dataValidation>
    <dataValidation type="whole" operator="greaterThan" allowBlank="1" showInputMessage="1" showErrorMessage="1" sqref="A1621">
      <formula1>0</formula1>
    </dataValidation>
    <dataValidation type="list" allowBlank="1" showInputMessage="1" showErrorMessage="1" sqref="C1621">
      <formula1>UnidadesList</formula1>
    </dataValidation>
    <dataValidation type="decimal" operator="greaterThan" allowBlank="1" showInputMessage="1" showErrorMessage="1" sqref="D1621">
      <formula1>0</formula1>
    </dataValidation>
    <dataValidation type="decimal" operator="greaterThan" allowBlank="1" showInputMessage="1" showErrorMessage="1" sqref="E1621">
      <formula1>0</formula1>
    </dataValidation>
    <dataValidation type="whole" operator="greaterThan" allowBlank="1" showInputMessage="1" showErrorMessage="1" sqref="A1622">
      <formula1>0</formula1>
    </dataValidation>
    <dataValidation type="list" allowBlank="1" showInputMessage="1" showErrorMessage="1" sqref="C1622">
      <formula1>UnidadesList</formula1>
    </dataValidation>
    <dataValidation type="decimal" operator="greaterThan" allowBlank="1" showInputMessage="1" showErrorMessage="1" sqref="D1622">
      <formula1>0</formula1>
    </dataValidation>
    <dataValidation type="decimal" operator="greaterThan" allowBlank="1" showInputMessage="1" showErrorMessage="1" sqref="E1622">
      <formula1>0</formula1>
    </dataValidation>
    <dataValidation type="whole" operator="greaterThan" allowBlank="1" showInputMessage="1" showErrorMessage="1" sqref="A1623">
      <formula1>0</formula1>
    </dataValidation>
    <dataValidation type="list" allowBlank="1" showInputMessage="1" showErrorMessage="1" sqref="C1623">
      <formula1>UnidadesList</formula1>
    </dataValidation>
    <dataValidation type="decimal" operator="greaterThan" allowBlank="1" showInputMessage="1" showErrorMessage="1" sqref="D1623">
      <formula1>0</formula1>
    </dataValidation>
    <dataValidation type="decimal" operator="greaterThan" allowBlank="1" showInputMessage="1" showErrorMessage="1" sqref="E1623">
      <formula1>0</formula1>
    </dataValidation>
    <dataValidation type="whole" operator="greaterThan" allowBlank="1" showInputMessage="1" showErrorMessage="1" sqref="A1624">
      <formula1>0</formula1>
    </dataValidation>
    <dataValidation type="list" allowBlank="1" showInputMessage="1" showErrorMessage="1" sqref="C1624">
      <formula1>UnidadesList</formula1>
    </dataValidation>
    <dataValidation type="decimal" operator="greaterThan" allowBlank="1" showInputMessage="1" showErrorMessage="1" sqref="D1624">
      <formula1>0</formula1>
    </dataValidation>
    <dataValidation type="decimal" operator="greaterThan" allowBlank="1" showInputMessage="1" showErrorMessage="1" sqref="E1624">
      <formula1>0</formula1>
    </dataValidation>
    <dataValidation type="whole" operator="greaterThan" allowBlank="1" showInputMessage="1" showErrorMessage="1" sqref="A1625">
      <formula1>0</formula1>
    </dataValidation>
    <dataValidation type="list" allowBlank="1" showInputMessage="1" showErrorMessage="1" sqref="C1625">
      <formula1>UnidadesList</formula1>
    </dataValidation>
    <dataValidation type="decimal" operator="greaterThan" allowBlank="1" showInputMessage="1" showErrorMessage="1" sqref="D1625">
      <formula1>0</formula1>
    </dataValidation>
    <dataValidation type="decimal" operator="greaterThan" allowBlank="1" showInputMessage="1" showErrorMessage="1" sqref="E1625">
      <formula1>0</formula1>
    </dataValidation>
    <dataValidation type="whole" operator="greaterThan" allowBlank="1" showInputMessage="1" showErrorMessage="1" sqref="A1626">
      <formula1>0</formula1>
    </dataValidation>
    <dataValidation type="list" allowBlank="1" showInputMessage="1" showErrorMessage="1" sqref="C1626">
      <formula1>UnidadesList</formula1>
    </dataValidation>
    <dataValidation type="decimal" operator="greaterThan" allowBlank="1" showInputMessage="1" showErrorMessage="1" sqref="D1626">
      <formula1>0</formula1>
    </dataValidation>
    <dataValidation type="decimal" operator="greaterThan" allowBlank="1" showInputMessage="1" showErrorMessage="1" sqref="E1626">
      <formula1>0</formula1>
    </dataValidation>
    <dataValidation type="whole" operator="greaterThan" allowBlank="1" showInputMessage="1" showErrorMessage="1" sqref="A1627">
      <formula1>0</formula1>
    </dataValidation>
    <dataValidation type="list" allowBlank="1" showInputMessage="1" showErrorMessage="1" sqref="C1627">
      <formula1>UnidadesList</formula1>
    </dataValidation>
    <dataValidation type="decimal" operator="greaterThan" allowBlank="1" showInputMessage="1" showErrorMessage="1" sqref="D1627">
      <formula1>0</formula1>
    </dataValidation>
    <dataValidation type="decimal" operator="greaterThan" allowBlank="1" showInputMessage="1" showErrorMessage="1" sqref="E1627">
      <formula1>0</formula1>
    </dataValidation>
    <dataValidation type="whole" operator="greaterThan" allowBlank="1" showInputMessage="1" showErrorMessage="1" sqref="A1628">
      <formula1>0</formula1>
    </dataValidation>
    <dataValidation type="list" allowBlank="1" showInputMessage="1" showErrorMessage="1" sqref="C1628">
      <formula1>UnidadesList</formula1>
    </dataValidation>
    <dataValidation type="decimal" operator="greaterThan" allowBlank="1" showInputMessage="1" showErrorMessage="1" sqref="D1628">
      <formula1>0</formula1>
    </dataValidation>
    <dataValidation type="decimal" operator="greaterThan" allowBlank="1" showInputMessage="1" showErrorMessage="1" sqref="E1628">
      <formula1>0</formula1>
    </dataValidation>
    <dataValidation type="whole" operator="greaterThan" allowBlank="1" showInputMessage="1" showErrorMessage="1" sqref="A1629">
      <formula1>0</formula1>
    </dataValidation>
    <dataValidation type="list" allowBlank="1" showInputMessage="1" showErrorMessage="1" sqref="C1629">
      <formula1>UnidadesList</formula1>
    </dataValidation>
    <dataValidation type="decimal" operator="greaterThan" allowBlank="1" showInputMessage="1" showErrorMessage="1" sqref="D1629">
      <formula1>0</formula1>
    </dataValidation>
    <dataValidation type="decimal" operator="greaterThan" allowBlank="1" showInputMessage="1" showErrorMessage="1" sqref="E1629">
      <formula1>0</formula1>
    </dataValidation>
    <dataValidation type="whole" operator="greaterThan" allowBlank="1" showInputMessage="1" showErrorMessage="1" sqref="A1630">
      <formula1>0</formula1>
    </dataValidation>
    <dataValidation type="list" allowBlank="1" showInputMessage="1" showErrorMessage="1" sqref="C1630">
      <formula1>UnidadesList</formula1>
    </dataValidation>
    <dataValidation type="decimal" operator="greaterThan" allowBlank="1" showInputMessage="1" showErrorMessage="1" sqref="D1630">
      <formula1>0</formula1>
    </dataValidation>
    <dataValidation type="decimal" operator="greaterThan" allowBlank="1" showInputMessage="1" showErrorMessage="1" sqref="E1630">
      <formula1>0</formula1>
    </dataValidation>
    <dataValidation type="whole" operator="greaterThan" allowBlank="1" showInputMessage="1" showErrorMessage="1" sqref="A1631">
      <formula1>0</formula1>
    </dataValidation>
    <dataValidation type="list" allowBlank="1" showInputMessage="1" showErrorMessage="1" sqref="C1631">
      <formula1>UnidadesList</formula1>
    </dataValidation>
    <dataValidation type="decimal" operator="greaterThan" allowBlank="1" showInputMessage="1" showErrorMessage="1" sqref="D1631">
      <formula1>0</formula1>
    </dataValidation>
    <dataValidation type="decimal" operator="greaterThan" allowBlank="1" showInputMessage="1" showErrorMessage="1" sqref="E1631">
      <formula1>0</formula1>
    </dataValidation>
    <dataValidation type="whole" operator="greaterThan" allowBlank="1" showInputMessage="1" showErrorMessage="1" sqref="A1632">
      <formula1>0</formula1>
    </dataValidation>
    <dataValidation type="list" allowBlank="1" showInputMessage="1" showErrorMessage="1" sqref="C1632">
      <formula1>UnidadesList</formula1>
    </dataValidation>
    <dataValidation type="decimal" operator="greaterThan" allowBlank="1" showInputMessage="1" showErrorMessage="1" sqref="D1632">
      <formula1>0</formula1>
    </dataValidation>
    <dataValidation type="decimal" operator="greaterThan" allowBlank="1" showInputMessage="1" showErrorMessage="1" sqref="E1632">
      <formula1>0</formula1>
    </dataValidation>
    <dataValidation type="whole" operator="greaterThan" allowBlank="1" showInputMessage="1" showErrorMessage="1" sqref="A1633">
      <formula1>0</formula1>
    </dataValidation>
    <dataValidation type="list" allowBlank="1" showInputMessage="1" showErrorMessage="1" sqref="C1633">
      <formula1>UnidadesList</formula1>
    </dataValidation>
    <dataValidation type="decimal" operator="greaterThan" allowBlank="1" showInputMessage="1" showErrorMessage="1" sqref="D1633">
      <formula1>0</formula1>
    </dataValidation>
    <dataValidation type="decimal" operator="greaterThan" allowBlank="1" showInputMessage="1" showErrorMessage="1" sqref="E1633">
      <formula1>0</formula1>
    </dataValidation>
    <dataValidation type="whole" operator="greaterThan" allowBlank="1" showInputMessage="1" showErrorMessage="1" sqref="A1634">
      <formula1>0</formula1>
    </dataValidation>
    <dataValidation type="list" allowBlank="1" showInputMessage="1" showErrorMessage="1" sqref="C1634">
      <formula1>UnidadesList</formula1>
    </dataValidation>
    <dataValidation type="decimal" operator="greaterThan" allowBlank="1" showInputMessage="1" showErrorMessage="1" sqref="D1634">
      <formula1>0</formula1>
    </dataValidation>
    <dataValidation type="decimal" operator="greaterThan" allowBlank="1" showInputMessage="1" showErrorMessage="1" sqref="E1634">
      <formula1>0</formula1>
    </dataValidation>
    <dataValidation type="whole" operator="greaterThan" allowBlank="1" showInputMessage="1" showErrorMessage="1" sqref="A1635">
      <formula1>0</formula1>
    </dataValidation>
    <dataValidation type="list" allowBlank="1" showInputMessage="1" showErrorMessage="1" sqref="C1635">
      <formula1>UnidadesList</formula1>
    </dataValidation>
    <dataValidation type="decimal" operator="greaterThan" allowBlank="1" showInputMessage="1" showErrorMessage="1" sqref="D1635">
      <formula1>0</formula1>
    </dataValidation>
    <dataValidation type="decimal" operator="greaterThan" allowBlank="1" showInputMessage="1" showErrorMessage="1" sqref="E1635">
      <formula1>0</formula1>
    </dataValidation>
    <dataValidation type="whole" operator="greaterThan" allowBlank="1" showInputMessage="1" showErrorMessage="1" sqref="A1636">
      <formula1>0</formula1>
    </dataValidation>
    <dataValidation type="list" allowBlank="1" showInputMessage="1" showErrorMessage="1" sqref="C1636">
      <formula1>UnidadesList</formula1>
    </dataValidation>
    <dataValidation type="decimal" operator="greaterThan" allowBlank="1" showInputMessage="1" showErrorMessage="1" sqref="D1636">
      <formula1>0</formula1>
    </dataValidation>
    <dataValidation type="decimal" operator="greaterThan" allowBlank="1" showInputMessage="1" showErrorMessage="1" sqref="E1636">
      <formula1>0</formula1>
    </dataValidation>
    <dataValidation type="whole" operator="greaterThan" allowBlank="1" showInputMessage="1" showErrorMessage="1" sqref="A1637">
      <formula1>0</formula1>
    </dataValidation>
    <dataValidation type="list" allowBlank="1" showInputMessage="1" showErrorMessage="1" sqref="C1637">
      <formula1>UnidadesList</formula1>
    </dataValidation>
    <dataValidation type="decimal" operator="greaterThan" allowBlank="1" showInputMessage="1" showErrorMessage="1" sqref="D1637">
      <formula1>0</formula1>
    </dataValidation>
    <dataValidation type="decimal" operator="greaterThan" allowBlank="1" showInputMessage="1" showErrorMessage="1" sqref="E1637">
      <formula1>0</formula1>
    </dataValidation>
    <dataValidation type="whole" operator="greaterThan" allowBlank="1" showInputMessage="1" showErrorMessage="1" sqref="A1638">
      <formula1>0</formula1>
    </dataValidation>
    <dataValidation type="list" allowBlank="1" showInputMessage="1" showErrorMessage="1" sqref="C1638">
      <formula1>UnidadesList</formula1>
    </dataValidation>
    <dataValidation type="decimal" operator="greaterThan" allowBlank="1" showInputMessage="1" showErrorMessage="1" sqref="D1638">
      <formula1>0</formula1>
    </dataValidation>
    <dataValidation type="decimal" operator="greaterThan" allowBlank="1" showInputMessage="1" showErrorMessage="1" sqref="E1638">
      <formula1>0</formula1>
    </dataValidation>
    <dataValidation type="whole" operator="greaterThan" allowBlank="1" showInputMessage="1" showErrorMessage="1" sqref="A1639">
      <formula1>0</formula1>
    </dataValidation>
    <dataValidation type="list" allowBlank="1" showInputMessage="1" showErrorMessage="1" sqref="C1639">
      <formula1>UnidadesList</formula1>
    </dataValidation>
    <dataValidation type="decimal" operator="greaterThan" allowBlank="1" showInputMessage="1" showErrorMessage="1" sqref="D1639">
      <formula1>0</formula1>
    </dataValidation>
    <dataValidation type="decimal" operator="greaterThan" allowBlank="1" showInputMessage="1" showErrorMessage="1" sqref="E1639">
      <formula1>0</formula1>
    </dataValidation>
    <dataValidation type="whole" operator="greaterThan" allowBlank="1" showInputMessage="1" showErrorMessage="1" sqref="A1640">
      <formula1>0</formula1>
    </dataValidation>
    <dataValidation type="list" allowBlank="1" showInputMessage="1" showErrorMessage="1" sqref="C1640">
      <formula1>UnidadesList</formula1>
    </dataValidation>
    <dataValidation type="decimal" operator="greaterThan" allowBlank="1" showInputMessage="1" showErrorMessage="1" sqref="D1640">
      <formula1>0</formula1>
    </dataValidation>
    <dataValidation type="decimal" operator="greaterThan" allowBlank="1" showInputMessage="1" showErrorMessage="1" sqref="E1640">
      <formula1>0</formula1>
    </dataValidation>
    <dataValidation type="whole" operator="greaterThan" allowBlank="1" showInputMessage="1" showErrorMessage="1" sqref="A1641">
      <formula1>0</formula1>
    </dataValidation>
    <dataValidation type="list" allowBlank="1" showInputMessage="1" showErrorMessage="1" sqref="C1641">
      <formula1>UnidadesList</formula1>
    </dataValidation>
    <dataValidation type="decimal" operator="greaterThan" allowBlank="1" showInputMessage="1" showErrorMessage="1" sqref="D1641">
      <formula1>0</formula1>
    </dataValidation>
    <dataValidation type="decimal" operator="greaterThan" allowBlank="1" showInputMessage="1" showErrorMessage="1" sqref="E1641">
      <formula1>0</formula1>
    </dataValidation>
    <dataValidation type="whole" operator="greaterThan" allowBlank="1" showInputMessage="1" showErrorMessage="1" sqref="A1642">
      <formula1>0</formula1>
    </dataValidation>
    <dataValidation type="list" allowBlank="1" showInputMessage="1" showErrorMessage="1" sqref="C1642">
      <formula1>UnidadesList</formula1>
    </dataValidation>
    <dataValidation type="decimal" operator="greaterThan" allowBlank="1" showInputMessage="1" showErrorMessage="1" sqref="D1642">
      <formula1>0</formula1>
    </dataValidation>
    <dataValidation type="decimal" operator="greaterThan" allowBlank="1" showInputMessage="1" showErrorMessage="1" sqref="E1642">
      <formula1>0</formula1>
    </dataValidation>
    <dataValidation type="whole" operator="greaterThan" allowBlank="1" showInputMessage="1" showErrorMessage="1" sqref="A1643">
      <formula1>0</formula1>
    </dataValidation>
    <dataValidation type="list" allowBlank="1" showInputMessage="1" showErrorMessage="1" sqref="C1643">
      <formula1>UnidadesList</formula1>
    </dataValidation>
    <dataValidation type="decimal" operator="greaterThan" allowBlank="1" showInputMessage="1" showErrorMessage="1" sqref="D1643">
      <formula1>0</formula1>
    </dataValidation>
    <dataValidation type="decimal" operator="greaterThan" allowBlank="1" showInputMessage="1" showErrorMessage="1" sqref="E1643">
      <formula1>0</formula1>
    </dataValidation>
    <dataValidation type="whole" operator="greaterThan" allowBlank="1" showInputMessage="1" showErrorMessage="1" sqref="A1644">
      <formula1>0</formula1>
    </dataValidation>
    <dataValidation type="list" allowBlank="1" showInputMessage="1" showErrorMessage="1" sqref="C1644">
      <formula1>UnidadesList</formula1>
    </dataValidation>
    <dataValidation type="decimal" operator="greaterThan" allowBlank="1" showInputMessage="1" showErrorMessage="1" sqref="D1644">
      <formula1>0</formula1>
    </dataValidation>
    <dataValidation type="decimal" operator="greaterThan" allowBlank="1" showInputMessage="1" showErrorMessage="1" sqref="E1644">
      <formula1>0</formula1>
    </dataValidation>
    <dataValidation type="whole" operator="greaterThan" allowBlank="1" showInputMessage="1" showErrorMessage="1" sqref="A1645">
      <formula1>0</formula1>
    </dataValidation>
    <dataValidation type="list" allowBlank="1" showInputMessage="1" showErrorMessage="1" sqref="C1645">
      <formula1>UnidadesList</formula1>
    </dataValidation>
    <dataValidation type="decimal" operator="greaterThan" allowBlank="1" showInputMessage="1" showErrorMessage="1" sqref="D1645">
      <formula1>0</formula1>
    </dataValidation>
    <dataValidation type="decimal" operator="greaterThan" allowBlank="1" showInputMessage="1" showErrorMessage="1" sqref="E1645">
      <formula1>0</formula1>
    </dataValidation>
    <dataValidation type="whole" operator="greaterThan" allowBlank="1" showInputMessage="1" showErrorMessage="1" sqref="A1646">
      <formula1>0</formula1>
    </dataValidation>
    <dataValidation type="list" allowBlank="1" showInputMessage="1" showErrorMessage="1" sqref="C1646">
      <formula1>UnidadesList</formula1>
    </dataValidation>
    <dataValidation type="decimal" operator="greaterThan" allowBlank="1" showInputMessage="1" showErrorMessage="1" sqref="D1646">
      <formula1>0</formula1>
    </dataValidation>
    <dataValidation type="decimal" operator="greaterThan" allowBlank="1" showInputMessage="1" showErrorMessage="1" sqref="E1646">
      <formula1>0</formula1>
    </dataValidation>
    <dataValidation type="whole" operator="greaterThan" allowBlank="1" showInputMessage="1" showErrorMessage="1" sqref="A1647">
      <formula1>0</formula1>
    </dataValidation>
    <dataValidation type="list" allowBlank="1" showInputMessage="1" showErrorMessage="1" sqref="C1647">
      <formula1>UnidadesList</formula1>
    </dataValidation>
    <dataValidation type="decimal" operator="greaterThan" allowBlank="1" showInputMessage="1" showErrorMessage="1" sqref="D1647">
      <formula1>0</formula1>
    </dataValidation>
    <dataValidation type="decimal" operator="greaterThan" allowBlank="1" showInputMessage="1" showErrorMessage="1" sqref="E1647">
      <formula1>0</formula1>
    </dataValidation>
    <dataValidation type="whole" operator="greaterThan" allowBlank="1" showInputMessage="1" showErrorMessage="1" sqref="A1648">
      <formula1>0</formula1>
    </dataValidation>
    <dataValidation type="list" allowBlank="1" showInputMessage="1" showErrorMessage="1" sqref="C1648">
      <formula1>UnidadesList</formula1>
    </dataValidation>
    <dataValidation type="decimal" operator="greaterThan" allowBlank="1" showInputMessage="1" showErrorMessage="1" sqref="D1648">
      <formula1>0</formula1>
    </dataValidation>
    <dataValidation type="decimal" operator="greaterThan" allowBlank="1" showInputMessage="1" showErrorMessage="1" sqref="E1648">
      <formula1>0</formula1>
    </dataValidation>
    <dataValidation type="whole" operator="greaterThan" allowBlank="1" showInputMessage="1" showErrorMessage="1" sqref="A1649">
      <formula1>0</formula1>
    </dataValidation>
    <dataValidation type="list" allowBlank="1" showInputMessage="1" showErrorMessage="1" sqref="C1649">
      <formula1>UnidadesList</formula1>
    </dataValidation>
    <dataValidation type="decimal" operator="greaterThan" allowBlank="1" showInputMessage="1" showErrorMessage="1" sqref="D1649">
      <formula1>0</formula1>
    </dataValidation>
    <dataValidation type="decimal" operator="greaterThan" allowBlank="1" showInputMessage="1" showErrorMessage="1" sqref="E1649">
      <formula1>0</formula1>
    </dataValidation>
    <dataValidation type="whole" operator="greaterThan" allowBlank="1" showInputMessage="1" showErrorMessage="1" sqref="A1650">
      <formula1>0</formula1>
    </dataValidation>
    <dataValidation type="list" allowBlank="1" showInputMessage="1" showErrorMessage="1" sqref="C1650">
      <formula1>UnidadesList</formula1>
    </dataValidation>
    <dataValidation type="decimal" operator="greaterThan" allowBlank="1" showInputMessage="1" showErrorMessage="1" sqref="D1650">
      <formula1>0</formula1>
    </dataValidation>
    <dataValidation type="decimal" operator="greaterThan" allowBlank="1" showInputMessage="1" showErrorMessage="1" sqref="E1650">
      <formula1>0</formula1>
    </dataValidation>
    <dataValidation type="whole" operator="greaterThan" allowBlank="1" showInputMessage="1" showErrorMessage="1" sqref="A1651">
      <formula1>0</formula1>
    </dataValidation>
    <dataValidation type="list" allowBlank="1" showInputMessage="1" showErrorMessage="1" sqref="C1651">
      <formula1>UnidadesList</formula1>
    </dataValidation>
    <dataValidation type="decimal" operator="greaterThan" allowBlank="1" showInputMessage="1" showErrorMessage="1" sqref="D1651">
      <formula1>0</formula1>
    </dataValidation>
    <dataValidation type="decimal" operator="greaterThan" allowBlank="1" showInputMessage="1" showErrorMessage="1" sqref="E1651">
      <formula1>0</formula1>
    </dataValidation>
    <dataValidation type="whole" operator="greaterThan" allowBlank="1" showInputMessage="1" showErrorMessage="1" sqref="A1652">
      <formula1>0</formula1>
    </dataValidation>
    <dataValidation type="list" allowBlank="1" showInputMessage="1" showErrorMessage="1" sqref="C1652">
      <formula1>UnidadesList</formula1>
    </dataValidation>
    <dataValidation type="decimal" operator="greaterThan" allowBlank="1" showInputMessage="1" showErrorMessage="1" sqref="D1652">
      <formula1>0</formula1>
    </dataValidation>
    <dataValidation type="decimal" operator="greaterThan" allowBlank="1" showInputMessage="1" showErrorMessage="1" sqref="E1652">
      <formula1>0</formula1>
    </dataValidation>
    <dataValidation type="whole" operator="greaterThan" allowBlank="1" showInputMessage="1" showErrorMessage="1" sqref="A1653">
      <formula1>0</formula1>
    </dataValidation>
    <dataValidation type="list" allowBlank="1" showInputMessage="1" showErrorMessage="1" sqref="C1653">
      <formula1>UnidadesList</formula1>
    </dataValidation>
    <dataValidation type="decimal" operator="greaterThan" allowBlank="1" showInputMessage="1" showErrorMessage="1" sqref="D1653">
      <formula1>0</formula1>
    </dataValidation>
    <dataValidation type="decimal" operator="greaterThan" allowBlank="1" showInputMessage="1" showErrorMessage="1" sqref="E1653">
      <formula1>0</formula1>
    </dataValidation>
    <dataValidation type="whole" operator="greaterThan" allowBlank="1" showInputMessage="1" showErrorMessage="1" sqref="A1654">
      <formula1>0</formula1>
    </dataValidation>
    <dataValidation type="list" allowBlank="1" showInputMessage="1" showErrorMessage="1" sqref="C1654">
      <formula1>UnidadesList</formula1>
    </dataValidation>
    <dataValidation type="decimal" operator="greaterThan" allowBlank="1" showInputMessage="1" showErrorMessage="1" sqref="D1654">
      <formula1>0</formula1>
    </dataValidation>
    <dataValidation type="decimal" operator="greaterThan" allowBlank="1" showInputMessage="1" showErrorMessage="1" sqref="E1654">
      <formula1>0</formula1>
    </dataValidation>
    <dataValidation type="whole" operator="greaterThan" allowBlank="1" showInputMessage="1" showErrorMessage="1" sqref="A1655">
      <formula1>0</formula1>
    </dataValidation>
    <dataValidation type="list" allowBlank="1" showInputMessage="1" showErrorMessage="1" sqref="C1655">
      <formula1>UnidadesList</formula1>
    </dataValidation>
    <dataValidation type="decimal" operator="greaterThan" allowBlank="1" showInputMessage="1" showErrorMessage="1" sqref="D1655">
      <formula1>0</formula1>
    </dataValidation>
    <dataValidation type="decimal" operator="greaterThan" allowBlank="1" showInputMessage="1" showErrorMessage="1" sqref="E1655">
      <formula1>0</formula1>
    </dataValidation>
    <dataValidation type="date" operator="lessThanOrEqual" allowBlank="1" showInputMessage="1" showErrorMessage="1" sqref="C1660">
      <formula1>C1662</formula1>
    </dataValidation>
    <dataValidation type="date" operator="greaterThanOrEqual" allowBlank="1" showInputMessage="1" showErrorMessage="1" sqref="C1662">
      <formula1>C1660</formula1>
    </dataValidation>
    <dataValidation type="list" allowBlank="1" showInputMessage="1" showErrorMessage="1" sqref="F16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66">
      <formula1>0</formula1>
    </dataValidation>
    <dataValidation type="list" allowBlank="1" showInputMessage="1" showErrorMessage="1" sqref="C1666">
      <formula1>UnidadesList</formula1>
    </dataValidation>
    <dataValidation type="decimal" operator="greaterThan" allowBlank="1" showInputMessage="1" showErrorMessage="1" sqref="D1666">
      <formula1>0</formula1>
    </dataValidation>
    <dataValidation type="decimal" operator="greaterThan" allowBlank="1" showInputMessage="1" showErrorMessage="1" sqref="E1666">
      <formula1>0</formula1>
    </dataValidation>
    <dataValidation type="whole" operator="greaterThan" allowBlank="1" showInputMessage="1" showErrorMessage="1" sqref="A1667">
      <formula1>0</formula1>
    </dataValidation>
    <dataValidation type="list" allowBlank="1" showInputMessage="1" showErrorMessage="1" sqref="C1667">
      <formula1>UnidadesList</formula1>
    </dataValidation>
    <dataValidation type="decimal" operator="greaterThan" allowBlank="1" showInputMessage="1" showErrorMessage="1" sqref="D1667">
      <formula1>0</formula1>
    </dataValidation>
    <dataValidation type="decimal" operator="greaterThan" allowBlank="1" showInputMessage="1" showErrorMessage="1" sqref="E1667">
      <formula1>0</formula1>
    </dataValidation>
    <dataValidation type="whole" operator="greaterThan" allowBlank="1" showInputMessage="1" showErrorMessage="1" sqref="A1668">
      <formula1>0</formula1>
    </dataValidation>
    <dataValidation type="list" allowBlank="1" showInputMessage="1" showErrorMessage="1" sqref="C1668">
      <formula1>UnidadesList</formula1>
    </dataValidation>
    <dataValidation type="decimal" operator="greaterThan" allowBlank="1" showInputMessage="1" showErrorMessage="1" sqref="D1668">
      <formula1>0</formula1>
    </dataValidation>
    <dataValidation type="decimal" operator="greaterThan" allowBlank="1" showInputMessage="1" showErrorMessage="1" sqref="E1668">
      <formula1>0</formula1>
    </dataValidation>
    <dataValidation type="whole" operator="greaterThan" allowBlank="1" showInputMessage="1" showErrorMessage="1" sqref="A1669">
      <formula1>0</formula1>
    </dataValidation>
    <dataValidation type="list" allowBlank="1" showInputMessage="1" showErrorMessage="1" sqref="C1669">
      <formula1>UnidadesList</formula1>
    </dataValidation>
    <dataValidation type="decimal" operator="greaterThan" allowBlank="1" showInputMessage="1" showErrorMessage="1" sqref="D1669">
      <formula1>0</formula1>
    </dataValidation>
    <dataValidation type="decimal" operator="greaterThan" allowBlank="1" showInputMessage="1" showErrorMessage="1" sqref="E1669">
      <formula1>0</formula1>
    </dataValidation>
    <dataValidation type="whole" operator="greaterThan" allowBlank="1" showInputMessage="1" showErrorMessage="1" sqref="A1670">
      <formula1>0</formula1>
    </dataValidation>
    <dataValidation type="list" allowBlank="1" showInputMessage="1" showErrorMessage="1" sqref="C1670">
      <formula1>UnidadesList</formula1>
    </dataValidation>
    <dataValidation type="decimal" operator="greaterThan" allowBlank="1" showInputMessage="1" showErrorMessage="1" sqref="D1670">
      <formula1>0</formula1>
    </dataValidation>
    <dataValidation type="decimal" operator="greaterThan" allowBlank="1" showInputMessage="1" showErrorMessage="1" sqref="E1670">
      <formula1>0</formula1>
    </dataValidation>
    <dataValidation type="date" operator="lessThanOrEqual" allowBlank="1" showInputMessage="1" showErrorMessage="1" sqref="C1675">
      <formula1>C1677</formula1>
    </dataValidation>
    <dataValidation type="date" operator="greaterThanOrEqual" allowBlank="1" showInputMessage="1" showErrorMessage="1" sqref="C1677">
      <formula1>C1675</formula1>
    </dataValidation>
    <dataValidation type="list" allowBlank="1" showInputMessage="1" showErrorMessage="1" sqref="F16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81">
      <formula1>0</formula1>
    </dataValidation>
    <dataValidation type="list" allowBlank="1" showInputMessage="1" showErrorMessage="1" sqref="C1681">
      <formula1>UnidadesList</formula1>
    </dataValidation>
    <dataValidation type="decimal" operator="greaterThan" allowBlank="1" showInputMessage="1" showErrorMessage="1" sqref="D1681">
      <formula1>0</formula1>
    </dataValidation>
    <dataValidation type="decimal" operator="greaterThan" allowBlank="1" showInputMessage="1" showErrorMessage="1" sqref="E1681">
      <formula1>0</formula1>
    </dataValidation>
    <dataValidation type="whole" operator="greaterThan" allowBlank="1" showInputMessage="1" showErrorMessage="1" sqref="A1682">
      <formula1>0</formula1>
    </dataValidation>
    <dataValidation type="list" allowBlank="1" showInputMessage="1" showErrorMessage="1" sqref="C1682">
      <formula1>UnidadesList</formula1>
    </dataValidation>
    <dataValidation type="decimal" operator="greaterThan" allowBlank="1" showInputMessage="1" showErrorMessage="1" sqref="D1682">
      <formula1>0</formula1>
    </dataValidation>
    <dataValidation type="decimal" operator="greaterThan" allowBlank="1" showInputMessage="1" showErrorMessage="1" sqref="E1682">
      <formula1>0</formula1>
    </dataValidation>
    <dataValidation type="whole" operator="greaterThan" allowBlank="1" showInputMessage="1" showErrorMessage="1" sqref="A1683">
      <formula1>0</formula1>
    </dataValidation>
    <dataValidation type="list" allowBlank="1" showInputMessage="1" showErrorMessage="1" sqref="C1683">
      <formula1>UnidadesList</formula1>
    </dataValidation>
    <dataValidation type="decimal" operator="greaterThan" allowBlank="1" showInputMessage="1" showErrorMessage="1" sqref="D1683">
      <formula1>0</formula1>
    </dataValidation>
    <dataValidation type="decimal" operator="greaterThan" allowBlank="1" showInputMessage="1" showErrorMessage="1" sqref="E1683">
      <formula1>0</formula1>
    </dataValidation>
    <dataValidation type="whole" operator="greaterThan" allowBlank="1" showInputMessage="1" showErrorMessage="1" sqref="A1684">
      <formula1>0</formula1>
    </dataValidation>
    <dataValidation type="list" allowBlank="1" showInputMessage="1" showErrorMessage="1" sqref="C1684">
      <formula1>UnidadesList</formula1>
    </dataValidation>
    <dataValidation type="decimal" operator="greaterThan" allowBlank="1" showInputMessage="1" showErrorMessage="1" sqref="D1684">
      <formula1>0</formula1>
    </dataValidation>
    <dataValidation type="decimal" operator="greaterThan" allowBlank="1" showInputMessage="1" showErrorMessage="1" sqref="E1684">
      <formula1>0</formula1>
    </dataValidation>
    <dataValidation type="whole" operator="greaterThan" allowBlank="1" showInputMessage="1" showErrorMessage="1" sqref="A1685">
      <formula1>0</formula1>
    </dataValidation>
    <dataValidation type="list" allowBlank="1" showInputMessage="1" showErrorMessage="1" sqref="C1685">
      <formula1>UnidadesList</formula1>
    </dataValidation>
    <dataValidation type="decimal" operator="greaterThan" allowBlank="1" showInputMessage="1" showErrorMessage="1" sqref="D1685">
      <formula1>0</formula1>
    </dataValidation>
    <dataValidation type="decimal" operator="greaterThan" allowBlank="1" showInputMessage="1" showErrorMessage="1" sqref="E1685">
      <formula1>0</formula1>
    </dataValidation>
    <dataValidation type="date" operator="lessThanOrEqual" allowBlank="1" showInputMessage="1" showErrorMessage="1" sqref="C1690">
      <formula1>C1692</formula1>
    </dataValidation>
    <dataValidation type="date" operator="greaterThanOrEqual" allowBlank="1" showInputMessage="1" showErrorMessage="1" sqref="C1692">
      <formula1>C1690</formula1>
    </dataValidation>
    <dataValidation type="list" allowBlank="1" showInputMessage="1" showErrorMessage="1" sqref="F16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96">
      <formula1>0</formula1>
    </dataValidation>
    <dataValidation type="list" allowBlank="1" showInputMessage="1" showErrorMessage="1" sqref="C1696">
      <formula1>UnidadesList</formula1>
    </dataValidation>
    <dataValidation type="decimal" operator="greaterThan" allowBlank="1" showInputMessage="1" showErrorMessage="1" sqref="D1696">
      <formula1>0</formula1>
    </dataValidation>
    <dataValidation type="decimal" operator="greaterThan" allowBlank="1" showInputMessage="1" showErrorMessage="1" sqref="E1696">
      <formula1>0</formula1>
    </dataValidation>
    <dataValidation type="whole" operator="greaterThan" allowBlank="1" showInputMessage="1" showErrorMessage="1" sqref="A1697">
      <formula1>0</formula1>
    </dataValidation>
    <dataValidation type="list" allowBlank="1" showInputMessage="1" showErrorMessage="1" sqref="C1697">
      <formula1>UnidadesList</formula1>
    </dataValidation>
    <dataValidation type="decimal" operator="greaterThan" allowBlank="1" showInputMessage="1" showErrorMessage="1" sqref="D1697">
      <formula1>0</formula1>
    </dataValidation>
    <dataValidation type="decimal" operator="greaterThan" allowBlank="1" showInputMessage="1" showErrorMessage="1" sqref="E1697">
      <formula1>0</formula1>
    </dataValidation>
    <dataValidation type="whole" operator="greaterThan" allowBlank="1" showInputMessage="1" showErrorMessage="1" sqref="A1698">
      <formula1>0</formula1>
    </dataValidation>
    <dataValidation type="list" allowBlank="1" showInputMessage="1" showErrorMessage="1" sqref="C1698">
      <formula1>UnidadesList</formula1>
    </dataValidation>
    <dataValidation type="decimal" operator="greaterThan" allowBlank="1" showInputMessage="1" showErrorMessage="1" sqref="D1698">
      <formula1>0</formula1>
    </dataValidation>
    <dataValidation type="decimal" operator="greaterThan" allowBlank="1" showInputMessage="1" showErrorMessage="1" sqref="E1698">
      <formula1>0</formula1>
    </dataValidation>
    <dataValidation type="whole" operator="greaterThan" allowBlank="1" showInputMessage="1" showErrorMessage="1" sqref="A1699">
      <formula1>0</formula1>
    </dataValidation>
    <dataValidation type="list" allowBlank="1" showInputMessage="1" showErrorMessage="1" sqref="C1699">
      <formula1>UnidadesList</formula1>
    </dataValidation>
    <dataValidation type="decimal" operator="greaterThan" allowBlank="1" showInputMessage="1" showErrorMessage="1" sqref="D1699">
      <formula1>0</formula1>
    </dataValidation>
    <dataValidation type="decimal" operator="greaterThan" allowBlank="1" showInputMessage="1" showErrorMessage="1" sqref="E1699">
      <formula1>0</formula1>
    </dataValidation>
    <dataValidation type="whole" operator="greaterThan" allowBlank="1" showInputMessage="1" showErrorMessage="1" sqref="A1700">
      <formula1>0</formula1>
    </dataValidation>
    <dataValidation type="list" allowBlank="1" showInputMessage="1" showErrorMessage="1" sqref="C1700">
      <formula1>UnidadesList</formula1>
    </dataValidation>
    <dataValidation type="decimal" operator="greaterThan" allowBlank="1" showInputMessage="1" showErrorMessage="1" sqref="D1700">
      <formula1>0</formula1>
    </dataValidation>
    <dataValidation type="decimal" operator="greaterThan" allowBlank="1" showInputMessage="1" showErrorMessage="1" sqref="E1700">
      <formula1>0</formula1>
    </dataValidation>
    <dataValidation type="whole" operator="greaterThan" allowBlank="1" showInputMessage="1" showErrorMessage="1" sqref="A1701">
      <formula1>0</formula1>
    </dataValidation>
    <dataValidation type="list" allowBlank="1" showInputMessage="1" showErrorMessage="1" sqref="C1701">
      <formula1>UnidadesList</formula1>
    </dataValidation>
    <dataValidation type="decimal" operator="greaterThan" allowBlank="1" showInputMessage="1" showErrorMessage="1" sqref="D1701">
      <formula1>0</formula1>
    </dataValidation>
    <dataValidation type="decimal" operator="greaterThan" allowBlank="1" showInputMessage="1" showErrorMessage="1" sqref="E1701">
      <formula1>0</formula1>
    </dataValidation>
    <dataValidation type="whole" operator="greaterThan" allowBlank="1" showInputMessage="1" showErrorMessage="1" sqref="A1702">
      <formula1>0</formula1>
    </dataValidation>
    <dataValidation type="list" allowBlank="1" showInputMessage="1" showErrorMessage="1" sqref="C1702">
      <formula1>UnidadesList</formula1>
    </dataValidation>
    <dataValidation type="decimal" operator="greaterThan" allowBlank="1" showInputMessage="1" showErrorMessage="1" sqref="D1702">
      <formula1>0</formula1>
    </dataValidation>
    <dataValidation type="decimal" operator="greaterThan" allowBlank="1" showInputMessage="1" showErrorMessage="1" sqref="E1702">
      <formula1>0</formula1>
    </dataValidation>
    <dataValidation type="whole" operator="greaterThan" allowBlank="1" showInputMessage="1" showErrorMessage="1" sqref="A1703">
      <formula1>0</formula1>
    </dataValidation>
    <dataValidation type="list" allowBlank="1" showInputMessage="1" showErrorMessage="1" sqref="C1703">
      <formula1>UnidadesList</formula1>
    </dataValidation>
    <dataValidation type="decimal" operator="greaterThan" allowBlank="1" showInputMessage="1" showErrorMessage="1" sqref="D1703">
      <formula1>0</formula1>
    </dataValidation>
    <dataValidation type="decimal" operator="greaterThan" allowBlank="1" showInputMessage="1" showErrorMessage="1" sqref="E1703">
      <formula1>0</formula1>
    </dataValidation>
    <dataValidation type="whole" operator="greaterThan" allowBlank="1" showInputMessage="1" showErrorMessage="1" sqref="A1704">
      <formula1>0</formula1>
    </dataValidation>
    <dataValidation type="list" allowBlank="1" showInputMessage="1" showErrorMessage="1" sqref="C1704">
      <formula1>UnidadesList</formula1>
    </dataValidation>
    <dataValidation type="decimal" operator="greaterThan" allowBlank="1" showInputMessage="1" showErrorMessage="1" sqref="D1704">
      <formula1>0</formula1>
    </dataValidation>
    <dataValidation type="decimal" operator="greaterThan" allowBlank="1" showInputMessage="1" showErrorMessage="1" sqref="E1704">
      <formula1>0</formula1>
    </dataValidation>
    <dataValidation type="whole" operator="greaterThan" allowBlank="1" showInputMessage="1" showErrorMessage="1" sqref="A1705">
      <formula1>0</formula1>
    </dataValidation>
    <dataValidation type="list" allowBlank="1" showInputMessage="1" showErrorMessage="1" sqref="C1705">
      <formula1>UnidadesList</formula1>
    </dataValidation>
    <dataValidation type="decimal" operator="greaterThan" allowBlank="1" showInputMessage="1" showErrorMessage="1" sqref="D1705">
      <formula1>0</formula1>
    </dataValidation>
    <dataValidation type="decimal" operator="greaterThan" allowBlank="1" showInputMessage="1" showErrorMessage="1" sqref="E1705">
      <formula1>0</formula1>
    </dataValidation>
    <dataValidation type="whole" operator="greaterThan" allowBlank="1" showInputMessage="1" showErrorMessage="1" sqref="A1706">
      <formula1>0</formula1>
    </dataValidation>
    <dataValidation type="list" allowBlank="1" showInputMessage="1" showErrorMessage="1" sqref="C1706">
      <formula1>UnidadesList</formula1>
    </dataValidation>
    <dataValidation type="decimal" operator="greaterThan" allowBlank="1" showInputMessage="1" showErrorMessage="1" sqref="D1706">
      <formula1>0</formula1>
    </dataValidation>
    <dataValidation type="decimal" operator="greaterThan" allowBlank="1" showInputMessage="1" showErrorMessage="1" sqref="E1706">
      <formula1>0</formula1>
    </dataValidation>
    <dataValidation type="whole" operator="greaterThan" allowBlank="1" showInputMessage="1" showErrorMessage="1" sqref="A1707">
      <formula1>0</formula1>
    </dataValidation>
    <dataValidation type="list" allowBlank="1" showInputMessage="1" showErrorMessage="1" sqref="C1707">
      <formula1>UnidadesList</formula1>
    </dataValidation>
    <dataValidation type="decimal" operator="greaterThan" allowBlank="1" showInputMessage="1" showErrorMessage="1" sqref="D1707">
      <formula1>0</formula1>
    </dataValidation>
    <dataValidation type="decimal" operator="greaterThan" allowBlank="1" showInputMessage="1" showErrorMessage="1" sqref="E1707">
      <formula1>0</formula1>
    </dataValidation>
    <dataValidation type="whole" operator="greaterThan" allowBlank="1" showInputMessage="1" showErrorMessage="1" sqref="A1708">
      <formula1>0</formula1>
    </dataValidation>
    <dataValidation type="list" allowBlank="1" showInputMessage="1" showErrorMessage="1" sqref="C1708">
      <formula1>UnidadesList</formula1>
    </dataValidation>
    <dataValidation type="decimal" operator="greaterThan" allowBlank="1" showInputMessage="1" showErrorMessage="1" sqref="D1708">
      <formula1>0</formula1>
    </dataValidation>
    <dataValidation type="decimal" operator="greaterThan" allowBlank="1" showInputMessage="1" showErrorMessage="1" sqref="E1708">
      <formula1>0</formula1>
    </dataValidation>
    <dataValidation type="whole" operator="greaterThan" allowBlank="1" showInputMessage="1" showErrorMessage="1" sqref="A1709">
      <formula1>0</formula1>
    </dataValidation>
    <dataValidation type="list" allowBlank="1" showInputMessage="1" showErrorMessage="1" sqref="C1709">
      <formula1>UnidadesList</formula1>
    </dataValidation>
    <dataValidation type="decimal" operator="greaterThan" allowBlank="1" showInputMessage="1" showErrorMessage="1" sqref="D1709">
      <formula1>0</formula1>
    </dataValidation>
    <dataValidation type="decimal" operator="greaterThan" allowBlank="1" showInputMessage="1" showErrorMessage="1" sqref="E1709">
      <formula1>0</formula1>
    </dataValidation>
    <dataValidation type="whole" operator="greaterThan" allowBlank="1" showInputMessage="1" showErrorMessage="1" sqref="A1710">
      <formula1>0</formula1>
    </dataValidation>
    <dataValidation type="list" allowBlank="1" showInputMessage="1" showErrorMessage="1" sqref="C1710">
      <formula1>UnidadesList</formula1>
    </dataValidation>
    <dataValidation type="decimal" operator="greaterThan" allowBlank="1" showInputMessage="1" showErrorMessage="1" sqref="D1710">
      <formula1>0</formula1>
    </dataValidation>
    <dataValidation type="decimal" operator="greaterThan" allowBlank="1" showInputMessage="1" showErrorMessage="1" sqref="E1710">
      <formula1>0</formula1>
    </dataValidation>
    <dataValidation type="whole" operator="greaterThan" allowBlank="1" showInputMessage="1" showErrorMessage="1" sqref="A1711">
      <formula1>0</formula1>
    </dataValidation>
    <dataValidation type="list" allowBlank="1" showInputMessage="1" showErrorMessage="1" sqref="C1711">
      <formula1>UnidadesList</formula1>
    </dataValidation>
    <dataValidation type="decimal" operator="greaterThan" allowBlank="1" showInputMessage="1" showErrorMessage="1" sqref="D1711">
      <formula1>0</formula1>
    </dataValidation>
    <dataValidation type="decimal" operator="greaterThan" allowBlank="1" showInputMessage="1" showErrorMessage="1" sqref="E1711">
      <formula1>0</formula1>
    </dataValidation>
    <dataValidation type="whole" operator="greaterThan" allowBlank="1" showInputMessage="1" showErrorMessage="1" sqref="A1712">
      <formula1>0</formula1>
    </dataValidation>
    <dataValidation type="list" allowBlank="1" showInputMessage="1" showErrorMessage="1" sqref="C1712">
      <formula1>UnidadesList</formula1>
    </dataValidation>
    <dataValidation type="decimal" operator="greaterThan" allowBlank="1" showInputMessage="1" showErrorMessage="1" sqref="D1712">
      <formula1>0</formula1>
    </dataValidation>
    <dataValidation type="decimal" operator="greaterThan" allowBlank="1" showInputMessage="1" showErrorMessage="1" sqref="E1712">
      <formula1>0</formula1>
    </dataValidation>
    <dataValidation type="whole" operator="greaterThan" allowBlank="1" showInputMessage="1" showErrorMessage="1" sqref="A1713">
      <formula1>0</formula1>
    </dataValidation>
    <dataValidation type="list" allowBlank="1" showInputMessage="1" showErrorMessage="1" sqref="C1713">
      <formula1>UnidadesList</formula1>
    </dataValidation>
    <dataValidation type="decimal" operator="greaterThan" allowBlank="1" showInputMessage="1" showErrorMessage="1" sqref="D1713">
      <formula1>0</formula1>
    </dataValidation>
    <dataValidation type="decimal" operator="greaterThan" allowBlank="1" showInputMessage="1" showErrorMessage="1" sqref="E1713">
      <formula1>0</formula1>
    </dataValidation>
    <dataValidation type="whole" operator="greaterThan" allowBlank="1" showInputMessage="1" showErrorMessage="1" sqref="A1714">
      <formula1>0</formula1>
    </dataValidation>
    <dataValidation type="list" allowBlank="1" showInputMessage="1" showErrorMessage="1" sqref="C1714">
      <formula1>UnidadesList</formula1>
    </dataValidation>
    <dataValidation type="decimal" operator="greaterThan" allowBlank="1" showInputMessage="1" showErrorMessage="1" sqref="D1714">
      <formula1>0</formula1>
    </dataValidation>
    <dataValidation type="decimal" operator="greaterThan" allowBlank="1" showInputMessage="1" showErrorMessage="1" sqref="E1714">
      <formula1>0</formula1>
    </dataValidation>
    <dataValidation type="whole" operator="greaterThan" allowBlank="1" showInputMessage="1" showErrorMessage="1" sqref="A1715">
      <formula1>0</formula1>
    </dataValidation>
    <dataValidation type="list" allowBlank="1" showInputMessage="1" showErrorMessage="1" sqref="C1715">
      <formula1>UnidadesList</formula1>
    </dataValidation>
    <dataValidation type="decimal" operator="greaterThan" allowBlank="1" showInputMessage="1" showErrorMessage="1" sqref="D1715">
      <formula1>0</formula1>
    </dataValidation>
    <dataValidation type="decimal" operator="greaterThan" allowBlank="1" showInputMessage="1" showErrorMessage="1" sqref="E1715">
      <formula1>0</formula1>
    </dataValidation>
    <dataValidation type="whole" operator="greaterThan" allowBlank="1" showInputMessage="1" showErrorMessage="1" sqref="A1716">
      <formula1>0</formula1>
    </dataValidation>
    <dataValidation type="list" allowBlank="1" showInputMessage="1" showErrorMessage="1" sqref="C1716">
      <formula1>UnidadesList</formula1>
    </dataValidation>
    <dataValidation type="decimal" operator="greaterThan" allowBlank="1" showInputMessage="1" showErrorMessage="1" sqref="D1716">
      <formula1>0</formula1>
    </dataValidation>
    <dataValidation type="decimal" operator="greaterThan" allowBlank="1" showInputMessage="1" showErrorMessage="1" sqref="E1716">
      <formula1>0</formula1>
    </dataValidation>
    <dataValidation type="whole" operator="greaterThan" allowBlank="1" showInputMessage="1" showErrorMessage="1" sqref="A1717">
      <formula1>0</formula1>
    </dataValidation>
    <dataValidation type="list" allowBlank="1" showInputMessage="1" showErrorMessage="1" sqref="C1717">
      <formula1>UnidadesList</formula1>
    </dataValidation>
    <dataValidation type="decimal" operator="greaterThan" allowBlank="1" showInputMessage="1" showErrorMessage="1" sqref="D1717">
      <formula1>0</formula1>
    </dataValidation>
    <dataValidation type="decimal" operator="greaterThan" allowBlank="1" showInputMessage="1" showErrorMessage="1" sqref="E1717">
      <formula1>0</formula1>
    </dataValidation>
    <dataValidation type="whole" operator="greaterThan" allowBlank="1" showInputMessage="1" showErrorMessage="1" sqref="A1718">
      <formula1>0</formula1>
    </dataValidation>
    <dataValidation type="list" allowBlank="1" showInputMessage="1" showErrorMessage="1" sqref="C1718">
      <formula1>UnidadesList</formula1>
    </dataValidation>
    <dataValidation type="decimal" operator="greaterThan" allowBlank="1" showInputMessage="1" showErrorMessage="1" sqref="D1718">
      <formula1>0</formula1>
    </dataValidation>
    <dataValidation type="decimal" operator="greaterThan" allowBlank="1" showInputMessage="1" showErrorMessage="1" sqref="E1718">
      <formula1>0</formula1>
    </dataValidation>
    <dataValidation type="whole" operator="greaterThan" allowBlank="1" showInputMessage="1" showErrorMessage="1" sqref="A1719">
      <formula1>0</formula1>
    </dataValidation>
    <dataValidation type="list" allowBlank="1" showInputMessage="1" showErrorMessage="1" sqref="C1719">
      <formula1>UnidadesList</formula1>
    </dataValidation>
    <dataValidation type="decimal" operator="greaterThan" allowBlank="1" showInputMessage="1" showErrorMessage="1" sqref="D1719">
      <formula1>0</formula1>
    </dataValidation>
    <dataValidation type="decimal" operator="greaterThan" allowBlank="1" showInputMessage="1" showErrorMessage="1" sqref="E1719">
      <formula1>0</formula1>
    </dataValidation>
    <dataValidation type="whole" operator="greaterThan" allowBlank="1" showInputMessage="1" showErrorMessage="1" sqref="A1720">
      <formula1>0</formula1>
    </dataValidation>
    <dataValidation type="list" allowBlank="1" showInputMessage="1" showErrorMessage="1" sqref="C1720">
      <formula1>UnidadesList</formula1>
    </dataValidation>
    <dataValidation type="decimal" operator="greaterThan" allowBlank="1" showInputMessage="1" showErrorMessage="1" sqref="D1720">
      <formula1>0</formula1>
    </dataValidation>
    <dataValidation type="decimal" operator="greaterThan" allowBlank="1" showInputMessage="1" showErrorMessage="1" sqref="E1720">
      <formula1>0</formula1>
    </dataValidation>
    <dataValidation type="whole" operator="greaterThan" allowBlank="1" showInputMessage="1" showErrorMessage="1" sqref="A1721">
      <formula1>0</formula1>
    </dataValidation>
    <dataValidation type="list" allowBlank="1" showInputMessage="1" showErrorMessage="1" sqref="C1721">
      <formula1>UnidadesList</formula1>
    </dataValidation>
    <dataValidation type="decimal" operator="greaterThan" allowBlank="1" showInputMessage="1" showErrorMessage="1" sqref="D1721">
      <formula1>0</formula1>
    </dataValidation>
    <dataValidation type="decimal" operator="greaterThan" allowBlank="1" showInputMessage="1" showErrorMessage="1" sqref="E1721">
      <formula1>0</formula1>
    </dataValidation>
    <dataValidation type="whole" operator="greaterThan" allowBlank="1" showInputMessage="1" showErrorMessage="1" sqref="A1722">
      <formula1>0</formula1>
    </dataValidation>
    <dataValidation type="list" allowBlank="1" showInputMessage="1" showErrorMessage="1" sqref="C1722">
      <formula1>UnidadesList</formula1>
    </dataValidation>
    <dataValidation type="decimal" operator="greaterThan" allowBlank="1" showInputMessage="1" showErrorMessage="1" sqref="D1722">
      <formula1>0</formula1>
    </dataValidation>
    <dataValidation type="decimal" operator="greaterThan" allowBlank="1" showInputMessage="1" showErrorMessage="1" sqref="E1722">
      <formula1>0</formula1>
    </dataValidation>
    <dataValidation type="whole" operator="greaterThan" allowBlank="1" showInputMessage="1" showErrorMessage="1" sqref="A1723">
      <formula1>0</formula1>
    </dataValidation>
    <dataValidation type="list" allowBlank="1" showInputMessage="1" showErrorMessage="1" sqref="C1723">
      <formula1>UnidadesList</formula1>
    </dataValidation>
    <dataValidation type="decimal" operator="greaterThan" allowBlank="1" showInputMessage="1" showErrorMessage="1" sqref="D1723">
      <formula1>0</formula1>
    </dataValidation>
    <dataValidation type="decimal" operator="greaterThan" allowBlank="1" showInputMessage="1" showErrorMessage="1" sqref="E1723">
      <formula1>0</formula1>
    </dataValidation>
    <dataValidation type="whole" operator="greaterThan" allowBlank="1" showInputMessage="1" showErrorMessage="1" sqref="A1724">
      <formula1>0</formula1>
    </dataValidation>
    <dataValidation type="list" allowBlank="1" showInputMessage="1" showErrorMessage="1" sqref="C1724">
      <formula1>UnidadesList</formula1>
    </dataValidation>
    <dataValidation type="decimal" operator="greaterThan" allowBlank="1" showInputMessage="1" showErrorMessage="1" sqref="D1724">
      <formula1>0</formula1>
    </dataValidation>
    <dataValidation type="decimal" operator="greaterThan" allowBlank="1" showInputMessage="1" showErrorMessage="1" sqref="E1724">
      <formula1>0</formula1>
    </dataValidation>
    <dataValidation type="whole" operator="greaterThan" allowBlank="1" showInputMessage="1" showErrorMessage="1" sqref="A1725">
      <formula1>0</formula1>
    </dataValidation>
    <dataValidation type="list" allowBlank="1" showInputMessage="1" showErrorMessage="1" sqref="C1725">
      <formula1>UnidadesList</formula1>
    </dataValidation>
    <dataValidation type="decimal" operator="greaterThan" allowBlank="1" showInputMessage="1" showErrorMessage="1" sqref="D1725">
      <formula1>0</formula1>
    </dataValidation>
    <dataValidation type="decimal" operator="greaterThan" allowBlank="1" showInputMessage="1" showErrorMessage="1" sqref="E1725">
      <formula1>0</formula1>
    </dataValidation>
    <dataValidation type="whole" operator="greaterThan" allowBlank="1" showInputMessage="1" showErrorMessage="1" sqref="A1726">
      <formula1>0</formula1>
    </dataValidation>
    <dataValidation type="list" allowBlank="1" showInputMessage="1" showErrorMessage="1" sqref="C1726">
      <formula1>UnidadesList</formula1>
    </dataValidation>
    <dataValidation type="decimal" operator="greaterThan" allowBlank="1" showInputMessage="1" showErrorMessage="1" sqref="D1726">
      <formula1>0</formula1>
    </dataValidation>
    <dataValidation type="decimal" operator="greaterThan" allowBlank="1" showInputMessage="1" showErrorMessage="1" sqref="E1726">
      <formula1>0</formula1>
    </dataValidation>
    <dataValidation type="whole" operator="greaterThan" allowBlank="1" showInputMessage="1" showErrorMessage="1" sqref="A1727">
      <formula1>0</formula1>
    </dataValidation>
    <dataValidation type="list" allowBlank="1" showInputMessage="1" showErrorMessage="1" sqref="C1727">
      <formula1>UnidadesList</formula1>
    </dataValidation>
    <dataValidation type="decimal" operator="greaterThan" allowBlank="1" showInputMessage="1" showErrorMessage="1" sqref="D1727">
      <formula1>0</formula1>
    </dataValidation>
    <dataValidation type="decimal" operator="greaterThan" allowBlank="1" showInputMessage="1" showErrorMessage="1" sqref="E1727">
      <formula1>0</formula1>
    </dataValidation>
    <dataValidation type="whole" operator="greaterThan" allowBlank="1" showInputMessage="1" showErrorMessage="1" sqref="A1728">
      <formula1>0</formula1>
    </dataValidation>
    <dataValidation type="list" allowBlank="1" showInputMessage="1" showErrorMessage="1" sqref="C1728">
      <formula1>UnidadesList</formula1>
    </dataValidation>
    <dataValidation type="decimal" operator="greaterThan" allowBlank="1" showInputMessage="1" showErrorMessage="1" sqref="D1728">
      <formula1>0</formula1>
    </dataValidation>
    <dataValidation type="decimal" operator="greaterThan" allowBlank="1" showInputMessage="1" showErrorMessage="1" sqref="E1728">
      <formula1>0</formula1>
    </dataValidation>
    <dataValidation type="whole" operator="greaterThan" allowBlank="1" showInputMessage="1" showErrorMessage="1" sqref="A1729">
      <formula1>0</formula1>
    </dataValidation>
    <dataValidation type="list" allowBlank="1" showInputMessage="1" showErrorMessage="1" sqref="C1729">
      <formula1>UnidadesList</formula1>
    </dataValidation>
    <dataValidation type="decimal" operator="greaterThan" allowBlank="1" showInputMessage="1" showErrorMessage="1" sqref="D1729">
      <formula1>0</formula1>
    </dataValidation>
    <dataValidation type="decimal" operator="greaterThan" allowBlank="1" showInputMessage="1" showErrorMessage="1" sqref="E1729">
      <formula1>0</formula1>
    </dataValidation>
    <dataValidation type="whole" operator="greaterThan" allowBlank="1" showInputMessage="1" showErrorMessage="1" sqref="A1730">
      <formula1>0</formula1>
    </dataValidation>
    <dataValidation type="list" allowBlank="1" showInputMessage="1" showErrorMessage="1" sqref="C1730">
      <formula1>UnidadesList</formula1>
    </dataValidation>
    <dataValidation type="decimal" operator="greaterThan" allowBlank="1" showInputMessage="1" showErrorMessage="1" sqref="D1730">
      <formula1>0</formula1>
    </dataValidation>
    <dataValidation type="decimal" operator="greaterThan" allowBlank="1" showInputMessage="1" showErrorMessage="1" sqref="E1730">
      <formula1>0</formula1>
    </dataValidation>
    <dataValidation type="whole" operator="greaterThan" allowBlank="1" showInputMessage="1" showErrorMessage="1" sqref="A1731">
      <formula1>0</formula1>
    </dataValidation>
    <dataValidation type="list" allowBlank="1" showInputMessage="1" showErrorMessage="1" sqref="C1731">
      <formula1>UnidadesList</formula1>
    </dataValidation>
    <dataValidation type="decimal" operator="greaterThan" allowBlank="1" showInputMessage="1" showErrorMessage="1" sqref="D1731">
      <formula1>0</formula1>
    </dataValidation>
    <dataValidation type="decimal" operator="greaterThan" allowBlank="1" showInputMessage="1" showErrorMessage="1" sqref="E1731">
      <formula1>0</formula1>
    </dataValidation>
    <dataValidation type="whole" operator="greaterThan" allowBlank="1" showInputMessage="1" showErrorMessage="1" sqref="A1732">
      <formula1>0</formula1>
    </dataValidation>
    <dataValidation type="list" allowBlank="1" showInputMessage="1" showErrorMessage="1" sqref="C1732">
      <formula1>UnidadesList</formula1>
    </dataValidation>
    <dataValidation type="decimal" operator="greaterThan" allowBlank="1" showInputMessage="1" showErrorMessage="1" sqref="D1732">
      <formula1>0</formula1>
    </dataValidation>
    <dataValidation type="decimal" operator="greaterThan" allowBlank="1" showInputMessage="1" showErrorMessage="1" sqref="E1732">
      <formula1>0</formula1>
    </dataValidation>
    <dataValidation type="whole" operator="greaterThan" allowBlank="1" showInputMessage="1" showErrorMessage="1" sqref="A1733">
      <formula1>0</formula1>
    </dataValidation>
    <dataValidation type="list" allowBlank="1" showInputMessage="1" showErrorMessage="1" sqref="C1733">
      <formula1>UnidadesList</formula1>
    </dataValidation>
    <dataValidation type="decimal" operator="greaterThan" allowBlank="1" showInputMessage="1" showErrorMessage="1" sqref="D1733">
      <formula1>0</formula1>
    </dataValidation>
    <dataValidation type="decimal" operator="greaterThan" allowBlank="1" showInputMessage="1" showErrorMessage="1" sqref="E1733">
      <formula1>0</formula1>
    </dataValidation>
    <dataValidation type="whole" operator="greaterThan" allowBlank="1" showInputMessage="1" showErrorMessage="1" sqref="A1734">
      <formula1>0</formula1>
    </dataValidation>
    <dataValidation type="list" allowBlank="1" showInputMessage="1" showErrorMessage="1" sqref="C1734">
      <formula1>UnidadesList</formula1>
    </dataValidation>
    <dataValidation type="decimal" operator="greaterThan" allowBlank="1" showInputMessage="1" showErrorMessage="1" sqref="D1734">
      <formula1>0</formula1>
    </dataValidation>
    <dataValidation type="decimal" operator="greaterThan" allowBlank="1" showInputMessage="1" showErrorMessage="1" sqref="E1734">
      <formula1>0</formula1>
    </dataValidation>
    <dataValidation type="whole" operator="greaterThan" allowBlank="1" showInputMessage="1" showErrorMessage="1" sqref="A1735">
      <formula1>0</formula1>
    </dataValidation>
    <dataValidation type="list" allowBlank="1" showInputMessage="1" showErrorMessage="1" sqref="C1735">
      <formula1>UnidadesList</formula1>
    </dataValidation>
    <dataValidation type="decimal" operator="greaterThan" allowBlank="1" showInputMessage="1" showErrorMessage="1" sqref="D1735">
      <formula1>0</formula1>
    </dataValidation>
    <dataValidation type="decimal" operator="greaterThan" allowBlank="1" showInputMessage="1" showErrorMessage="1" sqref="E1735">
      <formula1>0</formula1>
    </dataValidation>
    <dataValidation type="whole" operator="greaterThan" allowBlank="1" showInputMessage="1" showErrorMessage="1" sqref="A1736">
      <formula1>0</formula1>
    </dataValidation>
    <dataValidation type="list" allowBlank="1" showInputMessage="1" showErrorMessage="1" sqref="C1736">
      <formula1>UnidadesList</formula1>
    </dataValidation>
    <dataValidation type="decimal" operator="greaterThan" allowBlank="1" showInputMessage="1" showErrorMessage="1" sqref="D1736">
      <formula1>0</formula1>
    </dataValidation>
    <dataValidation type="decimal" operator="greaterThan" allowBlank="1" showInputMessage="1" showErrorMessage="1" sqref="E1736">
      <formula1>0</formula1>
    </dataValidation>
    <dataValidation type="whole" operator="greaterThan" allowBlank="1" showInputMessage="1" showErrorMessage="1" sqref="A1737">
      <formula1>0</formula1>
    </dataValidation>
    <dataValidation type="list" allowBlank="1" showInputMessage="1" showErrorMessage="1" sqref="C1737">
      <formula1>UnidadesList</formula1>
    </dataValidation>
    <dataValidation type="decimal" operator="greaterThan" allowBlank="1" showInputMessage="1" showErrorMessage="1" sqref="D1737">
      <formula1>0</formula1>
    </dataValidation>
    <dataValidation type="decimal" operator="greaterThan" allowBlank="1" showInputMessage="1" showErrorMessage="1" sqref="E1737">
      <formula1>0</formula1>
    </dataValidation>
    <dataValidation type="whole" operator="greaterThan" allowBlank="1" showInputMessage="1" showErrorMessage="1" sqref="A1738">
      <formula1>0</formula1>
    </dataValidation>
    <dataValidation type="list" allowBlank="1" showInputMessage="1" showErrorMessage="1" sqref="C1738">
      <formula1>UnidadesList</formula1>
    </dataValidation>
    <dataValidation type="decimal" operator="greaterThan" allowBlank="1" showInputMessage="1" showErrorMessage="1" sqref="D1738">
      <formula1>0</formula1>
    </dataValidation>
    <dataValidation type="decimal" operator="greaterThan" allowBlank="1" showInputMessage="1" showErrorMessage="1" sqref="E1738">
      <formula1>0</formula1>
    </dataValidation>
    <dataValidation type="whole" operator="greaterThan" allowBlank="1" showInputMessage="1" showErrorMessage="1" sqref="A1739">
      <formula1>0</formula1>
    </dataValidation>
    <dataValidation type="list" allowBlank="1" showInputMessage="1" showErrorMessage="1" sqref="C1739">
      <formula1>UnidadesList</formula1>
    </dataValidation>
    <dataValidation type="decimal" operator="greaterThan" allowBlank="1" showInputMessage="1" showErrorMessage="1" sqref="D1739">
      <formula1>0</formula1>
    </dataValidation>
    <dataValidation type="decimal" operator="greaterThan" allowBlank="1" showInputMessage="1" showErrorMessage="1" sqref="E1739">
      <formula1>0</formula1>
    </dataValidation>
    <dataValidation type="whole" operator="greaterThan" allowBlank="1" showInputMessage="1" showErrorMessage="1" sqref="A1740">
      <formula1>0</formula1>
    </dataValidation>
    <dataValidation type="list" allowBlank="1" showInputMessage="1" showErrorMessage="1" sqref="C1740">
      <formula1>UnidadesList</formula1>
    </dataValidation>
    <dataValidation type="decimal" operator="greaterThan" allowBlank="1" showInputMessage="1" showErrorMessage="1" sqref="D1740">
      <formula1>0</formula1>
    </dataValidation>
    <dataValidation type="decimal" operator="greaterThan" allowBlank="1" showInputMessage="1" showErrorMessage="1" sqref="E1740">
      <formula1>0</formula1>
    </dataValidation>
    <dataValidation type="whole" operator="greaterThan" allowBlank="1" showInputMessage="1" showErrorMessage="1" sqref="A1741">
      <formula1>0</formula1>
    </dataValidation>
    <dataValidation type="list" allowBlank="1" showInputMessage="1" showErrorMessage="1" sqref="C1741">
      <formula1>UnidadesList</formula1>
    </dataValidation>
    <dataValidation type="decimal" operator="greaterThan" allowBlank="1" showInputMessage="1" showErrorMessage="1" sqref="D1741">
      <formula1>0</formula1>
    </dataValidation>
    <dataValidation type="decimal" operator="greaterThan" allowBlank="1" showInputMessage="1" showErrorMessage="1" sqref="E1741">
      <formula1>0</formula1>
    </dataValidation>
    <dataValidation type="whole" operator="greaterThan" allowBlank="1" showInputMessage="1" showErrorMessage="1" sqref="A1742">
      <formula1>0</formula1>
    </dataValidation>
    <dataValidation type="list" allowBlank="1" showInputMessage="1" showErrorMessage="1" sqref="C1742">
      <formula1>UnidadesList</formula1>
    </dataValidation>
    <dataValidation type="decimal" operator="greaterThan" allowBlank="1" showInputMessage="1" showErrorMessage="1" sqref="D1742">
      <formula1>0</formula1>
    </dataValidation>
    <dataValidation type="decimal" operator="greaterThan" allowBlank="1" showInputMessage="1" showErrorMessage="1" sqref="E1742">
      <formula1>0</formula1>
    </dataValidation>
    <dataValidation type="whole" operator="greaterThan" allowBlank="1" showInputMessage="1" showErrorMessage="1" sqref="A1743">
      <formula1>0</formula1>
    </dataValidation>
    <dataValidation type="list" allowBlank="1" showInputMessage="1" showErrorMessage="1" sqref="C1743">
      <formula1>UnidadesList</formula1>
    </dataValidation>
    <dataValidation type="decimal" operator="greaterThan" allowBlank="1" showInputMessage="1" showErrorMessage="1" sqref="D1743">
      <formula1>0</formula1>
    </dataValidation>
    <dataValidation type="decimal" operator="greaterThan" allowBlank="1" showInputMessage="1" showErrorMessage="1" sqref="E1743">
      <formula1>0</formula1>
    </dataValidation>
    <dataValidation type="whole" operator="greaterThan" allowBlank="1" showInputMessage="1" showErrorMessage="1" sqref="A1744">
      <formula1>0</formula1>
    </dataValidation>
    <dataValidation type="list" allowBlank="1" showInputMessage="1" showErrorMessage="1" sqref="C1744">
      <formula1>UnidadesList</formula1>
    </dataValidation>
    <dataValidation type="decimal" operator="greaterThan" allowBlank="1" showInputMessage="1" showErrorMessage="1" sqref="D1744">
      <formula1>0</formula1>
    </dataValidation>
    <dataValidation type="decimal" operator="greaterThan" allowBlank="1" showInputMessage="1" showErrorMessage="1" sqref="E1744">
      <formula1>0</formula1>
    </dataValidation>
    <dataValidation type="whole" operator="greaterThan" allowBlank="1" showInputMessage="1" showErrorMessage="1" sqref="A1745">
      <formula1>0</formula1>
    </dataValidation>
    <dataValidation type="list" allowBlank="1" showInputMessage="1" showErrorMessage="1" sqref="C1745">
      <formula1>UnidadesList</formula1>
    </dataValidation>
    <dataValidation type="decimal" operator="greaterThan" allowBlank="1" showInputMessage="1" showErrorMessage="1" sqref="D1745">
      <formula1>0</formula1>
    </dataValidation>
    <dataValidation type="decimal" operator="greaterThan" allowBlank="1" showInputMessage="1" showErrorMessage="1" sqref="E1745">
      <formula1>0</formula1>
    </dataValidation>
    <dataValidation type="whole" operator="greaterThan" allowBlank="1" showInputMessage="1" showErrorMessage="1" sqref="A1746">
      <formula1>0</formula1>
    </dataValidation>
    <dataValidation type="list" allowBlank="1" showInputMessage="1" showErrorMessage="1" sqref="C1746">
      <formula1>UnidadesList</formula1>
    </dataValidation>
    <dataValidation type="decimal" operator="greaterThan" allowBlank="1" showInputMessage="1" showErrorMessage="1" sqref="D1746">
      <formula1>0</formula1>
    </dataValidation>
    <dataValidation type="decimal" operator="greaterThan" allowBlank="1" showInputMessage="1" showErrorMessage="1" sqref="E1746">
      <formula1>0</formula1>
    </dataValidation>
    <dataValidation type="whole" operator="greaterThan" allowBlank="1" showInputMessage="1" showErrorMessage="1" sqref="A1747">
      <formula1>0</formula1>
    </dataValidation>
    <dataValidation type="list" allowBlank="1" showInputMessage="1" showErrorMessage="1" sqref="C1747">
      <formula1>UnidadesList</formula1>
    </dataValidation>
    <dataValidation type="decimal" operator="greaterThan" allowBlank="1" showInputMessage="1" showErrorMessage="1" sqref="D1747">
      <formula1>0</formula1>
    </dataValidation>
    <dataValidation type="decimal" operator="greaterThan" allowBlank="1" showInputMessage="1" showErrorMessage="1" sqref="E1747">
      <formula1>0</formula1>
    </dataValidation>
    <dataValidation type="whole" operator="greaterThan" allowBlank="1" showInputMessage="1" showErrorMessage="1" sqref="A1748">
      <formula1>0</formula1>
    </dataValidation>
    <dataValidation type="list" allowBlank="1" showInputMessage="1" showErrorMessage="1" sqref="C1748">
      <formula1>UnidadesList</formula1>
    </dataValidation>
    <dataValidation type="decimal" operator="greaterThan" allowBlank="1" showInputMessage="1" showErrorMessage="1" sqref="D1748">
      <formula1>0</formula1>
    </dataValidation>
    <dataValidation type="decimal" operator="greaterThan" allowBlank="1" showInputMessage="1" showErrorMessage="1" sqref="E1748">
      <formula1>0</formula1>
    </dataValidation>
    <dataValidation type="whole" operator="greaterThan" allowBlank="1" showInputMessage="1" showErrorMessage="1" sqref="A1749">
      <formula1>0</formula1>
    </dataValidation>
    <dataValidation type="list" allowBlank="1" showInputMessage="1" showErrorMessage="1" sqref="C1749">
      <formula1>UnidadesList</formula1>
    </dataValidation>
    <dataValidation type="decimal" operator="greaterThan" allowBlank="1" showInputMessage="1" showErrorMessage="1" sqref="D1749">
      <formula1>0</formula1>
    </dataValidation>
    <dataValidation type="decimal" operator="greaterThan" allowBlank="1" showInputMessage="1" showErrorMessage="1" sqref="E1749">
      <formula1>0</formula1>
    </dataValidation>
    <dataValidation type="whole" operator="greaterThan" allowBlank="1" showInputMessage="1" showErrorMessage="1" sqref="A1750">
      <formula1>0</formula1>
    </dataValidation>
    <dataValidation type="list" allowBlank="1" showInputMessage="1" showErrorMessage="1" sqref="C1750">
      <formula1>UnidadesList</formula1>
    </dataValidation>
    <dataValidation type="decimal" operator="greaterThan" allowBlank="1" showInputMessage="1" showErrorMessage="1" sqref="D1750">
      <formula1>0</formula1>
    </dataValidation>
    <dataValidation type="decimal" operator="greaterThan" allowBlank="1" showInputMessage="1" showErrorMessage="1" sqref="E1750">
      <formula1>0</formula1>
    </dataValidation>
    <dataValidation type="whole" operator="greaterThan" allowBlank="1" showInputMessage="1" showErrorMessage="1" sqref="A1751">
      <formula1>0</formula1>
    </dataValidation>
    <dataValidation type="list" allowBlank="1" showInputMessage="1" showErrorMessage="1" sqref="C1751">
      <formula1>UnidadesList</formula1>
    </dataValidation>
    <dataValidation type="decimal" operator="greaterThan" allowBlank="1" showInputMessage="1" showErrorMessage="1" sqref="D1751">
      <formula1>0</formula1>
    </dataValidation>
    <dataValidation type="decimal" operator="greaterThan" allowBlank="1" showInputMessage="1" showErrorMessage="1" sqref="E1751">
      <formula1>0</formula1>
    </dataValidation>
    <dataValidation type="whole" operator="greaterThan" allowBlank="1" showInputMessage="1" showErrorMessage="1" sqref="A1752">
      <formula1>0</formula1>
    </dataValidation>
    <dataValidation type="list" allowBlank="1" showInputMessage="1" showErrorMessage="1" sqref="C1752">
      <formula1>UnidadesList</formula1>
    </dataValidation>
    <dataValidation type="decimal" operator="greaterThan" allowBlank="1" showInputMessage="1" showErrorMessage="1" sqref="D1752">
      <formula1>0</formula1>
    </dataValidation>
    <dataValidation type="decimal" operator="greaterThan" allowBlank="1" showInputMessage="1" showErrorMessage="1" sqref="E1752">
      <formula1>0</formula1>
    </dataValidation>
    <dataValidation type="whole" operator="greaterThan" allowBlank="1" showInputMessage="1" showErrorMessage="1" sqref="A1753">
      <formula1>0</formula1>
    </dataValidation>
    <dataValidation type="list" allowBlank="1" showInputMessage="1" showErrorMessage="1" sqref="C1753">
      <formula1>UnidadesList</formula1>
    </dataValidation>
    <dataValidation type="decimal" operator="greaterThan" allowBlank="1" showInputMessage="1" showErrorMessage="1" sqref="D1753">
      <formula1>0</formula1>
    </dataValidation>
    <dataValidation type="decimal" operator="greaterThan" allowBlank="1" showInputMessage="1" showErrorMessage="1" sqref="E1753">
      <formula1>0</formula1>
    </dataValidation>
    <dataValidation type="whole" operator="greaterThan" allowBlank="1" showInputMessage="1" showErrorMessage="1" sqref="A1754">
      <formula1>0</formula1>
    </dataValidation>
    <dataValidation type="list" allowBlank="1" showInputMessage="1" showErrorMessage="1" sqref="C1754">
      <formula1>UnidadesList</formula1>
    </dataValidation>
    <dataValidation type="decimal" operator="greaterThan" allowBlank="1" showInputMessage="1" showErrorMessage="1" sqref="D1754">
      <formula1>0</formula1>
    </dataValidation>
    <dataValidation type="decimal" operator="greaterThan" allowBlank="1" showInputMessage="1" showErrorMessage="1" sqref="E1754">
      <formula1>0</formula1>
    </dataValidation>
    <dataValidation type="whole" operator="greaterThan" allowBlank="1" showInputMessage="1" showErrorMessage="1" sqref="A1755">
      <formula1>0</formula1>
    </dataValidation>
    <dataValidation type="list" allowBlank="1" showInputMessage="1" showErrorMessage="1" sqref="C1755">
      <formula1>UnidadesList</formula1>
    </dataValidation>
    <dataValidation type="decimal" operator="greaterThan" allowBlank="1" showInputMessage="1" showErrorMessage="1" sqref="D1755">
      <formula1>0</formula1>
    </dataValidation>
    <dataValidation type="decimal" operator="greaterThan" allowBlank="1" showInputMessage="1" showErrorMessage="1" sqref="E1755">
      <formula1>0</formula1>
    </dataValidation>
    <dataValidation type="whole" operator="greaterThan" allowBlank="1" showInputMessage="1" showErrorMessage="1" sqref="A1756">
      <formula1>0</formula1>
    </dataValidation>
    <dataValidation type="list" allowBlank="1" showInputMessage="1" showErrorMessage="1" sqref="C1756">
      <formula1>UnidadesList</formula1>
    </dataValidation>
    <dataValidation type="decimal" operator="greaterThan" allowBlank="1" showInputMessage="1" showErrorMessage="1" sqref="D1756">
      <formula1>0</formula1>
    </dataValidation>
    <dataValidation type="decimal" operator="greaterThan" allowBlank="1" showInputMessage="1" showErrorMessage="1" sqref="E1756">
      <formula1>0</formula1>
    </dataValidation>
    <dataValidation type="whole" operator="greaterThan" allowBlank="1" showInputMessage="1" showErrorMessage="1" sqref="A1757">
      <formula1>0</formula1>
    </dataValidation>
    <dataValidation type="list" allowBlank="1" showInputMessage="1" showErrorMessage="1" sqref="C1757">
      <formula1>UnidadesList</formula1>
    </dataValidation>
    <dataValidation type="decimal" operator="greaterThan" allowBlank="1" showInputMessage="1" showErrorMessage="1" sqref="D1757">
      <formula1>0</formula1>
    </dataValidation>
    <dataValidation type="decimal" operator="greaterThan" allowBlank="1" showInputMessage="1" showErrorMessage="1" sqref="E1757">
      <formula1>0</formula1>
    </dataValidation>
    <dataValidation type="whole" operator="greaterThan" allowBlank="1" showInputMessage="1" showErrorMessage="1" sqref="A1758">
      <formula1>0</formula1>
    </dataValidation>
    <dataValidation type="list" allowBlank="1" showInputMessage="1" showErrorMessage="1" sqref="C1758">
      <formula1>UnidadesList</formula1>
    </dataValidation>
    <dataValidation type="decimal" operator="greaterThan" allowBlank="1" showInputMessage="1" showErrorMessage="1" sqref="D1758">
      <formula1>0</formula1>
    </dataValidation>
    <dataValidation type="decimal" operator="greaterThan" allowBlank="1" showInputMessage="1" showErrorMessage="1" sqref="E1758">
      <formula1>0</formula1>
    </dataValidation>
    <dataValidation type="whole" operator="greaterThan" allowBlank="1" showInputMessage="1" showErrorMessage="1" sqref="A1759">
      <formula1>0</formula1>
    </dataValidation>
    <dataValidation type="list" allowBlank="1" showInputMessage="1" showErrorMessage="1" sqref="C1759">
      <formula1>UnidadesList</formula1>
    </dataValidation>
    <dataValidation type="decimal" operator="greaterThan" allowBlank="1" showInputMessage="1" showErrorMessage="1" sqref="D1759">
      <formula1>0</formula1>
    </dataValidation>
    <dataValidation type="decimal" operator="greaterThan" allowBlank="1" showInputMessage="1" showErrorMessage="1" sqref="E1759">
      <formula1>0</formula1>
    </dataValidation>
    <dataValidation type="whole" operator="greaterThan" allowBlank="1" showInputMessage="1" showErrorMessage="1" sqref="A1760">
      <formula1>0</formula1>
    </dataValidation>
    <dataValidation type="list" allowBlank="1" showInputMessage="1" showErrorMessage="1" sqref="C1760">
      <formula1>UnidadesList</formula1>
    </dataValidation>
    <dataValidation type="decimal" operator="greaterThan" allowBlank="1" showInputMessage="1" showErrorMessage="1" sqref="D1760">
      <formula1>0</formula1>
    </dataValidation>
    <dataValidation type="decimal" operator="greaterThan" allowBlank="1" showInputMessage="1" showErrorMessage="1" sqref="E1760">
      <formula1>0</formula1>
    </dataValidation>
    <dataValidation type="whole" operator="greaterThan" allowBlank="1" showInputMessage="1" showErrorMessage="1" sqref="A1761">
      <formula1>0</formula1>
    </dataValidation>
    <dataValidation type="list" allowBlank="1" showInputMessage="1" showErrorMessage="1" sqref="C1761">
      <formula1>UnidadesList</formula1>
    </dataValidation>
    <dataValidation type="decimal" operator="greaterThan" allowBlank="1" showInputMessage="1" showErrorMessage="1" sqref="D1761">
      <formula1>0</formula1>
    </dataValidation>
    <dataValidation type="decimal" operator="greaterThan" allowBlank="1" showInputMessage="1" showErrorMessage="1" sqref="E1761">
      <formula1>0</formula1>
    </dataValidation>
    <dataValidation type="whole" operator="greaterThan" allowBlank="1" showInputMessage="1" showErrorMessage="1" sqref="A1762">
      <formula1>0</formula1>
    </dataValidation>
    <dataValidation type="list" allowBlank="1" showInputMessage="1" showErrorMessage="1" sqref="C1762">
      <formula1>UnidadesList</formula1>
    </dataValidation>
    <dataValidation type="decimal" operator="greaterThan" allowBlank="1" showInputMessage="1" showErrorMessage="1" sqref="D1762">
      <formula1>0</formula1>
    </dataValidation>
    <dataValidation type="decimal" operator="greaterThan" allowBlank="1" showInputMessage="1" showErrorMessage="1" sqref="E1762">
      <formula1>0</formula1>
    </dataValidation>
    <dataValidation type="whole" operator="greaterThan" allowBlank="1" showInputMessage="1" showErrorMessage="1" sqref="A1763">
      <formula1>0</formula1>
    </dataValidation>
    <dataValidation type="list" allowBlank="1" showInputMessage="1" showErrorMessage="1" sqref="C1763">
      <formula1>UnidadesList</formula1>
    </dataValidation>
    <dataValidation type="decimal" operator="greaterThan" allowBlank="1" showInputMessage="1" showErrorMessage="1" sqref="D1763">
      <formula1>0</formula1>
    </dataValidation>
    <dataValidation type="decimal" operator="greaterThan" allowBlank="1" showInputMessage="1" showErrorMessage="1" sqref="E1763">
      <formula1>0</formula1>
    </dataValidation>
    <dataValidation type="whole" operator="greaterThan" allowBlank="1" showInputMessage="1" showErrorMessage="1" sqref="A1764">
      <formula1>0</formula1>
    </dataValidation>
    <dataValidation type="list" allowBlank="1" showInputMessage="1" showErrorMessage="1" sqref="C1764">
      <formula1>UnidadesList</formula1>
    </dataValidation>
    <dataValidation type="decimal" operator="greaterThan" allowBlank="1" showInputMessage="1" showErrorMessage="1" sqref="D1764">
      <formula1>0</formula1>
    </dataValidation>
    <dataValidation type="decimal" operator="greaterThan" allowBlank="1" showInputMessage="1" showErrorMessage="1" sqref="E1764">
      <formula1>0</formula1>
    </dataValidation>
    <dataValidation type="whole" operator="greaterThan" allowBlank="1" showInputMessage="1" showErrorMessage="1" sqref="A1765">
      <formula1>0</formula1>
    </dataValidation>
    <dataValidation type="list" allowBlank="1" showInputMessage="1" showErrorMessage="1" sqref="C1765">
      <formula1>UnidadesList</formula1>
    </dataValidation>
    <dataValidation type="decimal" operator="greaterThan" allowBlank="1" showInputMessage="1" showErrorMessage="1" sqref="D1765">
      <formula1>0</formula1>
    </dataValidation>
    <dataValidation type="decimal" operator="greaterThan" allowBlank="1" showInputMessage="1" showErrorMessage="1" sqref="E1765">
      <formula1>0</formula1>
    </dataValidation>
    <dataValidation type="whole" operator="greaterThan" allowBlank="1" showInputMessage="1" showErrorMessage="1" sqref="A1766">
      <formula1>0</formula1>
    </dataValidation>
    <dataValidation type="list" allowBlank="1" showInputMessage="1" showErrorMessage="1" sqref="C1766">
      <formula1>UnidadesList</formula1>
    </dataValidation>
    <dataValidation type="decimal" operator="greaterThan" allowBlank="1" showInputMessage="1" showErrorMessage="1" sqref="D1766">
      <formula1>0</formula1>
    </dataValidation>
    <dataValidation type="decimal" operator="greaterThan" allowBlank="1" showInputMessage="1" showErrorMessage="1" sqref="E1766">
      <formula1>0</formula1>
    </dataValidation>
    <dataValidation type="whole" operator="greaterThan" allowBlank="1" showInputMessage="1" showErrorMessage="1" sqref="A1767">
      <formula1>0</formula1>
    </dataValidation>
    <dataValidation type="list" allowBlank="1" showInputMessage="1" showErrorMessage="1" sqref="C1767">
      <formula1>UnidadesList</formula1>
    </dataValidation>
    <dataValidation type="decimal" operator="greaterThan" allowBlank="1" showInputMessage="1" showErrorMessage="1" sqref="D1767">
      <formula1>0</formula1>
    </dataValidation>
    <dataValidation type="decimal" operator="greaterThan" allowBlank="1" showInputMessage="1" showErrorMessage="1" sqref="E1767">
      <formula1>0</formula1>
    </dataValidation>
    <dataValidation type="whole" operator="greaterThan" allowBlank="1" showInputMessage="1" showErrorMessage="1" sqref="A1768">
      <formula1>0</formula1>
    </dataValidation>
    <dataValidation type="list" allowBlank="1" showInputMessage="1" showErrorMessage="1" sqref="C1768">
      <formula1>UnidadesList</formula1>
    </dataValidation>
    <dataValidation type="decimal" operator="greaterThan" allowBlank="1" showInputMessage="1" showErrorMessage="1" sqref="D1768">
      <formula1>0</formula1>
    </dataValidation>
    <dataValidation type="decimal" operator="greaterThan" allowBlank="1" showInputMessage="1" showErrorMessage="1" sqref="E1768">
      <formula1>0</formula1>
    </dataValidation>
    <dataValidation type="whole" operator="greaterThan" allowBlank="1" showInputMessage="1" showErrorMessage="1" sqref="A1769">
      <formula1>0</formula1>
    </dataValidation>
    <dataValidation type="list" allowBlank="1" showInputMessage="1" showErrorMessage="1" sqref="C1769">
      <formula1>UnidadesList</formula1>
    </dataValidation>
    <dataValidation type="decimal" operator="greaterThan" allowBlank="1" showInputMessage="1" showErrorMessage="1" sqref="D1769">
      <formula1>0</formula1>
    </dataValidation>
    <dataValidation type="decimal" operator="greaterThan" allowBlank="1" showInputMessage="1" showErrorMessage="1" sqref="E1769">
      <formula1>0</formula1>
    </dataValidation>
    <dataValidation type="whole" operator="greaterThan" allowBlank="1" showInputMessage="1" showErrorMessage="1" sqref="A1770">
      <formula1>0</formula1>
    </dataValidation>
    <dataValidation type="list" allowBlank="1" showInputMessage="1" showErrorMessage="1" sqref="C1770">
      <formula1>UnidadesList</formula1>
    </dataValidation>
    <dataValidation type="decimal" operator="greaterThan" allowBlank="1" showInputMessage="1" showErrorMessage="1" sqref="D1770">
      <formula1>0</formula1>
    </dataValidation>
    <dataValidation type="decimal" operator="greaterThan" allowBlank="1" showInputMessage="1" showErrorMessage="1" sqref="E1770">
      <formula1>0</formula1>
    </dataValidation>
    <dataValidation type="whole" operator="greaterThan" allowBlank="1" showInputMessage="1" showErrorMessage="1" sqref="A1771">
      <formula1>0</formula1>
    </dataValidation>
    <dataValidation type="list" allowBlank="1" showInputMessage="1" showErrorMessage="1" sqref="C1771">
      <formula1>UnidadesList</formula1>
    </dataValidation>
    <dataValidation type="decimal" operator="greaterThan" allowBlank="1" showInputMessage="1" showErrorMessage="1" sqref="D1771">
      <formula1>0</formula1>
    </dataValidation>
    <dataValidation type="decimal" operator="greaterThan" allowBlank="1" showInputMessage="1" showErrorMessage="1" sqref="E1771">
      <formula1>0</formula1>
    </dataValidation>
    <dataValidation type="whole" operator="greaterThan" allowBlank="1" showInputMessage="1" showErrorMessage="1" sqref="A1772">
      <formula1>0</formula1>
    </dataValidation>
    <dataValidation type="list" allowBlank="1" showInputMessage="1" showErrorMessage="1" sqref="C1772">
      <formula1>UnidadesList</formula1>
    </dataValidation>
    <dataValidation type="decimal" operator="greaterThan" allowBlank="1" showInputMessage="1" showErrorMessage="1" sqref="D1772">
      <formula1>0</formula1>
    </dataValidation>
    <dataValidation type="decimal" operator="greaterThan" allowBlank="1" showInputMessage="1" showErrorMessage="1" sqref="E1772">
      <formula1>0</formula1>
    </dataValidation>
    <dataValidation type="date" operator="lessThanOrEqual" allowBlank="1" showInputMessage="1" showErrorMessage="1" sqref="C1777">
      <formula1>C1779</formula1>
    </dataValidation>
    <dataValidation type="date" operator="greaterThanOrEqual" allowBlank="1" showInputMessage="1" showErrorMessage="1" sqref="C1779">
      <formula1>C1777</formula1>
    </dataValidation>
    <dataValidation type="list" allowBlank="1" showInputMessage="1" showErrorMessage="1" sqref="F17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7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7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7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783">
      <formula1>0</formula1>
    </dataValidation>
    <dataValidation type="list" allowBlank="1" showInputMessage="1" showErrorMessage="1" sqref="C1783">
      <formula1>UnidadesList</formula1>
    </dataValidation>
    <dataValidation type="decimal" operator="greaterThan" allowBlank="1" showInputMessage="1" showErrorMessage="1" sqref="D1783">
      <formula1>0</formula1>
    </dataValidation>
    <dataValidation type="decimal" operator="greaterThan" allowBlank="1" showInputMessage="1" showErrorMessage="1" sqref="E1783">
      <formula1>0</formula1>
    </dataValidation>
    <dataValidation type="whole" operator="greaterThan" allowBlank="1" showInputMessage="1" showErrorMessage="1" sqref="A1784">
      <formula1>0</formula1>
    </dataValidation>
    <dataValidation type="list" allowBlank="1" showInputMessage="1" showErrorMessage="1" sqref="C1784">
      <formula1>UnidadesList</formula1>
    </dataValidation>
    <dataValidation type="decimal" operator="greaterThan" allowBlank="1" showInputMessage="1" showErrorMessage="1" sqref="D1784">
      <formula1>0</formula1>
    </dataValidation>
    <dataValidation type="decimal" operator="greaterThan" allowBlank="1" showInputMessage="1" showErrorMessage="1" sqref="E1784">
      <formula1>0</formula1>
    </dataValidation>
    <dataValidation type="whole" operator="greaterThan" allowBlank="1" showInputMessage="1" showErrorMessage="1" sqref="A1785">
      <formula1>0</formula1>
    </dataValidation>
    <dataValidation type="list" allowBlank="1" showInputMessage="1" showErrorMessage="1" sqref="C1785">
      <formula1>UnidadesList</formula1>
    </dataValidation>
    <dataValidation type="decimal" operator="greaterThan" allowBlank="1" showInputMessage="1" showErrorMessage="1" sqref="D1785">
      <formula1>0</formula1>
    </dataValidation>
    <dataValidation type="decimal" operator="greaterThan" allowBlank="1" showInputMessage="1" showErrorMessage="1" sqref="E1785">
      <formula1>0</formula1>
    </dataValidation>
    <dataValidation type="whole" operator="greaterThan" allowBlank="1" showInputMessage="1" showErrorMessage="1" sqref="A1786">
      <formula1>0</formula1>
    </dataValidation>
    <dataValidation type="list" allowBlank="1" showInputMessage="1" showErrorMessage="1" sqref="C1786">
      <formula1>UnidadesList</formula1>
    </dataValidation>
    <dataValidation type="decimal" operator="greaterThan" allowBlank="1" showInputMessage="1" showErrorMessage="1" sqref="D1786">
      <formula1>0</formula1>
    </dataValidation>
    <dataValidation type="decimal" operator="greaterThan" allowBlank="1" showInputMessage="1" showErrorMessage="1" sqref="E1786">
      <formula1>0</formula1>
    </dataValidation>
    <dataValidation type="whole" operator="greaterThan" allowBlank="1" showInputMessage="1" showErrorMessage="1" sqref="A1787">
      <formula1>0</formula1>
    </dataValidation>
    <dataValidation type="list" allowBlank="1" showInputMessage="1" showErrorMessage="1" sqref="C1787">
      <formula1>UnidadesList</formula1>
    </dataValidation>
    <dataValidation type="decimal" operator="greaterThan" allowBlank="1" showInputMessage="1" showErrorMessage="1" sqref="D1787">
      <formula1>0</formula1>
    </dataValidation>
    <dataValidation type="decimal" operator="greaterThan" allowBlank="1" showInputMessage="1" showErrorMessage="1" sqref="E1787">
      <formula1>0</formula1>
    </dataValidation>
    <dataValidation type="whole" operator="greaterThan" allowBlank="1" showInputMessage="1" showErrorMessage="1" sqref="A1788">
      <formula1>0</formula1>
    </dataValidation>
    <dataValidation type="list" allowBlank="1" showInputMessage="1" showErrorMessage="1" sqref="C1788">
      <formula1>UnidadesList</formula1>
    </dataValidation>
    <dataValidation type="decimal" operator="greaterThan" allowBlank="1" showInputMessage="1" showErrorMessage="1" sqref="D1788">
      <formula1>0</formula1>
    </dataValidation>
    <dataValidation type="decimal" operator="greaterThan" allowBlank="1" showInputMessage="1" showErrorMessage="1" sqref="E1788">
      <formula1>0</formula1>
    </dataValidation>
    <dataValidation type="whole" operator="greaterThan" allowBlank="1" showInputMessage="1" showErrorMessage="1" sqref="A1789">
      <formula1>0</formula1>
    </dataValidation>
    <dataValidation type="list" allowBlank="1" showInputMessage="1" showErrorMessage="1" sqref="C1789">
      <formula1>UnidadesList</formula1>
    </dataValidation>
    <dataValidation type="decimal" operator="greaterThan" allowBlank="1" showInputMessage="1" showErrorMessage="1" sqref="D1789">
      <formula1>0</formula1>
    </dataValidation>
    <dataValidation type="decimal" operator="greaterThan" allowBlank="1" showInputMessage="1" showErrorMessage="1" sqref="E1789">
      <formula1>0</formula1>
    </dataValidation>
    <dataValidation type="whole" operator="greaterThan" allowBlank="1" showInputMessage="1" showErrorMessage="1" sqref="A1790">
      <formula1>0</formula1>
    </dataValidation>
    <dataValidation type="list" allowBlank="1" showInputMessage="1" showErrorMessage="1" sqref="C1790">
      <formula1>UnidadesList</formula1>
    </dataValidation>
    <dataValidation type="decimal" operator="greaterThan" allowBlank="1" showInputMessage="1" showErrorMessage="1" sqref="D1790">
      <formula1>0</formula1>
    </dataValidation>
    <dataValidation type="decimal" operator="greaterThan" allowBlank="1" showInputMessage="1" showErrorMessage="1" sqref="E1790">
      <formula1>0</formula1>
    </dataValidation>
    <dataValidation type="whole" operator="greaterThan" allowBlank="1" showInputMessage="1" showErrorMessage="1" sqref="A1791">
      <formula1>0</formula1>
    </dataValidation>
    <dataValidation type="list" allowBlank="1" showInputMessage="1" showErrorMessage="1" sqref="C1791">
      <formula1>UnidadesList</formula1>
    </dataValidation>
    <dataValidation type="decimal" operator="greaterThan" allowBlank="1" showInputMessage="1" showErrorMessage="1" sqref="D1791">
      <formula1>0</formula1>
    </dataValidation>
    <dataValidation type="decimal" operator="greaterThan" allowBlank="1" showInputMessage="1" showErrorMessage="1" sqref="E1791">
      <formula1>0</formula1>
    </dataValidation>
    <dataValidation type="whole" operator="greaterThan" allowBlank="1" showInputMessage="1" showErrorMessage="1" sqref="A1792">
      <formula1>0</formula1>
    </dataValidation>
    <dataValidation type="list" allowBlank="1" showInputMessage="1" showErrorMessage="1" sqref="C1792">
      <formula1>UnidadesList</formula1>
    </dataValidation>
    <dataValidation type="decimal" operator="greaterThan" allowBlank="1" showInputMessage="1" showErrorMessage="1" sqref="D1792">
      <formula1>0</formula1>
    </dataValidation>
    <dataValidation type="decimal" operator="greaterThan" allowBlank="1" showInputMessage="1" showErrorMessage="1" sqref="E1792">
      <formula1>0</formula1>
    </dataValidation>
    <dataValidation type="whole" operator="greaterThan" allowBlank="1" showInputMessage="1" showErrorMessage="1" sqref="A1793">
      <formula1>0</formula1>
    </dataValidation>
    <dataValidation type="list" allowBlank="1" showInputMessage="1" showErrorMessage="1" sqref="C1793">
      <formula1>UnidadesList</formula1>
    </dataValidation>
    <dataValidation type="decimal" operator="greaterThan" allowBlank="1" showInputMessage="1" showErrorMessage="1" sqref="D1793">
      <formula1>0</formula1>
    </dataValidation>
    <dataValidation type="decimal" operator="greaterThan" allowBlank="1" showInputMessage="1" showErrorMessage="1" sqref="E1793">
      <formula1>0</formula1>
    </dataValidation>
    <dataValidation type="whole" operator="greaterThan" allowBlank="1" showInputMessage="1" showErrorMessage="1" sqref="A1794">
      <formula1>0</formula1>
    </dataValidation>
    <dataValidation type="list" allowBlank="1" showInputMessage="1" showErrorMessage="1" sqref="C1794">
      <formula1>UnidadesList</formula1>
    </dataValidation>
    <dataValidation type="decimal" operator="greaterThan" allowBlank="1" showInputMessage="1" showErrorMessage="1" sqref="D1794">
      <formula1>0</formula1>
    </dataValidation>
    <dataValidation type="decimal" operator="greaterThan" allowBlank="1" showInputMessage="1" showErrorMessage="1" sqref="E1794">
      <formula1>0</formula1>
    </dataValidation>
    <dataValidation type="whole" operator="greaterThan" allowBlank="1" showInputMessage="1" showErrorMessage="1" sqref="A1795">
      <formula1>0</formula1>
    </dataValidation>
    <dataValidation type="list" allowBlank="1" showInputMessage="1" showErrorMessage="1" sqref="C1795">
      <formula1>UnidadesList</formula1>
    </dataValidation>
    <dataValidation type="decimal" operator="greaterThan" allowBlank="1" showInputMessage="1" showErrorMessage="1" sqref="D1795">
      <formula1>0</formula1>
    </dataValidation>
    <dataValidation type="decimal" operator="greaterThan" allowBlank="1" showInputMessage="1" showErrorMessage="1" sqref="E1795">
      <formula1>0</formula1>
    </dataValidation>
    <dataValidation type="whole" operator="greaterThan" allowBlank="1" showInputMessage="1" showErrorMessage="1" sqref="A1796">
      <formula1>0</formula1>
    </dataValidation>
    <dataValidation type="list" allowBlank="1" showInputMessage="1" showErrorMessage="1" sqref="C1796">
      <formula1>UnidadesList</formula1>
    </dataValidation>
    <dataValidation type="decimal" operator="greaterThan" allowBlank="1" showInputMessage="1" showErrorMessage="1" sqref="D1796">
      <formula1>0</formula1>
    </dataValidation>
    <dataValidation type="decimal" operator="greaterThan" allowBlank="1" showInputMessage="1" showErrorMessage="1" sqref="E1796">
      <formula1>0</formula1>
    </dataValidation>
    <dataValidation type="whole" operator="greaterThan" allowBlank="1" showInputMessage="1" showErrorMessage="1" sqref="A1797">
      <formula1>0</formula1>
    </dataValidation>
    <dataValidation type="list" allowBlank="1" showInputMessage="1" showErrorMessage="1" sqref="C1797">
      <formula1>UnidadesList</formula1>
    </dataValidation>
    <dataValidation type="decimal" operator="greaterThan" allowBlank="1" showInputMessage="1" showErrorMessage="1" sqref="D1797">
      <formula1>0</formula1>
    </dataValidation>
    <dataValidation type="decimal" operator="greaterThan" allowBlank="1" showInputMessage="1" showErrorMessage="1" sqref="E1797">
      <formula1>0</formula1>
    </dataValidation>
    <dataValidation type="date" operator="lessThanOrEqual" allowBlank="1" showInputMessage="1" showErrorMessage="1" sqref="C1802">
      <formula1>C1804</formula1>
    </dataValidation>
    <dataValidation type="date" operator="greaterThanOrEqual" allowBlank="1" showInputMessage="1" showErrorMessage="1" sqref="C1804">
      <formula1>C1802</formula1>
    </dataValidation>
    <dataValidation type="list" allowBlank="1" showInputMessage="1" showErrorMessage="1" sqref="F18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08">
      <formula1>0</formula1>
    </dataValidation>
    <dataValidation type="list" allowBlank="1" showInputMessage="1" showErrorMessage="1" sqref="C1808">
      <formula1>UnidadesList</formula1>
    </dataValidation>
    <dataValidation type="decimal" operator="greaterThan" allowBlank="1" showInputMessage="1" showErrorMessage="1" sqref="D1808">
      <formula1>0</formula1>
    </dataValidation>
    <dataValidation type="decimal" operator="greaterThan" allowBlank="1" showInputMessage="1" showErrorMessage="1" sqref="E1808">
      <formula1>0</formula1>
    </dataValidation>
    <dataValidation type="whole" operator="greaterThan" allowBlank="1" showInputMessage="1" showErrorMessage="1" sqref="A1809">
      <formula1>0</formula1>
    </dataValidation>
    <dataValidation type="list" allowBlank="1" showInputMessage="1" showErrorMessage="1" sqref="C1809">
      <formula1>UnidadesList</formula1>
    </dataValidation>
    <dataValidation type="decimal" operator="greaterThan" allowBlank="1" showInputMessage="1" showErrorMessage="1" sqref="D1809">
      <formula1>0</formula1>
    </dataValidation>
    <dataValidation type="decimal" operator="greaterThan" allowBlank="1" showInputMessage="1" showErrorMessage="1" sqref="E1809">
      <formula1>0</formula1>
    </dataValidation>
    <dataValidation type="whole" operator="greaterThan" allowBlank="1" showInputMessage="1" showErrorMessage="1" sqref="A1810">
      <formula1>0</formula1>
    </dataValidation>
    <dataValidation type="list" allowBlank="1" showInputMessage="1" showErrorMessage="1" sqref="C1810">
      <formula1>UnidadesList</formula1>
    </dataValidation>
    <dataValidation type="decimal" operator="greaterThan" allowBlank="1" showInputMessage="1" showErrorMessage="1" sqref="D1810">
      <formula1>0</formula1>
    </dataValidation>
    <dataValidation type="decimal" operator="greaterThan" allowBlank="1" showInputMessage="1" showErrorMessage="1" sqref="E1810">
      <formula1>0</formula1>
    </dataValidation>
    <dataValidation type="whole" operator="greaterThan" allowBlank="1" showInputMessage="1" showErrorMessage="1" sqref="A1811">
      <formula1>0</formula1>
    </dataValidation>
    <dataValidation type="list" allowBlank="1" showInputMessage="1" showErrorMessage="1" sqref="C1811">
      <formula1>UnidadesList</formula1>
    </dataValidation>
    <dataValidation type="decimal" operator="greaterThan" allowBlank="1" showInputMessage="1" showErrorMessage="1" sqref="D1811">
      <formula1>0</formula1>
    </dataValidation>
    <dataValidation type="decimal" operator="greaterThan" allowBlank="1" showInputMessage="1" showErrorMessage="1" sqref="E1811">
      <formula1>0</formula1>
    </dataValidation>
    <dataValidation type="whole" operator="greaterThan" allowBlank="1" showInputMessage="1" showErrorMessage="1" sqref="A1812">
      <formula1>0</formula1>
    </dataValidation>
    <dataValidation type="list" allowBlank="1" showInputMessage="1" showErrorMessage="1" sqref="C1812">
      <formula1>UnidadesList</formula1>
    </dataValidation>
    <dataValidation type="decimal" operator="greaterThan" allowBlank="1" showInputMessage="1" showErrorMessage="1" sqref="D1812">
      <formula1>0</formula1>
    </dataValidation>
    <dataValidation type="decimal" operator="greaterThan" allowBlank="1" showInputMessage="1" showErrorMessage="1" sqref="E1812">
      <formula1>0</formula1>
    </dataValidation>
    <dataValidation type="whole" operator="greaterThan" allowBlank="1" showInputMessage="1" showErrorMessage="1" sqref="A1813">
      <formula1>0</formula1>
    </dataValidation>
    <dataValidation type="list" allowBlank="1" showInputMessage="1" showErrorMessage="1" sqref="C1813">
      <formula1>UnidadesList</formula1>
    </dataValidation>
    <dataValidation type="decimal" operator="greaterThan" allowBlank="1" showInputMessage="1" showErrorMessage="1" sqref="D1813">
      <formula1>0</formula1>
    </dataValidation>
    <dataValidation type="decimal" operator="greaterThan" allowBlank="1" showInputMessage="1" showErrorMessage="1" sqref="E1813">
      <formula1>0</formula1>
    </dataValidation>
    <dataValidation type="whole" operator="greaterThan" allowBlank="1" showInputMessage="1" showErrorMessage="1" sqref="A1814">
      <formula1>0</formula1>
    </dataValidation>
    <dataValidation type="list" allowBlank="1" showInputMessage="1" showErrorMessage="1" sqref="C1814">
      <formula1>UnidadesList</formula1>
    </dataValidation>
    <dataValidation type="decimal" operator="greaterThan" allowBlank="1" showInputMessage="1" showErrorMessage="1" sqref="D1814">
      <formula1>0</formula1>
    </dataValidation>
    <dataValidation type="decimal" operator="greaterThan" allowBlank="1" showInputMessage="1" showErrorMessage="1" sqref="E1814">
      <formula1>0</formula1>
    </dataValidation>
    <dataValidation type="whole" operator="greaterThan" allowBlank="1" showInputMessage="1" showErrorMessage="1" sqref="A1815">
      <formula1>0</formula1>
    </dataValidation>
    <dataValidation type="list" allowBlank="1" showInputMessage="1" showErrorMessage="1" sqref="C1815">
      <formula1>UnidadesList</formula1>
    </dataValidation>
    <dataValidation type="decimal" operator="greaterThan" allowBlank="1" showInputMessage="1" showErrorMessage="1" sqref="D1815">
      <formula1>0</formula1>
    </dataValidation>
    <dataValidation type="decimal" operator="greaterThan" allowBlank="1" showInputMessage="1" showErrorMessage="1" sqref="E1815">
      <formula1>0</formula1>
    </dataValidation>
    <dataValidation type="whole" operator="greaterThan" allowBlank="1" showInputMessage="1" showErrorMessage="1" sqref="A1816">
      <formula1>0</formula1>
    </dataValidation>
    <dataValidation type="list" allowBlank="1" showInputMessage="1" showErrorMessage="1" sqref="C1816">
      <formula1>UnidadesList</formula1>
    </dataValidation>
    <dataValidation type="decimal" operator="greaterThan" allowBlank="1" showInputMessage="1" showErrorMessage="1" sqref="D1816">
      <formula1>0</formula1>
    </dataValidation>
    <dataValidation type="decimal" operator="greaterThan" allowBlank="1" showInputMessage="1" showErrorMessage="1" sqref="E1816">
      <formula1>0</formula1>
    </dataValidation>
    <dataValidation type="whole" operator="greaterThan" allowBlank="1" showInputMessage="1" showErrorMessage="1" sqref="A1817">
      <formula1>0</formula1>
    </dataValidation>
    <dataValidation type="list" allowBlank="1" showInputMessage="1" showErrorMessage="1" sqref="C1817">
      <formula1>UnidadesList</formula1>
    </dataValidation>
    <dataValidation type="decimal" operator="greaterThan" allowBlank="1" showInputMessage="1" showErrorMessage="1" sqref="D1817">
      <formula1>0</formula1>
    </dataValidation>
    <dataValidation type="decimal" operator="greaterThan" allowBlank="1" showInputMessage="1" showErrorMessage="1" sqref="E1817">
      <formula1>0</formula1>
    </dataValidation>
    <dataValidation type="whole" operator="greaterThan" allowBlank="1" showInputMessage="1" showErrorMessage="1" sqref="A1818">
      <formula1>0</formula1>
    </dataValidation>
    <dataValidation type="list" allowBlank="1" showInputMessage="1" showErrorMessage="1" sqref="C1818">
      <formula1>UnidadesList</formula1>
    </dataValidation>
    <dataValidation type="decimal" operator="greaterThan" allowBlank="1" showInputMessage="1" showErrorMessage="1" sqref="D1818">
      <formula1>0</formula1>
    </dataValidation>
    <dataValidation type="decimal" operator="greaterThan" allowBlank="1" showInputMessage="1" showErrorMessage="1" sqref="E1818">
      <formula1>0</formula1>
    </dataValidation>
    <dataValidation type="whole" operator="greaterThan" allowBlank="1" showInputMessage="1" showErrorMessage="1" sqref="A1819">
      <formula1>0</formula1>
    </dataValidation>
    <dataValidation type="list" allowBlank="1" showInputMessage="1" showErrorMessage="1" sqref="C1819">
      <formula1>UnidadesList</formula1>
    </dataValidation>
    <dataValidation type="decimal" operator="greaterThan" allowBlank="1" showInputMessage="1" showErrorMessage="1" sqref="D1819">
      <formula1>0</formula1>
    </dataValidation>
    <dataValidation type="decimal" operator="greaterThan" allowBlank="1" showInputMessage="1" showErrorMessage="1" sqref="E1819">
      <formula1>0</formula1>
    </dataValidation>
    <dataValidation type="whole" operator="greaterThan" allowBlank="1" showInputMessage="1" showErrorMessage="1" sqref="A1820">
      <formula1>0</formula1>
    </dataValidation>
    <dataValidation type="list" allowBlank="1" showInputMessage="1" showErrorMessage="1" sqref="C1820">
      <formula1>UnidadesList</formula1>
    </dataValidation>
    <dataValidation type="decimal" operator="greaterThan" allowBlank="1" showInputMessage="1" showErrorMessage="1" sqref="D1820">
      <formula1>0</formula1>
    </dataValidation>
    <dataValidation type="decimal" operator="greaterThan" allowBlank="1" showInputMessage="1" showErrorMessage="1" sqref="E1820">
      <formula1>0</formula1>
    </dataValidation>
    <dataValidation type="whole" operator="greaterThan" allowBlank="1" showInputMessage="1" showErrorMessage="1" sqref="A1821">
      <formula1>0</formula1>
    </dataValidation>
    <dataValidation type="list" allowBlank="1" showInputMessage="1" showErrorMessage="1" sqref="C1821">
      <formula1>UnidadesList</formula1>
    </dataValidation>
    <dataValidation type="decimal" operator="greaterThan" allowBlank="1" showInputMessage="1" showErrorMessage="1" sqref="D1821">
      <formula1>0</formula1>
    </dataValidation>
    <dataValidation type="decimal" operator="greaterThan" allowBlank="1" showInputMessage="1" showErrorMessage="1" sqref="E1821">
      <formula1>0</formula1>
    </dataValidation>
    <dataValidation type="whole" operator="greaterThan" allowBlank="1" showInputMessage="1" showErrorMessage="1" sqref="A1822">
      <formula1>0</formula1>
    </dataValidation>
    <dataValidation type="list" allowBlank="1" showInputMessage="1" showErrorMessage="1" sqref="C1822">
      <formula1>UnidadesList</formula1>
    </dataValidation>
    <dataValidation type="decimal" operator="greaterThan" allowBlank="1" showInputMessage="1" showErrorMessage="1" sqref="D1822">
      <formula1>0</formula1>
    </dataValidation>
    <dataValidation type="decimal" operator="greaterThan" allowBlank="1" showInputMessage="1" showErrorMessage="1" sqref="E1822">
      <formula1>0</formula1>
    </dataValidation>
    <dataValidation type="whole" operator="greaterThan" allowBlank="1" showInputMessage="1" showErrorMessage="1" sqref="A1823">
      <formula1>0</formula1>
    </dataValidation>
    <dataValidation type="list" allowBlank="1" showInputMessage="1" showErrorMessage="1" sqref="C1823">
      <formula1>UnidadesList</formula1>
    </dataValidation>
    <dataValidation type="decimal" operator="greaterThan" allowBlank="1" showInputMessage="1" showErrorMessage="1" sqref="D1823">
      <formula1>0</formula1>
    </dataValidation>
    <dataValidation type="decimal" operator="greaterThan" allowBlank="1" showInputMessage="1" showErrorMessage="1" sqref="E1823">
      <formula1>0</formula1>
    </dataValidation>
    <dataValidation type="whole" operator="greaterThan" allowBlank="1" showInputMessage="1" showErrorMessage="1" sqref="A1824">
      <formula1>0</formula1>
    </dataValidation>
    <dataValidation type="list" allowBlank="1" showInputMessage="1" showErrorMessage="1" sqref="C1824">
      <formula1>UnidadesList</formula1>
    </dataValidation>
    <dataValidation type="decimal" operator="greaterThan" allowBlank="1" showInputMessage="1" showErrorMessage="1" sqref="D1824">
      <formula1>0</formula1>
    </dataValidation>
    <dataValidation type="decimal" operator="greaterThan" allowBlank="1" showInputMessage="1" showErrorMessage="1" sqref="E1824">
      <formula1>0</formula1>
    </dataValidation>
    <dataValidation type="whole" operator="greaterThan" allowBlank="1" showInputMessage="1" showErrorMessage="1" sqref="A1825">
      <formula1>0</formula1>
    </dataValidation>
    <dataValidation type="list" allowBlank="1" showInputMessage="1" showErrorMessage="1" sqref="C1825">
      <formula1>UnidadesList</formula1>
    </dataValidation>
    <dataValidation type="decimal" operator="greaterThan" allowBlank="1" showInputMessage="1" showErrorMessage="1" sqref="D1825">
      <formula1>0</formula1>
    </dataValidation>
    <dataValidation type="decimal" operator="greaterThan" allowBlank="1" showInputMessage="1" showErrorMessage="1" sqref="E1825">
      <formula1>0</formula1>
    </dataValidation>
    <dataValidation type="whole" operator="greaterThan" allowBlank="1" showInputMessage="1" showErrorMessage="1" sqref="A1826">
      <formula1>0</formula1>
    </dataValidation>
    <dataValidation type="list" allowBlank="1" showInputMessage="1" showErrorMessage="1" sqref="C1826">
      <formula1>UnidadesList</formula1>
    </dataValidation>
    <dataValidation type="decimal" operator="greaterThan" allowBlank="1" showInputMessage="1" showErrorMessage="1" sqref="D1826">
      <formula1>0</formula1>
    </dataValidation>
    <dataValidation type="decimal" operator="greaterThan" allowBlank="1" showInputMessage="1" showErrorMessage="1" sqref="E1826">
      <formula1>0</formula1>
    </dataValidation>
    <dataValidation type="whole" operator="greaterThan" allowBlank="1" showInputMessage="1" showErrorMessage="1" sqref="A1827">
      <formula1>0</formula1>
    </dataValidation>
    <dataValidation type="list" allowBlank="1" showInputMessage="1" showErrorMessage="1" sqref="C1827">
      <formula1>UnidadesList</formula1>
    </dataValidation>
    <dataValidation type="decimal" operator="greaterThan" allowBlank="1" showInputMessage="1" showErrorMessage="1" sqref="D1827">
      <formula1>0</formula1>
    </dataValidation>
    <dataValidation type="decimal" operator="greaterThan" allowBlank="1" showInputMessage="1" showErrorMessage="1" sqref="E1827">
      <formula1>0</formula1>
    </dataValidation>
    <dataValidation type="whole" operator="greaterThan" allowBlank="1" showInputMessage="1" showErrorMessage="1" sqref="A1828">
      <formula1>0</formula1>
    </dataValidation>
    <dataValidation type="list" allowBlank="1" showInputMessage="1" showErrorMessage="1" sqref="C1828">
      <formula1>UnidadesList</formula1>
    </dataValidation>
    <dataValidation type="decimal" operator="greaterThan" allowBlank="1" showInputMessage="1" showErrorMessage="1" sqref="D1828">
      <formula1>0</formula1>
    </dataValidation>
    <dataValidation type="decimal" operator="greaterThan" allowBlank="1" showInputMessage="1" showErrorMessage="1" sqref="E1828">
      <formula1>0</formula1>
    </dataValidation>
    <dataValidation type="whole" operator="greaterThan" allowBlank="1" showInputMessage="1" showErrorMessage="1" sqref="A1829">
      <formula1>0</formula1>
    </dataValidation>
    <dataValidation type="list" allowBlank="1" showInputMessage="1" showErrorMessage="1" sqref="C1829">
      <formula1>UnidadesList</formula1>
    </dataValidation>
    <dataValidation type="decimal" operator="greaterThan" allowBlank="1" showInputMessage="1" showErrorMessage="1" sqref="D1829">
      <formula1>0</formula1>
    </dataValidation>
    <dataValidation type="decimal" operator="greaterThan" allowBlank="1" showInputMessage="1" showErrorMessage="1" sqref="E1829">
      <formula1>0</formula1>
    </dataValidation>
    <dataValidation type="whole" operator="greaterThan" allowBlank="1" showInputMessage="1" showErrorMessage="1" sqref="A1830">
      <formula1>0</formula1>
    </dataValidation>
    <dataValidation type="list" allowBlank="1" showInputMessage="1" showErrorMessage="1" sqref="C1830">
      <formula1>UnidadesList</formula1>
    </dataValidation>
    <dataValidation type="decimal" operator="greaterThan" allowBlank="1" showInputMessage="1" showErrorMessage="1" sqref="D1830">
      <formula1>0</formula1>
    </dataValidation>
    <dataValidation type="decimal" operator="greaterThan" allowBlank="1" showInputMessage="1" showErrorMessage="1" sqref="E1830">
      <formula1>0</formula1>
    </dataValidation>
    <dataValidation type="whole" operator="greaterThan" allowBlank="1" showInputMessage="1" showErrorMessage="1" sqref="A1831">
      <formula1>0</formula1>
    </dataValidation>
    <dataValidation type="list" allowBlank="1" showInputMessage="1" showErrorMessage="1" sqref="C1831">
      <formula1>UnidadesList</formula1>
    </dataValidation>
    <dataValidation type="decimal" operator="greaterThan" allowBlank="1" showInputMessage="1" showErrorMessage="1" sqref="D1831">
      <formula1>0</formula1>
    </dataValidation>
    <dataValidation type="decimal" operator="greaterThan" allowBlank="1" showInputMessage="1" showErrorMessage="1" sqref="E1831">
      <formula1>0</formula1>
    </dataValidation>
    <dataValidation type="whole" operator="greaterThan" allowBlank="1" showInputMessage="1" showErrorMessage="1" sqref="A1832">
      <formula1>0</formula1>
    </dataValidation>
    <dataValidation type="list" allowBlank="1" showInputMessage="1" showErrorMessage="1" sqref="C1832">
      <formula1>UnidadesList</formula1>
    </dataValidation>
    <dataValidation type="decimal" operator="greaterThan" allowBlank="1" showInputMessage="1" showErrorMessage="1" sqref="D1832">
      <formula1>0</formula1>
    </dataValidation>
    <dataValidation type="decimal" operator="greaterThan" allowBlank="1" showInputMessage="1" showErrorMessage="1" sqref="E1832">
      <formula1>0</formula1>
    </dataValidation>
    <dataValidation type="whole" operator="greaterThan" allowBlank="1" showInputMessage="1" showErrorMessage="1" sqref="A1833">
      <formula1>0</formula1>
    </dataValidation>
    <dataValidation type="list" allowBlank="1" showInputMessage="1" showErrorMessage="1" sqref="C1833">
      <formula1>UnidadesList</formula1>
    </dataValidation>
    <dataValidation type="decimal" operator="greaterThan" allowBlank="1" showInputMessage="1" showErrorMessage="1" sqref="D1833">
      <formula1>0</formula1>
    </dataValidation>
    <dataValidation type="decimal" operator="greaterThan" allowBlank="1" showInputMessage="1" showErrorMessage="1" sqref="E1833">
      <formula1>0</formula1>
    </dataValidation>
    <dataValidation type="whole" operator="greaterThan" allowBlank="1" showInputMessage="1" showErrorMessage="1" sqref="A1834">
      <formula1>0</formula1>
    </dataValidation>
    <dataValidation type="list" allowBlank="1" showInputMessage="1" showErrorMessage="1" sqref="C1834">
      <formula1>UnidadesList</formula1>
    </dataValidation>
    <dataValidation type="decimal" operator="greaterThan" allowBlank="1" showInputMessage="1" showErrorMessage="1" sqref="D1834">
      <formula1>0</formula1>
    </dataValidation>
    <dataValidation type="decimal" operator="greaterThan" allowBlank="1" showInputMessage="1" showErrorMessage="1" sqref="E1834">
      <formula1>0</formula1>
    </dataValidation>
    <dataValidation type="whole" operator="greaterThan" allowBlank="1" showInputMessage="1" showErrorMessage="1" sqref="A1835">
      <formula1>0</formula1>
    </dataValidation>
    <dataValidation type="list" allowBlank="1" showInputMessage="1" showErrorMessage="1" sqref="C1835">
      <formula1>UnidadesList</formula1>
    </dataValidation>
    <dataValidation type="decimal" operator="greaterThan" allowBlank="1" showInputMessage="1" showErrorMessage="1" sqref="D1835">
      <formula1>0</formula1>
    </dataValidation>
    <dataValidation type="decimal" operator="greaterThan" allowBlank="1" showInputMessage="1" showErrorMessage="1" sqref="E1835">
      <formula1>0</formula1>
    </dataValidation>
    <dataValidation type="whole" operator="greaterThan" allowBlank="1" showInputMessage="1" showErrorMessage="1" sqref="A1836">
      <formula1>0</formula1>
    </dataValidation>
    <dataValidation type="list" allowBlank="1" showInputMessage="1" showErrorMessage="1" sqref="C1836">
      <formula1>UnidadesList</formula1>
    </dataValidation>
    <dataValidation type="decimal" operator="greaterThan" allowBlank="1" showInputMessage="1" showErrorMessage="1" sqref="D1836">
      <formula1>0</formula1>
    </dataValidation>
    <dataValidation type="decimal" operator="greaterThan" allowBlank="1" showInputMessage="1" showErrorMessage="1" sqref="E1836">
      <formula1>0</formula1>
    </dataValidation>
    <dataValidation type="whole" operator="greaterThan" allowBlank="1" showInputMessage="1" showErrorMessage="1" sqref="A1837">
      <formula1>0</formula1>
    </dataValidation>
    <dataValidation type="list" allowBlank="1" showInputMessage="1" showErrorMessage="1" sqref="C1837">
      <formula1>UnidadesList</formula1>
    </dataValidation>
    <dataValidation type="decimal" operator="greaterThan" allowBlank="1" showInputMessage="1" showErrorMessage="1" sqref="D1837">
      <formula1>0</formula1>
    </dataValidation>
    <dataValidation type="decimal" operator="greaterThan" allowBlank="1" showInputMessage="1" showErrorMessage="1" sqref="E1837">
      <formula1>0</formula1>
    </dataValidation>
    <dataValidation type="whole" operator="greaterThan" allowBlank="1" showInputMessage="1" showErrorMessage="1" sqref="A1838">
      <formula1>0</formula1>
    </dataValidation>
    <dataValidation type="list" allowBlank="1" showInputMessage="1" showErrorMessage="1" sqref="C1838">
      <formula1>UnidadesList</formula1>
    </dataValidation>
    <dataValidation type="decimal" operator="greaterThan" allowBlank="1" showInputMessage="1" showErrorMessage="1" sqref="D1838">
      <formula1>0</formula1>
    </dataValidation>
    <dataValidation type="decimal" operator="greaterThan" allowBlank="1" showInputMessage="1" showErrorMessage="1" sqref="E1838">
      <formula1>0</formula1>
    </dataValidation>
    <dataValidation type="whole" operator="greaterThan" allowBlank="1" showInputMessage="1" showErrorMessage="1" sqref="A1839">
      <formula1>0</formula1>
    </dataValidation>
    <dataValidation type="list" allowBlank="1" showInputMessage="1" showErrorMessage="1" sqref="C1839">
      <formula1>UnidadesList</formula1>
    </dataValidation>
    <dataValidation type="decimal" operator="greaterThan" allowBlank="1" showInputMessage="1" showErrorMessage="1" sqref="D1839">
      <formula1>0</formula1>
    </dataValidation>
    <dataValidation type="decimal" operator="greaterThan" allowBlank="1" showInputMessage="1" showErrorMessage="1" sqref="E1839">
      <formula1>0</formula1>
    </dataValidation>
    <dataValidation type="whole" operator="greaterThan" allowBlank="1" showInputMessage="1" showErrorMessage="1" sqref="A1840">
      <formula1>0</formula1>
    </dataValidation>
    <dataValidation type="list" allowBlank="1" showInputMessage="1" showErrorMessage="1" sqref="C1840">
      <formula1>UnidadesList</formula1>
    </dataValidation>
    <dataValidation type="decimal" operator="greaterThan" allowBlank="1" showInputMessage="1" showErrorMessage="1" sqref="D1840">
      <formula1>0</formula1>
    </dataValidation>
    <dataValidation type="decimal" operator="greaterThan" allowBlank="1" showInputMessage="1" showErrorMessage="1" sqref="E1840">
      <formula1>0</formula1>
    </dataValidation>
    <dataValidation type="whole" operator="greaterThan" allowBlank="1" showInputMessage="1" showErrorMessage="1" sqref="A1841">
      <formula1>0</formula1>
    </dataValidation>
    <dataValidation type="list" allowBlank="1" showInputMessage="1" showErrorMessage="1" sqref="C1841">
      <formula1>UnidadesList</formula1>
    </dataValidation>
    <dataValidation type="decimal" operator="greaterThan" allowBlank="1" showInputMessage="1" showErrorMessage="1" sqref="D1841">
      <formula1>0</formula1>
    </dataValidation>
    <dataValidation type="decimal" operator="greaterThan" allowBlank="1" showInputMessage="1" showErrorMessage="1" sqref="E1841">
      <formula1>0</formula1>
    </dataValidation>
    <dataValidation type="whole" operator="greaterThan" allowBlank="1" showInputMessage="1" showErrorMessage="1" sqref="A1842">
      <formula1>0</formula1>
    </dataValidation>
    <dataValidation type="list" allowBlank="1" showInputMessage="1" showErrorMessage="1" sqref="C1842">
      <formula1>UnidadesList</formula1>
    </dataValidation>
    <dataValidation type="decimal" operator="greaterThan" allowBlank="1" showInputMessage="1" showErrorMessage="1" sqref="D1842">
      <formula1>0</formula1>
    </dataValidation>
    <dataValidation type="decimal" operator="greaterThan" allowBlank="1" showInputMessage="1" showErrorMessage="1" sqref="E1842">
      <formula1>0</formula1>
    </dataValidation>
    <dataValidation type="whole" operator="greaterThan" allowBlank="1" showInputMessage="1" showErrorMessage="1" sqref="A1843">
      <formula1>0</formula1>
    </dataValidation>
    <dataValidation type="list" allowBlank="1" showInputMessage="1" showErrorMessage="1" sqref="C1843">
      <formula1>UnidadesList</formula1>
    </dataValidation>
    <dataValidation type="decimal" operator="greaterThan" allowBlank="1" showInputMessage="1" showErrorMessage="1" sqref="D1843">
      <formula1>0</formula1>
    </dataValidation>
    <dataValidation type="decimal" operator="greaterThan" allowBlank="1" showInputMessage="1" showErrorMessage="1" sqref="E1843">
      <formula1>0</formula1>
    </dataValidation>
    <dataValidation type="whole" operator="greaterThan" allowBlank="1" showInputMessage="1" showErrorMessage="1" sqref="A1844">
      <formula1>0</formula1>
    </dataValidation>
    <dataValidation type="list" allowBlank="1" showInputMessage="1" showErrorMessage="1" sqref="C1844">
      <formula1>UnidadesList</formula1>
    </dataValidation>
    <dataValidation type="decimal" operator="greaterThan" allowBlank="1" showInputMessage="1" showErrorMessage="1" sqref="D1844">
      <formula1>0</formula1>
    </dataValidation>
    <dataValidation type="decimal" operator="greaterThan" allowBlank="1" showInputMessage="1" showErrorMessage="1" sqref="E1844">
      <formula1>0</formula1>
    </dataValidation>
    <dataValidation type="whole" operator="greaterThan" allowBlank="1" showInputMessage="1" showErrorMessage="1" sqref="A1845">
      <formula1>0</formula1>
    </dataValidation>
    <dataValidation type="list" allowBlank="1" showInputMessage="1" showErrorMessage="1" sqref="C1845">
      <formula1>UnidadesList</formula1>
    </dataValidation>
    <dataValidation type="decimal" operator="greaterThan" allowBlank="1" showInputMessage="1" showErrorMessage="1" sqref="D1845">
      <formula1>0</formula1>
    </dataValidation>
    <dataValidation type="decimal" operator="greaterThan" allowBlank="1" showInputMessage="1" showErrorMessage="1" sqref="E1845">
      <formula1>0</formula1>
    </dataValidation>
    <dataValidation type="whole" operator="greaterThan" allowBlank="1" showInputMessage="1" showErrorMessage="1" sqref="A1846">
      <formula1>0</formula1>
    </dataValidation>
    <dataValidation type="list" allowBlank="1" showInputMessage="1" showErrorMessage="1" sqref="C1846">
      <formula1>UnidadesList</formula1>
    </dataValidation>
    <dataValidation type="decimal" operator="greaterThan" allowBlank="1" showInputMessage="1" showErrorMessage="1" sqref="D1846">
      <formula1>0</formula1>
    </dataValidation>
    <dataValidation type="decimal" operator="greaterThan" allowBlank="1" showInputMessage="1" showErrorMessage="1" sqref="E1846">
      <formula1>0</formula1>
    </dataValidation>
    <dataValidation type="whole" operator="greaterThan" allowBlank="1" showInputMessage="1" showErrorMessage="1" sqref="A1847">
      <formula1>0</formula1>
    </dataValidation>
    <dataValidation type="list" allowBlank="1" showInputMessage="1" showErrorMessage="1" sqref="C1847">
      <formula1>UnidadesList</formula1>
    </dataValidation>
    <dataValidation type="decimal" operator="greaterThan" allowBlank="1" showInputMessage="1" showErrorMessage="1" sqref="D1847">
      <formula1>0</formula1>
    </dataValidation>
    <dataValidation type="decimal" operator="greaterThan" allowBlank="1" showInputMessage="1" showErrorMessage="1" sqref="E1847">
      <formula1>0</formula1>
    </dataValidation>
    <dataValidation type="whole" operator="greaterThan" allowBlank="1" showInputMessage="1" showErrorMessage="1" sqref="A1848">
      <formula1>0</formula1>
    </dataValidation>
    <dataValidation type="list" allowBlank="1" showInputMessage="1" showErrorMessage="1" sqref="C1848">
      <formula1>UnidadesList</formula1>
    </dataValidation>
    <dataValidation type="decimal" operator="greaterThan" allowBlank="1" showInputMessage="1" showErrorMessage="1" sqref="D1848">
      <formula1>0</formula1>
    </dataValidation>
    <dataValidation type="decimal" operator="greaterThan" allowBlank="1" showInputMessage="1" showErrorMessage="1" sqref="E1848">
      <formula1>0</formula1>
    </dataValidation>
    <dataValidation type="whole" operator="greaterThan" allowBlank="1" showInputMessage="1" showErrorMessage="1" sqref="A1849">
      <formula1>0</formula1>
    </dataValidation>
    <dataValidation type="list" allowBlank="1" showInputMessage="1" showErrorMessage="1" sqref="C1849">
      <formula1>UnidadesList</formula1>
    </dataValidation>
    <dataValidation type="decimal" operator="greaterThan" allowBlank="1" showInputMessage="1" showErrorMessage="1" sqref="D1849">
      <formula1>0</formula1>
    </dataValidation>
    <dataValidation type="decimal" operator="greaterThan" allowBlank="1" showInputMessage="1" showErrorMessage="1" sqref="E1849">
      <formula1>0</formula1>
    </dataValidation>
    <dataValidation type="whole" operator="greaterThan" allowBlank="1" showInputMessage="1" showErrorMessage="1" sqref="A1850">
      <formula1>0</formula1>
    </dataValidation>
    <dataValidation type="list" allowBlank="1" showInputMessage="1" showErrorMessage="1" sqref="C1850">
      <formula1>UnidadesList</formula1>
    </dataValidation>
    <dataValidation type="decimal" operator="greaterThan" allowBlank="1" showInputMessage="1" showErrorMessage="1" sqref="D1850">
      <formula1>0</formula1>
    </dataValidation>
    <dataValidation type="decimal" operator="greaterThan" allowBlank="1" showInputMessage="1" showErrorMessage="1" sqref="E1850">
      <formula1>0</formula1>
    </dataValidation>
    <dataValidation type="whole" operator="greaterThan" allowBlank="1" showInputMessage="1" showErrorMessage="1" sqref="A1851">
      <formula1>0</formula1>
    </dataValidation>
    <dataValidation type="list" allowBlank="1" showInputMessage="1" showErrorMessage="1" sqref="C1851">
      <formula1>UnidadesList</formula1>
    </dataValidation>
    <dataValidation type="decimal" operator="greaterThan" allowBlank="1" showInputMessage="1" showErrorMessage="1" sqref="D1851">
      <formula1>0</formula1>
    </dataValidation>
    <dataValidation type="decimal" operator="greaterThan" allowBlank="1" showInputMessage="1" showErrorMessage="1" sqref="E1851">
      <formula1>0</formula1>
    </dataValidation>
    <dataValidation type="whole" operator="greaterThan" allowBlank="1" showInputMessage="1" showErrorMessage="1" sqref="A1852">
      <formula1>0</formula1>
    </dataValidation>
    <dataValidation type="list" allowBlank="1" showInputMessage="1" showErrorMessage="1" sqref="C1852">
      <formula1>UnidadesList</formula1>
    </dataValidation>
    <dataValidation type="decimal" operator="greaterThan" allowBlank="1" showInputMessage="1" showErrorMessage="1" sqref="D1852">
      <formula1>0</formula1>
    </dataValidation>
    <dataValidation type="decimal" operator="greaterThan" allowBlank="1" showInputMessage="1" showErrorMessage="1" sqref="E1852">
      <formula1>0</formula1>
    </dataValidation>
    <dataValidation type="whole" operator="greaterThan" allowBlank="1" showInputMessage="1" showErrorMessage="1" sqref="A1853">
      <formula1>0</formula1>
    </dataValidation>
    <dataValidation type="list" allowBlank="1" showInputMessage="1" showErrorMessage="1" sqref="C1853">
      <formula1>UnidadesList</formula1>
    </dataValidation>
    <dataValidation type="decimal" operator="greaterThan" allowBlank="1" showInputMessage="1" showErrorMessage="1" sqref="D1853">
      <formula1>0</formula1>
    </dataValidation>
    <dataValidation type="decimal" operator="greaterThan" allowBlank="1" showInputMessage="1" showErrorMessage="1" sqref="E1853">
      <formula1>0</formula1>
    </dataValidation>
    <dataValidation type="date" operator="lessThanOrEqual" allowBlank="1" showInputMessage="1" showErrorMessage="1" sqref="C1858">
      <formula1>C1860</formula1>
    </dataValidation>
    <dataValidation type="date" operator="greaterThanOrEqual" allowBlank="1" showInputMessage="1" showErrorMessage="1" sqref="C1860">
      <formula1>C1858</formula1>
    </dataValidation>
    <dataValidation type="list" allowBlank="1" showInputMessage="1" showErrorMessage="1" sqref="F18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64">
      <formula1>0</formula1>
    </dataValidation>
    <dataValidation type="list" allowBlank="1" showInputMessage="1" showErrorMessage="1" sqref="C1864">
      <formula1>UnidadesList</formula1>
    </dataValidation>
    <dataValidation type="decimal" operator="greaterThan" allowBlank="1" showInputMessage="1" showErrorMessage="1" sqref="D1864">
      <formula1>0</formula1>
    </dataValidation>
    <dataValidation type="decimal" operator="greaterThan" allowBlank="1" showInputMessage="1" showErrorMessage="1" sqref="E1864">
      <formula1>0</formula1>
    </dataValidation>
    <dataValidation type="whole" operator="greaterThan" allowBlank="1" showInputMessage="1" showErrorMessage="1" sqref="A1865">
      <formula1>0</formula1>
    </dataValidation>
    <dataValidation type="list" allowBlank="1" showInputMessage="1" showErrorMessage="1" sqref="C1865">
      <formula1>UnidadesList</formula1>
    </dataValidation>
    <dataValidation type="decimal" operator="greaterThan" allowBlank="1" showInputMessage="1" showErrorMessage="1" sqref="D1865">
      <formula1>0</formula1>
    </dataValidation>
    <dataValidation type="decimal" operator="greaterThan" allowBlank="1" showInputMessage="1" showErrorMessage="1" sqref="E1865">
      <formula1>0</formula1>
    </dataValidation>
    <dataValidation type="whole" operator="greaterThan" allowBlank="1" showInputMessage="1" showErrorMessage="1" sqref="A1866">
      <formula1>0</formula1>
    </dataValidation>
    <dataValidation type="list" allowBlank="1" showInputMessage="1" showErrorMessage="1" sqref="C1866">
      <formula1>UnidadesList</formula1>
    </dataValidation>
    <dataValidation type="decimal" operator="greaterThan" allowBlank="1" showInputMessage="1" showErrorMessage="1" sqref="D1866">
      <formula1>0</formula1>
    </dataValidation>
    <dataValidation type="decimal" operator="greaterThan" allowBlank="1" showInputMessage="1" showErrorMessage="1" sqref="E1866">
      <formula1>0</formula1>
    </dataValidation>
    <dataValidation type="date" operator="lessThanOrEqual" allowBlank="1" showInputMessage="1" showErrorMessage="1" sqref="C1871">
      <formula1>C1873</formula1>
    </dataValidation>
    <dataValidation type="date" operator="greaterThanOrEqual" allowBlank="1" showInputMessage="1" showErrorMessage="1" sqref="C1873">
      <formula1>C1871</formula1>
    </dataValidation>
    <dataValidation type="list" allowBlank="1" showInputMessage="1" showErrorMessage="1" sqref="F187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7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7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7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77">
      <formula1>0</formula1>
    </dataValidation>
    <dataValidation type="list" allowBlank="1" showInputMessage="1" showErrorMessage="1" sqref="C1877">
      <formula1>UnidadesList</formula1>
    </dataValidation>
    <dataValidation type="decimal" operator="greaterThan" allowBlank="1" showInputMessage="1" showErrorMessage="1" sqref="D1877">
      <formula1>0</formula1>
    </dataValidation>
    <dataValidation type="decimal" operator="greaterThan" allowBlank="1" showInputMessage="1" showErrorMessage="1" sqref="E1877">
      <formula1>0</formula1>
    </dataValidation>
    <dataValidation type="whole" operator="greaterThan" allowBlank="1" showInputMessage="1" showErrorMessage="1" sqref="A1878">
      <formula1>0</formula1>
    </dataValidation>
    <dataValidation type="list" allowBlank="1" showInputMessage="1" showErrorMessage="1" sqref="C1878">
      <formula1>UnidadesList</formula1>
    </dataValidation>
    <dataValidation type="decimal" operator="greaterThan" allowBlank="1" showInputMessage="1" showErrorMessage="1" sqref="D1878">
      <formula1>0</formula1>
    </dataValidation>
    <dataValidation type="decimal" operator="greaterThan" allowBlank="1" showInputMessage="1" showErrorMessage="1" sqref="E1878">
      <formula1>0</formula1>
    </dataValidation>
    <dataValidation type="whole" operator="greaterThan" allowBlank="1" showInputMessage="1" showErrorMessage="1" sqref="A1879">
      <formula1>0</formula1>
    </dataValidation>
    <dataValidation type="list" allowBlank="1" showInputMessage="1" showErrorMessage="1" sqref="C1879">
      <formula1>UnidadesList</formula1>
    </dataValidation>
    <dataValidation type="decimal" operator="greaterThan" allowBlank="1" showInputMessage="1" showErrorMessage="1" sqref="D1879">
      <formula1>0</formula1>
    </dataValidation>
    <dataValidation type="decimal" operator="greaterThan" allowBlank="1" showInputMessage="1" showErrorMessage="1" sqref="E1879">
      <formula1>0</formula1>
    </dataValidation>
    <dataValidation type="date" operator="lessThanOrEqual" allowBlank="1" showInputMessage="1" showErrorMessage="1" sqref="C1884">
      <formula1>C1886</formula1>
    </dataValidation>
    <dataValidation type="date" operator="greaterThanOrEqual" allowBlank="1" showInputMessage="1" showErrorMessage="1" sqref="C1886">
      <formula1>C1884</formula1>
    </dataValidation>
    <dataValidation type="list" allowBlank="1" showInputMessage="1" showErrorMessage="1" sqref="F188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8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8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8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90">
      <formula1>0</formula1>
    </dataValidation>
    <dataValidation type="list" allowBlank="1" showInputMessage="1" showErrorMessage="1" sqref="C1890">
      <formula1>UnidadesList</formula1>
    </dataValidation>
    <dataValidation type="decimal" operator="greaterThan" allowBlank="1" showInputMessage="1" showErrorMessage="1" sqref="D1890">
      <formula1>0</formula1>
    </dataValidation>
    <dataValidation type="decimal" operator="greaterThan" allowBlank="1" showInputMessage="1" showErrorMessage="1" sqref="E1890">
      <formula1>0</formula1>
    </dataValidation>
    <dataValidation type="whole" operator="greaterThan" allowBlank="1" showInputMessage="1" showErrorMessage="1" sqref="A1891">
      <formula1>0</formula1>
    </dataValidation>
    <dataValidation type="list" allowBlank="1" showInputMessage="1" showErrorMessage="1" sqref="C1891">
      <formula1>UnidadesList</formula1>
    </dataValidation>
    <dataValidation type="decimal" operator="greaterThan" allowBlank="1" showInputMessage="1" showErrorMessage="1" sqref="D1891">
      <formula1>0</formula1>
    </dataValidation>
    <dataValidation type="decimal" operator="greaterThan" allowBlank="1" showInputMessage="1" showErrorMessage="1" sqref="E1891">
      <formula1>0</formula1>
    </dataValidation>
    <dataValidation type="whole" operator="greaterThan" allowBlank="1" showInputMessage="1" showErrorMessage="1" sqref="A1892">
      <formula1>0</formula1>
    </dataValidation>
    <dataValidation type="list" allowBlank="1" showInputMessage="1" showErrorMessage="1" sqref="C1892">
      <formula1>UnidadesList</formula1>
    </dataValidation>
    <dataValidation type="decimal" operator="greaterThan" allowBlank="1" showInputMessage="1" showErrorMessage="1" sqref="D1892">
      <formula1>0</formula1>
    </dataValidation>
    <dataValidation type="decimal" operator="greaterThan" allowBlank="1" showInputMessage="1" showErrorMessage="1" sqref="E1892">
      <formula1>0</formula1>
    </dataValidation>
    <dataValidation type="date" operator="lessThanOrEqual" allowBlank="1" showInputMessage="1" showErrorMessage="1" sqref="C1897">
      <formula1>C1899</formula1>
    </dataValidation>
    <dataValidation type="date" operator="greaterThanOrEqual" allowBlank="1" showInputMessage="1" showErrorMessage="1" sqref="C1899">
      <formula1>C1897</formula1>
    </dataValidation>
    <dataValidation type="list" allowBlank="1" showInputMessage="1" showErrorMessage="1" sqref="F189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9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9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90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903">
      <formula1>0</formula1>
    </dataValidation>
    <dataValidation type="list" allowBlank="1" showInputMessage="1" showErrorMessage="1" sqref="C1903">
      <formula1>UnidadesList</formula1>
    </dataValidation>
    <dataValidation type="decimal" operator="greaterThan" allowBlank="1" showInputMessage="1" showErrorMessage="1" sqref="D1903">
      <formula1>0</formula1>
    </dataValidation>
    <dataValidation type="decimal" operator="greaterThan" allowBlank="1" showInputMessage="1" showErrorMessage="1" sqref="E1903">
      <formula1>0</formula1>
    </dataValidation>
    <dataValidation type="whole" operator="greaterThan" allowBlank="1" showInputMessage="1" showErrorMessage="1" sqref="A1904">
      <formula1>0</formula1>
    </dataValidation>
    <dataValidation type="list" allowBlank="1" showInputMessage="1" showErrorMessage="1" sqref="C1904">
      <formula1>UnidadesList</formula1>
    </dataValidation>
    <dataValidation type="decimal" operator="greaterThan" allowBlank="1" showInputMessage="1" showErrorMessage="1" sqref="D1904">
      <formula1>0</formula1>
    </dataValidation>
    <dataValidation type="decimal" operator="greaterThan" allowBlank="1" showInputMessage="1" showErrorMessage="1" sqref="E1904">
      <formula1>0</formula1>
    </dataValidation>
    <dataValidation type="whole" operator="greaterThan" allowBlank="1" showInputMessage="1" showErrorMessage="1" sqref="A1905">
      <formula1>0</formula1>
    </dataValidation>
    <dataValidation type="list" allowBlank="1" showInputMessage="1" showErrorMessage="1" sqref="C1905">
      <formula1>UnidadesList</formula1>
    </dataValidation>
    <dataValidation type="decimal" operator="greaterThan" allowBlank="1" showInputMessage="1" showErrorMessage="1" sqref="D1905">
      <formula1>0</formula1>
    </dataValidation>
    <dataValidation type="decimal" operator="greaterThan" allowBlank="1" showInputMessage="1" showErrorMessage="1" sqref="E1905">
      <formula1>0</formula1>
    </dataValidation>
    <dataValidation type="date" operator="lessThanOrEqual" allowBlank="1" showInputMessage="1" showErrorMessage="1" sqref="C1910">
      <formula1>C1912</formula1>
    </dataValidation>
    <dataValidation type="date" operator="greaterThanOrEqual" allowBlank="1" showInputMessage="1" showErrorMessage="1" sqref="C1912">
      <formula1>C1910</formula1>
    </dataValidation>
    <dataValidation type="list" allowBlank="1" showInputMessage="1" showErrorMessage="1" sqref="F19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9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9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916">
      <formula1>0</formula1>
    </dataValidation>
    <dataValidation type="list" allowBlank="1" showInputMessage="1" showErrorMessage="1" sqref="C1916">
      <formula1>UnidadesList</formula1>
    </dataValidation>
    <dataValidation type="decimal" operator="greaterThan" allowBlank="1" showInputMessage="1" showErrorMessage="1" sqref="D1916">
      <formula1>0</formula1>
    </dataValidation>
    <dataValidation type="decimal" operator="greaterThan" allowBlank="1" showInputMessage="1" showErrorMessage="1" sqref="E1916">
      <formula1>0</formula1>
    </dataValidation>
    <dataValidation type="whole" operator="greaterThan" allowBlank="1" showInputMessage="1" showErrorMessage="1" sqref="A1917">
      <formula1>0</formula1>
    </dataValidation>
    <dataValidation type="list" allowBlank="1" showInputMessage="1" showErrorMessage="1" sqref="C1917">
      <formula1>UnidadesList</formula1>
    </dataValidation>
    <dataValidation type="decimal" operator="greaterThan" allowBlank="1" showInputMessage="1" showErrorMessage="1" sqref="D1917">
      <formula1>0</formula1>
    </dataValidation>
    <dataValidation type="decimal" operator="greaterThan" allowBlank="1" showInputMessage="1" showErrorMessage="1" sqref="E1917">
      <formula1>0</formula1>
    </dataValidation>
    <dataValidation type="whole" operator="greaterThan" allowBlank="1" showInputMessage="1" showErrorMessage="1" sqref="A1918">
      <formula1>0</formula1>
    </dataValidation>
    <dataValidation type="list" allowBlank="1" showInputMessage="1" showErrorMessage="1" sqref="C1918">
      <formula1>UnidadesList</formula1>
    </dataValidation>
    <dataValidation type="decimal" operator="greaterThan" allowBlank="1" showInputMessage="1" showErrorMessage="1" sqref="D1918">
      <formula1>0</formula1>
    </dataValidation>
    <dataValidation type="decimal" operator="greaterThan" allowBlank="1" showInputMessage="1" showErrorMessage="1" sqref="E1918">
      <formula1>0</formula1>
    </dataValidation>
    <dataValidation type="whole" operator="greaterThan" allowBlank="1" showInputMessage="1" showErrorMessage="1" sqref="A1919">
      <formula1>0</formula1>
    </dataValidation>
    <dataValidation type="list" allowBlank="1" showInputMessage="1" showErrorMessage="1" sqref="C1919">
      <formula1>UnidadesList</formula1>
    </dataValidation>
    <dataValidation type="decimal" operator="greaterThan" allowBlank="1" showInputMessage="1" showErrorMessage="1" sqref="D1919">
      <formula1>0</formula1>
    </dataValidation>
    <dataValidation type="decimal" operator="greaterThan" allowBlank="1" showInputMessage="1" showErrorMessage="1" sqref="E1919">
      <formula1>0</formula1>
    </dataValidation>
    <dataValidation type="whole" operator="greaterThan" allowBlank="1" showInputMessage="1" showErrorMessage="1" sqref="A1920">
      <formula1>0</formula1>
    </dataValidation>
    <dataValidation type="list" allowBlank="1" showInputMessage="1" showErrorMessage="1" sqref="C1920">
      <formula1>UnidadesList</formula1>
    </dataValidation>
    <dataValidation type="decimal" operator="greaterThan" allowBlank="1" showInputMessage="1" showErrorMessage="1" sqref="D1920">
      <formula1>0</formula1>
    </dataValidation>
    <dataValidation type="decimal" operator="greaterThan" allowBlank="1" showInputMessage="1" showErrorMessage="1" sqref="E1920">
      <formula1>0</formula1>
    </dataValidation>
    <dataValidation type="date" operator="lessThanOrEqual" allowBlank="1" showInputMessage="1" showErrorMessage="1" sqref="C1925">
      <formula1>C1927</formula1>
    </dataValidation>
    <dataValidation type="date" operator="greaterThanOrEqual" allowBlank="1" showInputMessage="1" showErrorMessage="1" sqref="C1927">
      <formula1>C1925</formula1>
    </dataValidation>
    <dataValidation type="list" allowBlank="1" showInputMessage="1" showErrorMessage="1" sqref="F192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92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2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92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931">
      <formula1>0</formula1>
    </dataValidation>
    <dataValidation type="list" allowBlank="1" showInputMessage="1" showErrorMessage="1" sqref="C1931">
      <formula1>UnidadesList</formula1>
    </dataValidation>
    <dataValidation type="decimal" operator="greaterThan" allowBlank="1" showInputMessage="1" showErrorMessage="1" sqref="D1931">
      <formula1>0</formula1>
    </dataValidation>
    <dataValidation type="decimal" operator="greaterThan" allowBlank="1" showInputMessage="1" showErrorMessage="1" sqref="E1931">
      <formula1>0</formula1>
    </dataValidation>
    <dataValidation type="whole" operator="greaterThan" allowBlank="1" showInputMessage="1" showErrorMessage="1" sqref="A1932">
      <formula1>0</formula1>
    </dataValidation>
    <dataValidation type="list" allowBlank="1" showInputMessage="1" showErrorMessage="1" sqref="C1932">
      <formula1>UnidadesList</formula1>
    </dataValidation>
    <dataValidation type="decimal" operator="greaterThan" allowBlank="1" showInputMessage="1" showErrorMessage="1" sqref="D1932">
      <formula1>0</formula1>
    </dataValidation>
    <dataValidation type="decimal" operator="greaterThan" allowBlank="1" showInputMessage="1" showErrorMessage="1" sqref="E1932">
      <formula1>0</formula1>
    </dataValidation>
    <dataValidation type="whole" operator="greaterThan" allowBlank="1" showInputMessage="1" showErrorMessage="1" sqref="A1933">
      <formula1>0</formula1>
    </dataValidation>
    <dataValidation type="list" allowBlank="1" showInputMessage="1" showErrorMessage="1" sqref="C1933">
      <formula1>UnidadesList</formula1>
    </dataValidation>
    <dataValidation type="decimal" operator="greaterThan" allowBlank="1" showInputMessage="1" showErrorMessage="1" sqref="D1933">
      <formula1>0</formula1>
    </dataValidation>
    <dataValidation type="decimal" operator="greaterThan" allowBlank="1" showInputMessage="1" showErrorMessage="1" sqref="E1933">
      <formula1>0</formula1>
    </dataValidation>
    <dataValidation type="whole" operator="greaterThan" allowBlank="1" showInputMessage="1" showErrorMessage="1" sqref="A1934">
      <formula1>0</formula1>
    </dataValidation>
    <dataValidation type="list" allowBlank="1" showInputMessage="1" showErrorMessage="1" sqref="C1934">
      <formula1>UnidadesList</formula1>
    </dataValidation>
    <dataValidation type="decimal" operator="greaterThan" allowBlank="1" showInputMessage="1" showErrorMessage="1" sqref="D1934">
      <formula1>0</formula1>
    </dataValidation>
    <dataValidation type="decimal" operator="greaterThan" allowBlank="1" showInputMessage="1" showErrorMessage="1" sqref="E1934">
      <formula1>0</formula1>
    </dataValidation>
    <dataValidation type="whole" operator="greaterThan" allowBlank="1" showInputMessage="1" showErrorMessage="1" sqref="A1935">
      <formula1>0</formula1>
    </dataValidation>
    <dataValidation type="list" allowBlank="1" showInputMessage="1" showErrorMessage="1" sqref="C1935">
      <formula1>UnidadesList</formula1>
    </dataValidation>
    <dataValidation type="decimal" operator="greaterThan" allowBlank="1" showInputMessage="1" showErrorMessage="1" sqref="D1935">
      <formula1>0</formula1>
    </dataValidation>
    <dataValidation type="decimal" operator="greaterThan" allowBlank="1" showInputMessage="1" showErrorMessage="1" sqref="E1935">
      <formula1>0</formula1>
    </dataValidation>
    <dataValidation type="whole" operator="greaterThan" allowBlank="1" showInputMessage="1" showErrorMessage="1" sqref="A1936">
      <formula1>0</formula1>
    </dataValidation>
    <dataValidation type="list" allowBlank="1" showInputMessage="1" showErrorMessage="1" sqref="C1936">
      <formula1>UnidadesList</formula1>
    </dataValidation>
    <dataValidation type="decimal" operator="greaterThan" allowBlank="1" showInputMessage="1" showErrorMessage="1" sqref="D1936">
      <formula1>0</formula1>
    </dataValidation>
    <dataValidation type="decimal" operator="greaterThan" allowBlank="1" showInputMessage="1" showErrorMessage="1" sqref="E1936">
      <formula1>0</formula1>
    </dataValidation>
    <dataValidation type="whole" operator="greaterThan" allowBlank="1" showInputMessage="1" showErrorMessage="1" sqref="A1937">
      <formula1>0</formula1>
    </dataValidation>
    <dataValidation type="list" allowBlank="1" showInputMessage="1" showErrorMessage="1" sqref="C1937">
      <formula1>UnidadesList</formula1>
    </dataValidation>
    <dataValidation type="decimal" operator="greaterThan" allowBlank="1" showInputMessage="1" showErrorMessage="1" sqref="D1937">
      <formula1>0</formula1>
    </dataValidation>
    <dataValidation type="decimal" operator="greaterThan" allowBlank="1" showInputMessage="1" showErrorMessage="1" sqref="E1937">
      <formula1>0</formula1>
    </dataValidation>
    <dataValidation type="whole" operator="greaterThan" allowBlank="1" showInputMessage="1" showErrorMessage="1" sqref="A1938">
      <formula1>0</formula1>
    </dataValidation>
    <dataValidation type="list" allowBlank="1" showInputMessage="1" showErrorMessage="1" sqref="C1938">
      <formula1>UnidadesList</formula1>
    </dataValidation>
    <dataValidation type="decimal" operator="greaterThan" allowBlank="1" showInputMessage="1" showErrorMessage="1" sqref="D1938">
      <formula1>0</formula1>
    </dataValidation>
    <dataValidation type="decimal" operator="greaterThan" allowBlank="1" showInputMessage="1" showErrorMessage="1" sqref="E1938">
      <formula1>0</formula1>
    </dataValidation>
    <dataValidation type="whole" operator="greaterThan" allowBlank="1" showInputMessage="1" showErrorMessage="1" sqref="A1939">
      <formula1>0</formula1>
    </dataValidation>
    <dataValidation type="list" allowBlank="1" showInputMessage="1" showErrorMessage="1" sqref="C1939">
      <formula1>UnidadesList</formula1>
    </dataValidation>
    <dataValidation type="decimal" operator="greaterThan" allowBlank="1" showInputMessage="1" showErrorMessage="1" sqref="D1939">
      <formula1>0</formula1>
    </dataValidation>
    <dataValidation type="decimal" operator="greaterThan" allowBlank="1" showInputMessage="1" showErrorMessage="1" sqref="E1939">
      <formula1>0</formula1>
    </dataValidation>
    <dataValidation type="whole" operator="greaterThan" allowBlank="1" showInputMessage="1" showErrorMessage="1" sqref="A1940">
      <formula1>0</formula1>
    </dataValidation>
    <dataValidation type="list" allowBlank="1" showInputMessage="1" showErrorMessage="1" sqref="C1940">
      <formula1>UnidadesList</formula1>
    </dataValidation>
    <dataValidation type="decimal" operator="greaterThan" allowBlank="1" showInputMessage="1" showErrorMessage="1" sqref="D1940">
      <formula1>0</formula1>
    </dataValidation>
    <dataValidation type="decimal" operator="greaterThan" allowBlank="1" showInputMessage="1" showErrorMessage="1" sqref="E1940">
      <formula1>0</formula1>
    </dataValidation>
    <dataValidation type="whole" operator="greaterThan" allowBlank="1" showInputMessage="1" showErrorMessage="1" sqref="A1941">
      <formula1>0</formula1>
    </dataValidation>
    <dataValidation type="list" allowBlank="1" showInputMessage="1" showErrorMessage="1" sqref="C1941">
      <formula1>UnidadesList</formula1>
    </dataValidation>
    <dataValidation type="decimal" operator="greaterThan" allowBlank="1" showInputMessage="1" showErrorMessage="1" sqref="D1941">
      <formula1>0</formula1>
    </dataValidation>
    <dataValidation type="decimal" operator="greaterThan" allowBlank="1" showInputMessage="1" showErrorMessage="1" sqref="E1941">
      <formula1>0</formula1>
    </dataValidation>
    <dataValidation type="whole" operator="greaterThan" allowBlank="1" showInputMessage="1" showErrorMessage="1" sqref="A1942">
      <formula1>0</formula1>
    </dataValidation>
    <dataValidation type="list" allowBlank="1" showInputMessage="1" showErrorMessage="1" sqref="C1942">
      <formula1>UnidadesList</formula1>
    </dataValidation>
    <dataValidation type="decimal" operator="greaterThan" allowBlank="1" showInputMessage="1" showErrorMessage="1" sqref="D1942">
      <formula1>0</formula1>
    </dataValidation>
    <dataValidation type="decimal" operator="greaterThan" allowBlank="1" showInputMessage="1" showErrorMessage="1" sqref="E1942">
      <formula1>0</formula1>
    </dataValidation>
    <dataValidation type="whole" operator="greaterThan" allowBlank="1" showInputMessage="1" showErrorMessage="1" sqref="A1943">
      <formula1>0</formula1>
    </dataValidation>
    <dataValidation type="list" allowBlank="1" showInputMessage="1" showErrorMessage="1" sqref="C1943">
      <formula1>UnidadesList</formula1>
    </dataValidation>
    <dataValidation type="decimal" operator="greaterThan" allowBlank="1" showInputMessage="1" showErrorMessage="1" sqref="D1943">
      <formula1>0</formula1>
    </dataValidation>
    <dataValidation type="decimal" operator="greaterThan" allowBlank="1" showInputMessage="1" showErrorMessage="1" sqref="E1943">
      <formula1>0</formula1>
    </dataValidation>
    <dataValidation type="whole" operator="greaterThan" allowBlank="1" showInputMessage="1" showErrorMessage="1" sqref="A1944">
      <formula1>0</formula1>
    </dataValidation>
    <dataValidation type="list" allowBlank="1" showInputMessage="1" showErrorMessage="1" sqref="C1944">
      <formula1>UnidadesList</formula1>
    </dataValidation>
    <dataValidation type="decimal" operator="greaterThan" allowBlank="1" showInputMessage="1" showErrorMessage="1" sqref="D1944">
      <formula1>0</formula1>
    </dataValidation>
    <dataValidation type="decimal" operator="greaterThan" allowBlank="1" showInputMessage="1" showErrorMessage="1" sqref="E1944">
      <formula1>0</formula1>
    </dataValidation>
    <dataValidation type="whole" operator="greaterThan" allowBlank="1" showInputMessage="1" showErrorMessage="1" sqref="A1945">
      <formula1>0</formula1>
    </dataValidation>
    <dataValidation type="list" allowBlank="1" showInputMessage="1" showErrorMessage="1" sqref="C1945">
      <formula1>UnidadesList</formula1>
    </dataValidation>
    <dataValidation type="decimal" operator="greaterThan" allowBlank="1" showInputMessage="1" showErrorMessage="1" sqref="D1945">
      <formula1>0</formula1>
    </dataValidation>
    <dataValidation type="decimal" operator="greaterThan" allowBlank="1" showInputMessage="1" showErrorMessage="1" sqref="E1945">
      <formula1>0</formula1>
    </dataValidation>
    <dataValidation type="whole" operator="greaterThan" allowBlank="1" showInputMessage="1" showErrorMessage="1" sqref="A1946">
      <formula1>0</formula1>
    </dataValidation>
    <dataValidation type="list" allowBlank="1" showInputMessage="1" showErrorMessage="1" sqref="C1946">
      <formula1>UnidadesList</formula1>
    </dataValidation>
    <dataValidation type="decimal" operator="greaterThan" allowBlank="1" showInputMessage="1" showErrorMessage="1" sqref="D1946">
      <formula1>0</formula1>
    </dataValidation>
    <dataValidation type="decimal" operator="greaterThan" allowBlank="1" showInputMessage="1" showErrorMessage="1" sqref="E1946">
      <formula1>0</formula1>
    </dataValidation>
    <dataValidation type="whole" operator="greaterThan" allowBlank="1" showInputMessage="1" showErrorMessage="1" sqref="A1947">
      <formula1>0</formula1>
    </dataValidation>
    <dataValidation type="list" allowBlank="1" showInputMessage="1" showErrorMessage="1" sqref="C1947">
      <formula1>UnidadesList</formula1>
    </dataValidation>
    <dataValidation type="decimal" operator="greaterThan" allowBlank="1" showInputMessage="1" showErrorMessage="1" sqref="D1947">
      <formula1>0</formula1>
    </dataValidation>
    <dataValidation type="decimal" operator="greaterThan" allowBlank="1" showInputMessage="1" showErrorMessage="1" sqref="E1947">
      <formula1>0</formula1>
    </dataValidation>
    <dataValidation type="whole" operator="greaterThan" allowBlank="1" showInputMessage="1" showErrorMessage="1" sqref="A1948">
      <formula1>0</formula1>
    </dataValidation>
    <dataValidation type="list" allowBlank="1" showInputMessage="1" showErrorMessage="1" sqref="C1948">
      <formula1>UnidadesList</formula1>
    </dataValidation>
    <dataValidation type="decimal" operator="greaterThan" allowBlank="1" showInputMessage="1" showErrorMessage="1" sqref="D1948">
      <formula1>0</formula1>
    </dataValidation>
    <dataValidation type="decimal" operator="greaterThan" allowBlank="1" showInputMessage="1" showErrorMessage="1" sqref="E1948">
      <formula1>0</formula1>
    </dataValidation>
    <dataValidation type="whole" operator="greaterThan" allowBlank="1" showInputMessage="1" showErrorMessage="1" sqref="A1949">
      <formula1>0</formula1>
    </dataValidation>
    <dataValidation type="list" allowBlank="1" showInputMessage="1" showErrorMessage="1" sqref="C1949">
      <formula1>UnidadesList</formula1>
    </dataValidation>
    <dataValidation type="decimal" operator="greaterThan" allowBlank="1" showInputMessage="1" showErrorMessage="1" sqref="D1949">
      <formula1>0</formula1>
    </dataValidation>
    <dataValidation type="decimal" operator="greaterThan" allowBlank="1" showInputMessage="1" showErrorMessage="1" sqref="E1949">
      <formula1>0</formula1>
    </dataValidation>
    <dataValidation type="whole" operator="greaterThan" allowBlank="1" showInputMessage="1" showErrorMessage="1" sqref="A1950">
      <formula1>0</formula1>
    </dataValidation>
    <dataValidation type="list" allowBlank="1" showInputMessage="1" showErrorMessage="1" sqref="C1950">
      <formula1>UnidadesList</formula1>
    </dataValidation>
    <dataValidation type="decimal" operator="greaterThan" allowBlank="1" showInputMessage="1" showErrorMessage="1" sqref="D1950">
      <formula1>0</formula1>
    </dataValidation>
    <dataValidation type="decimal" operator="greaterThan" allowBlank="1" showInputMessage="1" showErrorMessage="1" sqref="E1950">
      <formula1>0</formula1>
    </dataValidation>
    <dataValidation type="whole" operator="greaterThan" allowBlank="1" showInputMessage="1" showErrorMessage="1" sqref="A1951">
      <formula1>0</formula1>
    </dataValidation>
    <dataValidation type="list" allowBlank="1" showInputMessage="1" showErrorMessage="1" sqref="C1951">
      <formula1>UnidadesList</formula1>
    </dataValidation>
    <dataValidation type="decimal" operator="greaterThan" allowBlank="1" showInputMessage="1" showErrorMessage="1" sqref="D1951">
      <formula1>0</formula1>
    </dataValidation>
    <dataValidation type="decimal" operator="greaterThan" allowBlank="1" showInputMessage="1" showErrorMessage="1" sqref="E1951">
      <formula1>0</formula1>
    </dataValidation>
    <dataValidation type="whole" operator="greaterThan" allowBlank="1" showInputMessage="1" showErrorMessage="1" sqref="A1952">
      <formula1>0</formula1>
    </dataValidation>
    <dataValidation type="list" allowBlank="1" showInputMessage="1" showErrorMessage="1" sqref="C1952">
      <formula1>UnidadesList</formula1>
    </dataValidation>
    <dataValidation type="decimal" operator="greaterThan" allowBlank="1" showInputMessage="1" showErrorMessage="1" sqref="D1952">
      <formula1>0</formula1>
    </dataValidation>
    <dataValidation type="decimal" operator="greaterThan" allowBlank="1" showInputMessage="1" showErrorMessage="1" sqref="E1952">
      <formula1>0</formula1>
    </dataValidation>
    <dataValidation type="date" operator="lessThanOrEqual" allowBlank="1" showInputMessage="1" showErrorMessage="1" sqref="C1957">
      <formula1>C1959</formula1>
    </dataValidation>
    <dataValidation type="date" operator="greaterThanOrEqual" allowBlank="1" showInputMessage="1" showErrorMessage="1" sqref="C1959">
      <formula1>C1957</formula1>
    </dataValidation>
    <dataValidation type="list" allowBlank="1" showInputMessage="1" showErrorMessage="1" sqref="F195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95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5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96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963">
      <formula1>0</formula1>
    </dataValidation>
    <dataValidation type="list" allowBlank="1" showInputMessage="1" showErrorMessage="1" sqref="C1963">
      <formula1>UnidadesList</formula1>
    </dataValidation>
    <dataValidation type="decimal" operator="greaterThan" allowBlank="1" showInputMessage="1" showErrorMessage="1" sqref="D1963">
      <formula1>0</formula1>
    </dataValidation>
    <dataValidation type="decimal" operator="greaterThan" allowBlank="1" showInputMessage="1" showErrorMessage="1" sqref="E1963">
      <formula1>0</formula1>
    </dataValidation>
    <dataValidation type="whole" operator="greaterThan" allowBlank="1" showInputMessage="1" showErrorMessage="1" sqref="A1964">
      <formula1>0</formula1>
    </dataValidation>
    <dataValidation type="list" allowBlank="1" showInputMessage="1" showErrorMessage="1" sqref="C1964">
      <formula1>UnidadesList</formula1>
    </dataValidation>
    <dataValidation type="decimal" operator="greaterThan" allowBlank="1" showInputMessage="1" showErrorMessage="1" sqref="D1964">
      <formula1>0</formula1>
    </dataValidation>
    <dataValidation type="decimal" operator="greaterThan" allowBlank="1" showInputMessage="1" showErrorMessage="1" sqref="E1964">
      <formula1>0</formula1>
    </dataValidation>
    <dataValidation type="whole" operator="greaterThan" allowBlank="1" showInputMessage="1" showErrorMessage="1" sqref="A1965">
      <formula1>0</formula1>
    </dataValidation>
    <dataValidation type="list" allowBlank="1" showInputMessage="1" showErrorMessage="1" sqref="C1965">
      <formula1>UnidadesList</formula1>
    </dataValidation>
    <dataValidation type="decimal" operator="greaterThan" allowBlank="1" showInputMessage="1" showErrorMessage="1" sqref="D1965">
      <formula1>0</formula1>
    </dataValidation>
    <dataValidation type="decimal" operator="greaterThan" allowBlank="1" showInputMessage="1" showErrorMessage="1" sqref="E1965">
      <formula1>0</formula1>
    </dataValidation>
    <dataValidation type="whole" operator="greaterThan" allowBlank="1" showInputMessage="1" showErrorMessage="1" sqref="A1966">
      <formula1>0</formula1>
    </dataValidation>
    <dataValidation type="list" allowBlank="1" showInputMessage="1" showErrorMessage="1" sqref="C1966">
      <formula1>UnidadesList</formula1>
    </dataValidation>
    <dataValidation type="decimal" operator="greaterThan" allowBlank="1" showInputMessage="1" showErrorMessage="1" sqref="D1966">
      <formula1>0</formula1>
    </dataValidation>
    <dataValidation type="decimal" operator="greaterThan" allowBlank="1" showInputMessage="1" showErrorMessage="1" sqref="E1966">
      <formula1>0</formula1>
    </dataValidation>
    <dataValidation type="whole" operator="greaterThan" allowBlank="1" showInputMessage="1" showErrorMessage="1" sqref="A1967">
      <formula1>0</formula1>
    </dataValidation>
    <dataValidation type="list" allowBlank="1" showInputMessage="1" showErrorMessage="1" sqref="C1967">
      <formula1>UnidadesList</formula1>
    </dataValidation>
    <dataValidation type="decimal" operator="greaterThan" allowBlank="1" showInputMessage="1" showErrorMessage="1" sqref="D1967">
      <formula1>0</formula1>
    </dataValidation>
    <dataValidation type="decimal" operator="greaterThan" allowBlank="1" showInputMessage="1" showErrorMessage="1" sqref="E1967">
      <formula1>0</formula1>
    </dataValidation>
    <dataValidation type="whole" operator="greaterThan" allowBlank="1" showInputMessage="1" showErrorMessage="1" sqref="A1968">
      <formula1>0</formula1>
    </dataValidation>
    <dataValidation type="list" allowBlank="1" showInputMessage="1" showErrorMessage="1" sqref="C1968">
      <formula1>UnidadesList</formula1>
    </dataValidation>
    <dataValidation type="decimal" operator="greaterThan" allowBlank="1" showInputMessage="1" showErrorMessage="1" sqref="D1968">
      <formula1>0</formula1>
    </dataValidation>
    <dataValidation type="decimal" operator="greaterThan" allowBlank="1" showInputMessage="1" showErrorMessage="1" sqref="E1968">
      <formula1>0</formula1>
    </dataValidation>
    <dataValidation type="whole" operator="greaterThan" allowBlank="1" showInputMessage="1" showErrorMessage="1" sqref="A1969">
      <formula1>0</formula1>
    </dataValidation>
    <dataValidation type="list" allowBlank="1" showInputMessage="1" showErrorMessage="1" sqref="C1969">
      <formula1>UnidadesList</formula1>
    </dataValidation>
    <dataValidation type="decimal" operator="greaterThan" allowBlank="1" showInputMessage="1" showErrorMessage="1" sqref="D1969">
      <formula1>0</formula1>
    </dataValidation>
    <dataValidation type="decimal" operator="greaterThan" allowBlank="1" showInputMessage="1" showErrorMessage="1" sqref="E1969">
      <formula1>0</formula1>
    </dataValidation>
    <dataValidation type="whole" operator="greaterThan" allowBlank="1" showInputMessage="1" showErrorMessage="1" sqref="A1970">
      <formula1>0</formula1>
    </dataValidation>
    <dataValidation type="list" allowBlank="1" showInputMessage="1" showErrorMessage="1" sqref="C1970">
      <formula1>UnidadesList</formula1>
    </dataValidation>
    <dataValidation type="decimal" operator="greaterThan" allowBlank="1" showInputMessage="1" showErrorMessage="1" sqref="D1970">
      <formula1>0</formula1>
    </dataValidation>
    <dataValidation type="decimal" operator="greaterThan" allowBlank="1" showInputMessage="1" showErrorMessage="1" sqref="E1970">
      <formula1>0</formula1>
    </dataValidation>
    <dataValidation type="whole" operator="greaterThan" allowBlank="1" showInputMessage="1" showErrorMessage="1" sqref="A1971">
      <formula1>0</formula1>
    </dataValidation>
    <dataValidation type="list" allowBlank="1" showInputMessage="1" showErrorMessage="1" sqref="C1971">
      <formula1>UnidadesList</formula1>
    </dataValidation>
    <dataValidation type="decimal" operator="greaterThan" allowBlank="1" showInputMessage="1" showErrorMessage="1" sqref="D1971">
      <formula1>0</formula1>
    </dataValidation>
    <dataValidation type="decimal" operator="greaterThan" allowBlank="1" showInputMessage="1" showErrorMessage="1" sqref="E1971">
      <formula1>0</formula1>
    </dataValidation>
    <dataValidation type="whole" operator="greaterThan" allowBlank="1" showInputMessage="1" showErrorMessage="1" sqref="A1972">
      <formula1>0</formula1>
    </dataValidation>
    <dataValidation type="list" allowBlank="1" showInputMessage="1" showErrorMessage="1" sqref="C1972">
      <formula1>UnidadesList</formula1>
    </dataValidation>
    <dataValidation type="decimal" operator="greaterThan" allowBlank="1" showInputMessage="1" showErrorMessage="1" sqref="D1972">
      <formula1>0</formula1>
    </dataValidation>
    <dataValidation type="decimal" operator="greaterThan" allowBlank="1" showInputMessage="1" showErrorMessage="1" sqref="E1972">
      <formula1>0</formula1>
    </dataValidation>
    <dataValidation type="whole" operator="greaterThan" allowBlank="1" showInputMessage="1" showErrorMessage="1" sqref="A1973">
      <formula1>0</formula1>
    </dataValidation>
    <dataValidation type="list" allowBlank="1" showInputMessage="1" showErrorMessage="1" sqref="C1973">
      <formula1>UnidadesList</formula1>
    </dataValidation>
    <dataValidation type="decimal" operator="greaterThan" allowBlank="1" showInputMessage="1" showErrorMessage="1" sqref="D1973">
      <formula1>0</formula1>
    </dataValidation>
    <dataValidation type="decimal" operator="greaterThan" allowBlank="1" showInputMessage="1" showErrorMessage="1" sqref="E1973">
      <formula1>0</formula1>
    </dataValidation>
    <dataValidation type="whole" operator="greaterThan" allowBlank="1" showInputMessage="1" showErrorMessage="1" sqref="A1974">
      <formula1>0</formula1>
    </dataValidation>
    <dataValidation type="list" allowBlank="1" showInputMessage="1" showErrorMessage="1" sqref="C1974">
      <formula1>UnidadesList</formula1>
    </dataValidation>
    <dataValidation type="decimal" operator="greaterThan" allowBlank="1" showInputMessage="1" showErrorMessage="1" sqref="D1974">
      <formula1>0</formula1>
    </dataValidation>
    <dataValidation type="decimal" operator="greaterThan" allowBlank="1" showInputMessage="1" showErrorMessage="1" sqref="E1974">
      <formula1>0</formula1>
    </dataValidation>
    <dataValidation type="whole" operator="greaterThan" allowBlank="1" showInputMessage="1" showErrorMessage="1" sqref="A1975">
      <formula1>0</formula1>
    </dataValidation>
    <dataValidation type="list" allowBlank="1" showInputMessage="1" showErrorMessage="1" sqref="C1975">
      <formula1>UnidadesList</formula1>
    </dataValidation>
    <dataValidation type="decimal" operator="greaterThan" allowBlank="1" showInputMessage="1" showErrorMessage="1" sqref="D1975">
      <formula1>0</formula1>
    </dataValidation>
    <dataValidation type="decimal" operator="greaterThan" allowBlank="1" showInputMessage="1" showErrorMessage="1" sqref="E1975">
      <formula1>0</formula1>
    </dataValidation>
    <dataValidation type="whole" operator="greaterThan" allowBlank="1" showInputMessage="1" showErrorMessage="1" sqref="A1976">
      <formula1>0</formula1>
    </dataValidation>
    <dataValidation type="list" allowBlank="1" showInputMessage="1" showErrorMessage="1" sqref="C1976">
      <formula1>UnidadesList</formula1>
    </dataValidation>
    <dataValidation type="decimal" operator="greaterThan" allowBlank="1" showInputMessage="1" showErrorMessage="1" sqref="D1976">
      <formula1>0</formula1>
    </dataValidation>
    <dataValidation type="decimal" operator="greaterThan" allowBlank="1" showInputMessage="1" showErrorMessage="1" sqref="E1976">
      <formula1>0</formula1>
    </dataValidation>
    <dataValidation type="whole" operator="greaterThan" allowBlank="1" showInputMessage="1" showErrorMessage="1" sqref="A1977">
      <formula1>0</formula1>
    </dataValidation>
    <dataValidation type="list" allowBlank="1" showInputMessage="1" showErrorMessage="1" sqref="C1977">
      <formula1>UnidadesList</formula1>
    </dataValidation>
    <dataValidation type="decimal" operator="greaterThan" allowBlank="1" showInputMessage="1" showErrorMessage="1" sqref="D1977">
      <formula1>0</formula1>
    </dataValidation>
    <dataValidation type="decimal" operator="greaterThan" allowBlank="1" showInputMessage="1" showErrorMessage="1" sqref="E1977">
      <formula1>0</formula1>
    </dataValidation>
    <dataValidation type="whole" operator="greaterThan" allowBlank="1" showInputMessage="1" showErrorMessage="1" sqref="A1978">
      <formula1>0</formula1>
    </dataValidation>
    <dataValidation type="list" allowBlank="1" showInputMessage="1" showErrorMessage="1" sqref="C1978">
      <formula1>UnidadesList</formula1>
    </dataValidation>
    <dataValidation type="decimal" operator="greaterThan" allowBlank="1" showInputMessage="1" showErrorMessage="1" sqref="D1978">
      <formula1>0</formula1>
    </dataValidation>
    <dataValidation type="decimal" operator="greaterThan" allowBlank="1" showInputMessage="1" showErrorMessage="1" sqref="E1978">
      <formula1>0</formula1>
    </dataValidation>
    <dataValidation type="whole" operator="greaterThan" allowBlank="1" showInputMessage="1" showErrorMessage="1" sqref="A1979">
      <formula1>0</formula1>
    </dataValidation>
    <dataValidation type="list" allowBlank="1" showInputMessage="1" showErrorMessage="1" sqref="C1979">
      <formula1>UnidadesList</formula1>
    </dataValidation>
    <dataValidation type="decimal" operator="greaterThan" allowBlank="1" showInputMessage="1" showErrorMessage="1" sqref="D1979">
      <formula1>0</formula1>
    </dataValidation>
    <dataValidation type="decimal" operator="greaterThan" allowBlank="1" showInputMessage="1" showErrorMessage="1" sqref="E1979">
      <formula1>0</formula1>
    </dataValidation>
    <dataValidation type="whole" operator="greaterThan" allowBlank="1" showInputMessage="1" showErrorMessage="1" sqref="A1980">
      <formula1>0</formula1>
    </dataValidation>
    <dataValidation type="list" allowBlank="1" showInputMessage="1" showErrorMessage="1" sqref="C1980">
      <formula1>UnidadesList</formula1>
    </dataValidation>
    <dataValidation type="decimal" operator="greaterThan" allowBlank="1" showInputMessage="1" showErrorMessage="1" sqref="D1980">
      <formula1>0</formula1>
    </dataValidation>
    <dataValidation type="decimal" operator="greaterThan" allowBlank="1" showInputMessage="1" showErrorMessage="1" sqref="E1980">
      <formula1>0</formula1>
    </dataValidation>
    <dataValidation type="whole" operator="greaterThan" allowBlank="1" showInputMessage="1" showErrorMessage="1" sqref="A1981">
      <formula1>0</formula1>
    </dataValidation>
    <dataValidation type="list" allowBlank="1" showInputMessage="1" showErrorMessage="1" sqref="C1981">
      <formula1>UnidadesList</formula1>
    </dataValidation>
    <dataValidation type="decimal" operator="greaterThan" allowBlank="1" showInputMessage="1" showErrorMessage="1" sqref="D1981">
      <formula1>0</formula1>
    </dataValidation>
    <dataValidation type="decimal" operator="greaterThan" allowBlank="1" showInputMessage="1" showErrorMessage="1" sqref="E1981">
      <formula1>0</formula1>
    </dataValidation>
    <dataValidation type="whole" operator="greaterThan" allowBlank="1" showInputMessage="1" showErrorMessage="1" sqref="A1982">
      <formula1>0</formula1>
    </dataValidation>
    <dataValidation type="list" allowBlank="1" showInputMessage="1" showErrorMessage="1" sqref="C1982">
      <formula1>UnidadesList</formula1>
    </dataValidation>
    <dataValidation type="decimal" operator="greaterThan" allowBlank="1" showInputMessage="1" showErrorMessage="1" sqref="D1982">
      <formula1>0</formula1>
    </dataValidation>
    <dataValidation type="decimal" operator="greaterThan" allowBlank="1" showInputMessage="1" showErrorMessage="1" sqref="E1982">
      <formula1>0</formula1>
    </dataValidation>
    <dataValidation type="whole" operator="greaterThan" allowBlank="1" showInputMessage="1" showErrorMessage="1" sqref="A1983">
      <formula1>0</formula1>
    </dataValidation>
    <dataValidation type="list" allowBlank="1" showInputMessage="1" showErrorMessage="1" sqref="C1983">
      <formula1>UnidadesList</formula1>
    </dataValidation>
    <dataValidation type="decimal" operator="greaterThan" allowBlank="1" showInputMessage="1" showErrorMessage="1" sqref="D1983">
      <formula1>0</formula1>
    </dataValidation>
    <dataValidation type="decimal" operator="greaterThan" allowBlank="1" showInputMessage="1" showErrorMessage="1" sqref="E1983">
      <formula1>0</formula1>
    </dataValidation>
    <dataValidation type="whole" operator="greaterThan" allowBlank="1" showInputMessage="1" showErrorMessage="1" sqref="A1984">
      <formula1>0</formula1>
    </dataValidation>
    <dataValidation type="list" allowBlank="1" showInputMessage="1" showErrorMessage="1" sqref="C1984">
      <formula1>UnidadesList</formula1>
    </dataValidation>
    <dataValidation type="decimal" operator="greaterThan" allowBlank="1" showInputMessage="1" showErrorMessage="1" sqref="D1984">
      <formula1>0</formula1>
    </dataValidation>
    <dataValidation type="decimal" operator="greaterThan" allowBlank="1" showInputMessage="1" showErrorMessage="1" sqref="E1984">
      <formula1>0</formula1>
    </dataValidation>
    <dataValidation type="date" operator="lessThanOrEqual" allowBlank="1" showInputMessage="1" showErrorMessage="1" sqref="C1989">
      <formula1>C1991</formula1>
    </dataValidation>
    <dataValidation type="date" operator="greaterThanOrEqual" allowBlank="1" showInputMessage="1" showErrorMessage="1" sqref="C1991">
      <formula1>C1989</formula1>
    </dataValidation>
    <dataValidation type="list" allowBlank="1" showInputMessage="1" showErrorMessage="1" sqref="F19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9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9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995">
      <formula1>0</formula1>
    </dataValidation>
    <dataValidation type="list" allowBlank="1" showInputMessage="1" showErrorMessage="1" sqref="C1995">
      <formula1>UnidadesList</formula1>
    </dataValidation>
    <dataValidation type="decimal" operator="greaterThan" allowBlank="1" showInputMessage="1" showErrorMessage="1" sqref="D1995">
      <formula1>0</formula1>
    </dataValidation>
    <dataValidation type="decimal" operator="greaterThan" allowBlank="1" showInputMessage="1" showErrorMessage="1" sqref="E1995">
      <formula1>0</formula1>
    </dataValidation>
    <dataValidation type="whole" operator="greaterThan" allowBlank="1" showInputMessage="1" showErrorMessage="1" sqref="A1996">
      <formula1>0</formula1>
    </dataValidation>
    <dataValidation type="list" allowBlank="1" showInputMessage="1" showErrorMessage="1" sqref="C1996">
      <formula1>UnidadesList</formula1>
    </dataValidation>
    <dataValidation type="decimal" operator="greaterThan" allowBlank="1" showInputMessage="1" showErrorMessage="1" sqref="D1996">
      <formula1>0</formula1>
    </dataValidation>
    <dataValidation type="decimal" operator="greaterThan" allowBlank="1" showInputMessage="1" showErrorMessage="1" sqref="E1996">
      <formula1>0</formula1>
    </dataValidation>
    <dataValidation type="whole" operator="greaterThan" allowBlank="1" showInputMessage="1" showErrorMessage="1" sqref="A1997">
      <formula1>0</formula1>
    </dataValidation>
    <dataValidation type="list" allowBlank="1" showInputMessage="1" showErrorMessage="1" sqref="C1997">
      <formula1>UnidadesList</formula1>
    </dataValidation>
    <dataValidation type="decimal" operator="greaterThan" allowBlank="1" showInputMessage="1" showErrorMessage="1" sqref="D1997">
      <formula1>0</formula1>
    </dataValidation>
    <dataValidation type="decimal" operator="greaterThan" allowBlank="1" showInputMessage="1" showErrorMessage="1" sqref="E1997">
      <formula1>0</formula1>
    </dataValidation>
    <dataValidation type="whole" operator="greaterThan" allowBlank="1" showInputMessage="1" showErrorMessage="1" sqref="A1998">
      <formula1>0</formula1>
    </dataValidation>
    <dataValidation type="list" allowBlank="1" showInputMessage="1" showErrorMessage="1" sqref="C1998">
      <formula1>UnidadesList</formula1>
    </dataValidation>
    <dataValidation type="decimal" operator="greaterThan" allowBlank="1" showInputMessage="1" showErrorMessage="1" sqref="D1998">
      <formula1>0</formula1>
    </dataValidation>
    <dataValidation type="decimal" operator="greaterThan" allowBlank="1" showInputMessage="1" showErrorMessage="1" sqref="E1998">
      <formula1>0</formula1>
    </dataValidation>
    <dataValidation type="whole" operator="greaterThan" allowBlank="1" showInputMessage="1" showErrorMessage="1" sqref="A1999">
      <formula1>0</formula1>
    </dataValidation>
    <dataValidation type="list" allowBlank="1" showInputMessage="1" showErrorMessage="1" sqref="C1999">
      <formula1>UnidadesList</formula1>
    </dataValidation>
    <dataValidation type="decimal" operator="greaterThan" allowBlank="1" showInputMessage="1" showErrorMessage="1" sqref="D1999">
      <formula1>0</formula1>
    </dataValidation>
    <dataValidation type="decimal" operator="greaterThan" allowBlank="1" showInputMessage="1" showErrorMessage="1" sqref="E1999">
      <formula1>0</formula1>
    </dataValidation>
    <dataValidation type="whole" operator="greaterThan" allowBlank="1" showInputMessage="1" showErrorMessage="1" sqref="A2000">
      <formula1>0</formula1>
    </dataValidation>
    <dataValidation type="list" allowBlank="1" showInputMessage="1" showErrorMessage="1" sqref="C2000">
      <formula1>UnidadesList</formula1>
    </dataValidation>
    <dataValidation type="decimal" operator="greaterThan" allowBlank="1" showInputMessage="1" showErrorMessage="1" sqref="D2000">
      <formula1>0</formula1>
    </dataValidation>
    <dataValidation type="decimal" operator="greaterThan" allowBlank="1" showInputMessage="1" showErrorMessage="1" sqref="E2000">
      <formula1>0</formula1>
    </dataValidation>
    <dataValidation type="whole" operator="greaterThan" allowBlank="1" showInputMessage="1" showErrorMessage="1" sqref="A2001">
      <formula1>0</formula1>
    </dataValidation>
    <dataValidation type="list" allowBlank="1" showInputMessage="1" showErrorMessage="1" sqref="C2001">
      <formula1>UnidadesList</formula1>
    </dataValidation>
    <dataValidation type="decimal" operator="greaterThan" allowBlank="1" showInputMessage="1" showErrorMessage="1" sqref="D2001">
      <formula1>0</formula1>
    </dataValidation>
    <dataValidation type="decimal" operator="greaterThan" allowBlank="1" showInputMessage="1" showErrorMessage="1" sqref="E2001">
      <formula1>0</formula1>
    </dataValidation>
    <dataValidation type="whole" operator="greaterThan" allowBlank="1" showInputMessage="1" showErrorMessage="1" sqref="A2002">
      <formula1>0</formula1>
    </dataValidation>
    <dataValidation type="list" allowBlank="1" showInputMessage="1" showErrorMessage="1" sqref="C2002">
      <formula1>UnidadesList</formula1>
    </dataValidation>
    <dataValidation type="decimal" operator="greaterThan" allowBlank="1" showInputMessage="1" showErrorMessage="1" sqref="D2002">
      <formula1>0</formula1>
    </dataValidation>
    <dataValidation type="decimal" operator="greaterThan" allowBlank="1" showInputMessage="1" showErrorMessage="1" sqref="E2002">
      <formula1>0</formula1>
    </dataValidation>
    <dataValidation type="whole" operator="greaterThan" allowBlank="1" showInputMessage="1" showErrorMessage="1" sqref="A2003">
      <formula1>0</formula1>
    </dataValidation>
    <dataValidation type="list" allowBlank="1" showInputMessage="1" showErrorMessage="1" sqref="C2003">
      <formula1>UnidadesList</formula1>
    </dataValidation>
    <dataValidation type="decimal" operator="greaterThan" allowBlank="1" showInputMessage="1" showErrorMessage="1" sqref="D2003">
      <formula1>0</formula1>
    </dataValidation>
    <dataValidation type="decimal" operator="greaterThan" allowBlank="1" showInputMessage="1" showErrorMessage="1" sqref="E2003">
      <formula1>0</formula1>
    </dataValidation>
    <dataValidation type="whole" operator="greaterThan" allowBlank="1" showInputMessage="1" showErrorMessage="1" sqref="A2004">
      <formula1>0</formula1>
    </dataValidation>
    <dataValidation type="list" allowBlank="1" showInputMessage="1" showErrorMessage="1" sqref="C2004">
      <formula1>UnidadesList</formula1>
    </dataValidation>
    <dataValidation type="decimal" operator="greaterThan" allowBlank="1" showInputMessage="1" showErrorMessage="1" sqref="D2004">
      <formula1>0</formula1>
    </dataValidation>
    <dataValidation type="decimal" operator="greaterThan" allowBlank="1" showInputMessage="1" showErrorMessage="1" sqref="E2004">
      <formula1>0</formula1>
    </dataValidation>
    <dataValidation type="whole" operator="greaterThan" allowBlank="1" showInputMessage="1" showErrorMessage="1" sqref="A2005">
      <formula1>0</formula1>
    </dataValidation>
    <dataValidation type="list" allowBlank="1" showInputMessage="1" showErrorMessage="1" sqref="C2005">
      <formula1>UnidadesList</formula1>
    </dataValidation>
    <dataValidation type="decimal" operator="greaterThan" allowBlank="1" showInputMessage="1" showErrorMessage="1" sqref="D2005">
      <formula1>0</formula1>
    </dataValidation>
    <dataValidation type="decimal" operator="greaterThan" allowBlank="1" showInputMessage="1" showErrorMessage="1" sqref="E2005">
      <formula1>0</formula1>
    </dataValidation>
    <dataValidation type="whole" operator="greaterThan" allowBlank="1" showInputMessage="1" showErrorMessage="1" sqref="A2006">
      <formula1>0</formula1>
    </dataValidation>
    <dataValidation type="list" allowBlank="1" showInputMessage="1" showErrorMessage="1" sqref="C2006">
      <formula1>UnidadesList</formula1>
    </dataValidation>
    <dataValidation type="decimal" operator="greaterThan" allowBlank="1" showInputMessage="1" showErrorMessage="1" sqref="D2006">
      <formula1>0</formula1>
    </dataValidation>
    <dataValidation type="decimal" operator="greaterThan" allowBlank="1" showInputMessage="1" showErrorMessage="1" sqref="E2006">
      <formula1>0</formula1>
    </dataValidation>
    <dataValidation type="whole" operator="greaterThan" allowBlank="1" showInputMessage="1" showErrorMessage="1" sqref="A2007">
      <formula1>0</formula1>
    </dataValidation>
    <dataValidation type="list" allowBlank="1" showInputMessage="1" showErrorMessage="1" sqref="C2007">
      <formula1>UnidadesList</formula1>
    </dataValidation>
    <dataValidation type="decimal" operator="greaterThan" allowBlank="1" showInputMessage="1" showErrorMessage="1" sqref="D2007">
      <formula1>0</formula1>
    </dataValidation>
    <dataValidation type="decimal" operator="greaterThan" allowBlank="1" showInputMessage="1" showErrorMessage="1" sqref="E2007">
      <formula1>0</formula1>
    </dataValidation>
    <dataValidation type="whole" operator="greaterThan" allowBlank="1" showInputMessage="1" showErrorMessage="1" sqref="A2008">
      <formula1>0</formula1>
    </dataValidation>
    <dataValidation type="list" allowBlank="1" showInputMessage="1" showErrorMessage="1" sqref="C2008">
      <formula1>UnidadesList</formula1>
    </dataValidation>
    <dataValidation type="decimal" operator="greaterThan" allowBlank="1" showInputMessage="1" showErrorMessage="1" sqref="D2008">
      <formula1>0</formula1>
    </dataValidation>
    <dataValidation type="decimal" operator="greaterThan" allowBlank="1" showInputMessage="1" showErrorMessage="1" sqref="E2008">
      <formula1>0</formula1>
    </dataValidation>
    <dataValidation type="whole" operator="greaterThan" allowBlank="1" showInputMessage="1" showErrorMessage="1" sqref="A2009">
      <formula1>0</formula1>
    </dataValidation>
    <dataValidation type="list" allowBlank="1" showInputMessage="1" showErrorMessage="1" sqref="C2009">
      <formula1>UnidadesList</formula1>
    </dataValidation>
    <dataValidation type="decimal" operator="greaterThan" allowBlank="1" showInputMessage="1" showErrorMessage="1" sqref="D2009">
      <formula1>0</formula1>
    </dataValidation>
    <dataValidation type="decimal" operator="greaterThan" allowBlank="1" showInputMessage="1" showErrorMessage="1" sqref="E2009">
      <formula1>0</formula1>
    </dataValidation>
    <dataValidation type="whole" operator="greaterThan" allowBlank="1" showInputMessage="1" showErrorMessage="1" sqref="A2010">
      <formula1>0</formula1>
    </dataValidation>
    <dataValidation type="list" allowBlank="1" showInputMessage="1" showErrorMessage="1" sqref="C2010">
      <formula1>UnidadesList</formula1>
    </dataValidation>
    <dataValidation type="decimal" operator="greaterThan" allowBlank="1" showInputMessage="1" showErrorMessage="1" sqref="D2010">
      <formula1>0</formula1>
    </dataValidation>
    <dataValidation type="decimal" operator="greaterThan" allowBlank="1" showInputMessage="1" showErrorMessage="1" sqref="E2010">
      <formula1>0</formula1>
    </dataValidation>
    <dataValidation type="whole" operator="greaterThan" allowBlank="1" showInputMessage="1" showErrorMessage="1" sqref="A2011">
      <formula1>0</formula1>
    </dataValidation>
    <dataValidation type="list" allowBlank="1" showInputMessage="1" showErrorMessage="1" sqref="C2011">
      <formula1>UnidadesList</formula1>
    </dataValidation>
    <dataValidation type="decimal" operator="greaterThan" allowBlank="1" showInputMessage="1" showErrorMessage="1" sqref="D2011">
      <formula1>0</formula1>
    </dataValidation>
    <dataValidation type="decimal" operator="greaterThan" allowBlank="1" showInputMessage="1" showErrorMessage="1" sqref="E2011">
      <formula1>0</formula1>
    </dataValidation>
    <dataValidation type="whole" operator="greaterThan" allowBlank="1" showInputMessage="1" showErrorMessage="1" sqref="A2012">
      <formula1>0</formula1>
    </dataValidation>
    <dataValidation type="list" allowBlank="1" showInputMessage="1" showErrorMessage="1" sqref="C2012">
      <formula1>UnidadesList</formula1>
    </dataValidation>
    <dataValidation type="decimal" operator="greaterThan" allowBlank="1" showInputMessage="1" showErrorMessage="1" sqref="D2012">
      <formula1>0</formula1>
    </dataValidation>
    <dataValidation type="decimal" operator="greaterThan" allowBlank="1" showInputMessage="1" showErrorMessage="1" sqref="E2012">
      <formula1>0</formula1>
    </dataValidation>
    <dataValidation type="whole" operator="greaterThan" allowBlank="1" showInputMessage="1" showErrorMessage="1" sqref="A2013">
      <formula1>0</formula1>
    </dataValidation>
    <dataValidation type="list" allowBlank="1" showInputMessage="1" showErrorMessage="1" sqref="C2013">
      <formula1>UnidadesList</formula1>
    </dataValidation>
    <dataValidation type="decimal" operator="greaterThan" allowBlank="1" showInputMessage="1" showErrorMessage="1" sqref="D2013">
      <formula1>0</formula1>
    </dataValidation>
    <dataValidation type="decimal" operator="greaterThan" allowBlank="1" showInputMessage="1" showErrorMessage="1" sqref="E2013">
      <formula1>0</formula1>
    </dataValidation>
    <dataValidation type="whole" operator="greaterThan" allowBlank="1" showInputMessage="1" showErrorMessage="1" sqref="A2014">
      <formula1>0</formula1>
    </dataValidation>
    <dataValidation type="list" allowBlank="1" showInputMessage="1" showErrorMessage="1" sqref="C2014">
      <formula1>UnidadesList</formula1>
    </dataValidation>
    <dataValidation type="decimal" operator="greaterThan" allowBlank="1" showInputMessage="1" showErrorMessage="1" sqref="D2014">
      <formula1>0</formula1>
    </dataValidation>
    <dataValidation type="decimal" operator="greaterThan" allowBlank="1" showInputMessage="1" showErrorMessage="1" sqref="E2014">
      <formula1>0</formula1>
    </dataValidation>
    <dataValidation type="whole" operator="greaterThan" allowBlank="1" showInputMessage="1" showErrorMessage="1" sqref="A2015">
      <formula1>0</formula1>
    </dataValidation>
    <dataValidation type="list" allowBlank="1" showInputMessage="1" showErrorMessage="1" sqref="C2015">
      <formula1>UnidadesList</formula1>
    </dataValidation>
    <dataValidation type="decimal" operator="greaterThan" allowBlank="1" showInputMessage="1" showErrorMessage="1" sqref="D2015">
      <formula1>0</formula1>
    </dataValidation>
    <dataValidation type="decimal" operator="greaterThan" allowBlank="1" showInputMessage="1" showErrorMessage="1" sqref="E2015">
      <formula1>0</formula1>
    </dataValidation>
    <dataValidation type="whole" operator="greaterThan" allowBlank="1" showInputMessage="1" showErrorMessage="1" sqref="A2016">
      <formula1>0</formula1>
    </dataValidation>
    <dataValidation type="list" allowBlank="1" showInputMessage="1" showErrorMessage="1" sqref="C2016">
      <formula1>UnidadesList</formula1>
    </dataValidation>
    <dataValidation type="decimal" operator="greaterThan" allowBlank="1" showInputMessage="1" showErrorMessage="1" sqref="D2016">
      <formula1>0</formula1>
    </dataValidation>
    <dataValidation type="decimal" operator="greaterThan" allowBlank="1" showInputMessage="1" showErrorMessage="1" sqref="E2016">
      <formula1>0</formula1>
    </dataValidation>
    <dataValidation type="date" operator="lessThanOrEqual" allowBlank="1" showInputMessage="1" showErrorMessage="1" sqref="C2021">
      <formula1>C2023</formula1>
    </dataValidation>
    <dataValidation type="date" operator="greaterThanOrEqual" allowBlank="1" showInputMessage="1" showErrorMessage="1" sqref="C2023">
      <formula1>C2021</formula1>
    </dataValidation>
    <dataValidation type="list" allowBlank="1" showInputMessage="1" showErrorMessage="1" sqref="F20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0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0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027">
      <formula1>0</formula1>
    </dataValidation>
    <dataValidation type="list" allowBlank="1" showInputMessage="1" showErrorMessage="1" sqref="C2027">
      <formula1>UnidadesList</formula1>
    </dataValidation>
    <dataValidation type="decimal" operator="greaterThan" allowBlank="1" showInputMessage="1" showErrorMessage="1" sqref="D2027">
      <formula1>0</formula1>
    </dataValidation>
    <dataValidation type="decimal" operator="greaterThan" allowBlank="1" showInputMessage="1" showErrorMessage="1" sqref="E2027">
      <formula1>0</formula1>
    </dataValidation>
    <dataValidation type="whole" operator="greaterThan" allowBlank="1" showInputMessage="1" showErrorMessage="1" sqref="A2028">
      <formula1>0</formula1>
    </dataValidation>
    <dataValidation type="list" allowBlank="1" showInputMessage="1" showErrorMessage="1" sqref="C2028">
      <formula1>UnidadesList</formula1>
    </dataValidation>
    <dataValidation type="decimal" operator="greaterThan" allowBlank="1" showInputMessage="1" showErrorMessage="1" sqref="D2028">
      <formula1>0</formula1>
    </dataValidation>
    <dataValidation type="decimal" operator="greaterThan" allowBlank="1" showInputMessage="1" showErrorMessage="1" sqref="E2028">
      <formula1>0</formula1>
    </dataValidation>
    <dataValidation type="whole" operator="greaterThan" allowBlank="1" showInputMessage="1" showErrorMessage="1" sqref="A2029">
      <formula1>0</formula1>
    </dataValidation>
    <dataValidation type="list" allowBlank="1" showInputMessage="1" showErrorMessage="1" sqref="C2029">
      <formula1>UnidadesList</formula1>
    </dataValidation>
    <dataValidation type="decimal" operator="greaterThan" allowBlank="1" showInputMessage="1" showErrorMessage="1" sqref="D2029">
      <formula1>0</formula1>
    </dataValidation>
    <dataValidation type="decimal" operator="greaterThan" allowBlank="1" showInputMessage="1" showErrorMessage="1" sqref="E2029">
      <formula1>0</formula1>
    </dataValidation>
    <dataValidation type="whole" operator="greaterThan" allowBlank="1" showInputMessage="1" showErrorMessage="1" sqref="A2030">
      <formula1>0</formula1>
    </dataValidation>
    <dataValidation type="list" allowBlank="1" showInputMessage="1" showErrorMessage="1" sqref="C2030">
      <formula1>UnidadesList</formula1>
    </dataValidation>
    <dataValidation type="decimal" operator="greaterThan" allowBlank="1" showInputMessage="1" showErrorMessage="1" sqref="D2030">
      <formula1>0</formula1>
    </dataValidation>
    <dataValidation type="decimal" operator="greaterThan" allowBlank="1" showInputMessage="1" showErrorMessage="1" sqref="E2030">
      <formula1>0</formula1>
    </dataValidation>
    <dataValidation type="whole" operator="greaterThan" allowBlank="1" showInputMessage="1" showErrorMessage="1" sqref="A2031">
      <formula1>0</formula1>
    </dataValidation>
    <dataValidation type="list" allowBlank="1" showInputMessage="1" showErrorMessage="1" sqref="C2031">
      <formula1>UnidadesList</formula1>
    </dataValidation>
    <dataValidation type="decimal" operator="greaterThan" allowBlank="1" showInputMessage="1" showErrorMessage="1" sqref="D2031">
      <formula1>0</formula1>
    </dataValidation>
    <dataValidation type="decimal" operator="greaterThan" allowBlank="1" showInputMessage="1" showErrorMessage="1" sqref="E2031">
      <formula1>0</formula1>
    </dataValidation>
    <dataValidation type="date" operator="lessThanOrEqual" allowBlank="1" showInputMessage="1" showErrorMessage="1" sqref="C2036">
      <formula1>C2038</formula1>
    </dataValidation>
    <dataValidation type="date" operator="greaterThanOrEqual" allowBlank="1" showInputMessage="1" showErrorMessage="1" sqref="C2038">
      <formula1>C2036</formula1>
    </dataValidation>
    <dataValidation type="list" allowBlank="1" showInputMessage="1" showErrorMessage="1" sqref="F203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03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03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3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042">
      <formula1>0</formula1>
    </dataValidation>
    <dataValidation type="list" allowBlank="1" showInputMessage="1" showErrorMessage="1" sqref="C2042">
      <formula1>UnidadesList</formula1>
    </dataValidation>
    <dataValidation type="decimal" operator="greaterThan" allowBlank="1" showInputMessage="1" showErrorMessage="1" sqref="D2042">
      <formula1>0</formula1>
    </dataValidation>
    <dataValidation type="decimal" operator="greaterThan" allowBlank="1" showInputMessage="1" showErrorMessage="1" sqref="E2042">
      <formula1>0</formula1>
    </dataValidation>
    <dataValidation type="whole" operator="greaterThan" allowBlank="1" showInputMessage="1" showErrorMessage="1" sqref="A2043">
      <formula1>0</formula1>
    </dataValidation>
    <dataValidation type="list" allowBlank="1" showInputMessage="1" showErrorMessage="1" sqref="C2043">
      <formula1>UnidadesList</formula1>
    </dataValidation>
    <dataValidation type="decimal" operator="greaterThan" allowBlank="1" showInputMessage="1" showErrorMessage="1" sqref="D2043">
      <formula1>0</formula1>
    </dataValidation>
    <dataValidation type="decimal" operator="greaterThan" allowBlank="1" showInputMessage="1" showErrorMessage="1" sqref="E2043">
      <formula1>0</formula1>
    </dataValidation>
    <dataValidation type="whole" operator="greaterThan" allowBlank="1" showInputMessage="1" showErrorMessage="1" sqref="A2044">
      <formula1>0</formula1>
    </dataValidation>
    <dataValidation type="list" allowBlank="1" showInputMessage="1" showErrorMessage="1" sqref="C2044">
      <formula1>UnidadesList</formula1>
    </dataValidation>
    <dataValidation type="decimal" operator="greaterThan" allowBlank="1" showInputMessage="1" showErrorMessage="1" sqref="D2044">
      <formula1>0</formula1>
    </dataValidation>
    <dataValidation type="decimal" operator="greaterThan" allowBlank="1" showInputMessage="1" showErrorMessage="1" sqref="E2044">
      <formula1>0</formula1>
    </dataValidation>
    <dataValidation type="whole" operator="greaterThan" allowBlank="1" showInputMessage="1" showErrorMessage="1" sqref="A2045">
      <formula1>0</formula1>
    </dataValidation>
    <dataValidation type="list" allowBlank="1" showInputMessage="1" showErrorMessage="1" sqref="C2045">
      <formula1>UnidadesList</formula1>
    </dataValidation>
    <dataValidation type="decimal" operator="greaterThan" allowBlank="1" showInputMessage="1" showErrorMessage="1" sqref="D2045">
      <formula1>0</formula1>
    </dataValidation>
    <dataValidation type="decimal" operator="greaterThan" allowBlank="1" showInputMessage="1" showErrorMessage="1" sqref="E2045">
      <formula1>0</formula1>
    </dataValidation>
    <dataValidation type="whole" operator="greaterThan" allowBlank="1" showInputMessage="1" showErrorMessage="1" sqref="A2046">
      <formula1>0</formula1>
    </dataValidation>
    <dataValidation type="list" allowBlank="1" showInputMessage="1" showErrorMessage="1" sqref="C2046">
      <formula1>UnidadesList</formula1>
    </dataValidation>
    <dataValidation type="decimal" operator="greaterThan" allowBlank="1" showInputMessage="1" showErrorMessage="1" sqref="D2046">
      <formula1>0</formula1>
    </dataValidation>
    <dataValidation type="decimal" operator="greaterThan" allowBlank="1" showInputMessage="1" showErrorMessage="1" sqref="E2046">
      <formula1>0</formula1>
    </dataValidation>
    <dataValidation type="whole" operator="greaterThan" allowBlank="1" showInputMessage="1" showErrorMessage="1" sqref="A2047">
      <formula1>0</formula1>
    </dataValidation>
    <dataValidation type="list" allowBlank="1" showInputMessage="1" showErrorMessage="1" sqref="C2047">
      <formula1>UnidadesList</formula1>
    </dataValidation>
    <dataValidation type="decimal" operator="greaterThan" allowBlank="1" showInputMessage="1" showErrorMessage="1" sqref="D2047">
      <formula1>0</formula1>
    </dataValidation>
    <dataValidation type="decimal" operator="greaterThan" allowBlank="1" showInputMessage="1" showErrorMessage="1" sqref="E2047">
      <formula1>0</formula1>
    </dataValidation>
    <dataValidation type="whole" operator="greaterThan" allowBlank="1" showInputMessage="1" showErrorMessage="1" sqref="A2048">
      <formula1>0</formula1>
    </dataValidation>
    <dataValidation type="list" allowBlank="1" showInputMessage="1" showErrorMessage="1" sqref="C2048">
      <formula1>UnidadesList</formula1>
    </dataValidation>
    <dataValidation type="decimal" operator="greaterThan" allowBlank="1" showInputMessage="1" showErrorMessage="1" sqref="D2048">
      <formula1>0</formula1>
    </dataValidation>
    <dataValidation type="decimal" operator="greaterThan" allowBlank="1" showInputMessage="1" showErrorMessage="1" sqref="E2048">
      <formula1>0</formula1>
    </dataValidation>
    <dataValidation type="whole" operator="greaterThan" allowBlank="1" showInputMessage="1" showErrorMessage="1" sqref="A2049">
      <formula1>0</formula1>
    </dataValidation>
    <dataValidation type="list" allowBlank="1" showInputMessage="1" showErrorMessage="1" sqref="C2049">
      <formula1>UnidadesList</formula1>
    </dataValidation>
    <dataValidation type="decimal" operator="greaterThan" allowBlank="1" showInputMessage="1" showErrorMessage="1" sqref="D2049">
      <formula1>0</formula1>
    </dataValidation>
    <dataValidation type="decimal" operator="greaterThan" allowBlank="1" showInputMessage="1" showErrorMessage="1" sqref="E2049">
      <formula1>0</formula1>
    </dataValidation>
    <dataValidation type="whole" operator="greaterThan" allowBlank="1" showInputMessage="1" showErrorMessage="1" sqref="A2050">
      <formula1>0</formula1>
    </dataValidation>
    <dataValidation type="list" allowBlank="1" showInputMessage="1" showErrorMessage="1" sqref="C2050">
      <formula1>UnidadesList</formula1>
    </dataValidation>
    <dataValidation type="decimal" operator="greaterThan" allowBlank="1" showInputMessage="1" showErrorMessage="1" sqref="D2050">
      <formula1>0</formula1>
    </dataValidation>
    <dataValidation type="decimal" operator="greaterThan" allowBlank="1" showInputMessage="1" showErrorMessage="1" sqref="E2050">
      <formula1>0</formula1>
    </dataValidation>
    <dataValidation type="whole" operator="greaterThan" allowBlank="1" showInputMessage="1" showErrorMessage="1" sqref="A2051">
      <formula1>0</formula1>
    </dataValidation>
    <dataValidation type="list" allowBlank="1" showInputMessage="1" showErrorMessage="1" sqref="C2051">
      <formula1>UnidadesList</formula1>
    </dataValidation>
    <dataValidation type="decimal" operator="greaterThan" allowBlank="1" showInputMessage="1" showErrorMessage="1" sqref="D2051">
      <formula1>0</formula1>
    </dataValidation>
    <dataValidation type="decimal" operator="greaterThan" allowBlank="1" showInputMessage="1" showErrorMessage="1" sqref="E2051">
      <formula1>0</formula1>
    </dataValidation>
    <dataValidation type="whole" operator="greaterThan" allowBlank="1" showInputMessage="1" showErrorMessage="1" sqref="A2052">
      <formula1>0</formula1>
    </dataValidation>
    <dataValidation type="list" allowBlank="1" showInputMessage="1" showErrorMessage="1" sqref="C2052">
      <formula1>UnidadesList</formula1>
    </dataValidation>
    <dataValidation type="decimal" operator="greaterThan" allowBlank="1" showInputMessage="1" showErrorMessage="1" sqref="D2052">
      <formula1>0</formula1>
    </dataValidation>
    <dataValidation type="decimal" operator="greaterThan" allowBlank="1" showInputMessage="1" showErrorMessage="1" sqref="E2052">
      <formula1>0</formula1>
    </dataValidation>
    <dataValidation type="whole" operator="greaterThan" allowBlank="1" showInputMessage="1" showErrorMessage="1" sqref="A2053">
      <formula1>0</formula1>
    </dataValidation>
    <dataValidation type="list" allowBlank="1" showInputMessage="1" showErrorMessage="1" sqref="C2053">
      <formula1>UnidadesList</formula1>
    </dataValidation>
    <dataValidation type="decimal" operator="greaterThan" allowBlank="1" showInputMessage="1" showErrorMessage="1" sqref="D2053">
      <formula1>0</formula1>
    </dataValidation>
    <dataValidation type="decimal" operator="greaterThan" allowBlank="1" showInputMessage="1" showErrorMessage="1" sqref="E2053">
      <formula1>0</formula1>
    </dataValidation>
    <dataValidation type="whole" operator="greaterThan" allowBlank="1" showInputMessage="1" showErrorMessage="1" sqref="A2054">
      <formula1>0</formula1>
    </dataValidation>
    <dataValidation type="list" allowBlank="1" showInputMessage="1" showErrorMessage="1" sqref="C2054">
      <formula1>UnidadesList</formula1>
    </dataValidation>
    <dataValidation type="decimal" operator="greaterThan" allowBlank="1" showInputMessage="1" showErrorMessage="1" sqref="D2054">
      <formula1>0</formula1>
    </dataValidation>
    <dataValidation type="decimal" operator="greaterThan" allowBlank="1" showInputMessage="1" showErrorMessage="1" sqref="E2054">
      <formula1>0</formula1>
    </dataValidation>
    <dataValidation type="whole" operator="greaterThan" allowBlank="1" showInputMessage="1" showErrorMessage="1" sqref="A2055">
      <formula1>0</formula1>
    </dataValidation>
    <dataValidation type="list" allowBlank="1" showInputMessage="1" showErrorMessage="1" sqref="C2055">
      <formula1>UnidadesList</formula1>
    </dataValidation>
    <dataValidation type="decimal" operator="greaterThan" allowBlank="1" showInputMessage="1" showErrorMessage="1" sqref="D2055">
      <formula1>0</formula1>
    </dataValidation>
    <dataValidation type="decimal" operator="greaterThan" allowBlank="1" showInputMessage="1" showErrorMessage="1" sqref="E2055">
      <formula1>0</formula1>
    </dataValidation>
    <dataValidation type="whole" operator="greaterThan" allowBlank="1" showInputMessage="1" showErrorMessage="1" sqref="A2056">
      <formula1>0</formula1>
    </dataValidation>
    <dataValidation type="list" allowBlank="1" showInputMessage="1" showErrorMessage="1" sqref="C2056">
      <formula1>UnidadesList</formula1>
    </dataValidation>
    <dataValidation type="decimal" operator="greaterThan" allowBlank="1" showInputMessage="1" showErrorMessage="1" sqref="D2056">
      <formula1>0</formula1>
    </dataValidation>
    <dataValidation type="decimal" operator="greaterThan" allowBlank="1" showInputMessage="1" showErrorMessage="1" sqref="E2056">
      <formula1>0</formula1>
    </dataValidation>
    <dataValidation type="whole" operator="greaterThan" allowBlank="1" showInputMessage="1" showErrorMessage="1" sqref="A2057">
      <formula1>0</formula1>
    </dataValidation>
    <dataValidation type="list" allowBlank="1" showInputMessage="1" showErrorMessage="1" sqref="C2057">
      <formula1>UnidadesList</formula1>
    </dataValidation>
    <dataValidation type="decimal" operator="greaterThan" allowBlank="1" showInputMessage="1" showErrorMessage="1" sqref="D2057">
      <formula1>0</formula1>
    </dataValidation>
    <dataValidation type="decimal" operator="greaterThan" allowBlank="1" showInputMessage="1" showErrorMessage="1" sqref="E2057">
      <formula1>0</formula1>
    </dataValidation>
    <dataValidation type="whole" operator="greaterThan" allowBlank="1" showInputMessage="1" showErrorMessage="1" sqref="A2058">
      <formula1>0</formula1>
    </dataValidation>
    <dataValidation type="list" allowBlank="1" showInputMessage="1" showErrorMessage="1" sqref="C2058">
      <formula1>UnidadesList</formula1>
    </dataValidation>
    <dataValidation type="decimal" operator="greaterThan" allowBlank="1" showInputMessage="1" showErrorMessage="1" sqref="D2058">
      <formula1>0</formula1>
    </dataValidation>
    <dataValidation type="decimal" operator="greaterThan" allowBlank="1" showInputMessage="1" showErrorMessage="1" sqref="E2058">
      <formula1>0</formula1>
    </dataValidation>
    <dataValidation type="whole" operator="greaterThan" allowBlank="1" showInputMessage="1" showErrorMessage="1" sqref="A2059">
      <formula1>0</formula1>
    </dataValidation>
    <dataValidation type="list" allowBlank="1" showInputMessage="1" showErrorMessage="1" sqref="C2059">
      <formula1>UnidadesList</formula1>
    </dataValidation>
    <dataValidation type="decimal" operator="greaterThan" allowBlank="1" showInputMessage="1" showErrorMessage="1" sqref="D2059">
      <formula1>0</formula1>
    </dataValidation>
    <dataValidation type="decimal" operator="greaterThan" allowBlank="1" showInputMessage="1" showErrorMessage="1" sqref="E2059">
      <formula1>0</formula1>
    </dataValidation>
    <dataValidation type="whole" operator="greaterThan" allowBlank="1" showInputMessage="1" showErrorMessage="1" sqref="A2060">
      <formula1>0</formula1>
    </dataValidation>
    <dataValidation type="list" allowBlank="1" showInputMessage="1" showErrorMessage="1" sqref="C2060">
      <formula1>UnidadesList</formula1>
    </dataValidation>
    <dataValidation type="decimal" operator="greaterThan" allowBlank="1" showInputMessage="1" showErrorMessage="1" sqref="D2060">
      <formula1>0</formula1>
    </dataValidation>
    <dataValidation type="decimal" operator="greaterThan" allowBlank="1" showInputMessage="1" showErrorMessage="1" sqref="E2060">
      <formula1>0</formula1>
    </dataValidation>
    <dataValidation type="whole" operator="greaterThan" allowBlank="1" showInputMessage="1" showErrorMessage="1" sqref="A2061">
      <formula1>0</formula1>
    </dataValidation>
    <dataValidation type="list" allowBlank="1" showInputMessage="1" showErrorMessage="1" sqref="C2061">
      <formula1>UnidadesList</formula1>
    </dataValidation>
    <dataValidation type="decimal" operator="greaterThan" allowBlank="1" showInputMessage="1" showErrorMessage="1" sqref="D2061">
      <formula1>0</formula1>
    </dataValidation>
    <dataValidation type="decimal" operator="greaterThan" allowBlank="1" showInputMessage="1" showErrorMessage="1" sqref="E2061">
      <formula1>0</formula1>
    </dataValidation>
    <dataValidation type="whole" operator="greaterThan" allowBlank="1" showInputMessage="1" showErrorMessage="1" sqref="A2062">
      <formula1>0</formula1>
    </dataValidation>
    <dataValidation type="list" allowBlank="1" showInputMessage="1" showErrorMessage="1" sqref="C2062">
      <formula1>UnidadesList</formula1>
    </dataValidation>
    <dataValidation type="decimal" operator="greaterThan" allowBlank="1" showInputMessage="1" showErrorMessage="1" sqref="D2062">
      <formula1>0</formula1>
    </dataValidation>
    <dataValidation type="decimal" operator="greaterThan" allowBlank="1" showInputMessage="1" showErrorMessage="1" sqref="E2062">
      <formula1>0</formula1>
    </dataValidation>
    <dataValidation type="whole" operator="greaterThan" allowBlank="1" showInputMessage="1" showErrorMessage="1" sqref="A2063">
      <formula1>0</formula1>
    </dataValidation>
    <dataValidation type="list" allowBlank="1" showInputMessage="1" showErrorMessage="1" sqref="C2063">
      <formula1>UnidadesList</formula1>
    </dataValidation>
    <dataValidation type="decimal" operator="greaterThan" allowBlank="1" showInputMessage="1" showErrorMessage="1" sqref="D2063">
      <formula1>0</formula1>
    </dataValidation>
    <dataValidation type="decimal" operator="greaterThan" allowBlank="1" showInputMessage="1" showErrorMessage="1" sqref="E2063">
      <formula1>0</formula1>
    </dataValidation>
    <dataValidation type="date" operator="lessThanOrEqual" allowBlank="1" showInputMessage="1" showErrorMessage="1" sqref="C2068">
      <formula1>C2070</formula1>
    </dataValidation>
    <dataValidation type="date" operator="greaterThanOrEqual" allowBlank="1" showInputMessage="1" showErrorMessage="1" sqref="C2070">
      <formula1>C2068</formula1>
    </dataValidation>
    <dataValidation type="list" allowBlank="1" showInputMessage="1" showErrorMessage="1" sqref="F20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0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0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074">
      <formula1>0</formula1>
    </dataValidation>
    <dataValidation type="list" allowBlank="1" showInputMessage="1" showErrorMessage="1" sqref="C2074">
      <formula1>UnidadesList</formula1>
    </dataValidation>
    <dataValidation type="decimal" operator="greaterThan" allowBlank="1" showInputMessage="1" showErrorMessage="1" sqref="D2074">
      <formula1>0</formula1>
    </dataValidation>
    <dataValidation type="decimal" operator="greaterThan" allowBlank="1" showInputMessage="1" showErrorMessage="1" sqref="E2074">
      <formula1>0</formula1>
    </dataValidation>
    <dataValidation type="whole" operator="greaterThan" allowBlank="1" showInputMessage="1" showErrorMessage="1" sqref="A2075">
      <formula1>0</formula1>
    </dataValidation>
    <dataValidation type="list" allowBlank="1" showInputMessage="1" showErrorMessage="1" sqref="C2075">
      <formula1>UnidadesList</formula1>
    </dataValidation>
    <dataValidation type="decimal" operator="greaterThan" allowBlank="1" showInputMessage="1" showErrorMessage="1" sqref="D2075">
      <formula1>0</formula1>
    </dataValidation>
    <dataValidation type="decimal" operator="greaterThan" allowBlank="1" showInputMessage="1" showErrorMessage="1" sqref="E2075">
      <formula1>0</formula1>
    </dataValidation>
    <dataValidation type="whole" operator="greaterThan" allowBlank="1" showInputMessage="1" showErrorMessage="1" sqref="A2076">
      <formula1>0</formula1>
    </dataValidation>
    <dataValidation type="list" allowBlank="1" showInputMessage="1" showErrorMessage="1" sqref="C2076">
      <formula1>UnidadesList</formula1>
    </dataValidation>
    <dataValidation type="decimal" operator="greaterThan" allowBlank="1" showInputMessage="1" showErrorMessage="1" sqref="D2076">
      <formula1>0</formula1>
    </dataValidation>
    <dataValidation type="decimal" operator="greaterThan" allowBlank="1" showInputMessage="1" showErrorMessage="1" sqref="E2076">
      <formula1>0</formula1>
    </dataValidation>
    <dataValidation type="whole" operator="greaterThan" allowBlank="1" showInputMessage="1" showErrorMessage="1" sqref="A2077">
      <formula1>0</formula1>
    </dataValidation>
    <dataValidation type="list" allowBlank="1" showInputMessage="1" showErrorMessage="1" sqref="C2077">
      <formula1>UnidadesList</formula1>
    </dataValidation>
    <dataValidation type="decimal" operator="greaterThan" allowBlank="1" showInputMessage="1" showErrorMessage="1" sqref="D2077">
      <formula1>0</formula1>
    </dataValidation>
    <dataValidation type="decimal" operator="greaterThan" allowBlank="1" showInputMessage="1" showErrorMessage="1" sqref="E2077">
      <formula1>0</formula1>
    </dataValidation>
    <dataValidation type="whole" operator="greaterThan" allowBlank="1" showInputMessage="1" showErrorMessage="1" sqref="A2078">
      <formula1>0</formula1>
    </dataValidation>
    <dataValidation type="list" allowBlank="1" showInputMessage="1" showErrorMessage="1" sqref="C2078">
      <formula1>UnidadesList</formula1>
    </dataValidation>
    <dataValidation type="decimal" operator="greaterThan" allowBlank="1" showInputMessage="1" showErrorMessage="1" sqref="D2078">
      <formula1>0</formula1>
    </dataValidation>
    <dataValidation type="decimal" operator="greaterThan" allowBlank="1" showInputMessage="1" showErrorMessage="1" sqref="E2078">
      <formula1>0</formula1>
    </dataValidation>
    <dataValidation type="date" operator="lessThanOrEqual" allowBlank="1" showInputMessage="1" showErrorMessage="1" sqref="C2083">
      <formula1>C2085</formula1>
    </dataValidation>
    <dataValidation type="date" operator="greaterThanOrEqual" allowBlank="1" showInputMessage="1" showErrorMessage="1" sqref="C2085">
      <formula1>C2083</formula1>
    </dataValidation>
    <dataValidation type="list" allowBlank="1" showInputMessage="1" showErrorMessage="1" sqref="F20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0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0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089">
      <formula1>0</formula1>
    </dataValidation>
    <dataValidation type="list" allowBlank="1" showInputMessage="1" showErrorMessage="1" sqref="C2089">
      <formula1>UnidadesList</formula1>
    </dataValidation>
    <dataValidation type="decimal" operator="greaterThan" allowBlank="1" showInputMessage="1" showErrorMessage="1" sqref="D2089">
      <formula1>0</formula1>
    </dataValidation>
    <dataValidation type="decimal" operator="greaterThan" allowBlank="1" showInputMessage="1" showErrorMessage="1" sqref="E2089">
      <formula1>0</formula1>
    </dataValidation>
    <dataValidation type="whole" operator="greaterThan" allowBlank="1" showInputMessage="1" showErrorMessage="1" sqref="A2090">
      <formula1>0</formula1>
    </dataValidation>
    <dataValidation type="list" allowBlank="1" showInputMessage="1" showErrorMessage="1" sqref="C2090">
      <formula1>UnidadesList</formula1>
    </dataValidation>
    <dataValidation type="decimal" operator="greaterThan" allowBlank="1" showInputMessage="1" showErrorMessage="1" sqref="D2090">
      <formula1>0</formula1>
    </dataValidation>
    <dataValidation type="decimal" operator="greaterThan" allowBlank="1" showInputMessage="1" showErrorMessage="1" sqref="E2090">
      <formula1>0</formula1>
    </dataValidation>
    <dataValidation type="whole" operator="greaterThan" allowBlank="1" showInputMessage="1" showErrorMessage="1" sqref="A2091">
      <formula1>0</formula1>
    </dataValidation>
    <dataValidation type="list" allowBlank="1" showInputMessage="1" showErrorMessage="1" sqref="C2091">
      <formula1>UnidadesList</formula1>
    </dataValidation>
    <dataValidation type="decimal" operator="greaterThan" allowBlank="1" showInputMessage="1" showErrorMessage="1" sqref="D2091">
      <formula1>0</formula1>
    </dataValidation>
    <dataValidation type="decimal" operator="greaterThan" allowBlank="1" showInputMessage="1" showErrorMessage="1" sqref="E2091">
      <formula1>0</formula1>
    </dataValidation>
    <dataValidation type="whole" operator="greaterThan" allowBlank="1" showInputMessage="1" showErrorMessage="1" sqref="A2092">
      <formula1>0</formula1>
    </dataValidation>
    <dataValidation type="list" allowBlank="1" showInputMessage="1" showErrorMessage="1" sqref="C2092">
      <formula1>UnidadesList</formula1>
    </dataValidation>
    <dataValidation type="decimal" operator="greaterThan" allowBlank="1" showInputMessage="1" showErrorMessage="1" sqref="D2092">
      <formula1>0</formula1>
    </dataValidation>
    <dataValidation type="decimal" operator="greaterThan" allowBlank="1" showInputMessage="1" showErrorMessage="1" sqref="E2092">
      <formula1>0</formula1>
    </dataValidation>
    <dataValidation type="whole" operator="greaterThan" allowBlank="1" showInputMessage="1" showErrorMessage="1" sqref="A2093">
      <formula1>0</formula1>
    </dataValidation>
    <dataValidation type="list" allowBlank="1" showInputMessage="1" showErrorMessage="1" sqref="C2093">
      <formula1>UnidadesList</formula1>
    </dataValidation>
    <dataValidation type="decimal" operator="greaterThan" allowBlank="1" showInputMessage="1" showErrorMessage="1" sqref="D2093">
      <formula1>0</formula1>
    </dataValidation>
    <dataValidation type="decimal" operator="greaterThan" allowBlank="1" showInputMessage="1" showErrorMessage="1" sqref="E2093">
      <formula1>0</formula1>
    </dataValidation>
    <dataValidation type="date" operator="lessThanOrEqual" allowBlank="1" showInputMessage="1" showErrorMessage="1" sqref="C2098">
      <formula1>C2100</formula1>
    </dataValidation>
    <dataValidation type="date" operator="greaterThanOrEqual" allowBlank="1" showInputMessage="1" showErrorMessage="1" sqref="C2100">
      <formula1>C2098</formula1>
    </dataValidation>
    <dataValidation type="list" allowBlank="1" showInputMessage="1" showErrorMessage="1" sqref="F209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09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10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10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104">
      <formula1>0</formula1>
    </dataValidation>
    <dataValidation type="list" allowBlank="1" showInputMessage="1" showErrorMessage="1" sqref="C2104">
      <formula1>UnidadesList</formula1>
    </dataValidation>
    <dataValidation type="decimal" operator="greaterThan" allowBlank="1" showInputMessage="1" showErrorMessage="1" sqref="D2104">
      <formula1>0</formula1>
    </dataValidation>
    <dataValidation type="decimal" operator="greaterThan" allowBlank="1" showInputMessage="1" showErrorMessage="1" sqref="E2104">
      <formula1>0</formula1>
    </dataValidation>
    <dataValidation type="whole" operator="greaterThan" allowBlank="1" showInputMessage="1" showErrorMessage="1" sqref="A2105">
      <formula1>0</formula1>
    </dataValidation>
    <dataValidation type="list" allowBlank="1" showInputMessage="1" showErrorMessage="1" sqref="C2105">
      <formula1>UnidadesList</formula1>
    </dataValidation>
    <dataValidation type="decimal" operator="greaterThan" allowBlank="1" showInputMessage="1" showErrorMessage="1" sqref="D2105">
      <formula1>0</formula1>
    </dataValidation>
    <dataValidation type="decimal" operator="greaterThan" allowBlank="1" showInputMessage="1" showErrorMessage="1" sqref="E2105">
      <formula1>0</formula1>
    </dataValidation>
    <dataValidation type="whole" operator="greaterThan" allowBlank="1" showInputMessage="1" showErrorMessage="1" sqref="A2106">
      <formula1>0</formula1>
    </dataValidation>
    <dataValidation type="list" allowBlank="1" showInputMessage="1" showErrorMessage="1" sqref="C2106">
      <formula1>UnidadesList</formula1>
    </dataValidation>
    <dataValidation type="decimal" operator="greaterThan" allowBlank="1" showInputMessage="1" showErrorMessage="1" sqref="D2106">
      <formula1>0</formula1>
    </dataValidation>
    <dataValidation type="decimal" operator="greaterThan" allowBlank="1" showInputMessage="1" showErrorMessage="1" sqref="E2106">
      <formula1>0</formula1>
    </dataValidation>
    <dataValidation type="whole" operator="greaterThan" allowBlank="1" showInputMessage="1" showErrorMessage="1" sqref="A2107">
      <formula1>0</formula1>
    </dataValidation>
    <dataValidation type="list" allowBlank="1" showInputMessage="1" showErrorMessage="1" sqref="C2107">
      <formula1>UnidadesList</formula1>
    </dataValidation>
    <dataValidation type="decimal" operator="greaterThan" allowBlank="1" showInputMessage="1" showErrorMessage="1" sqref="D2107">
      <formula1>0</formula1>
    </dataValidation>
    <dataValidation type="decimal" operator="greaterThan" allowBlank="1" showInputMessage="1" showErrorMessage="1" sqref="E2107">
      <formula1>0</formula1>
    </dataValidation>
    <dataValidation type="whole" operator="greaterThan" allowBlank="1" showInputMessage="1" showErrorMessage="1" sqref="A2108">
      <formula1>0</formula1>
    </dataValidation>
    <dataValidation type="list" allowBlank="1" showInputMessage="1" showErrorMessage="1" sqref="C2108">
      <formula1>UnidadesList</formula1>
    </dataValidation>
    <dataValidation type="decimal" operator="greaterThan" allowBlank="1" showInputMessage="1" showErrorMessage="1" sqref="D2108">
      <formula1>0</formula1>
    </dataValidation>
    <dataValidation type="decimal" operator="greaterThan" allowBlank="1" showInputMessage="1" showErrorMessage="1" sqref="E2108">
      <formula1>0</formula1>
    </dataValidation>
    <dataValidation type="whole" operator="greaterThan" allowBlank="1" showInputMessage="1" showErrorMessage="1" sqref="A2109">
      <formula1>0</formula1>
    </dataValidation>
    <dataValidation type="list" allowBlank="1" showInputMessage="1" showErrorMessage="1" sqref="C2109">
      <formula1>UnidadesList</formula1>
    </dataValidation>
    <dataValidation type="decimal" operator="greaterThan" allowBlank="1" showInputMessage="1" showErrorMessage="1" sqref="D2109">
      <formula1>0</formula1>
    </dataValidation>
    <dataValidation type="decimal" operator="greaterThan" allowBlank="1" showInputMessage="1" showErrorMessage="1" sqref="E2109">
      <formula1>0</formula1>
    </dataValidation>
    <dataValidation type="whole" operator="greaterThan" allowBlank="1" showInputMessage="1" showErrorMessage="1" sqref="A2110">
      <formula1>0</formula1>
    </dataValidation>
    <dataValidation type="list" allowBlank="1" showInputMessage="1" showErrorMessage="1" sqref="C2110">
      <formula1>UnidadesList</formula1>
    </dataValidation>
    <dataValidation type="decimal" operator="greaterThan" allowBlank="1" showInputMessage="1" showErrorMessage="1" sqref="D2110">
      <formula1>0</formula1>
    </dataValidation>
    <dataValidation type="decimal" operator="greaterThan" allowBlank="1" showInputMessage="1" showErrorMessage="1" sqref="E2110">
      <formula1>0</formula1>
    </dataValidation>
    <dataValidation type="whole" operator="greaterThan" allowBlank="1" showInputMessage="1" showErrorMessage="1" sqref="A2111">
      <formula1>0</formula1>
    </dataValidation>
    <dataValidation type="list" allowBlank="1" showInputMessage="1" showErrorMessage="1" sqref="C2111">
      <formula1>UnidadesList</formula1>
    </dataValidation>
    <dataValidation type="decimal" operator="greaterThan" allowBlank="1" showInputMessage="1" showErrorMessage="1" sqref="D2111">
      <formula1>0</formula1>
    </dataValidation>
    <dataValidation type="decimal" operator="greaterThan" allowBlank="1" showInputMessage="1" showErrorMessage="1" sqref="E2111">
      <formula1>0</formula1>
    </dataValidation>
    <dataValidation type="whole" operator="greaterThan" allowBlank="1" showInputMessage="1" showErrorMessage="1" sqref="A2112">
      <formula1>0</formula1>
    </dataValidation>
    <dataValidation type="list" allowBlank="1" showInputMessage="1" showErrorMessage="1" sqref="C2112">
      <formula1>UnidadesList</formula1>
    </dataValidation>
    <dataValidation type="decimal" operator="greaterThan" allowBlank="1" showInputMessage="1" showErrorMessage="1" sqref="D2112">
      <formula1>0</formula1>
    </dataValidation>
    <dataValidation type="decimal" operator="greaterThan" allowBlank="1" showInputMessage="1" showErrorMessage="1" sqref="E2112">
      <formula1>0</formula1>
    </dataValidation>
    <dataValidation type="whole" operator="greaterThan" allowBlank="1" showInputMessage="1" showErrorMessage="1" sqref="A2113">
      <formula1>0</formula1>
    </dataValidation>
    <dataValidation type="list" allowBlank="1" showInputMessage="1" showErrorMessage="1" sqref="C2113">
      <formula1>UnidadesList</formula1>
    </dataValidation>
    <dataValidation type="decimal" operator="greaterThan" allowBlank="1" showInputMessage="1" showErrorMessage="1" sqref="D2113">
      <formula1>0</formula1>
    </dataValidation>
    <dataValidation type="decimal" operator="greaterThan" allowBlank="1" showInputMessage="1" showErrorMessage="1" sqref="E2113">
      <formula1>0</formula1>
    </dataValidation>
    <dataValidation type="whole" operator="greaterThan" allowBlank="1" showInputMessage="1" showErrorMessage="1" sqref="A2114">
      <formula1>0</formula1>
    </dataValidation>
    <dataValidation type="list" allowBlank="1" showInputMessage="1" showErrorMessage="1" sqref="C2114">
      <formula1>UnidadesList</formula1>
    </dataValidation>
    <dataValidation type="decimal" operator="greaterThan" allowBlank="1" showInputMessage="1" showErrorMessage="1" sqref="D2114">
      <formula1>0</formula1>
    </dataValidation>
    <dataValidation type="decimal" operator="greaterThan" allowBlank="1" showInputMessage="1" showErrorMessage="1" sqref="E2114">
      <formula1>0</formula1>
    </dataValidation>
    <dataValidation type="whole" operator="greaterThan" allowBlank="1" showInputMessage="1" showErrorMessage="1" sqref="A2115">
      <formula1>0</formula1>
    </dataValidation>
    <dataValidation type="list" allowBlank="1" showInputMessage="1" showErrorMessage="1" sqref="C2115">
      <formula1>UnidadesList</formula1>
    </dataValidation>
    <dataValidation type="decimal" operator="greaterThan" allowBlank="1" showInputMessage="1" showErrorMessage="1" sqref="D2115">
      <formula1>0</formula1>
    </dataValidation>
    <dataValidation type="decimal" operator="greaterThan" allowBlank="1" showInputMessage="1" showErrorMessage="1" sqref="E2115">
      <formula1>0</formula1>
    </dataValidation>
    <dataValidation type="whole" operator="greaterThan" allowBlank="1" showInputMessage="1" showErrorMessage="1" sqref="A2116">
      <formula1>0</formula1>
    </dataValidation>
    <dataValidation type="list" allowBlank="1" showInputMessage="1" showErrorMessage="1" sqref="C2116">
      <formula1>UnidadesList</formula1>
    </dataValidation>
    <dataValidation type="decimal" operator="greaterThan" allowBlank="1" showInputMessage="1" showErrorMessage="1" sqref="D2116">
      <formula1>0</formula1>
    </dataValidation>
    <dataValidation type="decimal" operator="greaterThan" allowBlank="1" showInputMessage="1" showErrorMessage="1" sqref="E2116">
      <formula1>0</formula1>
    </dataValidation>
    <dataValidation type="whole" operator="greaterThan" allowBlank="1" showInputMessage="1" showErrorMessage="1" sqref="A2117">
      <formula1>0</formula1>
    </dataValidation>
    <dataValidation type="list" allowBlank="1" showInputMessage="1" showErrorMessage="1" sqref="C2117">
      <formula1>UnidadesList</formula1>
    </dataValidation>
    <dataValidation type="decimal" operator="greaterThan" allowBlank="1" showInputMessage="1" showErrorMessage="1" sqref="D2117">
      <formula1>0</formula1>
    </dataValidation>
    <dataValidation type="decimal" operator="greaterThan" allowBlank="1" showInputMessage="1" showErrorMessage="1" sqref="E2117">
      <formula1>0</formula1>
    </dataValidation>
    <dataValidation type="whole" operator="greaterThan" allowBlank="1" showInputMessage="1" showErrorMessage="1" sqref="A2118">
      <formula1>0</formula1>
    </dataValidation>
    <dataValidation type="list" allowBlank="1" showInputMessage="1" showErrorMessage="1" sqref="C2118">
      <formula1>UnidadesList</formula1>
    </dataValidation>
    <dataValidation type="decimal" operator="greaterThan" allowBlank="1" showInputMessage="1" showErrorMessage="1" sqref="D2118">
      <formula1>0</formula1>
    </dataValidation>
    <dataValidation type="decimal" operator="greaterThan" allowBlank="1" showInputMessage="1" showErrorMessage="1" sqref="E2118">
      <formula1>0</formula1>
    </dataValidation>
    <dataValidation type="whole" operator="greaterThan" allowBlank="1" showInputMessage="1" showErrorMessage="1" sqref="A2119">
      <formula1>0</formula1>
    </dataValidation>
    <dataValidation type="list" allowBlank="1" showInputMessage="1" showErrorMessage="1" sqref="C2119">
      <formula1>UnidadesList</formula1>
    </dataValidation>
    <dataValidation type="decimal" operator="greaterThan" allowBlank="1" showInputMessage="1" showErrorMessage="1" sqref="D2119">
      <formula1>0</formula1>
    </dataValidation>
    <dataValidation type="decimal" operator="greaterThan" allowBlank="1" showInputMessage="1" showErrorMessage="1" sqref="E2119">
      <formula1>0</formula1>
    </dataValidation>
    <dataValidation type="date" operator="lessThanOrEqual" allowBlank="1" showInputMessage="1" showErrorMessage="1" sqref="C2124">
      <formula1>C2126</formula1>
    </dataValidation>
    <dataValidation type="date" operator="greaterThanOrEqual" allowBlank="1" showInputMessage="1" showErrorMessage="1" sqref="C2126">
      <formula1>C2124</formula1>
    </dataValidation>
    <dataValidation type="list" allowBlank="1" showInputMessage="1" showErrorMessage="1" sqref="F21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1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1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1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130">
      <formula1>0</formula1>
    </dataValidation>
    <dataValidation type="list" allowBlank="1" showInputMessage="1" showErrorMessage="1" sqref="C2130">
      <formula1>UnidadesList</formula1>
    </dataValidation>
    <dataValidation type="decimal" operator="greaterThan" allowBlank="1" showInputMessage="1" showErrorMessage="1" sqref="D2130">
      <formula1>0</formula1>
    </dataValidation>
    <dataValidation type="decimal" operator="greaterThan" allowBlank="1" showInputMessage="1" showErrorMessage="1" sqref="E2130">
      <formula1>0</formula1>
    </dataValidation>
    <dataValidation type="whole" operator="greaterThan" allowBlank="1" showInputMessage="1" showErrorMessage="1" sqref="A2131">
      <formula1>0</formula1>
    </dataValidation>
    <dataValidation type="list" allowBlank="1" showInputMessage="1" showErrorMessage="1" sqref="C2131">
      <formula1>UnidadesList</formula1>
    </dataValidation>
    <dataValidation type="decimal" operator="greaterThan" allowBlank="1" showInputMessage="1" showErrorMessage="1" sqref="D2131">
      <formula1>0</formula1>
    </dataValidation>
    <dataValidation type="decimal" operator="greaterThan" allowBlank="1" showInputMessage="1" showErrorMessage="1" sqref="E2131">
      <formula1>0</formula1>
    </dataValidation>
    <dataValidation type="whole" operator="greaterThan" allowBlank="1" showInputMessage="1" showErrorMessage="1" sqref="A2132">
      <formula1>0</formula1>
    </dataValidation>
    <dataValidation type="list" allowBlank="1" showInputMessage="1" showErrorMessage="1" sqref="C2132">
      <formula1>UnidadesList</formula1>
    </dataValidation>
    <dataValidation type="decimal" operator="greaterThan" allowBlank="1" showInputMessage="1" showErrorMessage="1" sqref="D2132">
      <formula1>0</formula1>
    </dataValidation>
    <dataValidation type="decimal" operator="greaterThan" allowBlank="1" showInputMessage="1" showErrorMessage="1" sqref="E2132">
      <formula1>0</formula1>
    </dataValidation>
    <dataValidation type="whole" operator="greaterThan" allowBlank="1" showInputMessage="1" showErrorMessage="1" sqref="A2133">
      <formula1>0</formula1>
    </dataValidation>
    <dataValidation type="list" allowBlank="1" showInputMessage="1" showErrorMessage="1" sqref="C2133">
      <formula1>UnidadesList</formula1>
    </dataValidation>
    <dataValidation type="decimal" operator="greaterThan" allowBlank="1" showInputMessage="1" showErrorMessage="1" sqref="D2133">
      <formula1>0</formula1>
    </dataValidation>
    <dataValidation type="decimal" operator="greaterThan" allowBlank="1" showInputMessage="1" showErrorMessage="1" sqref="E2133">
      <formula1>0</formula1>
    </dataValidation>
    <dataValidation type="whole" operator="greaterThan" allowBlank="1" showInputMessage="1" showErrorMessage="1" sqref="A2134">
      <formula1>0</formula1>
    </dataValidation>
    <dataValidation type="list" allowBlank="1" showInputMessage="1" showErrorMessage="1" sqref="C2134">
      <formula1>UnidadesList</formula1>
    </dataValidation>
    <dataValidation type="decimal" operator="greaterThan" allowBlank="1" showInputMessage="1" showErrorMessage="1" sqref="D2134">
      <formula1>0</formula1>
    </dataValidation>
    <dataValidation type="decimal" operator="greaterThan" allowBlank="1" showInputMessage="1" showErrorMessage="1" sqref="E2134">
      <formula1>0</formula1>
    </dataValidation>
    <dataValidation type="whole" operator="greaterThan" allowBlank="1" showInputMessage="1" showErrorMessage="1" sqref="A2135">
      <formula1>0</formula1>
    </dataValidation>
    <dataValidation type="list" allowBlank="1" showInputMessage="1" showErrorMessage="1" sqref="C2135">
      <formula1>UnidadesList</formula1>
    </dataValidation>
    <dataValidation type="decimal" operator="greaterThan" allowBlank="1" showInputMessage="1" showErrorMessage="1" sqref="D2135">
      <formula1>0</formula1>
    </dataValidation>
    <dataValidation type="decimal" operator="greaterThan" allowBlank="1" showInputMessage="1" showErrorMessage="1" sqref="E2135">
      <formula1>0</formula1>
    </dataValidation>
    <dataValidation type="whole" operator="greaterThan" allowBlank="1" showInputMessage="1" showErrorMessage="1" sqref="A2136">
      <formula1>0</formula1>
    </dataValidation>
    <dataValidation type="list" allowBlank="1" showInputMessage="1" showErrorMessage="1" sqref="C2136">
      <formula1>UnidadesList</formula1>
    </dataValidation>
    <dataValidation type="decimal" operator="greaterThan" allowBlank="1" showInputMessage="1" showErrorMessage="1" sqref="D2136">
      <formula1>0</formula1>
    </dataValidation>
    <dataValidation type="decimal" operator="greaterThan" allowBlank="1" showInputMessage="1" showErrorMessage="1" sqref="E2136">
      <formula1>0</formula1>
    </dataValidation>
    <dataValidation type="whole" operator="greaterThan" allowBlank="1" showInputMessage="1" showErrorMessage="1" sqref="A2137">
      <formula1>0</formula1>
    </dataValidation>
    <dataValidation type="list" allowBlank="1" showInputMessage="1" showErrorMessage="1" sqref="C2137">
      <formula1>UnidadesList</formula1>
    </dataValidation>
    <dataValidation type="decimal" operator="greaterThan" allowBlank="1" showInputMessage="1" showErrorMessage="1" sqref="D2137">
      <formula1>0</formula1>
    </dataValidation>
    <dataValidation type="decimal" operator="greaterThan" allowBlank="1" showInputMessage="1" showErrorMessage="1" sqref="E2137">
      <formula1>0</formula1>
    </dataValidation>
    <dataValidation type="whole" operator="greaterThan" allowBlank="1" showInputMessage="1" showErrorMessage="1" sqref="A2138">
      <formula1>0</formula1>
    </dataValidation>
    <dataValidation type="list" allowBlank="1" showInputMessage="1" showErrorMessage="1" sqref="C2138">
      <formula1>UnidadesList</formula1>
    </dataValidation>
    <dataValidation type="decimal" operator="greaterThan" allowBlank="1" showInputMessage="1" showErrorMessage="1" sqref="D2138">
      <formula1>0</formula1>
    </dataValidation>
    <dataValidation type="decimal" operator="greaterThan" allowBlank="1" showInputMessage="1" showErrorMessage="1" sqref="E2138">
      <formula1>0</formula1>
    </dataValidation>
    <dataValidation type="whole" operator="greaterThan" allowBlank="1" showInputMessage="1" showErrorMessage="1" sqref="A2139">
      <formula1>0</formula1>
    </dataValidation>
    <dataValidation type="list" allowBlank="1" showInputMessage="1" showErrorMessage="1" sqref="C2139">
      <formula1>UnidadesList</formula1>
    </dataValidation>
    <dataValidation type="decimal" operator="greaterThan" allowBlank="1" showInputMessage="1" showErrorMessage="1" sqref="D2139">
      <formula1>0</formula1>
    </dataValidation>
    <dataValidation type="decimal" operator="greaterThan" allowBlank="1" showInputMessage="1" showErrorMessage="1" sqref="E2139">
      <formula1>0</formula1>
    </dataValidation>
    <dataValidation type="whole" operator="greaterThan" allowBlank="1" showInputMessage="1" showErrorMessage="1" sqref="A2140">
      <formula1>0</formula1>
    </dataValidation>
    <dataValidation type="list" allowBlank="1" showInputMessage="1" showErrorMessage="1" sqref="C2140">
      <formula1>UnidadesList</formula1>
    </dataValidation>
    <dataValidation type="decimal" operator="greaterThan" allowBlank="1" showInputMessage="1" showErrorMessage="1" sqref="D2140">
      <formula1>0</formula1>
    </dataValidation>
    <dataValidation type="decimal" operator="greaterThan" allowBlank="1" showInputMessage="1" showErrorMessage="1" sqref="E2140">
      <formula1>0</formula1>
    </dataValidation>
    <dataValidation type="whole" operator="greaterThan" allowBlank="1" showInputMessage="1" showErrorMessage="1" sqref="A2141">
      <formula1>0</formula1>
    </dataValidation>
    <dataValidation type="list" allowBlank="1" showInputMessage="1" showErrorMessage="1" sqref="C2141">
      <formula1>UnidadesList</formula1>
    </dataValidation>
    <dataValidation type="decimal" operator="greaterThan" allowBlank="1" showInputMessage="1" showErrorMessage="1" sqref="D2141">
      <formula1>0</formula1>
    </dataValidation>
    <dataValidation type="decimal" operator="greaterThan" allowBlank="1" showInputMessage="1" showErrorMessage="1" sqref="E2141">
      <formula1>0</formula1>
    </dataValidation>
    <dataValidation type="whole" operator="greaterThan" allowBlank="1" showInputMessage="1" showErrorMessage="1" sqref="A2142">
      <formula1>0</formula1>
    </dataValidation>
    <dataValidation type="list" allowBlank="1" showInputMessage="1" showErrorMessage="1" sqref="C2142">
      <formula1>UnidadesList</formula1>
    </dataValidation>
    <dataValidation type="decimal" operator="greaterThan" allowBlank="1" showInputMessage="1" showErrorMessage="1" sqref="D2142">
      <formula1>0</formula1>
    </dataValidation>
    <dataValidation type="decimal" operator="greaterThan" allowBlank="1" showInputMessage="1" showErrorMessage="1" sqref="E2142">
      <formula1>0</formula1>
    </dataValidation>
    <dataValidation type="whole" operator="greaterThan" allowBlank="1" showInputMessage="1" showErrorMessage="1" sqref="A2143">
      <formula1>0</formula1>
    </dataValidation>
    <dataValidation type="list" allowBlank="1" showInputMessage="1" showErrorMessage="1" sqref="C2143">
      <formula1>UnidadesList</formula1>
    </dataValidation>
    <dataValidation type="decimal" operator="greaterThan" allowBlank="1" showInputMessage="1" showErrorMessage="1" sqref="D2143">
      <formula1>0</formula1>
    </dataValidation>
    <dataValidation type="decimal" operator="greaterThan" allowBlank="1" showInputMessage="1" showErrorMessage="1" sqref="E2143">
      <formula1>0</formula1>
    </dataValidation>
    <dataValidation type="whole" operator="greaterThan" allowBlank="1" showInputMessage="1" showErrorMessage="1" sqref="A2144">
      <formula1>0</formula1>
    </dataValidation>
    <dataValidation type="list" allowBlank="1" showInputMessage="1" showErrorMessage="1" sqref="C2144">
      <formula1>UnidadesList</formula1>
    </dataValidation>
    <dataValidation type="decimal" operator="greaterThan" allowBlank="1" showInputMessage="1" showErrorMessage="1" sqref="D2144">
      <formula1>0</formula1>
    </dataValidation>
    <dataValidation type="decimal" operator="greaterThan" allowBlank="1" showInputMessage="1" showErrorMessage="1" sqref="E2144">
      <formula1>0</formula1>
    </dataValidation>
    <dataValidation type="whole" operator="greaterThan" allowBlank="1" showInputMessage="1" showErrorMessage="1" sqref="A2145">
      <formula1>0</formula1>
    </dataValidation>
    <dataValidation type="list" allowBlank="1" showInputMessage="1" showErrorMessage="1" sqref="C2145">
      <formula1>UnidadesList</formula1>
    </dataValidation>
    <dataValidation type="decimal" operator="greaterThan" allowBlank="1" showInputMessage="1" showErrorMessage="1" sqref="D2145">
      <formula1>0</formula1>
    </dataValidation>
    <dataValidation type="decimal" operator="greaterThan" allowBlank="1" showInputMessage="1" showErrorMessage="1" sqref="E2145">
      <formula1>0</formula1>
    </dataValidation>
    <dataValidation type="whole" operator="greaterThan" allowBlank="1" showInputMessage="1" showErrorMessage="1" sqref="A2146">
      <formula1>0</formula1>
    </dataValidation>
    <dataValidation type="list" allowBlank="1" showInputMessage="1" showErrorMessage="1" sqref="C2146">
      <formula1>UnidadesList</formula1>
    </dataValidation>
    <dataValidation type="decimal" operator="greaterThan" allowBlank="1" showInputMessage="1" showErrorMessage="1" sqref="D2146">
      <formula1>0</formula1>
    </dataValidation>
    <dataValidation type="decimal" operator="greaterThan" allowBlank="1" showInputMessage="1" showErrorMessage="1" sqref="E2146">
      <formula1>0</formula1>
    </dataValidation>
    <dataValidation type="whole" operator="greaterThan" allowBlank="1" showInputMessage="1" showErrorMessage="1" sqref="A2147">
      <formula1>0</formula1>
    </dataValidation>
    <dataValidation type="list" allowBlank="1" showInputMessage="1" showErrorMessage="1" sqref="C2147">
      <formula1>UnidadesList</formula1>
    </dataValidation>
    <dataValidation type="decimal" operator="greaterThan" allowBlank="1" showInputMessage="1" showErrorMessage="1" sqref="D2147">
      <formula1>0</formula1>
    </dataValidation>
    <dataValidation type="decimal" operator="greaterThan" allowBlank="1" showInputMessage="1" showErrorMessage="1" sqref="E2147">
      <formula1>0</formula1>
    </dataValidation>
    <dataValidation type="whole" operator="greaterThan" allowBlank="1" showInputMessage="1" showErrorMessage="1" sqref="A2148">
      <formula1>0</formula1>
    </dataValidation>
    <dataValidation type="list" allowBlank="1" showInputMessage="1" showErrorMessage="1" sqref="C2148">
      <formula1>UnidadesList</formula1>
    </dataValidation>
    <dataValidation type="decimal" operator="greaterThan" allowBlank="1" showInputMessage="1" showErrorMessage="1" sqref="D2148">
      <formula1>0</formula1>
    </dataValidation>
    <dataValidation type="decimal" operator="greaterThan" allowBlank="1" showInputMessage="1" showErrorMessage="1" sqref="E2148">
      <formula1>0</formula1>
    </dataValidation>
    <dataValidation type="whole" operator="greaterThan" allowBlank="1" showInputMessage="1" showErrorMessage="1" sqref="A2149">
      <formula1>0</formula1>
    </dataValidation>
    <dataValidation type="list" allowBlank="1" showInputMessage="1" showErrorMessage="1" sqref="C2149">
      <formula1>UnidadesList</formula1>
    </dataValidation>
    <dataValidation type="decimal" operator="greaterThan" allowBlank="1" showInputMessage="1" showErrorMessage="1" sqref="D2149">
      <formula1>0</formula1>
    </dataValidation>
    <dataValidation type="decimal" operator="greaterThan" allowBlank="1" showInputMessage="1" showErrorMessage="1" sqref="E2149">
      <formula1>0</formula1>
    </dataValidation>
    <dataValidation type="whole" operator="greaterThan" allowBlank="1" showInputMessage="1" showErrorMessage="1" sqref="A2150">
      <formula1>0</formula1>
    </dataValidation>
    <dataValidation type="list" allowBlank="1" showInputMessage="1" showErrorMessage="1" sqref="C2150">
      <formula1>UnidadesList</formula1>
    </dataValidation>
    <dataValidation type="decimal" operator="greaterThan" allowBlank="1" showInputMessage="1" showErrorMessage="1" sqref="D2150">
      <formula1>0</formula1>
    </dataValidation>
    <dataValidation type="decimal" operator="greaterThan" allowBlank="1" showInputMessage="1" showErrorMessage="1" sqref="E2150">
      <formula1>0</formula1>
    </dataValidation>
    <dataValidation type="whole" operator="greaterThan" allowBlank="1" showInputMessage="1" showErrorMessage="1" sqref="A2151">
      <formula1>0</formula1>
    </dataValidation>
    <dataValidation type="list" allowBlank="1" showInputMessage="1" showErrorMessage="1" sqref="C2151">
      <formula1>UnidadesList</formula1>
    </dataValidation>
    <dataValidation type="decimal" operator="greaterThan" allowBlank="1" showInputMessage="1" showErrorMessage="1" sqref="D2151">
      <formula1>0</formula1>
    </dataValidation>
    <dataValidation type="decimal" operator="greaterThan" allowBlank="1" showInputMessage="1" showErrorMessage="1" sqref="E2151">
      <formula1>0</formula1>
    </dataValidation>
    <dataValidation type="whole" operator="greaterThan" allowBlank="1" showInputMessage="1" showErrorMessage="1" sqref="A2152">
      <formula1>0</formula1>
    </dataValidation>
    <dataValidation type="list" allowBlank="1" showInputMessage="1" showErrorMessage="1" sqref="C2152">
      <formula1>UnidadesList</formula1>
    </dataValidation>
    <dataValidation type="decimal" operator="greaterThan" allowBlank="1" showInputMessage="1" showErrorMessage="1" sqref="D2152">
      <formula1>0</formula1>
    </dataValidation>
    <dataValidation type="decimal" operator="greaterThan" allowBlank="1" showInputMessage="1" showErrorMessage="1" sqref="E2152">
      <formula1>0</formula1>
    </dataValidation>
    <dataValidation type="whole" operator="greaterThan" allowBlank="1" showInputMessage="1" showErrorMessage="1" sqref="A2153">
      <formula1>0</formula1>
    </dataValidation>
    <dataValidation type="list" allowBlank="1" showInputMessage="1" showErrorMessage="1" sqref="C2153">
      <formula1>UnidadesList</formula1>
    </dataValidation>
    <dataValidation type="decimal" operator="greaterThan" allowBlank="1" showInputMessage="1" showErrorMessage="1" sqref="D2153">
      <formula1>0</formula1>
    </dataValidation>
    <dataValidation type="decimal" operator="greaterThan" allowBlank="1" showInputMessage="1" showErrorMessage="1" sqref="E2153">
      <formula1>0</formula1>
    </dataValidation>
    <dataValidation type="whole" operator="greaterThan" allowBlank="1" showInputMessage="1" showErrorMessage="1" sqref="A2154">
      <formula1>0</formula1>
    </dataValidation>
    <dataValidation type="list" allowBlank="1" showInputMessage="1" showErrorMessage="1" sqref="C2154">
      <formula1>UnidadesList</formula1>
    </dataValidation>
    <dataValidation type="decimal" operator="greaterThan" allowBlank="1" showInputMessage="1" showErrorMessage="1" sqref="D2154">
      <formula1>0</formula1>
    </dataValidation>
    <dataValidation type="decimal" operator="greaterThan" allowBlank="1" showInputMessage="1" showErrorMessage="1" sqref="E2154">
      <formula1>0</formula1>
    </dataValidation>
    <dataValidation type="whole" operator="greaterThan" allowBlank="1" showInputMessage="1" showErrorMessage="1" sqref="A2155">
      <formula1>0</formula1>
    </dataValidation>
    <dataValidation type="list" allowBlank="1" showInputMessage="1" showErrorMessage="1" sqref="C2155">
      <formula1>UnidadesList</formula1>
    </dataValidation>
    <dataValidation type="decimal" operator="greaterThan" allowBlank="1" showInputMessage="1" showErrorMessage="1" sqref="D2155">
      <formula1>0</formula1>
    </dataValidation>
    <dataValidation type="decimal" operator="greaterThan" allowBlank="1" showInputMessage="1" showErrorMessage="1" sqref="E2155">
      <formula1>0</formula1>
    </dataValidation>
    <dataValidation type="whole" operator="greaterThan" allowBlank="1" showInputMessage="1" showErrorMessage="1" sqref="A2156">
      <formula1>0</formula1>
    </dataValidation>
    <dataValidation type="list" allowBlank="1" showInputMessage="1" showErrorMessage="1" sqref="C2156">
      <formula1>UnidadesList</formula1>
    </dataValidation>
    <dataValidation type="decimal" operator="greaterThan" allowBlank="1" showInputMessage="1" showErrorMessage="1" sqref="D2156">
      <formula1>0</formula1>
    </dataValidation>
    <dataValidation type="decimal" operator="greaterThan" allowBlank="1" showInputMessage="1" showErrorMessage="1" sqref="E2156">
      <formula1>0</formula1>
    </dataValidation>
    <dataValidation type="whole" operator="greaterThan" allowBlank="1" showInputMessage="1" showErrorMessage="1" sqref="A2157">
      <formula1>0</formula1>
    </dataValidation>
    <dataValidation type="list" allowBlank="1" showInputMessage="1" showErrorMessage="1" sqref="C2157">
      <formula1>UnidadesList</formula1>
    </dataValidation>
    <dataValidation type="decimal" operator="greaterThan" allowBlank="1" showInputMessage="1" showErrorMessage="1" sqref="D2157">
      <formula1>0</formula1>
    </dataValidation>
    <dataValidation type="decimal" operator="greaterThan" allowBlank="1" showInputMessage="1" showErrorMessage="1" sqref="E2157">
      <formula1>0</formula1>
    </dataValidation>
    <dataValidation type="whole" operator="greaterThan" allowBlank="1" showInputMessage="1" showErrorMessage="1" sqref="A2158">
      <formula1>0</formula1>
    </dataValidation>
    <dataValidation type="list" allowBlank="1" showInputMessage="1" showErrorMessage="1" sqref="C2158">
      <formula1>UnidadesList</formula1>
    </dataValidation>
    <dataValidation type="decimal" operator="greaterThan" allowBlank="1" showInputMessage="1" showErrorMessage="1" sqref="D2158">
      <formula1>0</formula1>
    </dataValidation>
    <dataValidation type="decimal" operator="greaterThan" allowBlank="1" showInputMessage="1" showErrorMessage="1" sqref="E2158">
      <formula1>0</formula1>
    </dataValidation>
    <dataValidation type="whole" operator="greaterThan" allowBlank="1" showInputMessage="1" showErrorMessage="1" sqref="A2159">
      <formula1>0</formula1>
    </dataValidation>
    <dataValidation type="list" allowBlank="1" showInputMessage="1" showErrorMessage="1" sqref="C2159">
      <formula1>UnidadesList</formula1>
    </dataValidation>
    <dataValidation type="decimal" operator="greaterThan" allowBlank="1" showInputMessage="1" showErrorMessage="1" sqref="D2159">
      <formula1>0</formula1>
    </dataValidation>
    <dataValidation type="decimal" operator="greaterThan" allowBlank="1" showInputMessage="1" showErrorMessage="1" sqref="E2159">
      <formula1>0</formula1>
    </dataValidation>
    <dataValidation type="whole" operator="greaterThan" allowBlank="1" showInputMessage="1" showErrorMessage="1" sqref="A2160">
      <formula1>0</formula1>
    </dataValidation>
    <dataValidation type="list" allowBlank="1" showInputMessage="1" showErrorMessage="1" sqref="C2160">
      <formula1>UnidadesList</formula1>
    </dataValidation>
    <dataValidation type="decimal" operator="greaterThan" allowBlank="1" showInputMessage="1" showErrorMessage="1" sqref="D2160">
      <formula1>0</formula1>
    </dataValidation>
    <dataValidation type="decimal" operator="greaterThan" allowBlank="1" showInputMessage="1" showErrorMessage="1" sqref="E2160">
      <formula1>0</formula1>
    </dataValidation>
    <dataValidation type="whole" operator="greaterThan" allowBlank="1" showInputMessage="1" showErrorMessage="1" sqref="A2161">
      <formula1>0</formula1>
    </dataValidation>
    <dataValidation type="list" allowBlank="1" showInputMessage="1" showErrorMessage="1" sqref="C2161">
      <formula1>UnidadesList</formula1>
    </dataValidation>
    <dataValidation type="decimal" operator="greaterThan" allowBlank="1" showInputMessage="1" showErrorMessage="1" sqref="D2161">
      <formula1>0</formula1>
    </dataValidation>
    <dataValidation type="decimal" operator="greaterThan" allowBlank="1" showInputMessage="1" showErrorMessage="1" sqref="E2161">
      <formula1>0</formula1>
    </dataValidation>
    <dataValidation type="whole" operator="greaterThan" allowBlank="1" showInputMessage="1" showErrorMessage="1" sqref="A2162">
      <formula1>0</formula1>
    </dataValidation>
    <dataValidation type="list" allowBlank="1" showInputMessage="1" showErrorMessage="1" sqref="C2162">
      <formula1>UnidadesList</formula1>
    </dataValidation>
    <dataValidation type="decimal" operator="greaterThan" allowBlank="1" showInputMessage="1" showErrorMessage="1" sqref="D2162">
      <formula1>0</formula1>
    </dataValidation>
    <dataValidation type="decimal" operator="greaterThan" allowBlank="1" showInputMessage="1" showErrorMessage="1" sqref="E2162">
      <formula1>0</formula1>
    </dataValidation>
    <dataValidation type="whole" operator="greaterThan" allowBlank="1" showInputMessage="1" showErrorMessage="1" sqref="A2163">
      <formula1>0</formula1>
    </dataValidation>
    <dataValidation type="list" allowBlank="1" showInputMessage="1" showErrorMessage="1" sqref="C2163">
      <formula1>UnidadesList</formula1>
    </dataValidation>
    <dataValidation type="decimal" operator="greaterThan" allowBlank="1" showInputMessage="1" showErrorMessage="1" sqref="D2163">
      <formula1>0</formula1>
    </dataValidation>
    <dataValidation type="decimal" operator="greaterThan" allowBlank="1" showInputMessage="1" showErrorMessage="1" sqref="E2163">
      <formula1>0</formula1>
    </dataValidation>
    <dataValidation type="whole" operator="greaterThan" allowBlank="1" showInputMessage="1" showErrorMessage="1" sqref="A2164">
      <formula1>0</formula1>
    </dataValidation>
    <dataValidation type="list" allowBlank="1" showInputMessage="1" showErrorMessage="1" sqref="C2164">
      <formula1>UnidadesList</formula1>
    </dataValidation>
    <dataValidation type="decimal" operator="greaterThan" allowBlank="1" showInputMessage="1" showErrorMessage="1" sqref="D2164">
      <formula1>0</formula1>
    </dataValidation>
    <dataValidation type="decimal" operator="greaterThan" allowBlank="1" showInputMessage="1" showErrorMessage="1" sqref="E2164">
      <formula1>0</formula1>
    </dataValidation>
    <dataValidation type="whole" operator="greaterThan" allowBlank="1" showInputMessage="1" showErrorMessage="1" sqref="A2165">
      <formula1>0</formula1>
    </dataValidation>
    <dataValidation type="list" allowBlank="1" showInputMessage="1" showErrorMessage="1" sqref="C2165">
      <formula1>UnidadesList</formula1>
    </dataValidation>
    <dataValidation type="decimal" operator="greaterThan" allowBlank="1" showInputMessage="1" showErrorMessage="1" sqref="D2165">
      <formula1>0</formula1>
    </dataValidation>
    <dataValidation type="decimal" operator="greaterThan" allowBlank="1" showInputMessage="1" showErrorMessage="1" sqref="E2165">
      <formula1>0</formula1>
    </dataValidation>
    <dataValidation type="date" operator="lessThanOrEqual" allowBlank="1" showInputMessage="1" showErrorMessage="1" sqref="C2170">
      <formula1>C2172</formula1>
    </dataValidation>
    <dataValidation type="date" operator="greaterThanOrEqual" allowBlank="1" showInputMessage="1" showErrorMessage="1" sqref="C2172">
      <formula1>C2170</formula1>
    </dataValidation>
    <dataValidation type="list" allowBlank="1" showInputMessage="1" showErrorMessage="1" sqref="F21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1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1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1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176">
      <formula1>0</formula1>
    </dataValidation>
    <dataValidation type="list" allowBlank="1" showInputMessage="1" showErrorMessage="1" sqref="C2176">
      <formula1>UnidadesList</formula1>
    </dataValidation>
    <dataValidation type="decimal" operator="greaterThan" allowBlank="1" showInputMessage="1" showErrorMessage="1" sqref="D2176">
      <formula1>0</formula1>
    </dataValidation>
    <dataValidation type="decimal" operator="greaterThan" allowBlank="1" showInputMessage="1" showErrorMessage="1" sqref="E2176">
      <formula1>0</formula1>
    </dataValidation>
    <dataValidation type="whole" operator="greaterThan" allowBlank="1" showInputMessage="1" showErrorMessage="1" sqref="A2177">
      <formula1>0</formula1>
    </dataValidation>
    <dataValidation type="list" allowBlank="1" showInputMessage="1" showErrorMessage="1" sqref="C2177">
      <formula1>UnidadesList</formula1>
    </dataValidation>
    <dataValidation type="decimal" operator="greaterThan" allowBlank="1" showInputMessage="1" showErrorMessage="1" sqref="D2177">
      <formula1>0</formula1>
    </dataValidation>
    <dataValidation type="decimal" operator="greaterThan" allowBlank="1" showInputMessage="1" showErrorMessage="1" sqref="E2177">
      <formula1>0</formula1>
    </dataValidation>
    <dataValidation type="whole" operator="greaterThan" allowBlank="1" showInputMessage="1" showErrorMessage="1" sqref="A2178">
      <formula1>0</formula1>
    </dataValidation>
    <dataValidation type="list" allowBlank="1" showInputMessage="1" showErrorMessage="1" sqref="C2178">
      <formula1>UnidadesList</formula1>
    </dataValidation>
    <dataValidation type="decimal" operator="greaterThan" allowBlank="1" showInputMessage="1" showErrorMessage="1" sqref="D2178">
      <formula1>0</formula1>
    </dataValidation>
    <dataValidation type="decimal" operator="greaterThan" allowBlank="1" showInputMessage="1" showErrorMessage="1" sqref="E2178">
      <formula1>0</formula1>
    </dataValidation>
    <dataValidation type="whole" operator="greaterThan" allowBlank="1" showInputMessage="1" showErrorMessage="1" sqref="A2179">
      <formula1>0</formula1>
    </dataValidation>
    <dataValidation type="list" allowBlank="1" showInputMessage="1" showErrorMessage="1" sqref="C2179">
      <formula1>UnidadesList</formula1>
    </dataValidation>
    <dataValidation type="decimal" operator="greaterThan" allowBlank="1" showInputMessage="1" showErrorMessage="1" sqref="D2179">
      <formula1>0</formula1>
    </dataValidation>
    <dataValidation type="decimal" operator="greaterThan" allowBlank="1" showInputMessage="1" showErrorMessage="1" sqref="E2179">
      <formula1>0</formula1>
    </dataValidation>
    <dataValidation type="whole" operator="greaterThan" allowBlank="1" showInputMessage="1" showErrorMessage="1" sqref="A2180">
      <formula1>0</formula1>
    </dataValidation>
    <dataValidation type="list" allowBlank="1" showInputMessage="1" showErrorMessage="1" sqref="C2180">
      <formula1>UnidadesList</formula1>
    </dataValidation>
    <dataValidation type="decimal" operator="greaterThan" allowBlank="1" showInputMessage="1" showErrorMessage="1" sqref="D2180">
      <formula1>0</formula1>
    </dataValidation>
    <dataValidation type="decimal" operator="greaterThan" allowBlank="1" showInputMessage="1" showErrorMessage="1" sqref="E2180">
      <formula1>0</formula1>
    </dataValidation>
    <dataValidation type="whole" operator="greaterThan" allowBlank="1" showInputMessage="1" showErrorMessage="1" sqref="A2181">
      <formula1>0</formula1>
    </dataValidation>
    <dataValidation type="list" allowBlank="1" showInputMessage="1" showErrorMessage="1" sqref="C2181">
      <formula1>UnidadesList</formula1>
    </dataValidation>
    <dataValidation type="decimal" operator="greaterThan" allowBlank="1" showInputMessage="1" showErrorMessage="1" sqref="D2181">
      <formula1>0</formula1>
    </dataValidation>
    <dataValidation type="decimal" operator="greaterThan" allowBlank="1" showInputMessage="1" showErrorMessage="1" sqref="E2181">
      <formula1>0</formula1>
    </dataValidation>
    <dataValidation type="whole" operator="greaterThan" allowBlank="1" showInputMessage="1" showErrorMessage="1" sqref="A2182">
      <formula1>0</formula1>
    </dataValidation>
    <dataValidation type="list" allowBlank="1" showInputMessage="1" showErrorMessage="1" sqref="C2182">
      <formula1>UnidadesList</formula1>
    </dataValidation>
    <dataValidation type="decimal" operator="greaterThan" allowBlank="1" showInputMessage="1" showErrorMessage="1" sqref="D2182">
      <formula1>0</formula1>
    </dataValidation>
    <dataValidation type="decimal" operator="greaterThan" allowBlank="1" showInputMessage="1" showErrorMessage="1" sqref="E2182">
      <formula1>0</formula1>
    </dataValidation>
    <dataValidation type="whole" operator="greaterThan" allowBlank="1" showInputMessage="1" showErrorMessage="1" sqref="A2183">
      <formula1>0</formula1>
    </dataValidation>
    <dataValidation type="list" allowBlank="1" showInputMessage="1" showErrorMessage="1" sqref="C2183">
      <formula1>UnidadesList</formula1>
    </dataValidation>
    <dataValidation type="decimal" operator="greaterThan" allowBlank="1" showInputMessage="1" showErrorMessage="1" sqref="D2183">
      <formula1>0</formula1>
    </dataValidation>
    <dataValidation type="decimal" operator="greaterThan" allowBlank="1" showInputMessage="1" showErrorMessage="1" sqref="E2183">
      <formula1>0</formula1>
    </dataValidation>
    <dataValidation type="whole" operator="greaterThan" allowBlank="1" showInputMessage="1" showErrorMessage="1" sqref="A2184">
      <formula1>0</formula1>
    </dataValidation>
    <dataValidation type="list" allowBlank="1" showInputMessage="1" showErrorMessage="1" sqref="C2184">
      <formula1>UnidadesList</formula1>
    </dataValidation>
    <dataValidation type="decimal" operator="greaterThan" allowBlank="1" showInputMessage="1" showErrorMessage="1" sqref="D2184">
      <formula1>0</formula1>
    </dataValidation>
    <dataValidation type="decimal" operator="greaterThan" allowBlank="1" showInputMessage="1" showErrorMessage="1" sqref="E2184">
      <formula1>0</formula1>
    </dataValidation>
    <dataValidation type="whole" operator="greaterThan" allowBlank="1" showInputMessage="1" showErrorMessage="1" sqref="A2185">
      <formula1>0</formula1>
    </dataValidation>
    <dataValidation type="list" allowBlank="1" showInputMessage="1" showErrorMessage="1" sqref="C2185">
      <formula1>UnidadesList</formula1>
    </dataValidation>
    <dataValidation type="decimal" operator="greaterThan" allowBlank="1" showInputMessage="1" showErrorMessage="1" sqref="D2185">
      <formula1>0</formula1>
    </dataValidation>
    <dataValidation type="decimal" operator="greaterThan" allowBlank="1" showInputMessage="1" showErrorMessage="1" sqref="E2185">
      <formula1>0</formula1>
    </dataValidation>
    <dataValidation type="whole" operator="greaterThan" allowBlank="1" showInputMessage="1" showErrorMessage="1" sqref="A2186">
      <formula1>0</formula1>
    </dataValidation>
    <dataValidation type="list" allowBlank="1" showInputMessage="1" showErrorMessage="1" sqref="C2186">
      <formula1>UnidadesList</formula1>
    </dataValidation>
    <dataValidation type="decimal" operator="greaterThan" allowBlank="1" showInputMessage="1" showErrorMessage="1" sqref="D2186">
      <formula1>0</formula1>
    </dataValidation>
    <dataValidation type="decimal" operator="greaterThan" allowBlank="1" showInputMessage="1" showErrorMessage="1" sqref="E2186">
      <formula1>0</formula1>
    </dataValidation>
    <dataValidation type="whole" operator="greaterThan" allowBlank="1" showInputMessage="1" showErrorMessage="1" sqref="A2187">
      <formula1>0</formula1>
    </dataValidation>
    <dataValidation type="list" allowBlank="1" showInputMessage="1" showErrorMessage="1" sqref="C2187">
      <formula1>UnidadesList</formula1>
    </dataValidation>
    <dataValidation type="decimal" operator="greaterThan" allowBlank="1" showInputMessage="1" showErrorMessage="1" sqref="D2187">
      <formula1>0</formula1>
    </dataValidation>
    <dataValidation type="decimal" operator="greaterThan" allowBlank="1" showInputMessage="1" showErrorMessage="1" sqref="E2187">
      <formula1>0</formula1>
    </dataValidation>
    <dataValidation type="whole" operator="greaterThan" allowBlank="1" showInputMessage="1" showErrorMessage="1" sqref="A2188">
      <formula1>0</formula1>
    </dataValidation>
    <dataValidation type="list" allowBlank="1" showInputMessage="1" showErrorMessage="1" sqref="C2188">
      <formula1>UnidadesList</formula1>
    </dataValidation>
    <dataValidation type="decimal" operator="greaterThan" allowBlank="1" showInputMessage="1" showErrorMessage="1" sqref="D2188">
      <formula1>0</formula1>
    </dataValidation>
    <dataValidation type="decimal" operator="greaterThan" allowBlank="1" showInputMessage="1" showErrorMessage="1" sqref="E2188">
      <formula1>0</formula1>
    </dataValidation>
    <dataValidation type="whole" operator="greaterThan" allowBlank="1" showInputMessage="1" showErrorMessage="1" sqref="A2189">
      <formula1>0</formula1>
    </dataValidation>
    <dataValidation type="list" allowBlank="1" showInputMessage="1" showErrorMessage="1" sqref="C2189">
      <formula1>UnidadesList</formula1>
    </dataValidation>
    <dataValidation type="decimal" operator="greaterThan" allowBlank="1" showInputMessage="1" showErrorMessage="1" sqref="D2189">
      <formula1>0</formula1>
    </dataValidation>
    <dataValidation type="decimal" operator="greaterThan" allowBlank="1" showInputMessage="1" showErrorMessage="1" sqref="E2189">
      <formula1>0</formula1>
    </dataValidation>
    <dataValidation type="whole" operator="greaterThan" allowBlank="1" showInputMessage="1" showErrorMessage="1" sqref="A2190">
      <formula1>0</formula1>
    </dataValidation>
    <dataValidation type="list" allowBlank="1" showInputMessage="1" showErrorMessage="1" sqref="C2190">
      <formula1>UnidadesList</formula1>
    </dataValidation>
    <dataValidation type="decimal" operator="greaterThan" allowBlank="1" showInputMessage="1" showErrorMessage="1" sqref="D2190">
      <formula1>0</formula1>
    </dataValidation>
    <dataValidation type="decimal" operator="greaterThan" allowBlank="1" showInputMessage="1" showErrorMessage="1" sqref="E2190">
      <formula1>0</formula1>
    </dataValidation>
    <dataValidation type="whole" operator="greaterThan" allowBlank="1" showInputMessage="1" showErrorMessage="1" sqref="A2191">
      <formula1>0</formula1>
    </dataValidation>
    <dataValidation type="list" allowBlank="1" showInputMessage="1" showErrorMessage="1" sqref="C2191">
      <formula1>UnidadesList</formula1>
    </dataValidation>
    <dataValidation type="decimal" operator="greaterThan" allowBlank="1" showInputMessage="1" showErrorMessage="1" sqref="D2191">
      <formula1>0</formula1>
    </dataValidation>
    <dataValidation type="decimal" operator="greaterThan" allowBlank="1" showInputMessage="1" showErrorMessage="1" sqref="E2191">
      <formula1>0</formula1>
    </dataValidation>
    <dataValidation type="date" operator="lessThanOrEqual" allowBlank="1" showInputMessage="1" showErrorMessage="1" sqref="C2196">
      <formula1>C2198</formula1>
    </dataValidation>
    <dataValidation type="date" operator="greaterThanOrEqual" allowBlank="1" showInputMessage="1" showErrorMessage="1" sqref="C2198">
      <formula1>C2196</formula1>
    </dataValidation>
    <dataValidation type="list" allowBlank="1" showInputMessage="1" showErrorMessage="1" sqref="F219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19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19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19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202">
      <formula1>0</formula1>
    </dataValidation>
    <dataValidation type="list" allowBlank="1" showInputMessage="1" showErrorMessage="1" sqref="C2202">
      <formula1>UnidadesList</formula1>
    </dataValidation>
    <dataValidation type="decimal" operator="greaterThan" allowBlank="1" showInputMessage="1" showErrorMessage="1" sqref="D2202">
      <formula1>0</formula1>
    </dataValidation>
    <dataValidation type="decimal" operator="greaterThan" allowBlank="1" showInputMessage="1" showErrorMessage="1" sqref="E2202">
      <formula1>0</formula1>
    </dataValidation>
    <dataValidation type="whole" operator="greaterThan" allowBlank="1" showInputMessage="1" showErrorMessage="1" sqref="A2203">
      <formula1>0</formula1>
    </dataValidation>
    <dataValidation type="list" allowBlank="1" showInputMessage="1" showErrorMessage="1" sqref="C2203">
      <formula1>UnidadesList</formula1>
    </dataValidation>
    <dataValidation type="decimal" operator="greaterThan" allowBlank="1" showInputMessage="1" showErrorMessage="1" sqref="D2203">
      <formula1>0</formula1>
    </dataValidation>
    <dataValidation type="decimal" operator="greaterThan" allowBlank="1" showInputMessage="1" showErrorMessage="1" sqref="E2203">
      <formula1>0</formula1>
    </dataValidation>
    <dataValidation type="whole" operator="greaterThan" allowBlank="1" showInputMessage="1" showErrorMessage="1" sqref="A2204">
      <formula1>0</formula1>
    </dataValidation>
    <dataValidation type="list" allowBlank="1" showInputMessage="1" showErrorMessage="1" sqref="C2204">
      <formula1>UnidadesList</formula1>
    </dataValidation>
    <dataValidation type="decimal" operator="greaterThan" allowBlank="1" showInputMessage="1" showErrorMessage="1" sqref="D2204">
      <formula1>0</formula1>
    </dataValidation>
    <dataValidation type="decimal" operator="greaterThan" allowBlank="1" showInputMessage="1" showErrorMessage="1" sqref="E2204">
      <formula1>0</formula1>
    </dataValidation>
    <dataValidation type="whole" operator="greaterThan" allowBlank="1" showInputMessage="1" showErrorMessage="1" sqref="A2205">
      <formula1>0</formula1>
    </dataValidation>
    <dataValidation type="list" allowBlank="1" showInputMessage="1" showErrorMessage="1" sqref="C2205">
      <formula1>UnidadesList</formula1>
    </dataValidation>
    <dataValidation type="decimal" operator="greaterThan" allowBlank="1" showInputMessage="1" showErrorMessage="1" sqref="D2205">
      <formula1>0</formula1>
    </dataValidation>
    <dataValidation type="decimal" operator="greaterThan" allowBlank="1" showInputMessage="1" showErrorMessage="1" sqref="E2205">
      <formula1>0</formula1>
    </dataValidation>
    <dataValidation type="whole" operator="greaterThan" allowBlank="1" showInputMessage="1" showErrorMessage="1" sqref="A2206">
      <formula1>0</formula1>
    </dataValidation>
    <dataValidation type="list" allowBlank="1" showInputMessage="1" showErrorMessage="1" sqref="C2206">
      <formula1>UnidadesList</formula1>
    </dataValidation>
    <dataValidation type="decimal" operator="greaterThan" allowBlank="1" showInputMessage="1" showErrorMessage="1" sqref="D2206">
      <formula1>0</formula1>
    </dataValidation>
    <dataValidation type="decimal" operator="greaterThan" allowBlank="1" showInputMessage="1" showErrorMessage="1" sqref="E2206">
      <formula1>0</formula1>
    </dataValidation>
    <dataValidation type="whole" operator="greaterThan" allowBlank="1" showInputMessage="1" showErrorMessage="1" sqref="A2207">
      <formula1>0</formula1>
    </dataValidation>
    <dataValidation type="list" allowBlank="1" showInputMessage="1" showErrorMessage="1" sqref="C2207">
      <formula1>UnidadesList</formula1>
    </dataValidation>
    <dataValidation type="decimal" operator="greaterThan" allowBlank="1" showInputMessage="1" showErrorMessage="1" sqref="D2207">
      <formula1>0</formula1>
    </dataValidation>
    <dataValidation type="decimal" operator="greaterThan" allowBlank="1" showInputMessage="1" showErrorMessage="1" sqref="E2207">
      <formula1>0</formula1>
    </dataValidation>
    <dataValidation type="whole" operator="greaterThan" allowBlank="1" showInputMessage="1" showErrorMessage="1" sqref="A2208">
      <formula1>0</formula1>
    </dataValidation>
    <dataValidation type="list" allowBlank="1" showInputMessage="1" showErrorMessage="1" sqref="C2208">
      <formula1>UnidadesList</formula1>
    </dataValidation>
    <dataValidation type="decimal" operator="greaterThan" allowBlank="1" showInputMessage="1" showErrorMessage="1" sqref="D2208">
      <formula1>0</formula1>
    </dataValidation>
    <dataValidation type="decimal" operator="greaterThan" allowBlank="1" showInputMessage="1" showErrorMessage="1" sqref="E2208">
      <formula1>0</formula1>
    </dataValidation>
    <dataValidation type="whole" operator="greaterThan" allowBlank="1" showInputMessage="1" showErrorMessage="1" sqref="A2209">
      <formula1>0</formula1>
    </dataValidation>
    <dataValidation type="list" allowBlank="1" showInputMessage="1" showErrorMessage="1" sqref="C2209">
      <formula1>UnidadesList</formula1>
    </dataValidation>
    <dataValidation type="decimal" operator="greaterThan" allowBlank="1" showInputMessage="1" showErrorMessage="1" sqref="D2209">
      <formula1>0</formula1>
    </dataValidation>
    <dataValidation type="decimal" operator="greaterThan" allowBlank="1" showInputMessage="1" showErrorMessage="1" sqref="E2209">
      <formula1>0</formula1>
    </dataValidation>
    <dataValidation type="whole" operator="greaterThan" allowBlank="1" showInputMessage="1" showErrorMessage="1" sqref="A2210">
      <formula1>0</formula1>
    </dataValidation>
    <dataValidation type="list" allowBlank="1" showInputMessage="1" showErrorMessage="1" sqref="C2210">
      <formula1>UnidadesList</formula1>
    </dataValidation>
    <dataValidation type="decimal" operator="greaterThan" allowBlank="1" showInputMessage="1" showErrorMessage="1" sqref="D2210">
      <formula1>0</formula1>
    </dataValidation>
    <dataValidation type="decimal" operator="greaterThan" allowBlank="1" showInputMessage="1" showErrorMessage="1" sqref="E2210">
      <formula1>0</formula1>
    </dataValidation>
    <dataValidation type="whole" operator="greaterThan" allowBlank="1" showInputMessage="1" showErrorMessage="1" sqref="A2211">
      <formula1>0</formula1>
    </dataValidation>
    <dataValidation type="list" allowBlank="1" showInputMessage="1" showErrorMessage="1" sqref="C2211">
      <formula1>UnidadesList</formula1>
    </dataValidation>
    <dataValidation type="decimal" operator="greaterThan" allowBlank="1" showInputMessage="1" showErrorMessage="1" sqref="D2211">
      <formula1>0</formula1>
    </dataValidation>
    <dataValidation type="decimal" operator="greaterThan" allowBlank="1" showInputMessage="1" showErrorMessage="1" sqref="E2211">
      <formula1>0</formula1>
    </dataValidation>
    <dataValidation type="whole" operator="greaterThan" allowBlank="1" showInputMessage="1" showErrorMessage="1" sqref="A2212">
      <formula1>0</formula1>
    </dataValidation>
    <dataValidation type="list" allowBlank="1" showInputMessage="1" showErrorMessage="1" sqref="C2212">
      <formula1>UnidadesList</formula1>
    </dataValidation>
    <dataValidation type="decimal" operator="greaterThan" allowBlank="1" showInputMessage="1" showErrorMessage="1" sqref="D2212">
      <formula1>0</formula1>
    </dataValidation>
    <dataValidation type="decimal" operator="greaterThan" allowBlank="1" showInputMessage="1" showErrorMessage="1" sqref="E2212">
      <formula1>0</formula1>
    </dataValidation>
    <dataValidation type="whole" operator="greaterThan" allowBlank="1" showInputMessage="1" showErrorMessage="1" sqref="A2213">
      <formula1>0</formula1>
    </dataValidation>
    <dataValidation type="list" allowBlank="1" showInputMessage="1" showErrorMessage="1" sqref="C2213">
      <formula1>UnidadesList</formula1>
    </dataValidation>
    <dataValidation type="decimal" operator="greaterThan" allowBlank="1" showInputMessage="1" showErrorMessage="1" sqref="D2213">
      <formula1>0</formula1>
    </dataValidation>
    <dataValidation type="decimal" operator="greaterThan" allowBlank="1" showInputMessage="1" showErrorMessage="1" sqref="E2213">
      <formula1>0</formula1>
    </dataValidation>
    <dataValidation type="whole" operator="greaterThan" allowBlank="1" showInputMessage="1" showErrorMessage="1" sqref="A2214">
      <formula1>0</formula1>
    </dataValidation>
    <dataValidation type="list" allowBlank="1" showInputMessage="1" showErrorMessage="1" sqref="C2214">
      <formula1>UnidadesList</formula1>
    </dataValidation>
    <dataValidation type="decimal" operator="greaterThan" allowBlank="1" showInputMessage="1" showErrorMessage="1" sqref="D2214">
      <formula1>0</formula1>
    </dataValidation>
    <dataValidation type="decimal" operator="greaterThan" allowBlank="1" showInputMessage="1" showErrorMessage="1" sqref="E2214">
      <formula1>0</formula1>
    </dataValidation>
    <dataValidation type="whole" operator="greaterThan" allowBlank="1" showInputMessage="1" showErrorMessage="1" sqref="A2215">
      <formula1>0</formula1>
    </dataValidation>
    <dataValidation type="list" allowBlank="1" showInputMessage="1" showErrorMessage="1" sqref="C2215">
      <formula1>UnidadesList</formula1>
    </dataValidation>
    <dataValidation type="decimal" operator="greaterThan" allowBlank="1" showInputMessage="1" showErrorMessage="1" sqref="D2215">
      <formula1>0</formula1>
    </dataValidation>
    <dataValidation type="decimal" operator="greaterThan" allowBlank="1" showInputMessage="1" showErrorMessage="1" sqref="E2215">
      <formula1>0</formula1>
    </dataValidation>
    <dataValidation type="whole" operator="greaterThan" allowBlank="1" showInputMessage="1" showErrorMessage="1" sqref="A2216">
      <formula1>0</formula1>
    </dataValidation>
    <dataValidation type="list" allowBlank="1" showInputMessage="1" showErrorMessage="1" sqref="C2216">
      <formula1>UnidadesList</formula1>
    </dataValidation>
    <dataValidation type="decimal" operator="greaterThan" allowBlank="1" showInputMessage="1" showErrorMessage="1" sqref="D2216">
      <formula1>0</formula1>
    </dataValidation>
    <dataValidation type="decimal" operator="greaterThan" allowBlank="1" showInputMessage="1" showErrorMessage="1" sqref="E2216">
      <formula1>0</formula1>
    </dataValidation>
    <dataValidation type="whole" operator="greaterThan" allowBlank="1" showInputMessage="1" showErrorMessage="1" sqref="A2217">
      <formula1>0</formula1>
    </dataValidation>
    <dataValidation type="list" allowBlank="1" showInputMessage="1" showErrorMessage="1" sqref="C2217">
      <formula1>UnidadesList</formula1>
    </dataValidation>
    <dataValidation type="decimal" operator="greaterThan" allowBlank="1" showInputMessage="1" showErrorMessage="1" sqref="D2217">
      <formula1>0</formula1>
    </dataValidation>
    <dataValidation type="decimal" operator="greaterThan" allowBlank="1" showInputMessage="1" showErrorMessage="1" sqref="E2217">
      <formula1>0</formula1>
    </dataValidation>
    <dataValidation type="whole" operator="greaterThan" allowBlank="1" showInputMessage="1" showErrorMessage="1" sqref="A2218">
      <formula1>0</formula1>
    </dataValidation>
    <dataValidation type="list" allowBlank="1" showInputMessage="1" showErrorMessage="1" sqref="C2218">
      <formula1>UnidadesList</formula1>
    </dataValidation>
    <dataValidation type="decimal" operator="greaterThan" allowBlank="1" showInputMessage="1" showErrorMessage="1" sqref="D2218">
      <formula1>0</formula1>
    </dataValidation>
    <dataValidation type="decimal" operator="greaterThan" allowBlank="1" showInputMessage="1" showErrorMessage="1" sqref="E2218">
      <formula1>0</formula1>
    </dataValidation>
    <dataValidation type="whole" operator="greaterThan" allowBlank="1" showInputMessage="1" showErrorMessage="1" sqref="A2219">
      <formula1>0</formula1>
    </dataValidation>
    <dataValidation type="list" allowBlank="1" showInputMessage="1" showErrorMessage="1" sqref="C2219">
      <formula1>UnidadesList</formula1>
    </dataValidation>
    <dataValidation type="decimal" operator="greaterThan" allowBlank="1" showInputMessage="1" showErrorMessage="1" sqref="D2219">
      <formula1>0</formula1>
    </dataValidation>
    <dataValidation type="decimal" operator="greaterThan" allowBlank="1" showInputMessage="1" showErrorMessage="1" sqref="E2219">
      <formula1>0</formula1>
    </dataValidation>
    <dataValidation type="whole" operator="greaterThan" allowBlank="1" showInputMessage="1" showErrorMessage="1" sqref="A2220">
      <formula1>0</formula1>
    </dataValidation>
    <dataValidation type="list" allowBlank="1" showInputMessage="1" showErrorMessage="1" sqref="C2220">
      <formula1>UnidadesList</formula1>
    </dataValidation>
    <dataValidation type="decimal" operator="greaterThan" allowBlank="1" showInputMessage="1" showErrorMessage="1" sqref="D2220">
      <formula1>0</formula1>
    </dataValidation>
    <dataValidation type="decimal" operator="greaterThan" allowBlank="1" showInputMessage="1" showErrorMessage="1" sqref="E2220">
      <formula1>0</formula1>
    </dataValidation>
    <dataValidation type="whole" operator="greaterThan" allowBlank="1" showInputMessage="1" showErrorMessage="1" sqref="A2221">
      <formula1>0</formula1>
    </dataValidation>
    <dataValidation type="list" allowBlank="1" showInputMessage="1" showErrorMessage="1" sqref="C2221">
      <formula1>UnidadesList</formula1>
    </dataValidation>
    <dataValidation type="decimal" operator="greaterThan" allowBlank="1" showInputMessage="1" showErrorMessage="1" sqref="D2221">
      <formula1>0</formula1>
    </dataValidation>
    <dataValidation type="decimal" operator="greaterThan" allowBlank="1" showInputMessage="1" showErrorMessage="1" sqref="E2221">
      <formula1>0</formula1>
    </dataValidation>
    <dataValidation type="whole" operator="greaterThan" allowBlank="1" showInputMessage="1" showErrorMessage="1" sqref="A2222">
      <formula1>0</formula1>
    </dataValidation>
    <dataValidation type="list" allowBlank="1" showInputMessage="1" showErrorMessage="1" sqref="C2222">
      <formula1>UnidadesList</formula1>
    </dataValidation>
    <dataValidation type="decimal" operator="greaterThan" allowBlank="1" showInputMessage="1" showErrorMessage="1" sqref="D2222">
      <formula1>0</formula1>
    </dataValidation>
    <dataValidation type="decimal" operator="greaterThan" allowBlank="1" showInputMessage="1" showErrorMessage="1" sqref="E2222">
      <formula1>0</formula1>
    </dataValidation>
    <dataValidation type="whole" operator="greaterThan" allowBlank="1" showInputMessage="1" showErrorMessage="1" sqref="A2223">
      <formula1>0</formula1>
    </dataValidation>
    <dataValidation type="list" allowBlank="1" showInputMessage="1" showErrorMessage="1" sqref="C2223">
      <formula1>UnidadesList</formula1>
    </dataValidation>
    <dataValidation type="decimal" operator="greaterThan" allowBlank="1" showInputMessage="1" showErrorMessage="1" sqref="D2223">
      <formula1>0</formula1>
    </dataValidation>
    <dataValidation type="decimal" operator="greaterThan" allowBlank="1" showInputMessage="1" showErrorMessage="1" sqref="E2223">
      <formula1>0</formula1>
    </dataValidation>
    <dataValidation type="whole" operator="greaterThan" allowBlank="1" showInputMessage="1" showErrorMessage="1" sqref="A2224">
      <formula1>0</formula1>
    </dataValidation>
    <dataValidation type="list" allowBlank="1" showInputMessage="1" showErrorMessage="1" sqref="C2224">
      <formula1>UnidadesList</formula1>
    </dataValidation>
    <dataValidation type="decimal" operator="greaterThan" allowBlank="1" showInputMessage="1" showErrorMessage="1" sqref="D2224">
      <formula1>0</formula1>
    </dataValidation>
    <dataValidation type="decimal" operator="greaterThan" allowBlank="1" showInputMessage="1" showErrorMessage="1" sqref="E2224">
      <formula1>0</formula1>
    </dataValidation>
    <dataValidation type="whole" operator="greaterThan" allowBlank="1" showInputMessage="1" showErrorMessage="1" sqref="A2225">
      <formula1>0</formula1>
    </dataValidation>
    <dataValidation type="list" allowBlank="1" showInputMessage="1" showErrorMessage="1" sqref="C2225">
      <formula1>UnidadesList</formula1>
    </dataValidation>
    <dataValidation type="decimal" operator="greaterThan" allowBlank="1" showInputMessage="1" showErrorMessage="1" sqref="D2225">
      <formula1>0</formula1>
    </dataValidation>
    <dataValidation type="decimal" operator="greaterThan" allowBlank="1" showInputMessage="1" showErrorMessage="1" sqref="E2225">
      <formula1>0</formula1>
    </dataValidation>
    <dataValidation type="whole" operator="greaterThan" allowBlank="1" showInputMessage="1" showErrorMessage="1" sqref="A2226">
      <formula1>0</formula1>
    </dataValidation>
    <dataValidation type="list" allowBlank="1" showInputMessage="1" showErrorMessage="1" sqref="C2226">
      <formula1>UnidadesList</formula1>
    </dataValidation>
    <dataValidation type="decimal" operator="greaterThan" allowBlank="1" showInputMessage="1" showErrorMessage="1" sqref="D2226">
      <formula1>0</formula1>
    </dataValidation>
    <dataValidation type="decimal" operator="greaterThan" allowBlank="1" showInputMessage="1" showErrorMessage="1" sqref="E2226">
      <formula1>0</formula1>
    </dataValidation>
    <dataValidation type="whole" operator="greaterThan" allowBlank="1" showInputMessage="1" showErrorMessage="1" sqref="A2227">
      <formula1>0</formula1>
    </dataValidation>
    <dataValidation type="list" allowBlank="1" showInputMessage="1" showErrorMessage="1" sqref="C2227">
      <formula1>UnidadesList</formula1>
    </dataValidation>
    <dataValidation type="decimal" operator="greaterThan" allowBlank="1" showInputMessage="1" showErrorMessage="1" sqref="D2227">
      <formula1>0</formula1>
    </dataValidation>
    <dataValidation type="decimal" operator="greaterThan" allowBlank="1" showInputMessage="1" showErrorMessage="1" sqref="E2227">
      <formula1>0</formula1>
    </dataValidation>
    <dataValidation type="whole" operator="greaterThan" allowBlank="1" showInputMessage="1" showErrorMessage="1" sqref="A2228">
      <formula1>0</formula1>
    </dataValidation>
    <dataValidation type="list" allowBlank="1" showInputMessage="1" showErrorMessage="1" sqref="C2228">
      <formula1>UnidadesList</formula1>
    </dataValidation>
    <dataValidation type="decimal" operator="greaterThan" allowBlank="1" showInputMessage="1" showErrorMessage="1" sqref="D2228">
      <formula1>0</formula1>
    </dataValidation>
    <dataValidation type="decimal" operator="greaterThan" allowBlank="1" showInputMessage="1" showErrorMessage="1" sqref="E2228">
      <formula1>0</formula1>
    </dataValidation>
    <dataValidation type="whole" operator="greaterThan" allowBlank="1" showInputMessage="1" showErrorMessage="1" sqref="A2229">
      <formula1>0</formula1>
    </dataValidation>
    <dataValidation type="list" allowBlank="1" showInputMessage="1" showErrorMessage="1" sqref="C2229">
      <formula1>UnidadesList</formula1>
    </dataValidation>
    <dataValidation type="decimal" operator="greaterThan" allowBlank="1" showInputMessage="1" showErrorMessage="1" sqref="D2229">
      <formula1>0</formula1>
    </dataValidation>
    <dataValidation type="decimal" operator="greaterThan" allowBlank="1" showInputMessage="1" showErrorMessage="1" sqref="E2229">
      <formula1>0</formula1>
    </dataValidation>
    <dataValidation type="whole" operator="greaterThan" allowBlank="1" showInputMessage="1" showErrorMessage="1" sqref="A2230">
      <formula1>0</formula1>
    </dataValidation>
    <dataValidation type="list" allowBlank="1" showInputMessage="1" showErrorMessage="1" sqref="C2230">
      <formula1>UnidadesList</formula1>
    </dataValidation>
    <dataValidation type="decimal" operator="greaterThan" allowBlank="1" showInputMessage="1" showErrorMessage="1" sqref="D2230">
      <formula1>0</formula1>
    </dataValidation>
    <dataValidation type="decimal" operator="greaterThan" allowBlank="1" showInputMessage="1" showErrorMessage="1" sqref="E2230">
      <formula1>0</formula1>
    </dataValidation>
    <dataValidation type="whole" operator="greaterThan" allowBlank="1" showInputMessage="1" showErrorMessage="1" sqref="A2231">
      <formula1>0</formula1>
    </dataValidation>
    <dataValidation type="list" allowBlank="1" showInputMessage="1" showErrorMessage="1" sqref="C2231">
      <formula1>UnidadesList</formula1>
    </dataValidation>
    <dataValidation type="decimal" operator="greaterThan" allowBlank="1" showInputMessage="1" showErrorMessage="1" sqref="D2231">
      <formula1>0</formula1>
    </dataValidation>
    <dataValidation type="decimal" operator="greaterThan" allowBlank="1" showInputMessage="1" showErrorMessage="1" sqref="E2231">
      <formula1>0</formula1>
    </dataValidation>
    <dataValidation type="whole" operator="greaterThan" allowBlank="1" showInputMessage="1" showErrorMessage="1" sqref="A2232">
      <formula1>0</formula1>
    </dataValidation>
    <dataValidation type="list" allowBlank="1" showInputMessage="1" showErrorMessage="1" sqref="C2232">
      <formula1>UnidadesList</formula1>
    </dataValidation>
    <dataValidation type="decimal" operator="greaterThan" allowBlank="1" showInputMessage="1" showErrorMessage="1" sqref="D2232">
      <formula1>0</formula1>
    </dataValidation>
    <dataValidation type="decimal" operator="greaterThan" allowBlank="1" showInputMessage="1" showErrorMessage="1" sqref="E2232">
      <formula1>0</formula1>
    </dataValidation>
    <dataValidation type="whole" operator="greaterThan" allowBlank="1" showInputMessage="1" showErrorMessage="1" sqref="A2233">
      <formula1>0</formula1>
    </dataValidation>
    <dataValidation type="list" allowBlank="1" showInputMessage="1" showErrorMessage="1" sqref="C2233">
      <formula1>UnidadesList</formula1>
    </dataValidation>
    <dataValidation type="decimal" operator="greaterThan" allowBlank="1" showInputMessage="1" showErrorMessage="1" sqref="D2233">
      <formula1>0</formula1>
    </dataValidation>
    <dataValidation type="decimal" operator="greaterThan" allowBlank="1" showInputMessage="1" showErrorMessage="1" sqref="E2233">
      <formula1>0</formula1>
    </dataValidation>
    <dataValidation type="whole" operator="greaterThan" allowBlank="1" showInputMessage="1" showErrorMessage="1" sqref="A2234">
      <formula1>0</formula1>
    </dataValidation>
    <dataValidation type="list" allowBlank="1" showInputMessage="1" showErrorMessage="1" sqref="C2234">
      <formula1>UnidadesList</formula1>
    </dataValidation>
    <dataValidation type="decimal" operator="greaterThan" allowBlank="1" showInputMessage="1" showErrorMessage="1" sqref="D2234">
      <formula1>0</formula1>
    </dataValidation>
    <dataValidation type="decimal" operator="greaterThan" allowBlank="1" showInputMessage="1" showErrorMessage="1" sqref="E2234">
      <formula1>0</formula1>
    </dataValidation>
    <dataValidation type="whole" operator="greaterThan" allowBlank="1" showInputMessage="1" showErrorMessage="1" sqref="A2235">
      <formula1>0</formula1>
    </dataValidation>
    <dataValidation type="list" allowBlank="1" showInputMessage="1" showErrorMessage="1" sqref="C2235">
      <formula1>UnidadesList</formula1>
    </dataValidation>
    <dataValidation type="decimal" operator="greaterThan" allowBlank="1" showInputMessage="1" showErrorMessage="1" sqref="D2235">
      <formula1>0</formula1>
    </dataValidation>
    <dataValidation type="decimal" operator="greaterThan" allowBlank="1" showInputMessage="1" showErrorMessage="1" sqref="E2235">
      <formula1>0</formula1>
    </dataValidation>
    <dataValidation type="whole" operator="greaterThan" allowBlank="1" showInputMessage="1" showErrorMessage="1" sqref="A2236">
      <formula1>0</formula1>
    </dataValidation>
    <dataValidation type="list" allowBlank="1" showInputMessage="1" showErrorMessage="1" sqref="C2236">
      <formula1>UnidadesList</formula1>
    </dataValidation>
    <dataValidation type="decimal" operator="greaterThan" allowBlank="1" showInputMessage="1" showErrorMessage="1" sqref="D2236">
      <formula1>0</formula1>
    </dataValidation>
    <dataValidation type="decimal" operator="greaterThan" allowBlank="1" showInputMessage="1" showErrorMessage="1" sqref="E2236">
      <formula1>0</formula1>
    </dataValidation>
    <dataValidation type="whole" operator="greaterThan" allowBlank="1" showInputMessage="1" showErrorMessage="1" sqref="A2237">
      <formula1>0</formula1>
    </dataValidation>
    <dataValidation type="list" allowBlank="1" showInputMessage="1" showErrorMessage="1" sqref="C2237">
      <formula1>UnidadesList</formula1>
    </dataValidation>
    <dataValidation type="decimal" operator="greaterThan" allowBlank="1" showInputMessage="1" showErrorMessage="1" sqref="D2237">
      <formula1>0</formula1>
    </dataValidation>
    <dataValidation type="decimal" operator="greaterThan" allowBlank="1" showInputMessage="1" showErrorMessage="1" sqref="E2237">
      <formula1>0</formula1>
    </dataValidation>
    <dataValidation type="date" operator="lessThanOrEqual" allowBlank="1" showInputMessage="1" showErrorMessage="1" sqref="C2242">
      <formula1>C2244</formula1>
    </dataValidation>
    <dataValidation type="date" operator="greaterThanOrEqual" allowBlank="1" showInputMessage="1" showErrorMessage="1" sqref="C2244">
      <formula1>C2242</formula1>
    </dataValidation>
    <dataValidation type="list" allowBlank="1" showInputMessage="1" showErrorMessage="1" sqref="F22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2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2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2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248">
      <formula1>0</formula1>
    </dataValidation>
    <dataValidation type="list" allowBlank="1" showInputMessage="1" showErrorMessage="1" sqref="C2248">
      <formula1>UnidadesList</formula1>
    </dataValidation>
    <dataValidation type="decimal" operator="greaterThan" allowBlank="1" showInputMessage="1" showErrorMessage="1" sqref="D2248">
      <formula1>0</formula1>
    </dataValidation>
    <dataValidation type="decimal" operator="greaterThan" allowBlank="1" showInputMessage="1" showErrorMessage="1" sqref="E2248">
      <formula1>0</formula1>
    </dataValidation>
    <dataValidation type="whole" operator="greaterThan" allowBlank="1" showInputMessage="1" showErrorMessage="1" sqref="A2249">
      <formula1>0</formula1>
    </dataValidation>
    <dataValidation type="list" allowBlank="1" showInputMessage="1" showErrorMessage="1" sqref="C2249">
      <formula1>UnidadesList</formula1>
    </dataValidation>
    <dataValidation type="decimal" operator="greaterThan" allowBlank="1" showInputMessage="1" showErrorMessage="1" sqref="D2249">
      <formula1>0</formula1>
    </dataValidation>
    <dataValidation type="decimal" operator="greaterThan" allowBlank="1" showInputMessage="1" showErrorMessage="1" sqref="E2249">
      <formula1>0</formula1>
    </dataValidation>
    <dataValidation type="whole" operator="greaterThan" allowBlank="1" showInputMessage="1" showErrorMessage="1" sqref="A2250">
      <formula1>0</formula1>
    </dataValidation>
    <dataValidation type="list" allowBlank="1" showInputMessage="1" showErrorMessage="1" sqref="C2250">
      <formula1>UnidadesList</formula1>
    </dataValidation>
    <dataValidation type="decimal" operator="greaterThan" allowBlank="1" showInputMessage="1" showErrorMessage="1" sqref="D2250">
      <formula1>0</formula1>
    </dataValidation>
    <dataValidation type="decimal" operator="greaterThan" allowBlank="1" showInputMessage="1" showErrorMessage="1" sqref="E2250">
      <formula1>0</formula1>
    </dataValidation>
    <dataValidation type="whole" operator="greaterThan" allowBlank="1" showInputMessage="1" showErrorMessage="1" sqref="A2251">
      <formula1>0</formula1>
    </dataValidation>
    <dataValidation type="list" allowBlank="1" showInputMessage="1" showErrorMessage="1" sqref="C2251">
      <formula1>UnidadesList</formula1>
    </dataValidation>
    <dataValidation type="decimal" operator="greaterThan" allowBlank="1" showInputMessage="1" showErrorMessage="1" sqref="D2251">
      <formula1>0</formula1>
    </dataValidation>
    <dataValidation type="decimal" operator="greaterThan" allowBlank="1" showInputMessage="1" showErrorMessage="1" sqref="E2251">
      <formula1>0</formula1>
    </dataValidation>
    <dataValidation type="whole" operator="greaterThan" allowBlank="1" showInputMessage="1" showErrorMessage="1" sqref="A2252">
      <formula1>0</formula1>
    </dataValidation>
    <dataValidation type="list" allowBlank="1" showInputMessage="1" showErrorMessage="1" sqref="C2252">
      <formula1>UnidadesList</formula1>
    </dataValidation>
    <dataValidation type="decimal" operator="greaterThan" allowBlank="1" showInputMessage="1" showErrorMessage="1" sqref="D2252">
      <formula1>0</formula1>
    </dataValidation>
    <dataValidation type="decimal" operator="greaterThan" allowBlank="1" showInputMessage="1" showErrorMessage="1" sqref="E2252">
      <formula1>0</formula1>
    </dataValidation>
    <dataValidation type="whole" operator="greaterThan" allowBlank="1" showInputMessage="1" showErrorMessage="1" sqref="A2253">
      <formula1>0</formula1>
    </dataValidation>
    <dataValidation type="list" allowBlank="1" showInputMessage="1" showErrorMessage="1" sqref="C2253">
      <formula1>UnidadesList</formula1>
    </dataValidation>
    <dataValidation type="decimal" operator="greaterThan" allowBlank="1" showInputMessage="1" showErrorMessage="1" sqref="D2253">
      <formula1>0</formula1>
    </dataValidation>
    <dataValidation type="decimal" operator="greaterThan" allowBlank="1" showInputMessage="1" showErrorMessage="1" sqref="E2253">
      <formula1>0</formula1>
    </dataValidation>
    <dataValidation type="whole" operator="greaterThan" allowBlank="1" showInputMessage="1" showErrorMessage="1" sqref="A2254">
      <formula1>0</formula1>
    </dataValidation>
    <dataValidation type="list" allowBlank="1" showInputMessage="1" showErrorMessage="1" sqref="C2254">
      <formula1>UnidadesList</formula1>
    </dataValidation>
    <dataValidation type="decimal" operator="greaterThan" allowBlank="1" showInputMessage="1" showErrorMessage="1" sqref="D2254">
      <formula1>0</formula1>
    </dataValidation>
    <dataValidation type="decimal" operator="greaterThan" allowBlank="1" showInputMessage="1" showErrorMessage="1" sqref="E2254">
      <formula1>0</formula1>
    </dataValidation>
    <dataValidation type="whole" operator="greaterThan" allowBlank="1" showInputMessage="1" showErrorMessage="1" sqref="A2255">
      <formula1>0</formula1>
    </dataValidation>
    <dataValidation type="list" allowBlank="1" showInputMessage="1" showErrorMessage="1" sqref="C2255">
      <formula1>UnidadesList</formula1>
    </dataValidation>
    <dataValidation type="decimal" operator="greaterThan" allowBlank="1" showInputMessage="1" showErrorMessage="1" sqref="D2255">
      <formula1>0</formula1>
    </dataValidation>
    <dataValidation type="decimal" operator="greaterThan" allowBlank="1" showInputMessage="1" showErrorMessage="1" sqref="E2255">
      <formula1>0</formula1>
    </dataValidation>
    <dataValidation type="whole" operator="greaterThan" allowBlank="1" showInputMessage="1" showErrorMessage="1" sqref="A2256">
      <formula1>0</formula1>
    </dataValidation>
    <dataValidation type="list" allowBlank="1" showInputMessage="1" showErrorMessage="1" sqref="C2256">
      <formula1>UnidadesList</formula1>
    </dataValidation>
    <dataValidation type="decimal" operator="greaterThan" allowBlank="1" showInputMessage="1" showErrorMessage="1" sqref="D2256">
      <formula1>0</formula1>
    </dataValidation>
    <dataValidation type="decimal" operator="greaterThan" allowBlank="1" showInputMessage="1" showErrorMessage="1" sqref="E2256">
      <formula1>0</formula1>
    </dataValidation>
    <dataValidation type="whole" operator="greaterThan" allowBlank="1" showInputMessage="1" showErrorMessage="1" sqref="A2257">
      <formula1>0</formula1>
    </dataValidation>
    <dataValidation type="list" allowBlank="1" showInputMessage="1" showErrorMessage="1" sqref="C2257">
      <formula1>UnidadesList</formula1>
    </dataValidation>
    <dataValidation type="decimal" operator="greaterThan" allowBlank="1" showInputMessage="1" showErrorMessage="1" sqref="D2257">
      <formula1>0</formula1>
    </dataValidation>
    <dataValidation type="decimal" operator="greaterThan" allowBlank="1" showInputMessage="1" showErrorMessage="1" sqref="E2257">
      <formula1>0</formula1>
    </dataValidation>
    <dataValidation type="whole" operator="greaterThan" allowBlank="1" showInputMessage="1" showErrorMessage="1" sqref="A2258">
      <formula1>0</formula1>
    </dataValidation>
    <dataValidation type="list" allowBlank="1" showInputMessage="1" showErrorMessage="1" sqref="C2258">
      <formula1>UnidadesList</formula1>
    </dataValidation>
    <dataValidation type="decimal" operator="greaterThan" allowBlank="1" showInputMessage="1" showErrorMessage="1" sqref="D2258">
      <formula1>0</formula1>
    </dataValidation>
    <dataValidation type="decimal" operator="greaterThan" allowBlank="1" showInputMessage="1" showErrorMessage="1" sqref="E2258">
      <formula1>0</formula1>
    </dataValidation>
    <dataValidation type="whole" operator="greaterThan" allowBlank="1" showInputMessage="1" showErrorMessage="1" sqref="A2259">
      <formula1>0</formula1>
    </dataValidation>
    <dataValidation type="list" allowBlank="1" showInputMessage="1" showErrorMessage="1" sqref="C2259">
      <formula1>UnidadesList</formula1>
    </dataValidation>
    <dataValidation type="decimal" operator="greaterThan" allowBlank="1" showInputMessage="1" showErrorMessage="1" sqref="D2259">
      <formula1>0</formula1>
    </dataValidation>
    <dataValidation type="decimal" operator="greaterThan" allowBlank="1" showInputMessage="1" showErrorMessage="1" sqref="E2259">
      <formula1>0</formula1>
    </dataValidation>
    <dataValidation type="whole" operator="greaterThan" allowBlank="1" showInputMessage="1" showErrorMessage="1" sqref="A2260">
      <formula1>0</formula1>
    </dataValidation>
    <dataValidation type="list" allowBlank="1" showInputMessage="1" showErrorMessage="1" sqref="C2260">
      <formula1>UnidadesList</formula1>
    </dataValidation>
    <dataValidation type="decimal" operator="greaterThan" allowBlank="1" showInputMessage="1" showErrorMessage="1" sqref="D2260">
      <formula1>0</formula1>
    </dataValidation>
    <dataValidation type="decimal" operator="greaterThan" allowBlank="1" showInputMessage="1" showErrorMessage="1" sqref="E2260">
      <formula1>0</formula1>
    </dataValidation>
    <dataValidation type="whole" operator="greaterThan" allowBlank="1" showInputMessage="1" showErrorMessage="1" sqref="A2261">
      <formula1>0</formula1>
    </dataValidation>
    <dataValidation type="list" allowBlank="1" showInputMessage="1" showErrorMessage="1" sqref="C2261">
      <formula1>UnidadesList</formula1>
    </dataValidation>
    <dataValidation type="decimal" operator="greaterThan" allowBlank="1" showInputMessage="1" showErrorMessage="1" sqref="D2261">
      <formula1>0</formula1>
    </dataValidation>
    <dataValidation type="decimal" operator="greaterThan" allowBlank="1" showInputMessage="1" showErrorMessage="1" sqref="E2261">
      <formula1>0</formula1>
    </dataValidation>
    <dataValidation type="whole" operator="greaterThan" allowBlank="1" showInputMessage="1" showErrorMessage="1" sqref="A2262">
      <formula1>0</formula1>
    </dataValidation>
    <dataValidation type="list" allowBlank="1" showInputMessage="1" showErrorMessage="1" sqref="C2262">
      <formula1>UnidadesList</formula1>
    </dataValidation>
    <dataValidation type="decimal" operator="greaterThan" allowBlank="1" showInputMessage="1" showErrorMessage="1" sqref="D2262">
      <formula1>0</formula1>
    </dataValidation>
    <dataValidation type="decimal" operator="greaterThan" allowBlank="1" showInputMessage="1" showErrorMessage="1" sqref="E2262">
      <formula1>0</formula1>
    </dataValidation>
    <dataValidation type="whole" operator="greaterThan" allowBlank="1" showInputMessage="1" showErrorMessage="1" sqref="A2263">
      <formula1>0</formula1>
    </dataValidation>
    <dataValidation type="list" allowBlank="1" showInputMessage="1" showErrorMessage="1" sqref="C2263">
      <formula1>UnidadesList</formula1>
    </dataValidation>
    <dataValidation type="decimal" operator="greaterThan" allowBlank="1" showInputMessage="1" showErrorMessage="1" sqref="D2263">
      <formula1>0</formula1>
    </dataValidation>
    <dataValidation type="decimal" operator="greaterThan" allowBlank="1" showInputMessage="1" showErrorMessage="1" sqref="E2263">
      <formula1>0</formula1>
    </dataValidation>
    <dataValidation type="whole" operator="greaterThan" allowBlank="1" showInputMessage="1" showErrorMessage="1" sqref="A2264">
      <formula1>0</formula1>
    </dataValidation>
    <dataValidation type="list" allowBlank="1" showInputMessage="1" showErrorMessage="1" sqref="C2264">
      <formula1>UnidadesList</formula1>
    </dataValidation>
    <dataValidation type="decimal" operator="greaterThan" allowBlank="1" showInputMessage="1" showErrorMessage="1" sqref="D2264">
      <formula1>0</formula1>
    </dataValidation>
    <dataValidation type="decimal" operator="greaterThan" allowBlank="1" showInputMessage="1" showErrorMessage="1" sqref="E2264">
      <formula1>0</formula1>
    </dataValidation>
    <dataValidation type="whole" operator="greaterThan" allowBlank="1" showInputMessage="1" showErrorMessage="1" sqref="A2265">
      <formula1>0</formula1>
    </dataValidation>
    <dataValidation type="list" allowBlank="1" showInputMessage="1" showErrorMessage="1" sqref="C2265">
      <formula1>UnidadesList</formula1>
    </dataValidation>
    <dataValidation type="decimal" operator="greaterThan" allowBlank="1" showInputMessage="1" showErrorMessage="1" sqref="D2265">
      <formula1>0</formula1>
    </dataValidation>
    <dataValidation type="decimal" operator="greaterThan" allowBlank="1" showInputMessage="1" showErrorMessage="1" sqref="E2265">
      <formula1>0</formula1>
    </dataValidation>
    <dataValidation type="whole" operator="greaterThan" allowBlank="1" showInputMessage="1" showErrorMessage="1" sqref="A2266">
      <formula1>0</formula1>
    </dataValidation>
    <dataValidation type="list" allowBlank="1" showInputMessage="1" showErrorMessage="1" sqref="C2266">
      <formula1>UnidadesList</formula1>
    </dataValidation>
    <dataValidation type="decimal" operator="greaterThan" allowBlank="1" showInputMessage="1" showErrorMessage="1" sqref="D2266">
      <formula1>0</formula1>
    </dataValidation>
    <dataValidation type="decimal" operator="greaterThan" allowBlank="1" showInputMessage="1" showErrorMessage="1" sqref="E2266">
      <formula1>0</formula1>
    </dataValidation>
    <dataValidation type="whole" operator="greaterThan" allowBlank="1" showInputMessage="1" showErrorMessage="1" sqref="A2267">
      <formula1>0</formula1>
    </dataValidation>
    <dataValidation type="list" allowBlank="1" showInputMessage="1" showErrorMessage="1" sqref="C2267">
      <formula1>UnidadesList</formula1>
    </dataValidation>
    <dataValidation type="decimal" operator="greaterThan" allowBlank="1" showInputMessage="1" showErrorMessage="1" sqref="D2267">
      <formula1>0</formula1>
    </dataValidation>
    <dataValidation type="decimal" operator="greaterThan" allowBlank="1" showInputMessage="1" showErrorMessage="1" sqref="E2267">
      <formula1>0</formula1>
    </dataValidation>
    <dataValidation type="whole" operator="greaterThan" allowBlank="1" showInputMessage="1" showErrorMessage="1" sqref="A2268">
      <formula1>0</formula1>
    </dataValidation>
    <dataValidation type="list" allowBlank="1" showInputMessage="1" showErrorMessage="1" sqref="C2268">
      <formula1>UnidadesList</formula1>
    </dataValidation>
    <dataValidation type="decimal" operator="greaterThan" allowBlank="1" showInputMessage="1" showErrorMessage="1" sqref="D2268">
      <formula1>0</formula1>
    </dataValidation>
    <dataValidation type="decimal" operator="greaterThan" allowBlank="1" showInputMessage="1" showErrorMessage="1" sqref="E2268">
      <formula1>0</formula1>
    </dataValidation>
    <dataValidation type="whole" operator="greaterThan" allowBlank="1" showInputMessage="1" showErrorMessage="1" sqref="A2269">
      <formula1>0</formula1>
    </dataValidation>
    <dataValidation type="list" allowBlank="1" showInputMessage="1" showErrorMessage="1" sqref="C2269">
      <formula1>UnidadesList</formula1>
    </dataValidation>
    <dataValidation type="decimal" operator="greaterThan" allowBlank="1" showInputMessage="1" showErrorMessage="1" sqref="D2269">
      <formula1>0</formula1>
    </dataValidation>
    <dataValidation type="decimal" operator="greaterThan" allowBlank="1" showInputMessage="1" showErrorMessage="1" sqref="E2269">
      <formula1>0</formula1>
    </dataValidation>
    <dataValidation type="whole" operator="greaterThan" allowBlank="1" showInputMessage="1" showErrorMessage="1" sqref="A2270">
      <formula1>0</formula1>
    </dataValidation>
    <dataValidation type="list" allowBlank="1" showInputMessage="1" showErrorMessage="1" sqref="C2270">
      <formula1>UnidadesList</formula1>
    </dataValidation>
    <dataValidation type="decimal" operator="greaterThan" allowBlank="1" showInputMessage="1" showErrorMessage="1" sqref="D2270">
      <formula1>0</formula1>
    </dataValidation>
    <dataValidation type="decimal" operator="greaterThan" allowBlank="1" showInputMessage="1" showErrorMessage="1" sqref="E2270">
      <formula1>0</formula1>
    </dataValidation>
    <dataValidation type="whole" operator="greaterThan" allowBlank="1" showInputMessage="1" showErrorMessage="1" sqref="A2271">
      <formula1>0</formula1>
    </dataValidation>
    <dataValidation type="list" allowBlank="1" showInputMessage="1" showErrorMessage="1" sqref="C2271">
      <formula1>UnidadesList</formula1>
    </dataValidation>
    <dataValidation type="decimal" operator="greaterThan" allowBlank="1" showInputMessage="1" showErrorMessage="1" sqref="D2271">
      <formula1>0</formula1>
    </dataValidation>
    <dataValidation type="decimal" operator="greaterThan" allowBlank="1" showInputMessage="1" showErrorMessage="1" sqref="E2271">
      <formula1>0</formula1>
    </dataValidation>
    <dataValidation type="whole" operator="greaterThan" allowBlank="1" showInputMessage="1" showErrorMessage="1" sqref="A2272">
      <formula1>0</formula1>
    </dataValidation>
    <dataValidation type="list" allowBlank="1" showInputMessage="1" showErrorMessage="1" sqref="C2272">
      <formula1>UnidadesList</formula1>
    </dataValidation>
    <dataValidation type="decimal" operator="greaterThan" allowBlank="1" showInputMessage="1" showErrorMessage="1" sqref="D2272">
      <formula1>0</formula1>
    </dataValidation>
    <dataValidation type="decimal" operator="greaterThan" allowBlank="1" showInputMessage="1" showErrorMessage="1" sqref="E2272">
      <formula1>0</formula1>
    </dataValidation>
    <dataValidation type="whole" operator="greaterThan" allowBlank="1" showInputMessage="1" showErrorMessage="1" sqref="A2273">
      <formula1>0</formula1>
    </dataValidation>
    <dataValidation type="list" allowBlank="1" showInputMessage="1" showErrorMessage="1" sqref="C2273">
      <formula1>UnidadesList</formula1>
    </dataValidation>
    <dataValidation type="decimal" operator="greaterThan" allowBlank="1" showInputMessage="1" showErrorMessage="1" sqref="D2273">
      <formula1>0</formula1>
    </dataValidation>
    <dataValidation type="decimal" operator="greaterThan" allowBlank="1" showInputMessage="1" showErrorMessage="1" sqref="E2273">
      <formula1>0</formula1>
    </dataValidation>
    <dataValidation type="whole" operator="greaterThan" allowBlank="1" showInputMessage="1" showErrorMessage="1" sqref="A2274">
      <formula1>0</formula1>
    </dataValidation>
    <dataValidation type="list" allowBlank="1" showInputMessage="1" showErrorMessage="1" sqref="C2274">
      <formula1>UnidadesList</formula1>
    </dataValidation>
    <dataValidation type="decimal" operator="greaterThan" allowBlank="1" showInputMessage="1" showErrorMessage="1" sqref="D2274">
      <formula1>0</formula1>
    </dataValidation>
    <dataValidation type="decimal" operator="greaterThan" allowBlank="1" showInputMessage="1" showErrorMessage="1" sqref="E2274">
      <formula1>0</formula1>
    </dataValidation>
    <dataValidation type="whole" operator="greaterThan" allowBlank="1" showInputMessage="1" showErrorMessage="1" sqref="A2275">
      <formula1>0</formula1>
    </dataValidation>
    <dataValidation type="list" allowBlank="1" showInputMessage="1" showErrorMessage="1" sqref="C2275">
      <formula1>UnidadesList</formula1>
    </dataValidation>
    <dataValidation type="decimal" operator="greaterThan" allowBlank="1" showInputMessage="1" showErrorMessage="1" sqref="D2275">
      <formula1>0</formula1>
    </dataValidation>
    <dataValidation type="decimal" operator="greaterThan" allowBlank="1" showInputMessage="1" showErrorMessage="1" sqref="E2275">
      <formula1>0</formula1>
    </dataValidation>
    <dataValidation type="whole" operator="greaterThan" allowBlank="1" showInputMessage="1" showErrorMessage="1" sqref="A2276">
      <formula1>0</formula1>
    </dataValidation>
    <dataValidation type="list" allowBlank="1" showInputMessage="1" showErrorMessage="1" sqref="C2276">
      <formula1>UnidadesList</formula1>
    </dataValidation>
    <dataValidation type="decimal" operator="greaterThan" allowBlank="1" showInputMessage="1" showErrorMessage="1" sqref="D2276">
      <formula1>0</formula1>
    </dataValidation>
    <dataValidation type="decimal" operator="greaterThan" allowBlank="1" showInputMessage="1" showErrorMessage="1" sqref="E2276">
      <formula1>0</formula1>
    </dataValidation>
    <dataValidation type="whole" operator="greaterThan" allowBlank="1" showInputMessage="1" showErrorMessage="1" sqref="A2277">
      <formula1>0</formula1>
    </dataValidation>
    <dataValidation type="list" allowBlank="1" showInputMessage="1" showErrorMessage="1" sqref="C2277">
      <formula1>UnidadesList</formula1>
    </dataValidation>
    <dataValidation type="decimal" operator="greaterThan" allowBlank="1" showInputMessage="1" showErrorMessage="1" sqref="D2277">
      <formula1>0</formula1>
    </dataValidation>
    <dataValidation type="decimal" operator="greaterThan" allowBlank="1" showInputMessage="1" showErrorMessage="1" sqref="E2277">
      <formula1>0</formula1>
    </dataValidation>
    <dataValidation type="whole" operator="greaterThan" allowBlank="1" showInputMessage="1" showErrorMessage="1" sqref="A2278">
      <formula1>0</formula1>
    </dataValidation>
    <dataValidation type="list" allowBlank="1" showInputMessage="1" showErrorMessage="1" sqref="C2278">
      <formula1>UnidadesList</formula1>
    </dataValidation>
    <dataValidation type="decimal" operator="greaterThan" allowBlank="1" showInputMessage="1" showErrorMessage="1" sqref="D2278">
      <formula1>0</formula1>
    </dataValidation>
    <dataValidation type="decimal" operator="greaterThan" allowBlank="1" showInputMessage="1" showErrorMessage="1" sqref="E2278">
      <formula1>0</formula1>
    </dataValidation>
    <dataValidation type="whole" operator="greaterThan" allowBlank="1" showInputMessage="1" showErrorMessage="1" sqref="A2279">
      <formula1>0</formula1>
    </dataValidation>
    <dataValidation type="list" allowBlank="1" showInputMessage="1" showErrorMessage="1" sqref="C2279">
      <formula1>UnidadesList</formula1>
    </dataValidation>
    <dataValidation type="decimal" operator="greaterThan" allowBlank="1" showInputMessage="1" showErrorMessage="1" sqref="D2279">
      <formula1>0</formula1>
    </dataValidation>
    <dataValidation type="decimal" operator="greaterThan" allowBlank="1" showInputMessage="1" showErrorMessage="1" sqref="E2279">
      <formula1>0</formula1>
    </dataValidation>
    <dataValidation type="whole" operator="greaterThan" allowBlank="1" showInputMessage="1" showErrorMessage="1" sqref="A2280">
      <formula1>0</formula1>
    </dataValidation>
    <dataValidation type="list" allowBlank="1" showInputMessage="1" showErrorMessage="1" sqref="C2280">
      <formula1>UnidadesList</formula1>
    </dataValidation>
    <dataValidation type="decimal" operator="greaterThan" allowBlank="1" showInputMessage="1" showErrorMessage="1" sqref="D2280">
      <formula1>0</formula1>
    </dataValidation>
    <dataValidation type="decimal" operator="greaterThan" allowBlank="1" showInputMessage="1" showErrorMessage="1" sqref="E2280">
      <formula1>0</formula1>
    </dataValidation>
    <dataValidation type="whole" operator="greaterThan" allowBlank="1" showInputMessage="1" showErrorMessage="1" sqref="A2281">
      <formula1>0</formula1>
    </dataValidation>
    <dataValidation type="list" allowBlank="1" showInputMessage="1" showErrorMessage="1" sqref="C2281">
      <formula1>UnidadesList</formula1>
    </dataValidation>
    <dataValidation type="decimal" operator="greaterThan" allowBlank="1" showInputMessage="1" showErrorMessage="1" sqref="D2281">
      <formula1>0</formula1>
    </dataValidation>
    <dataValidation type="decimal" operator="greaterThan" allowBlank="1" showInputMessage="1" showErrorMessage="1" sqref="E2281">
      <formula1>0</formula1>
    </dataValidation>
    <dataValidation type="whole" operator="greaterThan" allowBlank="1" showInputMessage="1" showErrorMessage="1" sqref="A2282">
      <formula1>0</formula1>
    </dataValidation>
    <dataValidation type="list" allowBlank="1" showInputMessage="1" showErrorMessage="1" sqref="C2282">
      <formula1>UnidadesList</formula1>
    </dataValidation>
    <dataValidation type="decimal" operator="greaterThan" allowBlank="1" showInputMessage="1" showErrorMessage="1" sqref="D2282">
      <formula1>0</formula1>
    </dataValidation>
    <dataValidation type="decimal" operator="greaterThan" allowBlank="1" showInputMessage="1" showErrorMessage="1" sqref="E2282">
      <formula1>0</formula1>
    </dataValidation>
    <dataValidation type="whole" operator="greaterThan" allowBlank="1" showInputMessage="1" showErrorMessage="1" sqref="A2283">
      <formula1>0</formula1>
    </dataValidation>
    <dataValidation type="list" allowBlank="1" showInputMessage="1" showErrorMessage="1" sqref="C2283">
      <formula1>UnidadesList</formula1>
    </dataValidation>
    <dataValidation type="decimal" operator="greaterThan" allowBlank="1" showInputMessage="1" showErrorMessage="1" sqref="D2283">
      <formula1>0</formula1>
    </dataValidation>
    <dataValidation type="decimal" operator="greaterThan" allowBlank="1" showInputMessage="1" showErrorMessage="1" sqref="E2283">
      <formula1>0</formula1>
    </dataValidation>
    <dataValidation type="date" operator="lessThanOrEqual" allowBlank="1" showInputMessage="1" showErrorMessage="1" sqref="C2288">
      <formula1>C2290</formula1>
    </dataValidation>
    <dataValidation type="date" operator="greaterThanOrEqual" allowBlank="1" showInputMessage="1" showErrorMessage="1" sqref="C2290">
      <formula1>C2288</formula1>
    </dataValidation>
    <dataValidation type="list" allowBlank="1" showInputMessage="1" showErrorMessage="1" sqref="F228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28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29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29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294">
      <formula1>0</formula1>
    </dataValidation>
    <dataValidation type="list" allowBlank="1" showInputMessage="1" showErrorMessage="1" sqref="C2294">
      <formula1>UnidadesList</formula1>
    </dataValidation>
    <dataValidation type="decimal" operator="greaterThan" allowBlank="1" showInputMessage="1" showErrorMessage="1" sqref="D2294">
      <formula1>0</formula1>
    </dataValidation>
    <dataValidation type="decimal" operator="greaterThan" allowBlank="1" showInputMessage="1" showErrorMessage="1" sqref="E2294">
      <formula1>0</formula1>
    </dataValidation>
    <dataValidation type="whole" operator="greaterThan" allowBlank="1" showInputMessage="1" showErrorMessage="1" sqref="A2295">
      <formula1>0</formula1>
    </dataValidation>
    <dataValidation type="list" allowBlank="1" showInputMessage="1" showErrorMessage="1" sqref="C2295">
      <formula1>UnidadesList</formula1>
    </dataValidation>
    <dataValidation type="decimal" operator="greaterThan" allowBlank="1" showInputMessage="1" showErrorMessage="1" sqref="D2295">
      <formula1>0</formula1>
    </dataValidation>
    <dataValidation type="decimal" operator="greaterThan" allowBlank="1" showInputMessage="1" showErrorMessage="1" sqref="E2295">
      <formula1>0</formula1>
    </dataValidation>
    <dataValidation type="whole" operator="greaterThan" allowBlank="1" showInputMessage="1" showErrorMessage="1" sqref="A2296">
      <formula1>0</formula1>
    </dataValidation>
    <dataValidation type="list" allowBlank="1" showInputMessage="1" showErrorMessage="1" sqref="C2296">
      <formula1>UnidadesList</formula1>
    </dataValidation>
    <dataValidation type="decimal" operator="greaterThan" allowBlank="1" showInputMessage="1" showErrorMessage="1" sqref="D2296">
      <formula1>0</formula1>
    </dataValidation>
    <dataValidation type="decimal" operator="greaterThan" allowBlank="1" showInputMessage="1" showErrorMessage="1" sqref="E2296">
      <formula1>0</formula1>
    </dataValidation>
    <dataValidation type="whole" operator="greaterThan" allowBlank="1" showInputMessage="1" showErrorMessage="1" sqref="A2297">
      <formula1>0</formula1>
    </dataValidation>
    <dataValidation type="list" allowBlank="1" showInputMessage="1" showErrorMessage="1" sqref="C2297">
      <formula1>UnidadesList</formula1>
    </dataValidation>
    <dataValidation type="decimal" operator="greaterThan" allowBlank="1" showInputMessage="1" showErrorMessage="1" sqref="D2297">
      <formula1>0</formula1>
    </dataValidation>
    <dataValidation type="decimal" operator="greaterThan" allowBlank="1" showInputMessage="1" showErrorMessage="1" sqref="E2297">
      <formula1>0</formula1>
    </dataValidation>
    <dataValidation type="whole" operator="greaterThan" allowBlank="1" showInputMessage="1" showErrorMessage="1" sqref="A2298">
      <formula1>0</formula1>
    </dataValidation>
    <dataValidation type="list" allowBlank="1" showInputMessage="1" showErrorMessage="1" sqref="C2298">
      <formula1>UnidadesList</formula1>
    </dataValidation>
    <dataValidation type="decimal" operator="greaterThan" allowBlank="1" showInputMessage="1" showErrorMessage="1" sqref="D2298">
      <formula1>0</formula1>
    </dataValidation>
    <dataValidation type="decimal" operator="greaterThan" allowBlank="1" showInputMessage="1" showErrorMessage="1" sqref="E2298">
      <formula1>0</formula1>
    </dataValidation>
    <dataValidation type="whole" operator="greaterThan" allowBlank="1" showInputMessage="1" showErrorMessage="1" sqref="A2299">
      <formula1>0</formula1>
    </dataValidation>
    <dataValidation type="list" allowBlank="1" showInputMessage="1" showErrorMessage="1" sqref="C2299">
      <formula1>UnidadesList</formula1>
    </dataValidation>
    <dataValidation type="decimal" operator="greaterThan" allowBlank="1" showInputMessage="1" showErrorMessage="1" sqref="D2299">
      <formula1>0</formula1>
    </dataValidation>
    <dataValidation type="decimal" operator="greaterThan" allowBlank="1" showInputMessage="1" showErrorMessage="1" sqref="E2299">
      <formula1>0</formula1>
    </dataValidation>
    <dataValidation type="whole" operator="greaterThan" allowBlank="1" showInputMessage="1" showErrorMessage="1" sqref="A2300">
      <formula1>0</formula1>
    </dataValidation>
    <dataValidation type="list" allowBlank="1" showInputMessage="1" showErrorMessage="1" sqref="C2300">
      <formula1>UnidadesList</formula1>
    </dataValidation>
    <dataValidation type="decimal" operator="greaterThan" allowBlank="1" showInputMessage="1" showErrorMessage="1" sqref="D2300">
      <formula1>0</formula1>
    </dataValidation>
    <dataValidation type="decimal" operator="greaterThan" allowBlank="1" showInputMessage="1" showErrorMessage="1" sqref="E2300">
      <formula1>0</formula1>
    </dataValidation>
    <dataValidation type="whole" operator="greaterThan" allowBlank="1" showInputMessage="1" showErrorMessage="1" sqref="A2301">
      <formula1>0</formula1>
    </dataValidation>
    <dataValidation type="list" allowBlank="1" showInputMessage="1" showErrorMessage="1" sqref="C2301">
      <formula1>UnidadesList</formula1>
    </dataValidation>
    <dataValidation type="decimal" operator="greaterThan" allowBlank="1" showInputMessage="1" showErrorMessage="1" sqref="D2301">
      <formula1>0</formula1>
    </dataValidation>
    <dataValidation type="decimal" operator="greaterThan" allowBlank="1" showInputMessage="1" showErrorMessage="1" sqref="E2301">
      <formula1>0</formula1>
    </dataValidation>
    <dataValidation type="whole" operator="greaterThan" allowBlank="1" showInputMessage="1" showErrorMessage="1" sqref="A2302">
      <formula1>0</formula1>
    </dataValidation>
    <dataValidation type="list" allowBlank="1" showInputMessage="1" showErrorMessage="1" sqref="C2302">
      <formula1>UnidadesList</formula1>
    </dataValidation>
    <dataValidation type="decimal" operator="greaterThan" allowBlank="1" showInputMessage="1" showErrorMessage="1" sqref="D2302">
      <formula1>0</formula1>
    </dataValidation>
    <dataValidation type="decimal" operator="greaterThan" allowBlank="1" showInputMessage="1" showErrorMessage="1" sqref="E2302">
      <formula1>0</formula1>
    </dataValidation>
    <dataValidation type="whole" operator="greaterThan" allowBlank="1" showInputMessage="1" showErrorMessage="1" sqref="A2303">
      <formula1>0</formula1>
    </dataValidation>
    <dataValidation type="list" allowBlank="1" showInputMessage="1" showErrorMessage="1" sqref="C2303">
      <formula1>UnidadesList</formula1>
    </dataValidation>
    <dataValidation type="decimal" operator="greaterThan" allowBlank="1" showInputMessage="1" showErrorMessage="1" sqref="D2303">
      <formula1>0</formula1>
    </dataValidation>
    <dataValidation type="decimal" operator="greaterThan" allowBlank="1" showInputMessage="1" showErrorMessage="1" sqref="E2303">
      <formula1>0</formula1>
    </dataValidation>
    <dataValidation type="whole" operator="greaterThan" allowBlank="1" showInputMessage="1" showErrorMessage="1" sqref="A2304">
      <formula1>0</formula1>
    </dataValidation>
    <dataValidation type="list" allowBlank="1" showInputMessage="1" showErrorMessage="1" sqref="C2304">
      <formula1>UnidadesList</formula1>
    </dataValidation>
    <dataValidation type="decimal" operator="greaterThan" allowBlank="1" showInputMessage="1" showErrorMessage="1" sqref="D2304">
      <formula1>0</formula1>
    </dataValidation>
    <dataValidation type="decimal" operator="greaterThan" allowBlank="1" showInputMessage="1" showErrorMessage="1" sqref="E2304">
      <formula1>0</formula1>
    </dataValidation>
    <dataValidation type="whole" operator="greaterThan" allowBlank="1" showInputMessage="1" showErrorMessage="1" sqref="A2305">
      <formula1>0</formula1>
    </dataValidation>
    <dataValidation type="list" allowBlank="1" showInputMessage="1" showErrorMessage="1" sqref="C2305">
      <formula1>UnidadesList</formula1>
    </dataValidation>
    <dataValidation type="decimal" operator="greaterThan" allowBlank="1" showInputMessage="1" showErrorMessage="1" sqref="D2305">
      <formula1>0</formula1>
    </dataValidation>
    <dataValidation type="decimal" operator="greaterThan" allowBlank="1" showInputMessage="1" showErrorMessage="1" sqref="E2305">
      <formula1>0</formula1>
    </dataValidation>
    <dataValidation type="whole" operator="greaterThan" allowBlank="1" showInputMessage="1" showErrorMessage="1" sqref="A2306">
      <formula1>0</formula1>
    </dataValidation>
    <dataValidation type="list" allowBlank="1" showInputMessage="1" showErrorMessage="1" sqref="C2306">
      <formula1>UnidadesList</formula1>
    </dataValidation>
    <dataValidation type="decimal" operator="greaterThan" allowBlank="1" showInputMessage="1" showErrorMessage="1" sqref="D2306">
      <formula1>0</formula1>
    </dataValidation>
    <dataValidation type="decimal" operator="greaterThan" allowBlank="1" showInputMessage="1" showErrorMessage="1" sqref="E2306">
      <formula1>0</formula1>
    </dataValidation>
    <dataValidation type="whole" operator="greaterThan" allowBlank="1" showInputMessage="1" showErrorMessage="1" sqref="A2307">
      <formula1>0</formula1>
    </dataValidation>
    <dataValidation type="list" allowBlank="1" showInputMessage="1" showErrorMessage="1" sqref="C2307">
      <formula1>UnidadesList</formula1>
    </dataValidation>
    <dataValidation type="decimal" operator="greaterThan" allowBlank="1" showInputMessage="1" showErrorMessage="1" sqref="D2307">
      <formula1>0</formula1>
    </dataValidation>
    <dataValidation type="decimal" operator="greaterThan" allowBlank="1" showInputMessage="1" showErrorMessage="1" sqref="E2307">
      <formula1>0</formula1>
    </dataValidation>
    <dataValidation type="whole" operator="greaterThan" allowBlank="1" showInputMessage="1" showErrorMessage="1" sqref="A2308">
      <formula1>0</formula1>
    </dataValidation>
    <dataValidation type="list" allowBlank="1" showInputMessage="1" showErrorMessage="1" sqref="C2308">
      <formula1>UnidadesList</formula1>
    </dataValidation>
    <dataValidation type="decimal" operator="greaterThan" allowBlank="1" showInputMessage="1" showErrorMessage="1" sqref="D2308">
      <formula1>0</formula1>
    </dataValidation>
    <dataValidation type="decimal" operator="greaterThan" allowBlank="1" showInputMessage="1" showErrorMessage="1" sqref="E2308">
      <formula1>0</formula1>
    </dataValidation>
    <dataValidation type="whole" operator="greaterThan" allowBlank="1" showInputMessage="1" showErrorMessage="1" sqref="A2309">
      <formula1>0</formula1>
    </dataValidation>
    <dataValidation type="list" allowBlank="1" showInputMessage="1" showErrorMessage="1" sqref="C2309">
      <formula1>UnidadesList</formula1>
    </dataValidation>
    <dataValidation type="decimal" operator="greaterThan" allowBlank="1" showInputMessage="1" showErrorMessage="1" sqref="D2309">
      <formula1>0</formula1>
    </dataValidation>
    <dataValidation type="decimal" operator="greaterThan" allowBlank="1" showInputMessage="1" showErrorMessage="1" sqref="E2309">
      <formula1>0</formula1>
    </dataValidation>
    <dataValidation type="whole" operator="greaterThan" allowBlank="1" showInputMessage="1" showErrorMessage="1" sqref="A2310">
      <formula1>0</formula1>
    </dataValidation>
    <dataValidation type="list" allowBlank="1" showInputMessage="1" showErrorMessage="1" sqref="C2310">
      <formula1>UnidadesList</formula1>
    </dataValidation>
    <dataValidation type="decimal" operator="greaterThan" allowBlank="1" showInputMessage="1" showErrorMessage="1" sqref="D2310">
      <formula1>0</formula1>
    </dataValidation>
    <dataValidation type="decimal" operator="greaterThan" allowBlank="1" showInputMessage="1" showErrorMessage="1" sqref="E2310">
      <formula1>0</formula1>
    </dataValidation>
    <dataValidation type="whole" operator="greaterThan" allowBlank="1" showInputMessage="1" showErrorMessage="1" sqref="A2311">
      <formula1>0</formula1>
    </dataValidation>
    <dataValidation type="list" allowBlank="1" showInputMessage="1" showErrorMessage="1" sqref="C2311">
      <formula1>UnidadesList</formula1>
    </dataValidation>
    <dataValidation type="decimal" operator="greaterThan" allowBlank="1" showInputMessage="1" showErrorMessage="1" sqref="D2311">
      <formula1>0</formula1>
    </dataValidation>
    <dataValidation type="decimal" operator="greaterThan" allowBlank="1" showInputMessage="1" showErrorMessage="1" sqref="E2311">
      <formula1>0</formula1>
    </dataValidation>
    <dataValidation type="whole" operator="greaterThan" allowBlank="1" showInputMessage="1" showErrorMessage="1" sqref="A2312">
      <formula1>0</formula1>
    </dataValidation>
    <dataValidation type="list" allowBlank="1" showInputMessage="1" showErrorMessage="1" sqref="C2312">
      <formula1>UnidadesList</formula1>
    </dataValidation>
    <dataValidation type="decimal" operator="greaterThan" allowBlank="1" showInputMessage="1" showErrorMessage="1" sqref="D2312">
      <formula1>0</formula1>
    </dataValidation>
    <dataValidation type="decimal" operator="greaterThan" allowBlank="1" showInputMessage="1" showErrorMessage="1" sqref="E2312">
      <formula1>0</formula1>
    </dataValidation>
    <dataValidation type="whole" operator="greaterThan" allowBlank="1" showInputMessage="1" showErrorMessage="1" sqref="A2313">
      <formula1>0</formula1>
    </dataValidation>
    <dataValidation type="list" allowBlank="1" showInputMessage="1" showErrorMessage="1" sqref="C2313">
      <formula1>UnidadesList</formula1>
    </dataValidation>
    <dataValidation type="decimal" operator="greaterThan" allowBlank="1" showInputMessage="1" showErrorMessage="1" sqref="D2313">
      <formula1>0</formula1>
    </dataValidation>
    <dataValidation type="decimal" operator="greaterThan" allowBlank="1" showInputMessage="1" showErrorMessage="1" sqref="E2313">
      <formula1>0</formula1>
    </dataValidation>
    <dataValidation type="whole" operator="greaterThan" allowBlank="1" showInputMessage="1" showErrorMessage="1" sqref="A2314">
      <formula1>0</formula1>
    </dataValidation>
    <dataValidation type="list" allowBlank="1" showInputMessage="1" showErrorMessage="1" sqref="C2314">
      <formula1>UnidadesList</formula1>
    </dataValidation>
    <dataValidation type="decimal" operator="greaterThan" allowBlank="1" showInputMessage="1" showErrorMessage="1" sqref="D2314">
      <formula1>0</formula1>
    </dataValidation>
    <dataValidation type="decimal" operator="greaterThan" allowBlank="1" showInputMessage="1" showErrorMessage="1" sqref="E2314">
      <formula1>0</formula1>
    </dataValidation>
    <dataValidation type="whole" operator="greaterThan" allowBlank="1" showInputMessage="1" showErrorMessage="1" sqref="A2315">
      <formula1>0</formula1>
    </dataValidation>
    <dataValidation type="list" allowBlank="1" showInputMessage="1" showErrorMessage="1" sqref="C2315">
      <formula1>UnidadesList</formula1>
    </dataValidation>
    <dataValidation type="decimal" operator="greaterThan" allowBlank="1" showInputMessage="1" showErrorMessage="1" sqref="D2315">
      <formula1>0</formula1>
    </dataValidation>
    <dataValidation type="decimal" operator="greaterThan" allowBlank="1" showInputMessage="1" showErrorMessage="1" sqref="E2315">
      <formula1>0</formula1>
    </dataValidation>
    <dataValidation type="whole" operator="greaterThan" allowBlank="1" showInputMessage="1" showErrorMessage="1" sqref="A2316">
      <formula1>0</formula1>
    </dataValidation>
    <dataValidation type="list" allowBlank="1" showInputMessage="1" showErrorMessage="1" sqref="C2316">
      <formula1>UnidadesList</formula1>
    </dataValidation>
    <dataValidation type="decimal" operator="greaterThan" allowBlank="1" showInputMessage="1" showErrorMessage="1" sqref="D2316">
      <formula1>0</formula1>
    </dataValidation>
    <dataValidation type="decimal" operator="greaterThan" allowBlank="1" showInputMessage="1" showErrorMessage="1" sqref="E2316">
      <formula1>0</formula1>
    </dataValidation>
    <dataValidation type="whole" operator="greaterThan" allowBlank="1" showInputMessage="1" showErrorMessage="1" sqref="A2317">
      <formula1>0</formula1>
    </dataValidation>
    <dataValidation type="list" allowBlank="1" showInputMessage="1" showErrorMessage="1" sqref="C2317">
      <formula1>UnidadesList</formula1>
    </dataValidation>
    <dataValidation type="decimal" operator="greaterThan" allowBlank="1" showInputMessage="1" showErrorMessage="1" sqref="D2317">
      <formula1>0</formula1>
    </dataValidation>
    <dataValidation type="decimal" operator="greaterThan" allowBlank="1" showInputMessage="1" showErrorMessage="1" sqref="E2317">
      <formula1>0</formula1>
    </dataValidation>
    <dataValidation type="whole" operator="greaterThan" allowBlank="1" showInputMessage="1" showErrorMessage="1" sqref="A2318">
      <formula1>0</formula1>
    </dataValidation>
    <dataValidation type="list" allowBlank="1" showInputMessage="1" showErrorMessage="1" sqref="C2318">
      <formula1>UnidadesList</formula1>
    </dataValidation>
    <dataValidation type="decimal" operator="greaterThan" allowBlank="1" showInputMessage="1" showErrorMessage="1" sqref="D2318">
      <formula1>0</formula1>
    </dataValidation>
    <dataValidation type="decimal" operator="greaterThan" allowBlank="1" showInputMessage="1" showErrorMessage="1" sqref="E2318">
      <formula1>0</formula1>
    </dataValidation>
    <dataValidation type="whole" operator="greaterThan" allowBlank="1" showInputMessage="1" showErrorMessage="1" sqref="A2319">
      <formula1>0</formula1>
    </dataValidation>
    <dataValidation type="list" allowBlank="1" showInputMessage="1" showErrorMessage="1" sqref="C2319">
      <formula1>UnidadesList</formula1>
    </dataValidation>
    <dataValidation type="decimal" operator="greaterThan" allowBlank="1" showInputMessage="1" showErrorMessage="1" sqref="D2319">
      <formula1>0</formula1>
    </dataValidation>
    <dataValidation type="decimal" operator="greaterThan" allowBlank="1" showInputMessage="1" showErrorMessage="1" sqref="E2319">
      <formula1>0</formula1>
    </dataValidation>
    <dataValidation type="whole" operator="greaterThan" allowBlank="1" showInputMessage="1" showErrorMessage="1" sqref="A2320">
      <formula1>0</formula1>
    </dataValidation>
    <dataValidation type="list" allowBlank="1" showInputMessage="1" showErrorMessage="1" sqref="C2320">
      <formula1>UnidadesList</formula1>
    </dataValidation>
    <dataValidation type="decimal" operator="greaterThan" allowBlank="1" showInputMessage="1" showErrorMessage="1" sqref="D2320">
      <formula1>0</formula1>
    </dataValidation>
    <dataValidation type="decimal" operator="greaterThan" allowBlank="1" showInputMessage="1" showErrorMessage="1" sqref="E2320">
      <formula1>0</formula1>
    </dataValidation>
    <dataValidation type="whole" operator="greaterThan" allowBlank="1" showInputMessage="1" showErrorMessage="1" sqref="A2321">
      <formula1>0</formula1>
    </dataValidation>
    <dataValidation type="list" allowBlank="1" showInputMessage="1" showErrorMessage="1" sqref="C2321">
      <formula1>UnidadesList</formula1>
    </dataValidation>
    <dataValidation type="decimal" operator="greaterThan" allowBlank="1" showInputMessage="1" showErrorMessage="1" sqref="D2321">
      <formula1>0</formula1>
    </dataValidation>
    <dataValidation type="decimal" operator="greaterThan" allowBlank="1" showInputMessage="1" showErrorMessage="1" sqref="E2321">
      <formula1>0</formula1>
    </dataValidation>
    <dataValidation type="whole" operator="greaterThan" allowBlank="1" showInputMessage="1" showErrorMessage="1" sqref="A2322">
      <formula1>0</formula1>
    </dataValidation>
    <dataValidation type="list" allowBlank="1" showInputMessage="1" showErrorMessage="1" sqref="C2322">
      <formula1>UnidadesList</formula1>
    </dataValidation>
    <dataValidation type="decimal" operator="greaterThan" allowBlank="1" showInputMessage="1" showErrorMessage="1" sqref="D2322">
      <formula1>0</formula1>
    </dataValidation>
    <dataValidation type="decimal" operator="greaterThan" allowBlank="1" showInputMessage="1" showErrorMessage="1" sqref="E2322">
      <formula1>0</formula1>
    </dataValidation>
    <dataValidation type="whole" operator="greaterThan" allowBlank="1" showInputMessage="1" showErrorMessage="1" sqref="A2323">
      <formula1>0</formula1>
    </dataValidation>
    <dataValidation type="list" allowBlank="1" showInputMessage="1" showErrorMessage="1" sqref="C2323">
      <formula1>UnidadesList</formula1>
    </dataValidation>
    <dataValidation type="decimal" operator="greaterThan" allowBlank="1" showInputMessage="1" showErrorMessage="1" sqref="D2323">
      <formula1>0</formula1>
    </dataValidation>
    <dataValidation type="decimal" operator="greaterThan" allowBlank="1" showInputMessage="1" showErrorMessage="1" sqref="E2323">
      <formula1>0</formula1>
    </dataValidation>
    <dataValidation type="whole" operator="greaterThan" allowBlank="1" showInputMessage="1" showErrorMessage="1" sqref="A2324">
      <formula1>0</formula1>
    </dataValidation>
    <dataValidation type="list" allowBlank="1" showInputMessage="1" showErrorMessage="1" sqref="C2324">
      <formula1>UnidadesList</formula1>
    </dataValidation>
    <dataValidation type="decimal" operator="greaterThan" allowBlank="1" showInputMessage="1" showErrorMessage="1" sqref="D2324">
      <formula1>0</formula1>
    </dataValidation>
    <dataValidation type="decimal" operator="greaterThan" allowBlank="1" showInputMessage="1" showErrorMessage="1" sqref="E2324">
      <formula1>0</formula1>
    </dataValidation>
    <dataValidation type="whole" operator="greaterThan" allowBlank="1" showInputMessage="1" showErrorMessage="1" sqref="A2325">
      <formula1>0</formula1>
    </dataValidation>
    <dataValidation type="list" allowBlank="1" showInputMessage="1" showErrorMessage="1" sqref="C2325">
      <formula1>UnidadesList</formula1>
    </dataValidation>
    <dataValidation type="decimal" operator="greaterThan" allowBlank="1" showInputMessage="1" showErrorMessage="1" sqref="D2325">
      <formula1>0</formula1>
    </dataValidation>
    <dataValidation type="decimal" operator="greaterThan" allowBlank="1" showInputMessage="1" showErrorMessage="1" sqref="E2325">
      <formula1>0</formula1>
    </dataValidation>
    <dataValidation type="whole" operator="greaterThan" allowBlank="1" showInputMessage="1" showErrorMessage="1" sqref="A2326">
      <formula1>0</formula1>
    </dataValidation>
    <dataValidation type="list" allowBlank="1" showInputMessage="1" showErrorMessage="1" sqref="C2326">
      <formula1>UnidadesList</formula1>
    </dataValidation>
    <dataValidation type="decimal" operator="greaterThan" allowBlank="1" showInputMessage="1" showErrorMessage="1" sqref="D2326">
      <formula1>0</formula1>
    </dataValidation>
    <dataValidation type="decimal" operator="greaterThan" allowBlank="1" showInputMessage="1" showErrorMessage="1" sqref="E2326">
      <formula1>0</formula1>
    </dataValidation>
    <dataValidation type="whole" operator="greaterThan" allowBlank="1" showInputMessage="1" showErrorMessage="1" sqref="A2327">
      <formula1>0</formula1>
    </dataValidation>
    <dataValidation type="list" allowBlank="1" showInputMessage="1" showErrorMessage="1" sqref="C2327">
      <formula1>UnidadesList</formula1>
    </dataValidation>
    <dataValidation type="decimal" operator="greaterThan" allowBlank="1" showInputMessage="1" showErrorMessage="1" sqref="D2327">
      <formula1>0</formula1>
    </dataValidation>
    <dataValidation type="decimal" operator="greaterThan" allowBlank="1" showInputMessage="1" showErrorMessage="1" sqref="E2327">
      <formula1>0</formula1>
    </dataValidation>
    <dataValidation type="whole" operator="greaterThan" allowBlank="1" showInputMessage="1" showErrorMessage="1" sqref="A2328">
      <formula1>0</formula1>
    </dataValidation>
    <dataValidation type="list" allowBlank="1" showInputMessage="1" showErrorMessage="1" sqref="C2328">
      <formula1>UnidadesList</formula1>
    </dataValidation>
    <dataValidation type="decimal" operator="greaterThan" allowBlank="1" showInputMessage="1" showErrorMessage="1" sqref="D2328">
      <formula1>0</formula1>
    </dataValidation>
    <dataValidation type="decimal" operator="greaterThan" allowBlank="1" showInputMessage="1" showErrorMessage="1" sqref="E2328">
      <formula1>0</formula1>
    </dataValidation>
    <dataValidation type="whole" operator="greaterThan" allowBlank="1" showInputMessage="1" showErrorMessage="1" sqref="A2329">
      <formula1>0</formula1>
    </dataValidation>
    <dataValidation type="list" allowBlank="1" showInputMessage="1" showErrorMessage="1" sqref="C2329">
      <formula1>UnidadesList</formula1>
    </dataValidation>
    <dataValidation type="decimal" operator="greaterThan" allowBlank="1" showInputMessage="1" showErrorMessage="1" sqref="D2329">
      <formula1>0</formula1>
    </dataValidation>
    <dataValidation type="decimal" operator="greaterThan" allowBlank="1" showInputMessage="1" showErrorMessage="1" sqref="E2329">
      <formula1>0</formula1>
    </dataValidation>
    <dataValidation type="date" operator="lessThanOrEqual" allowBlank="1" showInputMessage="1" showErrorMessage="1" sqref="C2334">
      <formula1>C2336</formula1>
    </dataValidation>
    <dataValidation type="date" operator="greaterThanOrEqual" allowBlank="1" showInputMessage="1" showErrorMessage="1" sqref="C2336">
      <formula1>C2334</formula1>
    </dataValidation>
    <dataValidation type="list" allowBlank="1" showInputMessage="1" showErrorMessage="1" sqref="F233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33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33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33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40">
      <formula1>0</formula1>
    </dataValidation>
    <dataValidation type="list" allowBlank="1" showInputMessage="1" showErrorMessage="1" sqref="C2340">
      <formula1>UnidadesList</formula1>
    </dataValidation>
    <dataValidation type="decimal" operator="greaterThan" allowBlank="1" showInputMessage="1" showErrorMessage="1" sqref="D2340">
      <formula1>0</formula1>
    </dataValidation>
    <dataValidation type="decimal" operator="greaterThan" allowBlank="1" showInputMessage="1" showErrorMessage="1" sqref="E2340">
      <formula1>0</formula1>
    </dataValidation>
    <dataValidation type="whole" operator="greaterThan" allowBlank="1" showInputMessage="1" showErrorMessage="1" sqref="A2341">
      <formula1>0</formula1>
    </dataValidation>
    <dataValidation type="list" allowBlank="1" showInputMessage="1" showErrorMessage="1" sqref="C2341">
      <formula1>UnidadesList</formula1>
    </dataValidation>
    <dataValidation type="decimal" operator="greaterThan" allowBlank="1" showInputMessage="1" showErrorMessage="1" sqref="D2341">
      <formula1>0</formula1>
    </dataValidation>
    <dataValidation type="decimal" operator="greaterThan" allowBlank="1" showInputMessage="1" showErrorMessage="1" sqref="E2341">
      <formula1>0</formula1>
    </dataValidation>
    <dataValidation type="whole" operator="greaterThan" allowBlank="1" showInputMessage="1" showErrorMessage="1" sqref="A2342">
      <formula1>0</formula1>
    </dataValidation>
    <dataValidation type="list" allowBlank="1" showInputMessage="1" showErrorMessage="1" sqref="C2342">
      <formula1>UnidadesList</formula1>
    </dataValidation>
    <dataValidation type="decimal" operator="greaterThan" allowBlank="1" showInputMessage="1" showErrorMessage="1" sqref="D2342">
      <formula1>0</formula1>
    </dataValidation>
    <dataValidation type="decimal" operator="greaterThan" allowBlank="1" showInputMessage="1" showErrorMessage="1" sqref="E2342">
      <formula1>0</formula1>
    </dataValidation>
    <dataValidation type="whole" operator="greaterThan" allowBlank="1" showInputMessage="1" showErrorMessage="1" sqref="A2343">
      <formula1>0</formula1>
    </dataValidation>
    <dataValidation type="list" allowBlank="1" showInputMessage="1" showErrorMessage="1" sqref="C2343">
      <formula1>UnidadesList</formula1>
    </dataValidation>
    <dataValidation type="decimal" operator="greaterThan" allowBlank="1" showInputMessage="1" showErrorMessage="1" sqref="D2343">
      <formula1>0</formula1>
    </dataValidation>
    <dataValidation type="decimal" operator="greaterThan" allowBlank="1" showInputMessage="1" showErrorMessage="1" sqref="E2343">
      <formula1>0</formula1>
    </dataValidation>
    <dataValidation type="whole" operator="greaterThan" allowBlank="1" showInputMessage="1" showErrorMessage="1" sqref="A2344">
      <formula1>0</formula1>
    </dataValidation>
    <dataValidation type="list" allowBlank="1" showInputMessage="1" showErrorMessage="1" sqref="C2344">
      <formula1>UnidadesList</formula1>
    </dataValidation>
    <dataValidation type="decimal" operator="greaterThan" allowBlank="1" showInputMessage="1" showErrorMessage="1" sqref="D2344">
      <formula1>0</formula1>
    </dataValidation>
    <dataValidation type="decimal" operator="greaterThan" allowBlank="1" showInputMessage="1" showErrorMessage="1" sqref="E2344">
      <formula1>0</formula1>
    </dataValidation>
    <dataValidation type="whole" operator="greaterThan" allowBlank="1" showInputMessage="1" showErrorMessage="1" sqref="A2345">
      <formula1>0</formula1>
    </dataValidation>
    <dataValidation type="list" allowBlank="1" showInputMessage="1" showErrorMessage="1" sqref="C2345">
      <formula1>UnidadesList</formula1>
    </dataValidation>
    <dataValidation type="decimal" operator="greaterThan" allowBlank="1" showInputMessage="1" showErrorMessage="1" sqref="D2345">
      <formula1>0</formula1>
    </dataValidation>
    <dataValidation type="decimal" operator="greaterThan" allowBlank="1" showInputMessage="1" showErrorMessage="1" sqref="E2345">
      <formula1>0</formula1>
    </dataValidation>
    <dataValidation type="whole" operator="greaterThan" allowBlank="1" showInputMessage="1" showErrorMessage="1" sqref="A2346">
      <formula1>0</formula1>
    </dataValidation>
    <dataValidation type="list" allowBlank="1" showInputMessage="1" showErrorMessage="1" sqref="C2346">
      <formula1>UnidadesList</formula1>
    </dataValidation>
    <dataValidation type="decimal" operator="greaterThan" allowBlank="1" showInputMessage="1" showErrorMessage="1" sqref="D2346">
      <formula1>0</formula1>
    </dataValidation>
    <dataValidation type="decimal" operator="greaterThan" allowBlank="1" showInputMessage="1" showErrorMessage="1" sqref="E2346">
      <formula1>0</formula1>
    </dataValidation>
    <dataValidation type="whole" operator="greaterThan" allowBlank="1" showInputMessage="1" showErrorMessage="1" sqref="A2347">
      <formula1>0</formula1>
    </dataValidation>
    <dataValidation type="list" allowBlank="1" showInputMessage="1" showErrorMessage="1" sqref="C2347">
      <formula1>UnidadesList</formula1>
    </dataValidation>
    <dataValidation type="decimal" operator="greaterThan" allowBlank="1" showInputMessage="1" showErrorMessage="1" sqref="D2347">
      <formula1>0</formula1>
    </dataValidation>
    <dataValidation type="decimal" operator="greaterThan" allowBlank="1" showInputMessage="1" showErrorMessage="1" sqref="E2347">
      <formula1>0</formula1>
    </dataValidation>
    <dataValidation type="whole" operator="greaterThan" allowBlank="1" showInputMessage="1" showErrorMessage="1" sqref="A2348">
      <formula1>0</formula1>
    </dataValidation>
    <dataValidation type="list" allowBlank="1" showInputMessage="1" showErrorMessage="1" sqref="C2348">
      <formula1>UnidadesList</formula1>
    </dataValidation>
    <dataValidation type="decimal" operator="greaterThan" allowBlank="1" showInputMessage="1" showErrorMessage="1" sqref="D2348">
      <formula1>0</formula1>
    </dataValidation>
    <dataValidation type="decimal" operator="greaterThan" allowBlank="1" showInputMessage="1" showErrorMessage="1" sqref="E2348">
      <formula1>0</formula1>
    </dataValidation>
    <dataValidation type="whole" operator="greaterThan" allowBlank="1" showInputMessage="1" showErrorMessage="1" sqref="A2349">
      <formula1>0</formula1>
    </dataValidation>
    <dataValidation type="list" allowBlank="1" showInputMessage="1" showErrorMessage="1" sqref="C2349">
      <formula1>UnidadesList</formula1>
    </dataValidation>
    <dataValidation type="decimal" operator="greaterThan" allowBlank="1" showInputMessage="1" showErrorMessage="1" sqref="D2349">
      <formula1>0</formula1>
    </dataValidation>
    <dataValidation type="decimal" operator="greaterThan" allowBlank="1" showInputMessage="1" showErrorMessage="1" sqref="E2349">
      <formula1>0</formula1>
    </dataValidation>
    <dataValidation type="whole" operator="greaterThan" allowBlank="1" showInputMessage="1" showErrorMessage="1" sqref="A2350">
      <formula1>0</formula1>
    </dataValidation>
    <dataValidation type="list" allowBlank="1" showInputMessage="1" showErrorMessage="1" sqref="C2350">
      <formula1>UnidadesList</formula1>
    </dataValidation>
    <dataValidation type="decimal" operator="greaterThan" allowBlank="1" showInputMessage="1" showErrorMessage="1" sqref="D2350">
      <formula1>0</formula1>
    </dataValidation>
    <dataValidation type="decimal" operator="greaterThan" allowBlank="1" showInputMessage="1" showErrorMessage="1" sqref="E2350">
      <formula1>0</formula1>
    </dataValidation>
    <dataValidation type="whole" operator="greaterThan" allowBlank="1" showInputMessage="1" showErrorMessage="1" sqref="A2351">
      <formula1>0</formula1>
    </dataValidation>
    <dataValidation type="list" allowBlank="1" showInputMessage="1" showErrorMessage="1" sqref="C2351">
      <formula1>UnidadesList</formula1>
    </dataValidation>
    <dataValidation type="decimal" operator="greaterThan" allowBlank="1" showInputMessage="1" showErrorMessage="1" sqref="D2351">
      <formula1>0</formula1>
    </dataValidation>
    <dataValidation type="decimal" operator="greaterThan" allowBlank="1" showInputMessage="1" showErrorMessage="1" sqref="E2351">
      <formula1>0</formula1>
    </dataValidation>
    <dataValidation type="whole" operator="greaterThan" allowBlank="1" showInputMessage="1" showErrorMessage="1" sqref="A2352">
      <formula1>0</formula1>
    </dataValidation>
    <dataValidation type="list" allowBlank="1" showInputMessage="1" showErrorMessage="1" sqref="C2352">
      <formula1>UnidadesList</formula1>
    </dataValidation>
    <dataValidation type="decimal" operator="greaterThan" allowBlank="1" showInputMessage="1" showErrorMessage="1" sqref="D2352">
      <formula1>0</formula1>
    </dataValidation>
    <dataValidation type="decimal" operator="greaterThan" allowBlank="1" showInputMessage="1" showErrorMessage="1" sqref="E2352">
      <formula1>0</formula1>
    </dataValidation>
    <dataValidation type="whole" operator="greaterThan" allowBlank="1" showInputMessage="1" showErrorMessage="1" sqref="A2353">
      <formula1>0</formula1>
    </dataValidation>
    <dataValidation type="list" allowBlank="1" showInputMessage="1" showErrorMessage="1" sqref="C2353">
      <formula1>UnidadesList</formula1>
    </dataValidation>
    <dataValidation type="decimal" operator="greaterThan" allowBlank="1" showInputMessage="1" showErrorMessage="1" sqref="D2353">
      <formula1>0</formula1>
    </dataValidation>
    <dataValidation type="decimal" operator="greaterThan" allowBlank="1" showInputMessage="1" showErrorMessage="1" sqref="E2353">
      <formula1>0</formula1>
    </dataValidation>
    <dataValidation type="whole" operator="greaterThan" allowBlank="1" showInputMessage="1" showErrorMessage="1" sqref="A2354">
      <formula1>0</formula1>
    </dataValidation>
    <dataValidation type="list" allowBlank="1" showInputMessage="1" showErrorMessage="1" sqref="C2354">
      <formula1>UnidadesList</formula1>
    </dataValidation>
    <dataValidation type="decimal" operator="greaterThan" allowBlank="1" showInputMessage="1" showErrorMessage="1" sqref="D2354">
      <formula1>0</formula1>
    </dataValidation>
    <dataValidation type="decimal" operator="greaterThan" allowBlank="1" showInputMessage="1" showErrorMessage="1" sqref="E2354">
      <formula1>0</formula1>
    </dataValidation>
    <dataValidation type="whole" operator="greaterThan" allowBlank="1" showInputMessage="1" showErrorMessage="1" sqref="A2355">
      <formula1>0</formula1>
    </dataValidation>
    <dataValidation type="list" allowBlank="1" showInputMessage="1" showErrorMessage="1" sqref="C2355">
      <formula1>UnidadesList</formula1>
    </dataValidation>
    <dataValidation type="decimal" operator="greaterThan" allowBlank="1" showInputMessage="1" showErrorMessage="1" sqref="D2355">
      <formula1>0</formula1>
    </dataValidation>
    <dataValidation type="decimal" operator="greaterThan" allowBlank="1" showInputMessage="1" showErrorMessage="1" sqref="E2355">
      <formula1>0</formula1>
    </dataValidation>
    <dataValidation type="date" operator="lessThanOrEqual" allowBlank="1" showInputMessage="1" showErrorMessage="1" sqref="C2360">
      <formula1>C2362</formula1>
    </dataValidation>
    <dataValidation type="date" operator="greaterThanOrEqual" allowBlank="1" showInputMessage="1" showErrorMessage="1" sqref="C2362">
      <formula1>C2360</formula1>
    </dataValidation>
    <dataValidation type="list" allowBlank="1" showInputMessage="1" showErrorMessage="1" sqref="F23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3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3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3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66">
      <formula1>0</formula1>
    </dataValidation>
    <dataValidation type="list" allowBlank="1" showInputMessage="1" showErrorMessage="1" sqref="C2366">
      <formula1>UnidadesList</formula1>
    </dataValidation>
    <dataValidation type="decimal" operator="greaterThan" allowBlank="1" showInputMessage="1" showErrorMessage="1" sqref="D2366">
      <formula1>0</formula1>
    </dataValidation>
    <dataValidation type="decimal" operator="greaterThan" allowBlank="1" showInputMessage="1" showErrorMessage="1" sqref="E2366">
      <formula1>0</formula1>
    </dataValidation>
    <dataValidation type="whole" operator="greaterThan" allowBlank="1" showInputMessage="1" showErrorMessage="1" sqref="A2367">
      <formula1>0</formula1>
    </dataValidation>
    <dataValidation type="list" allowBlank="1" showInputMessage="1" showErrorMessage="1" sqref="C2367">
      <formula1>UnidadesList</formula1>
    </dataValidation>
    <dataValidation type="decimal" operator="greaterThan" allowBlank="1" showInputMessage="1" showErrorMessage="1" sqref="D2367">
      <formula1>0</formula1>
    </dataValidation>
    <dataValidation type="decimal" operator="greaterThan" allowBlank="1" showInputMessage="1" showErrorMessage="1" sqref="E2367">
      <formula1>0</formula1>
    </dataValidation>
    <dataValidation type="whole" operator="greaterThan" allowBlank="1" showInputMessage="1" showErrorMessage="1" sqref="A2368">
      <formula1>0</formula1>
    </dataValidation>
    <dataValidation type="list" allowBlank="1" showInputMessage="1" showErrorMessage="1" sqref="C2368">
      <formula1>UnidadesList</formula1>
    </dataValidation>
    <dataValidation type="decimal" operator="greaterThan" allowBlank="1" showInputMessage="1" showErrorMessage="1" sqref="D2368">
      <formula1>0</formula1>
    </dataValidation>
    <dataValidation type="decimal" operator="greaterThan" allowBlank="1" showInputMessage="1" showErrorMessage="1" sqref="E2368">
      <formula1>0</formula1>
    </dataValidation>
    <dataValidation type="whole" operator="greaterThan" allowBlank="1" showInputMessage="1" showErrorMessage="1" sqref="A2369">
      <formula1>0</formula1>
    </dataValidation>
    <dataValidation type="list" allowBlank="1" showInputMessage="1" showErrorMessage="1" sqref="C2369">
      <formula1>UnidadesList</formula1>
    </dataValidation>
    <dataValidation type="decimal" operator="greaterThan" allowBlank="1" showInputMessage="1" showErrorMessage="1" sqref="D2369">
      <formula1>0</formula1>
    </dataValidation>
    <dataValidation type="decimal" operator="greaterThan" allowBlank="1" showInputMessage="1" showErrorMessage="1" sqref="E2369">
      <formula1>0</formula1>
    </dataValidation>
    <dataValidation type="whole" operator="greaterThan" allowBlank="1" showInputMessage="1" showErrorMessage="1" sqref="A2370">
      <formula1>0</formula1>
    </dataValidation>
    <dataValidation type="list" allowBlank="1" showInputMessage="1" showErrorMessage="1" sqref="C2370">
      <formula1>UnidadesList</formula1>
    </dataValidation>
    <dataValidation type="decimal" operator="greaterThan" allowBlank="1" showInputMessage="1" showErrorMessage="1" sqref="D2370">
      <formula1>0</formula1>
    </dataValidation>
    <dataValidation type="decimal" operator="greaterThan" allowBlank="1" showInputMessage="1" showErrorMessage="1" sqref="E2370">
      <formula1>0</formula1>
    </dataValidation>
    <dataValidation type="whole" operator="greaterThan" allowBlank="1" showInputMessage="1" showErrorMessage="1" sqref="A2371">
      <formula1>0</formula1>
    </dataValidation>
    <dataValidation type="list" allowBlank="1" showInputMessage="1" showErrorMessage="1" sqref="C2371">
      <formula1>UnidadesList</formula1>
    </dataValidation>
    <dataValidation type="decimal" operator="greaterThan" allowBlank="1" showInputMessage="1" showErrorMessage="1" sqref="D2371">
      <formula1>0</formula1>
    </dataValidation>
    <dataValidation type="decimal" operator="greaterThan" allowBlank="1" showInputMessage="1" showErrorMessage="1" sqref="E2371">
      <formula1>0</formula1>
    </dataValidation>
    <dataValidation type="whole" operator="greaterThan" allowBlank="1" showInputMessage="1" showErrorMessage="1" sqref="A2372">
      <formula1>0</formula1>
    </dataValidation>
    <dataValidation type="list" allowBlank="1" showInputMessage="1" showErrorMessage="1" sqref="C2372">
      <formula1>UnidadesList</formula1>
    </dataValidation>
    <dataValidation type="decimal" operator="greaterThan" allowBlank="1" showInputMessage="1" showErrorMessage="1" sqref="D2372">
      <formula1>0</formula1>
    </dataValidation>
    <dataValidation type="decimal" operator="greaterThan" allowBlank="1" showInputMessage="1" showErrorMessage="1" sqref="E2372">
      <formula1>0</formula1>
    </dataValidation>
    <dataValidation type="whole" operator="greaterThan" allowBlank="1" showInputMessage="1" showErrorMessage="1" sqref="A2373">
      <formula1>0</formula1>
    </dataValidation>
    <dataValidation type="list" allowBlank="1" showInputMessage="1" showErrorMessage="1" sqref="C2373">
      <formula1>UnidadesList</formula1>
    </dataValidation>
    <dataValidation type="decimal" operator="greaterThan" allowBlank="1" showInputMessage="1" showErrorMessage="1" sqref="D2373">
      <formula1>0</formula1>
    </dataValidation>
    <dataValidation type="decimal" operator="greaterThan" allowBlank="1" showInputMessage="1" showErrorMessage="1" sqref="E2373">
      <formula1>0</formula1>
    </dataValidation>
    <dataValidation type="whole" operator="greaterThan" allowBlank="1" showInputMessage="1" showErrorMessage="1" sqref="A2374">
      <formula1>0</formula1>
    </dataValidation>
    <dataValidation type="list" allowBlank="1" showInputMessage="1" showErrorMessage="1" sqref="C2374">
      <formula1>UnidadesList</formula1>
    </dataValidation>
    <dataValidation type="decimal" operator="greaterThan" allowBlank="1" showInputMessage="1" showErrorMessage="1" sqref="D2374">
      <formula1>0</formula1>
    </dataValidation>
    <dataValidation type="decimal" operator="greaterThan" allowBlank="1" showInputMessage="1" showErrorMessage="1" sqref="E2374">
      <formula1>0</formula1>
    </dataValidation>
    <dataValidation type="whole" operator="greaterThan" allowBlank="1" showInputMessage="1" showErrorMessage="1" sqref="A2375">
      <formula1>0</formula1>
    </dataValidation>
    <dataValidation type="list" allowBlank="1" showInputMessage="1" showErrorMessage="1" sqref="C2375">
      <formula1>UnidadesList</formula1>
    </dataValidation>
    <dataValidation type="decimal" operator="greaterThan" allowBlank="1" showInputMessage="1" showErrorMessage="1" sqref="D2375">
      <formula1>0</formula1>
    </dataValidation>
    <dataValidation type="decimal" operator="greaterThan" allowBlank="1" showInputMessage="1" showErrorMessage="1" sqref="E2375">
      <formula1>0</formula1>
    </dataValidation>
    <dataValidation type="whole" operator="greaterThan" allowBlank="1" showInputMessage="1" showErrorMessage="1" sqref="A2376">
      <formula1>0</formula1>
    </dataValidation>
    <dataValidation type="list" allowBlank="1" showInputMessage="1" showErrorMessage="1" sqref="C2376">
      <formula1>UnidadesList</formula1>
    </dataValidation>
    <dataValidation type="decimal" operator="greaterThan" allowBlank="1" showInputMessage="1" showErrorMessage="1" sqref="D2376">
      <formula1>0</formula1>
    </dataValidation>
    <dataValidation type="decimal" operator="greaterThan" allowBlank="1" showInputMessage="1" showErrorMessage="1" sqref="E2376">
      <formula1>0</formula1>
    </dataValidation>
    <dataValidation type="whole" operator="greaterThan" allowBlank="1" showInputMessage="1" showErrorMessage="1" sqref="A2377">
      <formula1>0</formula1>
    </dataValidation>
    <dataValidation type="list" allowBlank="1" showInputMessage="1" showErrorMessage="1" sqref="C2377">
      <formula1>UnidadesList</formula1>
    </dataValidation>
    <dataValidation type="decimal" operator="greaterThan" allowBlank="1" showInputMessage="1" showErrorMessage="1" sqref="D2377">
      <formula1>0</formula1>
    </dataValidation>
    <dataValidation type="decimal" operator="greaterThan" allowBlank="1" showInputMessage="1" showErrorMessage="1" sqref="E2377">
      <formula1>0</formula1>
    </dataValidation>
    <dataValidation type="whole" operator="greaterThan" allowBlank="1" showInputMessage="1" showErrorMessage="1" sqref="A2378">
      <formula1>0</formula1>
    </dataValidation>
    <dataValidation type="list" allowBlank="1" showInputMessage="1" showErrorMessage="1" sqref="C2378">
      <formula1>UnidadesList</formula1>
    </dataValidation>
    <dataValidation type="decimal" operator="greaterThan" allowBlank="1" showInputMessage="1" showErrorMessage="1" sqref="D2378">
      <formula1>0</formula1>
    </dataValidation>
    <dataValidation type="decimal" operator="greaterThan" allowBlank="1" showInputMessage="1" showErrorMessage="1" sqref="E2378">
      <formula1>0</formula1>
    </dataValidation>
    <dataValidation type="whole" operator="greaterThan" allowBlank="1" showInputMessage="1" showErrorMessage="1" sqref="A2379">
      <formula1>0</formula1>
    </dataValidation>
    <dataValidation type="list" allowBlank="1" showInputMessage="1" showErrorMessage="1" sqref="C2379">
      <formula1>UnidadesList</formula1>
    </dataValidation>
    <dataValidation type="decimal" operator="greaterThan" allowBlank="1" showInputMessage="1" showErrorMessage="1" sqref="D2379">
      <formula1>0</formula1>
    </dataValidation>
    <dataValidation type="decimal" operator="greaterThan" allowBlank="1" showInputMessage="1" showErrorMessage="1" sqref="E2379">
      <formula1>0</formula1>
    </dataValidation>
    <dataValidation type="whole" operator="greaterThan" allowBlank="1" showInputMessage="1" showErrorMessage="1" sqref="A2380">
      <formula1>0</formula1>
    </dataValidation>
    <dataValidation type="list" allowBlank="1" showInputMessage="1" showErrorMessage="1" sqref="C2380">
      <formula1>UnidadesList</formula1>
    </dataValidation>
    <dataValidation type="decimal" operator="greaterThan" allowBlank="1" showInputMessage="1" showErrorMessage="1" sqref="D2380">
      <formula1>0</formula1>
    </dataValidation>
    <dataValidation type="decimal" operator="greaterThan" allowBlank="1" showInputMessage="1" showErrorMessage="1" sqref="E2380">
      <formula1>0</formula1>
    </dataValidation>
    <dataValidation type="whole" operator="greaterThan" allowBlank="1" showInputMessage="1" showErrorMessage="1" sqref="A2381">
      <formula1>0</formula1>
    </dataValidation>
    <dataValidation type="list" allowBlank="1" showInputMessage="1" showErrorMessage="1" sqref="C2381">
      <formula1>UnidadesList</formula1>
    </dataValidation>
    <dataValidation type="decimal" operator="greaterThan" allowBlank="1" showInputMessage="1" showErrorMessage="1" sqref="D2381">
      <formula1>0</formula1>
    </dataValidation>
    <dataValidation type="decimal" operator="greaterThan" allowBlank="1" showInputMessage="1" showErrorMessage="1" sqref="E2381">
      <formula1>0</formula1>
    </dataValidation>
    <dataValidation type="whole" operator="greaterThan" allowBlank="1" showInputMessage="1" showErrorMessage="1" sqref="A2382">
      <formula1>0</formula1>
    </dataValidation>
    <dataValidation type="list" allowBlank="1" showInputMessage="1" showErrorMessage="1" sqref="C2382">
      <formula1>UnidadesList</formula1>
    </dataValidation>
    <dataValidation type="decimal" operator="greaterThan" allowBlank="1" showInputMessage="1" showErrorMessage="1" sqref="D2382">
      <formula1>0</formula1>
    </dataValidation>
    <dataValidation type="decimal" operator="greaterThan" allowBlank="1" showInputMessage="1" showErrorMessage="1" sqref="E2382">
      <formula1>0</formula1>
    </dataValidation>
    <dataValidation type="whole" operator="greaterThan" allowBlank="1" showInputMessage="1" showErrorMessage="1" sqref="A2383">
      <formula1>0</formula1>
    </dataValidation>
    <dataValidation type="list" allowBlank="1" showInputMessage="1" showErrorMessage="1" sqref="C2383">
      <formula1>UnidadesList</formula1>
    </dataValidation>
    <dataValidation type="decimal" operator="greaterThan" allowBlank="1" showInputMessage="1" showErrorMessage="1" sqref="D2383">
      <formula1>0</formula1>
    </dataValidation>
    <dataValidation type="decimal" operator="greaterThan" allowBlank="1" showInputMessage="1" showErrorMessage="1" sqref="E2383">
      <formula1>0</formula1>
    </dataValidation>
    <dataValidation type="whole" operator="greaterThan" allowBlank="1" showInputMessage="1" showErrorMessage="1" sqref="A2384">
      <formula1>0</formula1>
    </dataValidation>
    <dataValidation type="list" allowBlank="1" showInputMessage="1" showErrorMessage="1" sqref="C2384">
      <formula1>UnidadesList</formula1>
    </dataValidation>
    <dataValidation type="decimal" operator="greaterThan" allowBlank="1" showInputMessage="1" showErrorMessage="1" sqref="D2384">
      <formula1>0</formula1>
    </dataValidation>
    <dataValidation type="decimal" operator="greaterThan" allowBlank="1" showInputMessage="1" showErrorMessage="1" sqref="E2384">
      <formula1>0</formula1>
    </dataValidation>
    <dataValidation type="whole" operator="greaterThan" allowBlank="1" showInputMessage="1" showErrorMessage="1" sqref="A2385">
      <formula1>0</formula1>
    </dataValidation>
    <dataValidation type="list" allowBlank="1" showInputMessage="1" showErrorMessage="1" sqref="C2385">
      <formula1>UnidadesList</formula1>
    </dataValidation>
    <dataValidation type="decimal" operator="greaterThan" allowBlank="1" showInputMessage="1" showErrorMessage="1" sqref="D2385">
      <formula1>0</formula1>
    </dataValidation>
    <dataValidation type="decimal" operator="greaterThan" allowBlank="1" showInputMessage="1" showErrorMessage="1" sqref="E2385">
      <formula1>0</formula1>
    </dataValidation>
    <dataValidation type="whole" operator="greaterThan" allowBlank="1" showInputMessage="1" showErrorMessage="1" sqref="A2386">
      <formula1>0</formula1>
    </dataValidation>
    <dataValidation type="list" allowBlank="1" showInputMessage="1" showErrorMessage="1" sqref="C2386">
      <formula1>UnidadesList</formula1>
    </dataValidation>
    <dataValidation type="decimal" operator="greaterThan" allowBlank="1" showInputMessage="1" showErrorMessage="1" sqref="D2386">
      <formula1>0</formula1>
    </dataValidation>
    <dataValidation type="decimal" operator="greaterThan" allowBlank="1" showInputMessage="1" showErrorMessage="1" sqref="E2386">
      <formula1>0</formula1>
    </dataValidation>
    <dataValidation type="whole" operator="greaterThan" allowBlank="1" showInputMessage="1" showErrorMessage="1" sqref="A2387">
      <formula1>0</formula1>
    </dataValidation>
    <dataValidation type="list" allowBlank="1" showInputMessage="1" showErrorMessage="1" sqref="C2387">
      <formula1>UnidadesList</formula1>
    </dataValidation>
    <dataValidation type="decimal" operator="greaterThan" allowBlank="1" showInputMessage="1" showErrorMessage="1" sqref="D2387">
      <formula1>0</formula1>
    </dataValidation>
    <dataValidation type="decimal" operator="greaterThan" allowBlank="1" showInputMessage="1" showErrorMessage="1" sqref="E2387">
      <formula1>0</formula1>
    </dataValidation>
    <dataValidation type="whole" operator="greaterThan" allowBlank="1" showInputMessage="1" showErrorMessage="1" sqref="A2388">
      <formula1>0</formula1>
    </dataValidation>
    <dataValidation type="list" allowBlank="1" showInputMessage="1" showErrorMessage="1" sqref="C2388">
      <formula1>UnidadesList</formula1>
    </dataValidation>
    <dataValidation type="decimal" operator="greaterThan" allowBlank="1" showInputMessage="1" showErrorMessage="1" sqref="D2388">
      <formula1>0</formula1>
    </dataValidation>
    <dataValidation type="decimal" operator="greaterThan" allowBlank="1" showInputMessage="1" showErrorMessage="1" sqref="E2388">
      <formula1>0</formula1>
    </dataValidation>
    <dataValidation type="whole" operator="greaterThan" allowBlank="1" showInputMessage="1" showErrorMessage="1" sqref="A2389">
      <formula1>0</formula1>
    </dataValidation>
    <dataValidation type="list" allowBlank="1" showInputMessage="1" showErrorMessage="1" sqref="C2389">
      <formula1>UnidadesList</formula1>
    </dataValidation>
    <dataValidation type="decimal" operator="greaterThan" allowBlank="1" showInputMessage="1" showErrorMessage="1" sqref="D2389">
      <formula1>0</formula1>
    </dataValidation>
    <dataValidation type="decimal" operator="greaterThan" allowBlank="1" showInputMessage="1" showErrorMessage="1" sqref="E2389">
      <formula1>0</formula1>
    </dataValidation>
    <dataValidation type="whole" operator="greaterThan" allowBlank="1" showInputMessage="1" showErrorMessage="1" sqref="A2390">
      <formula1>0</formula1>
    </dataValidation>
    <dataValidation type="list" allowBlank="1" showInputMessage="1" showErrorMessage="1" sqref="C2390">
      <formula1>UnidadesList</formula1>
    </dataValidation>
    <dataValidation type="decimal" operator="greaterThan" allowBlank="1" showInputMessage="1" showErrorMessage="1" sqref="D2390">
      <formula1>0</formula1>
    </dataValidation>
    <dataValidation type="decimal" operator="greaterThan" allowBlank="1" showInputMessage="1" showErrorMessage="1" sqref="E2390">
      <formula1>0</formula1>
    </dataValidation>
    <dataValidation type="whole" operator="greaterThan" allowBlank="1" showInputMessage="1" showErrorMessage="1" sqref="A2391">
      <formula1>0</formula1>
    </dataValidation>
    <dataValidation type="list" allowBlank="1" showInputMessage="1" showErrorMessage="1" sqref="C2391">
      <formula1>UnidadesList</formula1>
    </dataValidation>
    <dataValidation type="decimal" operator="greaterThan" allowBlank="1" showInputMessage="1" showErrorMessage="1" sqref="D2391">
      <formula1>0</formula1>
    </dataValidation>
    <dataValidation type="decimal" operator="greaterThan" allowBlank="1" showInputMessage="1" showErrorMessage="1" sqref="E2391">
      <formula1>0</formula1>
    </dataValidation>
    <dataValidation type="whole" operator="greaterThan" allowBlank="1" showInputMessage="1" showErrorMessage="1" sqref="A2392">
      <formula1>0</formula1>
    </dataValidation>
    <dataValidation type="list" allowBlank="1" showInputMessage="1" showErrorMessage="1" sqref="C2392">
      <formula1>UnidadesList</formula1>
    </dataValidation>
    <dataValidation type="decimal" operator="greaterThan" allowBlank="1" showInputMessage="1" showErrorMessage="1" sqref="D2392">
      <formula1>0</formula1>
    </dataValidation>
    <dataValidation type="decimal" operator="greaterThan" allowBlank="1" showInputMessage="1" showErrorMessage="1" sqref="E2392">
      <formula1>0</formula1>
    </dataValidation>
    <dataValidation type="whole" operator="greaterThan" allowBlank="1" showInputMessage="1" showErrorMessage="1" sqref="A2393">
      <formula1>0</formula1>
    </dataValidation>
    <dataValidation type="list" allowBlank="1" showInputMessage="1" showErrorMessage="1" sqref="C2393">
      <formula1>UnidadesList</formula1>
    </dataValidation>
    <dataValidation type="decimal" operator="greaterThan" allowBlank="1" showInputMessage="1" showErrorMessage="1" sqref="D2393">
      <formula1>0</formula1>
    </dataValidation>
    <dataValidation type="decimal" operator="greaterThan" allowBlank="1" showInputMessage="1" showErrorMessage="1" sqref="E2393">
      <formula1>0</formula1>
    </dataValidation>
    <dataValidation type="whole" operator="greaterThan" allowBlank="1" showInputMessage="1" showErrorMessage="1" sqref="A2394">
      <formula1>0</formula1>
    </dataValidation>
    <dataValidation type="list" allowBlank="1" showInputMessage="1" showErrorMessage="1" sqref="C2394">
      <formula1>UnidadesList</formula1>
    </dataValidation>
    <dataValidation type="decimal" operator="greaterThan" allowBlank="1" showInputMessage="1" showErrorMessage="1" sqref="D2394">
      <formula1>0</formula1>
    </dataValidation>
    <dataValidation type="decimal" operator="greaterThan" allowBlank="1" showInputMessage="1" showErrorMessage="1" sqref="E2394">
      <formula1>0</formula1>
    </dataValidation>
    <dataValidation type="whole" operator="greaterThan" allowBlank="1" showInputMessage="1" showErrorMessage="1" sqref="A2395">
      <formula1>0</formula1>
    </dataValidation>
    <dataValidation type="list" allowBlank="1" showInputMessage="1" showErrorMessage="1" sqref="C2395">
      <formula1>UnidadesList</formula1>
    </dataValidation>
    <dataValidation type="decimal" operator="greaterThan" allowBlank="1" showInputMessage="1" showErrorMessage="1" sqref="D2395">
      <formula1>0</formula1>
    </dataValidation>
    <dataValidation type="decimal" operator="greaterThan" allowBlank="1" showInputMessage="1" showErrorMessage="1" sqref="E2395">
      <formula1>0</formula1>
    </dataValidation>
    <dataValidation type="whole" operator="greaterThan" allowBlank="1" showInputMessage="1" showErrorMessage="1" sqref="A2396">
      <formula1>0</formula1>
    </dataValidation>
    <dataValidation type="list" allowBlank="1" showInputMessage="1" showErrorMessage="1" sqref="C2396">
      <formula1>UnidadesList</formula1>
    </dataValidation>
    <dataValidation type="decimal" operator="greaterThan" allowBlank="1" showInputMessage="1" showErrorMessage="1" sqref="D2396">
      <formula1>0</formula1>
    </dataValidation>
    <dataValidation type="decimal" operator="greaterThan" allowBlank="1" showInputMessage="1" showErrorMessage="1" sqref="E2396">
      <formula1>0</formula1>
    </dataValidation>
    <dataValidation type="whole" operator="greaterThan" allowBlank="1" showInputMessage="1" showErrorMessage="1" sqref="A2397">
      <formula1>0</formula1>
    </dataValidation>
    <dataValidation type="list" allowBlank="1" showInputMessage="1" showErrorMessage="1" sqref="C2397">
      <formula1>UnidadesList</formula1>
    </dataValidation>
    <dataValidation type="decimal" operator="greaterThan" allowBlank="1" showInputMessage="1" showErrorMessage="1" sqref="D2397">
      <formula1>0</formula1>
    </dataValidation>
    <dataValidation type="decimal" operator="greaterThan" allowBlank="1" showInputMessage="1" showErrorMessage="1" sqref="E2397">
      <formula1>0</formula1>
    </dataValidation>
    <dataValidation type="whole" operator="greaterThan" allowBlank="1" showInputMessage="1" showErrorMessage="1" sqref="A2398">
      <formula1>0</formula1>
    </dataValidation>
    <dataValidation type="list" allowBlank="1" showInputMessage="1" showErrorMessage="1" sqref="C2398">
      <formula1>UnidadesList</formula1>
    </dataValidation>
    <dataValidation type="decimal" operator="greaterThan" allowBlank="1" showInputMessage="1" showErrorMessage="1" sqref="D2398">
      <formula1>0</formula1>
    </dataValidation>
    <dataValidation type="decimal" operator="greaterThan" allowBlank="1" showInputMessage="1" showErrorMessage="1" sqref="E2398">
      <formula1>0</formula1>
    </dataValidation>
    <dataValidation type="whole" operator="greaterThan" allowBlank="1" showInputMessage="1" showErrorMessage="1" sqref="A2399">
      <formula1>0</formula1>
    </dataValidation>
    <dataValidation type="list" allowBlank="1" showInputMessage="1" showErrorMessage="1" sqref="C2399">
      <formula1>UnidadesList</formula1>
    </dataValidation>
    <dataValidation type="decimal" operator="greaterThan" allowBlank="1" showInputMessage="1" showErrorMessage="1" sqref="D2399">
      <formula1>0</formula1>
    </dataValidation>
    <dataValidation type="decimal" operator="greaterThan" allowBlank="1" showInputMessage="1" showErrorMessage="1" sqref="E2399">
      <formula1>0</formula1>
    </dataValidation>
    <dataValidation type="whole" operator="greaterThan" allowBlank="1" showInputMessage="1" showErrorMessage="1" sqref="A2400">
      <formula1>0</formula1>
    </dataValidation>
    <dataValidation type="list" allowBlank="1" showInputMessage="1" showErrorMessage="1" sqref="C2400">
      <formula1>UnidadesList</formula1>
    </dataValidation>
    <dataValidation type="decimal" operator="greaterThan" allowBlank="1" showInputMessage="1" showErrorMessage="1" sqref="D2400">
      <formula1>0</formula1>
    </dataValidation>
    <dataValidation type="decimal" operator="greaterThan" allowBlank="1" showInputMessage="1" showErrorMessage="1" sqref="E2400">
      <formula1>0</formula1>
    </dataValidation>
    <dataValidation type="whole" operator="greaterThan" allowBlank="1" showInputMessage="1" showErrorMessage="1" sqref="A2401">
      <formula1>0</formula1>
    </dataValidation>
    <dataValidation type="list" allowBlank="1" showInputMessage="1" showErrorMessage="1" sqref="C2401">
      <formula1>UnidadesList</formula1>
    </dataValidation>
    <dataValidation type="decimal" operator="greaterThan" allowBlank="1" showInputMessage="1" showErrorMessage="1" sqref="D2401">
      <formula1>0</formula1>
    </dataValidation>
    <dataValidation type="decimal" operator="greaterThan" allowBlank="1" showInputMessage="1" showErrorMessage="1" sqref="E2401">
      <formula1>0</formula1>
    </dataValidation>
    <dataValidation type="whole" operator="greaterThan" allowBlank="1" showInputMessage="1" showErrorMessage="1" sqref="A2402">
      <formula1>0</formula1>
    </dataValidation>
    <dataValidation type="list" allowBlank="1" showInputMessage="1" showErrorMessage="1" sqref="C2402">
      <formula1>UnidadesList</formula1>
    </dataValidation>
    <dataValidation type="decimal" operator="greaterThan" allowBlank="1" showInputMessage="1" showErrorMessage="1" sqref="D2402">
      <formula1>0</formula1>
    </dataValidation>
    <dataValidation type="decimal" operator="greaterThan" allowBlank="1" showInputMessage="1" showErrorMessage="1" sqref="E2402">
      <formula1>0</formula1>
    </dataValidation>
    <dataValidation type="whole" operator="greaterThan" allowBlank="1" showInputMessage="1" showErrorMessage="1" sqref="A2403">
      <formula1>0</formula1>
    </dataValidation>
    <dataValidation type="list" allowBlank="1" showInputMessage="1" showErrorMessage="1" sqref="C2403">
      <formula1>UnidadesList</formula1>
    </dataValidation>
    <dataValidation type="decimal" operator="greaterThan" allowBlank="1" showInputMessage="1" showErrorMessage="1" sqref="D2403">
      <formula1>0</formula1>
    </dataValidation>
    <dataValidation type="decimal" operator="greaterThan" allowBlank="1" showInputMessage="1" showErrorMessage="1" sqref="E2403">
      <formula1>0</formula1>
    </dataValidation>
    <dataValidation type="whole" operator="greaterThan" allowBlank="1" showInputMessage="1" showErrorMessage="1" sqref="A2404">
      <formula1>0</formula1>
    </dataValidation>
    <dataValidation type="list" allowBlank="1" showInputMessage="1" showErrorMessage="1" sqref="C2404">
      <formula1>UnidadesList</formula1>
    </dataValidation>
    <dataValidation type="decimal" operator="greaterThan" allowBlank="1" showInputMessage="1" showErrorMessage="1" sqref="D2404">
      <formula1>0</formula1>
    </dataValidation>
    <dataValidation type="decimal" operator="greaterThan" allowBlank="1" showInputMessage="1" showErrorMessage="1" sqref="E2404">
      <formula1>0</formula1>
    </dataValidation>
    <dataValidation type="whole" operator="greaterThan" allowBlank="1" showInputMessage="1" showErrorMessage="1" sqref="A2405">
      <formula1>0</formula1>
    </dataValidation>
    <dataValidation type="list" allowBlank="1" showInputMessage="1" showErrorMessage="1" sqref="C2405">
      <formula1>UnidadesList</formula1>
    </dataValidation>
    <dataValidation type="decimal" operator="greaterThan" allowBlank="1" showInputMessage="1" showErrorMessage="1" sqref="D2405">
      <formula1>0</formula1>
    </dataValidation>
    <dataValidation type="decimal" operator="greaterThan" allowBlank="1" showInputMessage="1" showErrorMessage="1" sqref="E2405">
      <formula1>0</formula1>
    </dataValidation>
    <dataValidation type="whole" operator="greaterThan" allowBlank="1" showInputMessage="1" showErrorMessage="1" sqref="A2406">
      <formula1>0</formula1>
    </dataValidation>
    <dataValidation type="list" allowBlank="1" showInputMessage="1" showErrorMessage="1" sqref="C2406">
      <formula1>UnidadesList</formula1>
    </dataValidation>
    <dataValidation type="decimal" operator="greaterThan" allowBlank="1" showInputMessage="1" showErrorMessage="1" sqref="D2406">
      <formula1>0</formula1>
    </dataValidation>
    <dataValidation type="decimal" operator="greaterThan" allowBlank="1" showInputMessage="1" showErrorMessage="1" sqref="E2406">
      <formula1>0</formula1>
    </dataValidation>
    <dataValidation type="whole" operator="greaterThan" allowBlank="1" showInputMessage="1" showErrorMessage="1" sqref="A2407">
      <formula1>0</formula1>
    </dataValidation>
    <dataValidation type="list" allowBlank="1" showInputMessage="1" showErrorMessage="1" sqref="C2407">
      <formula1>UnidadesList</formula1>
    </dataValidation>
    <dataValidation type="decimal" operator="greaterThan" allowBlank="1" showInputMessage="1" showErrorMessage="1" sqref="D2407">
      <formula1>0</formula1>
    </dataValidation>
    <dataValidation type="decimal" operator="greaterThan" allowBlank="1" showInputMessage="1" showErrorMessage="1" sqref="E2407">
      <formula1>0</formula1>
    </dataValidation>
    <dataValidation type="whole" operator="greaterThan" allowBlank="1" showInputMessage="1" showErrorMessage="1" sqref="A2408">
      <formula1>0</formula1>
    </dataValidation>
    <dataValidation type="list" allowBlank="1" showInputMessage="1" showErrorMessage="1" sqref="C2408">
      <formula1>UnidadesList</formula1>
    </dataValidation>
    <dataValidation type="decimal" operator="greaterThan" allowBlank="1" showInputMessage="1" showErrorMessage="1" sqref="D2408">
      <formula1>0</formula1>
    </dataValidation>
    <dataValidation type="decimal" operator="greaterThan" allowBlank="1" showInputMessage="1" showErrorMessage="1" sqref="E2408">
      <formula1>0</formula1>
    </dataValidation>
    <dataValidation type="whole" operator="greaterThan" allowBlank="1" showInputMessage="1" showErrorMessage="1" sqref="A2409">
      <formula1>0</formula1>
    </dataValidation>
    <dataValidation type="list" allowBlank="1" showInputMessage="1" showErrorMessage="1" sqref="C2409">
      <formula1>UnidadesList</formula1>
    </dataValidation>
    <dataValidation type="decimal" operator="greaterThan" allowBlank="1" showInputMessage="1" showErrorMessage="1" sqref="D2409">
      <formula1>0</formula1>
    </dataValidation>
    <dataValidation type="decimal" operator="greaterThan" allowBlank="1" showInputMessage="1" showErrorMessage="1" sqref="E2409">
      <formula1>0</formula1>
    </dataValidation>
    <dataValidation type="whole" operator="greaterThan" allowBlank="1" showInputMessage="1" showErrorMessage="1" sqref="A2410">
      <formula1>0</formula1>
    </dataValidation>
    <dataValidation type="list" allowBlank="1" showInputMessage="1" showErrorMessage="1" sqref="C2410">
      <formula1>UnidadesList</formula1>
    </dataValidation>
    <dataValidation type="decimal" operator="greaterThan" allowBlank="1" showInputMessage="1" showErrorMessage="1" sqref="D2410">
      <formula1>0</formula1>
    </dataValidation>
    <dataValidation type="decimal" operator="greaterThan" allowBlank="1" showInputMessage="1" showErrorMessage="1" sqref="E2410">
      <formula1>0</formula1>
    </dataValidation>
    <dataValidation type="whole" operator="greaterThan" allowBlank="1" showInputMessage="1" showErrorMessage="1" sqref="A2411">
      <formula1>0</formula1>
    </dataValidation>
    <dataValidation type="list" allowBlank="1" showInputMessage="1" showErrorMessage="1" sqref="C2411">
      <formula1>UnidadesList</formula1>
    </dataValidation>
    <dataValidation type="decimal" operator="greaterThan" allowBlank="1" showInputMessage="1" showErrorMessage="1" sqref="D2411">
      <formula1>0</formula1>
    </dataValidation>
    <dataValidation type="decimal" operator="greaterThan" allowBlank="1" showInputMessage="1" showErrorMessage="1" sqref="E2411">
      <formula1>0</formula1>
    </dataValidation>
    <dataValidation type="whole" operator="greaterThan" allowBlank="1" showInputMessage="1" showErrorMessage="1" sqref="A2412">
      <formula1>0</formula1>
    </dataValidation>
    <dataValidation type="list" allowBlank="1" showInputMessage="1" showErrorMessage="1" sqref="C2412">
      <formula1>UnidadesList</formula1>
    </dataValidation>
    <dataValidation type="decimal" operator="greaterThan" allowBlank="1" showInputMessage="1" showErrorMessage="1" sqref="D2412">
      <formula1>0</formula1>
    </dataValidation>
    <dataValidation type="decimal" operator="greaterThan" allowBlank="1" showInputMessage="1" showErrorMessage="1" sqref="E2412">
      <formula1>0</formula1>
    </dataValidation>
    <dataValidation type="whole" operator="greaterThan" allowBlank="1" showInputMessage="1" showErrorMessage="1" sqref="A2413">
      <formula1>0</formula1>
    </dataValidation>
    <dataValidation type="list" allowBlank="1" showInputMessage="1" showErrorMessage="1" sqref="C2413">
      <formula1>UnidadesList</formula1>
    </dataValidation>
    <dataValidation type="decimal" operator="greaterThan" allowBlank="1" showInputMessage="1" showErrorMessage="1" sqref="D2413">
      <formula1>0</formula1>
    </dataValidation>
    <dataValidation type="decimal" operator="greaterThan" allowBlank="1" showInputMessage="1" showErrorMessage="1" sqref="E2413">
      <formula1>0</formula1>
    </dataValidation>
    <dataValidation type="whole" operator="greaterThan" allowBlank="1" showInputMessage="1" showErrorMessage="1" sqref="A2414">
      <formula1>0</formula1>
    </dataValidation>
    <dataValidation type="list" allowBlank="1" showInputMessage="1" showErrorMessage="1" sqref="C2414">
      <formula1>UnidadesList</formula1>
    </dataValidation>
    <dataValidation type="decimal" operator="greaterThan" allowBlank="1" showInputMessage="1" showErrorMessage="1" sqref="D2414">
      <formula1>0</formula1>
    </dataValidation>
    <dataValidation type="decimal" operator="greaterThan" allowBlank="1" showInputMessage="1" showErrorMessage="1" sqref="E2414">
      <formula1>0</formula1>
    </dataValidation>
    <dataValidation type="whole" operator="greaterThan" allowBlank="1" showInputMessage="1" showErrorMessage="1" sqref="A2415">
      <formula1>0</formula1>
    </dataValidation>
    <dataValidation type="list" allowBlank="1" showInputMessage="1" showErrorMessage="1" sqref="C2415">
      <formula1>UnidadesList</formula1>
    </dataValidation>
    <dataValidation type="decimal" operator="greaterThan" allowBlank="1" showInputMessage="1" showErrorMessage="1" sqref="D2415">
      <formula1>0</formula1>
    </dataValidation>
    <dataValidation type="decimal" operator="greaterThan" allowBlank="1" showInputMessage="1" showErrorMessage="1" sqref="E2415">
      <formula1>0</formula1>
    </dataValidation>
    <dataValidation type="date" operator="lessThanOrEqual" allowBlank="1" showInputMessage="1" showErrorMessage="1" sqref="C2420">
      <formula1>C2422</formula1>
    </dataValidation>
    <dataValidation type="date" operator="greaterThanOrEqual" allowBlank="1" showInputMessage="1" showErrorMessage="1" sqref="C2422">
      <formula1>C2420</formula1>
    </dataValidation>
    <dataValidation type="list" allowBlank="1" showInputMessage="1" showErrorMessage="1" sqref="F242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2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2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2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26">
      <formula1>0</formula1>
    </dataValidation>
    <dataValidation type="list" allowBlank="1" showInputMessage="1" showErrorMessage="1" sqref="C2426">
      <formula1>UnidadesList</formula1>
    </dataValidation>
    <dataValidation type="decimal" operator="greaterThan" allowBlank="1" showInputMessage="1" showErrorMessage="1" sqref="D2426">
      <formula1>0</formula1>
    </dataValidation>
    <dataValidation type="decimal" operator="greaterThan" allowBlank="1" showInputMessage="1" showErrorMessage="1" sqref="E2426">
      <formula1>0</formula1>
    </dataValidation>
    <dataValidation type="whole" operator="greaterThan" allowBlank="1" showInputMessage="1" showErrorMessage="1" sqref="A2427">
      <formula1>0</formula1>
    </dataValidation>
    <dataValidation type="list" allowBlank="1" showInputMessage="1" showErrorMessage="1" sqref="C2427">
      <formula1>UnidadesList</formula1>
    </dataValidation>
    <dataValidation type="decimal" operator="greaterThan" allowBlank="1" showInputMessage="1" showErrorMessage="1" sqref="D2427">
      <formula1>0</formula1>
    </dataValidation>
    <dataValidation type="decimal" operator="greaterThan" allowBlank="1" showInputMessage="1" showErrorMessage="1" sqref="E2427">
      <formula1>0</formula1>
    </dataValidation>
    <dataValidation type="whole" operator="greaterThan" allowBlank="1" showInputMessage="1" showErrorMessage="1" sqref="A2428">
      <formula1>0</formula1>
    </dataValidation>
    <dataValidation type="list" allowBlank="1" showInputMessage="1" showErrorMessage="1" sqref="C2428">
      <formula1>UnidadesList</formula1>
    </dataValidation>
    <dataValidation type="decimal" operator="greaterThan" allowBlank="1" showInputMessage="1" showErrorMessage="1" sqref="D2428">
      <formula1>0</formula1>
    </dataValidation>
    <dataValidation type="decimal" operator="greaterThan" allowBlank="1" showInputMessage="1" showErrorMessage="1" sqref="E2428">
      <formula1>0</formula1>
    </dataValidation>
    <dataValidation type="whole" operator="greaterThan" allowBlank="1" showInputMessage="1" showErrorMessage="1" sqref="A2429">
      <formula1>0</formula1>
    </dataValidation>
    <dataValidation type="list" allowBlank="1" showInputMessage="1" showErrorMessage="1" sqref="C2429">
      <formula1>UnidadesList</formula1>
    </dataValidation>
    <dataValidation type="decimal" operator="greaterThan" allowBlank="1" showInputMessage="1" showErrorMessage="1" sqref="D2429">
      <formula1>0</formula1>
    </dataValidation>
    <dataValidation type="decimal" operator="greaterThan" allowBlank="1" showInputMessage="1" showErrorMessage="1" sqref="E2429">
      <formula1>0</formula1>
    </dataValidation>
    <dataValidation type="whole" operator="greaterThan" allowBlank="1" showInputMessage="1" showErrorMessage="1" sqref="A2430">
      <formula1>0</formula1>
    </dataValidation>
    <dataValidation type="list" allowBlank="1" showInputMessage="1" showErrorMessage="1" sqref="C2430">
      <formula1>UnidadesList</formula1>
    </dataValidation>
    <dataValidation type="decimal" operator="greaterThan" allowBlank="1" showInputMessage="1" showErrorMessage="1" sqref="D2430">
      <formula1>0</formula1>
    </dataValidation>
    <dataValidation type="decimal" operator="greaterThan" allowBlank="1" showInputMessage="1" showErrorMessage="1" sqref="E2430">
      <formula1>0</formula1>
    </dataValidation>
    <dataValidation type="whole" operator="greaterThan" allowBlank="1" showInputMessage="1" showErrorMessage="1" sqref="A2431">
      <formula1>0</formula1>
    </dataValidation>
    <dataValidation type="list" allowBlank="1" showInputMessage="1" showErrorMessage="1" sqref="C2431">
      <formula1>UnidadesList</formula1>
    </dataValidation>
    <dataValidation type="decimal" operator="greaterThan" allowBlank="1" showInputMessage="1" showErrorMessage="1" sqref="D2431">
      <formula1>0</formula1>
    </dataValidation>
    <dataValidation type="decimal" operator="greaterThan" allowBlank="1" showInputMessage="1" showErrorMessage="1" sqref="E2431">
      <formula1>0</formula1>
    </dataValidation>
    <dataValidation type="whole" operator="greaterThan" allowBlank="1" showInputMessage="1" showErrorMessage="1" sqref="A2432">
      <formula1>0</formula1>
    </dataValidation>
    <dataValidation type="list" allowBlank="1" showInputMessage="1" showErrorMessage="1" sqref="C2432">
      <formula1>UnidadesList</formula1>
    </dataValidation>
    <dataValidation type="decimal" operator="greaterThan" allowBlank="1" showInputMessage="1" showErrorMessage="1" sqref="D2432">
      <formula1>0</formula1>
    </dataValidation>
    <dataValidation type="decimal" operator="greaterThan" allowBlank="1" showInputMessage="1" showErrorMessage="1" sqref="E2432">
      <formula1>0</formula1>
    </dataValidation>
    <dataValidation type="whole" operator="greaterThan" allowBlank="1" showInputMessage="1" showErrorMessage="1" sqref="A2433">
      <formula1>0</formula1>
    </dataValidation>
    <dataValidation type="list" allowBlank="1" showInputMessage="1" showErrorMessage="1" sqref="C2433">
      <formula1>UnidadesList</formula1>
    </dataValidation>
    <dataValidation type="decimal" operator="greaterThan" allowBlank="1" showInputMessage="1" showErrorMessage="1" sqref="D2433">
      <formula1>0</formula1>
    </dataValidation>
    <dataValidation type="decimal" operator="greaterThan" allowBlank="1" showInputMessage="1" showErrorMessage="1" sqref="E2433">
      <formula1>0</formula1>
    </dataValidation>
    <dataValidation type="whole" operator="greaterThan" allowBlank="1" showInputMessage="1" showErrorMessage="1" sqref="A2434">
      <formula1>0</formula1>
    </dataValidation>
    <dataValidation type="list" allowBlank="1" showInputMessage="1" showErrorMessage="1" sqref="C2434">
      <formula1>UnidadesList</formula1>
    </dataValidation>
    <dataValidation type="decimal" operator="greaterThan" allowBlank="1" showInputMessage="1" showErrorMessage="1" sqref="D2434">
      <formula1>0</formula1>
    </dataValidation>
    <dataValidation type="decimal" operator="greaterThan" allowBlank="1" showInputMessage="1" showErrorMessage="1" sqref="E2434">
      <formula1>0</formula1>
    </dataValidation>
    <dataValidation type="whole" operator="greaterThan" allowBlank="1" showInputMessage="1" showErrorMessage="1" sqref="A2435">
      <formula1>0</formula1>
    </dataValidation>
    <dataValidation type="list" allowBlank="1" showInputMessage="1" showErrorMessage="1" sqref="C2435">
      <formula1>UnidadesList</formula1>
    </dataValidation>
    <dataValidation type="decimal" operator="greaterThan" allowBlank="1" showInputMessage="1" showErrorMessage="1" sqref="D2435">
      <formula1>0</formula1>
    </dataValidation>
    <dataValidation type="decimal" operator="greaterThan" allowBlank="1" showInputMessage="1" showErrorMessage="1" sqref="E2435">
      <formula1>0</formula1>
    </dataValidation>
    <dataValidation type="whole" operator="greaterThan" allowBlank="1" showInputMessage="1" showErrorMessage="1" sqref="A2436">
      <formula1>0</formula1>
    </dataValidation>
    <dataValidation type="list" allowBlank="1" showInputMessage="1" showErrorMessage="1" sqref="C2436">
      <formula1>UnidadesList</formula1>
    </dataValidation>
    <dataValidation type="decimal" operator="greaterThan" allowBlank="1" showInputMessage="1" showErrorMessage="1" sqref="D2436">
      <formula1>0</formula1>
    </dataValidation>
    <dataValidation type="decimal" operator="greaterThan" allowBlank="1" showInputMessage="1" showErrorMessage="1" sqref="E2436">
      <formula1>0</formula1>
    </dataValidation>
    <dataValidation type="whole" operator="greaterThan" allowBlank="1" showInputMessage="1" showErrorMessage="1" sqref="A2437">
      <formula1>0</formula1>
    </dataValidation>
    <dataValidation type="list" allowBlank="1" showInputMessage="1" showErrorMessage="1" sqref="C2437">
      <formula1>UnidadesList</formula1>
    </dataValidation>
    <dataValidation type="decimal" operator="greaterThan" allowBlank="1" showInputMessage="1" showErrorMessage="1" sqref="D2437">
      <formula1>0</formula1>
    </dataValidation>
    <dataValidation type="decimal" operator="greaterThan" allowBlank="1" showInputMessage="1" showErrorMessage="1" sqref="E2437">
      <formula1>0</formula1>
    </dataValidation>
    <dataValidation type="whole" operator="greaterThan" allowBlank="1" showInputMessage="1" showErrorMessage="1" sqref="A2438">
      <formula1>0</formula1>
    </dataValidation>
    <dataValidation type="list" allowBlank="1" showInputMessage="1" showErrorMessage="1" sqref="C2438">
      <formula1>UnidadesList</formula1>
    </dataValidation>
    <dataValidation type="decimal" operator="greaterThan" allowBlank="1" showInputMessage="1" showErrorMessage="1" sqref="D2438">
      <formula1>0</formula1>
    </dataValidation>
    <dataValidation type="decimal" operator="greaterThan" allowBlank="1" showInputMessage="1" showErrorMessage="1" sqref="E2438">
      <formula1>0</formula1>
    </dataValidation>
    <dataValidation type="whole" operator="greaterThan" allowBlank="1" showInputMessage="1" showErrorMessage="1" sqref="A2439">
      <formula1>0</formula1>
    </dataValidation>
    <dataValidation type="list" allowBlank="1" showInputMessage="1" showErrorMessage="1" sqref="C2439">
      <formula1>UnidadesList</formula1>
    </dataValidation>
    <dataValidation type="decimal" operator="greaterThan" allowBlank="1" showInputMessage="1" showErrorMessage="1" sqref="D2439">
      <formula1>0</formula1>
    </dataValidation>
    <dataValidation type="decimal" operator="greaterThan" allowBlank="1" showInputMessage="1" showErrorMessage="1" sqref="E2439">
      <formula1>0</formula1>
    </dataValidation>
    <dataValidation type="whole" operator="greaterThan" allowBlank="1" showInputMessage="1" showErrorMessage="1" sqref="A2440">
      <formula1>0</formula1>
    </dataValidation>
    <dataValidation type="list" allowBlank="1" showInputMessage="1" showErrorMessage="1" sqref="C2440">
      <formula1>UnidadesList</formula1>
    </dataValidation>
    <dataValidation type="decimal" operator="greaterThan" allowBlank="1" showInputMessage="1" showErrorMessage="1" sqref="D2440">
      <formula1>0</formula1>
    </dataValidation>
    <dataValidation type="decimal" operator="greaterThan" allowBlank="1" showInputMessage="1" showErrorMessage="1" sqref="E2440">
      <formula1>0</formula1>
    </dataValidation>
    <dataValidation type="whole" operator="greaterThan" allowBlank="1" showInputMessage="1" showErrorMessage="1" sqref="A2441">
      <formula1>0</formula1>
    </dataValidation>
    <dataValidation type="list" allowBlank="1" showInputMessage="1" showErrorMessage="1" sqref="C2441">
      <formula1>UnidadesList</formula1>
    </dataValidation>
    <dataValidation type="decimal" operator="greaterThan" allowBlank="1" showInputMessage="1" showErrorMessage="1" sqref="D2441">
      <formula1>0</formula1>
    </dataValidation>
    <dataValidation type="decimal" operator="greaterThan" allowBlank="1" showInputMessage="1" showErrorMessage="1" sqref="E2441">
      <formula1>0</formula1>
    </dataValidation>
    <dataValidation type="whole" operator="greaterThan" allowBlank="1" showInputMessage="1" showErrorMessage="1" sqref="A2442">
      <formula1>0</formula1>
    </dataValidation>
    <dataValidation type="list" allowBlank="1" showInputMessage="1" showErrorMessage="1" sqref="C2442">
      <formula1>UnidadesList</formula1>
    </dataValidation>
    <dataValidation type="decimal" operator="greaterThan" allowBlank="1" showInputMessage="1" showErrorMessage="1" sqref="D2442">
      <formula1>0</formula1>
    </dataValidation>
    <dataValidation type="decimal" operator="greaterThan" allowBlank="1" showInputMessage="1" showErrorMessage="1" sqref="E2442">
      <formula1>0</formula1>
    </dataValidation>
    <dataValidation type="whole" operator="greaterThan" allowBlank="1" showInputMessage="1" showErrorMessage="1" sqref="A2443">
      <formula1>0</formula1>
    </dataValidation>
    <dataValidation type="list" allowBlank="1" showInputMessage="1" showErrorMessage="1" sqref="C2443">
      <formula1>UnidadesList</formula1>
    </dataValidation>
    <dataValidation type="decimal" operator="greaterThan" allowBlank="1" showInputMessage="1" showErrorMessage="1" sqref="D2443">
      <formula1>0</formula1>
    </dataValidation>
    <dataValidation type="decimal" operator="greaterThan" allowBlank="1" showInputMessage="1" showErrorMessage="1" sqref="E2443">
      <formula1>0</formula1>
    </dataValidation>
    <dataValidation type="whole" operator="greaterThan" allowBlank="1" showInputMessage="1" showErrorMessage="1" sqref="A2444">
      <formula1>0</formula1>
    </dataValidation>
    <dataValidation type="list" allowBlank="1" showInputMessage="1" showErrorMessage="1" sqref="C2444">
      <formula1>UnidadesList</formula1>
    </dataValidation>
    <dataValidation type="decimal" operator="greaterThan" allowBlank="1" showInputMessage="1" showErrorMessage="1" sqref="D2444">
      <formula1>0</formula1>
    </dataValidation>
    <dataValidation type="decimal" operator="greaterThan" allowBlank="1" showInputMessage="1" showErrorMessage="1" sqref="E2444">
      <formula1>0</formula1>
    </dataValidation>
    <dataValidation type="whole" operator="greaterThan" allowBlank="1" showInputMessage="1" showErrorMessage="1" sqref="A2445">
      <formula1>0</formula1>
    </dataValidation>
    <dataValidation type="list" allowBlank="1" showInputMessage="1" showErrorMessage="1" sqref="C2445">
      <formula1>UnidadesList</formula1>
    </dataValidation>
    <dataValidation type="decimal" operator="greaterThan" allowBlank="1" showInputMessage="1" showErrorMessage="1" sqref="D2445">
      <formula1>0</formula1>
    </dataValidation>
    <dataValidation type="decimal" operator="greaterThan" allowBlank="1" showInputMessage="1" showErrorMessage="1" sqref="E2445">
      <formula1>0</formula1>
    </dataValidation>
    <dataValidation type="whole" operator="greaterThan" allowBlank="1" showInputMessage="1" showErrorMessage="1" sqref="A2446">
      <formula1>0</formula1>
    </dataValidation>
    <dataValidation type="list" allowBlank="1" showInputMessage="1" showErrorMessage="1" sqref="C2446">
      <formula1>UnidadesList</formula1>
    </dataValidation>
    <dataValidation type="decimal" operator="greaterThan" allowBlank="1" showInputMessage="1" showErrorMessage="1" sqref="D2446">
      <formula1>0</formula1>
    </dataValidation>
    <dataValidation type="decimal" operator="greaterThan" allowBlank="1" showInputMessage="1" showErrorMessage="1" sqref="E2446">
      <formula1>0</formula1>
    </dataValidation>
    <dataValidation type="whole" operator="greaterThan" allowBlank="1" showInputMessage="1" showErrorMessage="1" sqref="A2447">
      <formula1>0</formula1>
    </dataValidation>
    <dataValidation type="list" allowBlank="1" showInputMessage="1" showErrorMessage="1" sqref="C2447">
      <formula1>UnidadesList</formula1>
    </dataValidation>
    <dataValidation type="decimal" operator="greaterThan" allowBlank="1" showInputMessage="1" showErrorMessage="1" sqref="D2447">
      <formula1>0</formula1>
    </dataValidation>
    <dataValidation type="decimal" operator="greaterThan" allowBlank="1" showInputMessage="1" showErrorMessage="1" sqref="E2447">
      <formula1>0</formula1>
    </dataValidation>
    <dataValidation type="whole" operator="greaterThan" allowBlank="1" showInputMessage="1" showErrorMessage="1" sqref="A2448">
      <formula1>0</formula1>
    </dataValidation>
    <dataValidation type="list" allowBlank="1" showInputMessage="1" showErrorMessage="1" sqref="C2448">
      <formula1>UnidadesList</formula1>
    </dataValidation>
    <dataValidation type="decimal" operator="greaterThan" allowBlank="1" showInputMessage="1" showErrorMessage="1" sqref="D2448">
      <formula1>0</formula1>
    </dataValidation>
    <dataValidation type="decimal" operator="greaterThan" allowBlank="1" showInputMessage="1" showErrorMessage="1" sqref="E2448">
      <formula1>0</formula1>
    </dataValidation>
    <dataValidation type="whole" operator="greaterThan" allowBlank="1" showInputMessage="1" showErrorMessage="1" sqref="A2449">
      <formula1>0</formula1>
    </dataValidation>
    <dataValidation type="list" allowBlank="1" showInputMessage="1" showErrorMessage="1" sqref="C2449">
      <formula1>UnidadesList</formula1>
    </dataValidation>
    <dataValidation type="decimal" operator="greaterThan" allowBlank="1" showInputMessage="1" showErrorMessage="1" sqref="D2449">
      <formula1>0</formula1>
    </dataValidation>
    <dataValidation type="decimal" operator="greaterThan" allowBlank="1" showInputMessage="1" showErrorMessage="1" sqref="E2449">
      <formula1>0</formula1>
    </dataValidation>
    <dataValidation type="whole" operator="greaterThan" allowBlank="1" showInputMessage="1" showErrorMessage="1" sqref="A2450">
      <formula1>0</formula1>
    </dataValidation>
    <dataValidation type="list" allowBlank="1" showInputMessage="1" showErrorMessage="1" sqref="C2450">
      <formula1>UnidadesList</formula1>
    </dataValidation>
    <dataValidation type="decimal" operator="greaterThan" allowBlank="1" showInputMessage="1" showErrorMessage="1" sqref="D2450">
      <formula1>0</formula1>
    </dataValidation>
    <dataValidation type="decimal" operator="greaterThan" allowBlank="1" showInputMessage="1" showErrorMessage="1" sqref="E2450">
      <formula1>0</formula1>
    </dataValidation>
    <dataValidation type="whole" operator="greaterThan" allowBlank="1" showInputMessage="1" showErrorMessage="1" sqref="A2451">
      <formula1>0</formula1>
    </dataValidation>
    <dataValidation type="list" allowBlank="1" showInputMessage="1" showErrorMessage="1" sqref="C2451">
      <formula1>UnidadesList</formula1>
    </dataValidation>
    <dataValidation type="decimal" operator="greaterThan" allowBlank="1" showInputMessage="1" showErrorMessage="1" sqref="D2451">
      <formula1>0</formula1>
    </dataValidation>
    <dataValidation type="decimal" operator="greaterThan" allowBlank="1" showInputMessage="1" showErrorMessage="1" sqref="E2451">
      <formula1>0</formula1>
    </dataValidation>
    <dataValidation type="whole" operator="greaterThan" allowBlank="1" showInputMessage="1" showErrorMessage="1" sqref="A2452">
      <formula1>0</formula1>
    </dataValidation>
    <dataValidation type="list" allowBlank="1" showInputMessage="1" showErrorMessage="1" sqref="C2452">
      <formula1>UnidadesList</formula1>
    </dataValidation>
    <dataValidation type="decimal" operator="greaterThan" allowBlank="1" showInputMessage="1" showErrorMessage="1" sqref="D2452">
      <formula1>0</formula1>
    </dataValidation>
    <dataValidation type="decimal" operator="greaterThan" allowBlank="1" showInputMessage="1" showErrorMessage="1" sqref="E2452">
      <formula1>0</formula1>
    </dataValidation>
    <dataValidation type="whole" operator="greaterThan" allowBlank="1" showInputMessage="1" showErrorMessage="1" sqref="A2453">
      <formula1>0</formula1>
    </dataValidation>
    <dataValidation type="list" allowBlank="1" showInputMessage="1" showErrorMessage="1" sqref="C2453">
      <formula1>UnidadesList</formula1>
    </dataValidation>
    <dataValidation type="decimal" operator="greaterThan" allowBlank="1" showInputMessage="1" showErrorMessage="1" sqref="D2453">
      <formula1>0</formula1>
    </dataValidation>
    <dataValidation type="decimal" operator="greaterThan" allowBlank="1" showInputMessage="1" showErrorMessage="1" sqref="E2453">
      <formula1>0</formula1>
    </dataValidation>
    <dataValidation type="whole" operator="greaterThan" allowBlank="1" showInputMessage="1" showErrorMessage="1" sqref="A2454">
      <formula1>0</formula1>
    </dataValidation>
    <dataValidation type="list" allowBlank="1" showInputMessage="1" showErrorMessage="1" sqref="C2454">
      <formula1>UnidadesList</formula1>
    </dataValidation>
    <dataValidation type="decimal" operator="greaterThan" allowBlank="1" showInputMessage="1" showErrorMessage="1" sqref="D2454">
      <formula1>0</formula1>
    </dataValidation>
    <dataValidation type="decimal" operator="greaterThan" allowBlank="1" showInputMessage="1" showErrorMessage="1" sqref="E2454">
      <formula1>0</formula1>
    </dataValidation>
    <dataValidation type="whole" operator="greaterThan" allowBlank="1" showInputMessage="1" showErrorMessage="1" sqref="A2455">
      <formula1>0</formula1>
    </dataValidation>
    <dataValidation type="list" allowBlank="1" showInputMessage="1" showErrorMessage="1" sqref="C2455">
      <formula1>UnidadesList</formula1>
    </dataValidation>
    <dataValidation type="decimal" operator="greaterThan" allowBlank="1" showInputMessage="1" showErrorMessage="1" sqref="D2455">
      <formula1>0</formula1>
    </dataValidation>
    <dataValidation type="decimal" operator="greaterThan" allowBlank="1" showInputMessage="1" showErrorMessage="1" sqref="E2455">
      <formula1>0</formula1>
    </dataValidation>
    <dataValidation type="whole" operator="greaterThan" allowBlank="1" showInputMessage="1" showErrorMessage="1" sqref="A2456">
      <formula1>0</formula1>
    </dataValidation>
    <dataValidation type="list" allowBlank="1" showInputMessage="1" showErrorMessage="1" sqref="C2456">
      <formula1>UnidadesList</formula1>
    </dataValidation>
    <dataValidation type="decimal" operator="greaterThan" allowBlank="1" showInputMessage="1" showErrorMessage="1" sqref="D2456">
      <formula1>0</formula1>
    </dataValidation>
    <dataValidation type="decimal" operator="greaterThan" allowBlank="1" showInputMessage="1" showErrorMessage="1" sqref="E2456">
      <formula1>0</formula1>
    </dataValidation>
    <dataValidation type="whole" operator="greaterThan" allowBlank="1" showInputMessage="1" showErrorMessage="1" sqref="A2457">
      <formula1>0</formula1>
    </dataValidation>
    <dataValidation type="list" allowBlank="1" showInputMessage="1" showErrorMessage="1" sqref="C2457">
      <formula1>UnidadesList</formula1>
    </dataValidation>
    <dataValidation type="decimal" operator="greaterThan" allowBlank="1" showInputMessage="1" showErrorMessage="1" sqref="D2457">
      <formula1>0</formula1>
    </dataValidation>
    <dataValidation type="decimal" operator="greaterThan" allowBlank="1" showInputMessage="1" showErrorMessage="1" sqref="E2457">
      <formula1>0</formula1>
    </dataValidation>
    <dataValidation type="whole" operator="greaterThan" allowBlank="1" showInputMessage="1" showErrorMessage="1" sqref="A2458">
      <formula1>0</formula1>
    </dataValidation>
    <dataValidation type="list" allowBlank="1" showInputMessage="1" showErrorMessage="1" sqref="C2458">
      <formula1>UnidadesList</formula1>
    </dataValidation>
    <dataValidation type="decimal" operator="greaterThan" allowBlank="1" showInputMessage="1" showErrorMessage="1" sqref="D2458">
      <formula1>0</formula1>
    </dataValidation>
    <dataValidation type="decimal" operator="greaterThan" allowBlank="1" showInputMessage="1" showErrorMessage="1" sqref="E2458">
      <formula1>0</formula1>
    </dataValidation>
    <dataValidation type="whole" operator="greaterThan" allowBlank="1" showInputMessage="1" showErrorMessage="1" sqref="A2459">
      <formula1>0</formula1>
    </dataValidation>
    <dataValidation type="list" allowBlank="1" showInputMessage="1" showErrorMessage="1" sqref="C2459">
      <formula1>UnidadesList</formula1>
    </dataValidation>
    <dataValidation type="decimal" operator="greaterThan" allowBlank="1" showInputMessage="1" showErrorMessage="1" sqref="D2459">
      <formula1>0</formula1>
    </dataValidation>
    <dataValidation type="decimal" operator="greaterThan" allowBlank="1" showInputMessage="1" showErrorMessage="1" sqref="E2459">
      <formula1>0</formula1>
    </dataValidation>
    <dataValidation type="whole" operator="greaterThan" allowBlank="1" showInputMessage="1" showErrorMessage="1" sqref="A2460">
      <formula1>0</formula1>
    </dataValidation>
    <dataValidation type="list" allowBlank="1" showInputMessage="1" showErrorMessage="1" sqref="C2460">
      <formula1>UnidadesList</formula1>
    </dataValidation>
    <dataValidation type="decimal" operator="greaterThan" allowBlank="1" showInputMessage="1" showErrorMessage="1" sqref="D2460">
      <formula1>0</formula1>
    </dataValidation>
    <dataValidation type="decimal" operator="greaterThan" allowBlank="1" showInputMessage="1" showErrorMessage="1" sqref="E2460">
      <formula1>0</formula1>
    </dataValidation>
    <dataValidation type="whole" operator="greaterThan" allowBlank="1" showInputMessage="1" showErrorMessage="1" sqref="A2461">
      <formula1>0</formula1>
    </dataValidation>
    <dataValidation type="list" allowBlank="1" showInputMessage="1" showErrorMessage="1" sqref="C2461">
      <formula1>UnidadesList</formula1>
    </dataValidation>
    <dataValidation type="decimal" operator="greaterThan" allowBlank="1" showInputMessage="1" showErrorMessage="1" sqref="D2461">
      <formula1>0</formula1>
    </dataValidation>
    <dataValidation type="decimal" operator="greaterThan" allowBlank="1" showInputMessage="1" showErrorMessage="1" sqref="E2461">
      <formula1>0</formula1>
    </dataValidation>
    <dataValidation type="whole" operator="greaterThan" allowBlank="1" showInputMessage="1" showErrorMessage="1" sqref="A2462">
      <formula1>0</formula1>
    </dataValidation>
    <dataValidation type="list" allowBlank="1" showInputMessage="1" showErrorMessage="1" sqref="C2462">
      <formula1>UnidadesList</formula1>
    </dataValidation>
    <dataValidation type="decimal" operator="greaterThan" allowBlank="1" showInputMessage="1" showErrorMessage="1" sqref="D2462">
      <formula1>0</formula1>
    </dataValidation>
    <dataValidation type="decimal" operator="greaterThan" allowBlank="1" showInputMessage="1" showErrorMessage="1" sqref="E2462">
      <formula1>0</formula1>
    </dataValidation>
    <dataValidation type="whole" operator="greaterThan" allowBlank="1" showInputMessage="1" showErrorMessage="1" sqref="A2463">
      <formula1>0</formula1>
    </dataValidation>
    <dataValidation type="list" allowBlank="1" showInputMessage="1" showErrorMessage="1" sqref="C2463">
      <formula1>UnidadesList</formula1>
    </dataValidation>
    <dataValidation type="decimal" operator="greaterThan" allowBlank="1" showInputMessage="1" showErrorMessage="1" sqref="D2463">
      <formula1>0</formula1>
    </dataValidation>
    <dataValidation type="decimal" operator="greaterThan" allowBlank="1" showInputMessage="1" showErrorMessage="1" sqref="E2463">
      <formula1>0</formula1>
    </dataValidation>
    <dataValidation type="whole" operator="greaterThan" allowBlank="1" showInputMessage="1" showErrorMessage="1" sqref="A2464">
      <formula1>0</formula1>
    </dataValidation>
    <dataValidation type="list" allowBlank="1" showInputMessage="1" showErrorMessage="1" sqref="C2464">
      <formula1>UnidadesList</formula1>
    </dataValidation>
    <dataValidation type="decimal" operator="greaterThan" allowBlank="1" showInputMessage="1" showErrorMessage="1" sqref="D2464">
      <formula1>0</formula1>
    </dataValidation>
    <dataValidation type="decimal" operator="greaterThan" allowBlank="1" showInputMessage="1" showErrorMessage="1" sqref="E2464">
      <formula1>0</formula1>
    </dataValidation>
    <dataValidation type="whole" operator="greaterThan" allowBlank="1" showInputMessage="1" showErrorMessage="1" sqref="A2465">
      <formula1>0</formula1>
    </dataValidation>
    <dataValidation type="list" allowBlank="1" showInputMessage="1" showErrorMessage="1" sqref="C2465">
      <formula1>UnidadesList</formula1>
    </dataValidation>
    <dataValidation type="decimal" operator="greaterThan" allowBlank="1" showInputMessage="1" showErrorMessage="1" sqref="D2465">
      <formula1>0</formula1>
    </dataValidation>
    <dataValidation type="decimal" operator="greaterThan" allowBlank="1" showInputMessage="1" showErrorMessage="1" sqref="E2465">
      <formula1>0</formula1>
    </dataValidation>
    <dataValidation type="whole" operator="greaterThan" allowBlank="1" showInputMessage="1" showErrorMessage="1" sqref="A2466">
      <formula1>0</formula1>
    </dataValidation>
    <dataValidation type="list" allowBlank="1" showInputMessage="1" showErrorMessage="1" sqref="C2466">
      <formula1>UnidadesList</formula1>
    </dataValidation>
    <dataValidation type="decimal" operator="greaterThan" allowBlank="1" showInputMessage="1" showErrorMessage="1" sqref="D2466">
      <formula1>0</formula1>
    </dataValidation>
    <dataValidation type="decimal" operator="greaterThan" allowBlank="1" showInputMessage="1" showErrorMessage="1" sqref="E2466">
      <formula1>0</formula1>
    </dataValidation>
    <dataValidation type="whole" operator="greaterThan" allowBlank="1" showInputMessage="1" showErrorMessage="1" sqref="A2467">
      <formula1>0</formula1>
    </dataValidation>
    <dataValidation type="list" allowBlank="1" showInputMessage="1" showErrorMessage="1" sqref="C2467">
      <formula1>UnidadesList</formula1>
    </dataValidation>
    <dataValidation type="decimal" operator="greaterThan" allowBlank="1" showInputMessage="1" showErrorMessage="1" sqref="D2467">
      <formula1>0</formula1>
    </dataValidation>
    <dataValidation type="decimal" operator="greaterThan" allowBlank="1" showInputMessage="1" showErrorMessage="1" sqref="E2467">
      <formula1>0</formula1>
    </dataValidation>
    <dataValidation type="whole" operator="greaterThan" allowBlank="1" showInputMessage="1" showErrorMessage="1" sqref="A2468">
      <formula1>0</formula1>
    </dataValidation>
    <dataValidation type="list" allowBlank="1" showInputMessage="1" showErrorMessage="1" sqref="C2468">
      <formula1>UnidadesList</formula1>
    </dataValidation>
    <dataValidation type="decimal" operator="greaterThan" allowBlank="1" showInputMessage="1" showErrorMessage="1" sqref="D2468">
      <formula1>0</formula1>
    </dataValidation>
    <dataValidation type="decimal" operator="greaterThan" allowBlank="1" showInputMessage="1" showErrorMessage="1" sqref="E2468">
      <formula1>0</formula1>
    </dataValidation>
    <dataValidation type="whole" operator="greaterThan" allowBlank="1" showInputMessage="1" showErrorMessage="1" sqref="A2469">
      <formula1>0</formula1>
    </dataValidation>
    <dataValidation type="list" allowBlank="1" showInputMessage="1" showErrorMessage="1" sqref="C2469">
      <formula1>UnidadesList</formula1>
    </dataValidation>
    <dataValidation type="decimal" operator="greaterThan" allowBlank="1" showInputMessage="1" showErrorMessage="1" sqref="D2469">
      <formula1>0</formula1>
    </dataValidation>
    <dataValidation type="decimal" operator="greaterThan" allowBlank="1" showInputMessage="1" showErrorMessage="1" sqref="E2469">
      <formula1>0</formula1>
    </dataValidation>
    <dataValidation type="whole" operator="greaterThan" allowBlank="1" showInputMessage="1" showErrorMessage="1" sqref="A2470">
      <formula1>0</formula1>
    </dataValidation>
    <dataValidation type="list" allowBlank="1" showInputMessage="1" showErrorMessage="1" sqref="C2470">
      <formula1>UnidadesList</formula1>
    </dataValidation>
    <dataValidation type="decimal" operator="greaterThan" allowBlank="1" showInputMessage="1" showErrorMessage="1" sqref="D2470">
      <formula1>0</formula1>
    </dataValidation>
    <dataValidation type="decimal" operator="greaterThan" allowBlank="1" showInputMessage="1" showErrorMessage="1" sqref="E2470">
      <formula1>0</formula1>
    </dataValidation>
    <dataValidation type="whole" operator="greaterThan" allowBlank="1" showInputMessage="1" showErrorMessage="1" sqref="A2471">
      <formula1>0</formula1>
    </dataValidation>
    <dataValidation type="list" allowBlank="1" showInputMessage="1" showErrorMessage="1" sqref="C2471">
      <formula1>UnidadesList</formula1>
    </dataValidation>
    <dataValidation type="decimal" operator="greaterThan" allowBlank="1" showInputMessage="1" showErrorMessage="1" sqref="D2471">
      <formula1>0</formula1>
    </dataValidation>
    <dataValidation type="decimal" operator="greaterThan" allowBlank="1" showInputMessage="1" showErrorMessage="1" sqref="E2471">
      <formula1>0</formula1>
    </dataValidation>
    <dataValidation type="whole" operator="greaterThan" allowBlank="1" showInputMessage="1" showErrorMessage="1" sqref="A2472">
      <formula1>0</formula1>
    </dataValidation>
    <dataValidation type="list" allowBlank="1" showInputMessage="1" showErrorMessage="1" sqref="C2472">
      <formula1>UnidadesList</formula1>
    </dataValidation>
    <dataValidation type="decimal" operator="greaterThan" allowBlank="1" showInputMessage="1" showErrorMessage="1" sqref="D2472">
      <formula1>0</formula1>
    </dataValidation>
    <dataValidation type="decimal" operator="greaterThan" allowBlank="1" showInputMessage="1" showErrorMessage="1" sqref="E2472">
      <formula1>0</formula1>
    </dataValidation>
    <dataValidation type="whole" operator="greaterThan" allowBlank="1" showInputMessage="1" showErrorMessage="1" sqref="A2473">
      <formula1>0</formula1>
    </dataValidation>
    <dataValidation type="list" allowBlank="1" showInputMessage="1" showErrorMessage="1" sqref="C2473">
      <formula1>UnidadesList</formula1>
    </dataValidation>
    <dataValidation type="decimal" operator="greaterThan" allowBlank="1" showInputMessage="1" showErrorMessage="1" sqref="D2473">
      <formula1>0</formula1>
    </dataValidation>
    <dataValidation type="decimal" operator="greaterThan" allowBlank="1" showInputMessage="1" showErrorMessage="1" sqref="E2473">
      <formula1>0</formula1>
    </dataValidation>
    <dataValidation type="whole" operator="greaterThan" allowBlank="1" showInputMessage="1" showErrorMessage="1" sqref="A2474">
      <formula1>0</formula1>
    </dataValidation>
    <dataValidation type="list" allowBlank="1" showInputMessage="1" showErrorMessage="1" sqref="C2474">
      <formula1>UnidadesList</formula1>
    </dataValidation>
    <dataValidation type="decimal" operator="greaterThan" allowBlank="1" showInputMessage="1" showErrorMessage="1" sqref="D2474">
      <formula1>0</formula1>
    </dataValidation>
    <dataValidation type="decimal" operator="greaterThan" allowBlank="1" showInputMessage="1" showErrorMessage="1" sqref="E2474">
      <formula1>0</formula1>
    </dataValidation>
    <dataValidation type="whole" operator="greaterThan" allowBlank="1" showInputMessage="1" showErrorMessage="1" sqref="A2475">
      <formula1>0</formula1>
    </dataValidation>
    <dataValidation type="list" allowBlank="1" showInputMessage="1" showErrorMessage="1" sqref="C2475">
      <formula1>UnidadesList</formula1>
    </dataValidation>
    <dataValidation type="decimal" operator="greaterThan" allowBlank="1" showInputMessage="1" showErrorMessage="1" sqref="D2475">
      <formula1>0</formula1>
    </dataValidation>
    <dataValidation type="decimal" operator="greaterThan" allowBlank="1" showInputMessage="1" showErrorMessage="1" sqref="E2475">
      <formula1>0</formula1>
    </dataValidation>
    <dataValidation type="date" operator="lessThanOrEqual" allowBlank="1" showInputMessage="1" showErrorMessage="1" sqref="C2480">
      <formula1>C2482</formula1>
    </dataValidation>
    <dataValidation type="date" operator="greaterThanOrEqual" allowBlank="1" showInputMessage="1" showErrorMessage="1" sqref="C2482">
      <formula1>C2480</formula1>
    </dataValidation>
    <dataValidation type="list" allowBlank="1" showInputMessage="1" showErrorMessage="1" sqref="F248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8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8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8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86">
      <formula1>0</formula1>
    </dataValidation>
    <dataValidation type="list" allowBlank="1" showInputMessage="1" showErrorMessage="1" sqref="C2486">
      <formula1>UnidadesList</formula1>
    </dataValidation>
    <dataValidation type="decimal" operator="greaterThan" allowBlank="1" showInputMessage="1" showErrorMessage="1" sqref="D2486">
      <formula1>0</formula1>
    </dataValidation>
    <dataValidation type="decimal" operator="greaterThan" allowBlank="1" showInputMessage="1" showErrorMessage="1" sqref="E2486">
      <formula1>0</formula1>
    </dataValidation>
    <dataValidation type="whole" operator="greaterThan" allowBlank="1" showInputMessage="1" showErrorMessage="1" sqref="A2487">
      <formula1>0</formula1>
    </dataValidation>
    <dataValidation type="list" allowBlank="1" showInputMessage="1" showErrorMessage="1" sqref="C2487">
      <formula1>UnidadesList</formula1>
    </dataValidation>
    <dataValidation type="decimal" operator="greaterThan" allowBlank="1" showInputMessage="1" showErrorMessage="1" sqref="D2487">
      <formula1>0</formula1>
    </dataValidation>
    <dataValidation type="decimal" operator="greaterThan" allowBlank="1" showInputMessage="1" showErrorMessage="1" sqref="E2487">
      <formula1>0</formula1>
    </dataValidation>
    <dataValidation type="whole" operator="greaterThan" allowBlank="1" showInputMessage="1" showErrorMessage="1" sqref="A2488">
      <formula1>0</formula1>
    </dataValidation>
    <dataValidation type="list" allowBlank="1" showInputMessage="1" showErrorMessage="1" sqref="C2488">
      <formula1>UnidadesList</formula1>
    </dataValidation>
    <dataValidation type="decimal" operator="greaterThan" allowBlank="1" showInputMessage="1" showErrorMessage="1" sqref="D2488">
      <formula1>0</formula1>
    </dataValidation>
    <dataValidation type="decimal" operator="greaterThan" allowBlank="1" showInputMessage="1" showErrorMessage="1" sqref="E2488">
      <formula1>0</formula1>
    </dataValidation>
    <dataValidation type="whole" operator="greaterThan" allowBlank="1" showInputMessage="1" showErrorMessage="1" sqref="A2489">
      <formula1>0</formula1>
    </dataValidation>
    <dataValidation type="list" allowBlank="1" showInputMessage="1" showErrorMessage="1" sqref="C2489">
      <formula1>UnidadesList</formula1>
    </dataValidation>
    <dataValidation type="decimal" operator="greaterThan" allowBlank="1" showInputMessage="1" showErrorMessage="1" sqref="D2489">
      <formula1>0</formula1>
    </dataValidation>
    <dataValidation type="decimal" operator="greaterThan" allowBlank="1" showInputMessage="1" showErrorMessage="1" sqref="E2489">
      <formula1>0</formula1>
    </dataValidation>
    <dataValidation type="whole" operator="greaterThan" allowBlank="1" showInputMessage="1" showErrorMessage="1" sqref="A2490">
      <formula1>0</formula1>
    </dataValidation>
    <dataValidation type="list" allowBlank="1" showInputMessage="1" showErrorMessage="1" sqref="C2490">
      <formula1>UnidadesList</formula1>
    </dataValidation>
    <dataValidation type="decimal" operator="greaterThan" allowBlank="1" showInputMessage="1" showErrorMessage="1" sqref="D2490">
      <formula1>0</formula1>
    </dataValidation>
    <dataValidation type="decimal" operator="greaterThan" allowBlank="1" showInputMessage="1" showErrorMessage="1" sqref="E2490">
      <formula1>0</formula1>
    </dataValidation>
    <dataValidation type="whole" operator="greaterThan" allowBlank="1" showInputMessage="1" showErrorMessage="1" sqref="A2491">
      <formula1>0</formula1>
    </dataValidation>
    <dataValidation type="list" allowBlank="1" showInputMessage="1" showErrorMessage="1" sqref="C2491">
      <formula1>UnidadesList</formula1>
    </dataValidation>
    <dataValidation type="decimal" operator="greaterThan" allowBlank="1" showInputMessage="1" showErrorMessage="1" sqref="D2491">
      <formula1>0</formula1>
    </dataValidation>
    <dataValidation type="decimal" operator="greaterThan" allowBlank="1" showInputMessage="1" showErrorMessage="1" sqref="E2491">
      <formula1>0</formula1>
    </dataValidation>
    <dataValidation type="whole" operator="greaterThan" allowBlank="1" showInputMessage="1" showErrorMessage="1" sqref="A2492">
      <formula1>0</formula1>
    </dataValidation>
    <dataValidation type="list" allowBlank="1" showInputMessage="1" showErrorMessage="1" sqref="C2492">
      <formula1>UnidadesList</formula1>
    </dataValidation>
    <dataValidation type="decimal" operator="greaterThan" allowBlank="1" showInputMessage="1" showErrorMessage="1" sqref="D2492">
      <formula1>0</formula1>
    </dataValidation>
    <dataValidation type="decimal" operator="greaterThan" allowBlank="1" showInputMessage="1" showErrorMessage="1" sqref="E2492">
      <formula1>0</formula1>
    </dataValidation>
    <dataValidation type="whole" operator="greaterThan" allowBlank="1" showInputMessage="1" showErrorMessage="1" sqref="A2493">
      <formula1>0</formula1>
    </dataValidation>
    <dataValidation type="list" allowBlank="1" showInputMessage="1" showErrorMessage="1" sqref="C2493">
      <formula1>UnidadesList</formula1>
    </dataValidation>
    <dataValidation type="decimal" operator="greaterThan" allowBlank="1" showInputMessage="1" showErrorMessage="1" sqref="D2493">
      <formula1>0</formula1>
    </dataValidation>
    <dataValidation type="decimal" operator="greaterThan" allowBlank="1" showInputMessage="1" showErrorMessage="1" sqref="E2493">
      <formula1>0</formula1>
    </dataValidation>
    <dataValidation type="whole" operator="greaterThan" allowBlank="1" showInputMessage="1" showErrorMessage="1" sqref="A2494">
      <formula1>0</formula1>
    </dataValidation>
    <dataValidation type="list" allowBlank="1" showInputMessage="1" showErrorMessage="1" sqref="C2494">
      <formula1>UnidadesList</formula1>
    </dataValidation>
    <dataValidation type="decimal" operator="greaterThan" allowBlank="1" showInputMessage="1" showErrorMessage="1" sqref="D2494">
      <formula1>0</formula1>
    </dataValidation>
    <dataValidation type="decimal" operator="greaterThan" allowBlank="1" showInputMessage="1" showErrorMessage="1" sqref="E2494">
      <formula1>0</formula1>
    </dataValidation>
    <dataValidation type="whole" operator="greaterThan" allowBlank="1" showInputMessage="1" showErrorMessage="1" sqref="A2495">
      <formula1>0</formula1>
    </dataValidation>
    <dataValidation type="list" allowBlank="1" showInputMessage="1" showErrorMessage="1" sqref="C2495">
      <formula1>UnidadesList</formula1>
    </dataValidation>
    <dataValidation type="decimal" operator="greaterThan" allowBlank="1" showInputMessage="1" showErrorMessage="1" sqref="D2495">
      <formula1>0</formula1>
    </dataValidation>
    <dataValidation type="decimal" operator="greaterThan" allowBlank="1" showInputMessage="1" showErrorMessage="1" sqref="E2495">
      <formula1>0</formula1>
    </dataValidation>
    <dataValidation type="whole" operator="greaterThan" allowBlank="1" showInputMessage="1" showErrorMessage="1" sqref="A2496">
      <formula1>0</formula1>
    </dataValidation>
    <dataValidation type="list" allowBlank="1" showInputMessage="1" showErrorMessage="1" sqref="C2496">
      <formula1>UnidadesList</formula1>
    </dataValidation>
    <dataValidation type="decimal" operator="greaterThan" allowBlank="1" showInputMessage="1" showErrorMessage="1" sqref="D2496">
      <formula1>0</formula1>
    </dataValidation>
    <dataValidation type="decimal" operator="greaterThan" allowBlank="1" showInputMessage="1" showErrorMessage="1" sqref="E2496">
      <formula1>0</formula1>
    </dataValidation>
    <dataValidation type="whole" operator="greaterThan" allowBlank="1" showInputMessage="1" showErrorMessage="1" sqref="A2497">
      <formula1>0</formula1>
    </dataValidation>
    <dataValidation type="list" allowBlank="1" showInputMessage="1" showErrorMessage="1" sqref="C2497">
      <formula1>UnidadesList</formula1>
    </dataValidation>
    <dataValidation type="decimal" operator="greaterThan" allowBlank="1" showInputMessage="1" showErrorMessage="1" sqref="D2497">
      <formula1>0</formula1>
    </dataValidation>
    <dataValidation type="decimal" operator="greaterThan" allowBlank="1" showInputMessage="1" showErrorMessage="1" sqref="E2497">
      <formula1>0</formula1>
    </dataValidation>
    <dataValidation type="whole" operator="greaterThan" allowBlank="1" showInputMessage="1" showErrorMessage="1" sqref="A2498">
      <formula1>0</formula1>
    </dataValidation>
    <dataValidation type="list" allowBlank="1" showInputMessage="1" showErrorMessage="1" sqref="C2498">
      <formula1>UnidadesList</formula1>
    </dataValidation>
    <dataValidation type="decimal" operator="greaterThan" allowBlank="1" showInputMessage="1" showErrorMessage="1" sqref="D2498">
      <formula1>0</formula1>
    </dataValidation>
    <dataValidation type="decimal" operator="greaterThan" allowBlank="1" showInputMessage="1" showErrorMessage="1" sqref="E2498">
      <formula1>0</formula1>
    </dataValidation>
    <dataValidation type="whole" operator="greaterThan" allowBlank="1" showInputMessage="1" showErrorMessage="1" sqref="A2499">
      <formula1>0</formula1>
    </dataValidation>
    <dataValidation type="list" allowBlank="1" showInputMessage="1" showErrorMessage="1" sqref="C2499">
      <formula1>UnidadesList</formula1>
    </dataValidation>
    <dataValidation type="decimal" operator="greaterThan" allowBlank="1" showInputMessage="1" showErrorMessage="1" sqref="D2499">
      <formula1>0</formula1>
    </dataValidation>
    <dataValidation type="decimal" operator="greaterThan" allowBlank="1" showInputMessage="1" showErrorMessage="1" sqref="E2499">
      <formula1>0</formula1>
    </dataValidation>
    <dataValidation type="whole" operator="greaterThan" allowBlank="1" showInputMessage="1" showErrorMessage="1" sqref="A2500">
      <formula1>0</formula1>
    </dataValidation>
    <dataValidation type="list" allowBlank="1" showInputMessage="1" showErrorMessage="1" sqref="C2500">
      <formula1>UnidadesList</formula1>
    </dataValidation>
    <dataValidation type="decimal" operator="greaterThan" allowBlank="1" showInputMessage="1" showErrorMessage="1" sqref="D2500">
      <formula1>0</formula1>
    </dataValidation>
    <dataValidation type="decimal" operator="greaterThan" allowBlank="1" showInputMessage="1" showErrorMessage="1" sqref="E2500">
      <formula1>0</formula1>
    </dataValidation>
    <dataValidation type="whole" operator="greaterThan" allowBlank="1" showInputMessage="1" showErrorMessage="1" sqref="A2501">
      <formula1>0</formula1>
    </dataValidation>
    <dataValidation type="list" allowBlank="1" showInputMessage="1" showErrorMessage="1" sqref="C2501">
      <formula1>UnidadesList</formula1>
    </dataValidation>
    <dataValidation type="decimal" operator="greaterThan" allowBlank="1" showInputMessage="1" showErrorMessage="1" sqref="D2501">
      <formula1>0</formula1>
    </dataValidation>
    <dataValidation type="decimal" operator="greaterThan" allowBlank="1" showInputMessage="1" showErrorMessage="1" sqref="E2501">
      <formula1>0</formula1>
    </dataValidation>
    <dataValidation type="whole" operator="greaterThan" allowBlank="1" showInputMessage="1" showErrorMessage="1" sqref="A2502">
      <formula1>0</formula1>
    </dataValidation>
    <dataValidation type="list" allowBlank="1" showInputMessage="1" showErrorMessage="1" sqref="C2502">
      <formula1>UnidadesList</formula1>
    </dataValidation>
    <dataValidation type="decimal" operator="greaterThan" allowBlank="1" showInputMessage="1" showErrorMessage="1" sqref="D2502">
      <formula1>0</formula1>
    </dataValidation>
    <dataValidation type="decimal" operator="greaterThan" allowBlank="1" showInputMessage="1" showErrorMessage="1" sqref="E2502">
      <formula1>0</formula1>
    </dataValidation>
    <dataValidation type="whole" operator="greaterThan" allowBlank="1" showInputMessage="1" showErrorMessage="1" sqref="A2503">
      <formula1>0</formula1>
    </dataValidation>
    <dataValidation type="list" allowBlank="1" showInputMessage="1" showErrorMessage="1" sqref="C2503">
      <formula1>UnidadesList</formula1>
    </dataValidation>
    <dataValidation type="decimal" operator="greaterThan" allowBlank="1" showInputMessage="1" showErrorMessage="1" sqref="D2503">
      <formula1>0</formula1>
    </dataValidation>
    <dataValidation type="decimal" operator="greaterThan" allowBlank="1" showInputMessage="1" showErrorMessage="1" sqref="E2503">
      <formula1>0</formula1>
    </dataValidation>
    <dataValidation type="whole" operator="greaterThan" allowBlank="1" showInputMessage="1" showErrorMessage="1" sqref="A2504">
      <formula1>0</formula1>
    </dataValidation>
    <dataValidation type="list" allowBlank="1" showInputMessage="1" showErrorMessage="1" sqref="C2504">
      <formula1>UnidadesList</formula1>
    </dataValidation>
    <dataValidation type="decimal" operator="greaterThan" allowBlank="1" showInputMessage="1" showErrorMessage="1" sqref="D2504">
      <formula1>0</formula1>
    </dataValidation>
    <dataValidation type="decimal" operator="greaterThan" allowBlank="1" showInputMessage="1" showErrorMessage="1" sqref="E2504">
      <formula1>0</formula1>
    </dataValidation>
    <dataValidation type="whole" operator="greaterThan" allowBlank="1" showInputMessage="1" showErrorMessage="1" sqref="A2505">
      <formula1>0</formula1>
    </dataValidation>
    <dataValidation type="list" allowBlank="1" showInputMessage="1" showErrorMessage="1" sqref="C2505">
      <formula1>UnidadesList</formula1>
    </dataValidation>
    <dataValidation type="decimal" operator="greaterThan" allowBlank="1" showInputMessage="1" showErrorMessage="1" sqref="D2505">
      <formula1>0</formula1>
    </dataValidation>
    <dataValidation type="decimal" operator="greaterThan" allowBlank="1" showInputMessage="1" showErrorMessage="1" sqref="E2505">
      <formula1>0</formula1>
    </dataValidation>
    <dataValidation type="whole" operator="greaterThan" allowBlank="1" showInputMessage="1" showErrorMessage="1" sqref="A2506">
      <formula1>0</formula1>
    </dataValidation>
    <dataValidation type="list" allowBlank="1" showInputMessage="1" showErrorMessage="1" sqref="C2506">
      <formula1>UnidadesList</formula1>
    </dataValidation>
    <dataValidation type="decimal" operator="greaterThan" allowBlank="1" showInputMessage="1" showErrorMessage="1" sqref="D2506">
      <formula1>0</formula1>
    </dataValidation>
    <dataValidation type="decimal" operator="greaterThan" allowBlank="1" showInputMessage="1" showErrorMessage="1" sqref="E2506">
      <formula1>0</formula1>
    </dataValidation>
    <dataValidation type="whole" operator="greaterThan" allowBlank="1" showInputMessage="1" showErrorMessage="1" sqref="A2507">
      <formula1>0</formula1>
    </dataValidation>
    <dataValidation type="list" allowBlank="1" showInputMessage="1" showErrorMessage="1" sqref="C2507">
      <formula1>UnidadesList</formula1>
    </dataValidation>
    <dataValidation type="decimal" operator="greaterThan" allowBlank="1" showInputMessage="1" showErrorMessage="1" sqref="D2507">
      <formula1>0</formula1>
    </dataValidation>
    <dataValidation type="decimal" operator="greaterThan" allowBlank="1" showInputMessage="1" showErrorMessage="1" sqref="E2507">
      <formula1>0</formula1>
    </dataValidation>
    <dataValidation type="whole" operator="greaterThan" allowBlank="1" showInputMessage="1" showErrorMessage="1" sqref="A2508">
      <formula1>0</formula1>
    </dataValidation>
    <dataValidation type="list" allowBlank="1" showInputMessage="1" showErrorMessage="1" sqref="C2508">
      <formula1>UnidadesList</formula1>
    </dataValidation>
    <dataValidation type="decimal" operator="greaterThan" allowBlank="1" showInputMessage="1" showErrorMessage="1" sqref="D2508">
      <formula1>0</formula1>
    </dataValidation>
    <dataValidation type="decimal" operator="greaterThan" allowBlank="1" showInputMessage="1" showErrorMessage="1" sqref="E2508">
      <formula1>0</formula1>
    </dataValidation>
    <dataValidation type="whole" operator="greaterThan" allowBlank="1" showInputMessage="1" showErrorMessage="1" sqref="A2509">
      <formula1>0</formula1>
    </dataValidation>
    <dataValidation type="list" allowBlank="1" showInputMessage="1" showErrorMessage="1" sqref="C2509">
      <formula1>UnidadesList</formula1>
    </dataValidation>
    <dataValidation type="decimal" operator="greaterThan" allowBlank="1" showInputMessage="1" showErrorMessage="1" sqref="D2509">
      <formula1>0</formula1>
    </dataValidation>
    <dataValidation type="decimal" operator="greaterThan" allowBlank="1" showInputMessage="1" showErrorMessage="1" sqref="E2509">
      <formula1>0</formula1>
    </dataValidation>
    <dataValidation type="whole" operator="greaterThan" allowBlank="1" showInputMessage="1" showErrorMessage="1" sqref="A2510">
      <formula1>0</formula1>
    </dataValidation>
    <dataValidation type="list" allowBlank="1" showInputMessage="1" showErrorMessage="1" sqref="C2510">
      <formula1>UnidadesList</formula1>
    </dataValidation>
    <dataValidation type="decimal" operator="greaterThan" allowBlank="1" showInputMessage="1" showErrorMessage="1" sqref="D2510">
      <formula1>0</formula1>
    </dataValidation>
    <dataValidation type="decimal" operator="greaterThan" allowBlank="1" showInputMessage="1" showErrorMessage="1" sqref="E2510">
      <formula1>0</formula1>
    </dataValidation>
    <dataValidation type="whole" operator="greaterThan" allowBlank="1" showInputMessage="1" showErrorMessage="1" sqref="A2511">
      <formula1>0</formula1>
    </dataValidation>
    <dataValidation type="list" allowBlank="1" showInputMessage="1" showErrorMessage="1" sqref="C2511">
      <formula1>UnidadesList</formula1>
    </dataValidation>
    <dataValidation type="decimal" operator="greaterThan" allowBlank="1" showInputMessage="1" showErrorMessage="1" sqref="D2511">
      <formula1>0</formula1>
    </dataValidation>
    <dataValidation type="decimal" operator="greaterThan" allowBlank="1" showInputMessage="1" showErrorMessage="1" sqref="E2511">
      <formula1>0</formula1>
    </dataValidation>
    <dataValidation type="whole" operator="greaterThan" allowBlank="1" showInputMessage="1" showErrorMessage="1" sqref="A2512">
      <formula1>0</formula1>
    </dataValidation>
    <dataValidation type="list" allowBlank="1" showInputMessage="1" showErrorMessage="1" sqref="C2512">
      <formula1>UnidadesList</formula1>
    </dataValidation>
    <dataValidation type="decimal" operator="greaterThan" allowBlank="1" showInputMessage="1" showErrorMessage="1" sqref="D2512">
      <formula1>0</formula1>
    </dataValidation>
    <dataValidation type="decimal" operator="greaterThan" allowBlank="1" showInputMessage="1" showErrorMessage="1" sqref="E2512">
      <formula1>0</formula1>
    </dataValidation>
    <dataValidation type="whole" operator="greaterThan" allowBlank="1" showInputMessage="1" showErrorMessage="1" sqref="A2513">
      <formula1>0</formula1>
    </dataValidation>
    <dataValidation type="list" allowBlank="1" showInputMessage="1" showErrorMessage="1" sqref="C2513">
      <formula1>UnidadesList</formula1>
    </dataValidation>
    <dataValidation type="decimal" operator="greaterThan" allowBlank="1" showInputMessage="1" showErrorMessage="1" sqref="D2513">
      <formula1>0</formula1>
    </dataValidation>
    <dataValidation type="decimal" operator="greaterThan" allowBlank="1" showInputMessage="1" showErrorMessage="1" sqref="E2513">
      <formula1>0</formula1>
    </dataValidation>
    <dataValidation type="whole" operator="greaterThan" allowBlank="1" showInputMessage="1" showErrorMessage="1" sqref="A2514">
      <formula1>0</formula1>
    </dataValidation>
    <dataValidation type="list" allowBlank="1" showInputMessage="1" showErrorMessage="1" sqref="C2514">
      <formula1>UnidadesList</formula1>
    </dataValidation>
    <dataValidation type="decimal" operator="greaterThan" allowBlank="1" showInputMessage="1" showErrorMessage="1" sqref="D2514">
      <formula1>0</formula1>
    </dataValidation>
    <dataValidation type="decimal" operator="greaterThan" allowBlank="1" showInputMessage="1" showErrorMessage="1" sqref="E2514">
      <formula1>0</formula1>
    </dataValidation>
    <dataValidation type="whole" operator="greaterThan" allowBlank="1" showInputMessage="1" showErrorMessage="1" sqref="A2515">
      <formula1>0</formula1>
    </dataValidation>
    <dataValidation type="list" allowBlank="1" showInputMessage="1" showErrorMessage="1" sqref="C2515">
      <formula1>UnidadesList</formula1>
    </dataValidation>
    <dataValidation type="decimal" operator="greaterThan" allowBlank="1" showInputMessage="1" showErrorMessage="1" sqref="D2515">
      <formula1>0</formula1>
    </dataValidation>
    <dataValidation type="decimal" operator="greaterThan" allowBlank="1" showInputMessage="1" showErrorMessage="1" sqref="E2515">
      <formula1>0</formula1>
    </dataValidation>
    <dataValidation type="whole" operator="greaterThan" allowBlank="1" showInputMessage="1" showErrorMessage="1" sqref="A2516">
      <formula1>0</formula1>
    </dataValidation>
    <dataValidation type="list" allowBlank="1" showInputMessage="1" showErrorMessage="1" sqref="C2516">
      <formula1>UnidadesList</formula1>
    </dataValidation>
    <dataValidation type="decimal" operator="greaterThan" allowBlank="1" showInputMessage="1" showErrorMessage="1" sqref="D2516">
      <formula1>0</formula1>
    </dataValidation>
    <dataValidation type="decimal" operator="greaterThan" allowBlank="1" showInputMessage="1" showErrorMessage="1" sqref="E2516">
      <formula1>0</formula1>
    </dataValidation>
    <dataValidation type="whole" operator="greaterThan" allowBlank="1" showInputMessage="1" showErrorMessage="1" sqref="A2517">
      <formula1>0</formula1>
    </dataValidation>
    <dataValidation type="list" allowBlank="1" showInputMessage="1" showErrorMessage="1" sqref="C2517">
      <formula1>UnidadesList</formula1>
    </dataValidation>
    <dataValidation type="decimal" operator="greaterThan" allowBlank="1" showInputMessage="1" showErrorMessage="1" sqref="D2517">
      <formula1>0</formula1>
    </dataValidation>
    <dataValidation type="decimal" operator="greaterThan" allowBlank="1" showInputMessage="1" showErrorMessage="1" sqref="E2517">
      <formula1>0</formula1>
    </dataValidation>
    <dataValidation type="whole" operator="greaterThan" allowBlank="1" showInputMessage="1" showErrorMessage="1" sqref="A2518">
      <formula1>0</formula1>
    </dataValidation>
    <dataValidation type="list" allowBlank="1" showInputMessage="1" showErrorMessage="1" sqref="C2518">
      <formula1>UnidadesList</formula1>
    </dataValidation>
    <dataValidation type="decimal" operator="greaterThan" allowBlank="1" showInputMessage="1" showErrorMessage="1" sqref="D2518">
      <formula1>0</formula1>
    </dataValidation>
    <dataValidation type="decimal" operator="greaterThan" allowBlank="1" showInputMessage="1" showErrorMessage="1" sqref="E2518">
      <formula1>0</formula1>
    </dataValidation>
    <dataValidation type="whole" operator="greaterThan" allowBlank="1" showInputMessage="1" showErrorMessage="1" sqref="A2519">
      <formula1>0</formula1>
    </dataValidation>
    <dataValidation type="list" allowBlank="1" showInputMessage="1" showErrorMessage="1" sqref="C2519">
      <formula1>UnidadesList</formula1>
    </dataValidation>
    <dataValidation type="decimal" operator="greaterThan" allowBlank="1" showInputMessage="1" showErrorMessage="1" sqref="D2519">
      <formula1>0</formula1>
    </dataValidation>
    <dataValidation type="decimal" operator="greaterThan" allowBlank="1" showInputMessage="1" showErrorMessage="1" sqref="E2519">
      <formula1>0</formula1>
    </dataValidation>
    <dataValidation type="whole" operator="greaterThan" allowBlank="1" showInputMessage="1" showErrorMessage="1" sqref="A2520">
      <formula1>0</formula1>
    </dataValidation>
    <dataValidation type="list" allowBlank="1" showInputMessage="1" showErrorMessage="1" sqref="C2520">
      <formula1>UnidadesList</formula1>
    </dataValidation>
    <dataValidation type="decimal" operator="greaterThan" allowBlank="1" showInputMessage="1" showErrorMessage="1" sqref="D2520">
      <formula1>0</formula1>
    </dataValidation>
    <dataValidation type="decimal" operator="greaterThan" allowBlank="1" showInputMessage="1" showErrorMessage="1" sqref="E2520">
      <formula1>0</formula1>
    </dataValidation>
    <dataValidation type="whole" operator="greaterThan" allowBlank="1" showInputMessage="1" showErrorMessage="1" sqref="A2521">
      <formula1>0</formula1>
    </dataValidation>
    <dataValidation type="list" allowBlank="1" showInputMessage="1" showErrorMessage="1" sqref="C2521">
      <formula1>UnidadesList</formula1>
    </dataValidation>
    <dataValidation type="decimal" operator="greaterThan" allowBlank="1" showInputMessage="1" showErrorMessage="1" sqref="D2521">
      <formula1>0</formula1>
    </dataValidation>
    <dataValidation type="decimal" operator="greaterThan" allowBlank="1" showInputMessage="1" showErrorMessage="1" sqref="E2521">
      <formula1>0</formula1>
    </dataValidation>
    <dataValidation type="whole" operator="greaterThan" allowBlank="1" showInputMessage="1" showErrorMessage="1" sqref="A2522">
      <formula1>0</formula1>
    </dataValidation>
    <dataValidation type="list" allowBlank="1" showInputMessage="1" showErrorMessage="1" sqref="C2522">
      <formula1>UnidadesList</formula1>
    </dataValidation>
    <dataValidation type="decimal" operator="greaterThan" allowBlank="1" showInputMessage="1" showErrorMessage="1" sqref="D2522">
      <formula1>0</formula1>
    </dataValidation>
    <dataValidation type="decimal" operator="greaterThan" allowBlank="1" showInputMessage="1" showErrorMessage="1" sqref="E2522">
      <formula1>0</formula1>
    </dataValidation>
    <dataValidation type="whole" operator="greaterThan" allowBlank="1" showInputMessage="1" showErrorMessage="1" sqref="A2523">
      <formula1>0</formula1>
    </dataValidation>
    <dataValidation type="list" allowBlank="1" showInputMessage="1" showErrorMessage="1" sqref="C2523">
      <formula1>UnidadesList</formula1>
    </dataValidation>
    <dataValidation type="decimal" operator="greaterThan" allowBlank="1" showInputMessage="1" showErrorMessage="1" sqref="D2523">
      <formula1>0</formula1>
    </dataValidation>
    <dataValidation type="decimal" operator="greaterThan" allowBlank="1" showInputMessage="1" showErrorMessage="1" sqref="E2523">
      <formula1>0</formula1>
    </dataValidation>
    <dataValidation type="whole" operator="greaterThan" allowBlank="1" showInputMessage="1" showErrorMessage="1" sqref="A2524">
      <formula1>0</formula1>
    </dataValidation>
    <dataValidation type="list" allowBlank="1" showInputMessage="1" showErrorMessage="1" sqref="C2524">
      <formula1>UnidadesList</formula1>
    </dataValidation>
    <dataValidation type="decimal" operator="greaterThan" allowBlank="1" showInputMessage="1" showErrorMessage="1" sqref="D2524">
      <formula1>0</formula1>
    </dataValidation>
    <dataValidation type="decimal" operator="greaterThan" allowBlank="1" showInputMessage="1" showErrorMessage="1" sqref="E2524">
      <formula1>0</formula1>
    </dataValidation>
    <dataValidation type="whole" operator="greaterThan" allowBlank="1" showInputMessage="1" showErrorMessage="1" sqref="A2525">
      <formula1>0</formula1>
    </dataValidation>
    <dataValidation type="list" allowBlank="1" showInputMessage="1" showErrorMessage="1" sqref="C2525">
      <formula1>UnidadesList</formula1>
    </dataValidation>
    <dataValidation type="decimal" operator="greaterThan" allowBlank="1" showInputMessage="1" showErrorMessage="1" sqref="D2525">
      <formula1>0</formula1>
    </dataValidation>
    <dataValidation type="decimal" operator="greaterThan" allowBlank="1" showInputMessage="1" showErrorMessage="1" sqref="E2525">
      <formula1>0</formula1>
    </dataValidation>
    <dataValidation type="whole" operator="greaterThan" allowBlank="1" showInputMessage="1" showErrorMessage="1" sqref="A2526">
      <formula1>0</formula1>
    </dataValidation>
    <dataValidation type="list" allowBlank="1" showInputMessage="1" showErrorMessage="1" sqref="C2526">
      <formula1>UnidadesList</formula1>
    </dataValidation>
    <dataValidation type="decimal" operator="greaterThan" allowBlank="1" showInputMessage="1" showErrorMessage="1" sqref="D2526">
      <formula1>0</formula1>
    </dataValidation>
    <dataValidation type="decimal" operator="greaterThan" allowBlank="1" showInputMessage="1" showErrorMessage="1" sqref="E2526">
      <formula1>0</formula1>
    </dataValidation>
    <dataValidation type="whole" operator="greaterThan" allowBlank="1" showInputMessage="1" showErrorMessage="1" sqref="A2527">
      <formula1>0</formula1>
    </dataValidation>
    <dataValidation type="list" allowBlank="1" showInputMessage="1" showErrorMessage="1" sqref="C2527">
      <formula1>UnidadesList</formula1>
    </dataValidation>
    <dataValidation type="decimal" operator="greaterThan" allowBlank="1" showInputMessage="1" showErrorMessage="1" sqref="D2527">
      <formula1>0</formula1>
    </dataValidation>
    <dataValidation type="decimal" operator="greaterThan" allowBlank="1" showInputMessage="1" showErrorMessage="1" sqref="E2527">
      <formula1>0</formula1>
    </dataValidation>
    <dataValidation type="whole" operator="greaterThan" allowBlank="1" showInputMessage="1" showErrorMessage="1" sqref="A2528">
      <formula1>0</formula1>
    </dataValidation>
    <dataValidation type="list" allowBlank="1" showInputMessage="1" showErrorMessage="1" sqref="C2528">
      <formula1>UnidadesList</formula1>
    </dataValidation>
    <dataValidation type="decimal" operator="greaterThan" allowBlank="1" showInputMessage="1" showErrorMessage="1" sqref="D2528">
      <formula1>0</formula1>
    </dataValidation>
    <dataValidation type="decimal" operator="greaterThan" allowBlank="1" showInputMessage="1" showErrorMessage="1" sqref="E2528">
      <formula1>0</formula1>
    </dataValidation>
    <dataValidation type="whole" operator="greaterThan" allowBlank="1" showInputMessage="1" showErrorMessage="1" sqref="A2529">
      <formula1>0</formula1>
    </dataValidation>
    <dataValidation type="list" allowBlank="1" showInputMessage="1" showErrorMessage="1" sqref="C2529">
      <formula1>UnidadesList</formula1>
    </dataValidation>
    <dataValidation type="decimal" operator="greaterThan" allowBlank="1" showInputMessage="1" showErrorMessage="1" sqref="D2529">
      <formula1>0</formula1>
    </dataValidation>
    <dataValidation type="decimal" operator="greaterThan" allowBlank="1" showInputMessage="1" showErrorMessage="1" sqref="E2529">
      <formula1>0</formula1>
    </dataValidation>
    <dataValidation type="whole" operator="greaterThan" allowBlank="1" showInputMessage="1" showErrorMessage="1" sqref="A2530">
      <formula1>0</formula1>
    </dataValidation>
    <dataValidation type="list" allowBlank="1" showInputMessage="1" showErrorMessage="1" sqref="C2530">
      <formula1>UnidadesList</formula1>
    </dataValidation>
    <dataValidation type="decimal" operator="greaterThan" allowBlank="1" showInputMessage="1" showErrorMessage="1" sqref="D2530">
      <formula1>0</formula1>
    </dataValidation>
    <dataValidation type="decimal" operator="greaterThan" allowBlank="1" showInputMessage="1" showErrorMessage="1" sqref="E2530">
      <formula1>0</formula1>
    </dataValidation>
    <dataValidation type="whole" operator="greaterThan" allowBlank="1" showInputMessage="1" showErrorMessage="1" sqref="A2531">
      <formula1>0</formula1>
    </dataValidation>
    <dataValidation type="list" allowBlank="1" showInputMessage="1" showErrorMessage="1" sqref="C2531">
      <formula1>UnidadesList</formula1>
    </dataValidation>
    <dataValidation type="decimal" operator="greaterThan" allowBlank="1" showInputMessage="1" showErrorMessage="1" sqref="D2531">
      <formula1>0</formula1>
    </dataValidation>
    <dataValidation type="decimal" operator="greaterThan" allowBlank="1" showInputMessage="1" showErrorMessage="1" sqref="E2531">
      <formula1>0</formula1>
    </dataValidation>
    <dataValidation type="whole" operator="greaterThan" allowBlank="1" showInputMessage="1" showErrorMessage="1" sqref="A2532">
      <formula1>0</formula1>
    </dataValidation>
    <dataValidation type="list" allowBlank="1" showInputMessage="1" showErrorMessage="1" sqref="C2532">
      <formula1>UnidadesList</formula1>
    </dataValidation>
    <dataValidation type="decimal" operator="greaterThan" allowBlank="1" showInputMessage="1" showErrorMessage="1" sqref="D2532">
      <formula1>0</formula1>
    </dataValidation>
    <dataValidation type="decimal" operator="greaterThan" allowBlank="1" showInputMessage="1" showErrorMessage="1" sqref="E2532">
      <formula1>0</formula1>
    </dataValidation>
    <dataValidation type="whole" operator="greaterThan" allowBlank="1" showInputMessage="1" showErrorMessage="1" sqref="A2533">
      <formula1>0</formula1>
    </dataValidation>
    <dataValidation type="list" allowBlank="1" showInputMessage="1" showErrorMessage="1" sqref="C2533">
      <formula1>UnidadesList</formula1>
    </dataValidation>
    <dataValidation type="decimal" operator="greaterThan" allowBlank="1" showInputMessage="1" showErrorMessage="1" sqref="D2533">
      <formula1>0</formula1>
    </dataValidation>
    <dataValidation type="decimal" operator="greaterThan" allowBlank="1" showInputMessage="1" showErrorMessage="1" sqref="E2533">
      <formula1>0</formula1>
    </dataValidation>
    <dataValidation type="whole" operator="greaterThan" allowBlank="1" showInputMessage="1" showErrorMessage="1" sqref="A2534">
      <formula1>0</formula1>
    </dataValidation>
    <dataValidation type="list" allowBlank="1" showInputMessage="1" showErrorMessage="1" sqref="C2534">
      <formula1>UnidadesList</formula1>
    </dataValidation>
    <dataValidation type="decimal" operator="greaterThan" allowBlank="1" showInputMessage="1" showErrorMessage="1" sqref="D2534">
      <formula1>0</formula1>
    </dataValidation>
    <dataValidation type="decimal" operator="greaterThan" allowBlank="1" showInputMessage="1" showErrorMessage="1" sqref="E2534">
      <formula1>0</formula1>
    </dataValidation>
    <dataValidation type="whole" operator="greaterThan" allowBlank="1" showInputMessage="1" showErrorMessage="1" sqref="A2535">
      <formula1>0</formula1>
    </dataValidation>
    <dataValidation type="list" allowBlank="1" showInputMessage="1" showErrorMessage="1" sqref="C2535">
      <formula1>UnidadesList</formula1>
    </dataValidation>
    <dataValidation type="decimal" operator="greaterThan" allowBlank="1" showInputMessage="1" showErrorMessage="1" sqref="D2535">
      <formula1>0</formula1>
    </dataValidation>
    <dataValidation type="decimal" operator="greaterThan" allowBlank="1" showInputMessage="1" showErrorMessage="1" sqref="E2535">
      <formula1>0</formula1>
    </dataValidation>
    <dataValidation type="date" operator="lessThanOrEqual" allowBlank="1" showInputMessage="1" showErrorMessage="1" sqref="C2540">
      <formula1>C2542</formula1>
    </dataValidation>
    <dataValidation type="date" operator="greaterThanOrEqual" allowBlank="1" showInputMessage="1" showErrorMessage="1" sqref="C2542">
      <formula1>C2540</formula1>
    </dataValidation>
    <dataValidation type="list" allowBlank="1" showInputMessage="1" showErrorMessage="1" sqref="F25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46">
      <formula1>0</formula1>
    </dataValidation>
    <dataValidation type="list" allowBlank="1" showInputMessage="1" showErrorMessage="1" sqref="C2546">
      <formula1>UnidadesList</formula1>
    </dataValidation>
    <dataValidation type="decimal" operator="greaterThan" allowBlank="1" showInputMessage="1" showErrorMessage="1" sqref="D2546">
      <formula1>0</formula1>
    </dataValidation>
    <dataValidation type="decimal" operator="greaterThan" allowBlank="1" showInputMessage="1" showErrorMessage="1" sqref="E2546">
      <formula1>0</formula1>
    </dataValidation>
    <dataValidation type="whole" operator="greaterThan" allowBlank="1" showInputMessage="1" showErrorMessage="1" sqref="A2547">
      <formula1>0</formula1>
    </dataValidation>
    <dataValidation type="list" allowBlank="1" showInputMessage="1" showErrorMessage="1" sqref="C2547">
      <formula1>UnidadesList</formula1>
    </dataValidation>
    <dataValidation type="decimal" operator="greaterThan" allowBlank="1" showInputMessage="1" showErrorMessage="1" sqref="D2547">
      <formula1>0</formula1>
    </dataValidation>
    <dataValidation type="decimal" operator="greaterThan" allowBlank="1" showInputMessage="1" showErrorMessage="1" sqref="E2547">
      <formula1>0</formula1>
    </dataValidation>
    <dataValidation type="whole" operator="greaterThan" allowBlank="1" showInputMessage="1" showErrorMessage="1" sqref="A2548">
      <formula1>0</formula1>
    </dataValidation>
    <dataValidation type="list" allowBlank="1" showInputMessage="1" showErrorMessage="1" sqref="C2548">
      <formula1>UnidadesList</formula1>
    </dataValidation>
    <dataValidation type="decimal" operator="greaterThan" allowBlank="1" showInputMessage="1" showErrorMessage="1" sqref="D2548">
      <formula1>0</formula1>
    </dataValidation>
    <dataValidation type="decimal" operator="greaterThan" allowBlank="1" showInputMessage="1" showErrorMessage="1" sqref="E2548">
      <formula1>0</formula1>
    </dataValidation>
    <dataValidation type="whole" operator="greaterThan" allowBlank="1" showInputMessage="1" showErrorMessage="1" sqref="A2549">
      <formula1>0</formula1>
    </dataValidation>
    <dataValidation type="list" allowBlank="1" showInputMessage="1" showErrorMessage="1" sqref="C2549">
      <formula1>UnidadesList</formula1>
    </dataValidation>
    <dataValidation type="decimal" operator="greaterThan" allowBlank="1" showInputMessage="1" showErrorMessage="1" sqref="D2549">
      <formula1>0</formula1>
    </dataValidation>
    <dataValidation type="decimal" operator="greaterThan" allowBlank="1" showInputMessage="1" showErrorMessage="1" sqref="E2549">
      <formula1>0</formula1>
    </dataValidation>
    <dataValidation type="whole" operator="greaterThan" allowBlank="1" showInputMessage="1" showErrorMessage="1" sqref="A2550">
      <formula1>0</formula1>
    </dataValidation>
    <dataValidation type="list" allowBlank="1" showInputMessage="1" showErrorMessage="1" sqref="C2550">
      <formula1>UnidadesList</formula1>
    </dataValidation>
    <dataValidation type="decimal" operator="greaterThan" allowBlank="1" showInputMessage="1" showErrorMessage="1" sqref="D2550">
      <formula1>0</formula1>
    </dataValidation>
    <dataValidation type="decimal" operator="greaterThan" allowBlank="1" showInputMessage="1" showErrorMessage="1" sqref="E2550">
      <formula1>0</formula1>
    </dataValidation>
    <dataValidation type="whole" operator="greaterThan" allowBlank="1" showInputMessage="1" showErrorMessage="1" sqref="A2551">
      <formula1>0</formula1>
    </dataValidation>
    <dataValidation type="list" allowBlank="1" showInputMessage="1" showErrorMessage="1" sqref="C2551">
      <formula1>UnidadesList</formula1>
    </dataValidation>
    <dataValidation type="decimal" operator="greaterThan" allowBlank="1" showInputMessage="1" showErrorMessage="1" sqref="D2551">
      <formula1>0</formula1>
    </dataValidation>
    <dataValidation type="decimal" operator="greaterThan" allowBlank="1" showInputMessage="1" showErrorMessage="1" sqref="E2551">
      <formula1>0</formula1>
    </dataValidation>
    <dataValidation type="whole" operator="greaterThan" allowBlank="1" showInputMessage="1" showErrorMessage="1" sqref="A2552">
      <formula1>0</formula1>
    </dataValidation>
    <dataValidation type="list" allowBlank="1" showInputMessage="1" showErrorMessage="1" sqref="C2552">
      <formula1>UnidadesList</formula1>
    </dataValidation>
    <dataValidation type="decimal" operator="greaterThan" allowBlank="1" showInputMessage="1" showErrorMessage="1" sqref="D2552">
      <formula1>0</formula1>
    </dataValidation>
    <dataValidation type="decimal" operator="greaterThan" allowBlank="1" showInputMessage="1" showErrorMessage="1" sqref="E2552">
      <formula1>0</formula1>
    </dataValidation>
    <dataValidation type="whole" operator="greaterThan" allowBlank="1" showInputMessage="1" showErrorMessage="1" sqref="A2553">
      <formula1>0</formula1>
    </dataValidation>
    <dataValidation type="list" allowBlank="1" showInputMessage="1" showErrorMessage="1" sqref="C2553">
      <formula1>UnidadesList</formula1>
    </dataValidation>
    <dataValidation type="decimal" operator="greaterThan" allowBlank="1" showInputMessage="1" showErrorMessage="1" sqref="D2553">
      <formula1>0</formula1>
    </dataValidation>
    <dataValidation type="decimal" operator="greaterThan" allowBlank="1" showInputMessage="1" showErrorMessage="1" sqref="E2553">
      <formula1>0</formula1>
    </dataValidation>
    <dataValidation type="whole" operator="greaterThan" allowBlank="1" showInputMessage="1" showErrorMessage="1" sqref="A2554">
      <formula1>0</formula1>
    </dataValidation>
    <dataValidation type="list" allowBlank="1" showInputMessage="1" showErrorMessage="1" sqref="C2554">
      <formula1>UnidadesList</formula1>
    </dataValidation>
    <dataValidation type="decimal" operator="greaterThan" allowBlank="1" showInputMessage="1" showErrorMessage="1" sqref="D2554">
      <formula1>0</formula1>
    </dataValidation>
    <dataValidation type="decimal" operator="greaterThan" allowBlank="1" showInputMessage="1" showErrorMessage="1" sqref="E2554">
      <formula1>0</formula1>
    </dataValidation>
    <dataValidation type="whole" operator="greaterThan" allowBlank="1" showInputMessage="1" showErrorMessage="1" sqref="A2555">
      <formula1>0</formula1>
    </dataValidation>
    <dataValidation type="list" allowBlank="1" showInputMessage="1" showErrorMessage="1" sqref="C2555">
      <formula1>UnidadesList</formula1>
    </dataValidation>
    <dataValidation type="decimal" operator="greaterThan" allowBlank="1" showInputMessage="1" showErrorMessage="1" sqref="D2555">
      <formula1>0</formula1>
    </dataValidation>
    <dataValidation type="decimal" operator="greaterThan" allowBlank="1" showInputMessage="1" showErrorMessage="1" sqref="E2555">
      <formula1>0</formula1>
    </dataValidation>
    <dataValidation type="whole" operator="greaterThan" allowBlank="1" showInputMessage="1" showErrorMessage="1" sqref="A2556">
      <formula1>0</formula1>
    </dataValidation>
    <dataValidation type="list" allowBlank="1" showInputMessage="1" showErrorMessage="1" sqref="C2556">
      <formula1>UnidadesList</formula1>
    </dataValidation>
    <dataValidation type="decimal" operator="greaterThan" allowBlank="1" showInputMessage="1" showErrorMessage="1" sqref="D2556">
      <formula1>0</formula1>
    </dataValidation>
    <dataValidation type="decimal" operator="greaterThan" allowBlank="1" showInputMessage="1" showErrorMessage="1" sqref="E2556">
      <formula1>0</formula1>
    </dataValidation>
    <dataValidation type="whole" operator="greaterThan" allowBlank="1" showInputMessage="1" showErrorMessage="1" sqref="A2557">
      <formula1>0</formula1>
    </dataValidation>
    <dataValidation type="list" allowBlank="1" showInputMessage="1" showErrorMessage="1" sqref="C2557">
      <formula1>UnidadesList</formula1>
    </dataValidation>
    <dataValidation type="decimal" operator="greaterThan" allowBlank="1" showInputMessage="1" showErrorMessage="1" sqref="D2557">
      <formula1>0</formula1>
    </dataValidation>
    <dataValidation type="decimal" operator="greaterThan" allowBlank="1" showInputMessage="1" showErrorMessage="1" sqref="E2557">
      <formula1>0</formula1>
    </dataValidation>
    <dataValidation type="whole" operator="greaterThan" allowBlank="1" showInputMessage="1" showErrorMessage="1" sqref="A2558">
      <formula1>0</formula1>
    </dataValidation>
    <dataValidation type="list" allowBlank="1" showInputMessage="1" showErrorMessage="1" sqref="C2558">
      <formula1>UnidadesList</formula1>
    </dataValidation>
    <dataValidation type="decimal" operator="greaterThan" allowBlank="1" showInputMessage="1" showErrorMessage="1" sqref="D2558">
      <formula1>0</formula1>
    </dataValidation>
    <dataValidation type="decimal" operator="greaterThan" allowBlank="1" showInputMessage="1" showErrorMessage="1" sqref="E2558">
      <formula1>0</formula1>
    </dataValidation>
    <dataValidation type="whole" operator="greaterThan" allowBlank="1" showInputMessage="1" showErrorMessage="1" sqref="A2559">
      <formula1>0</formula1>
    </dataValidation>
    <dataValidation type="list" allowBlank="1" showInputMessage="1" showErrorMessage="1" sqref="C2559">
      <formula1>UnidadesList</formula1>
    </dataValidation>
    <dataValidation type="decimal" operator="greaterThan" allowBlank="1" showInputMessage="1" showErrorMessage="1" sqref="D2559">
      <formula1>0</formula1>
    </dataValidation>
    <dataValidation type="decimal" operator="greaterThan" allowBlank="1" showInputMessage="1" showErrorMessage="1" sqref="E2559">
      <formula1>0</formula1>
    </dataValidation>
    <dataValidation type="whole" operator="greaterThan" allowBlank="1" showInputMessage="1" showErrorMessage="1" sqref="A2560">
      <formula1>0</formula1>
    </dataValidation>
    <dataValidation type="list" allowBlank="1" showInputMessage="1" showErrorMessage="1" sqref="C2560">
      <formula1>UnidadesList</formula1>
    </dataValidation>
    <dataValidation type="decimal" operator="greaterThan" allowBlank="1" showInputMessage="1" showErrorMessage="1" sqref="D2560">
      <formula1>0</formula1>
    </dataValidation>
    <dataValidation type="decimal" operator="greaterThan" allowBlank="1" showInputMessage="1" showErrorMessage="1" sqref="E2560">
      <formula1>0</formula1>
    </dataValidation>
    <dataValidation type="whole" operator="greaterThan" allowBlank="1" showInputMessage="1" showErrorMessage="1" sqref="A2561">
      <formula1>0</formula1>
    </dataValidation>
    <dataValidation type="list" allowBlank="1" showInputMessage="1" showErrorMessage="1" sqref="C2561">
      <formula1>UnidadesList</formula1>
    </dataValidation>
    <dataValidation type="decimal" operator="greaterThan" allowBlank="1" showInputMessage="1" showErrorMessage="1" sqref="D2561">
      <formula1>0</formula1>
    </dataValidation>
    <dataValidation type="decimal" operator="greaterThan" allowBlank="1" showInputMessage="1" showErrorMessage="1" sqref="E2561">
      <formula1>0</formula1>
    </dataValidation>
    <dataValidation type="whole" operator="greaterThan" allowBlank="1" showInputMessage="1" showErrorMessage="1" sqref="A2562">
      <formula1>0</formula1>
    </dataValidation>
    <dataValidation type="list" allowBlank="1" showInputMessage="1" showErrorMessage="1" sqref="C2562">
      <formula1>UnidadesList</formula1>
    </dataValidation>
    <dataValidation type="decimal" operator="greaterThan" allowBlank="1" showInputMessage="1" showErrorMessage="1" sqref="D2562">
      <formula1>0</formula1>
    </dataValidation>
    <dataValidation type="decimal" operator="greaterThan" allowBlank="1" showInputMessage="1" showErrorMessage="1" sqref="E2562">
      <formula1>0</formula1>
    </dataValidation>
    <dataValidation type="whole" operator="greaterThan" allowBlank="1" showInputMessage="1" showErrorMessage="1" sqref="A2563">
      <formula1>0</formula1>
    </dataValidation>
    <dataValidation type="list" allowBlank="1" showInputMessage="1" showErrorMessage="1" sqref="C2563">
      <formula1>UnidadesList</formula1>
    </dataValidation>
    <dataValidation type="decimal" operator="greaterThan" allowBlank="1" showInputMessage="1" showErrorMessage="1" sqref="D2563">
      <formula1>0</formula1>
    </dataValidation>
    <dataValidation type="decimal" operator="greaterThan" allowBlank="1" showInputMessage="1" showErrorMessage="1" sqref="E2563">
      <formula1>0</formula1>
    </dataValidation>
    <dataValidation type="whole" operator="greaterThan" allowBlank="1" showInputMessage="1" showErrorMessage="1" sqref="A2564">
      <formula1>0</formula1>
    </dataValidation>
    <dataValidation type="list" allowBlank="1" showInputMessage="1" showErrorMessage="1" sqref="C2564">
      <formula1>UnidadesList</formula1>
    </dataValidation>
    <dataValidation type="decimal" operator="greaterThan" allowBlank="1" showInputMessage="1" showErrorMessage="1" sqref="D2564">
      <formula1>0</formula1>
    </dataValidation>
    <dataValidation type="decimal" operator="greaterThan" allowBlank="1" showInputMessage="1" showErrorMessage="1" sqref="E2564">
      <formula1>0</formula1>
    </dataValidation>
    <dataValidation type="whole" operator="greaterThan" allowBlank="1" showInputMessage="1" showErrorMessage="1" sqref="A2565">
      <formula1>0</formula1>
    </dataValidation>
    <dataValidation type="list" allowBlank="1" showInputMessage="1" showErrorMessage="1" sqref="C2565">
      <formula1>UnidadesList</formula1>
    </dataValidation>
    <dataValidation type="decimal" operator="greaterThan" allowBlank="1" showInputMessage="1" showErrorMessage="1" sqref="D2565">
      <formula1>0</formula1>
    </dataValidation>
    <dataValidation type="decimal" operator="greaterThan" allowBlank="1" showInputMessage="1" showErrorMessage="1" sqref="E2565">
      <formula1>0</formula1>
    </dataValidation>
    <dataValidation type="whole" operator="greaterThan" allowBlank="1" showInputMessage="1" showErrorMessage="1" sqref="A2566">
      <formula1>0</formula1>
    </dataValidation>
    <dataValidation type="list" allowBlank="1" showInputMessage="1" showErrorMessage="1" sqref="C2566">
      <formula1>UnidadesList</formula1>
    </dataValidation>
    <dataValidation type="decimal" operator="greaterThan" allowBlank="1" showInputMessage="1" showErrorMessage="1" sqref="D2566">
      <formula1>0</formula1>
    </dataValidation>
    <dataValidation type="decimal" operator="greaterThan" allowBlank="1" showInputMessage="1" showErrorMessage="1" sqref="E2566">
      <formula1>0</formula1>
    </dataValidation>
    <dataValidation type="whole" operator="greaterThan" allowBlank="1" showInputMessage="1" showErrorMessage="1" sqref="A2567">
      <formula1>0</formula1>
    </dataValidation>
    <dataValidation type="list" allowBlank="1" showInputMessage="1" showErrorMessage="1" sqref="C2567">
      <formula1>UnidadesList</formula1>
    </dataValidation>
    <dataValidation type="decimal" operator="greaterThan" allowBlank="1" showInputMessage="1" showErrorMessage="1" sqref="D2567">
      <formula1>0</formula1>
    </dataValidation>
    <dataValidation type="decimal" operator="greaterThan" allowBlank="1" showInputMessage="1" showErrorMessage="1" sqref="E2567">
      <formula1>0</formula1>
    </dataValidation>
    <dataValidation type="whole" operator="greaterThan" allowBlank="1" showInputMessage="1" showErrorMessage="1" sqref="A2568">
      <formula1>0</formula1>
    </dataValidation>
    <dataValidation type="list" allowBlank="1" showInputMessage="1" showErrorMessage="1" sqref="C2568">
      <formula1>UnidadesList</formula1>
    </dataValidation>
    <dataValidation type="decimal" operator="greaterThan" allowBlank="1" showInputMessage="1" showErrorMessage="1" sqref="D2568">
      <formula1>0</formula1>
    </dataValidation>
    <dataValidation type="decimal" operator="greaterThan" allowBlank="1" showInputMessage="1" showErrorMessage="1" sqref="E2568">
      <formula1>0</formula1>
    </dataValidation>
    <dataValidation type="whole" operator="greaterThan" allowBlank="1" showInputMessage="1" showErrorMessage="1" sqref="A2569">
      <formula1>0</formula1>
    </dataValidation>
    <dataValidation type="list" allowBlank="1" showInputMessage="1" showErrorMessage="1" sqref="C2569">
      <formula1>UnidadesList</formula1>
    </dataValidation>
    <dataValidation type="decimal" operator="greaterThan" allowBlank="1" showInputMessage="1" showErrorMessage="1" sqref="D2569">
      <formula1>0</formula1>
    </dataValidation>
    <dataValidation type="decimal" operator="greaterThan" allowBlank="1" showInputMessage="1" showErrorMessage="1" sqref="E2569">
      <formula1>0</formula1>
    </dataValidation>
    <dataValidation type="whole" operator="greaterThan" allowBlank="1" showInputMessage="1" showErrorMessage="1" sqref="A2570">
      <formula1>0</formula1>
    </dataValidation>
    <dataValidation type="list" allowBlank="1" showInputMessage="1" showErrorMessage="1" sqref="C2570">
      <formula1>UnidadesList</formula1>
    </dataValidation>
    <dataValidation type="decimal" operator="greaterThan" allowBlank="1" showInputMessage="1" showErrorMessage="1" sqref="D2570">
      <formula1>0</formula1>
    </dataValidation>
    <dataValidation type="decimal" operator="greaterThan" allowBlank="1" showInputMessage="1" showErrorMessage="1" sqref="E2570">
      <formula1>0</formula1>
    </dataValidation>
    <dataValidation type="whole" operator="greaterThan" allowBlank="1" showInputMessage="1" showErrorMessage="1" sqref="A2571">
      <formula1>0</formula1>
    </dataValidation>
    <dataValidation type="list" allowBlank="1" showInputMessage="1" showErrorMessage="1" sqref="C2571">
      <formula1>UnidadesList</formula1>
    </dataValidation>
    <dataValidation type="decimal" operator="greaterThan" allowBlank="1" showInputMessage="1" showErrorMessage="1" sqref="D2571">
      <formula1>0</formula1>
    </dataValidation>
    <dataValidation type="decimal" operator="greaterThan" allowBlank="1" showInputMessage="1" showErrorMessage="1" sqref="E2571">
      <formula1>0</formula1>
    </dataValidation>
    <dataValidation type="whole" operator="greaterThan" allowBlank="1" showInputMessage="1" showErrorMessage="1" sqref="A2572">
      <formula1>0</formula1>
    </dataValidation>
    <dataValidation type="list" allowBlank="1" showInputMessage="1" showErrorMessage="1" sqref="C2572">
      <formula1>UnidadesList</formula1>
    </dataValidation>
    <dataValidation type="decimal" operator="greaterThan" allowBlank="1" showInputMessage="1" showErrorMessage="1" sqref="D2572">
      <formula1>0</formula1>
    </dataValidation>
    <dataValidation type="decimal" operator="greaterThan" allowBlank="1" showInputMessage="1" showErrorMessage="1" sqref="E2572">
      <formula1>0</formula1>
    </dataValidation>
    <dataValidation type="whole" operator="greaterThan" allowBlank="1" showInputMessage="1" showErrorMessage="1" sqref="A2573">
      <formula1>0</formula1>
    </dataValidation>
    <dataValidation type="list" allowBlank="1" showInputMessage="1" showErrorMessage="1" sqref="C2573">
      <formula1>UnidadesList</formula1>
    </dataValidation>
    <dataValidation type="decimal" operator="greaterThan" allowBlank="1" showInputMessage="1" showErrorMessage="1" sqref="D2573">
      <formula1>0</formula1>
    </dataValidation>
    <dataValidation type="decimal" operator="greaterThan" allowBlank="1" showInputMessage="1" showErrorMessage="1" sqref="E2573">
      <formula1>0</formula1>
    </dataValidation>
    <dataValidation type="whole" operator="greaterThan" allowBlank="1" showInputMessage="1" showErrorMessage="1" sqref="A2574">
      <formula1>0</formula1>
    </dataValidation>
    <dataValidation type="list" allowBlank="1" showInputMessage="1" showErrorMessage="1" sqref="C2574">
      <formula1>UnidadesList</formula1>
    </dataValidation>
    <dataValidation type="decimal" operator="greaterThan" allowBlank="1" showInputMessage="1" showErrorMessage="1" sqref="D2574">
      <formula1>0</formula1>
    </dataValidation>
    <dataValidation type="decimal" operator="greaterThan" allowBlank="1" showInputMessage="1" showErrorMessage="1" sqref="E2574">
      <formula1>0</formula1>
    </dataValidation>
    <dataValidation type="whole" operator="greaterThan" allowBlank="1" showInputMessage="1" showErrorMessage="1" sqref="A2575">
      <formula1>0</formula1>
    </dataValidation>
    <dataValidation type="list" allowBlank="1" showInputMessage="1" showErrorMessage="1" sqref="C2575">
      <formula1>UnidadesList</formula1>
    </dataValidation>
    <dataValidation type="decimal" operator="greaterThan" allowBlank="1" showInputMessage="1" showErrorMessage="1" sqref="D2575">
      <formula1>0</formula1>
    </dataValidation>
    <dataValidation type="decimal" operator="greaterThan" allowBlank="1" showInputMessage="1" showErrorMessage="1" sqref="E2575">
      <formula1>0</formula1>
    </dataValidation>
    <dataValidation type="whole" operator="greaterThan" allowBlank="1" showInputMessage="1" showErrorMessage="1" sqref="A2576">
      <formula1>0</formula1>
    </dataValidation>
    <dataValidation type="list" allowBlank="1" showInputMessage="1" showErrorMessage="1" sqref="C2576">
      <formula1>UnidadesList</formula1>
    </dataValidation>
    <dataValidation type="decimal" operator="greaterThan" allowBlank="1" showInputMessage="1" showErrorMessage="1" sqref="D2576">
      <formula1>0</formula1>
    </dataValidation>
    <dataValidation type="decimal" operator="greaterThan" allowBlank="1" showInputMessage="1" showErrorMessage="1" sqref="E2576">
      <formula1>0</formula1>
    </dataValidation>
    <dataValidation type="whole" operator="greaterThan" allowBlank="1" showInputMessage="1" showErrorMessage="1" sqref="A2577">
      <formula1>0</formula1>
    </dataValidation>
    <dataValidation type="list" allowBlank="1" showInputMessage="1" showErrorMessage="1" sqref="C2577">
      <formula1>UnidadesList</formula1>
    </dataValidation>
    <dataValidation type="decimal" operator="greaterThan" allowBlank="1" showInputMessage="1" showErrorMessage="1" sqref="D2577">
      <formula1>0</formula1>
    </dataValidation>
    <dataValidation type="decimal" operator="greaterThan" allowBlank="1" showInputMessage="1" showErrorMessage="1" sqref="E2577">
      <formula1>0</formula1>
    </dataValidation>
    <dataValidation type="whole" operator="greaterThan" allowBlank="1" showInputMessage="1" showErrorMessage="1" sqref="A2578">
      <formula1>0</formula1>
    </dataValidation>
    <dataValidation type="list" allowBlank="1" showInputMessage="1" showErrorMessage="1" sqref="C2578">
      <formula1>UnidadesList</formula1>
    </dataValidation>
    <dataValidation type="decimal" operator="greaterThan" allowBlank="1" showInputMessage="1" showErrorMessage="1" sqref="D2578">
      <formula1>0</formula1>
    </dataValidation>
    <dataValidation type="decimal" operator="greaterThan" allowBlank="1" showInputMessage="1" showErrorMessage="1" sqref="E2578">
      <formula1>0</formula1>
    </dataValidation>
    <dataValidation type="whole" operator="greaterThan" allowBlank="1" showInputMessage="1" showErrorMessage="1" sqref="A2579">
      <formula1>0</formula1>
    </dataValidation>
    <dataValidation type="list" allowBlank="1" showInputMessage="1" showErrorMessage="1" sqref="C2579">
      <formula1>UnidadesList</formula1>
    </dataValidation>
    <dataValidation type="decimal" operator="greaterThan" allowBlank="1" showInputMessage="1" showErrorMessage="1" sqref="D2579">
      <formula1>0</formula1>
    </dataValidation>
    <dataValidation type="decimal" operator="greaterThan" allowBlank="1" showInputMessage="1" showErrorMessage="1" sqref="E2579">
      <formula1>0</formula1>
    </dataValidation>
    <dataValidation type="whole" operator="greaterThan" allowBlank="1" showInputMessage="1" showErrorMessage="1" sqref="A2580">
      <formula1>0</formula1>
    </dataValidation>
    <dataValidation type="list" allowBlank="1" showInputMessage="1" showErrorMessage="1" sqref="C2580">
      <formula1>UnidadesList</formula1>
    </dataValidation>
    <dataValidation type="decimal" operator="greaterThan" allowBlank="1" showInputMessage="1" showErrorMessage="1" sqref="D2580">
      <formula1>0</formula1>
    </dataValidation>
    <dataValidation type="decimal" operator="greaterThan" allowBlank="1" showInputMessage="1" showErrorMessage="1" sqref="E2580">
      <formula1>0</formula1>
    </dataValidation>
    <dataValidation type="whole" operator="greaterThan" allowBlank="1" showInputMessage="1" showErrorMessage="1" sqref="A2581">
      <formula1>0</formula1>
    </dataValidation>
    <dataValidation type="list" allowBlank="1" showInputMessage="1" showErrorMessage="1" sqref="C2581">
      <formula1>UnidadesList</formula1>
    </dataValidation>
    <dataValidation type="decimal" operator="greaterThan" allowBlank="1" showInputMessage="1" showErrorMessage="1" sqref="D2581">
      <formula1>0</formula1>
    </dataValidation>
    <dataValidation type="decimal" operator="greaterThan" allowBlank="1" showInputMessage="1" showErrorMessage="1" sqref="E2581">
      <formula1>0</formula1>
    </dataValidation>
    <dataValidation type="whole" operator="greaterThan" allowBlank="1" showInputMessage="1" showErrorMessage="1" sqref="A2582">
      <formula1>0</formula1>
    </dataValidation>
    <dataValidation type="list" allowBlank="1" showInputMessage="1" showErrorMessage="1" sqref="C2582">
      <formula1>UnidadesList</formula1>
    </dataValidation>
    <dataValidation type="decimal" operator="greaterThan" allowBlank="1" showInputMessage="1" showErrorMessage="1" sqref="D2582">
      <formula1>0</formula1>
    </dataValidation>
    <dataValidation type="decimal" operator="greaterThan" allowBlank="1" showInputMessage="1" showErrorMessage="1" sqref="E2582">
      <formula1>0</formula1>
    </dataValidation>
    <dataValidation type="whole" operator="greaterThan" allowBlank="1" showInputMessage="1" showErrorMessage="1" sqref="A2583">
      <formula1>0</formula1>
    </dataValidation>
    <dataValidation type="list" allowBlank="1" showInputMessage="1" showErrorMessage="1" sqref="C2583">
      <formula1>UnidadesList</formula1>
    </dataValidation>
    <dataValidation type="decimal" operator="greaterThan" allowBlank="1" showInputMessage="1" showErrorMessage="1" sqref="D2583">
      <formula1>0</formula1>
    </dataValidation>
    <dataValidation type="decimal" operator="greaterThan" allowBlank="1" showInputMessage="1" showErrorMessage="1" sqref="E2583">
      <formula1>0</formula1>
    </dataValidation>
    <dataValidation type="whole" operator="greaterThan" allowBlank="1" showInputMessage="1" showErrorMessage="1" sqref="A2584">
      <formula1>0</formula1>
    </dataValidation>
    <dataValidation type="list" allowBlank="1" showInputMessage="1" showErrorMessage="1" sqref="C2584">
      <formula1>UnidadesList</formula1>
    </dataValidation>
    <dataValidation type="decimal" operator="greaterThan" allowBlank="1" showInputMessage="1" showErrorMessage="1" sqref="D2584">
      <formula1>0</formula1>
    </dataValidation>
    <dataValidation type="decimal" operator="greaterThan" allowBlank="1" showInputMessage="1" showErrorMessage="1" sqref="E2584">
      <formula1>0</formula1>
    </dataValidation>
    <dataValidation type="whole" operator="greaterThan" allowBlank="1" showInputMessage="1" showErrorMessage="1" sqref="A2585">
      <formula1>0</formula1>
    </dataValidation>
    <dataValidation type="list" allowBlank="1" showInputMessage="1" showErrorMessage="1" sqref="C2585">
      <formula1>UnidadesList</formula1>
    </dataValidation>
    <dataValidation type="decimal" operator="greaterThan" allowBlank="1" showInputMessage="1" showErrorMessage="1" sqref="D2585">
      <formula1>0</formula1>
    </dataValidation>
    <dataValidation type="decimal" operator="greaterThan" allowBlank="1" showInputMessage="1" showErrorMessage="1" sqref="E2585">
      <formula1>0</formula1>
    </dataValidation>
    <dataValidation type="whole" operator="greaterThan" allowBlank="1" showInputMessage="1" showErrorMessage="1" sqref="A2586">
      <formula1>0</formula1>
    </dataValidation>
    <dataValidation type="list" allowBlank="1" showInputMessage="1" showErrorMessage="1" sqref="C2586">
      <formula1>UnidadesList</formula1>
    </dataValidation>
    <dataValidation type="decimal" operator="greaterThan" allowBlank="1" showInputMessage="1" showErrorMessage="1" sqref="D2586">
      <formula1>0</formula1>
    </dataValidation>
    <dataValidation type="decimal" operator="greaterThan" allowBlank="1" showInputMessage="1" showErrorMessage="1" sqref="E2586">
      <formula1>0</formula1>
    </dataValidation>
    <dataValidation type="whole" operator="greaterThan" allowBlank="1" showInputMessage="1" showErrorMessage="1" sqref="A2587">
      <formula1>0</formula1>
    </dataValidation>
    <dataValidation type="list" allowBlank="1" showInputMessage="1" showErrorMessage="1" sqref="C2587">
      <formula1>UnidadesList</formula1>
    </dataValidation>
    <dataValidation type="decimal" operator="greaterThan" allowBlank="1" showInputMessage="1" showErrorMessage="1" sqref="D2587">
      <formula1>0</formula1>
    </dataValidation>
    <dataValidation type="decimal" operator="greaterThan" allowBlank="1" showInputMessage="1" showErrorMessage="1" sqref="E2587">
      <formula1>0</formula1>
    </dataValidation>
    <dataValidation type="whole" operator="greaterThan" allowBlank="1" showInputMessage="1" showErrorMessage="1" sqref="A2588">
      <formula1>0</formula1>
    </dataValidation>
    <dataValidation type="list" allowBlank="1" showInputMessage="1" showErrorMessage="1" sqref="C2588">
      <formula1>UnidadesList</formula1>
    </dataValidation>
    <dataValidation type="decimal" operator="greaterThan" allowBlank="1" showInputMessage="1" showErrorMessage="1" sqref="D2588">
      <formula1>0</formula1>
    </dataValidation>
    <dataValidation type="decimal" operator="greaterThan" allowBlank="1" showInputMessage="1" showErrorMessage="1" sqref="E2588">
      <formula1>0</formula1>
    </dataValidation>
    <dataValidation type="whole" operator="greaterThan" allowBlank="1" showInputMessage="1" showErrorMessage="1" sqref="A2589">
      <formula1>0</formula1>
    </dataValidation>
    <dataValidation type="list" allowBlank="1" showInputMessage="1" showErrorMessage="1" sqref="C2589">
      <formula1>UnidadesList</formula1>
    </dataValidation>
    <dataValidation type="decimal" operator="greaterThan" allowBlank="1" showInputMessage="1" showErrorMessage="1" sqref="D2589">
      <formula1>0</formula1>
    </dataValidation>
    <dataValidation type="decimal" operator="greaterThan" allowBlank="1" showInputMessage="1" showErrorMessage="1" sqref="E2589">
      <formula1>0</formula1>
    </dataValidation>
    <dataValidation type="whole" operator="greaterThan" allowBlank="1" showInputMessage="1" showErrorMessage="1" sqref="A2590">
      <formula1>0</formula1>
    </dataValidation>
    <dataValidation type="list" allowBlank="1" showInputMessage="1" showErrorMessage="1" sqref="C2590">
      <formula1>UnidadesList</formula1>
    </dataValidation>
    <dataValidation type="decimal" operator="greaterThan" allowBlank="1" showInputMessage="1" showErrorMessage="1" sqref="D2590">
      <formula1>0</formula1>
    </dataValidation>
    <dataValidation type="decimal" operator="greaterThan" allowBlank="1" showInputMessage="1" showErrorMessage="1" sqref="E2590">
      <formula1>0</formula1>
    </dataValidation>
    <dataValidation type="whole" operator="greaterThan" allowBlank="1" showInputMessage="1" showErrorMessage="1" sqref="A2591">
      <formula1>0</formula1>
    </dataValidation>
    <dataValidation type="list" allowBlank="1" showInputMessage="1" showErrorMessage="1" sqref="C2591">
      <formula1>UnidadesList</formula1>
    </dataValidation>
    <dataValidation type="decimal" operator="greaterThan" allowBlank="1" showInputMessage="1" showErrorMessage="1" sqref="D2591">
      <formula1>0</formula1>
    </dataValidation>
    <dataValidation type="decimal" operator="greaterThan" allowBlank="1" showInputMessage="1" showErrorMessage="1" sqref="E2591">
      <formula1>0</formula1>
    </dataValidation>
    <dataValidation type="whole" operator="greaterThan" allowBlank="1" showInputMessage="1" showErrorMessage="1" sqref="A2592">
      <formula1>0</formula1>
    </dataValidation>
    <dataValidation type="list" allowBlank="1" showInputMessage="1" showErrorMessage="1" sqref="C2592">
      <formula1>UnidadesList</formula1>
    </dataValidation>
    <dataValidation type="decimal" operator="greaterThan" allowBlank="1" showInputMessage="1" showErrorMessage="1" sqref="D2592">
      <formula1>0</formula1>
    </dataValidation>
    <dataValidation type="decimal" operator="greaterThan" allowBlank="1" showInputMessage="1" showErrorMessage="1" sqref="E2592">
      <formula1>0</formula1>
    </dataValidation>
    <dataValidation type="whole" operator="greaterThan" allowBlank="1" showInputMessage="1" showErrorMessage="1" sqref="A2593">
      <formula1>0</formula1>
    </dataValidation>
    <dataValidation type="list" allowBlank="1" showInputMessage="1" showErrorMessage="1" sqref="C2593">
      <formula1>UnidadesList</formula1>
    </dataValidation>
    <dataValidation type="decimal" operator="greaterThan" allowBlank="1" showInputMessage="1" showErrorMessage="1" sqref="D2593">
      <formula1>0</formula1>
    </dataValidation>
    <dataValidation type="decimal" operator="greaterThan" allowBlank="1" showInputMessage="1" showErrorMessage="1" sqref="E2593">
      <formula1>0</formula1>
    </dataValidation>
    <dataValidation type="whole" operator="greaterThan" allowBlank="1" showInputMessage="1" showErrorMessage="1" sqref="A2594">
      <formula1>0</formula1>
    </dataValidation>
    <dataValidation type="list" allowBlank="1" showInputMessage="1" showErrorMessage="1" sqref="C2594">
      <formula1>UnidadesList</formula1>
    </dataValidation>
    <dataValidation type="decimal" operator="greaterThan" allowBlank="1" showInputMessage="1" showErrorMessage="1" sqref="D2594">
      <formula1>0</formula1>
    </dataValidation>
    <dataValidation type="decimal" operator="greaterThan" allowBlank="1" showInputMessage="1" showErrorMessage="1" sqref="E2594">
      <formula1>0</formula1>
    </dataValidation>
    <dataValidation type="whole" operator="greaterThan" allowBlank="1" showInputMessage="1" showErrorMessage="1" sqref="A2595">
      <formula1>0</formula1>
    </dataValidation>
    <dataValidation type="list" allowBlank="1" showInputMessage="1" showErrorMessage="1" sqref="C2595">
      <formula1>UnidadesList</formula1>
    </dataValidation>
    <dataValidation type="decimal" operator="greaterThan" allowBlank="1" showInputMessage="1" showErrorMessage="1" sqref="D2595">
      <formula1>0</formula1>
    </dataValidation>
    <dataValidation type="decimal" operator="greaterThan" allowBlank="1" showInputMessage="1" showErrorMessage="1" sqref="E2595">
      <formula1>0</formula1>
    </dataValidation>
    <dataValidation type="date" operator="lessThanOrEqual" allowBlank="1" showInputMessage="1" showErrorMessage="1" sqref="C2600">
      <formula1>C2602</formula1>
    </dataValidation>
    <dataValidation type="date" operator="greaterThanOrEqual" allowBlank="1" showInputMessage="1" showErrorMessage="1" sqref="C2602">
      <formula1>C2600</formula1>
    </dataValidation>
    <dataValidation type="list" allowBlank="1" showInputMessage="1" showErrorMessage="1" sqref="F260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0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0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0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06">
      <formula1>0</formula1>
    </dataValidation>
    <dataValidation type="list" allowBlank="1" showInputMessage="1" showErrorMessage="1" sqref="C2606">
      <formula1>UnidadesList</formula1>
    </dataValidation>
    <dataValidation type="decimal" operator="greaterThan" allowBlank="1" showInputMessage="1" showErrorMessage="1" sqref="D2606">
      <formula1>0</formula1>
    </dataValidation>
    <dataValidation type="decimal" operator="greaterThan" allowBlank="1" showInputMessage="1" showErrorMessage="1" sqref="E2606">
      <formula1>0</formula1>
    </dataValidation>
    <dataValidation type="whole" operator="greaterThan" allowBlank="1" showInputMessage="1" showErrorMessage="1" sqref="A2607">
      <formula1>0</formula1>
    </dataValidation>
    <dataValidation type="list" allowBlank="1" showInputMessage="1" showErrorMessage="1" sqref="C2607">
      <formula1>UnidadesList</formula1>
    </dataValidation>
    <dataValidation type="decimal" operator="greaterThan" allowBlank="1" showInputMessage="1" showErrorMessage="1" sqref="D2607">
      <formula1>0</formula1>
    </dataValidation>
    <dataValidation type="decimal" operator="greaterThan" allowBlank="1" showInputMessage="1" showErrorMessage="1" sqref="E2607">
      <formula1>0</formula1>
    </dataValidation>
    <dataValidation type="whole" operator="greaterThan" allowBlank="1" showInputMessage="1" showErrorMessage="1" sqref="A2608">
      <formula1>0</formula1>
    </dataValidation>
    <dataValidation type="list" allowBlank="1" showInputMessage="1" showErrorMessage="1" sqref="C2608">
      <formula1>UnidadesList</formula1>
    </dataValidation>
    <dataValidation type="decimal" operator="greaterThan" allowBlank="1" showInputMessage="1" showErrorMessage="1" sqref="D2608">
      <formula1>0</formula1>
    </dataValidation>
    <dataValidation type="decimal" operator="greaterThan" allowBlank="1" showInputMessage="1" showErrorMessage="1" sqref="E2608">
      <formula1>0</formula1>
    </dataValidation>
    <dataValidation type="whole" operator="greaterThan" allowBlank="1" showInputMessage="1" showErrorMessage="1" sqref="A2609">
      <formula1>0</formula1>
    </dataValidation>
    <dataValidation type="list" allowBlank="1" showInputMessage="1" showErrorMessage="1" sqref="C2609">
      <formula1>UnidadesList</formula1>
    </dataValidation>
    <dataValidation type="decimal" operator="greaterThan" allowBlank="1" showInputMessage="1" showErrorMessage="1" sqref="D2609">
      <formula1>0</formula1>
    </dataValidation>
    <dataValidation type="decimal" operator="greaterThan" allowBlank="1" showInputMessage="1" showErrorMessage="1" sqref="E2609">
      <formula1>0</formula1>
    </dataValidation>
    <dataValidation type="whole" operator="greaterThan" allowBlank="1" showInputMessage="1" showErrorMessage="1" sqref="A2610">
      <formula1>0</formula1>
    </dataValidation>
    <dataValidation type="list" allowBlank="1" showInputMessage="1" showErrorMessage="1" sqref="C2610">
      <formula1>UnidadesList</formula1>
    </dataValidation>
    <dataValidation type="decimal" operator="greaterThan" allowBlank="1" showInputMessage="1" showErrorMessage="1" sqref="D2610">
      <formula1>0</formula1>
    </dataValidation>
    <dataValidation type="decimal" operator="greaterThan" allowBlank="1" showInputMessage="1" showErrorMessage="1" sqref="E2610">
      <formula1>0</formula1>
    </dataValidation>
    <dataValidation type="whole" operator="greaterThan" allowBlank="1" showInputMessage="1" showErrorMessage="1" sqref="A2611">
      <formula1>0</formula1>
    </dataValidation>
    <dataValidation type="list" allowBlank="1" showInputMessage="1" showErrorMessage="1" sqref="C2611">
      <formula1>UnidadesList</formula1>
    </dataValidation>
    <dataValidation type="decimal" operator="greaterThan" allowBlank="1" showInputMessage="1" showErrorMessage="1" sqref="D2611">
      <formula1>0</formula1>
    </dataValidation>
    <dataValidation type="decimal" operator="greaterThan" allowBlank="1" showInputMessage="1" showErrorMessage="1" sqref="E2611">
      <formula1>0</formula1>
    </dataValidation>
    <dataValidation type="whole" operator="greaterThan" allowBlank="1" showInputMessage="1" showErrorMessage="1" sqref="A2612">
      <formula1>0</formula1>
    </dataValidation>
    <dataValidation type="list" allowBlank="1" showInputMessage="1" showErrorMessage="1" sqref="C2612">
      <formula1>UnidadesList</formula1>
    </dataValidation>
    <dataValidation type="decimal" operator="greaterThan" allowBlank="1" showInputMessage="1" showErrorMessage="1" sqref="D2612">
      <formula1>0</formula1>
    </dataValidation>
    <dataValidation type="decimal" operator="greaterThan" allowBlank="1" showInputMessage="1" showErrorMessage="1" sqref="E2612">
      <formula1>0</formula1>
    </dataValidation>
    <dataValidation type="whole" operator="greaterThan" allowBlank="1" showInputMessage="1" showErrorMessage="1" sqref="A2613">
      <formula1>0</formula1>
    </dataValidation>
    <dataValidation type="list" allowBlank="1" showInputMessage="1" showErrorMessage="1" sqref="C2613">
      <formula1>UnidadesList</formula1>
    </dataValidation>
    <dataValidation type="decimal" operator="greaterThan" allowBlank="1" showInputMessage="1" showErrorMessage="1" sqref="D2613">
      <formula1>0</formula1>
    </dataValidation>
    <dataValidation type="decimal" operator="greaterThan" allowBlank="1" showInputMessage="1" showErrorMessage="1" sqref="E2613">
      <formula1>0</formula1>
    </dataValidation>
    <dataValidation type="whole" operator="greaterThan" allowBlank="1" showInputMessage="1" showErrorMessage="1" sqref="A2614">
      <formula1>0</formula1>
    </dataValidation>
    <dataValidation type="list" allowBlank="1" showInputMessage="1" showErrorMessage="1" sqref="C2614">
      <formula1>UnidadesList</formula1>
    </dataValidation>
    <dataValidation type="decimal" operator="greaterThan" allowBlank="1" showInputMessage="1" showErrorMessage="1" sqref="D2614">
      <formula1>0</formula1>
    </dataValidation>
    <dataValidation type="decimal" operator="greaterThan" allowBlank="1" showInputMessage="1" showErrorMessage="1" sqref="E2614">
      <formula1>0</formula1>
    </dataValidation>
    <dataValidation type="whole" operator="greaterThan" allowBlank="1" showInputMessage="1" showErrorMessage="1" sqref="A2615">
      <formula1>0</formula1>
    </dataValidation>
    <dataValidation type="list" allowBlank="1" showInputMessage="1" showErrorMessage="1" sqref="C2615">
      <formula1>UnidadesList</formula1>
    </dataValidation>
    <dataValidation type="decimal" operator="greaterThan" allowBlank="1" showInputMessage="1" showErrorMessage="1" sqref="D2615">
      <formula1>0</formula1>
    </dataValidation>
    <dataValidation type="decimal" operator="greaterThan" allowBlank="1" showInputMessage="1" showErrorMessage="1" sqref="E2615">
      <formula1>0</formula1>
    </dataValidation>
    <dataValidation type="whole" operator="greaterThan" allowBlank="1" showInputMessage="1" showErrorMessage="1" sqref="A2616">
      <formula1>0</formula1>
    </dataValidation>
    <dataValidation type="list" allowBlank="1" showInputMessage="1" showErrorMessage="1" sqref="C2616">
      <formula1>UnidadesList</formula1>
    </dataValidation>
    <dataValidation type="decimal" operator="greaterThan" allowBlank="1" showInputMessage="1" showErrorMessage="1" sqref="D2616">
      <formula1>0</formula1>
    </dataValidation>
    <dataValidation type="decimal" operator="greaterThan" allowBlank="1" showInputMessage="1" showErrorMessage="1" sqref="E2616">
      <formula1>0</formula1>
    </dataValidation>
    <dataValidation type="whole" operator="greaterThan" allowBlank="1" showInputMessage="1" showErrorMessage="1" sqref="A2617">
      <formula1>0</formula1>
    </dataValidation>
    <dataValidation type="list" allowBlank="1" showInputMessage="1" showErrorMessage="1" sqref="C2617">
      <formula1>UnidadesList</formula1>
    </dataValidation>
    <dataValidation type="decimal" operator="greaterThan" allowBlank="1" showInputMessage="1" showErrorMessage="1" sqref="D2617">
      <formula1>0</formula1>
    </dataValidation>
    <dataValidation type="decimal" operator="greaterThan" allowBlank="1" showInputMessage="1" showErrorMessage="1" sqref="E2617">
      <formula1>0</formula1>
    </dataValidation>
    <dataValidation type="whole" operator="greaterThan" allowBlank="1" showInputMessage="1" showErrorMessage="1" sqref="A2618">
      <formula1>0</formula1>
    </dataValidation>
    <dataValidation type="list" allowBlank="1" showInputMessage="1" showErrorMessage="1" sqref="C2618">
      <formula1>UnidadesList</formula1>
    </dataValidation>
    <dataValidation type="decimal" operator="greaterThan" allowBlank="1" showInputMessage="1" showErrorMessage="1" sqref="D2618">
      <formula1>0</formula1>
    </dataValidation>
    <dataValidation type="decimal" operator="greaterThan" allowBlank="1" showInputMessage="1" showErrorMessage="1" sqref="E2618">
      <formula1>0</formula1>
    </dataValidation>
    <dataValidation type="whole" operator="greaterThan" allowBlank="1" showInputMessage="1" showErrorMessage="1" sqref="A2619">
      <formula1>0</formula1>
    </dataValidation>
    <dataValidation type="list" allowBlank="1" showInputMessage="1" showErrorMessage="1" sqref="C2619">
      <formula1>UnidadesList</formula1>
    </dataValidation>
    <dataValidation type="decimal" operator="greaterThan" allowBlank="1" showInputMessage="1" showErrorMessage="1" sqref="D2619">
      <formula1>0</formula1>
    </dataValidation>
    <dataValidation type="decimal" operator="greaterThan" allowBlank="1" showInputMessage="1" showErrorMessage="1" sqref="E2619">
      <formula1>0</formula1>
    </dataValidation>
    <dataValidation type="whole" operator="greaterThan" allowBlank="1" showInputMessage="1" showErrorMessage="1" sqref="A2620">
      <formula1>0</formula1>
    </dataValidation>
    <dataValidation type="list" allowBlank="1" showInputMessage="1" showErrorMessage="1" sqref="C2620">
      <formula1>UnidadesList</formula1>
    </dataValidation>
    <dataValidation type="decimal" operator="greaterThan" allowBlank="1" showInputMessage="1" showErrorMessage="1" sqref="D2620">
      <formula1>0</formula1>
    </dataValidation>
    <dataValidation type="decimal" operator="greaterThan" allowBlank="1" showInputMessage="1" showErrorMessage="1" sqref="E2620">
      <formula1>0</formula1>
    </dataValidation>
    <dataValidation type="whole" operator="greaterThan" allowBlank="1" showInputMessage="1" showErrorMessage="1" sqref="A2621">
      <formula1>0</formula1>
    </dataValidation>
    <dataValidation type="list" allowBlank="1" showInputMessage="1" showErrorMessage="1" sqref="C2621">
      <formula1>UnidadesList</formula1>
    </dataValidation>
    <dataValidation type="decimal" operator="greaterThan" allowBlank="1" showInputMessage="1" showErrorMessage="1" sqref="D2621">
      <formula1>0</formula1>
    </dataValidation>
    <dataValidation type="decimal" operator="greaterThan" allowBlank="1" showInputMessage="1" showErrorMessage="1" sqref="E2621">
      <formula1>0</formula1>
    </dataValidation>
    <dataValidation type="whole" operator="greaterThan" allowBlank="1" showInputMessage="1" showErrorMessage="1" sqref="A2622">
      <formula1>0</formula1>
    </dataValidation>
    <dataValidation type="list" allowBlank="1" showInputMessage="1" showErrorMessage="1" sqref="C2622">
      <formula1>UnidadesList</formula1>
    </dataValidation>
    <dataValidation type="decimal" operator="greaterThan" allowBlank="1" showInputMessage="1" showErrorMessage="1" sqref="D2622">
      <formula1>0</formula1>
    </dataValidation>
    <dataValidation type="decimal" operator="greaterThan" allowBlank="1" showInputMessage="1" showErrorMessage="1" sqref="E2622">
      <formula1>0</formula1>
    </dataValidation>
    <dataValidation type="whole" operator="greaterThan" allowBlank="1" showInputMessage="1" showErrorMessage="1" sqref="A2623">
      <formula1>0</formula1>
    </dataValidation>
    <dataValidation type="list" allowBlank="1" showInputMessage="1" showErrorMessage="1" sqref="C2623">
      <formula1>UnidadesList</formula1>
    </dataValidation>
    <dataValidation type="decimal" operator="greaterThan" allowBlank="1" showInputMessage="1" showErrorMessage="1" sqref="D2623">
      <formula1>0</formula1>
    </dataValidation>
    <dataValidation type="decimal" operator="greaterThan" allowBlank="1" showInputMessage="1" showErrorMessage="1" sqref="E2623">
      <formula1>0</formula1>
    </dataValidation>
    <dataValidation type="whole" operator="greaterThan" allowBlank="1" showInputMessage="1" showErrorMessage="1" sqref="A2624">
      <formula1>0</formula1>
    </dataValidation>
    <dataValidation type="list" allowBlank="1" showInputMessage="1" showErrorMessage="1" sqref="C2624">
      <formula1>UnidadesList</formula1>
    </dataValidation>
    <dataValidation type="decimal" operator="greaterThan" allowBlank="1" showInputMessage="1" showErrorMessage="1" sqref="D2624">
      <formula1>0</formula1>
    </dataValidation>
    <dataValidation type="decimal" operator="greaterThan" allowBlank="1" showInputMessage="1" showErrorMessage="1" sqref="E2624">
      <formula1>0</formula1>
    </dataValidation>
    <dataValidation type="whole" operator="greaterThan" allowBlank="1" showInputMessage="1" showErrorMessage="1" sqref="A2625">
      <formula1>0</formula1>
    </dataValidation>
    <dataValidation type="list" allowBlank="1" showInputMessage="1" showErrorMessage="1" sqref="C2625">
      <formula1>UnidadesList</formula1>
    </dataValidation>
    <dataValidation type="decimal" operator="greaterThan" allowBlank="1" showInputMessage="1" showErrorMessage="1" sqref="D2625">
      <formula1>0</formula1>
    </dataValidation>
    <dataValidation type="decimal" operator="greaterThan" allowBlank="1" showInputMessage="1" showErrorMessage="1" sqref="E2625">
      <formula1>0</formula1>
    </dataValidation>
    <dataValidation type="whole" operator="greaterThan" allowBlank="1" showInputMessage="1" showErrorMessage="1" sqref="A2626">
      <formula1>0</formula1>
    </dataValidation>
    <dataValidation type="list" allowBlank="1" showInputMessage="1" showErrorMessage="1" sqref="C2626">
      <formula1>UnidadesList</formula1>
    </dataValidation>
    <dataValidation type="decimal" operator="greaterThan" allowBlank="1" showInputMessage="1" showErrorMessage="1" sqref="D2626">
      <formula1>0</formula1>
    </dataValidation>
    <dataValidation type="decimal" operator="greaterThan" allowBlank="1" showInputMessage="1" showErrorMessage="1" sqref="E2626">
      <formula1>0</formula1>
    </dataValidation>
    <dataValidation type="whole" operator="greaterThan" allowBlank="1" showInputMessage="1" showErrorMessage="1" sqref="A2627">
      <formula1>0</formula1>
    </dataValidation>
    <dataValidation type="list" allowBlank="1" showInputMessage="1" showErrorMessage="1" sqref="C2627">
      <formula1>UnidadesList</formula1>
    </dataValidation>
    <dataValidation type="decimal" operator="greaterThan" allowBlank="1" showInputMessage="1" showErrorMessage="1" sqref="D2627">
      <formula1>0</formula1>
    </dataValidation>
    <dataValidation type="decimal" operator="greaterThan" allowBlank="1" showInputMessage="1" showErrorMessage="1" sqref="E2627">
      <formula1>0</formula1>
    </dataValidation>
    <dataValidation type="whole" operator="greaterThan" allowBlank="1" showInputMessage="1" showErrorMessage="1" sqref="A2628">
      <formula1>0</formula1>
    </dataValidation>
    <dataValidation type="list" allowBlank="1" showInputMessage="1" showErrorMessage="1" sqref="C2628">
      <formula1>UnidadesList</formula1>
    </dataValidation>
    <dataValidation type="decimal" operator="greaterThan" allowBlank="1" showInputMessage="1" showErrorMessage="1" sqref="D2628">
      <formula1>0</formula1>
    </dataValidation>
    <dataValidation type="decimal" operator="greaterThan" allowBlank="1" showInputMessage="1" showErrorMessage="1" sqref="E2628">
      <formula1>0</formula1>
    </dataValidation>
    <dataValidation type="whole" operator="greaterThan" allowBlank="1" showInputMessage="1" showErrorMessage="1" sqref="A2629">
      <formula1>0</formula1>
    </dataValidation>
    <dataValidation type="list" allowBlank="1" showInputMessage="1" showErrorMessage="1" sqref="C2629">
      <formula1>UnidadesList</formula1>
    </dataValidation>
    <dataValidation type="decimal" operator="greaterThan" allowBlank="1" showInputMessage="1" showErrorMessage="1" sqref="D2629">
      <formula1>0</formula1>
    </dataValidation>
    <dataValidation type="decimal" operator="greaterThan" allowBlank="1" showInputMessage="1" showErrorMessage="1" sqref="E2629">
      <formula1>0</formula1>
    </dataValidation>
    <dataValidation type="whole" operator="greaterThan" allowBlank="1" showInputMessage="1" showErrorMessage="1" sqref="A2630">
      <formula1>0</formula1>
    </dataValidation>
    <dataValidation type="list" allowBlank="1" showInputMessage="1" showErrorMessage="1" sqref="C2630">
      <formula1>UnidadesList</formula1>
    </dataValidation>
    <dataValidation type="decimal" operator="greaterThan" allowBlank="1" showInputMessage="1" showErrorMessage="1" sqref="D2630">
      <formula1>0</formula1>
    </dataValidation>
    <dataValidation type="decimal" operator="greaterThan" allowBlank="1" showInputMessage="1" showErrorMessage="1" sqref="E2630">
      <formula1>0</formula1>
    </dataValidation>
    <dataValidation type="whole" operator="greaterThan" allowBlank="1" showInputMessage="1" showErrorMessage="1" sqref="A2631">
      <formula1>0</formula1>
    </dataValidation>
    <dataValidation type="list" allowBlank="1" showInputMessage="1" showErrorMessage="1" sqref="C2631">
      <formula1>UnidadesList</formula1>
    </dataValidation>
    <dataValidation type="decimal" operator="greaterThan" allowBlank="1" showInputMessage="1" showErrorMessage="1" sqref="D2631">
      <formula1>0</formula1>
    </dataValidation>
    <dataValidation type="decimal" operator="greaterThan" allowBlank="1" showInputMessage="1" showErrorMessage="1" sqref="E2631">
      <formula1>0</formula1>
    </dataValidation>
    <dataValidation type="whole" operator="greaterThan" allowBlank="1" showInputMessage="1" showErrorMessage="1" sqref="A2632">
      <formula1>0</formula1>
    </dataValidation>
    <dataValidation type="list" allowBlank="1" showInputMessage="1" showErrorMessage="1" sqref="C2632">
      <formula1>UnidadesList</formula1>
    </dataValidation>
    <dataValidation type="decimal" operator="greaterThan" allowBlank="1" showInputMessage="1" showErrorMessage="1" sqref="D2632">
      <formula1>0</formula1>
    </dataValidation>
    <dataValidation type="decimal" operator="greaterThan" allowBlank="1" showInputMessage="1" showErrorMessage="1" sqref="E2632">
      <formula1>0</formula1>
    </dataValidation>
    <dataValidation type="whole" operator="greaterThan" allowBlank="1" showInputMessage="1" showErrorMessage="1" sqref="A2633">
      <formula1>0</formula1>
    </dataValidation>
    <dataValidation type="list" allowBlank="1" showInputMessage="1" showErrorMessage="1" sqref="C2633">
      <formula1>UnidadesList</formula1>
    </dataValidation>
    <dataValidation type="decimal" operator="greaterThan" allowBlank="1" showInputMessage="1" showErrorMessage="1" sqref="D2633">
      <formula1>0</formula1>
    </dataValidation>
    <dataValidation type="decimal" operator="greaterThan" allowBlank="1" showInputMessage="1" showErrorMessage="1" sqref="E2633">
      <formula1>0</formula1>
    </dataValidation>
    <dataValidation type="whole" operator="greaterThan" allowBlank="1" showInputMessage="1" showErrorMessage="1" sqref="A2634">
      <formula1>0</formula1>
    </dataValidation>
    <dataValidation type="list" allowBlank="1" showInputMessage="1" showErrorMessage="1" sqref="C2634">
      <formula1>UnidadesList</formula1>
    </dataValidation>
    <dataValidation type="decimal" operator="greaterThan" allowBlank="1" showInputMessage="1" showErrorMessage="1" sqref="D2634">
      <formula1>0</formula1>
    </dataValidation>
    <dataValidation type="decimal" operator="greaterThan" allowBlank="1" showInputMessage="1" showErrorMessage="1" sqref="E2634">
      <formula1>0</formula1>
    </dataValidation>
    <dataValidation type="whole" operator="greaterThan" allowBlank="1" showInputMessage="1" showErrorMessage="1" sqref="A2635">
      <formula1>0</formula1>
    </dataValidation>
    <dataValidation type="list" allowBlank="1" showInputMessage="1" showErrorMessage="1" sqref="C2635">
      <formula1>UnidadesList</formula1>
    </dataValidation>
    <dataValidation type="decimal" operator="greaterThan" allowBlank="1" showInputMessage="1" showErrorMessage="1" sqref="D2635">
      <formula1>0</formula1>
    </dataValidation>
    <dataValidation type="decimal" operator="greaterThan" allowBlank="1" showInputMessage="1" showErrorMessage="1" sqref="E2635">
      <formula1>0</formula1>
    </dataValidation>
    <dataValidation type="whole" operator="greaterThan" allowBlank="1" showInputMessage="1" showErrorMessage="1" sqref="A2636">
      <formula1>0</formula1>
    </dataValidation>
    <dataValidation type="list" allowBlank="1" showInputMessage="1" showErrorMessage="1" sqref="C2636">
      <formula1>UnidadesList</formula1>
    </dataValidation>
    <dataValidation type="decimal" operator="greaterThan" allowBlank="1" showInputMessage="1" showErrorMessage="1" sqref="D2636">
      <formula1>0</formula1>
    </dataValidation>
    <dataValidation type="decimal" operator="greaterThan" allowBlank="1" showInputMessage="1" showErrorMessage="1" sqref="E2636">
      <formula1>0</formula1>
    </dataValidation>
    <dataValidation type="whole" operator="greaterThan" allowBlank="1" showInputMessage="1" showErrorMessage="1" sqref="A2637">
      <formula1>0</formula1>
    </dataValidation>
    <dataValidation type="list" allowBlank="1" showInputMessage="1" showErrorMessage="1" sqref="C2637">
      <formula1>UnidadesList</formula1>
    </dataValidation>
    <dataValidation type="decimal" operator="greaterThan" allowBlank="1" showInputMessage="1" showErrorMessage="1" sqref="D2637">
      <formula1>0</formula1>
    </dataValidation>
    <dataValidation type="decimal" operator="greaterThan" allowBlank="1" showInputMessage="1" showErrorMessage="1" sqref="E2637">
      <formula1>0</formula1>
    </dataValidation>
    <dataValidation type="whole" operator="greaterThan" allowBlank="1" showInputMessage="1" showErrorMessage="1" sqref="A2638">
      <formula1>0</formula1>
    </dataValidation>
    <dataValidation type="list" allowBlank="1" showInputMessage="1" showErrorMessage="1" sqref="C2638">
      <formula1>UnidadesList</formula1>
    </dataValidation>
    <dataValidation type="decimal" operator="greaterThan" allowBlank="1" showInputMessage="1" showErrorMessage="1" sqref="D2638">
      <formula1>0</formula1>
    </dataValidation>
    <dataValidation type="decimal" operator="greaterThan" allowBlank="1" showInputMessage="1" showErrorMessage="1" sqref="E2638">
      <formula1>0</formula1>
    </dataValidation>
    <dataValidation type="whole" operator="greaterThan" allowBlank="1" showInputMessage="1" showErrorMessage="1" sqref="A2639">
      <formula1>0</formula1>
    </dataValidation>
    <dataValidation type="list" allowBlank="1" showInputMessage="1" showErrorMessage="1" sqref="C2639">
      <formula1>UnidadesList</formula1>
    </dataValidation>
    <dataValidation type="decimal" operator="greaterThan" allowBlank="1" showInputMessage="1" showErrorMessage="1" sqref="D2639">
      <formula1>0</formula1>
    </dataValidation>
    <dataValidation type="decimal" operator="greaterThan" allowBlank="1" showInputMessage="1" showErrorMessage="1" sqref="E2639">
      <formula1>0</formula1>
    </dataValidation>
    <dataValidation type="whole" operator="greaterThan" allowBlank="1" showInputMessage="1" showErrorMessage="1" sqref="A2640">
      <formula1>0</formula1>
    </dataValidation>
    <dataValidation type="list" allowBlank="1" showInputMessage="1" showErrorMessage="1" sqref="C2640">
      <formula1>UnidadesList</formula1>
    </dataValidation>
    <dataValidation type="decimal" operator="greaterThan" allowBlank="1" showInputMessage="1" showErrorMessage="1" sqref="D2640">
      <formula1>0</formula1>
    </dataValidation>
    <dataValidation type="decimal" operator="greaterThan" allowBlank="1" showInputMessage="1" showErrorMessage="1" sqref="E2640">
      <formula1>0</formula1>
    </dataValidation>
    <dataValidation type="whole" operator="greaterThan" allowBlank="1" showInputMessage="1" showErrorMessage="1" sqref="A2641">
      <formula1>0</formula1>
    </dataValidation>
    <dataValidation type="list" allowBlank="1" showInputMessage="1" showErrorMessage="1" sqref="C2641">
      <formula1>UnidadesList</formula1>
    </dataValidation>
    <dataValidation type="decimal" operator="greaterThan" allowBlank="1" showInputMessage="1" showErrorMessage="1" sqref="D2641">
      <formula1>0</formula1>
    </dataValidation>
    <dataValidation type="decimal" operator="greaterThan" allowBlank="1" showInputMessage="1" showErrorMessage="1" sqref="E2641">
      <formula1>0</formula1>
    </dataValidation>
    <dataValidation type="whole" operator="greaterThan" allowBlank="1" showInputMessage="1" showErrorMessage="1" sqref="A2642">
      <formula1>0</formula1>
    </dataValidation>
    <dataValidation type="list" allowBlank="1" showInputMessage="1" showErrorMessage="1" sqref="C2642">
      <formula1>UnidadesList</formula1>
    </dataValidation>
    <dataValidation type="decimal" operator="greaterThan" allowBlank="1" showInputMessage="1" showErrorMessage="1" sqref="D2642">
      <formula1>0</formula1>
    </dataValidation>
    <dataValidation type="decimal" operator="greaterThan" allowBlank="1" showInputMessage="1" showErrorMessage="1" sqref="E2642">
      <formula1>0</formula1>
    </dataValidation>
    <dataValidation type="whole" operator="greaterThan" allowBlank="1" showInputMessage="1" showErrorMessage="1" sqref="A2643">
      <formula1>0</formula1>
    </dataValidation>
    <dataValidation type="list" allowBlank="1" showInputMessage="1" showErrorMessage="1" sqref="C2643">
      <formula1>UnidadesList</formula1>
    </dataValidation>
    <dataValidation type="decimal" operator="greaterThan" allowBlank="1" showInputMessage="1" showErrorMessage="1" sqref="D2643">
      <formula1>0</formula1>
    </dataValidation>
    <dataValidation type="decimal" operator="greaterThan" allowBlank="1" showInputMessage="1" showErrorMessage="1" sqref="E2643">
      <formula1>0</formula1>
    </dataValidation>
    <dataValidation type="whole" operator="greaterThan" allowBlank="1" showInputMessage="1" showErrorMessage="1" sqref="A2644">
      <formula1>0</formula1>
    </dataValidation>
    <dataValidation type="list" allowBlank="1" showInputMessage="1" showErrorMessage="1" sqref="C2644">
      <formula1>UnidadesList</formula1>
    </dataValidation>
    <dataValidation type="decimal" operator="greaterThan" allowBlank="1" showInputMessage="1" showErrorMessage="1" sqref="D2644">
      <formula1>0</formula1>
    </dataValidation>
    <dataValidation type="decimal" operator="greaterThan" allowBlank="1" showInputMessage="1" showErrorMessage="1" sqref="E2644">
      <formula1>0</formula1>
    </dataValidation>
    <dataValidation type="whole" operator="greaterThan" allowBlank="1" showInputMessage="1" showErrorMessage="1" sqref="A2645">
      <formula1>0</formula1>
    </dataValidation>
    <dataValidation type="list" allowBlank="1" showInputMessage="1" showErrorMessage="1" sqref="C2645">
      <formula1>UnidadesList</formula1>
    </dataValidation>
    <dataValidation type="decimal" operator="greaterThan" allowBlank="1" showInputMessage="1" showErrorMessage="1" sqref="D2645">
      <formula1>0</formula1>
    </dataValidation>
    <dataValidation type="decimal" operator="greaterThan" allowBlank="1" showInputMessage="1" showErrorMessage="1" sqref="E2645">
      <formula1>0</formula1>
    </dataValidation>
    <dataValidation type="whole" operator="greaterThan" allowBlank="1" showInputMessage="1" showErrorMessage="1" sqref="A2646">
      <formula1>0</formula1>
    </dataValidation>
    <dataValidation type="list" allowBlank="1" showInputMessage="1" showErrorMessage="1" sqref="C2646">
      <formula1>UnidadesList</formula1>
    </dataValidation>
    <dataValidation type="decimal" operator="greaterThan" allowBlank="1" showInputMessage="1" showErrorMessage="1" sqref="D2646">
      <formula1>0</formula1>
    </dataValidation>
    <dataValidation type="decimal" operator="greaterThan" allowBlank="1" showInputMessage="1" showErrorMessage="1" sqref="E2646">
      <formula1>0</formula1>
    </dataValidation>
    <dataValidation type="whole" operator="greaterThan" allowBlank="1" showInputMessage="1" showErrorMessage="1" sqref="A2647">
      <formula1>0</formula1>
    </dataValidation>
    <dataValidation type="list" allowBlank="1" showInputMessage="1" showErrorMessage="1" sqref="C2647">
      <formula1>UnidadesList</formula1>
    </dataValidation>
    <dataValidation type="decimal" operator="greaterThan" allowBlank="1" showInputMessage="1" showErrorMessage="1" sqref="D2647">
      <formula1>0</formula1>
    </dataValidation>
    <dataValidation type="decimal" operator="greaterThan" allowBlank="1" showInputMessage="1" showErrorMessage="1" sqref="E2647">
      <formula1>0</formula1>
    </dataValidation>
    <dataValidation type="whole" operator="greaterThan" allowBlank="1" showInputMessage="1" showErrorMessage="1" sqref="A2648">
      <formula1>0</formula1>
    </dataValidation>
    <dataValidation type="list" allowBlank="1" showInputMessage="1" showErrorMessage="1" sqref="C2648">
      <formula1>UnidadesList</formula1>
    </dataValidation>
    <dataValidation type="decimal" operator="greaterThan" allowBlank="1" showInputMessage="1" showErrorMessage="1" sqref="D2648">
      <formula1>0</formula1>
    </dataValidation>
    <dataValidation type="decimal" operator="greaterThan" allowBlank="1" showInputMessage="1" showErrorMessage="1" sqref="E2648">
      <formula1>0</formula1>
    </dataValidation>
    <dataValidation type="whole" operator="greaterThan" allowBlank="1" showInputMessage="1" showErrorMessage="1" sqref="A2649">
      <formula1>0</formula1>
    </dataValidation>
    <dataValidation type="list" allowBlank="1" showInputMessage="1" showErrorMessage="1" sqref="C2649">
      <formula1>UnidadesList</formula1>
    </dataValidation>
    <dataValidation type="decimal" operator="greaterThan" allowBlank="1" showInputMessage="1" showErrorMessage="1" sqref="D2649">
      <formula1>0</formula1>
    </dataValidation>
    <dataValidation type="decimal" operator="greaterThan" allowBlank="1" showInputMessage="1" showErrorMessage="1" sqref="E2649">
      <formula1>0</formula1>
    </dataValidation>
    <dataValidation type="whole" operator="greaterThan" allowBlank="1" showInputMessage="1" showErrorMessage="1" sqref="A2650">
      <formula1>0</formula1>
    </dataValidation>
    <dataValidation type="list" allowBlank="1" showInputMessage="1" showErrorMessage="1" sqref="C2650">
      <formula1>UnidadesList</formula1>
    </dataValidation>
    <dataValidation type="decimal" operator="greaterThan" allowBlank="1" showInputMessage="1" showErrorMessage="1" sqref="D2650">
      <formula1>0</formula1>
    </dataValidation>
    <dataValidation type="decimal" operator="greaterThan" allowBlank="1" showInputMessage="1" showErrorMessage="1" sqref="E2650">
      <formula1>0</formula1>
    </dataValidation>
    <dataValidation type="whole" operator="greaterThan" allowBlank="1" showInputMessage="1" showErrorMessage="1" sqref="A2651">
      <formula1>0</formula1>
    </dataValidation>
    <dataValidation type="list" allowBlank="1" showInputMessage="1" showErrorMessage="1" sqref="C2651">
      <formula1>UnidadesList</formula1>
    </dataValidation>
    <dataValidation type="decimal" operator="greaterThan" allowBlank="1" showInputMessage="1" showErrorMessage="1" sqref="D2651">
      <formula1>0</formula1>
    </dataValidation>
    <dataValidation type="decimal" operator="greaterThan" allowBlank="1" showInputMessage="1" showErrorMessage="1" sqref="E2651">
      <formula1>0</formula1>
    </dataValidation>
    <dataValidation type="whole" operator="greaterThan" allowBlank="1" showInputMessage="1" showErrorMessage="1" sqref="A2652">
      <formula1>0</formula1>
    </dataValidation>
    <dataValidation type="list" allowBlank="1" showInputMessage="1" showErrorMessage="1" sqref="C2652">
      <formula1>UnidadesList</formula1>
    </dataValidation>
    <dataValidation type="decimal" operator="greaterThan" allowBlank="1" showInputMessage="1" showErrorMessage="1" sqref="D2652">
      <formula1>0</formula1>
    </dataValidation>
    <dataValidation type="decimal" operator="greaterThan" allowBlank="1" showInputMessage="1" showErrorMessage="1" sqref="E2652">
      <formula1>0</formula1>
    </dataValidation>
    <dataValidation type="whole" operator="greaterThan" allowBlank="1" showInputMessage="1" showErrorMessage="1" sqref="A2653">
      <formula1>0</formula1>
    </dataValidation>
    <dataValidation type="list" allowBlank="1" showInputMessage="1" showErrorMessage="1" sqref="C2653">
      <formula1>UnidadesList</formula1>
    </dataValidation>
    <dataValidation type="decimal" operator="greaterThan" allowBlank="1" showInputMessage="1" showErrorMessage="1" sqref="D2653">
      <formula1>0</formula1>
    </dataValidation>
    <dataValidation type="decimal" operator="greaterThan" allowBlank="1" showInputMessage="1" showErrorMessage="1" sqref="E2653">
      <formula1>0</formula1>
    </dataValidation>
    <dataValidation type="whole" operator="greaterThan" allowBlank="1" showInputMessage="1" showErrorMessage="1" sqref="A2654">
      <formula1>0</formula1>
    </dataValidation>
    <dataValidation type="list" allowBlank="1" showInputMessage="1" showErrorMessage="1" sqref="C2654">
      <formula1>UnidadesList</formula1>
    </dataValidation>
    <dataValidation type="decimal" operator="greaterThan" allowBlank="1" showInputMessage="1" showErrorMessage="1" sqref="D2654">
      <formula1>0</formula1>
    </dataValidation>
    <dataValidation type="decimal" operator="greaterThan" allowBlank="1" showInputMessage="1" showErrorMessage="1" sqref="E2654">
      <formula1>0</formula1>
    </dataValidation>
    <dataValidation type="whole" operator="greaterThan" allowBlank="1" showInputMessage="1" showErrorMessage="1" sqref="A2655">
      <formula1>0</formula1>
    </dataValidation>
    <dataValidation type="list" allowBlank="1" showInputMessage="1" showErrorMessage="1" sqref="C2655">
      <formula1>UnidadesList</formula1>
    </dataValidation>
    <dataValidation type="decimal" operator="greaterThan" allowBlank="1" showInputMessage="1" showErrorMessage="1" sqref="D2655">
      <formula1>0</formula1>
    </dataValidation>
    <dataValidation type="decimal" operator="greaterThan" allowBlank="1" showInputMessage="1" showErrorMessage="1" sqref="E2655">
      <formula1>0</formula1>
    </dataValidation>
    <dataValidation type="whole" operator="greaterThan" allowBlank="1" showInputMessage="1" showErrorMessage="1" sqref="A2656">
      <formula1>0</formula1>
    </dataValidation>
    <dataValidation type="list" allowBlank="1" showInputMessage="1" showErrorMessage="1" sqref="C2656">
      <formula1>UnidadesList</formula1>
    </dataValidation>
    <dataValidation type="decimal" operator="greaterThan" allowBlank="1" showInputMessage="1" showErrorMessage="1" sqref="D2656">
      <formula1>0</formula1>
    </dataValidation>
    <dataValidation type="decimal" operator="greaterThan" allowBlank="1" showInputMessage="1" showErrorMessage="1" sqref="E2656">
      <formula1>0</formula1>
    </dataValidation>
    <dataValidation type="whole" operator="greaterThan" allowBlank="1" showInputMessage="1" showErrorMessage="1" sqref="A2657">
      <formula1>0</formula1>
    </dataValidation>
    <dataValidation type="list" allowBlank="1" showInputMessage="1" showErrorMessage="1" sqref="C2657">
      <formula1>UnidadesList</formula1>
    </dataValidation>
    <dataValidation type="decimal" operator="greaterThan" allowBlank="1" showInputMessage="1" showErrorMessage="1" sqref="D2657">
      <formula1>0</formula1>
    </dataValidation>
    <dataValidation type="decimal" operator="greaterThan" allowBlank="1" showInputMessage="1" showErrorMessage="1" sqref="E2657">
      <formula1>0</formula1>
    </dataValidation>
    <dataValidation type="whole" operator="greaterThan" allowBlank="1" showInputMessage="1" showErrorMessage="1" sqref="A2658">
      <formula1>0</formula1>
    </dataValidation>
    <dataValidation type="list" allowBlank="1" showInputMessage="1" showErrorMessage="1" sqref="C2658">
      <formula1>UnidadesList</formula1>
    </dataValidation>
    <dataValidation type="decimal" operator="greaterThan" allowBlank="1" showInputMessage="1" showErrorMessage="1" sqref="D2658">
      <formula1>0</formula1>
    </dataValidation>
    <dataValidation type="decimal" operator="greaterThan" allowBlank="1" showInputMessage="1" showErrorMessage="1" sqref="E2658">
      <formula1>0</formula1>
    </dataValidation>
    <dataValidation type="whole" operator="greaterThan" allowBlank="1" showInputMessage="1" showErrorMessage="1" sqref="A2659">
      <formula1>0</formula1>
    </dataValidation>
    <dataValidation type="list" allowBlank="1" showInputMessage="1" showErrorMessage="1" sqref="C2659">
      <formula1>UnidadesList</formula1>
    </dataValidation>
    <dataValidation type="decimal" operator="greaterThan" allowBlank="1" showInputMessage="1" showErrorMessage="1" sqref="D2659">
      <formula1>0</formula1>
    </dataValidation>
    <dataValidation type="decimal" operator="greaterThan" allowBlank="1" showInputMessage="1" showErrorMessage="1" sqref="E2659">
      <formula1>0</formula1>
    </dataValidation>
    <dataValidation type="whole" operator="greaterThan" allowBlank="1" showInputMessage="1" showErrorMessage="1" sqref="A2660">
      <formula1>0</formula1>
    </dataValidation>
    <dataValidation type="list" allowBlank="1" showInputMessage="1" showErrorMessage="1" sqref="C2660">
      <formula1>UnidadesList</formula1>
    </dataValidation>
    <dataValidation type="decimal" operator="greaterThan" allowBlank="1" showInputMessage="1" showErrorMessage="1" sqref="D2660">
      <formula1>0</formula1>
    </dataValidation>
    <dataValidation type="decimal" operator="greaterThan" allowBlank="1" showInputMessage="1" showErrorMessage="1" sqref="E2660">
      <formula1>0</formula1>
    </dataValidation>
    <dataValidation type="whole" operator="greaterThan" allowBlank="1" showInputMessage="1" showErrorMessage="1" sqref="A2661">
      <formula1>0</formula1>
    </dataValidation>
    <dataValidation type="list" allowBlank="1" showInputMessage="1" showErrorMessage="1" sqref="C2661">
      <formula1>UnidadesList</formula1>
    </dataValidation>
    <dataValidation type="decimal" operator="greaterThan" allowBlank="1" showInputMessage="1" showErrorMessage="1" sqref="D2661">
      <formula1>0</formula1>
    </dataValidation>
    <dataValidation type="decimal" operator="greaterThan" allowBlank="1" showInputMessage="1" showErrorMessage="1" sqref="E2661">
      <formula1>0</formula1>
    </dataValidation>
    <dataValidation type="whole" operator="greaterThan" allowBlank="1" showInputMessage="1" showErrorMessage="1" sqref="A2662">
      <formula1>0</formula1>
    </dataValidation>
    <dataValidation type="list" allowBlank="1" showInputMessage="1" showErrorMessage="1" sqref="C2662">
      <formula1>UnidadesList</formula1>
    </dataValidation>
    <dataValidation type="decimal" operator="greaterThan" allowBlank="1" showInputMessage="1" showErrorMessage="1" sqref="D2662">
      <formula1>0</formula1>
    </dataValidation>
    <dataValidation type="decimal" operator="greaterThan" allowBlank="1" showInputMessage="1" showErrorMessage="1" sqref="E2662">
      <formula1>0</formula1>
    </dataValidation>
    <dataValidation type="whole" operator="greaterThan" allowBlank="1" showInputMessage="1" showErrorMessage="1" sqref="A2663">
      <formula1>0</formula1>
    </dataValidation>
    <dataValidation type="list" allowBlank="1" showInputMessage="1" showErrorMessage="1" sqref="C2663">
      <formula1>UnidadesList</formula1>
    </dataValidation>
    <dataValidation type="decimal" operator="greaterThan" allowBlank="1" showInputMessage="1" showErrorMessage="1" sqref="D2663">
      <formula1>0</formula1>
    </dataValidation>
    <dataValidation type="decimal" operator="greaterThan" allowBlank="1" showInputMessage="1" showErrorMessage="1" sqref="E2663">
      <formula1>0</formula1>
    </dataValidation>
    <dataValidation type="date" operator="lessThanOrEqual" allowBlank="1" showInputMessage="1" showErrorMessage="1" sqref="C2668">
      <formula1>C2670</formula1>
    </dataValidation>
    <dataValidation type="date" operator="greaterThanOrEqual" allowBlank="1" showInputMessage="1" showErrorMessage="1" sqref="C2670">
      <formula1>C2668</formula1>
    </dataValidation>
    <dataValidation type="list" allowBlank="1" showInputMessage="1" showErrorMessage="1" sqref="F26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74">
      <formula1>0</formula1>
    </dataValidation>
    <dataValidation type="list" allowBlank="1" showInputMessage="1" showErrorMessage="1" sqref="C2674">
      <formula1>UnidadesList</formula1>
    </dataValidation>
    <dataValidation type="decimal" operator="greaterThan" allowBlank="1" showInputMessage="1" showErrorMessage="1" sqref="D2674">
      <formula1>0</formula1>
    </dataValidation>
    <dataValidation type="decimal" operator="greaterThan" allowBlank="1" showInputMessage="1" showErrorMessage="1" sqref="E2674">
      <formula1>0</formula1>
    </dataValidation>
    <dataValidation type="whole" operator="greaterThan" allowBlank="1" showInputMessage="1" showErrorMessage="1" sqref="A2675">
      <formula1>0</formula1>
    </dataValidation>
    <dataValidation type="list" allowBlank="1" showInputMessage="1" showErrorMessage="1" sqref="C2675">
      <formula1>UnidadesList</formula1>
    </dataValidation>
    <dataValidation type="decimal" operator="greaterThan" allowBlank="1" showInputMessage="1" showErrorMessage="1" sqref="D2675">
      <formula1>0</formula1>
    </dataValidation>
    <dataValidation type="decimal" operator="greaterThan" allowBlank="1" showInputMessage="1" showErrorMessage="1" sqref="E2675">
      <formula1>0</formula1>
    </dataValidation>
    <dataValidation type="whole" operator="greaterThan" allowBlank="1" showInputMessage="1" showErrorMessage="1" sqref="A2676">
      <formula1>0</formula1>
    </dataValidation>
    <dataValidation type="list" allowBlank="1" showInputMessage="1" showErrorMessage="1" sqref="C2676">
      <formula1>UnidadesList</formula1>
    </dataValidation>
    <dataValidation type="decimal" operator="greaterThan" allowBlank="1" showInputMessage="1" showErrorMessage="1" sqref="D2676">
      <formula1>0</formula1>
    </dataValidation>
    <dataValidation type="decimal" operator="greaterThan" allowBlank="1" showInputMessage="1" showErrorMessage="1" sqref="E2676">
      <formula1>0</formula1>
    </dataValidation>
    <dataValidation type="whole" operator="greaterThan" allowBlank="1" showInputMessage="1" showErrorMessage="1" sqref="A2677">
      <formula1>0</formula1>
    </dataValidation>
    <dataValidation type="list" allowBlank="1" showInputMessage="1" showErrorMessage="1" sqref="C2677">
      <formula1>UnidadesList</formula1>
    </dataValidation>
    <dataValidation type="decimal" operator="greaterThan" allowBlank="1" showInputMessage="1" showErrorMessage="1" sqref="D2677">
      <formula1>0</formula1>
    </dataValidation>
    <dataValidation type="decimal" operator="greaterThan" allowBlank="1" showInputMessage="1" showErrorMessage="1" sqref="E2677">
      <formula1>0</formula1>
    </dataValidation>
    <dataValidation type="whole" operator="greaterThan" allowBlank="1" showInputMessage="1" showErrorMessage="1" sqref="A2678">
      <formula1>0</formula1>
    </dataValidation>
    <dataValidation type="list" allowBlank="1" showInputMessage="1" showErrorMessage="1" sqref="C2678">
      <formula1>UnidadesList</formula1>
    </dataValidation>
    <dataValidation type="decimal" operator="greaterThan" allowBlank="1" showInputMessage="1" showErrorMessage="1" sqref="D2678">
      <formula1>0</formula1>
    </dataValidation>
    <dataValidation type="decimal" operator="greaterThan" allowBlank="1" showInputMessage="1" showErrorMessage="1" sqref="E2678">
      <formula1>0</formula1>
    </dataValidation>
    <dataValidation type="whole" operator="greaterThan" allowBlank="1" showInputMessage="1" showErrorMessage="1" sqref="A2679">
      <formula1>0</formula1>
    </dataValidation>
    <dataValidation type="list" allowBlank="1" showInputMessage="1" showErrorMessage="1" sqref="C2679">
      <formula1>UnidadesList</formula1>
    </dataValidation>
    <dataValidation type="decimal" operator="greaterThan" allowBlank="1" showInputMessage="1" showErrorMessage="1" sqref="D2679">
      <formula1>0</formula1>
    </dataValidation>
    <dataValidation type="decimal" operator="greaterThan" allowBlank="1" showInputMessage="1" showErrorMessage="1" sqref="E2679">
      <formula1>0</formula1>
    </dataValidation>
    <dataValidation type="whole" operator="greaterThan" allowBlank="1" showInputMessage="1" showErrorMessage="1" sqref="A2680">
      <formula1>0</formula1>
    </dataValidation>
    <dataValidation type="list" allowBlank="1" showInputMessage="1" showErrorMessage="1" sqref="C2680">
      <formula1>UnidadesList</formula1>
    </dataValidation>
    <dataValidation type="decimal" operator="greaterThan" allowBlank="1" showInputMessage="1" showErrorMessage="1" sqref="D2680">
      <formula1>0</formula1>
    </dataValidation>
    <dataValidation type="decimal" operator="greaterThan" allowBlank="1" showInputMessage="1" showErrorMessage="1" sqref="E2680">
      <formula1>0</formula1>
    </dataValidation>
    <dataValidation type="whole" operator="greaterThan" allowBlank="1" showInputMessage="1" showErrorMessage="1" sqref="A2681">
      <formula1>0</formula1>
    </dataValidation>
    <dataValidation type="list" allowBlank="1" showInputMessage="1" showErrorMessage="1" sqref="C2681">
      <formula1>UnidadesList</formula1>
    </dataValidation>
    <dataValidation type="decimal" operator="greaterThan" allowBlank="1" showInputMessage="1" showErrorMessage="1" sqref="D2681">
      <formula1>0</formula1>
    </dataValidation>
    <dataValidation type="decimal" operator="greaterThan" allowBlank="1" showInputMessage="1" showErrorMessage="1" sqref="E2681">
      <formula1>0</formula1>
    </dataValidation>
    <dataValidation type="whole" operator="greaterThan" allowBlank="1" showInputMessage="1" showErrorMessage="1" sqref="A2682">
      <formula1>0</formula1>
    </dataValidation>
    <dataValidation type="list" allowBlank="1" showInputMessage="1" showErrorMessage="1" sqref="C2682">
      <formula1>UnidadesList</formula1>
    </dataValidation>
    <dataValidation type="decimal" operator="greaterThan" allowBlank="1" showInputMessage="1" showErrorMessage="1" sqref="D2682">
      <formula1>0</formula1>
    </dataValidation>
    <dataValidation type="decimal" operator="greaterThan" allowBlank="1" showInputMessage="1" showErrorMessage="1" sqref="E2682">
      <formula1>0</formula1>
    </dataValidation>
    <dataValidation type="whole" operator="greaterThan" allowBlank="1" showInputMessage="1" showErrorMessage="1" sqref="A2683">
      <formula1>0</formula1>
    </dataValidation>
    <dataValidation type="list" allowBlank="1" showInputMessage="1" showErrorMessage="1" sqref="C2683">
      <formula1>UnidadesList</formula1>
    </dataValidation>
    <dataValidation type="decimal" operator="greaterThan" allowBlank="1" showInputMessage="1" showErrorMessage="1" sqref="D2683">
      <formula1>0</formula1>
    </dataValidation>
    <dataValidation type="decimal" operator="greaterThan" allowBlank="1" showInputMessage="1" showErrorMessage="1" sqref="E2683">
      <formula1>0</formula1>
    </dataValidation>
    <dataValidation type="whole" operator="greaterThan" allowBlank="1" showInputMessage="1" showErrorMessage="1" sqref="A2684">
      <formula1>0</formula1>
    </dataValidation>
    <dataValidation type="list" allowBlank="1" showInputMessage="1" showErrorMessage="1" sqref="C2684">
      <formula1>UnidadesList</formula1>
    </dataValidation>
    <dataValidation type="decimal" operator="greaterThan" allowBlank="1" showInputMessage="1" showErrorMessage="1" sqref="D2684">
      <formula1>0</formula1>
    </dataValidation>
    <dataValidation type="decimal" operator="greaterThan" allowBlank="1" showInputMessage="1" showErrorMessage="1" sqref="E2684">
      <formula1>0</formula1>
    </dataValidation>
    <dataValidation type="whole" operator="greaterThan" allowBlank="1" showInputMessage="1" showErrorMessage="1" sqref="A2685">
      <formula1>0</formula1>
    </dataValidation>
    <dataValidation type="list" allowBlank="1" showInputMessage="1" showErrorMessage="1" sqref="C2685">
      <formula1>UnidadesList</formula1>
    </dataValidation>
    <dataValidation type="decimal" operator="greaterThan" allowBlank="1" showInputMessage="1" showErrorMessage="1" sqref="D2685">
      <formula1>0</formula1>
    </dataValidation>
    <dataValidation type="decimal" operator="greaterThan" allowBlank="1" showInputMessage="1" showErrorMessage="1" sqref="E2685">
      <formula1>0</formula1>
    </dataValidation>
    <dataValidation type="whole" operator="greaterThan" allowBlank="1" showInputMessage="1" showErrorMessage="1" sqref="A2686">
      <formula1>0</formula1>
    </dataValidation>
    <dataValidation type="list" allowBlank="1" showInputMessage="1" showErrorMessage="1" sqref="C2686">
      <formula1>UnidadesList</formula1>
    </dataValidation>
    <dataValidation type="decimal" operator="greaterThan" allowBlank="1" showInputMessage="1" showErrorMessage="1" sqref="D2686">
      <formula1>0</formula1>
    </dataValidation>
    <dataValidation type="decimal" operator="greaterThan" allowBlank="1" showInputMessage="1" showErrorMessage="1" sqref="E2686">
      <formula1>0</formula1>
    </dataValidation>
    <dataValidation type="whole" operator="greaterThan" allowBlank="1" showInputMessage="1" showErrorMessage="1" sqref="A2687">
      <formula1>0</formula1>
    </dataValidation>
    <dataValidation type="list" allowBlank="1" showInputMessage="1" showErrorMessage="1" sqref="C2687">
      <formula1>UnidadesList</formula1>
    </dataValidation>
    <dataValidation type="decimal" operator="greaterThan" allowBlank="1" showInputMessage="1" showErrorMessage="1" sqref="D2687">
      <formula1>0</formula1>
    </dataValidation>
    <dataValidation type="decimal" operator="greaterThan" allowBlank="1" showInputMessage="1" showErrorMessage="1" sqref="E2687">
      <formula1>0</formula1>
    </dataValidation>
    <dataValidation type="whole" operator="greaterThan" allowBlank="1" showInputMessage="1" showErrorMessage="1" sqref="A2688">
      <formula1>0</formula1>
    </dataValidation>
    <dataValidation type="list" allowBlank="1" showInputMessage="1" showErrorMessage="1" sqref="C2688">
      <formula1>UnidadesList</formula1>
    </dataValidation>
    <dataValidation type="decimal" operator="greaterThan" allowBlank="1" showInputMessage="1" showErrorMessage="1" sqref="D2688">
      <formula1>0</formula1>
    </dataValidation>
    <dataValidation type="decimal" operator="greaterThan" allowBlank="1" showInputMessage="1" showErrorMessage="1" sqref="E2688">
      <formula1>0</formula1>
    </dataValidation>
    <dataValidation type="whole" operator="greaterThan" allowBlank="1" showInputMessage="1" showErrorMessage="1" sqref="A2689">
      <formula1>0</formula1>
    </dataValidation>
    <dataValidation type="list" allowBlank="1" showInputMessage="1" showErrorMessage="1" sqref="C2689">
      <formula1>UnidadesList</formula1>
    </dataValidation>
    <dataValidation type="decimal" operator="greaterThan" allowBlank="1" showInputMessage="1" showErrorMessage="1" sqref="D2689">
      <formula1>0</formula1>
    </dataValidation>
    <dataValidation type="decimal" operator="greaterThan" allowBlank="1" showInputMessage="1" showErrorMessage="1" sqref="E2689">
      <formula1>0</formula1>
    </dataValidation>
    <dataValidation type="whole" operator="greaterThan" allowBlank="1" showInputMessage="1" showErrorMessage="1" sqref="A2690">
      <formula1>0</formula1>
    </dataValidation>
    <dataValidation type="list" allowBlank="1" showInputMessage="1" showErrorMessage="1" sqref="C2690">
      <formula1>UnidadesList</formula1>
    </dataValidation>
    <dataValidation type="decimal" operator="greaterThan" allowBlank="1" showInputMessage="1" showErrorMessage="1" sqref="D2690">
      <formula1>0</formula1>
    </dataValidation>
    <dataValidation type="decimal" operator="greaterThan" allowBlank="1" showInputMessage="1" showErrorMessage="1" sqref="E2690">
      <formula1>0</formula1>
    </dataValidation>
    <dataValidation type="date" operator="lessThanOrEqual" allowBlank="1" showInputMessage="1" showErrorMessage="1" sqref="C2695">
      <formula1>C2697</formula1>
    </dataValidation>
    <dataValidation type="date" operator="greaterThanOrEqual" allowBlank="1" showInputMessage="1" showErrorMessage="1" sqref="C2697">
      <formula1>C2695</formula1>
    </dataValidation>
    <dataValidation type="list" allowBlank="1" showInputMessage="1" showErrorMessage="1" sqref="F269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9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9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9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01">
      <formula1>0</formula1>
    </dataValidation>
    <dataValidation type="list" allowBlank="1" showInputMessage="1" showErrorMessage="1" sqref="C2701">
      <formula1>UnidadesList</formula1>
    </dataValidation>
    <dataValidation type="decimal" operator="greaterThan" allowBlank="1" showInputMessage="1" showErrorMessage="1" sqref="D2701">
      <formula1>0</formula1>
    </dataValidation>
    <dataValidation type="decimal" operator="greaterThan" allowBlank="1" showInputMessage="1" showErrorMessage="1" sqref="E2701">
      <formula1>0</formula1>
    </dataValidation>
    <dataValidation type="whole" operator="greaterThan" allowBlank="1" showInputMessage="1" showErrorMessage="1" sqref="A2702">
      <formula1>0</formula1>
    </dataValidation>
    <dataValidation type="list" allowBlank="1" showInputMessage="1" showErrorMessage="1" sqref="C2702">
      <formula1>UnidadesList</formula1>
    </dataValidation>
    <dataValidation type="decimal" operator="greaterThan" allowBlank="1" showInputMessage="1" showErrorMessage="1" sqref="D2702">
      <formula1>0</formula1>
    </dataValidation>
    <dataValidation type="decimal" operator="greaterThan" allowBlank="1" showInputMessage="1" showErrorMessage="1" sqref="E2702">
      <formula1>0</formula1>
    </dataValidation>
    <dataValidation type="whole" operator="greaterThan" allowBlank="1" showInputMessage="1" showErrorMessage="1" sqref="A2703">
      <formula1>0</formula1>
    </dataValidation>
    <dataValidation type="list" allowBlank="1" showInputMessage="1" showErrorMessage="1" sqref="C2703">
      <formula1>UnidadesList</formula1>
    </dataValidation>
    <dataValidation type="decimal" operator="greaterThan" allowBlank="1" showInputMessage="1" showErrorMessage="1" sqref="D2703">
      <formula1>0</formula1>
    </dataValidation>
    <dataValidation type="decimal" operator="greaterThan" allowBlank="1" showInputMessage="1" showErrorMessage="1" sqref="E2703">
      <formula1>0</formula1>
    </dataValidation>
    <dataValidation type="whole" operator="greaterThan" allowBlank="1" showInputMessage="1" showErrorMessage="1" sqref="A2704">
      <formula1>0</formula1>
    </dataValidation>
    <dataValidation type="list" allowBlank="1" showInputMessage="1" showErrorMessage="1" sqref="C2704">
      <formula1>UnidadesList</formula1>
    </dataValidation>
    <dataValidation type="decimal" operator="greaterThan" allowBlank="1" showInputMessage="1" showErrorMessage="1" sqref="D2704">
      <formula1>0</formula1>
    </dataValidation>
    <dataValidation type="decimal" operator="greaterThan" allowBlank="1" showInputMessage="1" showErrorMessage="1" sqref="E2704">
      <formula1>0</formula1>
    </dataValidation>
    <dataValidation type="whole" operator="greaterThan" allowBlank="1" showInputMessage="1" showErrorMessage="1" sqref="A2705">
      <formula1>0</formula1>
    </dataValidation>
    <dataValidation type="list" allowBlank="1" showInputMessage="1" showErrorMessage="1" sqref="C2705">
      <formula1>UnidadesList</formula1>
    </dataValidation>
    <dataValidation type="decimal" operator="greaterThan" allowBlank="1" showInputMessage="1" showErrorMessage="1" sqref="D2705">
      <formula1>0</formula1>
    </dataValidation>
    <dataValidation type="decimal" operator="greaterThan" allowBlank="1" showInputMessage="1" showErrorMessage="1" sqref="E2705">
      <formula1>0</formula1>
    </dataValidation>
    <dataValidation type="whole" operator="greaterThan" allowBlank="1" showInputMessage="1" showErrorMessage="1" sqref="A2706">
      <formula1>0</formula1>
    </dataValidation>
    <dataValidation type="list" allowBlank="1" showInputMessage="1" showErrorMessage="1" sqref="C2706">
      <formula1>UnidadesList</formula1>
    </dataValidation>
    <dataValidation type="decimal" operator="greaterThan" allowBlank="1" showInputMessage="1" showErrorMessage="1" sqref="D2706">
      <formula1>0</formula1>
    </dataValidation>
    <dataValidation type="decimal" operator="greaterThan" allowBlank="1" showInputMessage="1" showErrorMessage="1" sqref="E2706">
      <formula1>0</formula1>
    </dataValidation>
    <dataValidation type="whole" operator="greaterThan" allowBlank="1" showInputMessage="1" showErrorMessage="1" sqref="A2707">
      <formula1>0</formula1>
    </dataValidation>
    <dataValidation type="list" allowBlank="1" showInputMessage="1" showErrorMessage="1" sqref="C2707">
      <formula1>UnidadesList</formula1>
    </dataValidation>
    <dataValidation type="decimal" operator="greaterThan" allowBlank="1" showInputMessage="1" showErrorMessage="1" sqref="D2707">
      <formula1>0</formula1>
    </dataValidation>
    <dataValidation type="decimal" operator="greaterThan" allowBlank="1" showInputMessage="1" showErrorMessage="1" sqref="E2707">
      <formula1>0</formula1>
    </dataValidation>
    <dataValidation type="whole" operator="greaterThan" allowBlank="1" showInputMessage="1" showErrorMessage="1" sqref="A2708">
      <formula1>0</formula1>
    </dataValidation>
    <dataValidation type="list" allowBlank="1" showInputMessage="1" showErrorMessage="1" sqref="C2708">
      <formula1>UnidadesList</formula1>
    </dataValidation>
    <dataValidation type="decimal" operator="greaterThan" allowBlank="1" showInputMessage="1" showErrorMessage="1" sqref="D2708">
      <formula1>0</formula1>
    </dataValidation>
    <dataValidation type="decimal" operator="greaterThan" allowBlank="1" showInputMessage="1" showErrorMessage="1" sqref="E2708">
      <formula1>0</formula1>
    </dataValidation>
    <dataValidation type="whole" operator="greaterThan" allowBlank="1" showInputMessage="1" showErrorMessage="1" sqref="A2709">
      <formula1>0</formula1>
    </dataValidation>
    <dataValidation type="list" allowBlank="1" showInputMessage="1" showErrorMessage="1" sqref="C2709">
      <formula1>UnidadesList</formula1>
    </dataValidation>
    <dataValidation type="decimal" operator="greaterThan" allowBlank="1" showInputMessage="1" showErrorMessage="1" sqref="D2709">
      <formula1>0</formula1>
    </dataValidation>
    <dataValidation type="decimal" operator="greaterThan" allowBlank="1" showInputMessage="1" showErrorMessage="1" sqref="E2709">
      <formula1>0</formula1>
    </dataValidation>
    <dataValidation type="whole" operator="greaterThan" allowBlank="1" showInputMessage="1" showErrorMessage="1" sqref="A2710">
      <formula1>0</formula1>
    </dataValidation>
    <dataValidation type="list" allowBlank="1" showInputMessage="1" showErrorMessage="1" sqref="C2710">
      <formula1>UnidadesList</formula1>
    </dataValidation>
    <dataValidation type="decimal" operator="greaterThan" allowBlank="1" showInputMessage="1" showErrorMessage="1" sqref="D2710">
      <formula1>0</formula1>
    </dataValidation>
    <dataValidation type="decimal" operator="greaterThan" allowBlank="1" showInputMessage="1" showErrorMessage="1" sqref="E2710">
      <formula1>0</formula1>
    </dataValidation>
    <dataValidation type="whole" operator="greaterThan" allowBlank="1" showInputMessage="1" showErrorMessage="1" sqref="A2711">
      <formula1>0</formula1>
    </dataValidation>
    <dataValidation type="list" allowBlank="1" showInputMessage="1" showErrorMessage="1" sqref="C2711">
      <formula1>UnidadesList</formula1>
    </dataValidation>
    <dataValidation type="decimal" operator="greaterThan" allowBlank="1" showInputMessage="1" showErrorMessage="1" sqref="D2711">
      <formula1>0</formula1>
    </dataValidation>
    <dataValidation type="decimal" operator="greaterThan" allowBlank="1" showInputMessage="1" showErrorMessage="1" sqref="E2711">
      <formula1>0</formula1>
    </dataValidation>
    <dataValidation type="whole" operator="greaterThan" allowBlank="1" showInputMessage="1" showErrorMessage="1" sqref="A2712">
      <formula1>0</formula1>
    </dataValidation>
    <dataValidation type="list" allowBlank="1" showInputMessage="1" showErrorMessage="1" sqref="C2712">
      <formula1>UnidadesList</formula1>
    </dataValidation>
    <dataValidation type="decimal" operator="greaterThan" allowBlank="1" showInputMessage="1" showErrorMessage="1" sqref="D2712">
      <formula1>0</formula1>
    </dataValidation>
    <dataValidation type="decimal" operator="greaterThan" allowBlank="1" showInputMessage="1" showErrorMessage="1" sqref="E2712">
      <formula1>0</formula1>
    </dataValidation>
    <dataValidation type="whole" operator="greaterThan" allowBlank="1" showInputMessage="1" showErrorMessage="1" sqref="A2713">
      <formula1>0</formula1>
    </dataValidation>
    <dataValidation type="list" allowBlank="1" showInputMessage="1" showErrorMessage="1" sqref="C2713">
      <formula1>UnidadesList</formula1>
    </dataValidation>
    <dataValidation type="decimal" operator="greaterThan" allowBlank="1" showInputMessage="1" showErrorMessage="1" sqref="D2713">
      <formula1>0</formula1>
    </dataValidation>
    <dataValidation type="decimal" operator="greaterThan" allowBlank="1" showInputMessage="1" showErrorMessage="1" sqref="E2713">
      <formula1>0</formula1>
    </dataValidation>
    <dataValidation type="whole" operator="greaterThan" allowBlank="1" showInputMessage="1" showErrorMessage="1" sqref="A2714">
      <formula1>0</formula1>
    </dataValidation>
    <dataValidation type="list" allowBlank="1" showInputMessage="1" showErrorMessage="1" sqref="C2714">
      <formula1>UnidadesList</formula1>
    </dataValidation>
    <dataValidation type="decimal" operator="greaterThan" allowBlank="1" showInputMessage="1" showErrorMessage="1" sqref="D2714">
      <formula1>0</formula1>
    </dataValidation>
    <dataValidation type="decimal" operator="greaterThan" allowBlank="1" showInputMessage="1" showErrorMessage="1" sqref="E2714">
      <formula1>0</formula1>
    </dataValidation>
    <dataValidation type="whole" operator="greaterThan" allowBlank="1" showInputMessage="1" showErrorMessage="1" sqref="A2715">
      <formula1>0</formula1>
    </dataValidation>
    <dataValidation type="list" allowBlank="1" showInputMessage="1" showErrorMessage="1" sqref="C2715">
      <formula1>UnidadesList</formula1>
    </dataValidation>
    <dataValidation type="decimal" operator="greaterThan" allowBlank="1" showInputMessage="1" showErrorMessage="1" sqref="D2715">
      <formula1>0</formula1>
    </dataValidation>
    <dataValidation type="decimal" operator="greaterThan" allowBlank="1" showInputMessage="1" showErrorMessage="1" sqref="E2715">
      <formula1>0</formula1>
    </dataValidation>
    <dataValidation type="whole" operator="greaterThan" allowBlank="1" showInputMessage="1" showErrorMessage="1" sqref="A2716">
      <formula1>0</formula1>
    </dataValidation>
    <dataValidation type="list" allowBlank="1" showInputMessage="1" showErrorMessage="1" sqref="C2716">
      <formula1>UnidadesList</formula1>
    </dataValidation>
    <dataValidation type="decimal" operator="greaterThan" allowBlank="1" showInputMessage="1" showErrorMessage="1" sqref="D2716">
      <formula1>0</formula1>
    </dataValidation>
    <dataValidation type="decimal" operator="greaterThan" allowBlank="1" showInputMessage="1" showErrorMessage="1" sqref="E2716">
      <formula1>0</formula1>
    </dataValidation>
    <dataValidation type="whole" operator="greaterThan" allowBlank="1" showInputMessage="1" showErrorMessage="1" sqref="A2717">
      <formula1>0</formula1>
    </dataValidation>
    <dataValidation type="list" allowBlank="1" showInputMessage="1" showErrorMessage="1" sqref="C2717">
      <formula1>UnidadesList</formula1>
    </dataValidation>
    <dataValidation type="decimal" operator="greaterThan" allowBlank="1" showInputMessage="1" showErrorMessage="1" sqref="D2717">
      <formula1>0</formula1>
    </dataValidation>
    <dataValidation type="decimal" operator="greaterThan" allowBlank="1" showInputMessage="1" showErrorMessage="1" sqref="E2717">
      <formula1>0</formula1>
    </dataValidation>
    <dataValidation type="whole" operator="greaterThan" allowBlank="1" showInputMessage="1" showErrorMessage="1" sqref="A2718">
      <formula1>0</formula1>
    </dataValidation>
    <dataValidation type="list" allowBlank="1" showInputMessage="1" showErrorMessage="1" sqref="C2718">
      <formula1>UnidadesList</formula1>
    </dataValidation>
    <dataValidation type="decimal" operator="greaterThan" allowBlank="1" showInputMessage="1" showErrorMessage="1" sqref="D2718">
      <formula1>0</formula1>
    </dataValidation>
    <dataValidation type="decimal" operator="greaterThan" allowBlank="1" showInputMessage="1" showErrorMessage="1" sqref="E2718">
      <formula1>0</formula1>
    </dataValidation>
    <dataValidation type="whole" operator="greaterThan" allowBlank="1" showInputMessage="1" showErrorMessage="1" sqref="A2719">
      <formula1>0</formula1>
    </dataValidation>
    <dataValidation type="list" allowBlank="1" showInputMessage="1" showErrorMessage="1" sqref="C2719">
      <formula1>UnidadesList</formula1>
    </dataValidation>
    <dataValidation type="decimal" operator="greaterThan" allowBlank="1" showInputMessage="1" showErrorMessage="1" sqref="D2719">
      <formula1>0</formula1>
    </dataValidation>
    <dataValidation type="decimal" operator="greaterThan" allowBlank="1" showInputMessage="1" showErrorMessage="1" sqref="E2719">
      <formula1>0</formula1>
    </dataValidation>
    <dataValidation type="whole" operator="greaterThan" allowBlank="1" showInputMessage="1" showErrorMessage="1" sqref="A2720">
      <formula1>0</formula1>
    </dataValidation>
    <dataValidation type="list" allowBlank="1" showInputMessage="1" showErrorMessage="1" sqref="C2720">
      <formula1>UnidadesList</formula1>
    </dataValidation>
    <dataValidation type="decimal" operator="greaterThan" allowBlank="1" showInputMessage="1" showErrorMessage="1" sqref="D2720">
      <formula1>0</formula1>
    </dataValidation>
    <dataValidation type="decimal" operator="greaterThan" allowBlank="1" showInputMessage="1" showErrorMessage="1" sqref="E2720">
      <formula1>0</formula1>
    </dataValidation>
    <dataValidation type="whole" operator="greaterThan" allowBlank="1" showInputMessage="1" showErrorMessage="1" sqref="A2721">
      <formula1>0</formula1>
    </dataValidation>
    <dataValidation type="list" allowBlank="1" showInputMessage="1" showErrorMessage="1" sqref="C2721">
      <formula1>UnidadesList</formula1>
    </dataValidation>
    <dataValidation type="decimal" operator="greaterThan" allowBlank="1" showInputMessage="1" showErrorMessage="1" sqref="D2721">
      <formula1>0</formula1>
    </dataValidation>
    <dataValidation type="decimal" operator="greaterThan" allowBlank="1" showInputMessage="1" showErrorMessage="1" sqref="E2721">
      <formula1>0</formula1>
    </dataValidation>
    <dataValidation type="whole" operator="greaterThan" allowBlank="1" showInputMessage="1" showErrorMessage="1" sqref="A2722">
      <formula1>0</formula1>
    </dataValidation>
    <dataValidation type="list" allowBlank="1" showInputMessage="1" showErrorMessage="1" sqref="C2722">
      <formula1>UnidadesList</formula1>
    </dataValidation>
    <dataValidation type="decimal" operator="greaterThan" allowBlank="1" showInputMessage="1" showErrorMessage="1" sqref="D2722">
      <formula1>0</formula1>
    </dataValidation>
    <dataValidation type="decimal" operator="greaterThan" allowBlank="1" showInputMessage="1" showErrorMessage="1" sqref="E2722">
      <formula1>0</formula1>
    </dataValidation>
    <dataValidation type="whole" operator="greaterThan" allowBlank="1" showInputMessage="1" showErrorMessage="1" sqref="A2723">
      <formula1>0</formula1>
    </dataValidation>
    <dataValidation type="list" allowBlank="1" showInputMessage="1" showErrorMessage="1" sqref="C2723">
      <formula1>UnidadesList</formula1>
    </dataValidation>
    <dataValidation type="decimal" operator="greaterThan" allowBlank="1" showInputMessage="1" showErrorMessage="1" sqref="D2723">
      <formula1>0</formula1>
    </dataValidation>
    <dataValidation type="decimal" operator="greaterThan" allowBlank="1" showInputMessage="1" showErrorMessage="1" sqref="E2723">
      <formula1>0</formula1>
    </dataValidation>
    <dataValidation type="whole" operator="greaterThan" allowBlank="1" showInputMessage="1" showErrorMessage="1" sqref="A2724">
      <formula1>0</formula1>
    </dataValidation>
    <dataValidation type="list" allowBlank="1" showInputMessage="1" showErrorMessage="1" sqref="C2724">
      <formula1>UnidadesList</formula1>
    </dataValidation>
    <dataValidation type="decimal" operator="greaterThan" allowBlank="1" showInputMessage="1" showErrorMessage="1" sqref="D2724">
      <formula1>0</formula1>
    </dataValidation>
    <dataValidation type="decimal" operator="greaterThan" allowBlank="1" showInputMessage="1" showErrorMessage="1" sqref="E2724">
      <formula1>0</formula1>
    </dataValidation>
    <dataValidation type="whole" operator="greaterThan" allowBlank="1" showInputMessage="1" showErrorMessage="1" sqref="A2725">
      <formula1>0</formula1>
    </dataValidation>
    <dataValidation type="list" allowBlank="1" showInputMessage="1" showErrorMessage="1" sqref="C2725">
      <formula1>UnidadesList</formula1>
    </dataValidation>
    <dataValidation type="decimal" operator="greaterThan" allowBlank="1" showInputMessage="1" showErrorMessage="1" sqref="D2725">
      <formula1>0</formula1>
    </dataValidation>
    <dataValidation type="decimal" operator="greaterThan" allowBlank="1" showInputMessage="1" showErrorMessage="1" sqref="E2725">
      <formula1>0</formula1>
    </dataValidation>
    <dataValidation type="whole" operator="greaterThan" allowBlank="1" showInputMessage="1" showErrorMessage="1" sqref="A2726">
      <formula1>0</formula1>
    </dataValidation>
    <dataValidation type="list" allowBlank="1" showInputMessage="1" showErrorMessage="1" sqref="C2726">
      <formula1>UnidadesList</formula1>
    </dataValidation>
    <dataValidation type="decimal" operator="greaterThan" allowBlank="1" showInputMessage="1" showErrorMessage="1" sqref="D2726">
      <formula1>0</formula1>
    </dataValidation>
    <dataValidation type="decimal" operator="greaterThan" allowBlank="1" showInputMessage="1" showErrorMessage="1" sqref="E2726">
      <formula1>0</formula1>
    </dataValidation>
    <dataValidation type="whole" operator="greaterThan" allowBlank="1" showInputMessage="1" showErrorMessage="1" sqref="A2727">
      <formula1>0</formula1>
    </dataValidation>
    <dataValidation type="list" allowBlank="1" showInputMessage="1" showErrorMessage="1" sqref="C2727">
      <formula1>UnidadesList</formula1>
    </dataValidation>
    <dataValidation type="decimal" operator="greaterThan" allowBlank="1" showInputMessage="1" showErrorMessage="1" sqref="D2727">
      <formula1>0</formula1>
    </dataValidation>
    <dataValidation type="decimal" operator="greaterThan" allowBlank="1" showInputMessage="1" showErrorMessage="1" sqref="E2727">
      <formula1>0</formula1>
    </dataValidation>
    <dataValidation type="whole" operator="greaterThan" allowBlank="1" showInputMessage="1" showErrorMessage="1" sqref="A2728">
      <formula1>0</formula1>
    </dataValidation>
    <dataValidation type="list" allowBlank="1" showInputMessage="1" showErrorMessage="1" sqref="C2728">
      <formula1>UnidadesList</formula1>
    </dataValidation>
    <dataValidation type="decimal" operator="greaterThan" allowBlank="1" showInputMessage="1" showErrorMessage="1" sqref="D2728">
      <formula1>0</formula1>
    </dataValidation>
    <dataValidation type="decimal" operator="greaterThan" allowBlank="1" showInputMessage="1" showErrorMessage="1" sqref="E2728">
      <formula1>0</formula1>
    </dataValidation>
    <dataValidation type="whole" operator="greaterThan" allowBlank="1" showInputMessage="1" showErrorMessage="1" sqref="A2729">
      <formula1>0</formula1>
    </dataValidation>
    <dataValidation type="list" allowBlank="1" showInputMessage="1" showErrorMessage="1" sqref="C2729">
      <formula1>UnidadesList</formula1>
    </dataValidation>
    <dataValidation type="decimal" operator="greaterThan" allowBlank="1" showInputMessage="1" showErrorMessage="1" sqref="D2729">
      <formula1>0</formula1>
    </dataValidation>
    <dataValidation type="decimal" operator="greaterThan" allowBlank="1" showInputMessage="1" showErrorMessage="1" sqref="E2729">
      <formula1>0</formula1>
    </dataValidation>
    <dataValidation type="whole" operator="greaterThan" allowBlank="1" showInputMessage="1" showErrorMessage="1" sqref="A2730">
      <formula1>0</formula1>
    </dataValidation>
    <dataValidation type="list" allowBlank="1" showInputMessage="1" showErrorMessage="1" sqref="C2730">
      <formula1>UnidadesList</formula1>
    </dataValidation>
    <dataValidation type="decimal" operator="greaterThan" allowBlank="1" showInputMessage="1" showErrorMessage="1" sqref="D2730">
      <formula1>0</formula1>
    </dataValidation>
    <dataValidation type="decimal" operator="greaterThan" allowBlank="1" showInputMessage="1" showErrorMessage="1" sqref="E2730">
      <formula1>0</formula1>
    </dataValidation>
    <dataValidation type="whole" operator="greaterThan" allowBlank="1" showInputMessage="1" showErrorMessage="1" sqref="A2731">
      <formula1>0</formula1>
    </dataValidation>
    <dataValidation type="list" allowBlank="1" showInputMessage="1" showErrorMessage="1" sqref="C2731">
      <formula1>UnidadesList</formula1>
    </dataValidation>
    <dataValidation type="decimal" operator="greaterThan" allowBlank="1" showInputMessage="1" showErrorMessage="1" sqref="D2731">
      <formula1>0</formula1>
    </dataValidation>
    <dataValidation type="decimal" operator="greaterThan" allowBlank="1" showInputMessage="1" showErrorMessage="1" sqref="E2731">
      <formula1>0</formula1>
    </dataValidation>
    <dataValidation type="whole" operator="greaterThan" allowBlank="1" showInputMessage="1" showErrorMessage="1" sqref="A2732">
      <formula1>0</formula1>
    </dataValidation>
    <dataValidation type="list" allowBlank="1" showInputMessage="1" showErrorMessage="1" sqref="C2732">
      <formula1>UnidadesList</formula1>
    </dataValidation>
    <dataValidation type="decimal" operator="greaterThan" allowBlank="1" showInputMessage="1" showErrorMessage="1" sqref="D2732">
      <formula1>0</formula1>
    </dataValidation>
    <dataValidation type="decimal" operator="greaterThan" allowBlank="1" showInputMessage="1" showErrorMessage="1" sqref="E2732">
      <formula1>0</formula1>
    </dataValidation>
    <dataValidation type="whole" operator="greaterThan" allowBlank="1" showInputMessage="1" showErrorMessage="1" sqref="A2733">
      <formula1>0</formula1>
    </dataValidation>
    <dataValidation type="list" allowBlank="1" showInputMessage="1" showErrorMessage="1" sqref="C2733">
      <formula1>UnidadesList</formula1>
    </dataValidation>
    <dataValidation type="decimal" operator="greaterThan" allowBlank="1" showInputMessage="1" showErrorMessage="1" sqref="D2733">
      <formula1>0</formula1>
    </dataValidation>
    <dataValidation type="decimal" operator="greaterThan" allowBlank="1" showInputMessage="1" showErrorMessage="1" sqref="E2733">
      <formula1>0</formula1>
    </dataValidation>
    <dataValidation type="whole" operator="greaterThan" allowBlank="1" showInputMessage="1" showErrorMessage="1" sqref="A2734">
      <formula1>0</formula1>
    </dataValidation>
    <dataValidation type="list" allowBlank="1" showInputMessage="1" showErrorMessage="1" sqref="C2734">
      <formula1>UnidadesList</formula1>
    </dataValidation>
    <dataValidation type="decimal" operator="greaterThan" allowBlank="1" showInputMessage="1" showErrorMessage="1" sqref="D2734">
      <formula1>0</formula1>
    </dataValidation>
    <dataValidation type="decimal" operator="greaterThan" allowBlank="1" showInputMessage="1" showErrorMessage="1" sqref="E2734">
      <formula1>0</formula1>
    </dataValidation>
    <dataValidation type="whole" operator="greaterThan" allowBlank="1" showInputMessage="1" showErrorMessage="1" sqref="A2735">
      <formula1>0</formula1>
    </dataValidation>
    <dataValidation type="list" allowBlank="1" showInputMessage="1" showErrorMessage="1" sqref="C2735">
      <formula1>UnidadesList</formula1>
    </dataValidation>
    <dataValidation type="decimal" operator="greaterThan" allowBlank="1" showInputMessage="1" showErrorMessage="1" sqref="D2735">
      <formula1>0</formula1>
    </dataValidation>
    <dataValidation type="decimal" operator="greaterThan" allowBlank="1" showInputMessage="1" showErrorMessage="1" sqref="E2735">
      <formula1>0</formula1>
    </dataValidation>
    <dataValidation type="whole" operator="greaterThan" allowBlank="1" showInputMessage="1" showErrorMessage="1" sqref="A2736">
      <formula1>0</formula1>
    </dataValidation>
    <dataValidation type="list" allowBlank="1" showInputMessage="1" showErrorMessage="1" sqref="C2736">
      <formula1>UnidadesList</formula1>
    </dataValidation>
    <dataValidation type="decimal" operator="greaterThan" allowBlank="1" showInputMessage="1" showErrorMessage="1" sqref="D2736">
      <formula1>0</formula1>
    </dataValidation>
    <dataValidation type="decimal" operator="greaterThan" allowBlank="1" showInputMessage="1" showErrorMessage="1" sqref="E2736">
      <formula1>0</formula1>
    </dataValidation>
    <dataValidation type="whole" operator="greaterThan" allowBlank="1" showInputMessage="1" showErrorMessage="1" sqref="A2737">
      <formula1>0</formula1>
    </dataValidation>
    <dataValidation type="list" allowBlank="1" showInputMessage="1" showErrorMessage="1" sqref="C2737">
      <formula1>UnidadesList</formula1>
    </dataValidation>
    <dataValidation type="decimal" operator="greaterThan" allowBlank="1" showInputMessage="1" showErrorMessage="1" sqref="D2737">
      <formula1>0</formula1>
    </dataValidation>
    <dataValidation type="decimal" operator="greaterThan" allowBlank="1" showInputMessage="1" showErrorMessage="1" sqref="E2737">
      <formula1>0</formula1>
    </dataValidation>
    <dataValidation type="whole" operator="greaterThan" allowBlank="1" showInputMessage="1" showErrorMessage="1" sqref="A2738">
      <formula1>0</formula1>
    </dataValidation>
    <dataValidation type="list" allowBlank="1" showInputMessage="1" showErrorMessage="1" sqref="C2738">
      <formula1>UnidadesList</formula1>
    </dataValidation>
    <dataValidation type="decimal" operator="greaterThan" allowBlank="1" showInputMessage="1" showErrorMessage="1" sqref="D2738">
      <formula1>0</formula1>
    </dataValidation>
    <dataValidation type="decimal" operator="greaterThan" allowBlank="1" showInputMessage="1" showErrorMessage="1" sqref="E2738">
      <formula1>0</formula1>
    </dataValidation>
    <dataValidation type="whole" operator="greaterThan" allowBlank="1" showInputMessage="1" showErrorMessage="1" sqref="A2739">
      <formula1>0</formula1>
    </dataValidation>
    <dataValidation type="list" allowBlank="1" showInputMessage="1" showErrorMessage="1" sqref="C2739">
      <formula1>UnidadesList</formula1>
    </dataValidation>
    <dataValidation type="decimal" operator="greaterThan" allowBlank="1" showInputMessage="1" showErrorMessage="1" sqref="D2739">
      <formula1>0</formula1>
    </dataValidation>
    <dataValidation type="decimal" operator="greaterThan" allowBlank="1" showInputMessage="1" showErrorMessage="1" sqref="E2739">
      <formula1>0</formula1>
    </dataValidation>
    <dataValidation type="whole" operator="greaterThan" allowBlank="1" showInputMessage="1" showErrorMessage="1" sqref="A2740">
      <formula1>0</formula1>
    </dataValidation>
    <dataValidation type="list" allowBlank="1" showInputMessage="1" showErrorMessage="1" sqref="C2740">
      <formula1>UnidadesList</formula1>
    </dataValidation>
    <dataValidation type="decimal" operator="greaterThan" allowBlank="1" showInputMessage="1" showErrorMessage="1" sqref="D2740">
      <formula1>0</formula1>
    </dataValidation>
    <dataValidation type="decimal" operator="greaterThan" allowBlank="1" showInputMessage="1" showErrorMessage="1" sqref="E2740">
      <formula1>0</formula1>
    </dataValidation>
    <dataValidation type="whole" operator="greaterThan" allowBlank="1" showInputMessage="1" showErrorMessage="1" sqref="A2741">
      <formula1>0</formula1>
    </dataValidation>
    <dataValidation type="list" allowBlank="1" showInputMessage="1" showErrorMessage="1" sqref="C2741">
      <formula1>UnidadesList</formula1>
    </dataValidation>
    <dataValidation type="decimal" operator="greaterThan" allowBlank="1" showInputMessage="1" showErrorMessage="1" sqref="D2741">
      <formula1>0</formula1>
    </dataValidation>
    <dataValidation type="decimal" operator="greaterThan" allowBlank="1" showInputMessage="1" showErrorMessage="1" sqref="E2741">
      <formula1>0</formula1>
    </dataValidation>
    <dataValidation type="whole" operator="greaterThan" allowBlank="1" showInputMessage="1" showErrorMessage="1" sqref="A2742">
      <formula1>0</formula1>
    </dataValidation>
    <dataValidation type="list" allowBlank="1" showInputMessage="1" showErrorMessage="1" sqref="C2742">
      <formula1>UnidadesList</formula1>
    </dataValidation>
    <dataValidation type="decimal" operator="greaterThan" allowBlank="1" showInputMessage="1" showErrorMessage="1" sqref="D2742">
      <formula1>0</formula1>
    </dataValidation>
    <dataValidation type="decimal" operator="greaterThan" allowBlank="1" showInputMessage="1" showErrorMessage="1" sqref="E2742">
      <formula1>0</formula1>
    </dataValidation>
    <dataValidation type="whole" operator="greaterThan" allowBlank="1" showInputMessage="1" showErrorMessage="1" sqref="A2743">
      <formula1>0</formula1>
    </dataValidation>
    <dataValidation type="list" allowBlank="1" showInputMessage="1" showErrorMessage="1" sqref="C2743">
      <formula1>UnidadesList</formula1>
    </dataValidation>
    <dataValidation type="decimal" operator="greaterThan" allowBlank="1" showInputMessage="1" showErrorMessage="1" sqref="D2743">
      <formula1>0</formula1>
    </dataValidation>
    <dataValidation type="decimal" operator="greaterThan" allowBlank="1" showInputMessage="1" showErrorMessage="1" sqref="E2743">
      <formula1>0</formula1>
    </dataValidation>
    <dataValidation type="whole" operator="greaterThan" allowBlank="1" showInputMessage="1" showErrorMessage="1" sqref="A2744">
      <formula1>0</formula1>
    </dataValidation>
    <dataValidation type="list" allowBlank="1" showInputMessage="1" showErrorMessage="1" sqref="C2744">
      <formula1>UnidadesList</formula1>
    </dataValidation>
    <dataValidation type="decimal" operator="greaterThan" allowBlank="1" showInputMessage="1" showErrorMessage="1" sqref="D2744">
      <formula1>0</formula1>
    </dataValidation>
    <dataValidation type="decimal" operator="greaterThan" allowBlank="1" showInputMessage="1" showErrorMessage="1" sqref="E2744">
      <formula1>0</formula1>
    </dataValidation>
    <dataValidation type="whole" operator="greaterThan" allowBlank="1" showInputMessage="1" showErrorMessage="1" sqref="A2745">
      <formula1>0</formula1>
    </dataValidation>
    <dataValidation type="list" allowBlank="1" showInputMessage="1" showErrorMessage="1" sqref="C2745">
      <formula1>UnidadesList</formula1>
    </dataValidation>
    <dataValidation type="decimal" operator="greaterThan" allowBlank="1" showInputMessage="1" showErrorMessage="1" sqref="D2745">
      <formula1>0</formula1>
    </dataValidation>
    <dataValidation type="decimal" operator="greaterThan" allowBlank="1" showInputMessage="1" showErrorMessage="1" sqref="E2745">
      <formula1>0</formula1>
    </dataValidation>
    <dataValidation type="whole" operator="greaterThan" allowBlank="1" showInputMessage="1" showErrorMessage="1" sqref="A2746">
      <formula1>0</formula1>
    </dataValidation>
    <dataValidation type="list" allowBlank="1" showInputMessage="1" showErrorMessage="1" sqref="C2746">
      <formula1>UnidadesList</formula1>
    </dataValidation>
    <dataValidation type="decimal" operator="greaterThan" allowBlank="1" showInputMessage="1" showErrorMessage="1" sqref="D2746">
      <formula1>0</formula1>
    </dataValidation>
    <dataValidation type="decimal" operator="greaterThan" allowBlank="1" showInputMessage="1" showErrorMessage="1" sqref="E2746">
      <formula1>0</formula1>
    </dataValidation>
    <dataValidation type="whole" operator="greaterThan" allowBlank="1" showInputMessage="1" showErrorMessage="1" sqref="A2747">
      <formula1>0</formula1>
    </dataValidation>
    <dataValidation type="list" allowBlank="1" showInputMessage="1" showErrorMessage="1" sqref="C2747">
      <formula1>UnidadesList</formula1>
    </dataValidation>
    <dataValidation type="decimal" operator="greaterThan" allowBlank="1" showInputMessage="1" showErrorMessage="1" sqref="D2747">
      <formula1>0</formula1>
    </dataValidation>
    <dataValidation type="decimal" operator="greaterThan" allowBlank="1" showInputMessage="1" showErrorMessage="1" sqref="E2747">
      <formula1>0</formula1>
    </dataValidation>
    <dataValidation type="whole" operator="greaterThan" allowBlank="1" showInputMessage="1" showErrorMessage="1" sqref="A2748">
      <formula1>0</formula1>
    </dataValidation>
    <dataValidation type="list" allowBlank="1" showInputMessage="1" showErrorMessage="1" sqref="C2748">
      <formula1>UnidadesList</formula1>
    </dataValidation>
    <dataValidation type="decimal" operator="greaterThan" allowBlank="1" showInputMessage="1" showErrorMessage="1" sqref="D2748">
      <formula1>0</formula1>
    </dataValidation>
    <dataValidation type="decimal" operator="greaterThan" allowBlank="1" showInputMessage="1" showErrorMessage="1" sqref="E2748">
      <formula1>0</formula1>
    </dataValidation>
    <dataValidation type="whole" operator="greaterThan" allowBlank="1" showInputMessage="1" showErrorMessage="1" sqref="A2749">
      <formula1>0</formula1>
    </dataValidation>
    <dataValidation type="list" allowBlank="1" showInputMessage="1" showErrorMessage="1" sqref="C2749">
      <formula1>UnidadesList</formula1>
    </dataValidation>
    <dataValidation type="decimal" operator="greaterThan" allowBlank="1" showInputMessage="1" showErrorMessage="1" sqref="D2749">
      <formula1>0</formula1>
    </dataValidation>
    <dataValidation type="decimal" operator="greaterThan" allowBlank="1" showInputMessage="1" showErrorMessage="1" sqref="E2749">
      <formula1>0</formula1>
    </dataValidation>
    <dataValidation type="whole" operator="greaterThan" allowBlank="1" showInputMessage="1" showErrorMessage="1" sqref="A2750">
      <formula1>0</formula1>
    </dataValidation>
    <dataValidation type="list" allowBlank="1" showInputMessage="1" showErrorMessage="1" sqref="C2750">
      <formula1>UnidadesList</formula1>
    </dataValidation>
    <dataValidation type="decimal" operator="greaterThan" allowBlank="1" showInputMessage="1" showErrorMessage="1" sqref="D2750">
      <formula1>0</formula1>
    </dataValidation>
    <dataValidation type="decimal" operator="greaterThan" allowBlank="1" showInputMessage="1" showErrorMessage="1" sqref="E2750">
      <formula1>0</formula1>
    </dataValidation>
    <dataValidation type="whole" operator="greaterThan" allowBlank="1" showInputMessage="1" showErrorMessage="1" sqref="A2751">
      <formula1>0</formula1>
    </dataValidation>
    <dataValidation type="list" allowBlank="1" showInputMessage="1" showErrorMessage="1" sqref="C2751">
      <formula1>UnidadesList</formula1>
    </dataValidation>
    <dataValidation type="decimal" operator="greaterThan" allowBlank="1" showInputMessage="1" showErrorMessage="1" sqref="D2751">
      <formula1>0</formula1>
    </dataValidation>
    <dataValidation type="decimal" operator="greaterThan" allowBlank="1" showInputMessage="1" showErrorMessage="1" sqref="E2751">
      <formula1>0</formula1>
    </dataValidation>
    <dataValidation type="whole" operator="greaterThan" allowBlank="1" showInputMessage="1" showErrorMessage="1" sqref="A2752">
      <formula1>0</formula1>
    </dataValidation>
    <dataValidation type="list" allowBlank="1" showInputMessage="1" showErrorMessage="1" sqref="C2752">
      <formula1>UnidadesList</formula1>
    </dataValidation>
    <dataValidation type="decimal" operator="greaterThan" allowBlank="1" showInputMessage="1" showErrorMessage="1" sqref="D2752">
      <formula1>0</formula1>
    </dataValidation>
    <dataValidation type="decimal" operator="greaterThan" allowBlank="1" showInputMessage="1" showErrorMessage="1" sqref="E2752">
      <formula1>0</formula1>
    </dataValidation>
    <dataValidation type="whole" operator="greaterThan" allowBlank="1" showInputMessage="1" showErrorMessage="1" sqref="A2753">
      <formula1>0</formula1>
    </dataValidation>
    <dataValidation type="list" allowBlank="1" showInputMessage="1" showErrorMessage="1" sqref="C2753">
      <formula1>UnidadesList</formula1>
    </dataValidation>
    <dataValidation type="decimal" operator="greaterThan" allowBlank="1" showInputMessage="1" showErrorMessage="1" sqref="D2753">
      <formula1>0</formula1>
    </dataValidation>
    <dataValidation type="decimal" operator="greaterThan" allowBlank="1" showInputMessage="1" showErrorMessage="1" sqref="E2753">
      <formula1>0</formula1>
    </dataValidation>
    <dataValidation type="whole" operator="greaterThan" allowBlank="1" showInputMessage="1" showErrorMessage="1" sqref="A2754">
      <formula1>0</formula1>
    </dataValidation>
    <dataValidation type="list" allowBlank="1" showInputMessage="1" showErrorMessage="1" sqref="C2754">
      <formula1>UnidadesList</formula1>
    </dataValidation>
    <dataValidation type="decimal" operator="greaterThan" allowBlank="1" showInputMessage="1" showErrorMessage="1" sqref="D2754">
      <formula1>0</formula1>
    </dataValidation>
    <dataValidation type="decimal" operator="greaterThan" allowBlank="1" showInputMessage="1" showErrorMessage="1" sqref="E2754">
      <formula1>0</formula1>
    </dataValidation>
    <dataValidation type="whole" operator="greaterThan" allowBlank="1" showInputMessage="1" showErrorMessage="1" sqref="A2755">
      <formula1>0</formula1>
    </dataValidation>
    <dataValidation type="list" allowBlank="1" showInputMessage="1" showErrorMessage="1" sqref="C2755">
      <formula1>UnidadesList</formula1>
    </dataValidation>
    <dataValidation type="decimal" operator="greaterThan" allowBlank="1" showInputMessage="1" showErrorMessage="1" sqref="D2755">
      <formula1>0</formula1>
    </dataValidation>
    <dataValidation type="decimal" operator="greaterThan" allowBlank="1" showInputMessage="1" showErrorMessage="1" sqref="E2755">
      <formula1>0</formula1>
    </dataValidation>
    <dataValidation type="whole" operator="greaterThan" allowBlank="1" showInputMessage="1" showErrorMessage="1" sqref="A2756">
      <formula1>0</formula1>
    </dataValidation>
    <dataValidation type="list" allowBlank="1" showInputMessage="1" showErrorMessage="1" sqref="C2756">
      <formula1>UnidadesList</formula1>
    </dataValidation>
    <dataValidation type="decimal" operator="greaterThan" allowBlank="1" showInputMessage="1" showErrorMessage="1" sqref="D2756">
      <formula1>0</formula1>
    </dataValidation>
    <dataValidation type="decimal" operator="greaterThan" allowBlank="1" showInputMessage="1" showErrorMessage="1" sqref="E2756">
      <formula1>0</formula1>
    </dataValidation>
    <dataValidation type="whole" operator="greaterThan" allowBlank="1" showInputMessage="1" showErrorMessage="1" sqref="A2757">
      <formula1>0</formula1>
    </dataValidation>
    <dataValidation type="list" allowBlank="1" showInputMessage="1" showErrorMessage="1" sqref="C2757">
      <formula1>UnidadesList</formula1>
    </dataValidation>
    <dataValidation type="decimal" operator="greaterThan" allowBlank="1" showInputMessage="1" showErrorMessage="1" sqref="D2757">
      <formula1>0</formula1>
    </dataValidation>
    <dataValidation type="decimal" operator="greaterThan" allowBlank="1" showInputMessage="1" showErrorMessage="1" sqref="E2757">
      <formula1>0</formula1>
    </dataValidation>
    <dataValidation type="whole" operator="greaterThan" allowBlank="1" showInputMessage="1" showErrorMessage="1" sqref="A2758">
      <formula1>0</formula1>
    </dataValidation>
    <dataValidation type="list" allowBlank="1" showInputMessage="1" showErrorMessage="1" sqref="C2758">
      <formula1>UnidadesList</formula1>
    </dataValidation>
    <dataValidation type="decimal" operator="greaterThan" allowBlank="1" showInputMessage="1" showErrorMessage="1" sqref="D2758">
      <formula1>0</formula1>
    </dataValidation>
    <dataValidation type="decimal" operator="greaterThan" allowBlank="1" showInputMessage="1" showErrorMessage="1" sqref="E2758">
      <formula1>0</formula1>
    </dataValidation>
    <dataValidation type="whole" operator="greaterThan" allowBlank="1" showInputMessage="1" showErrorMessage="1" sqref="A2759">
      <formula1>0</formula1>
    </dataValidation>
    <dataValidation type="list" allowBlank="1" showInputMessage="1" showErrorMessage="1" sqref="C2759">
      <formula1>UnidadesList</formula1>
    </dataValidation>
    <dataValidation type="decimal" operator="greaterThan" allowBlank="1" showInputMessage="1" showErrorMessage="1" sqref="D2759">
      <formula1>0</formula1>
    </dataValidation>
    <dataValidation type="decimal" operator="greaterThan" allowBlank="1" showInputMessage="1" showErrorMessage="1" sqref="E2759">
      <formula1>0</formula1>
    </dataValidation>
    <dataValidation type="whole" operator="greaterThan" allowBlank="1" showInputMessage="1" showErrorMessage="1" sqref="A2760">
      <formula1>0</formula1>
    </dataValidation>
    <dataValidation type="list" allowBlank="1" showInputMessage="1" showErrorMessage="1" sqref="C2760">
      <formula1>UnidadesList</formula1>
    </dataValidation>
    <dataValidation type="decimal" operator="greaterThan" allowBlank="1" showInputMessage="1" showErrorMessage="1" sqref="D2760">
      <formula1>0</formula1>
    </dataValidation>
    <dataValidation type="decimal" operator="greaterThan" allowBlank="1" showInputMessage="1" showErrorMessage="1" sqref="E2760">
      <formula1>0</formula1>
    </dataValidation>
    <dataValidation type="whole" operator="greaterThan" allowBlank="1" showInputMessage="1" showErrorMessage="1" sqref="A2761">
      <formula1>0</formula1>
    </dataValidation>
    <dataValidation type="list" allowBlank="1" showInputMessage="1" showErrorMessage="1" sqref="C2761">
      <formula1>UnidadesList</formula1>
    </dataValidation>
    <dataValidation type="decimal" operator="greaterThan" allowBlank="1" showInputMessage="1" showErrorMessage="1" sqref="D2761">
      <formula1>0</formula1>
    </dataValidation>
    <dataValidation type="decimal" operator="greaterThan" allowBlank="1" showInputMessage="1" showErrorMessage="1" sqref="E2761">
      <formula1>0</formula1>
    </dataValidation>
    <dataValidation type="whole" operator="greaterThan" allowBlank="1" showInputMessage="1" showErrorMessage="1" sqref="A2762">
      <formula1>0</formula1>
    </dataValidation>
    <dataValidation type="list" allowBlank="1" showInputMessage="1" showErrorMessage="1" sqref="C2762">
      <formula1>UnidadesList</formula1>
    </dataValidation>
    <dataValidation type="decimal" operator="greaterThan" allowBlank="1" showInputMessage="1" showErrorMessage="1" sqref="D2762">
      <formula1>0</formula1>
    </dataValidation>
    <dataValidation type="decimal" operator="greaterThan" allowBlank="1" showInputMessage="1" showErrorMessage="1" sqref="E2762">
      <formula1>0</formula1>
    </dataValidation>
    <dataValidation type="whole" operator="greaterThan" allowBlank="1" showInputMessage="1" showErrorMessage="1" sqref="A2763">
      <formula1>0</formula1>
    </dataValidation>
    <dataValidation type="list" allowBlank="1" showInputMessage="1" showErrorMessage="1" sqref="C2763">
      <formula1>UnidadesList</formula1>
    </dataValidation>
    <dataValidation type="decimal" operator="greaterThan" allowBlank="1" showInputMessage="1" showErrorMessage="1" sqref="D2763">
      <formula1>0</formula1>
    </dataValidation>
    <dataValidation type="decimal" operator="greaterThan" allowBlank="1" showInputMessage="1" showErrorMessage="1" sqref="E2763">
      <formula1>0</formula1>
    </dataValidation>
    <dataValidation type="whole" operator="greaterThan" allowBlank="1" showInputMessage="1" showErrorMessage="1" sqref="A2764">
      <formula1>0</formula1>
    </dataValidation>
    <dataValidation type="list" allowBlank="1" showInputMessage="1" showErrorMessage="1" sqref="C2764">
      <formula1>UnidadesList</formula1>
    </dataValidation>
    <dataValidation type="decimal" operator="greaterThan" allowBlank="1" showInputMessage="1" showErrorMessage="1" sqref="D2764">
      <formula1>0</formula1>
    </dataValidation>
    <dataValidation type="decimal" operator="greaterThan" allowBlank="1" showInputMessage="1" showErrorMessage="1" sqref="E2764">
      <formula1>0</formula1>
    </dataValidation>
    <dataValidation type="date" operator="lessThanOrEqual" allowBlank="1" showInputMessage="1" showErrorMessage="1" sqref="C2769">
      <formula1>C2771</formula1>
    </dataValidation>
    <dataValidation type="date" operator="greaterThanOrEqual" allowBlank="1" showInputMessage="1" showErrorMessage="1" sqref="C2771">
      <formula1>C2769</formula1>
    </dataValidation>
    <dataValidation type="list" allowBlank="1" showInputMessage="1" showErrorMessage="1" sqref="F27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75">
      <formula1>0</formula1>
    </dataValidation>
    <dataValidation type="list" allowBlank="1" showInputMessage="1" showErrorMessage="1" sqref="C2775">
      <formula1>UnidadesList</formula1>
    </dataValidation>
    <dataValidation type="decimal" operator="greaterThan" allowBlank="1" showInputMessage="1" showErrorMessage="1" sqref="D2775">
      <formula1>0</formula1>
    </dataValidation>
    <dataValidation type="decimal" operator="greaterThan" allowBlank="1" showInputMessage="1" showErrorMessage="1" sqref="E2775">
      <formula1>0</formula1>
    </dataValidation>
    <dataValidation type="whole" operator="greaterThan" allowBlank="1" showInputMessage="1" showErrorMessage="1" sqref="A2776">
      <formula1>0</formula1>
    </dataValidation>
    <dataValidation type="list" allowBlank="1" showInputMessage="1" showErrorMessage="1" sqref="C2776">
      <formula1>UnidadesList</formula1>
    </dataValidation>
    <dataValidation type="decimal" operator="greaterThan" allowBlank="1" showInputMessage="1" showErrorMessage="1" sqref="D2776">
      <formula1>0</formula1>
    </dataValidation>
    <dataValidation type="decimal" operator="greaterThan" allowBlank="1" showInputMessage="1" showErrorMessage="1" sqref="E2776">
      <formula1>0</formula1>
    </dataValidation>
    <dataValidation type="whole" operator="greaterThan" allowBlank="1" showInputMessage="1" showErrorMessage="1" sqref="A2777">
      <formula1>0</formula1>
    </dataValidation>
    <dataValidation type="list" allowBlank="1" showInputMessage="1" showErrorMessage="1" sqref="C2777">
      <formula1>UnidadesList</formula1>
    </dataValidation>
    <dataValidation type="decimal" operator="greaterThan" allowBlank="1" showInputMessage="1" showErrorMessage="1" sqref="D2777">
      <formula1>0</formula1>
    </dataValidation>
    <dataValidation type="decimal" operator="greaterThan" allowBlank="1" showInputMessage="1" showErrorMessage="1" sqref="E2777">
      <formula1>0</formula1>
    </dataValidation>
    <dataValidation type="whole" operator="greaterThan" allowBlank="1" showInputMessage="1" showErrorMessage="1" sqref="A2778">
      <formula1>0</formula1>
    </dataValidation>
    <dataValidation type="list" allowBlank="1" showInputMessage="1" showErrorMessage="1" sqref="C2778">
      <formula1>UnidadesList</formula1>
    </dataValidation>
    <dataValidation type="decimal" operator="greaterThan" allowBlank="1" showInputMessage="1" showErrorMessage="1" sqref="D2778">
      <formula1>0</formula1>
    </dataValidation>
    <dataValidation type="decimal" operator="greaterThan" allowBlank="1" showInputMessage="1" showErrorMessage="1" sqref="E2778">
      <formula1>0</formula1>
    </dataValidation>
    <dataValidation type="whole" operator="greaterThan" allowBlank="1" showInputMessage="1" showErrorMessage="1" sqref="A2779">
      <formula1>0</formula1>
    </dataValidation>
    <dataValidation type="list" allowBlank="1" showInputMessage="1" showErrorMessage="1" sqref="C2779">
      <formula1>UnidadesList</formula1>
    </dataValidation>
    <dataValidation type="decimal" operator="greaterThan" allowBlank="1" showInputMessage="1" showErrorMessage="1" sqref="D2779">
      <formula1>0</formula1>
    </dataValidation>
    <dataValidation type="decimal" operator="greaterThan" allowBlank="1" showInputMessage="1" showErrorMessage="1" sqref="E2779">
      <formula1>0</formula1>
    </dataValidation>
    <dataValidation type="whole" operator="greaterThan" allowBlank="1" showInputMessage="1" showErrorMessage="1" sqref="A2780">
      <formula1>0</formula1>
    </dataValidation>
    <dataValidation type="list" allowBlank="1" showInputMessage="1" showErrorMessage="1" sqref="C2780">
      <formula1>UnidadesList</formula1>
    </dataValidation>
    <dataValidation type="decimal" operator="greaterThan" allowBlank="1" showInputMessage="1" showErrorMessage="1" sqref="D2780">
      <formula1>0</formula1>
    </dataValidation>
    <dataValidation type="decimal" operator="greaterThan" allowBlank="1" showInputMessage="1" showErrorMessage="1" sqref="E2780">
      <formula1>0</formula1>
    </dataValidation>
    <dataValidation type="whole" operator="greaterThan" allowBlank="1" showInputMessage="1" showErrorMessage="1" sqref="A2781">
      <formula1>0</formula1>
    </dataValidation>
    <dataValidation type="list" allowBlank="1" showInputMessage="1" showErrorMessage="1" sqref="C2781">
      <formula1>UnidadesList</formula1>
    </dataValidation>
    <dataValidation type="decimal" operator="greaterThan" allowBlank="1" showInputMessage="1" showErrorMessage="1" sqref="D2781">
      <formula1>0</formula1>
    </dataValidation>
    <dataValidation type="decimal" operator="greaterThan" allowBlank="1" showInputMessage="1" showErrorMessage="1" sqref="E2781">
      <formula1>0</formula1>
    </dataValidation>
    <dataValidation type="whole" operator="greaterThan" allowBlank="1" showInputMessage="1" showErrorMessage="1" sqref="A2782">
      <formula1>0</formula1>
    </dataValidation>
    <dataValidation type="list" allowBlank="1" showInputMessage="1" showErrorMessage="1" sqref="C2782">
      <formula1>UnidadesList</formula1>
    </dataValidation>
    <dataValidation type="decimal" operator="greaterThan" allowBlank="1" showInputMessage="1" showErrorMessage="1" sqref="D2782">
      <formula1>0</formula1>
    </dataValidation>
    <dataValidation type="decimal" operator="greaterThan" allowBlank="1" showInputMessage="1" showErrorMessage="1" sqref="E2782">
      <formula1>0</formula1>
    </dataValidation>
    <dataValidation type="whole" operator="greaterThan" allowBlank="1" showInputMessage="1" showErrorMessage="1" sqref="A2783">
      <formula1>0</formula1>
    </dataValidation>
    <dataValidation type="list" allowBlank="1" showInputMessage="1" showErrorMessage="1" sqref="C2783">
      <formula1>UnidadesList</formula1>
    </dataValidation>
    <dataValidation type="decimal" operator="greaterThan" allowBlank="1" showInputMessage="1" showErrorMessage="1" sqref="D2783">
      <formula1>0</formula1>
    </dataValidation>
    <dataValidation type="decimal" operator="greaterThan" allowBlank="1" showInputMessage="1" showErrorMessage="1" sqref="E2783">
      <formula1>0</formula1>
    </dataValidation>
    <dataValidation type="whole" operator="greaterThan" allowBlank="1" showInputMessage="1" showErrorMessage="1" sqref="A2784">
      <formula1>0</formula1>
    </dataValidation>
    <dataValidation type="list" allowBlank="1" showInputMessage="1" showErrorMessage="1" sqref="C2784">
      <formula1>UnidadesList</formula1>
    </dataValidation>
    <dataValidation type="decimal" operator="greaterThan" allowBlank="1" showInputMessage="1" showErrorMessage="1" sqref="D2784">
      <formula1>0</formula1>
    </dataValidation>
    <dataValidation type="decimal" operator="greaterThan" allowBlank="1" showInputMessage="1" showErrorMessage="1" sqref="E2784">
      <formula1>0</formula1>
    </dataValidation>
    <dataValidation type="whole" operator="greaterThan" allowBlank="1" showInputMessage="1" showErrorMessage="1" sqref="A2785">
      <formula1>0</formula1>
    </dataValidation>
    <dataValidation type="list" allowBlank="1" showInputMessage="1" showErrorMessage="1" sqref="C2785">
      <formula1>UnidadesList</formula1>
    </dataValidation>
    <dataValidation type="decimal" operator="greaterThan" allowBlank="1" showInputMessage="1" showErrorMessage="1" sqref="D2785">
      <formula1>0</formula1>
    </dataValidation>
    <dataValidation type="decimal" operator="greaterThan" allowBlank="1" showInputMessage="1" showErrorMessage="1" sqref="E2785">
      <formula1>0</formula1>
    </dataValidation>
    <dataValidation type="whole" operator="greaterThan" allowBlank="1" showInputMessage="1" showErrorMessage="1" sqref="A2786">
      <formula1>0</formula1>
    </dataValidation>
    <dataValidation type="list" allowBlank="1" showInputMessage="1" showErrorMessage="1" sqref="C2786">
      <formula1>UnidadesList</formula1>
    </dataValidation>
    <dataValidation type="decimal" operator="greaterThan" allowBlank="1" showInputMessage="1" showErrorMessage="1" sqref="D2786">
      <formula1>0</formula1>
    </dataValidation>
    <dataValidation type="decimal" operator="greaterThan" allowBlank="1" showInputMessage="1" showErrorMessage="1" sqref="E2786">
      <formula1>0</formula1>
    </dataValidation>
    <dataValidation type="whole" operator="greaterThan" allowBlank="1" showInputMessage="1" showErrorMessage="1" sqref="A2787">
      <formula1>0</formula1>
    </dataValidation>
    <dataValidation type="list" allowBlank="1" showInputMessage="1" showErrorMessage="1" sqref="C2787">
      <formula1>UnidadesList</formula1>
    </dataValidation>
    <dataValidation type="decimal" operator="greaterThan" allowBlank="1" showInputMessage="1" showErrorMessage="1" sqref="D2787">
      <formula1>0</formula1>
    </dataValidation>
    <dataValidation type="decimal" operator="greaterThan" allowBlank="1" showInputMessage="1" showErrorMessage="1" sqref="E2787">
      <formula1>0</formula1>
    </dataValidation>
    <dataValidation type="date" operator="lessThanOrEqual" allowBlank="1" showInputMessage="1" showErrorMessage="1" sqref="C2792">
      <formula1>C2794</formula1>
    </dataValidation>
    <dataValidation type="date" operator="greaterThanOrEqual" allowBlank="1" showInputMessage="1" showErrorMessage="1" sqref="C2794">
      <formula1>C2792</formula1>
    </dataValidation>
    <dataValidation type="list" allowBlank="1" showInputMessage="1" showErrorMessage="1" sqref="F279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9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9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79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98">
      <formula1>0</formula1>
    </dataValidation>
    <dataValidation type="list" allowBlank="1" showInputMessage="1" showErrorMessage="1" sqref="C2798">
      <formula1>UnidadesList</formula1>
    </dataValidation>
    <dataValidation type="decimal" operator="greaterThan" allowBlank="1" showInputMessage="1" showErrorMessage="1" sqref="D2798">
      <formula1>0</formula1>
    </dataValidation>
    <dataValidation type="decimal" operator="greaterThan" allowBlank="1" showInputMessage="1" showErrorMessage="1" sqref="E2798">
      <formula1>0</formula1>
    </dataValidation>
    <dataValidation type="whole" operator="greaterThan" allowBlank="1" showInputMessage="1" showErrorMessage="1" sqref="A2799">
      <formula1>0</formula1>
    </dataValidation>
    <dataValidation type="list" allowBlank="1" showInputMessage="1" showErrorMessage="1" sqref="C2799">
      <formula1>UnidadesList</formula1>
    </dataValidation>
    <dataValidation type="decimal" operator="greaterThan" allowBlank="1" showInputMessage="1" showErrorMessage="1" sqref="D2799">
      <formula1>0</formula1>
    </dataValidation>
    <dataValidation type="decimal" operator="greaterThan" allowBlank="1" showInputMessage="1" showErrorMessage="1" sqref="E2799">
      <formula1>0</formula1>
    </dataValidation>
    <dataValidation type="whole" operator="greaterThan" allowBlank="1" showInputMessage="1" showErrorMessage="1" sqref="A2800">
      <formula1>0</formula1>
    </dataValidation>
    <dataValidation type="list" allowBlank="1" showInputMessage="1" showErrorMessage="1" sqref="C2800">
      <formula1>UnidadesList</formula1>
    </dataValidation>
    <dataValidation type="decimal" operator="greaterThan" allowBlank="1" showInputMessage="1" showErrorMessage="1" sqref="D2800">
      <formula1>0</formula1>
    </dataValidation>
    <dataValidation type="decimal" operator="greaterThan" allowBlank="1" showInputMessage="1" showErrorMessage="1" sqref="E2800">
      <formula1>0</formula1>
    </dataValidation>
    <dataValidation type="whole" operator="greaterThan" allowBlank="1" showInputMessage="1" showErrorMessage="1" sqref="A2801">
      <formula1>0</formula1>
    </dataValidation>
    <dataValidation type="list" allowBlank="1" showInputMessage="1" showErrorMessage="1" sqref="C2801">
      <formula1>UnidadesList</formula1>
    </dataValidation>
    <dataValidation type="decimal" operator="greaterThan" allowBlank="1" showInputMessage="1" showErrorMessage="1" sqref="D2801">
      <formula1>0</formula1>
    </dataValidation>
    <dataValidation type="decimal" operator="greaterThan" allowBlank="1" showInputMessage="1" showErrorMessage="1" sqref="E2801">
      <formula1>0</formula1>
    </dataValidation>
    <dataValidation type="whole" operator="greaterThan" allowBlank="1" showInputMessage="1" showErrorMessage="1" sqref="A2802">
      <formula1>0</formula1>
    </dataValidation>
    <dataValidation type="list" allowBlank="1" showInputMessage="1" showErrorMessage="1" sqref="C2802">
      <formula1>UnidadesList</formula1>
    </dataValidation>
    <dataValidation type="decimal" operator="greaterThan" allowBlank="1" showInputMessage="1" showErrorMessage="1" sqref="D2802">
      <formula1>0</formula1>
    </dataValidation>
    <dataValidation type="decimal" operator="greaterThan" allowBlank="1" showInputMessage="1" showErrorMessage="1" sqref="E2802">
      <formula1>0</formula1>
    </dataValidation>
    <dataValidation type="whole" operator="greaterThan" allowBlank="1" showInputMessage="1" showErrorMessage="1" sqref="A2803">
      <formula1>0</formula1>
    </dataValidation>
    <dataValidation type="list" allowBlank="1" showInputMessage="1" showErrorMessage="1" sqref="C2803">
      <formula1>UnidadesList</formula1>
    </dataValidation>
    <dataValidation type="decimal" operator="greaterThan" allowBlank="1" showInputMessage="1" showErrorMessage="1" sqref="D2803">
      <formula1>0</formula1>
    </dataValidation>
    <dataValidation type="decimal" operator="greaterThan" allowBlank="1" showInputMessage="1" showErrorMessage="1" sqref="E2803">
      <formula1>0</formula1>
    </dataValidation>
    <dataValidation type="whole" operator="greaterThan" allowBlank="1" showInputMessage="1" showErrorMessage="1" sqref="A2804">
      <formula1>0</formula1>
    </dataValidation>
    <dataValidation type="list" allowBlank="1" showInputMessage="1" showErrorMessage="1" sqref="C2804">
      <formula1>UnidadesList</formula1>
    </dataValidation>
    <dataValidation type="decimal" operator="greaterThan" allowBlank="1" showInputMessage="1" showErrorMessage="1" sqref="D2804">
      <formula1>0</formula1>
    </dataValidation>
    <dataValidation type="decimal" operator="greaterThan" allowBlank="1" showInputMessage="1" showErrorMessage="1" sqref="E2804">
      <formula1>0</formula1>
    </dataValidation>
    <dataValidation type="whole" operator="greaterThan" allowBlank="1" showInputMessage="1" showErrorMessage="1" sqref="A2805">
      <formula1>0</formula1>
    </dataValidation>
    <dataValidation type="list" allowBlank="1" showInputMessage="1" showErrorMessage="1" sqref="C2805">
      <formula1>UnidadesList</formula1>
    </dataValidation>
    <dataValidation type="decimal" operator="greaterThan" allowBlank="1" showInputMessage="1" showErrorMessage="1" sqref="D2805">
      <formula1>0</formula1>
    </dataValidation>
    <dataValidation type="decimal" operator="greaterThan" allowBlank="1" showInputMessage="1" showErrorMessage="1" sqref="E2805">
      <formula1>0</formula1>
    </dataValidation>
    <dataValidation type="whole" operator="greaterThan" allowBlank="1" showInputMessage="1" showErrorMessage="1" sqref="A2806">
      <formula1>0</formula1>
    </dataValidation>
    <dataValidation type="list" allowBlank="1" showInputMessage="1" showErrorMessage="1" sqref="C2806">
      <formula1>UnidadesList</formula1>
    </dataValidation>
    <dataValidation type="decimal" operator="greaterThan" allowBlank="1" showInputMessage="1" showErrorMessage="1" sqref="D2806">
      <formula1>0</formula1>
    </dataValidation>
    <dataValidation type="decimal" operator="greaterThan" allowBlank="1" showInputMessage="1" showErrorMessage="1" sqref="E2806">
      <formula1>0</formula1>
    </dataValidation>
    <dataValidation type="whole" operator="greaterThan" allowBlank="1" showInputMessage="1" showErrorMessage="1" sqref="A2807">
      <formula1>0</formula1>
    </dataValidation>
    <dataValidation type="list" allowBlank="1" showInputMessage="1" showErrorMessage="1" sqref="C2807">
      <formula1>UnidadesList</formula1>
    </dataValidation>
    <dataValidation type="decimal" operator="greaterThan" allowBlank="1" showInputMessage="1" showErrorMessage="1" sqref="D2807">
      <formula1>0</formula1>
    </dataValidation>
    <dataValidation type="decimal" operator="greaterThan" allowBlank="1" showInputMessage="1" showErrorMessage="1" sqref="E2807">
      <formula1>0</formula1>
    </dataValidation>
    <dataValidation type="whole" operator="greaterThan" allowBlank="1" showInputMessage="1" showErrorMessage="1" sqref="A2808">
      <formula1>0</formula1>
    </dataValidation>
    <dataValidation type="list" allowBlank="1" showInputMessage="1" showErrorMessage="1" sqref="C2808">
      <formula1>UnidadesList</formula1>
    </dataValidation>
    <dataValidation type="decimal" operator="greaterThan" allowBlank="1" showInputMessage="1" showErrorMessage="1" sqref="D2808">
      <formula1>0</formula1>
    </dataValidation>
    <dataValidation type="decimal" operator="greaterThan" allowBlank="1" showInputMessage="1" showErrorMessage="1" sqref="E2808">
      <formula1>0</formula1>
    </dataValidation>
    <dataValidation type="whole" operator="greaterThan" allowBlank="1" showInputMessage="1" showErrorMessage="1" sqref="A2809">
      <formula1>0</formula1>
    </dataValidation>
    <dataValidation type="list" allowBlank="1" showInputMessage="1" showErrorMessage="1" sqref="C2809">
      <formula1>UnidadesList</formula1>
    </dataValidation>
    <dataValidation type="decimal" operator="greaterThan" allowBlank="1" showInputMessage="1" showErrorMessage="1" sqref="D2809">
      <formula1>0</formula1>
    </dataValidation>
    <dataValidation type="decimal" operator="greaterThan" allowBlank="1" showInputMessage="1" showErrorMessage="1" sqref="E2809">
      <formula1>0</formula1>
    </dataValidation>
    <dataValidation type="whole" operator="greaterThan" allowBlank="1" showInputMessage="1" showErrorMessage="1" sqref="A2810">
      <formula1>0</formula1>
    </dataValidation>
    <dataValidation type="list" allowBlank="1" showInputMessage="1" showErrorMessage="1" sqref="C2810">
      <formula1>UnidadesList</formula1>
    </dataValidation>
    <dataValidation type="decimal" operator="greaterThan" allowBlank="1" showInputMessage="1" showErrorMessage="1" sqref="D2810">
      <formula1>0</formula1>
    </dataValidation>
    <dataValidation type="decimal" operator="greaterThan" allowBlank="1" showInputMessage="1" showErrorMessage="1" sqref="E2810">
      <formula1>0</formula1>
    </dataValidation>
    <dataValidation type="whole" operator="greaterThan" allowBlank="1" showInputMessage="1" showErrorMessage="1" sqref="A2811">
      <formula1>0</formula1>
    </dataValidation>
    <dataValidation type="list" allowBlank="1" showInputMessage="1" showErrorMessage="1" sqref="C2811">
      <formula1>UnidadesList</formula1>
    </dataValidation>
    <dataValidation type="decimal" operator="greaterThan" allowBlank="1" showInputMessage="1" showErrorMessage="1" sqref="D2811">
      <formula1>0</formula1>
    </dataValidation>
    <dataValidation type="decimal" operator="greaterThan" allowBlank="1" showInputMessage="1" showErrorMessage="1" sqref="E2811">
      <formula1>0</formula1>
    </dataValidation>
    <dataValidation type="date" operator="lessThanOrEqual" allowBlank="1" showInputMessage="1" showErrorMessage="1" sqref="C2816">
      <formula1>C2818</formula1>
    </dataValidation>
    <dataValidation type="date" operator="greaterThanOrEqual" allowBlank="1" showInputMessage="1" showErrorMessage="1" sqref="C2818">
      <formula1>C2816</formula1>
    </dataValidation>
    <dataValidation type="list" allowBlank="1" showInputMessage="1" showErrorMessage="1" sqref="F281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1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1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1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22">
      <formula1>0</formula1>
    </dataValidation>
    <dataValidation type="list" allowBlank="1" showInputMessage="1" showErrorMessage="1" sqref="C2822">
      <formula1>UnidadesList</formula1>
    </dataValidation>
    <dataValidation type="decimal" operator="greaterThan" allowBlank="1" showInputMessage="1" showErrorMessage="1" sqref="D2822">
      <formula1>0</formula1>
    </dataValidation>
    <dataValidation type="decimal" operator="greaterThan" allowBlank="1" showInputMessage="1" showErrorMessage="1" sqref="E2822">
      <formula1>0</formula1>
    </dataValidation>
    <dataValidation type="whole" operator="greaterThan" allowBlank="1" showInputMessage="1" showErrorMessage="1" sqref="A2823">
      <formula1>0</formula1>
    </dataValidation>
    <dataValidation type="list" allowBlank="1" showInputMessage="1" showErrorMessage="1" sqref="C2823">
      <formula1>UnidadesList</formula1>
    </dataValidation>
    <dataValidation type="decimal" operator="greaterThan" allowBlank="1" showInputMessage="1" showErrorMessage="1" sqref="D2823">
      <formula1>0</formula1>
    </dataValidation>
    <dataValidation type="decimal" operator="greaterThan" allowBlank="1" showInputMessage="1" showErrorMessage="1" sqref="E2823">
      <formula1>0</formula1>
    </dataValidation>
    <dataValidation type="whole" operator="greaterThan" allowBlank="1" showInputMessage="1" showErrorMessage="1" sqref="A2824">
      <formula1>0</formula1>
    </dataValidation>
    <dataValidation type="list" allowBlank="1" showInputMessage="1" showErrorMessage="1" sqref="C2824">
      <formula1>UnidadesList</formula1>
    </dataValidation>
    <dataValidation type="decimal" operator="greaterThan" allowBlank="1" showInputMessage="1" showErrorMessage="1" sqref="D2824">
      <formula1>0</formula1>
    </dataValidation>
    <dataValidation type="decimal" operator="greaterThan" allowBlank="1" showInputMessage="1" showErrorMessage="1" sqref="E2824">
      <formula1>0</formula1>
    </dataValidation>
    <dataValidation type="whole" operator="greaterThan" allowBlank="1" showInputMessage="1" showErrorMessage="1" sqref="A2825">
      <formula1>0</formula1>
    </dataValidation>
    <dataValidation type="list" allowBlank="1" showInputMessage="1" showErrorMessage="1" sqref="C2825">
      <formula1>UnidadesList</formula1>
    </dataValidation>
    <dataValidation type="decimal" operator="greaterThan" allowBlank="1" showInputMessage="1" showErrorMessage="1" sqref="D2825">
      <formula1>0</formula1>
    </dataValidation>
    <dataValidation type="decimal" operator="greaterThan" allowBlank="1" showInputMessage="1" showErrorMessage="1" sqref="E2825">
      <formula1>0</formula1>
    </dataValidation>
    <dataValidation type="whole" operator="greaterThan" allowBlank="1" showInputMessage="1" showErrorMessage="1" sqref="A2826">
      <formula1>0</formula1>
    </dataValidation>
    <dataValidation type="list" allowBlank="1" showInputMessage="1" showErrorMessage="1" sqref="C2826">
      <formula1>UnidadesList</formula1>
    </dataValidation>
    <dataValidation type="decimal" operator="greaterThan" allowBlank="1" showInputMessage="1" showErrorMessage="1" sqref="D2826">
      <formula1>0</formula1>
    </dataValidation>
    <dataValidation type="decimal" operator="greaterThan" allowBlank="1" showInputMessage="1" showErrorMessage="1" sqref="E2826">
      <formula1>0</formula1>
    </dataValidation>
    <dataValidation type="whole" operator="greaterThan" allowBlank="1" showInputMessage="1" showErrorMessage="1" sqref="A2827">
      <formula1>0</formula1>
    </dataValidation>
    <dataValidation type="list" allowBlank="1" showInputMessage="1" showErrorMessage="1" sqref="C2827">
      <formula1>UnidadesList</formula1>
    </dataValidation>
    <dataValidation type="decimal" operator="greaterThan" allowBlank="1" showInputMessage="1" showErrorMessage="1" sqref="D2827">
      <formula1>0</formula1>
    </dataValidation>
    <dataValidation type="decimal" operator="greaterThan" allowBlank="1" showInputMessage="1" showErrorMessage="1" sqref="E2827">
      <formula1>0</formula1>
    </dataValidation>
    <dataValidation type="whole" operator="greaterThan" allowBlank="1" showInputMessage="1" showErrorMessage="1" sqref="A2828">
      <formula1>0</formula1>
    </dataValidation>
    <dataValidation type="list" allowBlank="1" showInputMessage="1" showErrorMessage="1" sqref="C2828">
      <formula1>UnidadesList</formula1>
    </dataValidation>
    <dataValidation type="decimal" operator="greaterThan" allowBlank="1" showInputMessage="1" showErrorMessage="1" sqref="D2828">
      <formula1>0</formula1>
    </dataValidation>
    <dataValidation type="decimal" operator="greaterThan" allowBlank="1" showInputMessage="1" showErrorMessage="1" sqref="E2828">
      <formula1>0</formula1>
    </dataValidation>
    <dataValidation type="whole" operator="greaterThan" allowBlank="1" showInputMessage="1" showErrorMessage="1" sqref="A2829">
      <formula1>0</formula1>
    </dataValidation>
    <dataValidation type="list" allowBlank="1" showInputMessage="1" showErrorMessage="1" sqref="C2829">
      <formula1>UnidadesList</formula1>
    </dataValidation>
    <dataValidation type="decimal" operator="greaterThan" allowBlank="1" showInputMessage="1" showErrorMessage="1" sqref="D2829">
      <formula1>0</formula1>
    </dataValidation>
    <dataValidation type="decimal" operator="greaterThan" allowBlank="1" showInputMessage="1" showErrorMessage="1" sqref="E2829">
      <formula1>0</formula1>
    </dataValidation>
    <dataValidation type="whole" operator="greaterThan" allowBlank="1" showInputMessage="1" showErrorMessage="1" sqref="A2830">
      <formula1>0</formula1>
    </dataValidation>
    <dataValidation type="list" allowBlank="1" showInputMessage="1" showErrorMessage="1" sqref="C2830">
      <formula1>UnidadesList</formula1>
    </dataValidation>
    <dataValidation type="decimal" operator="greaterThan" allowBlank="1" showInputMessage="1" showErrorMessage="1" sqref="D2830">
      <formula1>0</formula1>
    </dataValidation>
    <dataValidation type="decimal" operator="greaterThan" allowBlank="1" showInputMessage="1" showErrorMessage="1" sqref="E2830">
      <formula1>0</formula1>
    </dataValidation>
    <dataValidation type="whole" operator="greaterThan" allowBlank="1" showInputMessage="1" showErrorMessage="1" sqref="A2831">
      <formula1>0</formula1>
    </dataValidation>
    <dataValidation type="list" allowBlank="1" showInputMessage="1" showErrorMessage="1" sqref="C2831">
      <formula1>UnidadesList</formula1>
    </dataValidation>
    <dataValidation type="decimal" operator="greaterThan" allowBlank="1" showInputMessage="1" showErrorMessage="1" sqref="D2831">
      <formula1>0</formula1>
    </dataValidation>
    <dataValidation type="decimal" operator="greaterThan" allowBlank="1" showInputMessage="1" showErrorMessage="1" sqref="E2831">
      <formula1>0</formula1>
    </dataValidation>
    <dataValidation type="whole" operator="greaterThan" allowBlank="1" showInputMessage="1" showErrorMessage="1" sqref="A2832">
      <formula1>0</formula1>
    </dataValidation>
    <dataValidation type="list" allowBlank="1" showInputMessage="1" showErrorMessage="1" sqref="C2832">
      <formula1>UnidadesList</formula1>
    </dataValidation>
    <dataValidation type="decimal" operator="greaterThan" allowBlank="1" showInputMessage="1" showErrorMessage="1" sqref="D2832">
      <formula1>0</formula1>
    </dataValidation>
    <dataValidation type="decimal" operator="greaterThan" allowBlank="1" showInputMessage="1" showErrorMessage="1" sqref="E2832">
      <formula1>0</formula1>
    </dataValidation>
    <dataValidation type="whole" operator="greaterThan" allowBlank="1" showInputMessage="1" showErrorMessage="1" sqref="A2833">
      <formula1>0</formula1>
    </dataValidation>
    <dataValidation type="list" allowBlank="1" showInputMessage="1" showErrorMessage="1" sqref="C2833">
      <formula1>UnidadesList</formula1>
    </dataValidation>
    <dataValidation type="decimal" operator="greaterThan" allowBlank="1" showInputMessage="1" showErrorMessage="1" sqref="D2833">
      <formula1>0</formula1>
    </dataValidation>
    <dataValidation type="decimal" operator="greaterThan" allowBlank="1" showInputMessage="1" showErrorMessage="1" sqref="E2833">
      <formula1>0</formula1>
    </dataValidation>
    <dataValidation type="whole" operator="greaterThan" allowBlank="1" showInputMessage="1" showErrorMessage="1" sqref="A2834">
      <formula1>0</formula1>
    </dataValidation>
    <dataValidation type="list" allowBlank="1" showInputMessage="1" showErrorMessage="1" sqref="C2834">
      <formula1>UnidadesList</formula1>
    </dataValidation>
    <dataValidation type="decimal" operator="greaterThan" allowBlank="1" showInputMessage="1" showErrorMessage="1" sqref="D2834">
      <formula1>0</formula1>
    </dataValidation>
    <dataValidation type="decimal" operator="greaterThan" allowBlank="1" showInputMessage="1" showErrorMessage="1" sqref="E2834">
      <formula1>0</formula1>
    </dataValidation>
    <dataValidation type="whole" operator="greaterThan" allowBlank="1" showInputMessage="1" showErrorMessage="1" sqref="A2835">
      <formula1>0</formula1>
    </dataValidation>
    <dataValidation type="list" allowBlank="1" showInputMessage="1" showErrorMessage="1" sqref="C2835">
      <formula1>UnidadesList</formula1>
    </dataValidation>
    <dataValidation type="decimal" operator="greaterThan" allowBlank="1" showInputMessage="1" showErrorMessage="1" sqref="D2835">
      <formula1>0</formula1>
    </dataValidation>
    <dataValidation type="decimal" operator="greaterThan" allowBlank="1" showInputMessage="1" showErrorMessage="1" sqref="E2835">
      <formula1>0</formula1>
    </dataValidation>
    <dataValidation type="whole" operator="greaterThan" allowBlank="1" showInputMessage="1" showErrorMessage="1" sqref="A2836">
      <formula1>0</formula1>
    </dataValidation>
    <dataValidation type="list" allowBlank="1" showInputMessage="1" showErrorMessage="1" sqref="C2836">
      <formula1>UnidadesList</formula1>
    </dataValidation>
    <dataValidation type="decimal" operator="greaterThan" allowBlank="1" showInputMessage="1" showErrorMessage="1" sqref="D2836">
      <formula1>0</formula1>
    </dataValidation>
    <dataValidation type="decimal" operator="greaterThan" allowBlank="1" showInputMessage="1" showErrorMessage="1" sqref="E2836">
      <formula1>0</formula1>
    </dataValidation>
    <dataValidation type="whole" operator="greaterThan" allowBlank="1" showInputMessage="1" showErrorMessage="1" sqref="A2837">
      <formula1>0</formula1>
    </dataValidation>
    <dataValidation type="list" allowBlank="1" showInputMessage="1" showErrorMessage="1" sqref="C2837">
      <formula1>UnidadesList</formula1>
    </dataValidation>
    <dataValidation type="decimal" operator="greaterThan" allowBlank="1" showInputMessage="1" showErrorMessage="1" sqref="D2837">
      <formula1>0</formula1>
    </dataValidation>
    <dataValidation type="decimal" operator="greaterThan" allowBlank="1" showInputMessage="1" showErrorMessage="1" sqref="E2837">
      <formula1>0</formula1>
    </dataValidation>
    <dataValidation type="whole" operator="greaterThan" allowBlank="1" showInputMessage="1" showErrorMessage="1" sqref="A2838">
      <formula1>0</formula1>
    </dataValidation>
    <dataValidation type="list" allowBlank="1" showInputMessage="1" showErrorMessage="1" sqref="C2838">
      <formula1>UnidadesList</formula1>
    </dataValidation>
    <dataValidation type="decimal" operator="greaterThan" allowBlank="1" showInputMessage="1" showErrorMessage="1" sqref="D2838">
      <formula1>0</formula1>
    </dataValidation>
    <dataValidation type="decimal" operator="greaterThan" allowBlank="1" showInputMessage="1" showErrorMessage="1" sqref="E2838">
      <formula1>0</formula1>
    </dataValidation>
    <dataValidation type="whole" operator="greaterThan" allowBlank="1" showInputMessage="1" showErrorMessage="1" sqref="A2839">
      <formula1>0</formula1>
    </dataValidation>
    <dataValidation type="list" allowBlank="1" showInputMessage="1" showErrorMessage="1" sqref="C2839">
      <formula1>UnidadesList</formula1>
    </dataValidation>
    <dataValidation type="decimal" operator="greaterThan" allowBlank="1" showInputMessage="1" showErrorMessage="1" sqref="D2839">
      <formula1>0</formula1>
    </dataValidation>
    <dataValidation type="decimal" operator="greaterThan" allowBlank="1" showInputMessage="1" showErrorMessage="1" sqref="E2839">
      <formula1>0</formula1>
    </dataValidation>
    <dataValidation type="whole" operator="greaterThan" allowBlank="1" showInputMessage="1" showErrorMessage="1" sqref="A2840">
      <formula1>0</formula1>
    </dataValidation>
    <dataValidation type="list" allowBlank="1" showInputMessage="1" showErrorMessage="1" sqref="C2840">
      <formula1>UnidadesList</formula1>
    </dataValidation>
    <dataValidation type="decimal" operator="greaterThan" allowBlank="1" showInputMessage="1" showErrorMessage="1" sqref="D2840">
      <formula1>0</formula1>
    </dataValidation>
    <dataValidation type="decimal" operator="greaterThan" allowBlank="1" showInputMessage="1" showErrorMessage="1" sqref="E2840">
      <formula1>0</formula1>
    </dataValidation>
    <dataValidation type="whole" operator="greaterThan" allowBlank="1" showInputMessage="1" showErrorMessage="1" sqref="A2841">
      <formula1>0</formula1>
    </dataValidation>
    <dataValidation type="list" allowBlank="1" showInputMessage="1" showErrorMessage="1" sqref="C2841">
      <formula1>UnidadesList</formula1>
    </dataValidation>
    <dataValidation type="decimal" operator="greaterThan" allowBlank="1" showInputMessage="1" showErrorMessage="1" sqref="D2841">
      <formula1>0</formula1>
    </dataValidation>
    <dataValidation type="decimal" operator="greaterThan" allowBlank="1" showInputMessage="1" showErrorMessage="1" sqref="E2841">
      <formula1>0</formula1>
    </dataValidation>
    <dataValidation type="whole" operator="greaterThan" allowBlank="1" showInputMessage="1" showErrorMessage="1" sqref="A2842">
      <formula1>0</formula1>
    </dataValidation>
    <dataValidation type="list" allowBlank="1" showInputMessage="1" showErrorMessage="1" sqref="C2842">
      <formula1>UnidadesList</formula1>
    </dataValidation>
    <dataValidation type="decimal" operator="greaterThan" allowBlank="1" showInputMessage="1" showErrorMessage="1" sqref="D2842">
      <formula1>0</formula1>
    </dataValidation>
    <dataValidation type="decimal" operator="greaterThan" allowBlank="1" showInputMessage="1" showErrorMessage="1" sqref="E2842">
      <formula1>0</formula1>
    </dataValidation>
    <dataValidation type="whole" operator="greaterThan" allowBlank="1" showInputMessage="1" showErrorMessage="1" sqref="A2843">
      <formula1>0</formula1>
    </dataValidation>
    <dataValidation type="list" allowBlank="1" showInputMessage="1" showErrorMessage="1" sqref="C2843">
      <formula1>UnidadesList</formula1>
    </dataValidation>
    <dataValidation type="decimal" operator="greaterThan" allowBlank="1" showInputMessage="1" showErrorMessage="1" sqref="D2843">
      <formula1>0</formula1>
    </dataValidation>
    <dataValidation type="decimal" operator="greaterThan" allowBlank="1" showInputMessage="1" showErrorMessage="1" sqref="E2843">
      <formula1>0</formula1>
    </dataValidation>
    <dataValidation type="whole" operator="greaterThan" allowBlank="1" showInputMessage="1" showErrorMessage="1" sqref="A2844">
      <formula1>0</formula1>
    </dataValidation>
    <dataValidation type="list" allowBlank="1" showInputMessage="1" showErrorMessage="1" sqref="C2844">
      <formula1>UnidadesList</formula1>
    </dataValidation>
    <dataValidation type="decimal" operator="greaterThan" allowBlank="1" showInputMessage="1" showErrorMessage="1" sqref="D2844">
      <formula1>0</formula1>
    </dataValidation>
    <dataValidation type="decimal" operator="greaterThan" allowBlank="1" showInputMessage="1" showErrorMessage="1" sqref="E2844">
      <formula1>0</formula1>
    </dataValidation>
    <dataValidation type="whole" operator="greaterThan" allowBlank="1" showInputMessage="1" showErrorMessage="1" sqref="A2845">
      <formula1>0</formula1>
    </dataValidation>
    <dataValidation type="list" allowBlank="1" showInputMessage="1" showErrorMessage="1" sqref="C2845">
      <formula1>UnidadesList</formula1>
    </dataValidation>
    <dataValidation type="decimal" operator="greaterThan" allowBlank="1" showInputMessage="1" showErrorMessage="1" sqref="D2845">
      <formula1>0</formula1>
    </dataValidation>
    <dataValidation type="decimal" operator="greaterThan" allowBlank="1" showInputMessage="1" showErrorMessage="1" sqref="E2845">
      <formula1>0</formula1>
    </dataValidation>
    <dataValidation type="whole" operator="greaterThan" allowBlank="1" showInputMessage="1" showErrorMessage="1" sqref="A2846">
      <formula1>0</formula1>
    </dataValidation>
    <dataValidation type="list" allowBlank="1" showInputMessage="1" showErrorMessage="1" sqref="C2846">
      <formula1>UnidadesList</formula1>
    </dataValidation>
    <dataValidation type="decimal" operator="greaterThan" allowBlank="1" showInputMessage="1" showErrorMessage="1" sqref="D2846">
      <formula1>0</formula1>
    </dataValidation>
    <dataValidation type="decimal" operator="greaterThan" allowBlank="1" showInputMessage="1" showErrorMessage="1" sqref="E2846">
      <formula1>0</formula1>
    </dataValidation>
    <dataValidation type="whole" operator="greaterThan" allowBlank="1" showInputMessage="1" showErrorMessage="1" sqref="A2847">
      <formula1>0</formula1>
    </dataValidation>
    <dataValidation type="list" allowBlank="1" showInputMessage="1" showErrorMessage="1" sqref="C2847">
      <formula1>UnidadesList</formula1>
    </dataValidation>
    <dataValidation type="decimal" operator="greaterThan" allowBlank="1" showInputMessage="1" showErrorMessage="1" sqref="D2847">
      <formula1>0</formula1>
    </dataValidation>
    <dataValidation type="decimal" operator="greaterThan" allowBlank="1" showInputMessage="1" showErrorMessage="1" sqref="E2847">
      <formula1>0</formula1>
    </dataValidation>
    <dataValidation type="whole" operator="greaterThan" allowBlank="1" showInputMessage="1" showErrorMessage="1" sqref="A2848">
      <formula1>0</formula1>
    </dataValidation>
    <dataValidation type="list" allowBlank="1" showInputMessage="1" showErrorMessage="1" sqref="C2848">
      <formula1>UnidadesList</formula1>
    </dataValidation>
    <dataValidation type="decimal" operator="greaterThan" allowBlank="1" showInputMessage="1" showErrorMessage="1" sqref="D2848">
      <formula1>0</formula1>
    </dataValidation>
    <dataValidation type="decimal" operator="greaterThan" allowBlank="1" showInputMessage="1" showErrorMessage="1" sqref="E2848">
      <formula1>0</formula1>
    </dataValidation>
    <dataValidation type="whole" operator="greaterThan" allowBlank="1" showInputMessage="1" showErrorMessage="1" sqref="A2849">
      <formula1>0</formula1>
    </dataValidation>
    <dataValidation type="list" allowBlank="1" showInputMessage="1" showErrorMessage="1" sqref="C2849">
      <formula1>UnidadesList</formula1>
    </dataValidation>
    <dataValidation type="decimal" operator="greaterThan" allowBlank="1" showInputMessage="1" showErrorMessage="1" sqref="D2849">
      <formula1>0</formula1>
    </dataValidation>
    <dataValidation type="decimal" operator="greaterThan" allowBlank="1" showInputMessage="1" showErrorMessage="1" sqref="E2849">
      <formula1>0</formula1>
    </dataValidation>
    <dataValidation type="whole" operator="greaterThan" allowBlank="1" showInputMessage="1" showErrorMessage="1" sqref="A2850">
      <formula1>0</formula1>
    </dataValidation>
    <dataValidation type="list" allowBlank="1" showInputMessage="1" showErrorMessage="1" sqref="C2850">
      <formula1>UnidadesList</formula1>
    </dataValidation>
    <dataValidation type="decimal" operator="greaterThan" allowBlank="1" showInputMessage="1" showErrorMessage="1" sqref="D2850">
      <formula1>0</formula1>
    </dataValidation>
    <dataValidation type="decimal" operator="greaterThan" allowBlank="1" showInputMessage="1" showErrorMessage="1" sqref="E2850">
      <formula1>0</formula1>
    </dataValidation>
    <dataValidation type="whole" operator="greaterThan" allowBlank="1" showInputMessage="1" showErrorMessage="1" sqref="A2851">
      <formula1>0</formula1>
    </dataValidation>
    <dataValidation type="list" allowBlank="1" showInputMessage="1" showErrorMessage="1" sqref="C2851">
      <formula1>UnidadesList</formula1>
    </dataValidation>
    <dataValidation type="decimal" operator="greaterThan" allowBlank="1" showInputMessage="1" showErrorMessage="1" sqref="D2851">
      <formula1>0</formula1>
    </dataValidation>
    <dataValidation type="decimal" operator="greaterThan" allowBlank="1" showInputMessage="1" showErrorMessage="1" sqref="E2851">
      <formula1>0</formula1>
    </dataValidation>
    <dataValidation type="whole" operator="greaterThan" allowBlank="1" showInputMessage="1" showErrorMessage="1" sqref="A2852">
      <formula1>0</formula1>
    </dataValidation>
    <dataValidation type="list" allowBlank="1" showInputMessage="1" showErrorMessage="1" sqref="C2852">
      <formula1>UnidadesList</formula1>
    </dataValidation>
    <dataValidation type="decimal" operator="greaterThan" allowBlank="1" showInputMessage="1" showErrorMessage="1" sqref="D2852">
      <formula1>0</formula1>
    </dataValidation>
    <dataValidation type="decimal" operator="greaterThan" allowBlank="1" showInputMessage="1" showErrorMessage="1" sqref="E2852">
      <formula1>0</formula1>
    </dataValidation>
    <dataValidation type="whole" operator="greaterThan" allowBlank="1" showInputMessage="1" showErrorMessage="1" sqref="A2853">
      <formula1>0</formula1>
    </dataValidation>
    <dataValidation type="list" allowBlank="1" showInputMessage="1" showErrorMessage="1" sqref="C2853">
      <formula1>UnidadesList</formula1>
    </dataValidation>
    <dataValidation type="decimal" operator="greaterThan" allowBlank="1" showInputMessage="1" showErrorMessage="1" sqref="D2853">
      <formula1>0</formula1>
    </dataValidation>
    <dataValidation type="decimal" operator="greaterThan" allowBlank="1" showInputMessage="1" showErrorMessage="1" sqref="E2853">
      <formula1>0</formula1>
    </dataValidation>
    <dataValidation type="whole" operator="greaterThan" allowBlank="1" showInputMessage="1" showErrorMessage="1" sqref="A2854">
      <formula1>0</formula1>
    </dataValidation>
    <dataValidation type="list" allowBlank="1" showInputMessage="1" showErrorMessage="1" sqref="C2854">
      <formula1>UnidadesList</formula1>
    </dataValidation>
    <dataValidation type="decimal" operator="greaterThan" allowBlank="1" showInputMessage="1" showErrorMessage="1" sqref="D2854">
      <formula1>0</formula1>
    </dataValidation>
    <dataValidation type="decimal" operator="greaterThan" allowBlank="1" showInputMessage="1" showErrorMessage="1" sqref="E2854">
      <formula1>0</formula1>
    </dataValidation>
    <dataValidation type="whole" operator="greaterThan" allowBlank="1" showInputMessage="1" showErrorMessage="1" sqref="A2855">
      <formula1>0</formula1>
    </dataValidation>
    <dataValidation type="list" allowBlank="1" showInputMessage="1" showErrorMessage="1" sqref="C2855">
      <formula1>UnidadesList</formula1>
    </dataValidation>
    <dataValidation type="decimal" operator="greaterThan" allowBlank="1" showInputMessage="1" showErrorMessage="1" sqref="D2855">
      <formula1>0</formula1>
    </dataValidation>
    <dataValidation type="decimal" operator="greaterThan" allowBlank="1" showInputMessage="1" showErrorMessage="1" sqref="E2855">
      <formula1>0</formula1>
    </dataValidation>
    <dataValidation type="whole" operator="greaterThan" allowBlank="1" showInputMessage="1" showErrorMessage="1" sqref="A2856">
      <formula1>0</formula1>
    </dataValidation>
    <dataValidation type="list" allowBlank="1" showInputMessage="1" showErrorMessage="1" sqref="C2856">
      <formula1>UnidadesList</formula1>
    </dataValidation>
    <dataValidation type="decimal" operator="greaterThan" allowBlank="1" showInputMessage="1" showErrorMessage="1" sqref="D2856">
      <formula1>0</formula1>
    </dataValidation>
    <dataValidation type="decimal" operator="greaterThan" allowBlank="1" showInputMessage="1" showErrorMessage="1" sqref="E2856">
      <formula1>0</formula1>
    </dataValidation>
    <dataValidation type="whole" operator="greaterThan" allowBlank="1" showInputMessage="1" showErrorMessage="1" sqref="A2857">
      <formula1>0</formula1>
    </dataValidation>
    <dataValidation type="list" allowBlank="1" showInputMessage="1" showErrorMessage="1" sqref="C2857">
      <formula1>UnidadesList</formula1>
    </dataValidation>
    <dataValidation type="decimal" operator="greaterThan" allowBlank="1" showInputMessage="1" showErrorMessage="1" sqref="D2857">
      <formula1>0</formula1>
    </dataValidation>
    <dataValidation type="decimal" operator="greaterThan" allowBlank="1" showInputMessage="1" showErrorMessage="1" sqref="E2857">
      <formula1>0</formula1>
    </dataValidation>
    <dataValidation type="whole" operator="greaterThan" allowBlank="1" showInputMessage="1" showErrorMessage="1" sqref="A2858">
      <formula1>0</formula1>
    </dataValidation>
    <dataValidation type="list" allowBlank="1" showInputMessage="1" showErrorMessage="1" sqref="C2858">
      <formula1>UnidadesList</formula1>
    </dataValidation>
    <dataValidation type="decimal" operator="greaterThan" allowBlank="1" showInputMessage="1" showErrorMessage="1" sqref="D2858">
      <formula1>0</formula1>
    </dataValidation>
    <dataValidation type="decimal" operator="greaterThan" allowBlank="1" showInputMessage="1" showErrorMessage="1" sqref="E2858">
      <formula1>0</formula1>
    </dataValidation>
    <dataValidation type="whole" operator="greaterThan" allowBlank="1" showInputMessage="1" showErrorMessage="1" sqref="A2859">
      <formula1>0</formula1>
    </dataValidation>
    <dataValidation type="list" allowBlank="1" showInputMessage="1" showErrorMessage="1" sqref="C2859">
      <formula1>UnidadesList</formula1>
    </dataValidation>
    <dataValidation type="decimal" operator="greaterThan" allowBlank="1" showInputMessage="1" showErrorMessage="1" sqref="D2859">
      <formula1>0</formula1>
    </dataValidation>
    <dataValidation type="decimal" operator="greaterThan" allowBlank="1" showInputMessage="1" showErrorMessage="1" sqref="E2859">
      <formula1>0</formula1>
    </dataValidation>
    <dataValidation type="whole" operator="greaterThan" allowBlank="1" showInputMessage="1" showErrorMessage="1" sqref="A2860">
      <formula1>0</formula1>
    </dataValidation>
    <dataValidation type="list" allowBlank="1" showInputMessage="1" showErrorMessage="1" sqref="C2860">
      <formula1>UnidadesList</formula1>
    </dataValidation>
    <dataValidation type="decimal" operator="greaterThan" allowBlank="1" showInputMessage="1" showErrorMessage="1" sqref="D2860">
      <formula1>0</formula1>
    </dataValidation>
    <dataValidation type="decimal" operator="greaterThan" allowBlank="1" showInputMessage="1" showErrorMessage="1" sqref="E2860">
      <formula1>0</formula1>
    </dataValidation>
    <dataValidation type="whole" operator="greaterThan" allowBlank="1" showInputMessage="1" showErrorMessage="1" sqref="A2861">
      <formula1>0</formula1>
    </dataValidation>
    <dataValidation type="list" allowBlank="1" showInputMessage="1" showErrorMessage="1" sqref="C2861">
      <formula1>UnidadesList</formula1>
    </dataValidation>
    <dataValidation type="decimal" operator="greaterThan" allowBlank="1" showInputMessage="1" showErrorMessage="1" sqref="D2861">
      <formula1>0</formula1>
    </dataValidation>
    <dataValidation type="decimal" operator="greaterThan" allowBlank="1" showInputMessage="1" showErrorMessage="1" sqref="E2861">
      <formula1>0</formula1>
    </dataValidation>
    <dataValidation type="whole" operator="greaterThan" allowBlank="1" showInputMessage="1" showErrorMessage="1" sqref="A2862">
      <formula1>0</formula1>
    </dataValidation>
    <dataValidation type="list" allowBlank="1" showInputMessage="1" showErrorMessage="1" sqref="C2862">
      <formula1>UnidadesList</formula1>
    </dataValidation>
    <dataValidation type="decimal" operator="greaterThan" allowBlank="1" showInputMessage="1" showErrorMessage="1" sqref="D2862">
      <formula1>0</formula1>
    </dataValidation>
    <dataValidation type="decimal" operator="greaterThan" allowBlank="1" showInputMessage="1" showErrorMessage="1" sqref="E2862">
      <formula1>0</formula1>
    </dataValidation>
    <dataValidation type="whole" operator="greaterThan" allowBlank="1" showInputMessage="1" showErrorMessage="1" sqref="A2863">
      <formula1>0</formula1>
    </dataValidation>
    <dataValidation type="list" allowBlank="1" showInputMessage="1" showErrorMessage="1" sqref="C2863">
      <formula1>UnidadesList</formula1>
    </dataValidation>
    <dataValidation type="decimal" operator="greaterThan" allowBlank="1" showInputMessage="1" showErrorMessage="1" sqref="D2863">
      <formula1>0</formula1>
    </dataValidation>
    <dataValidation type="decimal" operator="greaterThan" allowBlank="1" showInputMessage="1" showErrorMessage="1" sqref="E2863">
      <formula1>0</formula1>
    </dataValidation>
    <dataValidation type="whole" operator="greaterThan" allowBlank="1" showInputMessage="1" showErrorMessage="1" sqref="A2864">
      <formula1>0</formula1>
    </dataValidation>
    <dataValidation type="list" allowBlank="1" showInputMessage="1" showErrorMessage="1" sqref="C2864">
      <formula1>UnidadesList</formula1>
    </dataValidation>
    <dataValidation type="decimal" operator="greaterThan" allowBlank="1" showInputMessage="1" showErrorMessage="1" sqref="D2864">
      <formula1>0</formula1>
    </dataValidation>
    <dataValidation type="decimal" operator="greaterThan" allowBlank="1" showInputMessage="1" showErrorMessage="1" sqref="E2864">
      <formula1>0</formula1>
    </dataValidation>
    <dataValidation type="whole" operator="greaterThan" allowBlank="1" showInputMessage="1" showErrorMessage="1" sqref="A2865">
      <formula1>0</formula1>
    </dataValidation>
    <dataValidation type="list" allowBlank="1" showInputMessage="1" showErrorMessage="1" sqref="C2865">
      <formula1>UnidadesList</formula1>
    </dataValidation>
    <dataValidation type="decimal" operator="greaterThan" allowBlank="1" showInputMessage="1" showErrorMessage="1" sqref="D2865">
      <formula1>0</formula1>
    </dataValidation>
    <dataValidation type="decimal" operator="greaterThan" allowBlank="1" showInputMessage="1" showErrorMessage="1" sqref="E2865">
      <formula1>0</formula1>
    </dataValidation>
    <dataValidation type="whole" operator="greaterThan" allowBlank="1" showInputMessage="1" showErrorMessage="1" sqref="A2866">
      <formula1>0</formula1>
    </dataValidation>
    <dataValidation type="list" allowBlank="1" showInputMessage="1" showErrorMessage="1" sqref="C2866">
      <formula1>UnidadesList</formula1>
    </dataValidation>
    <dataValidation type="decimal" operator="greaterThan" allowBlank="1" showInputMessage="1" showErrorMessage="1" sqref="D2866">
      <formula1>0</formula1>
    </dataValidation>
    <dataValidation type="decimal" operator="greaterThan" allowBlank="1" showInputMessage="1" showErrorMessage="1" sqref="E2866">
      <formula1>0</formula1>
    </dataValidation>
    <dataValidation type="whole" operator="greaterThan" allowBlank="1" showInputMessage="1" showErrorMessage="1" sqref="A2867">
      <formula1>0</formula1>
    </dataValidation>
    <dataValidation type="list" allowBlank="1" showInputMessage="1" showErrorMessage="1" sqref="C2867">
      <formula1>UnidadesList</formula1>
    </dataValidation>
    <dataValidation type="decimal" operator="greaterThan" allowBlank="1" showInputMessage="1" showErrorMessage="1" sqref="D2867">
      <formula1>0</formula1>
    </dataValidation>
    <dataValidation type="decimal" operator="greaterThan" allowBlank="1" showInputMessage="1" showErrorMessage="1" sqref="E2867">
      <formula1>0</formula1>
    </dataValidation>
    <dataValidation type="whole" operator="greaterThan" allowBlank="1" showInputMessage="1" showErrorMessage="1" sqref="A2868">
      <formula1>0</formula1>
    </dataValidation>
    <dataValidation type="list" allowBlank="1" showInputMessage="1" showErrorMessage="1" sqref="C2868">
      <formula1>UnidadesList</formula1>
    </dataValidation>
    <dataValidation type="decimal" operator="greaterThan" allowBlank="1" showInputMessage="1" showErrorMessage="1" sqref="D2868">
      <formula1>0</formula1>
    </dataValidation>
    <dataValidation type="decimal" operator="greaterThan" allowBlank="1" showInputMessage="1" showErrorMessage="1" sqref="E2868">
      <formula1>0</formula1>
    </dataValidation>
    <dataValidation type="whole" operator="greaterThan" allowBlank="1" showInputMessage="1" showErrorMessage="1" sqref="A2869">
      <formula1>0</formula1>
    </dataValidation>
    <dataValidation type="list" allowBlank="1" showInputMessage="1" showErrorMessage="1" sqref="C2869">
      <formula1>UnidadesList</formula1>
    </dataValidation>
    <dataValidation type="decimal" operator="greaterThan" allowBlank="1" showInputMessage="1" showErrorMessage="1" sqref="D2869">
      <formula1>0</formula1>
    </dataValidation>
    <dataValidation type="decimal" operator="greaterThan" allowBlank="1" showInputMessage="1" showErrorMessage="1" sqref="E2869">
      <formula1>0</formula1>
    </dataValidation>
    <dataValidation type="whole" operator="greaterThan" allowBlank="1" showInputMessage="1" showErrorMessage="1" sqref="A2870">
      <formula1>0</formula1>
    </dataValidation>
    <dataValidation type="list" allowBlank="1" showInputMessage="1" showErrorMessage="1" sqref="C2870">
      <formula1>UnidadesList</formula1>
    </dataValidation>
    <dataValidation type="decimal" operator="greaterThan" allowBlank="1" showInputMessage="1" showErrorMessage="1" sqref="D2870">
      <formula1>0</formula1>
    </dataValidation>
    <dataValidation type="decimal" operator="greaterThan" allowBlank="1" showInputMessage="1" showErrorMessage="1" sqref="E2870">
      <formula1>0</formula1>
    </dataValidation>
    <dataValidation type="whole" operator="greaterThan" allowBlank="1" showInputMessage="1" showErrorMessage="1" sqref="A2871">
      <formula1>0</formula1>
    </dataValidation>
    <dataValidation type="list" allowBlank="1" showInputMessage="1" showErrorMessage="1" sqref="C2871">
      <formula1>UnidadesList</formula1>
    </dataValidation>
    <dataValidation type="decimal" operator="greaterThan" allowBlank="1" showInputMessage="1" showErrorMessage="1" sqref="D2871">
      <formula1>0</formula1>
    </dataValidation>
    <dataValidation type="decimal" operator="greaterThan" allowBlank="1" showInputMessage="1" showErrorMessage="1" sqref="E2871">
      <formula1>0</formula1>
    </dataValidation>
    <dataValidation type="whole" operator="greaterThan" allowBlank="1" showInputMessage="1" showErrorMessage="1" sqref="A2872">
      <formula1>0</formula1>
    </dataValidation>
    <dataValidation type="list" allowBlank="1" showInputMessage="1" showErrorMessage="1" sqref="C2872">
      <formula1>UnidadesList</formula1>
    </dataValidation>
    <dataValidation type="decimal" operator="greaterThan" allowBlank="1" showInputMessage="1" showErrorMessage="1" sqref="D2872">
      <formula1>0</formula1>
    </dataValidation>
    <dataValidation type="decimal" operator="greaterThan" allowBlank="1" showInputMessage="1" showErrorMessage="1" sqref="E2872">
      <formula1>0</formula1>
    </dataValidation>
    <dataValidation type="whole" operator="greaterThan" allowBlank="1" showInputMessage="1" showErrorMessage="1" sqref="A2873">
      <formula1>0</formula1>
    </dataValidation>
    <dataValidation type="list" allowBlank="1" showInputMessage="1" showErrorMessage="1" sqref="C2873">
      <formula1>UnidadesList</formula1>
    </dataValidation>
    <dataValidation type="decimal" operator="greaterThan" allowBlank="1" showInputMessage="1" showErrorMessage="1" sqref="D2873">
      <formula1>0</formula1>
    </dataValidation>
    <dataValidation type="decimal" operator="greaterThan" allowBlank="1" showInputMessage="1" showErrorMessage="1" sqref="E2873">
      <formula1>0</formula1>
    </dataValidation>
    <dataValidation type="whole" operator="greaterThan" allowBlank="1" showInputMessage="1" showErrorMessage="1" sqref="A2874">
      <formula1>0</formula1>
    </dataValidation>
    <dataValidation type="list" allowBlank="1" showInputMessage="1" showErrorMessage="1" sqref="C2874">
      <formula1>UnidadesList</formula1>
    </dataValidation>
    <dataValidation type="decimal" operator="greaterThan" allowBlank="1" showInputMessage="1" showErrorMessage="1" sqref="D2874">
      <formula1>0</formula1>
    </dataValidation>
    <dataValidation type="decimal" operator="greaterThan" allowBlank="1" showInputMessage="1" showErrorMessage="1" sqref="E2874">
      <formula1>0</formula1>
    </dataValidation>
    <dataValidation type="whole" operator="greaterThan" allowBlank="1" showInputMessage="1" showErrorMessage="1" sqref="A2875">
      <formula1>0</formula1>
    </dataValidation>
    <dataValidation type="list" allowBlank="1" showInputMessage="1" showErrorMessage="1" sqref="C2875">
      <formula1>UnidadesList</formula1>
    </dataValidation>
    <dataValidation type="decimal" operator="greaterThan" allowBlank="1" showInputMessage="1" showErrorMessage="1" sqref="D2875">
      <formula1>0</formula1>
    </dataValidation>
    <dataValidation type="decimal" operator="greaterThan" allowBlank="1" showInputMessage="1" showErrorMessage="1" sqref="E2875">
      <formula1>0</formula1>
    </dataValidation>
    <dataValidation type="whole" operator="greaterThan" allowBlank="1" showInputMessage="1" showErrorMessage="1" sqref="A2876">
      <formula1>0</formula1>
    </dataValidation>
    <dataValidation type="list" allowBlank="1" showInputMessage="1" showErrorMessage="1" sqref="C2876">
      <formula1>UnidadesList</formula1>
    </dataValidation>
    <dataValidation type="decimal" operator="greaterThan" allowBlank="1" showInputMessage="1" showErrorMessage="1" sqref="D2876">
      <formula1>0</formula1>
    </dataValidation>
    <dataValidation type="decimal" operator="greaterThan" allowBlank="1" showInputMessage="1" showErrorMessage="1" sqref="E2876">
      <formula1>0</formula1>
    </dataValidation>
    <dataValidation type="whole" operator="greaterThan" allowBlank="1" showInputMessage="1" showErrorMessage="1" sqref="A2877">
      <formula1>0</formula1>
    </dataValidation>
    <dataValidation type="list" allowBlank="1" showInputMessage="1" showErrorMessage="1" sqref="C2877">
      <formula1>UnidadesList</formula1>
    </dataValidation>
    <dataValidation type="decimal" operator="greaterThan" allowBlank="1" showInputMessage="1" showErrorMessage="1" sqref="D2877">
      <formula1>0</formula1>
    </dataValidation>
    <dataValidation type="decimal" operator="greaterThan" allowBlank="1" showInputMessage="1" showErrorMessage="1" sqref="E2877">
      <formula1>0</formula1>
    </dataValidation>
    <dataValidation type="whole" operator="greaterThan" allowBlank="1" showInputMessage="1" showErrorMessage="1" sqref="A2878">
      <formula1>0</formula1>
    </dataValidation>
    <dataValidation type="list" allowBlank="1" showInputMessage="1" showErrorMessage="1" sqref="C2878">
      <formula1>UnidadesList</formula1>
    </dataValidation>
    <dataValidation type="decimal" operator="greaterThan" allowBlank="1" showInputMessage="1" showErrorMessage="1" sqref="D2878">
      <formula1>0</formula1>
    </dataValidation>
    <dataValidation type="decimal" operator="greaterThan" allowBlank="1" showInputMessage="1" showErrorMessage="1" sqref="E2878">
      <formula1>0</formula1>
    </dataValidation>
    <dataValidation type="whole" operator="greaterThan" allowBlank="1" showInputMessage="1" showErrorMessage="1" sqref="A2879">
      <formula1>0</formula1>
    </dataValidation>
    <dataValidation type="list" allowBlank="1" showInputMessage="1" showErrorMessage="1" sqref="C2879">
      <formula1>UnidadesList</formula1>
    </dataValidation>
    <dataValidation type="decimal" operator="greaterThan" allowBlank="1" showInputMessage="1" showErrorMessage="1" sqref="D2879">
      <formula1>0</formula1>
    </dataValidation>
    <dataValidation type="decimal" operator="greaterThan" allowBlank="1" showInputMessage="1" showErrorMessage="1" sqref="E2879">
      <formula1>0</formula1>
    </dataValidation>
    <dataValidation type="whole" operator="greaterThan" allowBlank="1" showInputMessage="1" showErrorMessage="1" sqref="A2880">
      <formula1>0</formula1>
    </dataValidation>
    <dataValidation type="list" allowBlank="1" showInputMessage="1" showErrorMessage="1" sqref="C2880">
      <formula1>UnidadesList</formula1>
    </dataValidation>
    <dataValidation type="decimal" operator="greaterThan" allowBlank="1" showInputMessage="1" showErrorMessage="1" sqref="D2880">
      <formula1>0</formula1>
    </dataValidation>
    <dataValidation type="decimal" operator="greaterThan" allowBlank="1" showInputMessage="1" showErrorMessage="1" sqref="E2880">
      <formula1>0</formula1>
    </dataValidation>
    <dataValidation type="whole" operator="greaterThan" allowBlank="1" showInputMessage="1" showErrorMessage="1" sqref="A2881">
      <formula1>0</formula1>
    </dataValidation>
    <dataValidation type="list" allowBlank="1" showInputMessage="1" showErrorMessage="1" sqref="C2881">
      <formula1>UnidadesList</formula1>
    </dataValidation>
    <dataValidation type="decimal" operator="greaterThan" allowBlank="1" showInputMessage="1" showErrorMessage="1" sqref="D2881">
      <formula1>0</formula1>
    </dataValidation>
    <dataValidation type="decimal" operator="greaterThan" allowBlank="1" showInputMessage="1" showErrorMessage="1" sqref="E2881">
      <formula1>0</formula1>
    </dataValidation>
    <dataValidation type="whole" operator="greaterThan" allowBlank="1" showInputMessage="1" showErrorMessage="1" sqref="A2882">
      <formula1>0</formula1>
    </dataValidation>
    <dataValidation type="list" allowBlank="1" showInputMessage="1" showErrorMessage="1" sqref="C2882">
      <formula1>UnidadesList</formula1>
    </dataValidation>
    <dataValidation type="decimal" operator="greaterThan" allowBlank="1" showInputMessage="1" showErrorMessage="1" sqref="D2882">
      <formula1>0</formula1>
    </dataValidation>
    <dataValidation type="decimal" operator="greaterThan" allowBlank="1" showInputMessage="1" showErrorMessage="1" sqref="E2882">
      <formula1>0</formula1>
    </dataValidation>
    <dataValidation type="whole" operator="greaterThan" allowBlank="1" showInputMessage="1" showErrorMessage="1" sqref="A2883">
      <formula1>0</formula1>
    </dataValidation>
    <dataValidation type="list" allowBlank="1" showInputMessage="1" showErrorMessage="1" sqref="C2883">
      <formula1>UnidadesList</formula1>
    </dataValidation>
    <dataValidation type="decimal" operator="greaterThan" allowBlank="1" showInputMessage="1" showErrorMessage="1" sqref="D2883">
      <formula1>0</formula1>
    </dataValidation>
    <dataValidation type="decimal" operator="greaterThan" allowBlank="1" showInputMessage="1" showErrorMessage="1" sqref="E2883">
      <formula1>0</formula1>
    </dataValidation>
    <dataValidation type="whole" operator="greaterThan" allowBlank="1" showInputMessage="1" showErrorMessage="1" sqref="A2884">
      <formula1>0</formula1>
    </dataValidation>
    <dataValidation type="list" allowBlank="1" showInputMessage="1" showErrorMessage="1" sqref="C2884">
      <formula1>UnidadesList</formula1>
    </dataValidation>
    <dataValidation type="decimal" operator="greaterThan" allowBlank="1" showInputMessage="1" showErrorMessage="1" sqref="D2884">
      <formula1>0</formula1>
    </dataValidation>
    <dataValidation type="decimal" operator="greaterThan" allowBlank="1" showInputMessage="1" showErrorMessage="1" sqref="E2884">
      <formula1>0</formula1>
    </dataValidation>
    <dataValidation type="whole" operator="greaterThan" allowBlank="1" showInputMessage="1" showErrorMessage="1" sqref="A2885">
      <formula1>0</formula1>
    </dataValidation>
    <dataValidation type="list" allowBlank="1" showInputMessage="1" showErrorMessage="1" sqref="C2885">
      <formula1>UnidadesList</formula1>
    </dataValidation>
    <dataValidation type="decimal" operator="greaterThan" allowBlank="1" showInputMessage="1" showErrorMessage="1" sqref="D2885">
      <formula1>0</formula1>
    </dataValidation>
    <dataValidation type="decimal" operator="greaterThan" allowBlank="1" showInputMessage="1" showErrorMessage="1" sqref="E2885">
      <formula1>0</formula1>
    </dataValidation>
    <dataValidation type="whole" operator="greaterThan" allowBlank="1" showInputMessage="1" showErrorMessage="1" sqref="A2886">
      <formula1>0</formula1>
    </dataValidation>
    <dataValidation type="list" allowBlank="1" showInputMessage="1" showErrorMessage="1" sqref="C2886">
      <formula1>UnidadesList</formula1>
    </dataValidation>
    <dataValidation type="decimal" operator="greaterThan" allowBlank="1" showInputMessage="1" showErrorMessage="1" sqref="D2886">
      <formula1>0</formula1>
    </dataValidation>
    <dataValidation type="decimal" operator="greaterThan" allowBlank="1" showInputMessage="1" showErrorMessage="1" sqref="E2886">
      <formula1>0</formula1>
    </dataValidation>
    <dataValidation type="whole" operator="greaterThan" allowBlank="1" showInputMessage="1" showErrorMessage="1" sqref="A2887">
      <formula1>0</formula1>
    </dataValidation>
    <dataValidation type="list" allowBlank="1" showInputMessage="1" showErrorMessage="1" sqref="C2887">
      <formula1>UnidadesList</formula1>
    </dataValidation>
    <dataValidation type="decimal" operator="greaterThan" allowBlank="1" showInputMessage="1" showErrorMessage="1" sqref="D2887">
      <formula1>0</formula1>
    </dataValidation>
    <dataValidation type="decimal" operator="greaterThan" allowBlank="1" showInputMessage="1" showErrorMessage="1" sqref="E2887">
      <formula1>0</formula1>
    </dataValidation>
    <dataValidation type="whole" operator="greaterThan" allowBlank="1" showInputMessage="1" showErrorMessage="1" sqref="A2888">
      <formula1>0</formula1>
    </dataValidation>
    <dataValidation type="list" allowBlank="1" showInputMessage="1" showErrorMessage="1" sqref="C2888">
      <formula1>UnidadesList</formula1>
    </dataValidation>
    <dataValidation type="decimal" operator="greaterThan" allowBlank="1" showInputMessage="1" showErrorMessage="1" sqref="D2888">
      <formula1>0</formula1>
    </dataValidation>
    <dataValidation type="decimal" operator="greaterThan" allowBlank="1" showInputMessage="1" showErrorMessage="1" sqref="E2888">
      <formula1>0</formula1>
    </dataValidation>
    <dataValidation type="whole" operator="greaterThan" allowBlank="1" showInputMessage="1" showErrorMessage="1" sqref="A2889">
      <formula1>0</formula1>
    </dataValidation>
    <dataValidation type="list" allowBlank="1" showInputMessage="1" showErrorMessage="1" sqref="C2889">
      <formula1>UnidadesList</formula1>
    </dataValidation>
    <dataValidation type="decimal" operator="greaterThan" allowBlank="1" showInputMessage="1" showErrorMessage="1" sqref="D2889">
      <formula1>0</formula1>
    </dataValidation>
    <dataValidation type="decimal" operator="greaterThan" allowBlank="1" showInputMessage="1" showErrorMessage="1" sqref="E2889">
      <formula1>0</formula1>
    </dataValidation>
    <dataValidation type="date" operator="lessThanOrEqual" allowBlank="1" showInputMessage="1" showErrorMessage="1" sqref="C2894">
      <formula1>C2896</formula1>
    </dataValidation>
    <dataValidation type="date" operator="greaterThanOrEqual" allowBlank="1" showInputMessage="1" showErrorMessage="1" sqref="C2896">
      <formula1>C2894</formula1>
    </dataValidation>
    <dataValidation type="list" allowBlank="1" showInputMessage="1" showErrorMessage="1" sqref="F28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00">
      <formula1>0</formula1>
    </dataValidation>
    <dataValidation type="list" allowBlank="1" showInputMessage="1" showErrorMessage="1" sqref="C2900">
      <formula1>UnidadesList</formula1>
    </dataValidation>
    <dataValidation type="decimal" operator="greaterThan" allowBlank="1" showInputMessage="1" showErrorMessage="1" sqref="D2900">
      <formula1>0</formula1>
    </dataValidation>
    <dataValidation type="decimal" operator="greaterThan" allowBlank="1" showInputMessage="1" showErrorMessage="1" sqref="E2900">
      <formula1>0</formula1>
    </dataValidation>
    <dataValidation type="whole" operator="greaterThan" allowBlank="1" showInputMessage="1" showErrorMessage="1" sqref="A2901">
      <formula1>0</formula1>
    </dataValidation>
    <dataValidation type="list" allowBlank="1" showInputMessage="1" showErrorMessage="1" sqref="C2901">
      <formula1>UnidadesList</formula1>
    </dataValidation>
    <dataValidation type="decimal" operator="greaterThan" allowBlank="1" showInputMessage="1" showErrorMessage="1" sqref="D2901">
      <formula1>0</formula1>
    </dataValidation>
    <dataValidation type="decimal" operator="greaterThan" allowBlank="1" showInputMessage="1" showErrorMessage="1" sqref="E2901">
      <formula1>0</formula1>
    </dataValidation>
    <dataValidation type="whole" operator="greaterThan" allowBlank="1" showInputMessage="1" showErrorMessage="1" sqref="A2902">
      <formula1>0</formula1>
    </dataValidation>
    <dataValidation type="list" allowBlank="1" showInputMessage="1" showErrorMessage="1" sqref="C2902">
      <formula1>UnidadesList</formula1>
    </dataValidation>
    <dataValidation type="decimal" operator="greaterThan" allowBlank="1" showInputMessage="1" showErrorMessage="1" sqref="D2902">
      <formula1>0</formula1>
    </dataValidation>
    <dataValidation type="decimal" operator="greaterThan" allowBlank="1" showInputMessage="1" showErrorMessage="1" sqref="E2902">
      <formula1>0</formula1>
    </dataValidation>
    <dataValidation type="whole" operator="greaterThan" allowBlank="1" showInputMessage="1" showErrorMessage="1" sqref="A2903">
      <formula1>0</formula1>
    </dataValidation>
    <dataValidation type="list" allowBlank="1" showInputMessage="1" showErrorMessage="1" sqref="C2903">
      <formula1>UnidadesList</formula1>
    </dataValidation>
    <dataValidation type="decimal" operator="greaterThan" allowBlank="1" showInputMessage="1" showErrorMessage="1" sqref="D2903">
      <formula1>0</formula1>
    </dataValidation>
    <dataValidation type="decimal" operator="greaterThan" allowBlank="1" showInputMessage="1" showErrorMessage="1" sqref="E2903">
      <formula1>0</formula1>
    </dataValidation>
    <dataValidation type="whole" operator="greaterThan" allowBlank="1" showInputMessage="1" showErrorMessage="1" sqref="A2904">
      <formula1>0</formula1>
    </dataValidation>
    <dataValidation type="list" allowBlank="1" showInputMessage="1" showErrorMessage="1" sqref="C2904">
      <formula1>UnidadesList</formula1>
    </dataValidation>
    <dataValidation type="decimal" operator="greaterThan" allowBlank="1" showInputMessage="1" showErrorMessage="1" sqref="D2904">
      <formula1>0</formula1>
    </dataValidation>
    <dataValidation type="decimal" operator="greaterThan" allowBlank="1" showInputMessage="1" showErrorMessage="1" sqref="E2904">
      <formula1>0</formula1>
    </dataValidation>
    <dataValidation type="whole" operator="greaterThan" allowBlank="1" showInputMessage="1" showErrorMessage="1" sqref="A2905">
      <formula1>0</formula1>
    </dataValidation>
    <dataValidation type="list" allowBlank="1" showInputMessage="1" showErrorMessage="1" sqref="C2905">
      <formula1>UnidadesList</formula1>
    </dataValidation>
    <dataValidation type="decimal" operator="greaterThan" allowBlank="1" showInputMessage="1" showErrorMessage="1" sqref="D2905">
      <formula1>0</formula1>
    </dataValidation>
    <dataValidation type="decimal" operator="greaterThan" allowBlank="1" showInputMessage="1" showErrorMessage="1" sqref="E2905">
      <formula1>0</formula1>
    </dataValidation>
    <dataValidation type="whole" operator="greaterThan" allowBlank="1" showInputMessage="1" showErrorMessage="1" sqref="A2906">
      <formula1>0</formula1>
    </dataValidation>
    <dataValidation type="list" allowBlank="1" showInputMessage="1" showErrorMessage="1" sqref="C2906">
      <formula1>UnidadesList</formula1>
    </dataValidation>
    <dataValidation type="decimal" operator="greaterThan" allowBlank="1" showInputMessage="1" showErrorMessage="1" sqref="D2906">
      <formula1>0</formula1>
    </dataValidation>
    <dataValidation type="decimal" operator="greaterThan" allowBlank="1" showInputMessage="1" showErrorMessage="1" sqref="E2906">
      <formula1>0</formula1>
    </dataValidation>
    <dataValidation type="whole" operator="greaterThan" allowBlank="1" showInputMessage="1" showErrorMessage="1" sqref="A2907">
      <formula1>0</formula1>
    </dataValidation>
    <dataValidation type="list" allowBlank="1" showInputMessage="1" showErrorMessage="1" sqref="C2907">
      <formula1>UnidadesList</formula1>
    </dataValidation>
    <dataValidation type="decimal" operator="greaterThan" allowBlank="1" showInputMessage="1" showErrorMessage="1" sqref="D2907">
      <formula1>0</formula1>
    </dataValidation>
    <dataValidation type="decimal" operator="greaterThan" allowBlank="1" showInputMessage="1" showErrorMessage="1" sqref="E2907">
      <formula1>0</formula1>
    </dataValidation>
    <dataValidation type="whole" operator="greaterThan" allowBlank="1" showInputMessage="1" showErrorMessage="1" sqref="A2908">
      <formula1>0</formula1>
    </dataValidation>
    <dataValidation type="list" allowBlank="1" showInputMessage="1" showErrorMessage="1" sqref="C2908">
      <formula1>UnidadesList</formula1>
    </dataValidation>
    <dataValidation type="decimal" operator="greaterThan" allowBlank="1" showInputMessage="1" showErrorMessage="1" sqref="D2908">
      <formula1>0</formula1>
    </dataValidation>
    <dataValidation type="decimal" operator="greaterThan" allowBlank="1" showInputMessage="1" showErrorMessage="1" sqref="E2908">
      <formula1>0</formula1>
    </dataValidation>
    <dataValidation type="whole" operator="greaterThan" allowBlank="1" showInputMessage="1" showErrorMessage="1" sqref="A2909">
      <formula1>0</formula1>
    </dataValidation>
    <dataValidation type="list" allowBlank="1" showInputMessage="1" showErrorMessage="1" sqref="C2909">
      <formula1>UnidadesList</formula1>
    </dataValidation>
    <dataValidation type="decimal" operator="greaterThan" allowBlank="1" showInputMessage="1" showErrorMessage="1" sqref="D2909">
      <formula1>0</formula1>
    </dataValidation>
    <dataValidation type="decimal" operator="greaterThan" allowBlank="1" showInputMessage="1" showErrorMessage="1" sqref="E2909">
      <formula1>0</formula1>
    </dataValidation>
    <dataValidation type="whole" operator="greaterThan" allowBlank="1" showInputMessage="1" showErrorMessage="1" sqref="A2910">
      <formula1>0</formula1>
    </dataValidation>
    <dataValidation type="list" allowBlank="1" showInputMessage="1" showErrorMessage="1" sqref="C2910">
      <formula1>UnidadesList</formula1>
    </dataValidation>
    <dataValidation type="decimal" operator="greaterThan" allowBlank="1" showInputMessage="1" showErrorMessage="1" sqref="D2910">
      <formula1>0</formula1>
    </dataValidation>
    <dataValidation type="decimal" operator="greaterThan" allowBlank="1" showInputMessage="1" showErrorMessage="1" sqref="E2910">
      <formula1>0</formula1>
    </dataValidation>
    <dataValidation type="whole" operator="greaterThan" allowBlank="1" showInputMessage="1" showErrorMessage="1" sqref="A2911">
      <formula1>0</formula1>
    </dataValidation>
    <dataValidation type="list" allowBlank="1" showInputMessage="1" showErrorMessage="1" sqref="C2911">
      <formula1>UnidadesList</formula1>
    </dataValidation>
    <dataValidation type="decimal" operator="greaterThan" allowBlank="1" showInputMessage="1" showErrorMessage="1" sqref="D2911">
      <formula1>0</formula1>
    </dataValidation>
    <dataValidation type="decimal" operator="greaterThan" allowBlank="1" showInputMessage="1" showErrorMessage="1" sqref="E2911">
      <formula1>0</formula1>
    </dataValidation>
    <dataValidation type="whole" operator="greaterThan" allowBlank="1" showInputMessage="1" showErrorMessage="1" sqref="A2912">
      <formula1>0</formula1>
    </dataValidation>
    <dataValidation type="list" allowBlank="1" showInputMessage="1" showErrorMessage="1" sqref="C2912">
      <formula1>UnidadesList</formula1>
    </dataValidation>
    <dataValidation type="decimal" operator="greaterThan" allowBlank="1" showInputMessage="1" showErrorMessage="1" sqref="D2912">
      <formula1>0</formula1>
    </dataValidation>
    <dataValidation type="decimal" operator="greaterThan" allowBlank="1" showInputMessage="1" showErrorMessage="1" sqref="E2912">
      <formula1>0</formula1>
    </dataValidation>
    <dataValidation type="whole" operator="greaterThan" allowBlank="1" showInputMessage="1" showErrorMessage="1" sqref="A2913">
      <formula1>0</formula1>
    </dataValidation>
    <dataValidation type="list" allowBlank="1" showInputMessage="1" showErrorMessage="1" sqref="C2913">
      <formula1>UnidadesList</formula1>
    </dataValidation>
    <dataValidation type="decimal" operator="greaterThan" allowBlank="1" showInputMessage="1" showErrorMessage="1" sqref="D2913">
      <formula1>0</formula1>
    </dataValidation>
    <dataValidation type="decimal" operator="greaterThan" allowBlank="1" showInputMessage="1" showErrorMessage="1" sqref="E2913">
      <formula1>0</formula1>
    </dataValidation>
    <dataValidation type="whole" operator="greaterThan" allowBlank="1" showInputMessage="1" showErrorMessage="1" sqref="A2914">
      <formula1>0</formula1>
    </dataValidation>
    <dataValidation type="list" allowBlank="1" showInputMessage="1" showErrorMessage="1" sqref="C2914">
      <formula1>UnidadesList</formula1>
    </dataValidation>
    <dataValidation type="decimal" operator="greaterThan" allowBlank="1" showInputMessage="1" showErrorMessage="1" sqref="D2914">
      <formula1>0</formula1>
    </dataValidation>
    <dataValidation type="decimal" operator="greaterThan" allowBlank="1" showInputMessage="1" showErrorMessage="1" sqref="E2914">
      <formula1>0</formula1>
    </dataValidation>
    <dataValidation type="whole" operator="greaterThan" allowBlank="1" showInputMessage="1" showErrorMessage="1" sqref="A2915">
      <formula1>0</formula1>
    </dataValidation>
    <dataValidation type="list" allowBlank="1" showInputMessage="1" showErrorMessage="1" sqref="C2915">
      <formula1>UnidadesList</formula1>
    </dataValidation>
    <dataValidation type="decimal" operator="greaterThan" allowBlank="1" showInputMessage="1" showErrorMessage="1" sqref="D2915">
      <formula1>0</formula1>
    </dataValidation>
    <dataValidation type="decimal" operator="greaterThan" allowBlank="1" showInputMessage="1" showErrorMessage="1" sqref="E2915">
      <formula1>0</formula1>
    </dataValidation>
    <dataValidation type="whole" operator="greaterThan" allowBlank="1" showInputMessage="1" showErrorMessage="1" sqref="A2916">
      <formula1>0</formula1>
    </dataValidation>
    <dataValidation type="list" allowBlank="1" showInputMessage="1" showErrorMessage="1" sqref="C2916">
      <formula1>UnidadesList</formula1>
    </dataValidation>
    <dataValidation type="decimal" operator="greaterThan" allowBlank="1" showInputMessage="1" showErrorMessage="1" sqref="D2916">
      <formula1>0</formula1>
    </dataValidation>
    <dataValidation type="decimal" operator="greaterThan" allowBlank="1" showInputMessage="1" showErrorMessage="1" sqref="E2916">
      <formula1>0</formula1>
    </dataValidation>
    <dataValidation type="whole" operator="greaterThan" allowBlank="1" showInputMessage="1" showErrorMessage="1" sqref="A2917">
      <formula1>0</formula1>
    </dataValidation>
    <dataValidation type="list" allowBlank="1" showInputMessage="1" showErrorMessage="1" sqref="C2917">
      <formula1>UnidadesList</formula1>
    </dataValidation>
    <dataValidation type="decimal" operator="greaterThan" allowBlank="1" showInputMessage="1" showErrorMessage="1" sqref="D2917">
      <formula1>0</formula1>
    </dataValidation>
    <dataValidation type="decimal" operator="greaterThan" allowBlank="1" showInputMessage="1" showErrorMessage="1" sqref="E2917">
      <formula1>0</formula1>
    </dataValidation>
    <dataValidation type="whole" operator="greaterThan" allowBlank="1" showInputMessage="1" showErrorMessage="1" sqref="A2918">
      <formula1>0</formula1>
    </dataValidation>
    <dataValidation type="list" allowBlank="1" showInputMessage="1" showErrorMessage="1" sqref="C2918">
      <formula1>UnidadesList</formula1>
    </dataValidation>
    <dataValidation type="decimal" operator="greaterThan" allowBlank="1" showInputMessage="1" showErrorMessage="1" sqref="D2918">
      <formula1>0</formula1>
    </dataValidation>
    <dataValidation type="decimal" operator="greaterThan" allowBlank="1" showInputMessage="1" showErrorMessage="1" sqref="E2918">
      <formula1>0</formula1>
    </dataValidation>
    <dataValidation type="whole" operator="greaterThan" allowBlank="1" showInputMessage="1" showErrorMessage="1" sqref="A2919">
      <formula1>0</formula1>
    </dataValidation>
    <dataValidation type="list" allowBlank="1" showInputMessage="1" showErrorMessage="1" sqref="C2919">
      <formula1>UnidadesList</formula1>
    </dataValidation>
    <dataValidation type="decimal" operator="greaterThan" allowBlank="1" showInputMessage="1" showErrorMessage="1" sqref="D2919">
      <formula1>0</formula1>
    </dataValidation>
    <dataValidation type="decimal" operator="greaterThan" allowBlank="1" showInputMessage="1" showErrorMessage="1" sqref="E2919">
      <formula1>0</formula1>
    </dataValidation>
    <dataValidation type="whole" operator="greaterThan" allowBlank="1" showInputMessage="1" showErrorMessage="1" sqref="A2920">
      <formula1>0</formula1>
    </dataValidation>
    <dataValidation type="list" allowBlank="1" showInputMessage="1" showErrorMessage="1" sqref="C2920">
      <formula1>UnidadesList</formula1>
    </dataValidation>
    <dataValidation type="decimal" operator="greaterThan" allowBlank="1" showInputMessage="1" showErrorMessage="1" sqref="D2920">
      <formula1>0</formula1>
    </dataValidation>
    <dataValidation type="decimal" operator="greaterThan" allowBlank="1" showInputMessage="1" showErrorMessage="1" sqref="E2920">
      <formula1>0</formula1>
    </dataValidation>
    <dataValidation type="whole" operator="greaterThan" allowBlank="1" showInputMessage="1" showErrorMessage="1" sqref="A2921">
      <formula1>0</formula1>
    </dataValidation>
    <dataValidation type="list" allowBlank="1" showInputMessage="1" showErrorMessage="1" sqref="C2921">
      <formula1>UnidadesList</formula1>
    </dataValidation>
    <dataValidation type="decimal" operator="greaterThan" allowBlank="1" showInputMessage="1" showErrorMessage="1" sqref="D2921">
      <formula1>0</formula1>
    </dataValidation>
    <dataValidation type="decimal" operator="greaterThan" allowBlank="1" showInputMessage="1" showErrorMessage="1" sqref="E2921">
      <formula1>0</formula1>
    </dataValidation>
    <dataValidation type="whole" operator="greaterThan" allowBlank="1" showInputMessage="1" showErrorMessage="1" sqref="A2922">
      <formula1>0</formula1>
    </dataValidation>
    <dataValidation type="list" allowBlank="1" showInputMessage="1" showErrorMessage="1" sqref="C2922">
      <formula1>UnidadesList</formula1>
    </dataValidation>
    <dataValidation type="decimal" operator="greaterThan" allowBlank="1" showInputMessage="1" showErrorMessage="1" sqref="D2922">
      <formula1>0</formula1>
    </dataValidation>
    <dataValidation type="decimal" operator="greaterThan" allowBlank="1" showInputMessage="1" showErrorMessage="1" sqref="E2922">
      <formula1>0</formula1>
    </dataValidation>
    <dataValidation type="whole" operator="greaterThan" allowBlank="1" showInputMessage="1" showErrorMessage="1" sqref="A2923">
      <formula1>0</formula1>
    </dataValidation>
    <dataValidation type="list" allowBlank="1" showInputMessage="1" showErrorMessage="1" sqref="C2923">
      <formula1>UnidadesList</formula1>
    </dataValidation>
    <dataValidation type="decimal" operator="greaterThan" allowBlank="1" showInputMessage="1" showErrorMessage="1" sqref="D2923">
      <formula1>0</formula1>
    </dataValidation>
    <dataValidation type="decimal" operator="greaterThan" allowBlank="1" showInputMessage="1" showErrorMessage="1" sqref="E2923">
      <formula1>0</formula1>
    </dataValidation>
    <dataValidation type="whole" operator="greaterThan" allowBlank="1" showInputMessage="1" showErrorMessage="1" sqref="A2924">
      <formula1>0</formula1>
    </dataValidation>
    <dataValidation type="list" allowBlank="1" showInputMessage="1" showErrorMessage="1" sqref="C2924">
      <formula1>UnidadesList</formula1>
    </dataValidation>
    <dataValidation type="decimal" operator="greaterThan" allowBlank="1" showInputMessage="1" showErrorMessage="1" sqref="D2924">
      <formula1>0</formula1>
    </dataValidation>
    <dataValidation type="decimal" operator="greaterThan" allowBlank="1" showInputMessage="1" showErrorMessage="1" sqref="E2924">
      <formula1>0</formula1>
    </dataValidation>
    <dataValidation type="whole" operator="greaterThan" allowBlank="1" showInputMessage="1" showErrorMessage="1" sqref="A2925">
      <formula1>0</formula1>
    </dataValidation>
    <dataValidation type="list" allowBlank="1" showInputMessage="1" showErrorMessage="1" sqref="C2925">
      <formula1>UnidadesList</formula1>
    </dataValidation>
    <dataValidation type="decimal" operator="greaterThan" allowBlank="1" showInputMessage="1" showErrorMessage="1" sqref="D2925">
      <formula1>0</formula1>
    </dataValidation>
    <dataValidation type="decimal" operator="greaterThan" allowBlank="1" showInputMessage="1" showErrorMessage="1" sqref="E2925">
      <formula1>0</formula1>
    </dataValidation>
    <dataValidation type="whole" operator="greaterThan" allowBlank="1" showInputMessage="1" showErrorMessage="1" sqref="A2926">
      <formula1>0</formula1>
    </dataValidation>
    <dataValidation type="list" allowBlank="1" showInputMessage="1" showErrorMessage="1" sqref="C2926">
      <formula1>UnidadesList</formula1>
    </dataValidation>
    <dataValidation type="decimal" operator="greaterThan" allowBlank="1" showInputMessage="1" showErrorMessage="1" sqref="D2926">
      <formula1>0</formula1>
    </dataValidation>
    <dataValidation type="decimal" operator="greaterThan" allowBlank="1" showInputMessage="1" showErrorMessage="1" sqref="E2926">
      <formula1>0</formula1>
    </dataValidation>
    <dataValidation type="whole" operator="greaterThan" allowBlank="1" showInputMessage="1" showErrorMessage="1" sqref="A2927">
      <formula1>0</formula1>
    </dataValidation>
    <dataValidation type="list" allowBlank="1" showInputMessage="1" showErrorMessage="1" sqref="C2927">
      <formula1>UnidadesList</formula1>
    </dataValidation>
    <dataValidation type="decimal" operator="greaterThan" allowBlank="1" showInputMessage="1" showErrorMessage="1" sqref="D2927">
      <formula1>0</formula1>
    </dataValidation>
    <dataValidation type="decimal" operator="greaterThan" allowBlank="1" showInputMessage="1" showErrorMessage="1" sqref="E2927">
      <formula1>0</formula1>
    </dataValidation>
    <dataValidation type="whole" operator="greaterThan" allowBlank="1" showInputMessage="1" showErrorMessage="1" sqref="A2928">
      <formula1>0</formula1>
    </dataValidation>
    <dataValidation type="list" allowBlank="1" showInputMessage="1" showErrorMessage="1" sqref="C2928">
      <formula1>UnidadesList</formula1>
    </dataValidation>
    <dataValidation type="decimal" operator="greaterThan" allowBlank="1" showInputMessage="1" showErrorMessage="1" sqref="D2928">
      <formula1>0</formula1>
    </dataValidation>
    <dataValidation type="decimal" operator="greaterThan" allowBlank="1" showInputMessage="1" showErrorMessage="1" sqref="E2928">
      <formula1>0</formula1>
    </dataValidation>
    <dataValidation type="whole" operator="greaterThan" allowBlank="1" showInputMessage="1" showErrorMessage="1" sqref="A2929">
      <formula1>0</formula1>
    </dataValidation>
    <dataValidation type="list" allowBlank="1" showInputMessage="1" showErrorMessage="1" sqref="C2929">
      <formula1>UnidadesList</formula1>
    </dataValidation>
    <dataValidation type="decimal" operator="greaterThan" allowBlank="1" showInputMessage="1" showErrorMessage="1" sqref="D2929">
      <formula1>0</formula1>
    </dataValidation>
    <dataValidation type="decimal" operator="greaterThan" allowBlank="1" showInputMessage="1" showErrorMessage="1" sqref="E2929">
      <formula1>0</formula1>
    </dataValidation>
    <dataValidation type="whole" operator="greaterThan" allowBlank="1" showInputMessage="1" showErrorMessage="1" sqref="A2930">
      <formula1>0</formula1>
    </dataValidation>
    <dataValidation type="list" allowBlank="1" showInputMessage="1" showErrorMessage="1" sqref="C2930">
      <formula1>UnidadesList</formula1>
    </dataValidation>
    <dataValidation type="decimal" operator="greaterThan" allowBlank="1" showInputMessage="1" showErrorMessage="1" sqref="D2930">
      <formula1>0</formula1>
    </dataValidation>
    <dataValidation type="decimal" operator="greaterThan" allowBlank="1" showInputMessage="1" showErrorMessage="1" sqref="E2930">
      <formula1>0</formula1>
    </dataValidation>
    <dataValidation type="whole" operator="greaterThan" allowBlank="1" showInputMessage="1" showErrorMessage="1" sqref="A2931">
      <formula1>0</formula1>
    </dataValidation>
    <dataValidation type="list" allowBlank="1" showInputMessage="1" showErrorMessage="1" sqref="C2931">
      <formula1>UnidadesList</formula1>
    </dataValidation>
    <dataValidation type="decimal" operator="greaterThan" allowBlank="1" showInputMessage="1" showErrorMessage="1" sqref="D2931">
      <formula1>0</formula1>
    </dataValidation>
    <dataValidation type="decimal" operator="greaterThan" allowBlank="1" showInputMessage="1" showErrorMessage="1" sqref="E2931">
      <formula1>0</formula1>
    </dataValidation>
    <dataValidation type="whole" operator="greaterThan" allowBlank="1" showInputMessage="1" showErrorMessage="1" sqref="A2932">
      <formula1>0</formula1>
    </dataValidation>
    <dataValidation type="list" allowBlank="1" showInputMessage="1" showErrorMessage="1" sqref="C2932">
      <formula1>UnidadesList</formula1>
    </dataValidation>
    <dataValidation type="decimal" operator="greaterThan" allowBlank="1" showInputMessage="1" showErrorMessage="1" sqref="D2932">
      <formula1>0</formula1>
    </dataValidation>
    <dataValidation type="decimal" operator="greaterThan" allowBlank="1" showInputMessage="1" showErrorMessage="1" sqref="E2932">
      <formula1>0</formula1>
    </dataValidation>
    <dataValidation type="whole" operator="greaterThan" allowBlank="1" showInputMessage="1" showErrorMessage="1" sqref="A2933">
      <formula1>0</formula1>
    </dataValidation>
    <dataValidation type="list" allowBlank="1" showInputMessage="1" showErrorMessage="1" sqref="C2933">
      <formula1>UnidadesList</formula1>
    </dataValidation>
    <dataValidation type="decimal" operator="greaterThan" allowBlank="1" showInputMessage="1" showErrorMessage="1" sqref="D2933">
      <formula1>0</formula1>
    </dataValidation>
    <dataValidation type="decimal" operator="greaterThan" allowBlank="1" showInputMessage="1" showErrorMessage="1" sqref="E2933">
      <formula1>0</formula1>
    </dataValidation>
    <dataValidation type="whole" operator="greaterThan" allowBlank="1" showInputMessage="1" showErrorMessage="1" sqref="A2934">
      <formula1>0</formula1>
    </dataValidation>
    <dataValidation type="list" allowBlank="1" showInputMessage="1" showErrorMessage="1" sqref="C2934">
      <formula1>UnidadesList</formula1>
    </dataValidation>
    <dataValidation type="decimal" operator="greaterThan" allowBlank="1" showInputMessage="1" showErrorMessage="1" sqref="D2934">
      <formula1>0</formula1>
    </dataValidation>
    <dataValidation type="decimal" operator="greaterThan" allowBlank="1" showInputMessage="1" showErrorMessage="1" sqref="E2934">
      <formula1>0</formula1>
    </dataValidation>
    <dataValidation type="whole" operator="greaterThan" allowBlank="1" showInputMessage="1" showErrorMessage="1" sqref="A2935">
      <formula1>0</formula1>
    </dataValidation>
    <dataValidation type="list" allowBlank="1" showInputMessage="1" showErrorMessage="1" sqref="C2935">
      <formula1>UnidadesList</formula1>
    </dataValidation>
    <dataValidation type="decimal" operator="greaterThan" allowBlank="1" showInputMessage="1" showErrorMessage="1" sqref="D2935">
      <formula1>0</formula1>
    </dataValidation>
    <dataValidation type="decimal" operator="greaterThan" allowBlank="1" showInputMessage="1" showErrorMessage="1" sqref="E2935">
      <formula1>0</formula1>
    </dataValidation>
    <dataValidation type="whole" operator="greaterThan" allowBlank="1" showInputMessage="1" showErrorMessage="1" sqref="A2936">
      <formula1>0</formula1>
    </dataValidation>
    <dataValidation type="list" allowBlank="1" showInputMessage="1" showErrorMessage="1" sqref="C2936">
      <formula1>UnidadesList</formula1>
    </dataValidation>
    <dataValidation type="decimal" operator="greaterThan" allowBlank="1" showInputMessage="1" showErrorMessage="1" sqref="D2936">
      <formula1>0</formula1>
    </dataValidation>
    <dataValidation type="decimal" operator="greaterThan" allowBlank="1" showInputMessage="1" showErrorMessage="1" sqref="E2936">
      <formula1>0</formula1>
    </dataValidation>
    <dataValidation type="whole" operator="greaterThan" allowBlank="1" showInputMessage="1" showErrorMessage="1" sqref="A2937">
      <formula1>0</formula1>
    </dataValidation>
    <dataValidation type="list" allowBlank="1" showInputMessage="1" showErrorMessage="1" sqref="C2937">
      <formula1>UnidadesList</formula1>
    </dataValidation>
    <dataValidation type="decimal" operator="greaterThan" allowBlank="1" showInputMessage="1" showErrorMessage="1" sqref="D2937">
      <formula1>0</formula1>
    </dataValidation>
    <dataValidation type="decimal" operator="greaterThan" allowBlank="1" showInputMessage="1" showErrorMessage="1" sqref="E2937">
      <formula1>0</formula1>
    </dataValidation>
    <dataValidation type="whole" operator="greaterThan" allowBlank="1" showInputMessage="1" showErrorMessage="1" sqref="A2938">
      <formula1>0</formula1>
    </dataValidation>
    <dataValidation type="list" allowBlank="1" showInputMessage="1" showErrorMessage="1" sqref="C2938">
      <formula1>UnidadesList</formula1>
    </dataValidation>
    <dataValidation type="decimal" operator="greaterThan" allowBlank="1" showInputMessage="1" showErrorMessage="1" sqref="D2938">
      <formula1>0</formula1>
    </dataValidation>
    <dataValidation type="decimal" operator="greaterThan" allowBlank="1" showInputMessage="1" showErrorMessage="1" sqref="E2938">
      <formula1>0</formula1>
    </dataValidation>
    <dataValidation type="whole" operator="greaterThan" allowBlank="1" showInputMessage="1" showErrorMessage="1" sqref="A2939">
      <formula1>0</formula1>
    </dataValidation>
    <dataValidation type="list" allowBlank="1" showInputMessage="1" showErrorMessage="1" sqref="C2939">
      <formula1>UnidadesList</formula1>
    </dataValidation>
    <dataValidation type="decimal" operator="greaterThan" allowBlank="1" showInputMessage="1" showErrorMessage="1" sqref="D2939">
      <formula1>0</formula1>
    </dataValidation>
    <dataValidation type="decimal" operator="greaterThan" allowBlank="1" showInputMessage="1" showErrorMessage="1" sqref="E2939">
      <formula1>0</formula1>
    </dataValidation>
    <dataValidation type="whole" operator="greaterThan" allowBlank="1" showInputMessage="1" showErrorMessage="1" sqref="A2940">
      <formula1>0</formula1>
    </dataValidation>
    <dataValidation type="list" allowBlank="1" showInputMessage="1" showErrorMessage="1" sqref="C2940">
      <formula1>UnidadesList</formula1>
    </dataValidation>
    <dataValidation type="decimal" operator="greaterThan" allowBlank="1" showInputMessage="1" showErrorMessage="1" sqref="D2940">
      <formula1>0</formula1>
    </dataValidation>
    <dataValidation type="decimal" operator="greaterThan" allowBlank="1" showInputMessage="1" showErrorMessage="1" sqref="E2940">
      <formula1>0</formula1>
    </dataValidation>
    <dataValidation type="whole" operator="greaterThan" allowBlank="1" showInputMessage="1" showErrorMessage="1" sqref="A2941">
      <formula1>0</formula1>
    </dataValidation>
    <dataValidation type="list" allowBlank="1" showInputMessage="1" showErrorMessage="1" sqref="C2941">
      <formula1>UnidadesList</formula1>
    </dataValidation>
    <dataValidation type="decimal" operator="greaterThan" allowBlank="1" showInputMessage="1" showErrorMessage="1" sqref="D2941">
      <formula1>0</formula1>
    </dataValidation>
    <dataValidation type="decimal" operator="greaterThan" allowBlank="1" showInputMessage="1" showErrorMessage="1" sqref="E2941">
      <formula1>0</formula1>
    </dataValidation>
    <dataValidation type="whole" operator="greaterThan" allowBlank="1" showInputMessage="1" showErrorMessage="1" sqref="A2942">
      <formula1>0</formula1>
    </dataValidation>
    <dataValidation type="list" allowBlank="1" showInputMessage="1" showErrorMessage="1" sqref="C2942">
      <formula1>UnidadesList</formula1>
    </dataValidation>
    <dataValidation type="decimal" operator="greaterThan" allowBlank="1" showInputMessage="1" showErrorMessage="1" sqref="D2942">
      <formula1>0</formula1>
    </dataValidation>
    <dataValidation type="decimal" operator="greaterThan" allowBlank="1" showInputMessage="1" showErrorMessage="1" sqref="E2942">
      <formula1>0</formula1>
    </dataValidation>
    <dataValidation type="whole" operator="greaterThan" allowBlank="1" showInputMessage="1" showErrorMessage="1" sqref="A2943">
      <formula1>0</formula1>
    </dataValidation>
    <dataValidation type="list" allowBlank="1" showInputMessage="1" showErrorMessage="1" sqref="C2943">
      <formula1>UnidadesList</formula1>
    </dataValidation>
    <dataValidation type="decimal" operator="greaterThan" allowBlank="1" showInputMessage="1" showErrorMessage="1" sqref="D2943">
      <formula1>0</formula1>
    </dataValidation>
    <dataValidation type="decimal" operator="greaterThan" allowBlank="1" showInputMessage="1" showErrorMessage="1" sqref="E2943">
      <formula1>0</formula1>
    </dataValidation>
    <dataValidation type="whole" operator="greaterThan" allowBlank="1" showInputMessage="1" showErrorMessage="1" sqref="A2944">
      <formula1>0</formula1>
    </dataValidation>
    <dataValidation type="list" allowBlank="1" showInputMessage="1" showErrorMessage="1" sqref="C2944">
      <formula1>UnidadesList</formula1>
    </dataValidation>
    <dataValidation type="decimal" operator="greaterThan" allowBlank="1" showInputMessage="1" showErrorMessage="1" sqref="D2944">
      <formula1>0</formula1>
    </dataValidation>
    <dataValidation type="decimal" operator="greaterThan" allowBlank="1" showInputMessage="1" showErrorMessage="1" sqref="E2944">
      <formula1>0</formula1>
    </dataValidation>
    <dataValidation type="whole" operator="greaterThan" allowBlank="1" showInputMessage="1" showErrorMessage="1" sqref="A2945">
      <formula1>0</formula1>
    </dataValidation>
    <dataValidation type="list" allowBlank="1" showInputMessage="1" showErrorMessage="1" sqref="C2945">
      <formula1>UnidadesList</formula1>
    </dataValidation>
    <dataValidation type="decimal" operator="greaterThan" allowBlank="1" showInputMessage="1" showErrorMessage="1" sqref="D2945">
      <formula1>0</formula1>
    </dataValidation>
    <dataValidation type="decimal" operator="greaterThan" allowBlank="1" showInputMessage="1" showErrorMessage="1" sqref="E2945">
      <formula1>0</formula1>
    </dataValidation>
    <dataValidation type="date" operator="lessThanOrEqual" allowBlank="1" showInputMessage="1" showErrorMessage="1" sqref="C2950">
      <formula1>C2952</formula1>
    </dataValidation>
    <dataValidation type="date" operator="greaterThanOrEqual" allowBlank="1" showInputMessage="1" showErrorMessage="1" sqref="C2952">
      <formula1>C2950</formula1>
    </dataValidation>
    <dataValidation type="list" allowBlank="1" showInputMessage="1" showErrorMessage="1" sqref="F295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5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5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5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956">
      <formula1>0</formula1>
    </dataValidation>
    <dataValidation type="list" allowBlank="1" showInputMessage="1" showErrorMessage="1" sqref="C2956">
      <formula1>UnidadesList</formula1>
    </dataValidation>
    <dataValidation type="decimal" operator="greaterThan" allowBlank="1" showInputMessage="1" showErrorMessage="1" sqref="D2956">
      <formula1>0</formula1>
    </dataValidation>
    <dataValidation type="decimal" operator="greaterThan" allowBlank="1" showInputMessage="1" showErrorMessage="1" sqref="E2956">
      <formula1>0</formula1>
    </dataValidation>
    <dataValidation type="whole" operator="greaterThan" allowBlank="1" showInputMessage="1" showErrorMessage="1" sqref="A2957">
      <formula1>0</formula1>
    </dataValidation>
    <dataValidation type="list" allowBlank="1" showInputMessage="1" showErrorMessage="1" sqref="C2957">
      <formula1>UnidadesList</formula1>
    </dataValidation>
    <dataValidation type="decimal" operator="greaterThan" allowBlank="1" showInputMessage="1" showErrorMessage="1" sqref="D2957">
      <formula1>0</formula1>
    </dataValidation>
    <dataValidation type="decimal" operator="greaterThan" allowBlank="1" showInputMessage="1" showErrorMessage="1" sqref="E2957">
      <formula1>0</formula1>
    </dataValidation>
    <dataValidation type="whole" operator="greaterThan" allowBlank="1" showInputMessage="1" showErrorMessage="1" sqref="A2958">
      <formula1>0</formula1>
    </dataValidation>
    <dataValidation type="list" allowBlank="1" showInputMessage="1" showErrorMessage="1" sqref="C2958">
      <formula1>UnidadesList</formula1>
    </dataValidation>
    <dataValidation type="decimal" operator="greaterThan" allowBlank="1" showInputMessage="1" showErrorMessage="1" sqref="D2958">
      <formula1>0</formula1>
    </dataValidation>
    <dataValidation type="decimal" operator="greaterThan" allowBlank="1" showInputMessage="1" showErrorMessage="1" sqref="E2958">
      <formula1>0</formula1>
    </dataValidation>
    <dataValidation type="whole" operator="greaterThan" allowBlank="1" showInputMessage="1" showErrorMessage="1" sqref="A2959">
      <formula1>0</formula1>
    </dataValidation>
    <dataValidation type="list" allowBlank="1" showInputMessage="1" showErrorMessage="1" sqref="C2959">
      <formula1>UnidadesList</formula1>
    </dataValidation>
    <dataValidation type="decimal" operator="greaterThan" allowBlank="1" showInputMessage="1" showErrorMessage="1" sqref="D2959">
      <formula1>0</formula1>
    </dataValidation>
    <dataValidation type="decimal" operator="greaterThan" allowBlank="1" showInputMessage="1" showErrorMessage="1" sqref="E2959">
      <formula1>0</formula1>
    </dataValidation>
    <dataValidation type="whole" operator="greaterThan" allowBlank="1" showInputMessage="1" showErrorMessage="1" sqref="A2960">
      <formula1>0</formula1>
    </dataValidation>
    <dataValidation type="list" allowBlank="1" showInputMessage="1" showErrorMessage="1" sqref="C2960">
      <formula1>UnidadesList</formula1>
    </dataValidation>
    <dataValidation type="decimal" operator="greaterThan" allowBlank="1" showInputMessage="1" showErrorMessage="1" sqref="D2960">
      <formula1>0</formula1>
    </dataValidation>
    <dataValidation type="decimal" operator="greaterThan" allowBlank="1" showInputMessage="1" showErrorMessage="1" sqref="E2960">
      <formula1>0</formula1>
    </dataValidation>
    <dataValidation type="whole" operator="greaterThan" allowBlank="1" showInputMessage="1" showErrorMessage="1" sqref="A2961">
      <formula1>0</formula1>
    </dataValidation>
    <dataValidation type="list" allowBlank="1" showInputMessage="1" showErrorMessage="1" sqref="C2961">
      <formula1>UnidadesList</formula1>
    </dataValidation>
    <dataValidation type="decimal" operator="greaterThan" allowBlank="1" showInputMessage="1" showErrorMessage="1" sqref="D2961">
      <formula1>0</formula1>
    </dataValidation>
    <dataValidation type="decimal" operator="greaterThan" allowBlank="1" showInputMessage="1" showErrorMessage="1" sqref="E2961">
      <formula1>0</formula1>
    </dataValidation>
    <dataValidation type="whole" operator="greaterThan" allowBlank="1" showInputMessage="1" showErrorMessage="1" sqref="A2962">
      <formula1>0</formula1>
    </dataValidation>
    <dataValidation type="list" allowBlank="1" showInputMessage="1" showErrorMessage="1" sqref="C2962">
      <formula1>UnidadesList</formula1>
    </dataValidation>
    <dataValidation type="decimal" operator="greaterThan" allowBlank="1" showInputMessage="1" showErrorMessage="1" sqref="D2962">
      <formula1>0</formula1>
    </dataValidation>
    <dataValidation type="decimal" operator="greaterThan" allowBlank="1" showInputMessage="1" showErrorMessage="1" sqref="E2962">
      <formula1>0</formula1>
    </dataValidation>
    <dataValidation type="whole" operator="greaterThan" allowBlank="1" showInputMessage="1" showErrorMessage="1" sqref="A2963">
      <formula1>0</formula1>
    </dataValidation>
    <dataValidation type="list" allowBlank="1" showInputMessage="1" showErrorMessage="1" sqref="C2963">
      <formula1>UnidadesList</formula1>
    </dataValidation>
    <dataValidation type="decimal" operator="greaterThan" allowBlank="1" showInputMessage="1" showErrorMessage="1" sqref="D2963">
      <formula1>0</formula1>
    </dataValidation>
    <dataValidation type="decimal" operator="greaterThan" allowBlank="1" showInputMessage="1" showErrorMessage="1" sqref="E2963">
      <formula1>0</formula1>
    </dataValidation>
    <dataValidation type="whole" operator="greaterThan" allowBlank="1" showInputMessage="1" showErrorMessage="1" sqref="A2964">
      <formula1>0</formula1>
    </dataValidation>
    <dataValidation type="list" allowBlank="1" showInputMessage="1" showErrorMessage="1" sqref="C2964">
      <formula1>UnidadesList</formula1>
    </dataValidation>
    <dataValidation type="decimal" operator="greaterThan" allowBlank="1" showInputMessage="1" showErrorMessage="1" sqref="D2964">
      <formula1>0</formula1>
    </dataValidation>
    <dataValidation type="decimal" operator="greaterThan" allowBlank="1" showInputMessage="1" showErrorMessage="1" sqref="E2964">
      <formula1>0</formula1>
    </dataValidation>
    <dataValidation type="whole" operator="greaterThan" allowBlank="1" showInputMessage="1" showErrorMessage="1" sqref="A2965">
      <formula1>0</formula1>
    </dataValidation>
    <dataValidation type="list" allowBlank="1" showInputMessage="1" showErrorMessage="1" sqref="C2965">
      <formula1>UnidadesList</formula1>
    </dataValidation>
    <dataValidation type="decimal" operator="greaterThan" allowBlank="1" showInputMessage="1" showErrorMessage="1" sqref="D2965">
      <formula1>0</formula1>
    </dataValidation>
    <dataValidation type="decimal" operator="greaterThan" allowBlank="1" showInputMessage="1" showErrorMessage="1" sqref="E2965">
      <formula1>0</formula1>
    </dataValidation>
    <dataValidation type="whole" operator="greaterThan" allowBlank="1" showInputMessage="1" showErrorMessage="1" sqref="A2966">
      <formula1>0</formula1>
    </dataValidation>
    <dataValidation type="list" allowBlank="1" showInputMessage="1" showErrorMessage="1" sqref="C2966">
      <formula1>UnidadesList</formula1>
    </dataValidation>
    <dataValidation type="decimal" operator="greaterThan" allowBlank="1" showInputMessage="1" showErrorMessage="1" sqref="D2966">
      <formula1>0</formula1>
    </dataValidation>
    <dataValidation type="decimal" operator="greaterThan" allowBlank="1" showInputMessage="1" showErrorMessage="1" sqref="E2966">
      <formula1>0</formula1>
    </dataValidation>
    <dataValidation type="whole" operator="greaterThan" allowBlank="1" showInputMessage="1" showErrorMessage="1" sqref="A2967">
      <formula1>0</formula1>
    </dataValidation>
    <dataValidation type="list" allowBlank="1" showInputMessage="1" showErrorMessage="1" sqref="C2967">
      <formula1>UnidadesList</formula1>
    </dataValidation>
    <dataValidation type="decimal" operator="greaterThan" allowBlank="1" showInputMessage="1" showErrorMessage="1" sqref="D2967">
      <formula1>0</formula1>
    </dataValidation>
    <dataValidation type="decimal" operator="greaterThan" allowBlank="1" showInputMessage="1" showErrorMessage="1" sqref="E2967">
      <formula1>0</formula1>
    </dataValidation>
    <dataValidation type="whole" operator="greaterThan" allowBlank="1" showInputMessage="1" showErrorMessage="1" sqref="A2968">
      <formula1>0</formula1>
    </dataValidation>
    <dataValidation type="list" allowBlank="1" showInputMessage="1" showErrorMessage="1" sqref="C2968">
      <formula1>UnidadesList</formula1>
    </dataValidation>
    <dataValidation type="decimal" operator="greaterThan" allowBlank="1" showInputMessage="1" showErrorMessage="1" sqref="D2968">
      <formula1>0</formula1>
    </dataValidation>
    <dataValidation type="decimal" operator="greaterThan" allowBlank="1" showInputMessage="1" showErrorMessage="1" sqref="E2968">
      <formula1>0</formula1>
    </dataValidation>
    <dataValidation type="whole" operator="greaterThan" allowBlank="1" showInputMessage="1" showErrorMessage="1" sqref="A2969">
      <formula1>0</formula1>
    </dataValidation>
    <dataValidation type="list" allowBlank="1" showInputMessage="1" showErrorMessage="1" sqref="C2969">
      <formula1>UnidadesList</formula1>
    </dataValidation>
    <dataValidation type="decimal" operator="greaterThan" allowBlank="1" showInputMessage="1" showErrorMessage="1" sqref="D2969">
      <formula1>0</formula1>
    </dataValidation>
    <dataValidation type="decimal" operator="greaterThan" allowBlank="1" showInputMessage="1" showErrorMessage="1" sqref="E2969">
      <formula1>0</formula1>
    </dataValidation>
    <dataValidation type="whole" operator="greaterThan" allowBlank="1" showInputMessage="1" showErrorMessage="1" sqref="A2970">
      <formula1>0</formula1>
    </dataValidation>
    <dataValidation type="list" allowBlank="1" showInputMessage="1" showErrorMessage="1" sqref="C2970">
      <formula1>UnidadesList</formula1>
    </dataValidation>
    <dataValidation type="decimal" operator="greaterThan" allowBlank="1" showInputMessage="1" showErrorMessage="1" sqref="D2970">
      <formula1>0</formula1>
    </dataValidation>
    <dataValidation type="decimal" operator="greaterThan" allowBlank="1" showInputMessage="1" showErrorMessage="1" sqref="E2970">
      <formula1>0</formula1>
    </dataValidation>
    <dataValidation type="whole" operator="greaterThan" allowBlank="1" showInputMessage="1" showErrorMessage="1" sqref="A2971">
      <formula1>0</formula1>
    </dataValidation>
    <dataValidation type="list" allowBlank="1" showInputMessage="1" showErrorMessage="1" sqref="C2971">
      <formula1>UnidadesList</formula1>
    </dataValidation>
    <dataValidation type="decimal" operator="greaterThan" allowBlank="1" showInputMessage="1" showErrorMessage="1" sqref="D2971">
      <formula1>0</formula1>
    </dataValidation>
    <dataValidation type="decimal" operator="greaterThan" allowBlank="1" showInputMessage="1" showErrorMessage="1" sqref="E2971">
      <formula1>0</formula1>
    </dataValidation>
    <dataValidation type="whole" operator="greaterThan" allowBlank="1" showInputMessage="1" showErrorMessage="1" sqref="A2972">
      <formula1>0</formula1>
    </dataValidation>
    <dataValidation type="list" allowBlank="1" showInputMessage="1" showErrorMessage="1" sqref="C2972">
      <formula1>UnidadesList</formula1>
    </dataValidation>
    <dataValidation type="decimal" operator="greaterThan" allowBlank="1" showInputMessage="1" showErrorMessage="1" sqref="D2972">
      <formula1>0</formula1>
    </dataValidation>
    <dataValidation type="decimal" operator="greaterThan" allowBlank="1" showInputMessage="1" showErrorMessage="1" sqref="E2972">
      <formula1>0</formula1>
    </dataValidation>
    <dataValidation type="whole" operator="greaterThan" allowBlank="1" showInputMessage="1" showErrorMessage="1" sqref="A2973">
      <formula1>0</formula1>
    </dataValidation>
    <dataValidation type="list" allowBlank="1" showInputMessage="1" showErrorMessage="1" sqref="C2973">
      <formula1>UnidadesList</formula1>
    </dataValidation>
    <dataValidation type="decimal" operator="greaterThan" allowBlank="1" showInputMessage="1" showErrorMessage="1" sqref="D2973">
      <formula1>0</formula1>
    </dataValidation>
    <dataValidation type="decimal" operator="greaterThan" allowBlank="1" showInputMessage="1" showErrorMessage="1" sqref="E2973">
      <formula1>0</formula1>
    </dataValidation>
    <dataValidation type="whole" operator="greaterThan" allowBlank="1" showInputMessage="1" showErrorMessage="1" sqref="A2974">
      <formula1>0</formula1>
    </dataValidation>
    <dataValidation type="list" allowBlank="1" showInputMessage="1" showErrorMessage="1" sqref="C2974">
      <formula1>UnidadesList</formula1>
    </dataValidation>
    <dataValidation type="decimal" operator="greaterThan" allowBlank="1" showInputMessage="1" showErrorMessage="1" sqref="D2974">
      <formula1>0</formula1>
    </dataValidation>
    <dataValidation type="decimal" operator="greaterThan" allowBlank="1" showInputMessage="1" showErrorMessage="1" sqref="E2974">
      <formula1>0</formula1>
    </dataValidation>
    <dataValidation type="whole" operator="greaterThan" allowBlank="1" showInputMessage="1" showErrorMessage="1" sqref="A2975">
      <formula1>0</formula1>
    </dataValidation>
    <dataValidation type="list" allowBlank="1" showInputMessage="1" showErrorMessage="1" sqref="C2975">
      <formula1>UnidadesList</formula1>
    </dataValidation>
    <dataValidation type="decimal" operator="greaterThan" allowBlank="1" showInputMessage="1" showErrorMessage="1" sqref="D2975">
      <formula1>0</formula1>
    </dataValidation>
    <dataValidation type="decimal" operator="greaterThan" allowBlank="1" showInputMessage="1" showErrorMessage="1" sqref="E2975">
      <formula1>0</formula1>
    </dataValidation>
    <dataValidation type="whole" operator="greaterThan" allowBlank="1" showInputMessage="1" showErrorMessage="1" sqref="A2976">
      <formula1>0</formula1>
    </dataValidation>
    <dataValidation type="list" allowBlank="1" showInputMessage="1" showErrorMessage="1" sqref="C2976">
      <formula1>UnidadesList</formula1>
    </dataValidation>
    <dataValidation type="decimal" operator="greaterThan" allowBlank="1" showInputMessage="1" showErrorMessage="1" sqref="D2976">
      <formula1>0</formula1>
    </dataValidation>
    <dataValidation type="decimal" operator="greaterThan" allowBlank="1" showInputMessage="1" showErrorMessage="1" sqref="E2976">
      <formula1>0</formula1>
    </dataValidation>
    <dataValidation type="whole" operator="greaterThan" allowBlank="1" showInputMessage="1" showErrorMessage="1" sqref="A2977">
      <formula1>0</formula1>
    </dataValidation>
    <dataValidation type="list" allowBlank="1" showInputMessage="1" showErrorMessage="1" sqref="C2977">
      <formula1>UnidadesList</formula1>
    </dataValidation>
    <dataValidation type="decimal" operator="greaterThan" allowBlank="1" showInputMessage="1" showErrorMessage="1" sqref="D2977">
      <formula1>0</formula1>
    </dataValidation>
    <dataValidation type="decimal" operator="greaterThan" allowBlank="1" showInputMessage="1" showErrorMessage="1" sqref="E2977">
      <formula1>0</formula1>
    </dataValidation>
    <dataValidation type="whole" operator="greaterThan" allowBlank="1" showInputMessage="1" showErrorMessage="1" sqref="A2978">
      <formula1>0</formula1>
    </dataValidation>
    <dataValidation type="list" allowBlank="1" showInputMessage="1" showErrorMessage="1" sqref="C2978">
      <formula1>UnidadesList</formula1>
    </dataValidation>
    <dataValidation type="decimal" operator="greaterThan" allowBlank="1" showInputMessage="1" showErrorMessage="1" sqref="D2978">
      <formula1>0</formula1>
    </dataValidation>
    <dataValidation type="decimal" operator="greaterThan" allowBlank="1" showInputMessage="1" showErrorMessage="1" sqref="E2978">
      <formula1>0</formula1>
    </dataValidation>
    <dataValidation type="whole" operator="greaterThan" allowBlank="1" showInputMessage="1" showErrorMessage="1" sqref="A2979">
      <formula1>0</formula1>
    </dataValidation>
    <dataValidation type="list" allowBlank="1" showInputMessage="1" showErrorMessage="1" sqref="C2979">
      <formula1>UnidadesList</formula1>
    </dataValidation>
    <dataValidation type="decimal" operator="greaterThan" allowBlank="1" showInputMessage="1" showErrorMessage="1" sqref="D2979">
      <formula1>0</formula1>
    </dataValidation>
    <dataValidation type="decimal" operator="greaterThan" allowBlank="1" showInputMessage="1" showErrorMessage="1" sqref="E2979">
      <formula1>0</formula1>
    </dataValidation>
    <dataValidation type="whole" operator="greaterThan" allowBlank="1" showInputMessage="1" showErrorMessage="1" sqref="A2980">
      <formula1>0</formula1>
    </dataValidation>
    <dataValidation type="list" allowBlank="1" showInputMessage="1" showErrorMessage="1" sqref="C2980">
      <formula1>UnidadesList</formula1>
    </dataValidation>
    <dataValidation type="decimal" operator="greaterThan" allowBlank="1" showInputMessage="1" showErrorMessage="1" sqref="D2980">
      <formula1>0</formula1>
    </dataValidation>
    <dataValidation type="decimal" operator="greaterThan" allowBlank="1" showInputMessage="1" showErrorMessage="1" sqref="E2980">
      <formula1>0</formula1>
    </dataValidation>
    <dataValidation type="whole" operator="greaterThan" allowBlank="1" showInputMessage="1" showErrorMessage="1" sqref="A2981">
      <formula1>0</formula1>
    </dataValidation>
    <dataValidation type="list" allowBlank="1" showInputMessage="1" showErrorMessage="1" sqref="C2981">
      <formula1>UnidadesList</formula1>
    </dataValidation>
    <dataValidation type="decimal" operator="greaterThan" allowBlank="1" showInputMessage="1" showErrorMessage="1" sqref="D2981">
      <formula1>0</formula1>
    </dataValidation>
    <dataValidation type="decimal" operator="greaterThan" allowBlank="1" showInputMessage="1" showErrorMessage="1" sqref="E2981">
      <formula1>0</formula1>
    </dataValidation>
    <dataValidation type="whole" operator="greaterThan" allowBlank="1" showInputMessage="1" showErrorMessage="1" sqref="A2982">
      <formula1>0</formula1>
    </dataValidation>
    <dataValidation type="list" allowBlank="1" showInputMessage="1" showErrorMessage="1" sqref="C2982">
      <formula1>UnidadesList</formula1>
    </dataValidation>
    <dataValidation type="decimal" operator="greaterThan" allowBlank="1" showInputMessage="1" showErrorMessage="1" sqref="D2982">
      <formula1>0</formula1>
    </dataValidation>
    <dataValidation type="decimal" operator="greaterThan" allowBlank="1" showInputMessage="1" showErrorMessage="1" sqref="E2982">
      <formula1>0</formula1>
    </dataValidation>
    <dataValidation type="whole" operator="greaterThan" allowBlank="1" showInputMessage="1" showErrorMessage="1" sqref="A2983">
      <formula1>0</formula1>
    </dataValidation>
    <dataValidation type="list" allowBlank="1" showInputMessage="1" showErrorMessage="1" sqref="C2983">
      <formula1>UnidadesList</formula1>
    </dataValidation>
    <dataValidation type="decimal" operator="greaterThan" allowBlank="1" showInputMessage="1" showErrorMessage="1" sqref="D2983">
      <formula1>0</formula1>
    </dataValidation>
    <dataValidation type="decimal" operator="greaterThan" allowBlank="1" showInputMessage="1" showErrorMessage="1" sqref="E2983">
      <formula1>0</formula1>
    </dataValidation>
    <dataValidation type="whole" operator="greaterThan" allowBlank="1" showInputMessage="1" showErrorMessage="1" sqref="A2984">
      <formula1>0</formula1>
    </dataValidation>
    <dataValidation type="list" allowBlank="1" showInputMessage="1" showErrorMessage="1" sqref="C2984">
      <formula1>UnidadesList</formula1>
    </dataValidation>
    <dataValidation type="decimal" operator="greaterThan" allowBlank="1" showInputMessage="1" showErrorMessage="1" sqref="D2984">
      <formula1>0</formula1>
    </dataValidation>
    <dataValidation type="decimal" operator="greaterThan" allowBlank="1" showInputMessage="1" showErrorMessage="1" sqref="E2984">
      <formula1>0</formula1>
    </dataValidation>
    <dataValidation type="whole" operator="greaterThan" allowBlank="1" showInputMessage="1" showErrorMessage="1" sqref="A2985">
      <formula1>0</formula1>
    </dataValidation>
    <dataValidation type="list" allowBlank="1" showInputMessage="1" showErrorMessage="1" sqref="C2985">
      <formula1>UnidadesList</formula1>
    </dataValidation>
    <dataValidation type="decimal" operator="greaterThan" allowBlank="1" showInputMessage="1" showErrorMessage="1" sqref="D2985">
      <formula1>0</formula1>
    </dataValidation>
    <dataValidation type="decimal" operator="greaterThan" allowBlank="1" showInputMessage="1" showErrorMessage="1" sqref="E2985">
      <formula1>0</formula1>
    </dataValidation>
    <dataValidation type="whole" operator="greaterThan" allowBlank="1" showInputMessage="1" showErrorMessage="1" sqref="A2986">
      <formula1>0</formula1>
    </dataValidation>
    <dataValidation type="list" allowBlank="1" showInputMessage="1" showErrorMessage="1" sqref="C2986">
      <formula1>UnidadesList</formula1>
    </dataValidation>
    <dataValidation type="decimal" operator="greaterThan" allowBlank="1" showInputMessage="1" showErrorMessage="1" sqref="D2986">
      <formula1>0</formula1>
    </dataValidation>
    <dataValidation type="decimal" operator="greaterThan" allowBlank="1" showInputMessage="1" showErrorMessage="1" sqref="E2986">
      <formula1>0</formula1>
    </dataValidation>
    <dataValidation type="whole" operator="greaterThan" allowBlank="1" showInputMessage="1" showErrorMessage="1" sqref="A2987">
      <formula1>0</formula1>
    </dataValidation>
    <dataValidation type="list" allowBlank="1" showInputMessage="1" showErrorMessage="1" sqref="C2987">
      <formula1>UnidadesList</formula1>
    </dataValidation>
    <dataValidation type="decimal" operator="greaterThan" allowBlank="1" showInputMessage="1" showErrorMessage="1" sqref="D2987">
      <formula1>0</formula1>
    </dataValidation>
    <dataValidation type="decimal" operator="greaterThan" allowBlank="1" showInputMessage="1" showErrorMessage="1" sqref="E2987">
      <formula1>0</formula1>
    </dataValidation>
    <dataValidation type="whole" operator="greaterThan" allowBlank="1" showInputMessage="1" showErrorMessage="1" sqref="A2988">
      <formula1>0</formula1>
    </dataValidation>
    <dataValidation type="list" allowBlank="1" showInputMessage="1" showErrorMessage="1" sqref="C2988">
      <formula1>UnidadesList</formula1>
    </dataValidation>
    <dataValidation type="decimal" operator="greaterThan" allowBlank="1" showInputMessage="1" showErrorMessage="1" sqref="D2988">
      <formula1>0</formula1>
    </dataValidation>
    <dataValidation type="decimal" operator="greaterThan" allowBlank="1" showInputMessage="1" showErrorMessage="1" sqref="E2988">
      <formula1>0</formula1>
    </dataValidation>
    <dataValidation type="whole" operator="greaterThan" allowBlank="1" showInputMessage="1" showErrorMessage="1" sqref="A2989">
      <formula1>0</formula1>
    </dataValidation>
    <dataValidation type="list" allowBlank="1" showInputMessage="1" showErrorMessage="1" sqref="C2989">
      <formula1>UnidadesList</formula1>
    </dataValidation>
    <dataValidation type="decimal" operator="greaterThan" allowBlank="1" showInputMessage="1" showErrorMessage="1" sqref="D2989">
      <formula1>0</formula1>
    </dataValidation>
    <dataValidation type="decimal" operator="greaterThan" allowBlank="1" showInputMessage="1" showErrorMessage="1" sqref="E2989">
      <formula1>0</formula1>
    </dataValidation>
    <dataValidation type="whole" operator="greaterThan" allowBlank="1" showInputMessage="1" showErrorMessage="1" sqref="A2990">
      <formula1>0</formula1>
    </dataValidation>
    <dataValidation type="list" allowBlank="1" showInputMessage="1" showErrorMessage="1" sqref="C2990">
      <formula1>UnidadesList</formula1>
    </dataValidation>
    <dataValidation type="decimal" operator="greaterThan" allowBlank="1" showInputMessage="1" showErrorMessage="1" sqref="D2990">
      <formula1>0</formula1>
    </dataValidation>
    <dataValidation type="decimal" operator="greaterThan" allowBlank="1" showInputMessage="1" showErrorMessage="1" sqref="E2990">
      <formula1>0</formula1>
    </dataValidation>
    <dataValidation type="whole" operator="greaterThan" allowBlank="1" showInputMessage="1" showErrorMessage="1" sqref="A2991">
      <formula1>0</formula1>
    </dataValidation>
    <dataValidation type="list" allowBlank="1" showInputMessage="1" showErrorMessage="1" sqref="C2991">
      <formula1>UnidadesList</formula1>
    </dataValidation>
    <dataValidation type="decimal" operator="greaterThan" allowBlank="1" showInputMessage="1" showErrorMessage="1" sqref="D2991">
      <formula1>0</formula1>
    </dataValidation>
    <dataValidation type="decimal" operator="greaterThan" allowBlank="1" showInputMessage="1" showErrorMessage="1" sqref="E2991">
      <formula1>0</formula1>
    </dataValidation>
    <dataValidation type="whole" operator="greaterThan" allowBlank="1" showInputMessage="1" showErrorMessage="1" sqref="A2992">
      <formula1>0</formula1>
    </dataValidation>
    <dataValidation type="list" allowBlank="1" showInputMessage="1" showErrorMessage="1" sqref="C2992">
      <formula1>UnidadesList</formula1>
    </dataValidation>
    <dataValidation type="decimal" operator="greaterThan" allowBlank="1" showInputMessage="1" showErrorMessage="1" sqref="D2992">
      <formula1>0</formula1>
    </dataValidation>
    <dataValidation type="decimal" operator="greaterThan" allowBlank="1" showInputMessage="1" showErrorMessage="1" sqref="E2992">
      <formula1>0</formula1>
    </dataValidation>
    <dataValidation type="whole" operator="greaterThan" allowBlank="1" showInputMessage="1" showErrorMessage="1" sqref="A2993">
      <formula1>0</formula1>
    </dataValidation>
    <dataValidation type="list" allowBlank="1" showInputMessage="1" showErrorMessage="1" sqref="C2993">
      <formula1>UnidadesList</formula1>
    </dataValidation>
    <dataValidation type="decimal" operator="greaterThan" allowBlank="1" showInputMessage="1" showErrorMessage="1" sqref="D2993">
      <formula1>0</formula1>
    </dataValidation>
    <dataValidation type="decimal" operator="greaterThan" allowBlank="1" showInputMessage="1" showErrorMessage="1" sqref="E2993">
      <formula1>0</formula1>
    </dataValidation>
    <dataValidation type="whole" operator="greaterThan" allowBlank="1" showInputMessage="1" showErrorMessage="1" sqref="A2994">
      <formula1>0</formula1>
    </dataValidation>
    <dataValidation type="list" allowBlank="1" showInputMessage="1" showErrorMessage="1" sqref="C2994">
      <formula1>UnidadesList</formula1>
    </dataValidation>
    <dataValidation type="decimal" operator="greaterThan" allowBlank="1" showInputMessage="1" showErrorMessage="1" sqref="D2994">
      <formula1>0</formula1>
    </dataValidation>
    <dataValidation type="decimal" operator="greaterThan" allowBlank="1" showInputMessage="1" showErrorMessage="1" sqref="E2994">
      <formula1>0</formula1>
    </dataValidation>
    <dataValidation type="whole" operator="greaterThan" allowBlank="1" showInputMessage="1" showErrorMessage="1" sqref="A2995">
      <formula1>0</formula1>
    </dataValidation>
    <dataValidation type="list" allowBlank="1" showInputMessage="1" showErrorMessage="1" sqref="C2995">
      <formula1>UnidadesList</formula1>
    </dataValidation>
    <dataValidation type="decimal" operator="greaterThan" allowBlank="1" showInputMessage="1" showErrorMessage="1" sqref="D2995">
      <formula1>0</formula1>
    </dataValidation>
    <dataValidation type="decimal" operator="greaterThan" allowBlank="1" showInputMessage="1" showErrorMessage="1" sqref="E2995">
      <formula1>0</formula1>
    </dataValidation>
    <dataValidation type="whole" operator="greaterThan" allowBlank="1" showInputMessage="1" showErrorMessage="1" sqref="A2996">
      <formula1>0</formula1>
    </dataValidation>
    <dataValidation type="list" allowBlank="1" showInputMessage="1" showErrorMessage="1" sqref="C2996">
      <formula1>UnidadesList</formula1>
    </dataValidation>
    <dataValidation type="decimal" operator="greaterThan" allowBlank="1" showInputMessage="1" showErrorMessage="1" sqref="D2996">
      <formula1>0</formula1>
    </dataValidation>
    <dataValidation type="decimal" operator="greaterThan" allowBlank="1" showInputMessage="1" showErrorMessage="1" sqref="E2996">
      <formula1>0</formula1>
    </dataValidation>
    <dataValidation type="whole" operator="greaterThan" allowBlank="1" showInputMessage="1" showErrorMessage="1" sqref="A2997">
      <formula1>0</formula1>
    </dataValidation>
    <dataValidation type="list" allowBlank="1" showInputMessage="1" showErrorMessage="1" sqref="C2997">
      <formula1>UnidadesList</formula1>
    </dataValidation>
    <dataValidation type="decimal" operator="greaterThan" allowBlank="1" showInputMessage="1" showErrorMessage="1" sqref="D2997">
      <formula1>0</formula1>
    </dataValidation>
    <dataValidation type="decimal" operator="greaterThan" allowBlank="1" showInputMessage="1" showErrorMessage="1" sqref="E2997">
      <formula1>0</formula1>
    </dataValidation>
    <dataValidation type="whole" operator="greaterThan" allowBlank="1" showInputMessage="1" showErrorMessage="1" sqref="A2998">
      <formula1>0</formula1>
    </dataValidation>
    <dataValidation type="list" allowBlank="1" showInputMessage="1" showErrorMessage="1" sqref="C2998">
      <formula1>UnidadesList</formula1>
    </dataValidation>
    <dataValidation type="decimal" operator="greaterThan" allowBlank="1" showInputMessage="1" showErrorMessage="1" sqref="D2998">
      <formula1>0</formula1>
    </dataValidation>
    <dataValidation type="decimal" operator="greaterThan" allowBlank="1" showInputMessage="1" showErrorMessage="1" sqref="E2998">
      <formula1>0</formula1>
    </dataValidation>
    <dataValidation type="whole" operator="greaterThan" allowBlank="1" showInputMessage="1" showErrorMessage="1" sqref="A2999">
      <formula1>0</formula1>
    </dataValidation>
    <dataValidation type="list" allowBlank="1" showInputMessage="1" showErrorMessage="1" sqref="C2999">
      <formula1>UnidadesList</formula1>
    </dataValidation>
    <dataValidation type="decimal" operator="greaterThan" allowBlank="1" showInputMessage="1" showErrorMessage="1" sqref="D2999">
      <formula1>0</formula1>
    </dataValidation>
    <dataValidation type="decimal" operator="greaterThan" allowBlank="1" showInputMessage="1" showErrorMessage="1" sqref="E2999">
      <formula1>0</formula1>
    </dataValidation>
    <dataValidation type="whole" operator="greaterThan" allowBlank="1" showInputMessage="1" showErrorMessage="1" sqref="A3000">
      <formula1>0</formula1>
    </dataValidation>
    <dataValidation type="list" allowBlank="1" showInputMessage="1" showErrorMessage="1" sqref="C3000">
      <formula1>UnidadesList</formula1>
    </dataValidation>
    <dataValidation type="decimal" operator="greaterThan" allowBlank="1" showInputMessage="1" showErrorMessage="1" sqref="D3000">
      <formula1>0</formula1>
    </dataValidation>
    <dataValidation type="decimal" operator="greaterThan" allowBlank="1" showInputMessage="1" showErrorMessage="1" sqref="E3000">
      <formula1>0</formula1>
    </dataValidation>
    <dataValidation type="whole" operator="greaterThan" allowBlank="1" showInputMessage="1" showErrorMessage="1" sqref="A3001">
      <formula1>0</formula1>
    </dataValidation>
    <dataValidation type="list" allowBlank="1" showInputMessage="1" showErrorMessage="1" sqref="C3001">
      <formula1>UnidadesList</formula1>
    </dataValidation>
    <dataValidation type="decimal" operator="greaterThan" allowBlank="1" showInputMessage="1" showErrorMessage="1" sqref="D3001">
      <formula1>0</formula1>
    </dataValidation>
    <dataValidation type="decimal" operator="greaterThan" allowBlank="1" showInputMessage="1" showErrorMessage="1" sqref="E3001">
      <formula1>0</formula1>
    </dataValidation>
    <dataValidation type="whole" operator="greaterThan" allowBlank="1" showInputMessage="1" showErrorMessage="1" sqref="A3002">
      <formula1>0</formula1>
    </dataValidation>
    <dataValidation type="list" allowBlank="1" showInputMessage="1" showErrorMessage="1" sqref="C3002">
      <formula1>UnidadesList</formula1>
    </dataValidation>
    <dataValidation type="decimal" operator="greaterThan" allowBlank="1" showInputMessage="1" showErrorMessage="1" sqref="D3002">
      <formula1>0</formula1>
    </dataValidation>
    <dataValidation type="decimal" operator="greaterThan" allowBlank="1" showInputMessage="1" showErrorMessage="1" sqref="E3002">
      <formula1>0</formula1>
    </dataValidation>
    <dataValidation type="whole" operator="greaterThan" allowBlank="1" showInputMessage="1" showErrorMessage="1" sqref="A3003">
      <formula1>0</formula1>
    </dataValidation>
    <dataValidation type="list" allowBlank="1" showInputMessage="1" showErrorMessage="1" sqref="C3003">
      <formula1>UnidadesList</formula1>
    </dataValidation>
    <dataValidation type="decimal" operator="greaterThan" allowBlank="1" showInputMessage="1" showErrorMessage="1" sqref="D3003">
      <formula1>0</formula1>
    </dataValidation>
    <dataValidation type="decimal" operator="greaterThan" allowBlank="1" showInputMessage="1" showErrorMessage="1" sqref="E3003">
      <formula1>0</formula1>
    </dataValidation>
    <dataValidation type="whole" operator="greaterThan" allowBlank="1" showInputMessage="1" showErrorMessage="1" sqref="A3004">
      <formula1>0</formula1>
    </dataValidation>
    <dataValidation type="list" allowBlank="1" showInputMessage="1" showErrorMessage="1" sqref="C3004">
      <formula1>UnidadesList</formula1>
    </dataValidation>
    <dataValidation type="decimal" operator="greaterThan" allowBlank="1" showInputMessage="1" showErrorMessage="1" sqref="D3004">
      <formula1>0</formula1>
    </dataValidation>
    <dataValidation type="decimal" operator="greaterThan" allowBlank="1" showInputMessage="1" showErrorMessage="1" sqref="E3004">
      <formula1>0</formula1>
    </dataValidation>
    <dataValidation type="whole" operator="greaterThan" allowBlank="1" showInputMessage="1" showErrorMessage="1" sqref="A3005">
      <formula1>0</formula1>
    </dataValidation>
    <dataValidation type="list" allowBlank="1" showInputMessage="1" showErrorMessage="1" sqref="C3005">
      <formula1>UnidadesList</formula1>
    </dataValidation>
    <dataValidation type="decimal" operator="greaterThan" allowBlank="1" showInputMessage="1" showErrorMessage="1" sqref="D3005">
      <formula1>0</formula1>
    </dataValidation>
    <dataValidation type="decimal" operator="greaterThan" allowBlank="1" showInputMessage="1" showErrorMessage="1" sqref="E3005">
      <formula1>0</formula1>
    </dataValidation>
    <dataValidation type="whole" operator="greaterThan" allowBlank="1" showInputMessage="1" showErrorMessage="1" sqref="A3006">
      <formula1>0</formula1>
    </dataValidation>
    <dataValidation type="list" allowBlank="1" showInputMessage="1" showErrorMessage="1" sqref="C3006">
      <formula1>UnidadesList</formula1>
    </dataValidation>
    <dataValidation type="decimal" operator="greaterThan" allowBlank="1" showInputMessage="1" showErrorMessage="1" sqref="D3006">
      <formula1>0</formula1>
    </dataValidation>
    <dataValidation type="decimal" operator="greaterThan" allowBlank="1" showInputMessage="1" showErrorMessage="1" sqref="E3006">
      <formula1>0</formula1>
    </dataValidation>
    <dataValidation type="whole" operator="greaterThan" allowBlank="1" showInputMessage="1" showErrorMessage="1" sqref="A3007">
      <formula1>0</formula1>
    </dataValidation>
    <dataValidation type="list" allowBlank="1" showInputMessage="1" showErrorMessage="1" sqref="C3007">
      <formula1>UnidadesList</formula1>
    </dataValidation>
    <dataValidation type="decimal" operator="greaterThan" allowBlank="1" showInputMessage="1" showErrorMessage="1" sqref="D3007">
      <formula1>0</formula1>
    </dataValidation>
    <dataValidation type="decimal" operator="greaterThan" allowBlank="1" showInputMessage="1" showErrorMessage="1" sqref="E3007">
      <formula1>0</formula1>
    </dataValidation>
    <dataValidation type="whole" operator="greaterThan" allowBlank="1" showInputMessage="1" showErrorMessage="1" sqref="A3008">
      <formula1>0</formula1>
    </dataValidation>
    <dataValidation type="list" allowBlank="1" showInputMessage="1" showErrorMessage="1" sqref="C3008">
      <formula1>UnidadesList</formula1>
    </dataValidation>
    <dataValidation type="decimal" operator="greaterThan" allowBlank="1" showInputMessage="1" showErrorMessage="1" sqref="D3008">
      <formula1>0</formula1>
    </dataValidation>
    <dataValidation type="decimal" operator="greaterThan" allowBlank="1" showInputMessage="1" showErrorMessage="1" sqref="E3008">
      <formula1>0</formula1>
    </dataValidation>
    <dataValidation type="whole" operator="greaterThan" allowBlank="1" showInputMessage="1" showErrorMessage="1" sqref="A3009">
      <formula1>0</formula1>
    </dataValidation>
    <dataValidation type="list" allowBlank="1" showInputMessage="1" showErrorMessage="1" sqref="C3009">
      <formula1>UnidadesList</formula1>
    </dataValidation>
    <dataValidation type="decimal" operator="greaterThan" allowBlank="1" showInputMessage="1" showErrorMessage="1" sqref="D3009">
      <formula1>0</formula1>
    </dataValidation>
    <dataValidation type="decimal" operator="greaterThan" allowBlank="1" showInputMessage="1" showErrorMessage="1" sqref="E3009">
      <formula1>0</formula1>
    </dataValidation>
    <dataValidation type="whole" operator="greaterThan" allowBlank="1" showInputMessage="1" showErrorMessage="1" sqref="A3010">
      <formula1>0</formula1>
    </dataValidation>
    <dataValidation type="list" allowBlank="1" showInputMessage="1" showErrorMessage="1" sqref="C3010">
      <formula1>UnidadesList</formula1>
    </dataValidation>
    <dataValidation type="decimal" operator="greaterThan" allowBlank="1" showInputMessage="1" showErrorMessage="1" sqref="D3010">
      <formula1>0</formula1>
    </dataValidation>
    <dataValidation type="decimal" operator="greaterThan" allowBlank="1" showInputMessage="1" showErrorMessage="1" sqref="E3010">
      <formula1>0</formula1>
    </dataValidation>
    <dataValidation type="whole" operator="greaterThan" allowBlank="1" showInputMessage="1" showErrorMessage="1" sqref="A3011">
      <formula1>0</formula1>
    </dataValidation>
    <dataValidation type="list" allowBlank="1" showInputMessage="1" showErrorMessage="1" sqref="C3011">
      <formula1>UnidadesList</formula1>
    </dataValidation>
    <dataValidation type="decimal" operator="greaterThan" allowBlank="1" showInputMessage="1" showErrorMessage="1" sqref="D3011">
      <formula1>0</formula1>
    </dataValidation>
    <dataValidation type="decimal" operator="greaterThan" allowBlank="1" showInputMessage="1" showErrorMessage="1" sqref="E3011">
      <formula1>0</formula1>
    </dataValidation>
    <dataValidation type="whole" operator="greaterThan" allowBlank="1" showInputMessage="1" showErrorMessage="1" sqref="A3012">
      <formula1>0</formula1>
    </dataValidation>
    <dataValidation type="list" allowBlank="1" showInputMessage="1" showErrorMessage="1" sqref="C3012">
      <formula1>UnidadesList</formula1>
    </dataValidation>
    <dataValidation type="decimal" operator="greaterThan" allowBlank="1" showInputMessage="1" showErrorMessage="1" sqref="D3012">
      <formula1>0</formula1>
    </dataValidation>
    <dataValidation type="decimal" operator="greaterThan" allowBlank="1" showInputMessage="1" showErrorMessage="1" sqref="E3012">
      <formula1>0</formula1>
    </dataValidation>
    <dataValidation type="whole" operator="greaterThan" allowBlank="1" showInputMessage="1" showErrorMessage="1" sqref="A3013">
      <formula1>0</formula1>
    </dataValidation>
    <dataValidation type="list" allowBlank="1" showInputMessage="1" showErrorMessage="1" sqref="C3013">
      <formula1>UnidadesList</formula1>
    </dataValidation>
    <dataValidation type="decimal" operator="greaterThan" allowBlank="1" showInputMessage="1" showErrorMessage="1" sqref="D3013">
      <formula1>0</formula1>
    </dataValidation>
    <dataValidation type="decimal" operator="greaterThan" allowBlank="1" showInputMessage="1" showErrorMessage="1" sqref="E3013">
      <formula1>0</formula1>
    </dataValidation>
    <dataValidation type="date" operator="lessThanOrEqual" allowBlank="1" showInputMessage="1" showErrorMessage="1" sqref="C3018">
      <formula1>C3020</formula1>
    </dataValidation>
    <dataValidation type="date" operator="greaterThanOrEqual" allowBlank="1" showInputMessage="1" showErrorMessage="1" sqref="C3020">
      <formula1>C3018</formula1>
    </dataValidation>
    <dataValidation type="list" allowBlank="1" showInputMessage="1" showErrorMessage="1" sqref="F301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01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02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02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024">
      <formula1>0</formula1>
    </dataValidation>
    <dataValidation type="list" allowBlank="1" showInputMessage="1" showErrorMessage="1" sqref="C3024">
      <formula1>UnidadesList</formula1>
    </dataValidation>
    <dataValidation type="decimal" operator="greaterThan" allowBlank="1" showInputMessage="1" showErrorMessage="1" sqref="D3024">
      <formula1>0</formula1>
    </dataValidation>
    <dataValidation type="decimal" operator="greaterThan" allowBlank="1" showInputMessage="1" showErrorMessage="1" sqref="E3024">
      <formula1>0</formula1>
    </dataValidation>
    <dataValidation type="whole" operator="greaterThan" allowBlank="1" showInputMessage="1" showErrorMessage="1" sqref="A3025">
      <formula1>0</formula1>
    </dataValidation>
    <dataValidation type="list" allowBlank="1" showInputMessage="1" showErrorMessage="1" sqref="C3025">
      <formula1>UnidadesList</formula1>
    </dataValidation>
    <dataValidation type="decimal" operator="greaterThan" allowBlank="1" showInputMessage="1" showErrorMessage="1" sqref="D3025">
      <formula1>0</formula1>
    </dataValidation>
    <dataValidation type="decimal" operator="greaterThan" allowBlank="1" showInputMessage="1" showErrorMessage="1" sqref="E3025">
      <formula1>0</formula1>
    </dataValidation>
    <dataValidation type="whole" operator="greaterThan" allowBlank="1" showInputMessage="1" showErrorMessage="1" sqref="A3026">
      <formula1>0</formula1>
    </dataValidation>
    <dataValidation type="list" allowBlank="1" showInputMessage="1" showErrorMessage="1" sqref="C3026">
      <formula1>UnidadesList</formula1>
    </dataValidation>
    <dataValidation type="decimal" operator="greaterThan" allowBlank="1" showInputMessage="1" showErrorMessage="1" sqref="D3026">
      <formula1>0</formula1>
    </dataValidation>
    <dataValidation type="decimal" operator="greaterThan" allowBlank="1" showInputMessage="1" showErrorMessage="1" sqref="E3026">
      <formula1>0</formula1>
    </dataValidation>
    <dataValidation type="whole" operator="greaterThan" allowBlank="1" showInputMessage="1" showErrorMessage="1" sqref="A3027">
      <formula1>0</formula1>
    </dataValidation>
    <dataValidation type="list" allowBlank="1" showInputMessage="1" showErrorMessage="1" sqref="C3027">
      <formula1>UnidadesList</formula1>
    </dataValidation>
    <dataValidation type="decimal" operator="greaterThan" allowBlank="1" showInputMessage="1" showErrorMessage="1" sqref="D3027">
      <formula1>0</formula1>
    </dataValidation>
    <dataValidation type="decimal" operator="greaterThan" allowBlank="1" showInputMessage="1" showErrorMessage="1" sqref="E3027">
      <formula1>0</formula1>
    </dataValidation>
    <dataValidation type="whole" operator="greaterThan" allowBlank="1" showInputMessage="1" showErrorMessage="1" sqref="A3028">
      <formula1>0</formula1>
    </dataValidation>
    <dataValidation type="list" allowBlank="1" showInputMessage="1" showErrorMessage="1" sqref="C3028">
      <formula1>UnidadesList</formula1>
    </dataValidation>
    <dataValidation type="decimal" operator="greaterThan" allowBlank="1" showInputMessage="1" showErrorMessage="1" sqref="D3028">
      <formula1>0</formula1>
    </dataValidation>
    <dataValidation type="decimal" operator="greaterThan" allowBlank="1" showInputMessage="1" showErrorMessage="1" sqref="E3028">
      <formula1>0</formula1>
    </dataValidation>
    <dataValidation type="whole" operator="greaterThan" allowBlank="1" showInputMessage="1" showErrorMessage="1" sqref="A3029">
      <formula1>0</formula1>
    </dataValidation>
    <dataValidation type="list" allowBlank="1" showInputMessage="1" showErrorMessage="1" sqref="C3029">
      <formula1>UnidadesList</formula1>
    </dataValidation>
    <dataValidation type="decimal" operator="greaterThan" allowBlank="1" showInputMessage="1" showErrorMessage="1" sqref="D3029">
      <formula1>0</formula1>
    </dataValidation>
    <dataValidation type="decimal" operator="greaterThan" allowBlank="1" showInputMessage="1" showErrorMessage="1" sqref="E3029">
      <formula1>0</formula1>
    </dataValidation>
    <dataValidation type="whole" operator="greaterThan" allowBlank="1" showInputMessage="1" showErrorMessage="1" sqref="A3030">
      <formula1>0</formula1>
    </dataValidation>
    <dataValidation type="list" allowBlank="1" showInputMessage="1" showErrorMessage="1" sqref="C3030">
      <formula1>UnidadesList</formula1>
    </dataValidation>
    <dataValidation type="decimal" operator="greaterThan" allowBlank="1" showInputMessage="1" showErrorMessage="1" sqref="D3030">
      <formula1>0</formula1>
    </dataValidation>
    <dataValidation type="decimal" operator="greaterThan" allowBlank="1" showInputMessage="1" showErrorMessage="1" sqref="E3030">
      <formula1>0</formula1>
    </dataValidation>
    <dataValidation type="whole" operator="greaterThan" allowBlank="1" showInputMessage="1" showErrorMessage="1" sqref="A3031">
      <formula1>0</formula1>
    </dataValidation>
    <dataValidation type="list" allowBlank="1" showInputMessage="1" showErrorMessage="1" sqref="C3031">
      <formula1>UnidadesList</formula1>
    </dataValidation>
    <dataValidation type="decimal" operator="greaterThan" allowBlank="1" showInputMessage="1" showErrorMessage="1" sqref="D3031">
      <formula1>0</formula1>
    </dataValidation>
    <dataValidation type="decimal" operator="greaterThan" allowBlank="1" showInputMessage="1" showErrorMessage="1" sqref="E3031">
      <formula1>0</formula1>
    </dataValidation>
    <dataValidation type="whole" operator="greaterThan" allowBlank="1" showInputMessage="1" showErrorMessage="1" sqref="A3032">
      <formula1>0</formula1>
    </dataValidation>
    <dataValidation type="list" allowBlank="1" showInputMessage="1" showErrorMessage="1" sqref="C3032">
      <formula1>UnidadesList</formula1>
    </dataValidation>
    <dataValidation type="decimal" operator="greaterThan" allowBlank="1" showInputMessage="1" showErrorMessage="1" sqref="D3032">
      <formula1>0</formula1>
    </dataValidation>
    <dataValidation type="decimal" operator="greaterThan" allowBlank="1" showInputMessage="1" showErrorMessage="1" sqref="E3032">
      <formula1>0</formula1>
    </dataValidation>
    <dataValidation type="whole" operator="greaterThan" allowBlank="1" showInputMessage="1" showErrorMessage="1" sqref="A3033">
      <formula1>0</formula1>
    </dataValidation>
    <dataValidation type="list" allowBlank="1" showInputMessage="1" showErrorMessage="1" sqref="C3033">
      <formula1>UnidadesList</formula1>
    </dataValidation>
    <dataValidation type="decimal" operator="greaterThan" allowBlank="1" showInputMessage="1" showErrorMessage="1" sqref="D3033">
      <formula1>0</formula1>
    </dataValidation>
    <dataValidation type="decimal" operator="greaterThan" allowBlank="1" showInputMessage="1" showErrorMessage="1" sqref="E3033">
      <formula1>0</formula1>
    </dataValidation>
    <dataValidation type="whole" operator="greaterThan" allowBlank="1" showInputMessage="1" showErrorMessage="1" sqref="A3034">
      <formula1>0</formula1>
    </dataValidation>
    <dataValidation type="list" allowBlank="1" showInputMessage="1" showErrorMessage="1" sqref="C3034">
      <formula1>UnidadesList</formula1>
    </dataValidation>
    <dataValidation type="decimal" operator="greaterThan" allowBlank="1" showInputMessage="1" showErrorMessage="1" sqref="D3034">
      <formula1>0</formula1>
    </dataValidation>
    <dataValidation type="decimal" operator="greaterThan" allowBlank="1" showInputMessage="1" showErrorMessage="1" sqref="E3034">
      <formula1>0</formula1>
    </dataValidation>
    <dataValidation type="whole" operator="greaterThan" allowBlank="1" showInputMessage="1" showErrorMessage="1" sqref="A3035">
      <formula1>0</formula1>
    </dataValidation>
    <dataValidation type="list" allowBlank="1" showInputMessage="1" showErrorMessage="1" sqref="C3035">
      <formula1>UnidadesList</formula1>
    </dataValidation>
    <dataValidation type="decimal" operator="greaterThan" allowBlank="1" showInputMessage="1" showErrorMessage="1" sqref="D3035">
      <formula1>0</formula1>
    </dataValidation>
    <dataValidation type="decimal" operator="greaterThan" allowBlank="1" showInputMessage="1" showErrorMessage="1" sqref="E3035">
      <formula1>0</formula1>
    </dataValidation>
    <dataValidation type="whole" operator="greaterThan" allowBlank="1" showInputMessage="1" showErrorMessage="1" sqref="A3036">
      <formula1>0</formula1>
    </dataValidation>
    <dataValidation type="list" allowBlank="1" showInputMessage="1" showErrorMessage="1" sqref="C3036">
      <formula1>UnidadesList</formula1>
    </dataValidation>
    <dataValidation type="decimal" operator="greaterThan" allowBlank="1" showInputMessage="1" showErrorMessage="1" sqref="D3036">
      <formula1>0</formula1>
    </dataValidation>
    <dataValidation type="decimal" operator="greaterThan" allowBlank="1" showInputMessage="1" showErrorMessage="1" sqref="E3036">
      <formula1>0</formula1>
    </dataValidation>
    <dataValidation type="whole" operator="greaterThan" allowBlank="1" showInputMessage="1" showErrorMessage="1" sqref="A3037">
      <formula1>0</formula1>
    </dataValidation>
    <dataValidation type="list" allowBlank="1" showInputMessage="1" showErrorMessage="1" sqref="C3037">
      <formula1>UnidadesList</formula1>
    </dataValidation>
    <dataValidation type="decimal" operator="greaterThan" allowBlank="1" showInputMessage="1" showErrorMessage="1" sqref="D3037">
      <formula1>0</formula1>
    </dataValidation>
    <dataValidation type="decimal" operator="greaterThan" allowBlank="1" showInputMessage="1" showErrorMessage="1" sqref="E3037">
      <formula1>0</formula1>
    </dataValidation>
    <dataValidation type="date" operator="lessThanOrEqual" allowBlank="1" showInputMessage="1" showErrorMessage="1" sqref="C3042">
      <formula1>C3044</formula1>
    </dataValidation>
    <dataValidation type="date" operator="greaterThanOrEqual" allowBlank="1" showInputMessage="1" showErrorMessage="1" sqref="C3044">
      <formula1>C3042</formula1>
    </dataValidation>
    <dataValidation type="list" allowBlank="1" showInputMessage="1" showErrorMessage="1" sqref="F30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0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0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0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048">
      <formula1>0</formula1>
    </dataValidation>
    <dataValidation type="list" allowBlank="1" showInputMessage="1" showErrorMessage="1" sqref="C3048">
      <formula1>UnidadesList</formula1>
    </dataValidation>
    <dataValidation type="decimal" operator="greaterThan" allowBlank="1" showInputMessage="1" showErrorMessage="1" sqref="D3048">
      <formula1>0</formula1>
    </dataValidation>
    <dataValidation type="decimal" operator="greaterThan" allowBlank="1" showInputMessage="1" showErrorMessage="1" sqref="E3048">
      <formula1>0</formula1>
    </dataValidation>
    <dataValidation type="whole" operator="greaterThan" allowBlank="1" showInputMessage="1" showErrorMessage="1" sqref="A3049">
      <formula1>0</formula1>
    </dataValidation>
    <dataValidation type="list" allowBlank="1" showInputMessage="1" showErrorMessage="1" sqref="C3049">
      <formula1>UnidadesList</formula1>
    </dataValidation>
    <dataValidation type="decimal" operator="greaterThan" allowBlank="1" showInputMessage="1" showErrorMessage="1" sqref="D3049">
      <formula1>0</formula1>
    </dataValidation>
    <dataValidation type="decimal" operator="greaterThan" allowBlank="1" showInputMessage="1" showErrorMessage="1" sqref="E3049">
      <formula1>0</formula1>
    </dataValidation>
    <dataValidation type="whole" operator="greaterThan" allowBlank="1" showInputMessage="1" showErrorMessage="1" sqref="A3050">
      <formula1>0</formula1>
    </dataValidation>
    <dataValidation type="list" allowBlank="1" showInputMessage="1" showErrorMessage="1" sqref="C3050">
      <formula1>UnidadesList</formula1>
    </dataValidation>
    <dataValidation type="decimal" operator="greaterThan" allowBlank="1" showInputMessage="1" showErrorMessage="1" sqref="D3050">
      <formula1>0</formula1>
    </dataValidation>
    <dataValidation type="decimal" operator="greaterThan" allowBlank="1" showInputMessage="1" showErrorMessage="1" sqref="E3050">
      <formula1>0</formula1>
    </dataValidation>
    <dataValidation type="whole" operator="greaterThan" allowBlank="1" showInputMessage="1" showErrorMessage="1" sqref="A3051">
      <formula1>0</formula1>
    </dataValidation>
    <dataValidation type="list" allowBlank="1" showInputMessage="1" showErrorMessage="1" sqref="C3051">
      <formula1>UnidadesList</formula1>
    </dataValidation>
    <dataValidation type="decimal" operator="greaterThan" allowBlank="1" showInputMessage="1" showErrorMessage="1" sqref="D3051">
      <formula1>0</formula1>
    </dataValidation>
    <dataValidation type="decimal" operator="greaterThan" allowBlank="1" showInputMessage="1" showErrorMessage="1" sqref="E3051">
      <formula1>0</formula1>
    </dataValidation>
    <dataValidation type="whole" operator="greaterThan" allowBlank="1" showInputMessage="1" showErrorMessage="1" sqref="A3052">
      <formula1>0</formula1>
    </dataValidation>
    <dataValidation type="list" allowBlank="1" showInputMessage="1" showErrorMessage="1" sqref="C3052">
      <formula1>UnidadesList</formula1>
    </dataValidation>
    <dataValidation type="decimal" operator="greaterThan" allowBlank="1" showInputMessage="1" showErrorMessage="1" sqref="D3052">
      <formula1>0</formula1>
    </dataValidation>
    <dataValidation type="decimal" operator="greaterThan" allowBlank="1" showInputMessage="1" showErrorMessage="1" sqref="E3052">
      <formula1>0</formula1>
    </dataValidation>
    <dataValidation type="whole" operator="greaterThan" allowBlank="1" showInputMessage="1" showErrorMessage="1" sqref="A3053">
      <formula1>0</formula1>
    </dataValidation>
    <dataValidation type="list" allowBlank="1" showInputMessage="1" showErrorMessage="1" sqref="C3053">
      <formula1>UnidadesList</formula1>
    </dataValidation>
    <dataValidation type="decimal" operator="greaterThan" allowBlank="1" showInputMessage="1" showErrorMessage="1" sqref="D3053">
      <formula1>0</formula1>
    </dataValidation>
    <dataValidation type="decimal" operator="greaterThan" allowBlank="1" showInputMessage="1" showErrorMessage="1" sqref="E3053">
      <formula1>0</formula1>
    </dataValidation>
    <dataValidation type="whole" operator="greaterThan" allowBlank="1" showInputMessage="1" showErrorMessage="1" sqref="A3054">
      <formula1>0</formula1>
    </dataValidation>
    <dataValidation type="list" allowBlank="1" showInputMessage="1" showErrorMessage="1" sqref="C3054">
      <formula1>UnidadesList</formula1>
    </dataValidation>
    <dataValidation type="decimal" operator="greaterThan" allowBlank="1" showInputMessage="1" showErrorMessage="1" sqref="D3054">
      <formula1>0</formula1>
    </dataValidation>
    <dataValidation type="decimal" operator="greaterThan" allowBlank="1" showInputMessage="1" showErrorMessage="1" sqref="E3054">
      <formula1>0</formula1>
    </dataValidation>
    <dataValidation type="whole" operator="greaterThan" allowBlank="1" showInputMessage="1" showErrorMessage="1" sqref="A3055">
      <formula1>0</formula1>
    </dataValidation>
    <dataValidation type="list" allowBlank="1" showInputMessage="1" showErrorMessage="1" sqref="C3055">
      <formula1>UnidadesList</formula1>
    </dataValidation>
    <dataValidation type="decimal" operator="greaterThan" allowBlank="1" showInputMessage="1" showErrorMessage="1" sqref="D3055">
      <formula1>0</formula1>
    </dataValidation>
    <dataValidation type="decimal" operator="greaterThan" allowBlank="1" showInputMessage="1" showErrorMessage="1" sqref="E3055">
      <formula1>0</formula1>
    </dataValidation>
    <dataValidation type="whole" operator="greaterThan" allowBlank="1" showInputMessage="1" showErrorMessage="1" sqref="A3056">
      <formula1>0</formula1>
    </dataValidation>
    <dataValidation type="list" allowBlank="1" showInputMessage="1" showErrorMessage="1" sqref="C3056">
      <formula1>UnidadesList</formula1>
    </dataValidation>
    <dataValidation type="decimal" operator="greaterThan" allowBlank="1" showInputMessage="1" showErrorMessage="1" sqref="D3056">
      <formula1>0</formula1>
    </dataValidation>
    <dataValidation type="decimal" operator="greaterThan" allowBlank="1" showInputMessage="1" showErrorMessage="1" sqref="E3056">
      <formula1>0</formula1>
    </dataValidation>
    <dataValidation type="whole" operator="greaterThan" allowBlank="1" showInputMessage="1" showErrorMessage="1" sqref="A3057">
      <formula1>0</formula1>
    </dataValidation>
    <dataValidation type="list" allowBlank="1" showInputMessage="1" showErrorMessage="1" sqref="C3057">
      <formula1>UnidadesList</formula1>
    </dataValidation>
    <dataValidation type="decimal" operator="greaterThan" allowBlank="1" showInputMessage="1" showErrorMessage="1" sqref="D3057">
      <formula1>0</formula1>
    </dataValidation>
    <dataValidation type="decimal" operator="greaterThan" allowBlank="1" showInputMessage="1" showErrorMessage="1" sqref="E3057">
      <formula1>0</formula1>
    </dataValidation>
    <dataValidation type="whole" operator="greaterThan" allowBlank="1" showInputMessage="1" showErrorMessage="1" sqref="A3058">
      <formula1>0</formula1>
    </dataValidation>
    <dataValidation type="list" allowBlank="1" showInputMessage="1" showErrorMessage="1" sqref="C3058">
      <formula1>UnidadesList</formula1>
    </dataValidation>
    <dataValidation type="decimal" operator="greaterThan" allowBlank="1" showInputMessage="1" showErrorMessage="1" sqref="D3058">
      <formula1>0</formula1>
    </dataValidation>
    <dataValidation type="decimal" operator="greaterThan" allowBlank="1" showInputMessage="1" showErrorMessage="1" sqref="E3058">
      <formula1>0</formula1>
    </dataValidation>
    <dataValidation type="whole" operator="greaterThan" allowBlank="1" showInputMessage="1" showErrorMessage="1" sqref="A3059">
      <formula1>0</formula1>
    </dataValidation>
    <dataValidation type="list" allowBlank="1" showInputMessage="1" showErrorMessage="1" sqref="C3059">
      <formula1>UnidadesList</formula1>
    </dataValidation>
    <dataValidation type="decimal" operator="greaterThan" allowBlank="1" showInputMessage="1" showErrorMessage="1" sqref="D3059">
      <formula1>0</formula1>
    </dataValidation>
    <dataValidation type="decimal" operator="greaterThan" allowBlank="1" showInputMessage="1" showErrorMessage="1" sqref="E3059">
      <formula1>0</formula1>
    </dataValidation>
    <dataValidation type="whole" operator="greaterThan" allowBlank="1" showInputMessage="1" showErrorMessage="1" sqref="A3060">
      <formula1>0</formula1>
    </dataValidation>
    <dataValidation type="list" allowBlank="1" showInputMessage="1" showErrorMessage="1" sqref="C3060">
      <formula1>UnidadesList</formula1>
    </dataValidation>
    <dataValidation type="decimal" operator="greaterThan" allowBlank="1" showInputMessage="1" showErrorMessage="1" sqref="D3060">
      <formula1>0</formula1>
    </dataValidation>
    <dataValidation type="decimal" operator="greaterThan" allowBlank="1" showInputMessage="1" showErrorMessage="1" sqref="E3060">
      <formula1>0</formula1>
    </dataValidation>
    <dataValidation type="whole" operator="greaterThan" allowBlank="1" showInputMessage="1" showErrorMessage="1" sqref="A3061">
      <formula1>0</formula1>
    </dataValidation>
    <dataValidation type="list" allowBlank="1" showInputMessage="1" showErrorMessage="1" sqref="C3061">
      <formula1>UnidadesList</formula1>
    </dataValidation>
    <dataValidation type="decimal" operator="greaterThan" allowBlank="1" showInputMessage="1" showErrorMessage="1" sqref="D3061">
      <formula1>0</formula1>
    </dataValidation>
    <dataValidation type="decimal" operator="greaterThan" allowBlank="1" showInputMessage="1" showErrorMessage="1" sqref="E3061">
      <formula1>0</formula1>
    </dataValidation>
    <dataValidation type="whole" operator="greaterThan" allowBlank="1" showInputMessage="1" showErrorMessage="1" sqref="A3062">
      <formula1>0</formula1>
    </dataValidation>
    <dataValidation type="list" allowBlank="1" showInputMessage="1" showErrorMessage="1" sqref="C3062">
      <formula1>UnidadesList</formula1>
    </dataValidation>
    <dataValidation type="decimal" operator="greaterThan" allowBlank="1" showInputMessage="1" showErrorMessage="1" sqref="D3062">
      <formula1>0</formula1>
    </dataValidation>
    <dataValidation type="decimal" operator="greaterThan" allowBlank="1" showInputMessage="1" showErrorMessage="1" sqref="E3062">
      <formula1>0</formula1>
    </dataValidation>
    <dataValidation type="whole" operator="greaterThan" allowBlank="1" showInputMessage="1" showErrorMessage="1" sqref="A3063">
      <formula1>0</formula1>
    </dataValidation>
    <dataValidation type="list" allowBlank="1" showInputMessage="1" showErrorMessage="1" sqref="C3063">
      <formula1>UnidadesList</formula1>
    </dataValidation>
    <dataValidation type="decimal" operator="greaterThan" allowBlank="1" showInputMessage="1" showErrorMessage="1" sqref="D3063">
      <formula1>0</formula1>
    </dataValidation>
    <dataValidation type="decimal" operator="greaterThan" allowBlank="1" showInputMessage="1" showErrorMessage="1" sqref="E3063">
      <formula1>0</formula1>
    </dataValidation>
    <dataValidation type="whole" operator="greaterThan" allowBlank="1" showInputMessage="1" showErrorMessage="1" sqref="A3064">
      <formula1>0</formula1>
    </dataValidation>
    <dataValidation type="list" allowBlank="1" showInputMessage="1" showErrorMessage="1" sqref="C3064">
      <formula1>UnidadesList</formula1>
    </dataValidation>
    <dataValidation type="decimal" operator="greaterThan" allowBlank="1" showInputMessage="1" showErrorMessage="1" sqref="D3064">
      <formula1>0</formula1>
    </dataValidation>
    <dataValidation type="decimal" operator="greaterThan" allowBlank="1" showInputMessage="1" showErrorMessage="1" sqref="E3064">
      <formula1>0</formula1>
    </dataValidation>
    <dataValidation type="whole" operator="greaterThan" allowBlank="1" showInputMessage="1" showErrorMessage="1" sqref="A3065">
      <formula1>0</formula1>
    </dataValidation>
    <dataValidation type="list" allowBlank="1" showInputMessage="1" showErrorMessage="1" sqref="C3065">
      <formula1>UnidadesList</formula1>
    </dataValidation>
    <dataValidation type="decimal" operator="greaterThan" allowBlank="1" showInputMessage="1" showErrorMessage="1" sqref="D3065">
      <formula1>0</formula1>
    </dataValidation>
    <dataValidation type="decimal" operator="greaterThan" allowBlank="1" showInputMessage="1" showErrorMessage="1" sqref="E3065">
      <formula1>0</formula1>
    </dataValidation>
    <dataValidation type="whole" operator="greaterThan" allowBlank="1" showInputMessage="1" showErrorMessage="1" sqref="A3066">
      <formula1>0</formula1>
    </dataValidation>
    <dataValidation type="list" allowBlank="1" showInputMessage="1" showErrorMessage="1" sqref="C3066">
      <formula1>UnidadesList</formula1>
    </dataValidation>
    <dataValidation type="decimal" operator="greaterThan" allowBlank="1" showInputMessage="1" showErrorMessage="1" sqref="D3066">
      <formula1>0</formula1>
    </dataValidation>
    <dataValidation type="decimal" operator="greaterThan" allowBlank="1" showInputMessage="1" showErrorMessage="1" sqref="E3066">
      <formula1>0</formula1>
    </dataValidation>
    <dataValidation type="whole" operator="greaterThan" allowBlank="1" showInputMessage="1" showErrorMessage="1" sqref="A3067">
      <formula1>0</formula1>
    </dataValidation>
    <dataValidation type="list" allowBlank="1" showInputMessage="1" showErrorMessage="1" sqref="C3067">
      <formula1>UnidadesList</formula1>
    </dataValidation>
    <dataValidation type="decimal" operator="greaterThan" allowBlank="1" showInputMessage="1" showErrorMessage="1" sqref="D3067">
      <formula1>0</formula1>
    </dataValidation>
    <dataValidation type="decimal" operator="greaterThan" allowBlank="1" showInputMessage="1" showErrorMessage="1" sqref="E3067">
      <formula1>0</formula1>
    </dataValidation>
    <dataValidation type="whole" operator="greaterThan" allowBlank="1" showInputMessage="1" showErrorMessage="1" sqref="A3068">
      <formula1>0</formula1>
    </dataValidation>
    <dataValidation type="list" allowBlank="1" showInputMessage="1" showErrorMessage="1" sqref="C3068">
      <formula1>UnidadesList</formula1>
    </dataValidation>
    <dataValidation type="decimal" operator="greaterThan" allowBlank="1" showInputMessage="1" showErrorMessage="1" sqref="D3068">
      <formula1>0</formula1>
    </dataValidation>
    <dataValidation type="decimal" operator="greaterThan" allowBlank="1" showInputMessage="1" showErrorMessage="1" sqref="E3068">
      <formula1>0</formula1>
    </dataValidation>
    <dataValidation type="whole" operator="greaterThan" allowBlank="1" showInputMessage="1" showErrorMessage="1" sqref="A3069">
      <formula1>0</formula1>
    </dataValidation>
    <dataValidation type="list" allowBlank="1" showInputMessage="1" showErrorMessage="1" sqref="C3069">
      <formula1>UnidadesList</formula1>
    </dataValidation>
    <dataValidation type="decimal" operator="greaterThan" allowBlank="1" showInputMessage="1" showErrorMessage="1" sqref="D3069">
      <formula1>0</formula1>
    </dataValidation>
    <dataValidation type="decimal" operator="greaterThan" allowBlank="1" showInputMessage="1" showErrorMessage="1" sqref="E3069">
      <formula1>0</formula1>
    </dataValidation>
    <dataValidation type="whole" operator="greaterThan" allowBlank="1" showInputMessage="1" showErrorMessage="1" sqref="A3070">
      <formula1>0</formula1>
    </dataValidation>
    <dataValidation type="list" allowBlank="1" showInputMessage="1" showErrorMessage="1" sqref="C3070">
      <formula1>UnidadesList</formula1>
    </dataValidation>
    <dataValidation type="decimal" operator="greaterThan" allowBlank="1" showInputMessage="1" showErrorMessage="1" sqref="D3070">
      <formula1>0</formula1>
    </dataValidation>
    <dataValidation type="decimal" operator="greaterThan" allowBlank="1" showInputMessage="1" showErrorMessage="1" sqref="E3070">
      <formula1>0</formula1>
    </dataValidation>
    <dataValidation type="whole" operator="greaterThan" allowBlank="1" showInputMessage="1" showErrorMessage="1" sqref="A3071">
      <formula1>0</formula1>
    </dataValidation>
    <dataValidation type="list" allowBlank="1" showInputMessage="1" showErrorMessage="1" sqref="C3071">
      <formula1>UnidadesList</formula1>
    </dataValidation>
    <dataValidation type="decimal" operator="greaterThan" allowBlank="1" showInputMessage="1" showErrorMessage="1" sqref="D3071">
      <formula1>0</formula1>
    </dataValidation>
    <dataValidation type="decimal" operator="greaterThan" allowBlank="1" showInputMessage="1" showErrorMessage="1" sqref="E3071">
      <formula1>0</formula1>
    </dataValidation>
    <dataValidation type="whole" operator="greaterThan" allowBlank="1" showInputMessage="1" showErrorMessage="1" sqref="A3072">
      <formula1>0</formula1>
    </dataValidation>
    <dataValidation type="list" allowBlank="1" showInputMessage="1" showErrorMessage="1" sqref="C3072">
      <formula1>UnidadesList</formula1>
    </dataValidation>
    <dataValidation type="decimal" operator="greaterThan" allowBlank="1" showInputMessage="1" showErrorMessage="1" sqref="D3072">
      <formula1>0</formula1>
    </dataValidation>
    <dataValidation type="decimal" operator="greaterThan" allowBlank="1" showInputMessage="1" showErrorMessage="1" sqref="E3072">
      <formula1>0</formula1>
    </dataValidation>
    <dataValidation type="whole" operator="greaterThan" allowBlank="1" showInputMessage="1" showErrorMessage="1" sqref="A3073">
      <formula1>0</formula1>
    </dataValidation>
    <dataValidation type="list" allowBlank="1" showInputMessage="1" showErrorMessage="1" sqref="C3073">
      <formula1>UnidadesList</formula1>
    </dataValidation>
    <dataValidation type="decimal" operator="greaterThan" allowBlank="1" showInputMessage="1" showErrorMessage="1" sqref="D3073">
      <formula1>0</formula1>
    </dataValidation>
    <dataValidation type="decimal" operator="greaterThan" allowBlank="1" showInputMessage="1" showErrorMessage="1" sqref="E3073">
      <formula1>0</formula1>
    </dataValidation>
    <dataValidation type="whole" operator="greaterThan" allowBlank="1" showInputMessage="1" showErrorMessage="1" sqref="A3074">
      <formula1>0</formula1>
    </dataValidation>
    <dataValidation type="list" allowBlank="1" showInputMessage="1" showErrorMessage="1" sqref="C3074">
      <formula1>UnidadesList</formula1>
    </dataValidation>
    <dataValidation type="decimal" operator="greaterThan" allowBlank="1" showInputMessage="1" showErrorMessage="1" sqref="D3074">
      <formula1>0</formula1>
    </dataValidation>
    <dataValidation type="decimal" operator="greaterThan" allowBlank="1" showInputMessage="1" showErrorMessage="1" sqref="E3074">
      <formula1>0</formula1>
    </dataValidation>
    <dataValidation type="whole" operator="greaterThan" allowBlank="1" showInputMessage="1" showErrorMessage="1" sqref="A3075">
      <formula1>0</formula1>
    </dataValidation>
    <dataValidation type="list" allowBlank="1" showInputMessage="1" showErrorMessage="1" sqref="C3075">
      <formula1>UnidadesList</formula1>
    </dataValidation>
    <dataValidation type="decimal" operator="greaterThan" allowBlank="1" showInputMessage="1" showErrorMessage="1" sqref="D3075">
      <formula1>0</formula1>
    </dataValidation>
    <dataValidation type="decimal" operator="greaterThan" allowBlank="1" showInputMessage="1" showErrorMessage="1" sqref="E3075">
      <formula1>0</formula1>
    </dataValidation>
    <dataValidation type="whole" operator="greaterThan" allowBlank="1" showInputMessage="1" showErrorMessage="1" sqref="A3076">
      <formula1>0</formula1>
    </dataValidation>
    <dataValidation type="list" allowBlank="1" showInputMessage="1" showErrorMessage="1" sqref="C3076">
      <formula1>UnidadesList</formula1>
    </dataValidation>
    <dataValidation type="decimal" operator="greaterThan" allowBlank="1" showInputMessage="1" showErrorMessage="1" sqref="D3076">
      <formula1>0</formula1>
    </dataValidation>
    <dataValidation type="decimal" operator="greaterThan" allowBlank="1" showInputMessage="1" showErrorMessage="1" sqref="E3076">
      <formula1>0</formula1>
    </dataValidation>
    <dataValidation type="whole" operator="greaterThan" allowBlank="1" showInputMessage="1" showErrorMessage="1" sqref="A3077">
      <formula1>0</formula1>
    </dataValidation>
    <dataValidation type="list" allowBlank="1" showInputMessage="1" showErrorMessage="1" sqref="C3077">
      <formula1>UnidadesList</formula1>
    </dataValidation>
    <dataValidation type="decimal" operator="greaterThan" allowBlank="1" showInputMessage="1" showErrorMessage="1" sqref="D3077">
      <formula1>0</formula1>
    </dataValidation>
    <dataValidation type="decimal" operator="greaterThan" allowBlank="1" showInputMessage="1" showErrorMessage="1" sqref="E3077">
      <formula1>0</formula1>
    </dataValidation>
    <dataValidation type="whole" operator="greaterThan" allowBlank="1" showInputMessage="1" showErrorMessage="1" sqref="A3078">
      <formula1>0</formula1>
    </dataValidation>
    <dataValidation type="list" allowBlank="1" showInputMessage="1" showErrorMessage="1" sqref="C3078">
      <formula1>UnidadesList</formula1>
    </dataValidation>
    <dataValidation type="decimal" operator="greaterThan" allowBlank="1" showInputMessage="1" showErrorMessage="1" sqref="D3078">
      <formula1>0</formula1>
    </dataValidation>
    <dataValidation type="decimal" operator="greaterThan" allowBlank="1" showInputMessage="1" showErrorMessage="1" sqref="E3078">
      <formula1>0</formula1>
    </dataValidation>
    <dataValidation type="whole" operator="greaterThan" allowBlank="1" showInputMessage="1" showErrorMessage="1" sqref="A3079">
      <formula1>0</formula1>
    </dataValidation>
    <dataValidation type="list" allowBlank="1" showInputMessage="1" showErrorMessage="1" sqref="C3079">
      <formula1>UnidadesList</formula1>
    </dataValidation>
    <dataValidation type="decimal" operator="greaterThan" allowBlank="1" showInputMessage="1" showErrorMessage="1" sqref="D3079">
      <formula1>0</formula1>
    </dataValidation>
    <dataValidation type="decimal" operator="greaterThan" allowBlank="1" showInputMessage="1" showErrorMessage="1" sqref="E3079">
      <formula1>0</formula1>
    </dataValidation>
    <dataValidation type="whole" operator="greaterThan" allowBlank="1" showInputMessage="1" showErrorMessage="1" sqref="A3080">
      <formula1>0</formula1>
    </dataValidation>
    <dataValidation type="list" allowBlank="1" showInputMessage="1" showErrorMessage="1" sqref="C3080">
      <formula1>UnidadesList</formula1>
    </dataValidation>
    <dataValidation type="decimal" operator="greaterThan" allowBlank="1" showInputMessage="1" showErrorMessage="1" sqref="D3080">
      <formula1>0</formula1>
    </dataValidation>
    <dataValidation type="decimal" operator="greaterThan" allowBlank="1" showInputMessage="1" showErrorMessage="1" sqref="E3080">
      <formula1>0</formula1>
    </dataValidation>
    <dataValidation type="whole" operator="greaterThan" allowBlank="1" showInputMessage="1" showErrorMessage="1" sqref="A3081">
      <formula1>0</formula1>
    </dataValidation>
    <dataValidation type="list" allowBlank="1" showInputMessage="1" showErrorMessage="1" sqref="C3081">
      <formula1>UnidadesList</formula1>
    </dataValidation>
    <dataValidation type="decimal" operator="greaterThan" allowBlank="1" showInputMessage="1" showErrorMessage="1" sqref="D3081">
      <formula1>0</formula1>
    </dataValidation>
    <dataValidation type="decimal" operator="greaterThan" allowBlank="1" showInputMessage="1" showErrorMessage="1" sqref="E3081">
      <formula1>0</formula1>
    </dataValidation>
    <dataValidation type="whole" operator="greaterThan" allowBlank="1" showInputMessage="1" showErrorMessage="1" sqref="A3082">
      <formula1>0</formula1>
    </dataValidation>
    <dataValidation type="list" allowBlank="1" showInputMessage="1" showErrorMessage="1" sqref="C3082">
      <formula1>UnidadesList</formula1>
    </dataValidation>
    <dataValidation type="decimal" operator="greaterThan" allowBlank="1" showInputMessage="1" showErrorMessage="1" sqref="D3082">
      <formula1>0</formula1>
    </dataValidation>
    <dataValidation type="decimal" operator="greaterThan" allowBlank="1" showInputMessage="1" showErrorMessage="1" sqref="E3082">
      <formula1>0</formula1>
    </dataValidation>
    <dataValidation type="whole" operator="greaterThan" allowBlank="1" showInputMessage="1" showErrorMessage="1" sqref="A3083">
      <formula1>0</formula1>
    </dataValidation>
    <dataValidation type="list" allowBlank="1" showInputMessage="1" showErrorMessage="1" sqref="C3083">
      <formula1>UnidadesList</formula1>
    </dataValidation>
    <dataValidation type="decimal" operator="greaterThan" allowBlank="1" showInputMessage="1" showErrorMessage="1" sqref="D3083">
      <formula1>0</formula1>
    </dataValidation>
    <dataValidation type="decimal" operator="greaterThan" allowBlank="1" showInputMessage="1" showErrorMessage="1" sqref="E3083">
      <formula1>0</formula1>
    </dataValidation>
    <dataValidation type="whole" operator="greaterThan" allowBlank="1" showInputMessage="1" showErrorMessage="1" sqref="A3084">
      <formula1>0</formula1>
    </dataValidation>
    <dataValidation type="list" allowBlank="1" showInputMessage="1" showErrorMessage="1" sqref="C3084">
      <formula1>UnidadesList</formula1>
    </dataValidation>
    <dataValidation type="decimal" operator="greaterThan" allowBlank="1" showInputMessage="1" showErrorMessage="1" sqref="D3084">
      <formula1>0</formula1>
    </dataValidation>
    <dataValidation type="decimal" operator="greaterThan" allowBlank="1" showInputMessage="1" showErrorMessage="1" sqref="E3084">
      <formula1>0</formula1>
    </dataValidation>
    <dataValidation type="whole" operator="greaterThan" allowBlank="1" showInputMessage="1" showErrorMessage="1" sqref="A3085">
      <formula1>0</formula1>
    </dataValidation>
    <dataValidation type="list" allowBlank="1" showInputMessage="1" showErrorMessage="1" sqref="C3085">
      <formula1>UnidadesList</formula1>
    </dataValidation>
    <dataValidation type="decimal" operator="greaterThan" allowBlank="1" showInputMessage="1" showErrorMessage="1" sqref="D3085">
      <formula1>0</formula1>
    </dataValidation>
    <dataValidation type="decimal" operator="greaterThan" allowBlank="1" showInputMessage="1" showErrorMessage="1" sqref="E3085">
      <formula1>0</formula1>
    </dataValidation>
    <dataValidation type="whole" operator="greaterThan" allowBlank="1" showInputMessage="1" showErrorMessage="1" sqref="A3086">
      <formula1>0</formula1>
    </dataValidation>
    <dataValidation type="list" allowBlank="1" showInputMessage="1" showErrorMessage="1" sqref="C3086">
      <formula1>UnidadesList</formula1>
    </dataValidation>
    <dataValidation type="decimal" operator="greaterThan" allowBlank="1" showInputMessage="1" showErrorMessage="1" sqref="D3086">
      <formula1>0</formula1>
    </dataValidation>
    <dataValidation type="decimal" operator="greaterThan" allowBlank="1" showInputMessage="1" showErrorMessage="1" sqref="E3086">
      <formula1>0</formula1>
    </dataValidation>
    <dataValidation type="whole" operator="greaterThan" allowBlank="1" showInputMessage="1" showErrorMessage="1" sqref="A3087">
      <formula1>0</formula1>
    </dataValidation>
    <dataValidation type="list" allowBlank="1" showInputMessage="1" showErrorMessage="1" sqref="C3087">
      <formula1>UnidadesList</formula1>
    </dataValidation>
    <dataValidation type="decimal" operator="greaterThan" allowBlank="1" showInputMessage="1" showErrorMessage="1" sqref="D3087">
      <formula1>0</formula1>
    </dataValidation>
    <dataValidation type="decimal" operator="greaterThan" allowBlank="1" showInputMessage="1" showErrorMessage="1" sqref="E3087">
      <formula1>0</formula1>
    </dataValidation>
    <dataValidation type="whole" operator="greaterThan" allowBlank="1" showInputMessage="1" showErrorMessage="1" sqref="A3088">
      <formula1>0</formula1>
    </dataValidation>
    <dataValidation type="list" allowBlank="1" showInputMessage="1" showErrorMessage="1" sqref="C3088">
      <formula1>UnidadesList</formula1>
    </dataValidation>
    <dataValidation type="decimal" operator="greaterThan" allowBlank="1" showInputMessage="1" showErrorMessage="1" sqref="D3088">
      <formula1>0</formula1>
    </dataValidation>
    <dataValidation type="decimal" operator="greaterThan" allowBlank="1" showInputMessage="1" showErrorMessage="1" sqref="E3088">
      <formula1>0</formula1>
    </dataValidation>
    <dataValidation type="whole" operator="greaterThan" allowBlank="1" showInputMessage="1" showErrorMessage="1" sqref="A3089">
      <formula1>0</formula1>
    </dataValidation>
    <dataValidation type="list" allowBlank="1" showInputMessage="1" showErrorMessage="1" sqref="C3089">
      <formula1>UnidadesList</formula1>
    </dataValidation>
    <dataValidation type="decimal" operator="greaterThan" allowBlank="1" showInputMessage="1" showErrorMessage="1" sqref="D3089">
      <formula1>0</formula1>
    </dataValidation>
    <dataValidation type="decimal" operator="greaterThan" allowBlank="1" showInputMessage="1" showErrorMessage="1" sqref="E3089">
      <formula1>0</formula1>
    </dataValidation>
    <dataValidation type="whole" operator="greaterThan" allowBlank="1" showInputMessage="1" showErrorMessage="1" sqref="A3090">
      <formula1>0</formula1>
    </dataValidation>
    <dataValidation type="list" allowBlank="1" showInputMessage="1" showErrorMessage="1" sqref="C3090">
      <formula1>UnidadesList</formula1>
    </dataValidation>
    <dataValidation type="decimal" operator="greaterThan" allowBlank="1" showInputMessage="1" showErrorMessage="1" sqref="D3090">
      <formula1>0</formula1>
    </dataValidation>
    <dataValidation type="decimal" operator="greaterThan" allowBlank="1" showInputMessage="1" showErrorMessage="1" sqref="E3090">
      <formula1>0</formula1>
    </dataValidation>
    <dataValidation type="whole" operator="greaterThan" allowBlank="1" showInputMessage="1" showErrorMessage="1" sqref="A3091">
      <formula1>0</formula1>
    </dataValidation>
    <dataValidation type="list" allowBlank="1" showInputMessage="1" showErrorMessage="1" sqref="C3091">
      <formula1>UnidadesList</formula1>
    </dataValidation>
    <dataValidation type="decimal" operator="greaterThan" allowBlank="1" showInputMessage="1" showErrorMessage="1" sqref="D3091">
      <formula1>0</formula1>
    </dataValidation>
    <dataValidation type="decimal" operator="greaterThan" allowBlank="1" showInputMessage="1" showErrorMessage="1" sqref="E3091">
      <formula1>0</formula1>
    </dataValidation>
    <dataValidation type="whole" operator="greaterThan" allowBlank="1" showInputMessage="1" showErrorMessage="1" sqref="A3092">
      <formula1>0</formula1>
    </dataValidation>
    <dataValidation type="list" allowBlank="1" showInputMessage="1" showErrorMessage="1" sqref="C3092">
      <formula1>UnidadesList</formula1>
    </dataValidation>
    <dataValidation type="decimal" operator="greaterThan" allowBlank="1" showInputMessage="1" showErrorMessage="1" sqref="D3092">
      <formula1>0</formula1>
    </dataValidation>
    <dataValidation type="decimal" operator="greaterThan" allowBlank="1" showInputMessage="1" showErrorMessage="1" sqref="E3092">
      <formula1>0</formula1>
    </dataValidation>
    <dataValidation type="whole" operator="greaterThan" allowBlank="1" showInputMessage="1" showErrorMessage="1" sqref="A3093">
      <formula1>0</formula1>
    </dataValidation>
    <dataValidation type="list" allowBlank="1" showInputMessage="1" showErrorMessage="1" sqref="C3093">
      <formula1>UnidadesList</formula1>
    </dataValidation>
    <dataValidation type="decimal" operator="greaterThan" allowBlank="1" showInputMessage="1" showErrorMessage="1" sqref="D3093">
      <formula1>0</formula1>
    </dataValidation>
    <dataValidation type="decimal" operator="greaterThan" allowBlank="1" showInputMessage="1" showErrorMessage="1" sqref="E3093">
      <formula1>0</formula1>
    </dataValidation>
    <dataValidation type="whole" operator="greaterThan" allowBlank="1" showInputMessage="1" showErrorMessage="1" sqref="A3094">
      <formula1>0</formula1>
    </dataValidation>
    <dataValidation type="list" allowBlank="1" showInputMessage="1" showErrorMessage="1" sqref="C3094">
      <formula1>UnidadesList</formula1>
    </dataValidation>
    <dataValidation type="decimal" operator="greaterThan" allowBlank="1" showInputMessage="1" showErrorMessage="1" sqref="D3094">
      <formula1>0</formula1>
    </dataValidation>
    <dataValidation type="decimal" operator="greaterThan" allowBlank="1" showInputMessage="1" showErrorMessage="1" sqref="E3094">
      <formula1>0</formula1>
    </dataValidation>
    <dataValidation type="whole" operator="greaterThan" allowBlank="1" showInputMessage="1" showErrorMessage="1" sqref="A3095">
      <formula1>0</formula1>
    </dataValidation>
    <dataValidation type="list" allowBlank="1" showInputMessage="1" showErrorMessage="1" sqref="C3095">
      <formula1>UnidadesList</formula1>
    </dataValidation>
    <dataValidation type="decimal" operator="greaterThan" allowBlank="1" showInputMessage="1" showErrorMessage="1" sqref="D3095">
      <formula1>0</formula1>
    </dataValidation>
    <dataValidation type="decimal" operator="greaterThan" allowBlank="1" showInputMessage="1" showErrorMessage="1" sqref="E3095">
      <formula1>0</formula1>
    </dataValidation>
    <dataValidation type="whole" operator="greaterThan" allowBlank="1" showInputMessage="1" showErrorMessage="1" sqref="A3096">
      <formula1>0</formula1>
    </dataValidation>
    <dataValidation type="list" allowBlank="1" showInputMessage="1" showErrorMessage="1" sqref="C3096">
      <formula1>UnidadesList</formula1>
    </dataValidation>
    <dataValidation type="decimal" operator="greaterThan" allowBlank="1" showInputMessage="1" showErrorMessage="1" sqref="D3096">
      <formula1>0</formula1>
    </dataValidation>
    <dataValidation type="decimal" operator="greaterThan" allowBlank="1" showInputMessage="1" showErrorMessage="1" sqref="E3096">
      <formula1>0</formula1>
    </dataValidation>
    <dataValidation type="whole" operator="greaterThan" allowBlank="1" showInputMessage="1" showErrorMessage="1" sqref="A3097">
      <formula1>0</formula1>
    </dataValidation>
    <dataValidation type="list" allowBlank="1" showInputMessage="1" showErrorMessage="1" sqref="C3097">
      <formula1>UnidadesList</formula1>
    </dataValidation>
    <dataValidation type="decimal" operator="greaterThan" allowBlank="1" showInputMessage="1" showErrorMessage="1" sqref="D3097">
      <formula1>0</formula1>
    </dataValidation>
    <dataValidation type="decimal" operator="greaterThan" allowBlank="1" showInputMessage="1" showErrorMessage="1" sqref="E3097">
      <formula1>0</formula1>
    </dataValidation>
    <dataValidation type="whole" operator="greaterThan" allowBlank="1" showInputMessage="1" showErrorMessage="1" sqref="A3098">
      <formula1>0</formula1>
    </dataValidation>
    <dataValidation type="list" allowBlank="1" showInputMessage="1" showErrorMessage="1" sqref="C3098">
      <formula1>UnidadesList</formula1>
    </dataValidation>
    <dataValidation type="decimal" operator="greaterThan" allowBlank="1" showInputMessage="1" showErrorMessage="1" sqref="D3098">
      <formula1>0</formula1>
    </dataValidation>
    <dataValidation type="decimal" operator="greaterThan" allowBlank="1" showInputMessage="1" showErrorMessage="1" sqref="E3098">
      <formula1>0</formula1>
    </dataValidation>
    <dataValidation type="whole" operator="greaterThan" allowBlank="1" showInputMessage="1" showErrorMessage="1" sqref="A3099">
      <formula1>0</formula1>
    </dataValidation>
    <dataValidation type="list" allowBlank="1" showInputMessage="1" showErrorMessage="1" sqref="C3099">
      <formula1>UnidadesList</formula1>
    </dataValidation>
    <dataValidation type="decimal" operator="greaterThan" allowBlank="1" showInputMessage="1" showErrorMessage="1" sqref="D3099">
      <formula1>0</formula1>
    </dataValidation>
    <dataValidation type="decimal" operator="greaterThan" allowBlank="1" showInputMessage="1" showErrorMessage="1" sqref="E3099">
      <formula1>0</formula1>
    </dataValidation>
    <dataValidation type="whole" operator="greaterThan" allowBlank="1" showInputMessage="1" showErrorMessage="1" sqref="A3100">
      <formula1>0</formula1>
    </dataValidation>
    <dataValidation type="list" allowBlank="1" showInputMessage="1" showErrorMessage="1" sqref="C3100">
      <formula1>UnidadesList</formula1>
    </dataValidation>
    <dataValidation type="decimal" operator="greaterThan" allowBlank="1" showInputMessage="1" showErrorMessage="1" sqref="D3100">
      <formula1>0</formula1>
    </dataValidation>
    <dataValidation type="decimal" operator="greaterThan" allowBlank="1" showInputMessage="1" showErrorMessage="1" sqref="E3100">
      <formula1>0</formula1>
    </dataValidation>
    <dataValidation type="whole" operator="greaterThan" allowBlank="1" showInputMessage="1" showErrorMessage="1" sqref="A3101">
      <formula1>0</formula1>
    </dataValidation>
    <dataValidation type="list" allowBlank="1" showInputMessage="1" showErrorMessage="1" sqref="C3101">
      <formula1>UnidadesList</formula1>
    </dataValidation>
    <dataValidation type="decimal" operator="greaterThan" allowBlank="1" showInputMessage="1" showErrorMessage="1" sqref="D3101">
      <formula1>0</formula1>
    </dataValidation>
    <dataValidation type="decimal" operator="greaterThan" allowBlank="1" showInputMessage="1" showErrorMessage="1" sqref="E3101">
      <formula1>0</formula1>
    </dataValidation>
    <dataValidation type="whole" operator="greaterThan" allowBlank="1" showInputMessage="1" showErrorMessage="1" sqref="A3102">
      <formula1>0</formula1>
    </dataValidation>
    <dataValidation type="list" allowBlank="1" showInputMessage="1" showErrorMessage="1" sqref="C3102">
      <formula1>UnidadesList</formula1>
    </dataValidation>
    <dataValidation type="decimal" operator="greaterThan" allowBlank="1" showInputMessage="1" showErrorMessage="1" sqref="D3102">
      <formula1>0</formula1>
    </dataValidation>
    <dataValidation type="decimal" operator="greaterThan" allowBlank="1" showInputMessage="1" showErrorMessage="1" sqref="E3102">
      <formula1>0</formula1>
    </dataValidation>
    <dataValidation type="whole" operator="greaterThan" allowBlank="1" showInputMessage="1" showErrorMessage="1" sqref="A3103">
      <formula1>0</formula1>
    </dataValidation>
    <dataValidation type="list" allowBlank="1" showInputMessage="1" showErrorMessage="1" sqref="C3103">
      <formula1>UnidadesList</formula1>
    </dataValidation>
    <dataValidation type="decimal" operator="greaterThan" allowBlank="1" showInputMessage="1" showErrorMessage="1" sqref="D3103">
      <formula1>0</formula1>
    </dataValidation>
    <dataValidation type="decimal" operator="greaterThan" allowBlank="1" showInputMessage="1" showErrorMessage="1" sqref="E3103">
      <formula1>0</formula1>
    </dataValidation>
    <dataValidation type="whole" operator="greaterThan" allowBlank="1" showInputMessage="1" showErrorMessage="1" sqref="A3104">
      <formula1>0</formula1>
    </dataValidation>
    <dataValidation type="list" allowBlank="1" showInputMessage="1" showErrorMessage="1" sqref="C3104">
      <formula1>UnidadesList</formula1>
    </dataValidation>
    <dataValidation type="decimal" operator="greaterThan" allowBlank="1" showInputMessage="1" showErrorMessage="1" sqref="D3104">
      <formula1>0</formula1>
    </dataValidation>
    <dataValidation type="decimal" operator="greaterThan" allowBlank="1" showInputMessage="1" showErrorMessage="1" sqref="E3104">
      <formula1>0</formula1>
    </dataValidation>
    <dataValidation type="whole" operator="greaterThan" allowBlank="1" showInputMessage="1" showErrorMessage="1" sqref="A3105">
      <formula1>0</formula1>
    </dataValidation>
    <dataValidation type="list" allowBlank="1" showInputMessage="1" showErrorMessage="1" sqref="C3105">
      <formula1>UnidadesList</formula1>
    </dataValidation>
    <dataValidation type="decimal" operator="greaterThan" allowBlank="1" showInputMessage="1" showErrorMessage="1" sqref="D3105">
      <formula1>0</formula1>
    </dataValidation>
    <dataValidation type="decimal" operator="greaterThan" allowBlank="1" showInputMessage="1" showErrorMessage="1" sqref="E3105">
      <formula1>0</formula1>
    </dataValidation>
    <dataValidation type="whole" operator="greaterThan" allowBlank="1" showInputMessage="1" showErrorMessage="1" sqref="A3106">
      <formula1>0</formula1>
    </dataValidation>
    <dataValidation type="list" allowBlank="1" showInputMessage="1" showErrorMessage="1" sqref="C3106">
      <formula1>UnidadesList</formula1>
    </dataValidation>
    <dataValidation type="decimal" operator="greaterThan" allowBlank="1" showInputMessage="1" showErrorMessage="1" sqref="D3106">
      <formula1>0</formula1>
    </dataValidation>
    <dataValidation type="decimal" operator="greaterThan" allowBlank="1" showInputMessage="1" showErrorMessage="1" sqref="E3106">
      <formula1>0</formula1>
    </dataValidation>
    <dataValidation type="whole" operator="greaterThan" allowBlank="1" showInputMessage="1" showErrorMessage="1" sqref="A3107">
      <formula1>0</formula1>
    </dataValidation>
    <dataValidation type="list" allowBlank="1" showInputMessage="1" showErrorMessage="1" sqref="C3107">
      <formula1>UnidadesList</formula1>
    </dataValidation>
    <dataValidation type="decimal" operator="greaterThan" allowBlank="1" showInputMessage="1" showErrorMessage="1" sqref="D3107">
      <formula1>0</formula1>
    </dataValidation>
    <dataValidation type="decimal" operator="greaterThan" allowBlank="1" showInputMessage="1" showErrorMessage="1" sqref="E3107">
      <formula1>0</formula1>
    </dataValidation>
    <dataValidation type="whole" operator="greaterThan" allowBlank="1" showInputMessage="1" showErrorMessage="1" sqref="A3108">
      <formula1>0</formula1>
    </dataValidation>
    <dataValidation type="list" allowBlank="1" showInputMessage="1" showErrorMessage="1" sqref="C3108">
      <formula1>UnidadesList</formula1>
    </dataValidation>
    <dataValidation type="decimal" operator="greaterThan" allowBlank="1" showInputMessage="1" showErrorMessage="1" sqref="D3108">
      <formula1>0</formula1>
    </dataValidation>
    <dataValidation type="decimal" operator="greaterThan" allowBlank="1" showInputMessage="1" showErrorMessage="1" sqref="E3108">
      <formula1>0</formula1>
    </dataValidation>
    <dataValidation type="whole" operator="greaterThan" allowBlank="1" showInputMessage="1" showErrorMessage="1" sqref="A3109">
      <formula1>0</formula1>
    </dataValidation>
    <dataValidation type="list" allowBlank="1" showInputMessage="1" showErrorMessage="1" sqref="C3109">
      <formula1>UnidadesList</formula1>
    </dataValidation>
    <dataValidation type="decimal" operator="greaterThan" allowBlank="1" showInputMessage="1" showErrorMessage="1" sqref="D3109">
      <formula1>0</formula1>
    </dataValidation>
    <dataValidation type="decimal" operator="greaterThan" allowBlank="1" showInputMessage="1" showErrorMessage="1" sqref="E3109">
      <formula1>0</formula1>
    </dataValidation>
    <dataValidation type="whole" operator="greaterThan" allowBlank="1" showInputMessage="1" showErrorMessage="1" sqref="A3110">
      <formula1>0</formula1>
    </dataValidation>
    <dataValidation type="list" allowBlank="1" showInputMessage="1" showErrorMessage="1" sqref="C3110">
      <formula1>UnidadesList</formula1>
    </dataValidation>
    <dataValidation type="decimal" operator="greaterThan" allowBlank="1" showInputMessage="1" showErrorMessage="1" sqref="D3110">
      <formula1>0</formula1>
    </dataValidation>
    <dataValidation type="decimal" operator="greaterThan" allowBlank="1" showInputMessage="1" showErrorMessage="1" sqref="E3110">
      <formula1>0</formula1>
    </dataValidation>
    <dataValidation type="whole" operator="greaterThan" allowBlank="1" showInputMessage="1" showErrorMessage="1" sqref="A3111">
      <formula1>0</formula1>
    </dataValidation>
    <dataValidation type="list" allowBlank="1" showInputMessage="1" showErrorMessage="1" sqref="C3111">
      <formula1>UnidadesList</formula1>
    </dataValidation>
    <dataValidation type="decimal" operator="greaterThan" allowBlank="1" showInputMessage="1" showErrorMessage="1" sqref="D3111">
      <formula1>0</formula1>
    </dataValidation>
    <dataValidation type="decimal" operator="greaterThan" allowBlank="1" showInputMessage="1" showErrorMessage="1" sqref="E3111">
      <formula1>0</formula1>
    </dataValidation>
    <dataValidation type="whole" operator="greaterThan" allowBlank="1" showInputMessage="1" showErrorMessage="1" sqref="A3112">
      <formula1>0</formula1>
    </dataValidation>
    <dataValidation type="list" allowBlank="1" showInputMessage="1" showErrorMessage="1" sqref="C3112">
      <formula1>UnidadesList</formula1>
    </dataValidation>
    <dataValidation type="decimal" operator="greaterThan" allowBlank="1" showInputMessage="1" showErrorMessage="1" sqref="D3112">
      <formula1>0</formula1>
    </dataValidation>
    <dataValidation type="decimal" operator="greaterThan" allowBlank="1" showInputMessage="1" showErrorMessage="1" sqref="E3112">
      <formula1>0</formula1>
    </dataValidation>
    <dataValidation type="whole" operator="greaterThan" allowBlank="1" showInputMessage="1" showErrorMessage="1" sqref="A3113">
      <formula1>0</formula1>
    </dataValidation>
    <dataValidation type="list" allowBlank="1" showInputMessage="1" showErrorMessage="1" sqref="C3113">
      <formula1>UnidadesList</formula1>
    </dataValidation>
    <dataValidation type="decimal" operator="greaterThan" allowBlank="1" showInputMessage="1" showErrorMessage="1" sqref="D3113">
      <formula1>0</formula1>
    </dataValidation>
    <dataValidation type="decimal" operator="greaterThan" allowBlank="1" showInputMessage="1" showErrorMessage="1" sqref="E3113">
      <formula1>0</formula1>
    </dataValidation>
    <dataValidation type="whole" operator="greaterThan" allowBlank="1" showInputMessage="1" showErrorMessage="1" sqref="A3114">
      <formula1>0</formula1>
    </dataValidation>
    <dataValidation type="list" allowBlank="1" showInputMessage="1" showErrorMessage="1" sqref="C3114">
      <formula1>UnidadesList</formula1>
    </dataValidation>
    <dataValidation type="decimal" operator="greaterThan" allowBlank="1" showInputMessage="1" showErrorMessage="1" sqref="D3114">
      <formula1>0</formula1>
    </dataValidation>
    <dataValidation type="decimal" operator="greaterThan" allowBlank="1" showInputMessage="1" showErrorMessage="1" sqref="E3114">
      <formula1>0</formula1>
    </dataValidation>
    <dataValidation type="date" operator="lessThanOrEqual" allowBlank="1" showInputMessage="1" showErrorMessage="1" sqref="C3119">
      <formula1>C3121</formula1>
    </dataValidation>
    <dataValidation type="date" operator="greaterThanOrEqual" allowBlank="1" showInputMessage="1" showErrorMessage="1" sqref="C3121">
      <formula1>C3119</formula1>
    </dataValidation>
    <dataValidation type="list" allowBlank="1" showInputMessage="1" showErrorMessage="1" sqref="F311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12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12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12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125">
      <formula1>0</formula1>
    </dataValidation>
    <dataValidation type="list" allowBlank="1" showInputMessage="1" showErrorMessage="1" sqref="C3125">
      <formula1>UnidadesList</formula1>
    </dataValidation>
    <dataValidation type="decimal" operator="greaterThan" allowBlank="1" showInputMessage="1" showErrorMessage="1" sqref="D3125">
      <formula1>0</formula1>
    </dataValidation>
    <dataValidation type="decimal" operator="greaterThan" allowBlank="1" showInputMessage="1" showErrorMessage="1" sqref="E3125">
      <formula1>0</formula1>
    </dataValidation>
    <dataValidation type="whole" operator="greaterThan" allowBlank="1" showInputMessage="1" showErrorMessage="1" sqref="A3126">
      <formula1>0</formula1>
    </dataValidation>
    <dataValidation type="list" allowBlank="1" showInputMessage="1" showErrorMessage="1" sqref="C3126">
      <formula1>UnidadesList</formula1>
    </dataValidation>
    <dataValidation type="decimal" operator="greaterThan" allowBlank="1" showInputMessage="1" showErrorMessage="1" sqref="D3126">
      <formula1>0</formula1>
    </dataValidation>
    <dataValidation type="decimal" operator="greaterThan" allowBlank="1" showInputMessage="1" showErrorMessage="1" sqref="E3126">
      <formula1>0</formula1>
    </dataValidation>
    <dataValidation type="whole" operator="greaterThan" allowBlank="1" showInputMessage="1" showErrorMessage="1" sqref="A3127">
      <formula1>0</formula1>
    </dataValidation>
    <dataValidation type="list" allowBlank="1" showInputMessage="1" showErrorMessage="1" sqref="C3127">
      <formula1>UnidadesList</formula1>
    </dataValidation>
    <dataValidation type="decimal" operator="greaterThan" allowBlank="1" showInputMessage="1" showErrorMessage="1" sqref="D3127">
      <formula1>0</formula1>
    </dataValidation>
    <dataValidation type="decimal" operator="greaterThan" allowBlank="1" showInputMessage="1" showErrorMessage="1" sqref="E3127">
      <formula1>0</formula1>
    </dataValidation>
    <dataValidation type="whole" operator="greaterThan" allowBlank="1" showInputMessage="1" showErrorMessage="1" sqref="A3128">
      <formula1>0</formula1>
    </dataValidation>
    <dataValidation type="list" allowBlank="1" showInputMessage="1" showErrorMessage="1" sqref="C3128">
      <formula1>UnidadesList</formula1>
    </dataValidation>
    <dataValidation type="decimal" operator="greaterThan" allowBlank="1" showInputMessage="1" showErrorMessage="1" sqref="D3128">
      <formula1>0</formula1>
    </dataValidation>
    <dataValidation type="decimal" operator="greaterThan" allowBlank="1" showInputMessage="1" showErrorMessage="1" sqref="E3128">
      <formula1>0</formula1>
    </dataValidation>
    <dataValidation type="whole" operator="greaterThan" allowBlank="1" showInputMessage="1" showErrorMessage="1" sqref="A3129">
      <formula1>0</formula1>
    </dataValidation>
    <dataValidation type="list" allowBlank="1" showInputMessage="1" showErrorMessage="1" sqref="C3129">
      <formula1>UnidadesList</formula1>
    </dataValidation>
    <dataValidation type="decimal" operator="greaterThan" allowBlank="1" showInputMessage="1" showErrorMessage="1" sqref="D3129">
      <formula1>0</formula1>
    </dataValidation>
    <dataValidation type="decimal" operator="greaterThan" allowBlank="1" showInputMessage="1" showErrorMessage="1" sqref="E3129">
      <formula1>0</formula1>
    </dataValidation>
    <dataValidation type="whole" operator="greaterThan" allowBlank="1" showInputMessage="1" showErrorMessage="1" sqref="A3130">
      <formula1>0</formula1>
    </dataValidation>
    <dataValidation type="list" allowBlank="1" showInputMessage="1" showErrorMessage="1" sqref="C3130">
      <formula1>UnidadesList</formula1>
    </dataValidation>
    <dataValidation type="decimal" operator="greaterThan" allowBlank="1" showInputMessage="1" showErrorMessage="1" sqref="D3130">
      <formula1>0</formula1>
    </dataValidation>
    <dataValidation type="decimal" operator="greaterThan" allowBlank="1" showInputMessage="1" showErrorMessage="1" sqref="E3130">
      <formula1>0</formula1>
    </dataValidation>
    <dataValidation type="whole" operator="greaterThan" allowBlank="1" showInputMessage="1" showErrorMessage="1" sqref="A3131">
      <formula1>0</formula1>
    </dataValidation>
    <dataValidation type="list" allowBlank="1" showInputMessage="1" showErrorMessage="1" sqref="C3131">
      <formula1>UnidadesList</formula1>
    </dataValidation>
    <dataValidation type="decimal" operator="greaterThan" allowBlank="1" showInputMessage="1" showErrorMessage="1" sqref="D3131">
      <formula1>0</formula1>
    </dataValidation>
    <dataValidation type="decimal" operator="greaterThan" allowBlank="1" showInputMessage="1" showErrorMessage="1" sqref="E3131">
      <formula1>0</formula1>
    </dataValidation>
    <dataValidation type="whole" operator="greaterThan" allowBlank="1" showInputMessage="1" showErrorMessage="1" sqref="A3132">
      <formula1>0</formula1>
    </dataValidation>
    <dataValidation type="list" allowBlank="1" showInputMessage="1" showErrorMessage="1" sqref="C3132">
      <formula1>UnidadesList</formula1>
    </dataValidation>
    <dataValidation type="decimal" operator="greaterThan" allowBlank="1" showInputMessage="1" showErrorMessage="1" sqref="D3132">
      <formula1>0</formula1>
    </dataValidation>
    <dataValidation type="decimal" operator="greaterThan" allowBlank="1" showInputMessage="1" showErrorMessage="1" sqref="E3132">
      <formula1>0</formula1>
    </dataValidation>
    <dataValidation type="whole" operator="greaterThan" allowBlank="1" showInputMessage="1" showErrorMessage="1" sqref="A3133">
      <formula1>0</formula1>
    </dataValidation>
    <dataValidation type="list" allowBlank="1" showInputMessage="1" showErrorMessage="1" sqref="C3133">
      <formula1>UnidadesList</formula1>
    </dataValidation>
    <dataValidation type="decimal" operator="greaterThan" allowBlank="1" showInputMessage="1" showErrorMessage="1" sqref="D3133">
      <formula1>0</formula1>
    </dataValidation>
    <dataValidation type="decimal" operator="greaterThan" allowBlank="1" showInputMessage="1" showErrorMessage="1" sqref="E3133">
      <formula1>0</formula1>
    </dataValidation>
    <dataValidation type="whole" operator="greaterThan" allowBlank="1" showInputMessage="1" showErrorMessage="1" sqref="A3134">
      <formula1>0</formula1>
    </dataValidation>
    <dataValidation type="list" allowBlank="1" showInputMessage="1" showErrorMessage="1" sqref="C3134">
      <formula1>UnidadesList</formula1>
    </dataValidation>
    <dataValidation type="decimal" operator="greaterThan" allowBlank="1" showInputMessage="1" showErrorMessage="1" sqref="D3134">
      <formula1>0</formula1>
    </dataValidation>
    <dataValidation type="decimal" operator="greaterThan" allowBlank="1" showInputMessage="1" showErrorMessage="1" sqref="E3134">
      <formula1>0</formula1>
    </dataValidation>
    <dataValidation type="whole" operator="greaterThan" allowBlank="1" showInputMessage="1" showErrorMessage="1" sqref="A3135">
      <formula1>0</formula1>
    </dataValidation>
    <dataValidation type="list" allowBlank="1" showInputMessage="1" showErrorMessage="1" sqref="C3135">
      <formula1>UnidadesList</formula1>
    </dataValidation>
    <dataValidation type="decimal" operator="greaterThan" allowBlank="1" showInputMessage="1" showErrorMessage="1" sqref="D3135">
      <formula1>0</formula1>
    </dataValidation>
    <dataValidation type="decimal" operator="greaterThan" allowBlank="1" showInputMessage="1" showErrorMessage="1" sqref="E3135">
      <formula1>0</formula1>
    </dataValidation>
    <dataValidation type="whole" operator="greaterThan" allowBlank="1" showInputMessage="1" showErrorMessage="1" sqref="A3136">
      <formula1>0</formula1>
    </dataValidation>
    <dataValidation type="list" allowBlank="1" showInputMessage="1" showErrorMessage="1" sqref="C3136">
      <formula1>UnidadesList</formula1>
    </dataValidation>
    <dataValidation type="decimal" operator="greaterThan" allowBlank="1" showInputMessage="1" showErrorMessage="1" sqref="D3136">
      <formula1>0</formula1>
    </dataValidation>
    <dataValidation type="decimal" operator="greaterThan" allowBlank="1" showInputMessage="1" showErrorMessage="1" sqref="E3136">
      <formula1>0</formula1>
    </dataValidation>
    <dataValidation type="whole" operator="greaterThan" allowBlank="1" showInputMessage="1" showErrorMessage="1" sqref="A3137">
      <formula1>0</formula1>
    </dataValidation>
    <dataValidation type="list" allowBlank="1" showInputMessage="1" showErrorMessage="1" sqref="C3137">
      <formula1>UnidadesList</formula1>
    </dataValidation>
    <dataValidation type="decimal" operator="greaterThan" allowBlank="1" showInputMessage="1" showErrorMessage="1" sqref="D3137">
      <formula1>0</formula1>
    </dataValidation>
    <dataValidation type="decimal" operator="greaterThan" allowBlank="1" showInputMessage="1" showErrorMessage="1" sqref="E3137">
      <formula1>0</formula1>
    </dataValidation>
    <dataValidation type="whole" operator="greaterThan" allowBlank="1" showInputMessage="1" showErrorMessage="1" sqref="A3138">
      <formula1>0</formula1>
    </dataValidation>
    <dataValidation type="list" allowBlank="1" showInputMessage="1" showErrorMessage="1" sqref="C3138">
      <formula1>UnidadesList</formula1>
    </dataValidation>
    <dataValidation type="decimal" operator="greaterThan" allowBlank="1" showInputMessage="1" showErrorMessage="1" sqref="D3138">
      <formula1>0</formula1>
    </dataValidation>
    <dataValidation type="decimal" operator="greaterThan" allowBlank="1" showInputMessage="1" showErrorMessage="1" sqref="E3138">
      <formula1>0</formula1>
    </dataValidation>
    <dataValidation type="whole" operator="greaterThan" allowBlank="1" showInputMessage="1" showErrorMessage="1" sqref="A3139">
      <formula1>0</formula1>
    </dataValidation>
    <dataValidation type="list" allowBlank="1" showInputMessage="1" showErrorMessage="1" sqref="C3139">
      <formula1>UnidadesList</formula1>
    </dataValidation>
    <dataValidation type="decimal" operator="greaterThan" allowBlank="1" showInputMessage="1" showErrorMessage="1" sqref="D3139">
      <formula1>0</formula1>
    </dataValidation>
    <dataValidation type="decimal" operator="greaterThan" allowBlank="1" showInputMessage="1" showErrorMessage="1" sqref="E3139">
      <formula1>0</formula1>
    </dataValidation>
    <dataValidation type="whole" operator="greaterThan" allowBlank="1" showInputMessage="1" showErrorMessage="1" sqref="A3140">
      <formula1>0</formula1>
    </dataValidation>
    <dataValidation type="list" allowBlank="1" showInputMessage="1" showErrorMessage="1" sqref="C3140">
      <formula1>UnidadesList</formula1>
    </dataValidation>
    <dataValidation type="decimal" operator="greaterThan" allowBlank="1" showInputMessage="1" showErrorMessage="1" sqref="D3140">
      <formula1>0</formula1>
    </dataValidation>
    <dataValidation type="decimal" operator="greaterThan" allowBlank="1" showInputMessage="1" showErrorMessage="1" sqref="E3140">
      <formula1>0</formula1>
    </dataValidation>
    <dataValidation type="whole" operator="greaterThan" allowBlank="1" showInputMessage="1" showErrorMessage="1" sqref="A3141">
      <formula1>0</formula1>
    </dataValidation>
    <dataValidation type="list" allowBlank="1" showInputMessage="1" showErrorMessage="1" sqref="C3141">
      <formula1>UnidadesList</formula1>
    </dataValidation>
    <dataValidation type="decimal" operator="greaterThan" allowBlank="1" showInputMessage="1" showErrorMessage="1" sqref="D3141">
      <formula1>0</formula1>
    </dataValidation>
    <dataValidation type="decimal" operator="greaterThan" allowBlank="1" showInputMessage="1" showErrorMessage="1" sqref="E3141">
      <formula1>0</formula1>
    </dataValidation>
    <dataValidation type="whole" operator="greaterThan" allowBlank="1" showInputMessage="1" showErrorMessage="1" sqref="A3142">
      <formula1>0</formula1>
    </dataValidation>
    <dataValidation type="list" allowBlank="1" showInputMessage="1" showErrorMessage="1" sqref="C3142">
      <formula1>UnidadesList</formula1>
    </dataValidation>
    <dataValidation type="decimal" operator="greaterThan" allowBlank="1" showInputMessage="1" showErrorMessage="1" sqref="D3142">
      <formula1>0</formula1>
    </dataValidation>
    <dataValidation type="decimal" operator="greaterThan" allowBlank="1" showInputMessage="1" showErrorMessage="1" sqref="E3142">
      <formula1>0</formula1>
    </dataValidation>
    <dataValidation type="whole" operator="greaterThan" allowBlank="1" showInputMessage="1" showErrorMessage="1" sqref="A3143">
      <formula1>0</formula1>
    </dataValidation>
    <dataValidation type="list" allowBlank="1" showInputMessage="1" showErrorMessage="1" sqref="C3143">
      <formula1>UnidadesList</formula1>
    </dataValidation>
    <dataValidation type="decimal" operator="greaterThan" allowBlank="1" showInputMessage="1" showErrorMessage="1" sqref="D3143">
      <formula1>0</formula1>
    </dataValidation>
    <dataValidation type="decimal" operator="greaterThan" allowBlank="1" showInputMessage="1" showErrorMessage="1" sqref="E3143">
      <formula1>0</formula1>
    </dataValidation>
    <dataValidation type="whole" operator="greaterThan" allowBlank="1" showInputMessage="1" showErrorMessage="1" sqref="A3144">
      <formula1>0</formula1>
    </dataValidation>
    <dataValidation type="list" allowBlank="1" showInputMessage="1" showErrorMessage="1" sqref="C3144">
      <formula1>UnidadesList</formula1>
    </dataValidation>
    <dataValidation type="decimal" operator="greaterThan" allowBlank="1" showInputMessage="1" showErrorMessage="1" sqref="D3144">
      <formula1>0</formula1>
    </dataValidation>
    <dataValidation type="decimal" operator="greaterThan" allowBlank="1" showInputMessage="1" showErrorMessage="1" sqref="E3144">
      <formula1>0</formula1>
    </dataValidation>
    <dataValidation type="whole" operator="greaterThan" allowBlank="1" showInputMessage="1" showErrorMessage="1" sqref="A3145">
      <formula1>0</formula1>
    </dataValidation>
    <dataValidation type="list" allowBlank="1" showInputMessage="1" showErrorMessage="1" sqref="C3145">
      <formula1>UnidadesList</formula1>
    </dataValidation>
    <dataValidation type="decimal" operator="greaterThan" allowBlank="1" showInputMessage="1" showErrorMessage="1" sqref="D3145">
      <formula1>0</formula1>
    </dataValidation>
    <dataValidation type="decimal" operator="greaterThan" allowBlank="1" showInputMessage="1" showErrorMessage="1" sqref="E3145">
      <formula1>0</formula1>
    </dataValidation>
    <dataValidation type="whole" operator="greaterThan" allowBlank="1" showInputMessage="1" showErrorMessage="1" sqref="A3146">
      <formula1>0</formula1>
    </dataValidation>
    <dataValidation type="list" allowBlank="1" showInputMessage="1" showErrorMessage="1" sqref="C3146">
      <formula1>UnidadesList</formula1>
    </dataValidation>
    <dataValidation type="decimal" operator="greaterThan" allowBlank="1" showInputMessage="1" showErrorMessage="1" sqref="D3146">
      <formula1>0</formula1>
    </dataValidation>
    <dataValidation type="decimal" operator="greaterThan" allowBlank="1" showInputMessage="1" showErrorMessage="1" sqref="E3146">
      <formula1>0</formula1>
    </dataValidation>
    <dataValidation type="whole" operator="greaterThan" allowBlank="1" showInputMessage="1" showErrorMessage="1" sqref="A3147">
      <formula1>0</formula1>
    </dataValidation>
    <dataValidation type="list" allowBlank="1" showInputMessage="1" showErrorMessage="1" sqref="C3147">
      <formula1>UnidadesList</formula1>
    </dataValidation>
    <dataValidation type="decimal" operator="greaterThan" allowBlank="1" showInputMessage="1" showErrorMessage="1" sqref="D3147">
      <formula1>0</formula1>
    </dataValidation>
    <dataValidation type="decimal" operator="greaterThan" allowBlank="1" showInputMessage="1" showErrorMessage="1" sqref="E3147">
      <formula1>0</formula1>
    </dataValidation>
    <dataValidation type="whole" operator="greaterThan" allowBlank="1" showInputMessage="1" showErrorMessage="1" sqref="A3148">
      <formula1>0</formula1>
    </dataValidation>
    <dataValidation type="list" allowBlank="1" showInputMessage="1" showErrorMessage="1" sqref="C3148">
      <formula1>UnidadesList</formula1>
    </dataValidation>
    <dataValidation type="decimal" operator="greaterThan" allowBlank="1" showInputMessage="1" showErrorMessage="1" sqref="D3148">
      <formula1>0</formula1>
    </dataValidation>
    <dataValidation type="decimal" operator="greaterThan" allowBlank="1" showInputMessage="1" showErrorMessage="1" sqref="E3148">
      <formula1>0</formula1>
    </dataValidation>
    <dataValidation type="whole" operator="greaterThan" allowBlank="1" showInputMessage="1" showErrorMessage="1" sqref="A3149">
      <formula1>0</formula1>
    </dataValidation>
    <dataValidation type="list" allowBlank="1" showInputMessage="1" showErrorMessage="1" sqref="C3149">
      <formula1>UnidadesList</formula1>
    </dataValidation>
    <dataValidation type="decimal" operator="greaterThan" allowBlank="1" showInputMessage="1" showErrorMessage="1" sqref="D3149">
      <formula1>0</formula1>
    </dataValidation>
    <dataValidation type="decimal" operator="greaterThan" allowBlank="1" showInputMessage="1" showErrorMessage="1" sqref="E3149">
      <formula1>0</formula1>
    </dataValidation>
    <dataValidation type="whole" operator="greaterThan" allowBlank="1" showInputMessage="1" showErrorMessage="1" sqref="A3150">
      <formula1>0</formula1>
    </dataValidation>
    <dataValidation type="list" allowBlank="1" showInputMessage="1" showErrorMessage="1" sqref="C3150">
      <formula1>UnidadesList</formula1>
    </dataValidation>
    <dataValidation type="decimal" operator="greaterThan" allowBlank="1" showInputMessage="1" showErrorMessage="1" sqref="D3150">
      <formula1>0</formula1>
    </dataValidation>
    <dataValidation type="decimal" operator="greaterThan" allowBlank="1" showInputMessage="1" showErrorMessage="1" sqref="E3150">
      <formula1>0</formula1>
    </dataValidation>
    <dataValidation type="whole" operator="greaterThan" allowBlank="1" showInputMessage="1" showErrorMessage="1" sqref="A3151">
      <formula1>0</formula1>
    </dataValidation>
    <dataValidation type="list" allowBlank="1" showInputMessage="1" showErrorMessage="1" sqref="C3151">
      <formula1>UnidadesList</formula1>
    </dataValidation>
    <dataValidation type="decimal" operator="greaterThan" allowBlank="1" showInputMessage="1" showErrorMessage="1" sqref="D3151">
      <formula1>0</formula1>
    </dataValidation>
    <dataValidation type="decimal" operator="greaterThan" allowBlank="1" showInputMessage="1" showErrorMessage="1" sqref="E3151">
      <formula1>0</formula1>
    </dataValidation>
    <dataValidation type="whole" operator="greaterThan" allowBlank="1" showInputMessage="1" showErrorMessage="1" sqref="A3152">
      <formula1>0</formula1>
    </dataValidation>
    <dataValidation type="list" allowBlank="1" showInputMessage="1" showErrorMessage="1" sqref="C3152">
      <formula1>UnidadesList</formula1>
    </dataValidation>
    <dataValidation type="decimal" operator="greaterThan" allowBlank="1" showInputMessage="1" showErrorMessage="1" sqref="D3152">
      <formula1>0</formula1>
    </dataValidation>
    <dataValidation type="decimal" operator="greaterThan" allowBlank="1" showInputMessage="1" showErrorMessage="1" sqref="E3152">
      <formula1>0</formula1>
    </dataValidation>
    <dataValidation type="whole" operator="greaterThan" allowBlank="1" showInputMessage="1" showErrorMessage="1" sqref="A3153">
      <formula1>0</formula1>
    </dataValidation>
    <dataValidation type="list" allowBlank="1" showInputMessage="1" showErrorMessage="1" sqref="C3153">
      <formula1>UnidadesList</formula1>
    </dataValidation>
    <dataValidation type="decimal" operator="greaterThan" allowBlank="1" showInputMessage="1" showErrorMessage="1" sqref="D3153">
      <formula1>0</formula1>
    </dataValidation>
    <dataValidation type="decimal" operator="greaterThan" allowBlank="1" showInputMessage="1" showErrorMessage="1" sqref="E3153">
      <formula1>0</formula1>
    </dataValidation>
    <dataValidation type="whole" operator="greaterThan" allowBlank="1" showInputMessage="1" showErrorMessage="1" sqref="A3154">
      <formula1>0</formula1>
    </dataValidation>
    <dataValidation type="list" allowBlank="1" showInputMessage="1" showErrorMessage="1" sqref="C3154">
      <formula1>UnidadesList</formula1>
    </dataValidation>
    <dataValidation type="decimal" operator="greaterThan" allowBlank="1" showInputMessage="1" showErrorMessage="1" sqref="D3154">
      <formula1>0</formula1>
    </dataValidation>
    <dataValidation type="decimal" operator="greaterThan" allowBlank="1" showInputMessage="1" showErrorMessage="1" sqref="E3154">
      <formula1>0</formula1>
    </dataValidation>
    <dataValidation type="whole" operator="greaterThan" allowBlank="1" showInputMessage="1" showErrorMessage="1" sqref="A3155">
      <formula1>0</formula1>
    </dataValidation>
    <dataValidation type="list" allowBlank="1" showInputMessage="1" showErrorMessage="1" sqref="C3155">
      <formula1>UnidadesList</formula1>
    </dataValidation>
    <dataValidation type="decimal" operator="greaterThan" allowBlank="1" showInputMessage="1" showErrorMessage="1" sqref="D3155">
      <formula1>0</formula1>
    </dataValidation>
    <dataValidation type="decimal" operator="greaterThan" allowBlank="1" showInputMessage="1" showErrorMessage="1" sqref="E3155">
      <formula1>0</formula1>
    </dataValidation>
    <dataValidation type="whole" operator="greaterThan" allowBlank="1" showInputMessage="1" showErrorMessage="1" sqref="A3156">
      <formula1>0</formula1>
    </dataValidation>
    <dataValidation type="list" allowBlank="1" showInputMessage="1" showErrorMessage="1" sqref="C3156">
      <formula1>UnidadesList</formula1>
    </dataValidation>
    <dataValidation type="decimal" operator="greaterThan" allowBlank="1" showInputMessage="1" showErrorMessage="1" sqref="D3156">
      <formula1>0</formula1>
    </dataValidation>
    <dataValidation type="decimal" operator="greaterThan" allowBlank="1" showInputMessage="1" showErrorMessage="1" sqref="E3156">
      <formula1>0</formula1>
    </dataValidation>
    <dataValidation type="whole" operator="greaterThan" allowBlank="1" showInputMessage="1" showErrorMessage="1" sqref="A3157">
      <formula1>0</formula1>
    </dataValidation>
    <dataValidation type="list" allowBlank="1" showInputMessage="1" showErrorMessage="1" sqref="C3157">
      <formula1>UnidadesList</formula1>
    </dataValidation>
    <dataValidation type="decimal" operator="greaterThan" allowBlank="1" showInputMessage="1" showErrorMessage="1" sqref="D3157">
      <formula1>0</formula1>
    </dataValidation>
    <dataValidation type="decimal" operator="greaterThan" allowBlank="1" showInputMessage="1" showErrorMessage="1" sqref="E3157">
      <formula1>0</formula1>
    </dataValidation>
    <dataValidation type="whole" operator="greaterThan" allowBlank="1" showInputMessage="1" showErrorMessage="1" sqref="A3158">
      <formula1>0</formula1>
    </dataValidation>
    <dataValidation type="list" allowBlank="1" showInputMessage="1" showErrorMessage="1" sqref="C3158">
      <formula1>UnidadesList</formula1>
    </dataValidation>
    <dataValidation type="decimal" operator="greaterThan" allowBlank="1" showInputMessage="1" showErrorMessage="1" sqref="D3158">
      <formula1>0</formula1>
    </dataValidation>
    <dataValidation type="decimal" operator="greaterThan" allowBlank="1" showInputMessage="1" showErrorMessage="1" sqref="E3158">
      <formula1>0</formula1>
    </dataValidation>
    <dataValidation type="whole" operator="greaterThan" allowBlank="1" showInputMessage="1" showErrorMessage="1" sqref="A3159">
      <formula1>0</formula1>
    </dataValidation>
    <dataValidation type="list" allowBlank="1" showInputMessage="1" showErrorMessage="1" sqref="C3159">
      <formula1>UnidadesList</formula1>
    </dataValidation>
    <dataValidation type="decimal" operator="greaterThan" allowBlank="1" showInputMessage="1" showErrorMessage="1" sqref="D3159">
      <formula1>0</formula1>
    </dataValidation>
    <dataValidation type="decimal" operator="greaterThan" allowBlank="1" showInputMessage="1" showErrorMessage="1" sqref="E3159">
      <formula1>0</formula1>
    </dataValidation>
    <dataValidation type="whole" operator="greaterThan" allowBlank="1" showInputMessage="1" showErrorMessage="1" sqref="A3160">
      <formula1>0</formula1>
    </dataValidation>
    <dataValidation type="list" allowBlank="1" showInputMessage="1" showErrorMessage="1" sqref="C3160">
      <formula1>UnidadesList</formula1>
    </dataValidation>
    <dataValidation type="decimal" operator="greaterThan" allowBlank="1" showInputMessage="1" showErrorMessage="1" sqref="D3160">
      <formula1>0</formula1>
    </dataValidation>
    <dataValidation type="decimal" operator="greaterThan" allowBlank="1" showInputMessage="1" showErrorMessage="1" sqref="E3160">
      <formula1>0</formula1>
    </dataValidation>
    <dataValidation type="whole" operator="greaterThan" allowBlank="1" showInputMessage="1" showErrorMessage="1" sqref="A3161">
      <formula1>0</formula1>
    </dataValidation>
    <dataValidation type="list" allowBlank="1" showInputMessage="1" showErrorMessage="1" sqref="C3161">
      <formula1>UnidadesList</formula1>
    </dataValidation>
    <dataValidation type="decimal" operator="greaterThan" allowBlank="1" showInputMessage="1" showErrorMessage="1" sqref="D3161">
      <formula1>0</formula1>
    </dataValidation>
    <dataValidation type="decimal" operator="greaterThan" allowBlank="1" showInputMessage="1" showErrorMessage="1" sqref="E3161">
      <formula1>0</formula1>
    </dataValidation>
    <dataValidation type="whole" operator="greaterThan" allowBlank="1" showInputMessage="1" showErrorMessage="1" sqref="A3162">
      <formula1>0</formula1>
    </dataValidation>
    <dataValidation type="list" allowBlank="1" showInputMessage="1" showErrorMessage="1" sqref="C3162">
      <formula1>UnidadesList</formula1>
    </dataValidation>
    <dataValidation type="decimal" operator="greaterThan" allowBlank="1" showInputMessage="1" showErrorMessage="1" sqref="D3162">
      <formula1>0</formula1>
    </dataValidation>
    <dataValidation type="decimal" operator="greaterThan" allowBlank="1" showInputMessage="1" showErrorMessage="1" sqref="E3162">
      <formula1>0</formula1>
    </dataValidation>
    <dataValidation type="whole" operator="greaterThan" allowBlank="1" showInputMessage="1" showErrorMessage="1" sqref="A3163">
      <formula1>0</formula1>
    </dataValidation>
    <dataValidation type="list" allowBlank="1" showInputMessage="1" showErrorMessage="1" sqref="C3163">
      <formula1>UnidadesList</formula1>
    </dataValidation>
    <dataValidation type="decimal" operator="greaterThan" allowBlank="1" showInputMessage="1" showErrorMessage="1" sqref="D3163">
      <formula1>0</formula1>
    </dataValidation>
    <dataValidation type="decimal" operator="greaterThan" allowBlank="1" showInputMessage="1" showErrorMessage="1" sqref="E3163">
      <formula1>0</formula1>
    </dataValidation>
    <dataValidation type="whole" operator="greaterThan" allowBlank="1" showInputMessage="1" showErrorMessage="1" sqref="A3164">
      <formula1>0</formula1>
    </dataValidation>
    <dataValidation type="list" allowBlank="1" showInputMessage="1" showErrorMessage="1" sqref="C3164">
      <formula1>UnidadesList</formula1>
    </dataValidation>
    <dataValidation type="decimal" operator="greaterThan" allowBlank="1" showInputMessage="1" showErrorMessage="1" sqref="D3164">
      <formula1>0</formula1>
    </dataValidation>
    <dataValidation type="decimal" operator="greaterThan" allowBlank="1" showInputMessage="1" showErrorMessage="1" sqref="E3164">
      <formula1>0</formula1>
    </dataValidation>
    <dataValidation type="whole" operator="greaterThan" allowBlank="1" showInputMessage="1" showErrorMessage="1" sqref="A3165">
      <formula1>0</formula1>
    </dataValidation>
    <dataValidation type="list" allowBlank="1" showInputMessage="1" showErrorMessage="1" sqref="C3165">
      <formula1>UnidadesList</formula1>
    </dataValidation>
    <dataValidation type="decimal" operator="greaterThan" allowBlank="1" showInputMessage="1" showErrorMessage="1" sqref="D3165">
      <formula1>0</formula1>
    </dataValidation>
    <dataValidation type="decimal" operator="greaterThan" allowBlank="1" showInputMessage="1" showErrorMessage="1" sqref="E3165">
      <formula1>0</formula1>
    </dataValidation>
    <dataValidation type="whole" operator="greaterThan" allowBlank="1" showInputMessage="1" showErrorMessage="1" sqref="A3166">
      <formula1>0</formula1>
    </dataValidation>
    <dataValidation type="list" allowBlank="1" showInputMessage="1" showErrorMessage="1" sqref="C3166">
      <formula1>UnidadesList</formula1>
    </dataValidation>
    <dataValidation type="decimal" operator="greaterThan" allowBlank="1" showInputMessage="1" showErrorMessage="1" sqref="D3166">
      <formula1>0</formula1>
    </dataValidation>
    <dataValidation type="decimal" operator="greaterThan" allowBlank="1" showInputMessage="1" showErrorMessage="1" sqref="E3166">
      <formula1>0</formula1>
    </dataValidation>
    <dataValidation type="whole" operator="greaterThan" allowBlank="1" showInputMessage="1" showErrorMessage="1" sqref="A3167">
      <formula1>0</formula1>
    </dataValidation>
    <dataValidation type="list" allowBlank="1" showInputMessage="1" showErrorMessage="1" sqref="C3167">
      <formula1>UnidadesList</formula1>
    </dataValidation>
    <dataValidation type="decimal" operator="greaterThan" allowBlank="1" showInputMessage="1" showErrorMessage="1" sqref="D3167">
      <formula1>0</formula1>
    </dataValidation>
    <dataValidation type="decimal" operator="greaterThan" allowBlank="1" showInputMessage="1" showErrorMessage="1" sqref="E3167">
      <formula1>0</formula1>
    </dataValidation>
    <dataValidation type="whole" operator="greaterThan" allowBlank="1" showInputMessage="1" showErrorMessage="1" sqref="A3168">
      <formula1>0</formula1>
    </dataValidation>
    <dataValidation type="list" allowBlank="1" showInputMessage="1" showErrorMessage="1" sqref="C3168">
      <formula1>UnidadesList</formula1>
    </dataValidation>
    <dataValidation type="decimal" operator="greaterThan" allowBlank="1" showInputMessage="1" showErrorMessage="1" sqref="D3168">
      <formula1>0</formula1>
    </dataValidation>
    <dataValidation type="decimal" operator="greaterThan" allowBlank="1" showInputMessage="1" showErrorMessage="1" sqref="E3168">
      <formula1>0</formula1>
    </dataValidation>
    <dataValidation type="whole" operator="greaterThan" allowBlank="1" showInputMessage="1" showErrorMessage="1" sqref="A3169">
      <formula1>0</formula1>
    </dataValidation>
    <dataValidation type="list" allowBlank="1" showInputMessage="1" showErrorMessage="1" sqref="C3169">
      <formula1>UnidadesList</formula1>
    </dataValidation>
    <dataValidation type="decimal" operator="greaterThan" allowBlank="1" showInputMessage="1" showErrorMessage="1" sqref="D3169">
      <formula1>0</formula1>
    </dataValidation>
    <dataValidation type="decimal" operator="greaterThan" allowBlank="1" showInputMessage="1" showErrorMessage="1" sqref="E3169">
      <formula1>0</formula1>
    </dataValidation>
    <dataValidation type="whole" operator="greaterThan" allowBlank="1" showInputMessage="1" showErrorMessage="1" sqref="A3170">
      <formula1>0</formula1>
    </dataValidation>
    <dataValidation type="list" allowBlank="1" showInputMessage="1" showErrorMessage="1" sqref="C3170">
      <formula1>UnidadesList</formula1>
    </dataValidation>
    <dataValidation type="decimal" operator="greaterThan" allowBlank="1" showInputMessage="1" showErrorMessage="1" sqref="D3170">
      <formula1>0</formula1>
    </dataValidation>
    <dataValidation type="decimal" operator="greaterThan" allowBlank="1" showInputMessage="1" showErrorMessage="1" sqref="E3170">
      <formula1>0</formula1>
    </dataValidation>
    <dataValidation type="whole" operator="greaterThan" allowBlank="1" showInputMessage="1" showErrorMessage="1" sqref="A3171">
      <formula1>0</formula1>
    </dataValidation>
    <dataValidation type="list" allowBlank="1" showInputMessage="1" showErrorMessage="1" sqref="C3171">
      <formula1>UnidadesList</formula1>
    </dataValidation>
    <dataValidation type="decimal" operator="greaterThan" allowBlank="1" showInputMessage="1" showErrorMessage="1" sqref="D3171">
      <formula1>0</formula1>
    </dataValidation>
    <dataValidation type="decimal" operator="greaterThan" allowBlank="1" showInputMessage="1" showErrorMessage="1" sqref="E3171">
      <formula1>0</formula1>
    </dataValidation>
    <dataValidation type="whole" operator="greaterThan" allowBlank="1" showInputMessage="1" showErrorMessage="1" sqref="A3172">
      <formula1>0</formula1>
    </dataValidation>
    <dataValidation type="list" allowBlank="1" showInputMessage="1" showErrorMessage="1" sqref="C3172">
      <formula1>UnidadesList</formula1>
    </dataValidation>
    <dataValidation type="decimal" operator="greaterThan" allowBlank="1" showInputMessage="1" showErrorMessage="1" sqref="D3172">
      <formula1>0</formula1>
    </dataValidation>
    <dataValidation type="decimal" operator="greaterThan" allowBlank="1" showInputMessage="1" showErrorMessage="1" sqref="E3172">
      <formula1>0</formula1>
    </dataValidation>
    <dataValidation type="whole" operator="greaterThan" allowBlank="1" showInputMessage="1" showErrorMessage="1" sqref="A3173">
      <formula1>0</formula1>
    </dataValidation>
    <dataValidation type="list" allowBlank="1" showInputMessage="1" showErrorMessage="1" sqref="C3173">
      <formula1>UnidadesList</formula1>
    </dataValidation>
    <dataValidation type="decimal" operator="greaterThan" allowBlank="1" showInputMessage="1" showErrorMessage="1" sqref="D3173">
      <formula1>0</formula1>
    </dataValidation>
    <dataValidation type="decimal" operator="greaterThan" allowBlank="1" showInputMessage="1" showErrorMessage="1" sqref="E3173">
      <formula1>0</formula1>
    </dataValidation>
    <dataValidation type="whole" operator="greaterThan" allowBlank="1" showInputMessage="1" showErrorMessage="1" sqref="A3174">
      <formula1>0</formula1>
    </dataValidation>
    <dataValidation type="list" allowBlank="1" showInputMessage="1" showErrorMessage="1" sqref="C3174">
      <formula1>UnidadesList</formula1>
    </dataValidation>
    <dataValidation type="decimal" operator="greaterThan" allowBlank="1" showInputMessage="1" showErrorMessage="1" sqref="D3174">
      <formula1>0</formula1>
    </dataValidation>
    <dataValidation type="decimal" operator="greaterThan" allowBlank="1" showInputMessage="1" showErrorMessage="1" sqref="E3174">
      <formula1>0</formula1>
    </dataValidation>
    <dataValidation type="whole" operator="greaterThan" allowBlank="1" showInputMessage="1" showErrorMessage="1" sqref="A3175">
      <formula1>0</formula1>
    </dataValidation>
    <dataValidation type="list" allowBlank="1" showInputMessage="1" showErrorMessage="1" sqref="C3175">
      <formula1>UnidadesList</formula1>
    </dataValidation>
    <dataValidation type="decimal" operator="greaterThan" allowBlank="1" showInputMessage="1" showErrorMessage="1" sqref="D3175">
      <formula1>0</formula1>
    </dataValidation>
    <dataValidation type="decimal" operator="greaterThan" allowBlank="1" showInputMessage="1" showErrorMessage="1" sqref="E3175">
      <formula1>0</formula1>
    </dataValidation>
    <dataValidation type="whole" operator="greaterThan" allowBlank="1" showInputMessage="1" showErrorMessage="1" sqref="A3176">
      <formula1>0</formula1>
    </dataValidation>
    <dataValidation type="list" allowBlank="1" showInputMessage="1" showErrorMessage="1" sqref="C3176">
      <formula1>UnidadesList</formula1>
    </dataValidation>
    <dataValidation type="decimal" operator="greaterThan" allowBlank="1" showInputMessage="1" showErrorMessage="1" sqref="D3176">
      <formula1>0</formula1>
    </dataValidation>
    <dataValidation type="decimal" operator="greaterThan" allowBlank="1" showInputMessage="1" showErrorMessage="1" sqref="E3176">
      <formula1>0</formula1>
    </dataValidation>
    <dataValidation type="whole" operator="greaterThan" allowBlank="1" showInputMessage="1" showErrorMessage="1" sqref="A3177">
      <formula1>0</formula1>
    </dataValidation>
    <dataValidation type="list" allowBlank="1" showInputMessage="1" showErrorMessage="1" sqref="C3177">
      <formula1>UnidadesList</formula1>
    </dataValidation>
    <dataValidation type="decimal" operator="greaterThan" allowBlank="1" showInputMessage="1" showErrorMessage="1" sqref="D3177">
      <formula1>0</formula1>
    </dataValidation>
    <dataValidation type="decimal" operator="greaterThan" allowBlank="1" showInputMessage="1" showErrorMessage="1" sqref="E3177">
      <formula1>0</formula1>
    </dataValidation>
    <dataValidation type="whole" operator="greaterThan" allowBlank="1" showInputMessage="1" showErrorMessage="1" sqref="A3178">
      <formula1>0</formula1>
    </dataValidation>
    <dataValidation type="list" allowBlank="1" showInputMessage="1" showErrorMessage="1" sqref="C3178">
      <formula1>UnidadesList</formula1>
    </dataValidation>
    <dataValidation type="decimal" operator="greaterThan" allowBlank="1" showInputMessage="1" showErrorMessage="1" sqref="D3178">
      <formula1>0</formula1>
    </dataValidation>
    <dataValidation type="decimal" operator="greaterThan" allowBlank="1" showInputMessage="1" showErrorMessage="1" sqref="E3178">
      <formula1>0</formula1>
    </dataValidation>
    <dataValidation type="whole" operator="greaterThan" allowBlank="1" showInputMessage="1" showErrorMessage="1" sqref="A3179">
      <formula1>0</formula1>
    </dataValidation>
    <dataValidation type="list" allowBlank="1" showInputMessage="1" showErrorMessage="1" sqref="C3179">
      <formula1>UnidadesList</formula1>
    </dataValidation>
    <dataValidation type="decimal" operator="greaterThan" allowBlank="1" showInputMessage="1" showErrorMessage="1" sqref="D3179">
      <formula1>0</formula1>
    </dataValidation>
    <dataValidation type="decimal" operator="greaterThan" allowBlank="1" showInputMessage="1" showErrorMessage="1" sqref="E3179">
      <formula1>0</formula1>
    </dataValidation>
    <dataValidation type="whole" operator="greaterThan" allowBlank="1" showInputMessage="1" showErrorMessage="1" sqref="A3180">
      <formula1>0</formula1>
    </dataValidation>
    <dataValidation type="list" allowBlank="1" showInputMessage="1" showErrorMessage="1" sqref="C3180">
      <formula1>UnidadesList</formula1>
    </dataValidation>
    <dataValidation type="decimal" operator="greaterThan" allowBlank="1" showInputMessage="1" showErrorMessage="1" sqref="D3180">
      <formula1>0</formula1>
    </dataValidation>
    <dataValidation type="decimal" operator="greaterThan" allowBlank="1" showInputMessage="1" showErrorMessage="1" sqref="E3180">
      <formula1>0</formula1>
    </dataValidation>
    <dataValidation type="whole" operator="greaterThan" allowBlank="1" showInputMessage="1" showErrorMessage="1" sqref="A3181">
      <formula1>0</formula1>
    </dataValidation>
    <dataValidation type="list" allowBlank="1" showInputMessage="1" showErrorMessage="1" sqref="C3181">
      <formula1>UnidadesList</formula1>
    </dataValidation>
    <dataValidation type="decimal" operator="greaterThan" allowBlank="1" showInputMessage="1" showErrorMessage="1" sqref="D3181">
      <formula1>0</formula1>
    </dataValidation>
    <dataValidation type="decimal" operator="greaterThan" allowBlank="1" showInputMessage="1" showErrorMessage="1" sqref="E3181">
      <formula1>0</formula1>
    </dataValidation>
    <dataValidation type="whole" operator="greaterThan" allowBlank="1" showInputMessage="1" showErrorMessage="1" sqref="A3182">
      <formula1>0</formula1>
    </dataValidation>
    <dataValidation type="list" allowBlank="1" showInputMessage="1" showErrorMessage="1" sqref="C3182">
      <formula1>UnidadesList</formula1>
    </dataValidation>
    <dataValidation type="decimal" operator="greaterThan" allowBlank="1" showInputMessage="1" showErrorMessage="1" sqref="D3182">
      <formula1>0</formula1>
    </dataValidation>
    <dataValidation type="decimal" operator="greaterThan" allowBlank="1" showInputMessage="1" showErrorMessage="1" sqref="E3182">
      <formula1>0</formula1>
    </dataValidation>
    <dataValidation type="date" operator="lessThanOrEqual" allowBlank="1" showInputMessage="1" showErrorMessage="1" sqref="C3187">
      <formula1>C3189</formula1>
    </dataValidation>
    <dataValidation type="date" operator="greaterThanOrEqual" allowBlank="1" showInputMessage="1" showErrorMessage="1" sqref="C3189">
      <formula1>C3187</formula1>
    </dataValidation>
    <dataValidation type="list" allowBlank="1" showInputMessage="1" showErrorMessage="1" sqref="F31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1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1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1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193">
      <formula1>0</formula1>
    </dataValidation>
    <dataValidation type="list" allowBlank="1" showInputMessage="1" showErrorMessage="1" sqref="C3193">
      <formula1>UnidadesList</formula1>
    </dataValidation>
    <dataValidation type="decimal" operator="greaterThan" allowBlank="1" showInputMessage="1" showErrorMessage="1" sqref="D3193">
      <formula1>0</formula1>
    </dataValidation>
    <dataValidation type="decimal" operator="greaterThan" allowBlank="1" showInputMessage="1" showErrorMessage="1" sqref="E3193">
      <formula1>0</formula1>
    </dataValidation>
    <dataValidation type="whole" operator="greaterThan" allowBlank="1" showInputMessage="1" showErrorMessage="1" sqref="A3194">
      <formula1>0</formula1>
    </dataValidation>
    <dataValidation type="list" allowBlank="1" showInputMessage="1" showErrorMessage="1" sqref="C3194">
      <formula1>UnidadesList</formula1>
    </dataValidation>
    <dataValidation type="decimal" operator="greaterThan" allowBlank="1" showInputMessage="1" showErrorMessage="1" sqref="D3194">
      <formula1>0</formula1>
    </dataValidation>
    <dataValidation type="decimal" operator="greaterThan" allowBlank="1" showInputMessage="1" showErrorMessage="1" sqref="E3194">
      <formula1>0</formula1>
    </dataValidation>
    <dataValidation type="whole" operator="greaterThan" allowBlank="1" showInputMessage="1" showErrorMessage="1" sqref="A3195">
      <formula1>0</formula1>
    </dataValidation>
    <dataValidation type="list" allowBlank="1" showInputMessage="1" showErrorMessage="1" sqref="C3195">
      <formula1>UnidadesList</formula1>
    </dataValidation>
    <dataValidation type="decimal" operator="greaterThan" allowBlank="1" showInputMessage="1" showErrorMessage="1" sqref="D3195">
      <formula1>0</formula1>
    </dataValidation>
    <dataValidation type="decimal" operator="greaterThan" allowBlank="1" showInputMessage="1" showErrorMessage="1" sqref="E3195">
      <formula1>0</formula1>
    </dataValidation>
    <dataValidation type="whole" operator="greaterThan" allowBlank="1" showInputMessage="1" showErrorMessage="1" sqref="A3196">
      <formula1>0</formula1>
    </dataValidation>
    <dataValidation type="list" allowBlank="1" showInputMessage="1" showErrorMessage="1" sqref="C3196">
      <formula1>UnidadesList</formula1>
    </dataValidation>
    <dataValidation type="decimal" operator="greaterThan" allowBlank="1" showInputMessage="1" showErrorMessage="1" sqref="D3196">
      <formula1>0</formula1>
    </dataValidation>
    <dataValidation type="decimal" operator="greaterThan" allowBlank="1" showInputMessage="1" showErrorMessage="1" sqref="E3196">
      <formula1>0</formula1>
    </dataValidation>
    <dataValidation type="whole" operator="greaterThan" allowBlank="1" showInputMessage="1" showErrorMessage="1" sqref="A3197">
      <formula1>0</formula1>
    </dataValidation>
    <dataValidation type="list" allowBlank="1" showInputMessage="1" showErrorMessage="1" sqref="C3197">
      <formula1>UnidadesList</formula1>
    </dataValidation>
    <dataValidation type="decimal" operator="greaterThan" allowBlank="1" showInputMessage="1" showErrorMessage="1" sqref="D3197">
      <formula1>0</formula1>
    </dataValidation>
    <dataValidation type="decimal" operator="greaterThan" allowBlank="1" showInputMessage="1" showErrorMessage="1" sqref="E3197">
      <formula1>0</formula1>
    </dataValidation>
    <dataValidation type="whole" operator="greaterThan" allowBlank="1" showInputMessage="1" showErrorMessage="1" sqref="A3198">
      <formula1>0</formula1>
    </dataValidation>
    <dataValidation type="list" allowBlank="1" showInputMessage="1" showErrorMessage="1" sqref="C3198">
      <formula1>UnidadesList</formula1>
    </dataValidation>
    <dataValidation type="decimal" operator="greaterThan" allowBlank="1" showInputMessage="1" showErrorMessage="1" sqref="D3198">
      <formula1>0</formula1>
    </dataValidation>
    <dataValidation type="decimal" operator="greaterThan" allowBlank="1" showInputMessage="1" showErrorMessage="1" sqref="E3198">
      <formula1>0</formula1>
    </dataValidation>
    <dataValidation type="whole" operator="greaterThan" allowBlank="1" showInputMessage="1" showErrorMessage="1" sqref="A3199">
      <formula1>0</formula1>
    </dataValidation>
    <dataValidation type="list" allowBlank="1" showInputMessage="1" showErrorMessage="1" sqref="C3199">
      <formula1>UnidadesList</formula1>
    </dataValidation>
    <dataValidation type="decimal" operator="greaterThan" allowBlank="1" showInputMessage="1" showErrorMessage="1" sqref="D3199">
      <formula1>0</formula1>
    </dataValidation>
    <dataValidation type="decimal" operator="greaterThan" allowBlank="1" showInputMessage="1" showErrorMessage="1" sqref="E3199">
      <formula1>0</formula1>
    </dataValidation>
    <dataValidation type="whole" operator="greaterThan" allowBlank="1" showInputMessage="1" showErrorMessage="1" sqref="A3200">
      <formula1>0</formula1>
    </dataValidation>
    <dataValidation type="list" allowBlank="1" showInputMessage="1" showErrorMessage="1" sqref="C3200">
      <formula1>UnidadesList</formula1>
    </dataValidation>
    <dataValidation type="decimal" operator="greaterThan" allowBlank="1" showInputMessage="1" showErrorMessage="1" sqref="D3200">
      <formula1>0</formula1>
    </dataValidation>
    <dataValidation type="decimal" operator="greaterThan" allowBlank="1" showInputMessage="1" showErrorMessage="1" sqref="E3200">
      <formula1>0</formula1>
    </dataValidation>
    <dataValidation type="whole" operator="greaterThan" allowBlank="1" showInputMessage="1" showErrorMessage="1" sqref="A3201">
      <formula1>0</formula1>
    </dataValidation>
    <dataValidation type="list" allowBlank="1" showInputMessage="1" showErrorMessage="1" sqref="C3201">
      <formula1>UnidadesList</formula1>
    </dataValidation>
    <dataValidation type="decimal" operator="greaterThan" allowBlank="1" showInputMessage="1" showErrorMessage="1" sqref="D3201">
      <formula1>0</formula1>
    </dataValidation>
    <dataValidation type="decimal" operator="greaterThan" allowBlank="1" showInputMessage="1" showErrorMessage="1" sqref="E3201">
      <formula1>0</formula1>
    </dataValidation>
    <dataValidation type="whole" operator="greaterThan" allowBlank="1" showInputMessage="1" showErrorMessage="1" sqref="A3202">
      <formula1>0</formula1>
    </dataValidation>
    <dataValidation type="list" allowBlank="1" showInputMessage="1" showErrorMessage="1" sqref="C3202">
      <formula1>UnidadesList</formula1>
    </dataValidation>
    <dataValidation type="decimal" operator="greaterThan" allowBlank="1" showInputMessage="1" showErrorMessage="1" sqref="D3202">
      <formula1>0</formula1>
    </dataValidation>
    <dataValidation type="decimal" operator="greaterThan" allowBlank="1" showInputMessage="1" showErrorMessage="1" sqref="E3202">
      <formula1>0</formula1>
    </dataValidation>
    <dataValidation type="whole" operator="greaterThan" allowBlank="1" showInputMessage="1" showErrorMessage="1" sqref="A3203">
      <formula1>0</formula1>
    </dataValidation>
    <dataValidation type="list" allowBlank="1" showInputMessage="1" showErrorMessage="1" sqref="C3203">
      <formula1>UnidadesList</formula1>
    </dataValidation>
    <dataValidation type="decimal" operator="greaterThan" allowBlank="1" showInputMessage="1" showErrorMessage="1" sqref="D3203">
      <formula1>0</formula1>
    </dataValidation>
    <dataValidation type="decimal" operator="greaterThan" allowBlank="1" showInputMessage="1" showErrorMessage="1" sqref="E3203">
      <formula1>0</formula1>
    </dataValidation>
    <dataValidation type="whole" operator="greaterThan" allowBlank="1" showInputMessage="1" showErrorMessage="1" sqref="A3204">
      <formula1>0</formula1>
    </dataValidation>
    <dataValidation type="list" allowBlank="1" showInputMessage="1" showErrorMessage="1" sqref="C3204">
      <formula1>UnidadesList</formula1>
    </dataValidation>
    <dataValidation type="decimal" operator="greaterThan" allowBlank="1" showInputMessage="1" showErrorMessage="1" sqref="D3204">
      <formula1>0</formula1>
    </dataValidation>
    <dataValidation type="decimal" operator="greaterThan" allowBlank="1" showInputMessage="1" showErrorMessage="1" sqref="E3204">
      <formula1>0</formula1>
    </dataValidation>
    <dataValidation type="whole" operator="greaterThan" allowBlank="1" showInputMessage="1" showErrorMessage="1" sqref="A3205">
      <formula1>0</formula1>
    </dataValidation>
    <dataValidation type="list" allowBlank="1" showInputMessage="1" showErrorMessage="1" sqref="C3205">
      <formula1>UnidadesList</formula1>
    </dataValidation>
    <dataValidation type="decimal" operator="greaterThan" allowBlank="1" showInputMessage="1" showErrorMessage="1" sqref="D3205">
      <formula1>0</formula1>
    </dataValidation>
    <dataValidation type="decimal" operator="greaterThan" allowBlank="1" showInputMessage="1" showErrorMessage="1" sqref="E3205">
      <formula1>0</formula1>
    </dataValidation>
    <dataValidation type="whole" operator="greaterThan" allowBlank="1" showInputMessage="1" showErrorMessage="1" sqref="A3206">
      <formula1>0</formula1>
    </dataValidation>
    <dataValidation type="list" allowBlank="1" showInputMessage="1" showErrorMessage="1" sqref="C3206">
      <formula1>UnidadesList</formula1>
    </dataValidation>
    <dataValidation type="decimal" operator="greaterThan" allowBlank="1" showInputMessage="1" showErrorMessage="1" sqref="D3206">
      <formula1>0</formula1>
    </dataValidation>
    <dataValidation type="decimal" operator="greaterThan" allowBlank="1" showInputMessage="1" showErrorMessage="1" sqref="E3206">
      <formula1>0</formula1>
    </dataValidation>
    <dataValidation type="whole" operator="greaterThan" allowBlank="1" showInputMessage="1" showErrorMessage="1" sqref="A3207">
      <formula1>0</formula1>
    </dataValidation>
    <dataValidation type="list" allowBlank="1" showInputMessage="1" showErrorMessage="1" sqref="C3207">
      <formula1>UnidadesList</formula1>
    </dataValidation>
    <dataValidation type="decimal" operator="greaterThan" allowBlank="1" showInputMessage="1" showErrorMessage="1" sqref="D3207">
      <formula1>0</formula1>
    </dataValidation>
    <dataValidation type="decimal" operator="greaterThan" allowBlank="1" showInputMessage="1" showErrorMessage="1" sqref="E3207">
      <formula1>0</formula1>
    </dataValidation>
    <dataValidation type="whole" operator="greaterThan" allowBlank="1" showInputMessage="1" showErrorMessage="1" sqref="A3208">
      <formula1>0</formula1>
    </dataValidation>
    <dataValidation type="list" allowBlank="1" showInputMessage="1" showErrorMessage="1" sqref="C3208">
      <formula1>UnidadesList</formula1>
    </dataValidation>
    <dataValidation type="decimal" operator="greaterThan" allowBlank="1" showInputMessage="1" showErrorMessage="1" sqref="D3208">
      <formula1>0</formula1>
    </dataValidation>
    <dataValidation type="decimal" operator="greaterThan" allowBlank="1" showInputMessage="1" showErrorMessage="1" sqref="E3208">
      <formula1>0</formula1>
    </dataValidation>
    <dataValidation type="whole" operator="greaterThan" allowBlank="1" showInputMessage="1" showErrorMessage="1" sqref="A3209">
      <formula1>0</formula1>
    </dataValidation>
    <dataValidation type="list" allowBlank="1" showInputMessage="1" showErrorMessage="1" sqref="C3209">
      <formula1>UnidadesList</formula1>
    </dataValidation>
    <dataValidation type="decimal" operator="greaterThan" allowBlank="1" showInputMessage="1" showErrorMessage="1" sqref="D3209">
      <formula1>0</formula1>
    </dataValidation>
    <dataValidation type="decimal" operator="greaterThan" allowBlank="1" showInputMessage="1" showErrorMessage="1" sqref="E3209">
      <formula1>0</formula1>
    </dataValidation>
    <dataValidation type="whole" operator="greaterThan" allowBlank="1" showInputMessage="1" showErrorMessage="1" sqref="A3210">
      <formula1>0</formula1>
    </dataValidation>
    <dataValidation type="list" allowBlank="1" showInputMessage="1" showErrorMessage="1" sqref="C3210">
      <formula1>UnidadesList</formula1>
    </dataValidation>
    <dataValidation type="decimal" operator="greaterThan" allowBlank="1" showInputMessage="1" showErrorMessage="1" sqref="D3210">
      <formula1>0</formula1>
    </dataValidation>
    <dataValidation type="decimal" operator="greaterThan" allowBlank="1" showInputMessage="1" showErrorMessage="1" sqref="E3210">
      <formula1>0</formula1>
    </dataValidation>
    <dataValidation type="whole" operator="greaterThan" allowBlank="1" showInputMessage="1" showErrorMessage="1" sqref="A3211">
      <formula1>0</formula1>
    </dataValidation>
    <dataValidation type="list" allowBlank="1" showInputMessage="1" showErrorMessage="1" sqref="C3211">
      <formula1>UnidadesList</formula1>
    </dataValidation>
    <dataValidation type="decimal" operator="greaterThan" allowBlank="1" showInputMessage="1" showErrorMessage="1" sqref="D3211">
      <formula1>0</formula1>
    </dataValidation>
    <dataValidation type="decimal" operator="greaterThan" allowBlank="1" showInputMessage="1" showErrorMessage="1" sqref="E3211">
      <formula1>0</formula1>
    </dataValidation>
    <dataValidation type="whole" operator="greaterThan" allowBlank="1" showInputMessage="1" showErrorMessage="1" sqref="A3212">
      <formula1>0</formula1>
    </dataValidation>
    <dataValidation type="list" allowBlank="1" showInputMessage="1" showErrorMessage="1" sqref="C3212">
      <formula1>UnidadesList</formula1>
    </dataValidation>
    <dataValidation type="decimal" operator="greaterThan" allowBlank="1" showInputMessage="1" showErrorMessage="1" sqref="D3212">
      <formula1>0</formula1>
    </dataValidation>
    <dataValidation type="decimal" operator="greaterThan" allowBlank="1" showInputMessage="1" showErrorMessage="1" sqref="E3212">
      <formula1>0</formula1>
    </dataValidation>
    <dataValidation type="whole" operator="greaterThan" allowBlank="1" showInputMessage="1" showErrorMessage="1" sqref="A3213">
      <formula1>0</formula1>
    </dataValidation>
    <dataValidation type="list" allowBlank="1" showInputMessage="1" showErrorMessage="1" sqref="C3213">
      <formula1>UnidadesList</formula1>
    </dataValidation>
    <dataValidation type="decimal" operator="greaterThan" allowBlank="1" showInputMessage="1" showErrorMessage="1" sqref="D3213">
      <formula1>0</formula1>
    </dataValidation>
    <dataValidation type="decimal" operator="greaterThan" allowBlank="1" showInputMessage="1" showErrorMessage="1" sqref="E3213">
      <formula1>0</formula1>
    </dataValidation>
    <dataValidation type="whole" operator="greaterThan" allowBlank="1" showInputMessage="1" showErrorMessage="1" sqref="A3214">
      <formula1>0</formula1>
    </dataValidation>
    <dataValidation type="list" allowBlank="1" showInputMessage="1" showErrorMessage="1" sqref="C3214">
      <formula1>UnidadesList</formula1>
    </dataValidation>
    <dataValidation type="decimal" operator="greaterThan" allowBlank="1" showInputMessage="1" showErrorMessage="1" sqref="D3214">
      <formula1>0</formula1>
    </dataValidation>
    <dataValidation type="decimal" operator="greaterThan" allowBlank="1" showInputMessage="1" showErrorMessage="1" sqref="E3214">
      <formula1>0</formula1>
    </dataValidation>
    <dataValidation type="whole" operator="greaterThan" allowBlank="1" showInputMessage="1" showErrorMessage="1" sqref="A3215">
      <formula1>0</formula1>
    </dataValidation>
    <dataValidation type="list" allowBlank="1" showInputMessage="1" showErrorMessage="1" sqref="C3215">
      <formula1>UnidadesList</formula1>
    </dataValidation>
    <dataValidation type="decimal" operator="greaterThan" allowBlank="1" showInputMessage="1" showErrorMessage="1" sqref="D3215">
      <formula1>0</formula1>
    </dataValidation>
    <dataValidation type="decimal" operator="greaterThan" allowBlank="1" showInputMessage="1" showErrorMessage="1" sqref="E3215">
      <formula1>0</formula1>
    </dataValidation>
    <dataValidation type="whole" operator="greaterThan" allowBlank="1" showInputMessage="1" showErrorMessage="1" sqref="A3216">
      <formula1>0</formula1>
    </dataValidation>
    <dataValidation type="list" allowBlank="1" showInputMessage="1" showErrorMessage="1" sqref="C3216">
      <formula1>UnidadesList</formula1>
    </dataValidation>
    <dataValidation type="decimal" operator="greaterThan" allowBlank="1" showInputMessage="1" showErrorMessage="1" sqref="D3216">
      <formula1>0</formula1>
    </dataValidation>
    <dataValidation type="decimal" operator="greaterThan" allowBlank="1" showInputMessage="1" showErrorMessage="1" sqref="E3216">
      <formula1>0</formula1>
    </dataValidation>
    <dataValidation type="whole" operator="greaterThan" allowBlank="1" showInputMessage="1" showErrorMessage="1" sqref="A3217">
      <formula1>0</formula1>
    </dataValidation>
    <dataValidation type="list" allowBlank="1" showInputMessage="1" showErrorMessage="1" sqref="C3217">
      <formula1>UnidadesList</formula1>
    </dataValidation>
    <dataValidation type="decimal" operator="greaterThan" allowBlank="1" showInputMessage="1" showErrorMessage="1" sqref="D3217">
      <formula1>0</formula1>
    </dataValidation>
    <dataValidation type="decimal" operator="greaterThan" allowBlank="1" showInputMessage="1" showErrorMessage="1" sqref="E3217">
      <formula1>0</formula1>
    </dataValidation>
    <dataValidation type="whole" operator="greaterThan" allowBlank="1" showInputMessage="1" showErrorMessage="1" sqref="A3218">
      <formula1>0</formula1>
    </dataValidation>
    <dataValidation type="list" allowBlank="1" showInputMessage="1" showErrorMessage="1" sqref="C3218">
      <formula1>UnidadesList</formula1>
    </dataValidation>
    <dataValidation type="decimal" operator="greaterThan" allowBlank="1" showInputMessage="1" showErrorMessage="1" sqref="D3218">
      <formula1>0</formula1>
    </dataValidation>
    <dataValidation type="decimal" operator="greaterThan" allowBlank="1" showInputMessage="1" showErrorMessage="1" sqref="E3218">
      <formula1>0</formula1>
    </dataValidation>
    <dataValidation type="whole" operator="greaterThan" allowBlank="1" showInputMessage="1" showErrorMessage="1" sqref="A3219">
      <formula1>0</formula1>
    </dataValidation>
    <dataValidation type="list" allowBlank="1" showInputMessage="1" showErrorMessage="1" sqref="C3219">
      <formula1>UnidadesList</formula1>
    </dataValidation>
    <dataValidation type="decimal" operator="greaterThan" allowBlank="1" showInputMessage="1" showErrorMessage="1" sqref="D3219">
      <formula1>0</formula1>
    </dataValidation>
    <dataValidation type="decimal" operator="greaterThan" allowBlank="1" showInputMessage="1" showErrorMessage="1" sqref="E3219">
      <formula1>0</formula1>
    </dataValidation>
    <dataValidation type="whole" operator="greaterThan" allowBlank="1" showInputMessage="1" showErrorMessage="1" sqref="A3220">
      <formula1>0</formula1>
    </dataValidation>
    <dataValidation type="list" allowBlank="1" showInputMessage="1" showErrorMessage="1" sqref="C3220">
      <formula1>UnidadesList</formula1>
    </dataValidation>
    <dataValidation type="decimal" operator="greaterThan" allowBlank="1" showInputMessage="1" showErrorMessage="1" sqref="D3220">
      <formula1>0</formula1>
    </dataValidation>
    <dataValidation type="decimal" operator="greaterThan" allowBlank="1" showInputMessage="1" showErrorMessage="1" sqref="E3220">
      <formula1>0</formula1>
    </dataValidation>
    <dataValidation type="whole" operator="greaterThan" allowBlank="1" showInputMessage="1" showErrorMessage="1" sqref="A3221">
      <formula1>0</formula1>
    </dataValidation>
    <dataValidation type="list" allowBlank="1" showInputMessage="1" showErrorMessage="1" sqref="C3221">
      <formula1>UnidadesList</formula1>
    </dataValidation>
    <dataValidation type="decimal" operator="greaterThan" allowBlank="1" showInputMessage="1" showErrorMessage="1" sqref="D3221">
      <formula1>0</formula1>
    </dataValidation>
    <dataValidation type="decimal" operator="greaterThan" allowBlank="1" showInputMessage="1" showErrorMessage="1" sqref="E3221">
      <formula1>0</formula1>
    </dataValidation>
    <dataValidation type="whole" operator="greaterThan" allowBlank="1" showInputMessage="1" showErrorMessage="1" sqref="A3222">
      <formula1>0</formula1>
    </dataValidation>
    <dataValidation type="list" allowBlank="1" showInputMessage="1" showErrorMessage="1" sqref="C3222">
      <formula1>UnidadesList</formula1>
    </dataValidation>
    <dataValidation type="decimal" operator="greaterThan" allowBlank="1" showInputMessage="1" showErrorMessage="1" sqref="D3222">
      <formula1>0</formula1>
    </dataValidation>
    <dataValidation type="decimal" operator="greaterThan" allowBlank="1" showInputMessage="1" showErrorMessage="1" sqref="E3222">
      <formula1>0</formula1>
    </dataValidation>
    <dataValidation type="whole" operator="greaterThan" allowBlank="1" showInputMessage="1" showErrorMessage="1" sqref="A3223">
      <formula1>0</formula1>
    </dataValidation>
    <dataValidation type="list" allowBlank="1" showInputMessage="1" showErrorMessage="1" sqref="C3223">
      <formula1>UnidadesList</formula1>
    </dataValidation>
    <dataValidation type="decimal" operator="greaterThan" allowBlank="1" showInputMessage="1" showErrorMessage="1" sqref="D3223">
      <formula1>0</formula1>
    </dataValidation>
    <dataValidation type="decimal" operator="greaterThan" allowBlank="1" showInputMessage="1" showErrorMessage="1" sqref="E3223">
      <formula1>0</formula1>
    </dataValidation>
    <dataValidation type="whole" operator="greaterThan" allowBlank="1" showInputMessage="1" showErrorMessage="1" sqref="A3224">
      <formula1>0</formula1>
    </dataValidation>
    <dataValidation type="list" allowBlank="1" showInputMessage="1" showErrorMessage="1" sqref="C3224">
      <formula1>UnidadesList</formula1>
    </dataValidation>
    <dataValidation type="decimal" operator="greaterThan" allowBlank="1" showInputMessage="1" showErrorMessage="1" sqref="D3224">
      <formula1>0</formula1>
    </dataValidation>
    <dataValidation type="decimal" operator="greaterThan" allowBlank="1" showInputMessage="1" showErrorMessage="1" sqref="E3224">
      <formula1>0</formula1>
    </dataValidation>
    <dataValidation type="whole" operator="greaterThan" allowBlank="1" showInputMessage="1" showErrorMessage="1" sqref="A3225">
      <formula1>0</formula1>
    </dataValidation>
    <dataValidation type="list" allowBlank="1" showInputMessage="1" showErrorMessage="1" sqref="C3225">
      <formula1>UnidadesList</formula1>
    </dataValidation>
    <dataValidation type="decimal" operator="greaterThan" allowBlank="1" showInputMessage="1" showErrorMessage="1" sqref="D3225">
      <formula1>0</formula1>
    </dataValidation>
    <dataValidation type="decimal" operator="greaterThan" allowBlank="1" showInputMessage="1" showErrorMessage="1" sqref="E3225">
      <formula1>0</formula1>
    </dataValidation>
    <dataValidation type="whole" operator="greaterThan" allowBlank="1" showInputMessage="1" showErrorMessage="1" sqref="A3226">
      <formula1>0</formula1>
    </dataValidation>
    <dataValidation type="list" allowBlank="1" showInputMessage="1" showErrorMessage="1" sqref="C3226">
      <formula1>UnidadesList</formula1>
    </dataValidation>
    <dataValidation type="decimal" operator="greaterThan" allowBlank="1" showInputMessage="1" showErrorMessage="1" sqref="D3226">
      <formula1>0</formula1>
    </dataValidation>
    <dataValidation type="decimal" operator="greaterThan" allowBlank="1" showInputMessage="1" showErrorMessage="1" sqref="E3226">
      <formula1>0</formula1>
    </dataValidation>
    <dataValidation type="whole" operator="greaterThan" allowBlank="1" showInputMessage="1" showErrorMessage="1" sqref="A3227">
      <formula1>0</formula1>
    </dataValidation>
    <dataValidation type="list" allowBlank="1" showInputMessage="1" showErrorMessage="1" sqref="C3227">
      <formula1>UnidadesList</formula1>
    </dataValidation>
    <dataValidation type="decimal" operator="greaterThan" allowBlank="1" showInputMessage="1" showErrorMessage="1" sqref="D3227">
      <formula1>0</formula1>
    </dataValidation>
    <dataValidation type="decimal" operator="greaterThan" allowBlank="1" showInputMessage="1" showErrorMessage="1" sqref="E3227">
      <formula1>0</formula1>
    </dataValidation>
    <dataValidation type="whole" operator="greaterThan" allowBlank="1" showInputMessage="1" showErrorMessage="1" sqref="A3228">
      <formula1>0</formula1>
    </dataValidation>
    <dataValidation type="list" allowBlank="1" showInputMessage="1" showErrorMessage="1" sqref="C3228">
      <formula1>UnidadesList</formula1>
    </dataValidation>
    <dataValidation type="decimal" operator="greaterThan" allowBlank="1" showInputMessage="1" showErrorMessage="1" sqref="D3228">
      <formula1>0</formula1>
    </dataValidation>
    <dataValidation type="decimal" operator="greaterThan" allowBlank="1" showInputMessage="1" showErrorMessage="1" sqref="E3228">
      <formula1>0</formula1>
    </dataValidation>
    <dataValidation type="whole" operator="greaterThan" allowBlank="1" showInputMessage="1" showErrorMessage="1" sqref="A3229">
      <formula1>0</formula1>
    </dataValidation>
    <dataValidation type="list" allowBlank="1" showInputMessage="1" showErrorMessage="1" sqref="C3229">
      <formula1>UnidadesList</formula1>
    </dataValidation>
    <dataValidation type="decimal" operator="greaterThan" allowBlank="1" showInputMessage="1" showErrorMessage="1" sqref="D3229">
      <formula1>0</formula1>
    </dataValidation>
    <dataValidation type="decimal" operator="greaterThan" allowBlank="1" showInputMessage="1" showErrorMessage="1" sqref="E3229">
      <formula1>0</formula1>
    </dataValidation>
    <dataValidation type="whole" operator="greaterThan" allowBlank="1" showInputMessage="1" showErrorMessage="1" sqref="A3230">
      <formula1>0</formula1>
    </dataValidation>
    <dataValidation type="list" allowBlank="1" showInputMessage="1" showErrorMessage="1" sqref="C3230">
      <formula1>UnidadesList</formula1>
    </dataValidation>
    <dataValidation type="decimal" operator="greaterThan" allowBlank="1" showInputMessage="1" showErrorMessage="1" sqref="D3230">
      <formula1>0</formula1>
    </dataValidation>
    <dataValidation type="decimal" operator="greaterThan" allowBlank="1" showInputMessage="1" showErrorMessage="1" sqref="E3230">
      <formula1>0</formula1>
    </dataValidation>
    <dataValidation type="whole" operator="greaterThan" allowBlank="1" showInputMessage="1" showErrorMessage="1" sqref="A3231">
      <formula1>0</formula1>
    </dataValidation>
    <dataValidation type="list" allowBlank="1" showInputMessage="1" showErrorMessage="1" sqref="C3231">
      <formula1>UnidadesList</formula1>
    </dataValidation>
    <dataValidation type="decimal" operator="greaterThan" allowBlank="1" showInputMessage="1" showErrorMessage="1" sqref="D3231">
      <formula1>0</formula1>
    </dataValidation>
    <dataValidation type="decimal" operator="greaterThan" allowBlank="1" showInputMessage="1" showErrorMessage="1" sqref="E3231">
      <formula1>0</formula1>
    </dataValidation>
    <dataValidation type="whole" operator="greaterThan" allowBlank="1" showInputMessage="1" showErrorMessage="1" sqref="A3232">
      <formula1>0</formula1>
    </dataValidation>
    <dataValidation type="list" allowBlank="1" showInputMessage="1" showErrorMessage="1" sqref="C3232">
      <formula1>UnidadesList</formula1>
    </dataValidation>
    <dataValidation type="decimal" operator="greaterThan" allowBlank="1" showInputMessage="1" showErrorMessage="1" sqref="D3232">
      <formula1>0</formula1>
    </dataValidation>
    <dataValidation type="decimal" operator="greaterThan" allowBlank="1" showInputMessage="1" showErrorMessage="1" sqref="E3232">
      <formula1>0</formula1>
    </dataValidation>
    <dataValidation type="whole" operator="greaterThan" allowBlank="1" showInputMessage="1" showErrorMessage="1" sqref="A3233">
      <formula1>0</formula1>
    </dataValidation>
    <dataValidation type="list" allowBlank="1" showInputMessage="1" showErrorMessage="1" sqref="C3233">
      <formula1>UnidadesList</formula1>
    </dataValidation>
    <dataValidation type="decimal" operator="greaterThan" allowBlank="1" showInputMessage="1" showErrorMessage="1" sqref="D3233">
      <formula1>0</formula1>
    </dataValidation>
    <dataValidation type="decimal" operator="greaterThan" allowBlank="1" showInputMessage="1" showErrorMessage="1" sqref="E3233">
      <formula1>0</formula1>
    </dataValidation>
    <dataValidation type="date" operator="lessThanOrEqual" allowBlank="1" showInputMessage="1" showErrorMessage="1" sqref="C3238">
      <formula1>C3240</formula1>
    </dataValidation>
    <dataValidation type="date" operator="greaterThanOrEqual" allowBlank="1" showInputMessage="1" showErrorMessage="1" sqref="C3240">
      <formula1>C3238</formula1>
    </dataValidation>
    <dataValidation type="list" allowBlank="1" showInputMessage="1" showErrorMessage="1" sqref="F323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23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24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24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244">
      <formula1>0</formula1>
    </dataValidation>
    <dataValidation type="list" allowBlank="1" showInputMessage="1" showErrorMessage="1" sqref="C3244">
      <formula1>UnidadesList</formula1>
    </dataValidation>
    <dataValidation type="decimal" operator="greaterThan" allowBlank="1" showInputMessage="1" showErrorMessage="1" sqref="D3244">
      <formula1>0</formula1>
    </dataValidation>
    <dataValidation type="decimal" operator="greaterThan" allowBlank="1" showInputMessage="1" showErrorMessage="1" sqref="E3244">
      <formula1>0</formula1>
    </dataValidation>
    <dataValidation type="whole" operator="greaterThan" allowBlank="1" showInputMessage="1" showErrorMessage="1" sqref="A3245">
      <formula1>0</formula1>
    </dataValidation>
    <dataValidation type="list" allowBlank="1" showInputMessage="1" showErrorMessage="1" sqref="C3245">
      <formula1>UnidadesList</formula1>
    </dataValidation>
    <dataValidation type="decimal" operator="greaterThan" allowBlank="1" showInputMessage="1" showErrorMessage="1" sqref="D3245">
      <formula1>0</formula1>
    </dataValidation>
    <dataValidation type="decimal" operator="greaterThan" allowBlank="1" showInputMessage="1" showErrorMessage="1" sqref="E3245">
      <formula1>0</formula1>
    </dataValidation>
    <dataValidation type="whole" operator="greaterThan" allowBlank="1" showInputMessage="1" showErrorMessage="1" sqref="A3246">
      <formula1>0</formula1>
    </dataValidation>
    <dataValidation type="list" allowBlank="1" showInputMessage="1" showErrorMessage="1" sqref="C3246">
      <formula1>UnidadesList</formula1>
    </dataValidation>
    <dataValidation type="decimal" operator="greaterThan" allowBlank="1" showInputMessage="1" showErrorMessage="1" sqref="D3246">
      <formula1>0</formula1>
    </dataValidation>
    <dataValidation type="decimal" operator="greaterThan" allowBlank="1" showInputMessage="1" showErrorMessage="1" sqref="E3246">
      <formula1>0</formula1>
    </dataValidation>
    <dataValidation type="whole" operator="greaterThan" allowBlank="1" showInputMessage="1" showErrorMessage="1" sqref="A3247">
      <formula1>0</formula1>
    </dataValidation>
    <dataValidation type="list" allowBlank="1" showInputMessage="1" showErrorMessage="1" sqref="C3247">
      <formula1>UnidadesList</formula1>
    </dataValidation>
    <dataValidation type="decimal" operator="greaterThan" allowBlank="1" showInputMessage="1" showErrorMessage="1" sqref="D3247">
      <formula1>0</formula1>
    </dataValidation>
    <dataValidation type="decimal" operator="greaterThan" allowBlank="1" showInputMessage="1" showErrorMessage="1" sqref="E3247">
      <formula1>0</formula1>
    </dataValidation>
    <dataValidation type="whole" operator="greaterThan" allowBlank="1" showInputMessage="1" showErrorMessage="1" sqref="A3248">
      <formula1>0</formula1>
    </dataValidation>
    <dataValidation type="list" allowBlank="1" showInputMessage="1" showErrorMessage="1" sqref="C3248">
      <formula1>UnidadesList</formula1>
    </dataValidation>
    <dataValidation type="decimal" operator="greaterThan" allowBlank="1" showInputMessage="1" showErrorMessage="1" sqref="D3248">
      <formula1>0</formula1>
    </dataValidation>
    <dataValidation type="decimal" operator="greaterThan" allowBlank="1" showInputMessage="1" showErrorMessage="1" sqref="E3248">
      <formula1>0</formula1>
    </dataValidation>
    <dataValidation type="whole" operator="greaterThan" allowBlank="1" showInputMessage="1" showErrorMessage="1" sqref="A3249">
      <formula1>0</formula1>
    </dataValidation>
    <dataValidation type="list" allowBlank="1" showInputMessage="1" showErrorMessage="1" sqref="C3249">
      <formula1>UnidadesList</formula1>
    </dataValidation>
    <dataValidation type="decimal" operator="greaterThan" allowBlank="1" showInputMessage="1" showErrorMessage="1" sqref="D3249">
      <formula1>0</formula1>
    </dataValidation>
    <dataValidation type="decimal" operator="greaterThan" allowBlank="1" showInputMessage="1" showErrorMessage="1" sqref="E3249">
      <formula1>0</formula1>
    </dataValidation>
    <dataValidation type="whole" operator="greaterThan" allowBlank="1" showInputMessage="1" showErrorMessage="1" sqref="A3250">
      <formula1>0</formula1>
    </dataValidation>
    <dataValidation type="list" allowBlank="1" showInputMessage="1" showErrorMessage="1" sqref="C3250">
      <formula1>UnidadesList</formula1>
    </dataValidation>
    <dataValidation type="decimal" operator="greaterThan" allowBlank="1" showInputMessage="1" showErrorMessage="1" sqref="D3250">
      <formula1>0</formula1>
    </dataValidation>
    <dataValidation type="decimal" operator="greaterThan" allowBlank="1" showInputMessage="1" showErrorMessage="1" sqref="E3250">
      <formula1>0</formula1>
    </dataValidation>
    <dataValidation type="whole" operator="greaterThan" allowBlank="1" showInputMessage="1" showErrorMessage="1" sqref="A3251">
      <formula1>0</formula1>
    </dataValidation>
    <dataValidation type="list" allowBlank="1" showInputMessage="1" showErrorMessage="1" sqref="C3251">
      <formula1>UnidadesList</formula1>
    </dataValidation>
    <dataValidation type="decimal" operator="greaterThan" allowBlank="1" showInputMessage="1" showErrorMessage="1" sqref="D3251">
      <formula1>0</formula1>
    </dataValidation>
    <dataValidation type="decimal" operator="greaterThan" allowBlank="1" showInputMessage="1" showErrorMessage="1" sqref="E3251">
      <formula1>0</formula1>
    </dataValidation>
    <dataValidation type="whole" operator="greaterThan" allowBlank="1" showInputMessage="1" showErrorMessage="1" sqref="A3252">
      <formula1>0</formula1>
    </dataValidation>
    <dataValidation type="list" allowBlank="1" showInputMessage="1" showErrorMessage="1" sqref="C3252">
      <formula1>UnidadesList</formula1>
    </dataValidation>
    <dataValidation type="decimal" operator="greaterThan" allowBlank="1" showInputMessage="1" showErrorMessage="1" sqref="D3252">
      <formula1>0</formula1>
    </dataValidation>
    <dataValidation type="decimal" operator="greaterThan" allowBlank="1" showInputMessage="1" showErrorMessage="1" sqref="E3252">
      <formula1>0</formula1>
    </dataValidation>
    <dataValidation type="whole" operator="greaterThan" allowBlank="1" showInputMessage="1" showErrorMessage="1" sqref="A3253">
      <formula1>0</formula1>
    </dataValidation>
    <dataValidation type="list" allowBlank="1" showInputMessage="1" showErrorMessage="1" sqref="C3253">
      <formula1>UnidadesList</formula1>
    </dataValidation>
    <dataValidation type="decimal" operator="greaterThan" allowBlank="1" showInputMessage="1" showErrorMessage="1" sqref="D3253">
      <formula1>0</formula1>
    </dataValidation>
    <dataValidation type="decimal" operator="greaterThan" allowBlank="1" showInputMessage="1" showErrorMessage="1" sqref="E3253">
      <formula1>0</formula1>
    </dataValidation>
    <dataValidation type="whole" operator="greaterThan" allowBlank="1" showInputMessage="1" showErrorMessage="1" sqref="A3254">
      <formula1>0</formula1>
    </dataValidation>
    <dataValidation type="list" allowBlank="1" showInputMessage="1" showErrorMessage="1" sqref="C3254">
      <formula1>UnidadesList</formula1>
    </dataValidation>
    <dataValidation type="decimal" operator="greaterThan" allowBlank="1" showInputMessage="1" showErrorMessage="1" sqref="D3254">
      <formula1>0</formula1>
    </dataValidation>
    <dataValidation type="decimal" operator="greaterThan" allowBlank="1" showInputMessage="1" showErrorMessage="1" sqref="E3254">
      <formula1>0</formula1>
    </dataValidation>
    <dataValidation type="whole" operator="greaterThan" allowBlank="1" showInputMessage="1" showErrorMessage="1" sqref="A3255">
      <formula1>0</formula1>
    </dataValidation>
    <dataValidation type="list" allowBlank="1" showInputMessage="1" showErrorMessage="1" sqref="C3255">
      <formula1>UnidadesList</formula1>
    </dataValidation>
    <dataValidation type="decimal" operator="greaterThan" allowBlank="1" showInputMessage="1" showErrorMessage="1" sqref="D3255">
      <formula1>0</formula1>
    </dataValidation>
    <dataValidation type="decimal" operator="greaterThan" allowBlank="1" showInputMessage="1" showErrorMessage="1" sqref="E3255">
      <formula1>0</formula1>
    </dataValidation>
    <dataValidation type="whole" operator="greaterThan" allowBlank="1" showInputMessage="1" showErrorMessage="1" sqref="A3256">
      <formula1>0</formula1>
    </dataValidation>
    <dataValidation type="list" allowBlank="1" showInputMessage="1" showErrorMessage="1" sqref="C3256">
      <formula1>UnidadesList</formula1>
    </dataValidation>
    <dataValidation type="decimal" operator="greaterThan" allowBlank="1" showInputMessage="1" showErrorMessage="1" sqref="D3256">
      <formula1>0</formula1>
    </dataValidation>
    <dataValidation type="decimal" operator="greaterThan" allowBlank="1" showInputMessage="1" showErrorMessage="1" sqref="E3256">
      <formula1>0</formula1>
    </dataValidation>
    <dataValidation type="whole" operator="greaterThan" allowBlank="1" showInputMessage="1" showErrorMessage="1" sqref="A3257">
      <formula1>0</formula1>
    </dataValidation>
    <dataValidation type="list" allowBlank="1" showInputMessage="1" showErrorMessage="1" sqref="C3257">
      <formula1>UnidadesList</formula1>
    </dataValidation>
    <dataValidation type="decimal" operator="greaterThan" allowBlank="1" showInputMessage="1" showErrorMessage="1" sqref="D3257">
      <formula1>0</formula1>
    </dataValidation>
    <dataValidation type="decimal" operator="greaterThan" allowBlank="1" showInputMessage="1" showErrorMessage="1" sqref="E3257">
      <formula1>0</formula1>
    </dataValidation>
    <dataValidation type="whole" operator="greaterThan" allowBlank="1" showInputMessage="1" showErrorMessage="1" sqref="A3258">
      <formula1>0</formula1>
    </dataValidation>
    <dataValidation type="list" allowBlank="1" showInputMessage="1" showErrorMessage="1" sqref="C3258">
      <formula1>UnidadesList</formula1>
    </dataValidation>
    <dataValidation type="decimal" operator="greaterThan" allowBlank="1" showInputMessage="1" showErrorMessage="1" sqref="D3258">
      <formula1>0</formula1>
    </dataValidation>
    <dataValidation type="decimal" operator="greaterThan" allowBlank="1" showInputMessage="1" showErrorMessage="1" sqref="E3258">
      <formula1>0</formula1>
    </dataValidation>
    <dataValidation type="whole" operator="greaterThan" allowBlank="1" showInputMessage="1" showErrorMessage="1" sqref="A3259">
      <formula1>0</formula1>
    </dataValidation>
    <dataValidation type="list" allowBlank="1" showInputMessage="1" showErrorMessage="1" sqref="C3259">
      <formula1>UnidadesList</formula1>
    </dataValidation>
    <dataValidation type="decimal" operator="greaterThan" allowBlank="1" showInputMessage="1" showErrorMessage="1" sqref="D3259">
      <formula1>0</formula1>
    </dataValidation>
    <dataValidation type="decimal" operator="greaterThan" allowBlank="1" showInputMessage="1" showErrorMessage="1" sqref="E3259">
      <formula1>0</formula1>
    </dataValidation>
    <dataValidation type="whole" operator="greaterThan" allowBlank="1" showInputMessage="1" showErrorMessage="1" sqref="A3260">
      <formula1>0</formula1>
    </dataValidation>
    <dataValidation type="list" allowBlank="1" showInputMessage="1" showErrorMessage="1" sqref="C3260">
      <formula1>UnidadesList</formula1>
    </dataValidation>
    <dataValidation type="decimal" operator="greaterThan" allowBlank="1" showInputMessage="1" showErrorMessage="1" sqref="D3260">
      <formula1>0</formula1>
    </dataValidation>
    <dataValidation type="decimal" operator="greaterThan" allowBlank="1" showInputMessage="1" showErrorMessage="1" sqref="E3260">
      <formula1>0</formula1>
    </dataValidation>
    <dataValidation type="whole" operator="greaterThan" allowBlank="1" showInputMessage="1" showErrorMessage="1" sqref="A3261">
      <formula1>0</formula1>
    </dataValidation>
    <dataValidation type="list" allowBlank="1" showInputMessage="1" showErrorMessage="1" sqref="C3261">
      <formula1>UnidadesList</formula1>
    </dataValidation>
    <dataValidation type="decimal" operator="greaterThan" allowBlank="1" showInputMessage="1" showErrorMessage="1" sqref="D3261">
      <formula1>0</formula1>
    </dataValidation>
    <dataValidation type="decimal" operator="greaterThan" allowBlank="1" showInputMessage="1" showErrorMessage="1" sqref="E3261">
      <formula1>0</formula1>
    </dataValidation>
    <dataValidation type="whole" operator="greaterThan" allowBlank="1" showInputMessage="1" showErrorMessage="1" sqref="A3262">
      <formula1>0</formula1>
    </dataValidation>
    <dataValidation type="list" allowBlank="1" showInputMessage="1" showErrorMessage="1" sqref="C3262">
      <formula1>UnidadesList</formula1>
    </dataValidation>
    <dataValidation type="decimal" operator="greaterThan" allowBlank="1" showInputMessage="1" showErrorMessage="1" sqref="D3262">
      <formula1>0</formula1>
    </dataValidation>
    <dataValidation type="decimal" operator="greaterThan" allowBlank="1" showInputMessage="1" showErrorMessage="1" sqref="E3262">
      <formula1>0</formula1>
    </dataValidation>
    <dataValidation type="whole" operator="greaterThan" allowBlank="1" showInputMessage="1" showErrorMessage="1" sqref="A3263">
      <formula1>0</formula1>
    </dataValidation>
    <dataValidation type="list" allowBlank="1" showInputMessage="1" showErrorMessage="1" sqref="C3263">
      <formula1>UnidadesList</formula1>
    </dataValidation>
    <dataValidation type="decimal" operator="greaterThan" allowBlank="1" showInputMessage="1" showErrorMessage="1" sqref="D3263">
      <formula1>0</formula1>
    </dataValidation>
    <dataValidation type="decimal" operator="greaterThan" allowBlank="1" showInputMessage="1" showErrorMessage="1" sqref="E3263">
      <formula1>0</formula1>
    </dataValidation>
    <dataValidation type="whole" operator="greaterThan" allowBlank="1" showInputMessage="1" showErrorMessage="1" sqref="A3264">
      <formula1>0</formula1>
    </dataValidation>
    <dataValidation type="list" allowBlank="1" showInputMessage="1" showErrorMessage="1" sqref="C3264">
      <formula1>UnidadesList</formula1>
    </dataValidation>
    <dataValidation type="decimal" operator="greaterThan" allowBlank="1" showInputMessage="1" showErrorMessage="1" sqref="D3264">
      <formula1>0</formula1>
    </dataValidation>
    <dataValidation type="decimal" operator="greaterThan" allowBlank="1" showInputMessage="1" showErrorMessage="1" sqref="E3264">
      <formula1>0</formula1>
    </dataValidation>
    <dataValidation type="whole" operator="greaterThan" allowBlank="1" showInputMessage="1" showErrorMessage="1" sqref="A3265">
      <formula1>0</formula1>
    </dataValidation>
    <dataValidation type="list" allowBlank="1" showInputMessage="1" showErrorMessage="1" sqref="C3265">
      <formula1>UnidadesList</formula1>
    </dataValidation>
    <dataValidation type="decimal" operator="greaterThan" allowBlank="1" showInputMessage="1" showErrorMessage="1" sqref="D3265">
      <formula1>0</formula1>
    </dataValidation>
    <dataValidation type="decimal" operator="greaterThan" allowBlank="1" showInputMessage="1" showErrorMessage="1" sqref="E3265">
      <formula1>0</formula1>
    </dataValidation>
    <dataValidation type="whole" operator="greaterThan" allowBlank="1" showInputMessage="1" showErrorMessage="1" sqref="A3266">
      <formula1>0</formula1>
    </dataValidation>
    <dataValidation type="list" allowBlank="1" showInputMessage="1" showErrorMessage="1" sqref="C3266">
      <formula1>UnidadesList</formula1>
    </dataValidation>
    <dataValidation type="decimal" operator="greaterThan" allowBlank="1" showInputMessage="1" showErrorMessage="1" sqref="D3266">
      <formula1>0</formula1>
    </dataValidation>
    <dataValidation type="decimal" operator="greaterThan" allowBlank="1" showInputMessage="1" showErrorMessage="1" sqref="E3266">
      <formula1>0</formula1>
    </dataValidation>
    <dataValidation type="whole" operator="greaterThan" allowBlank="1" showInputMessage="1" showErrorMessage="1" sqref="A3267">
      <formula1>0</formula1>
    </dataValidation>
    <dataValidation type="list" allowBlank="1" showInputMessage="1" showErrorMessage="1" sqref="C3267">
      <formula1>UnidadesList</formula1>
    </dataValidation>
    <dataValidation type="decimal" operator="greaterThan" allowBlank="1" showInputMessage="1" showErrorMessage="1" sqref="D3267">
      <formula1>0</formula1>
    </dataValidation>
    <dataValidation type="decimal" operator="greaterThan" allowBlank="1" showInputMessage="1" showErrorMessage="1" sqref="E3267">
      <formula1>0</formula1>
    </dataValidation>
    <dataValidation type="whole" operator="greaterThan" allowBlank="1" showInputMessage="1" showErrorMessage="1" sqref="A3268">
      <formula1>0</formula1>
    </dataValidation>
    <dataValidation type="list" allowBlank="1" showInputMessage="1" showErrorMessage="1" sqref="C3268">
      <formula1>UnidadesList</formula1>
    </dataValidation>
    <dataValidation type="decimal" operator="greaterThan" allowBlank="1" showInputMessage="1" showErrorMessage="1" sqref="D3268">
      <formula1>0</formula1>
    </dataValidation>
    <dataValidation type="decimal" operator="greaterThan" allowBlank="1" showInputMessage="1" showErrorMessage="1" sqref="E3268">
      <formula1>0</formula1>
    </dataValidation>
    <dataValidation type="whole" operator="greaterThan" allowBlank="1" showInputMessage="1" showErrorMessage="1" sqref="A3269">
      <formula1>0</formula1>
    </dataValidation>
    <dataValidation type="list" allowBlank="1" showInputMessage="1" showErrorMessage="1" sqref="C3269">
      <formula1>UnidadesList</formula1>
    </dataValidation>
    <dataValidation type="decimal" operator="greaterThan" allowBlank="1" showInputMessage="1" showErrorMessage="1" sqref="D3269">
      <formula1>0</formula1>
    </dataValidation>
    <dataValidation type="decimal" operator="greaterThan" allowBlank="1" showInputMessage="1" showErrorMessage="1" sqref="E3269">
      <formula1>0</formula1>
    </dataValidation>
    <dataValidation type="whole" operator="greaterThan" allowBlank="1" showInputMessage="1" showErrorMessage="1" sqref="A3270">
      <formula1>0</formula1>
    </dataValidation>
    <dataValidation type="list" allowBlank="1" showInputMessage="1" showErrorMessage="1" sqref="C3270">
      <formula1>UnidadesList</formula1>
    </dataValidation>
    <dataValidation type="decimal" operator="greaterThan" allowBlank="1" showInputMessage="1" showErrorMessage="1" sqref="D3270">
      <formula1>0</formula1>
    </dataValidation>
    <dataValidation type="decimal" operator="greaterThan" allowBlank="1" showInputMessage="1" showErrorMessage="1" sqref="E3270">
      <formula1>0</formula1>
    </dataValidation>
    <dataValidation type="whole" operator="greaterThan" allowBlank="1" showInputMessage="1" showErrorMessage="1" sqref="A3271">
      <formula1>0</formula1>
    </dataValidation>
    <dataValidation type="list" allowBlank="1" showInputMessage="1" showErrorMessage="1" sqref="C3271">
      <formula1>UnidadesList</formula1>
    </dataValidation>
    <dataValidation type="decimal" operator="greaterThan" allowBlank="1" showInputMessage="1" showErrorMessage="1" sqref="D3271">
      <formula1>0</formula1>
    </dataValidation>
    <dataValidation type="decimal" operator="greaterThan" allowBlank="1" showInputMessage="1" showErrorMessage="1" sqref="E3271">
      <formula1>0</formula1>
    </dataValidation>
    <dataValidation type="whole" operator="greaterThan" allowBlank="1" showInputMessage="1" showErrorMessage="1" sqref="A3272">
      <formula1>0</formula1>
    </dataValidation>
    <dataValidation type="list" allowBlank="1" showInputMessage="1" showErrorMessage="1" sqref="C3272">
      <formula1>UnidadesList</formula1>
    </dataValidation>
    <dataValidation type="decimal" operator="greaterThan" allowBlank="1" showInputMessage="1" showErrorMessage="1" sqref="D3272">
      <formula1>0</formula1>
    </dataValidation>
    <dataValidation type="decimal" operator="greaterThan" allowBlank="1" showInputMessage="1" showErrorMessage="1" sqref="E3272">
      <formula1>0</formula1>
    </dataValidation>
    <dataValidation type="whole" operator="greaterThan" allowBlank="1" showInputMessage="1" showErrorMessage="1" sqref="A3273">
      <formula1>0</formula1>
    </dataValidation>
    <dataValidation type="list" allowBlank="1" showInputMessage="1" showErrorMessage="1" sqref="C3273">
      <formula1>UnidadesList</formula1>
    </dataValidation>
    <dataValidation type="decimal" operator="greaterThan" allowBlank="1" showInputMessage="1" showErrorMessage="1" sqref="D3273">
      <formula1>0</formula1>
    </dataValidation>
    <dataValidation type="decimal" operator="greaterThan" allowBlank="1" showInputMessage="1" showErrorMessage="1" sqref="E3273">
      <formula1>0</formula1>
    </dataValidation>
    <dataValidation type="whole" operator="greaterThan" allowBlank="1" showInputMessage="1" showErrorMessage="1" sqref="A3274">
      <formula1>0</formula1>
    </dataValidation>
    <dataValidation type="list" allowBlank="1" showInputMessage="1" showErrorMessage="1" sqref="C3274">
      <formula1>UnidadesList</formula1>
    </dataValidation>
    <dataValidation type="decimal" operator="greaterThan" allowBlank="1" showInputMessage="1" showErrorMessage="1" sqref="D3274">
      <formula1>0</formula1>
    </dataValidation>
    <dataValidation type="decimal" operator="greaterThan" allowBlank="1" showInputMessage="1" showErrorMessage="1" sqref="E3274">
      <formula1>0</formula1>
    </dataValidation>
    <dataValidation type="whole" operator="greaterThan" allowBlank="1" showInputMessage="1" showErrorMessage="1" sqref="A3275">
      <formula1>0</formula1>
    </dataValidation>
    <dataValidation type="list" allowBlank="1" showInputMessage="1" showErrorMessage="1" sqref="C3275">
      <formula1>UnidadesList</formula1>
    </dataValidation>
    <dataValidation type="decimal" operator="greaterThan" allowBlank="1" showInputMessage="1" showErrorMessage="1" sqref="D3275">
      <formula1>0</formula1>
    </dataValidation>
    <dataValidation type="decimal" operator="greaterThan" allowBlank="1" showInputMessage="1" showErrorMessage="1" sqref="E3275">
      <formula1>0</formula1>
    </dataValidation>
    <dataValidation type="whole" operator="greaterThan" allowBlank="1" showInputMessage="1" showErrorMessage="1" sqref="A3276">
      <formula1>0</formula1>
    </dataValidation>
    <dataValidation type="list" allowBlank="1" showInputMessage="1" showErrorMessage="1" sqref="C3276">
      <formula1>UnidadesList</formula1>
    </dataValidation>
    <dataValidation type="decimal" operator="greaterThan" allowBlank="1" showInputMessage="1" showErrorMessage="1" sqref="D3276">
      <formula1>0</formula1>
    </dataValidation>
    <dataValidation type="decimal" operator="greaterThan" allowBlank="1" showInputMessage="1" showErrorMessage="1" sqref="E3276">
      <formula1>0</formula1>
    </dataValidation>
    <dataValidation type="whole" operator="greaterThan" allowBlank="1" showInputMessage="1" showErrorMessage="1" sqref="A3277">
      <formula1>0</formula1>
    </dataValidation>
    <dataValidation type="list" allowBlank="1" showInputMessage="1" showErrorMessage="1" sqref="C3277">
      <formula1>UnidadesList</formula1>
    </dataValidation>
    <dataValidation type="decimal" operator="greaterThan" allowBlank="1" showInputMessage="1" showErrorMessage="1" sqref="D3277">
      <formula1>0</formula1>
    </dataValidation>
    <dataValidation type="decimal" operator="greaterThan" allowBlank="1" showInputMessage="1" showErrorMessage="1" sqref="E3277">
      <formula1>0</formula1>
    </dataValidation>
    <dataValidation type="whole" operator="greaterThan" allowBlank="1" showInputMessage="1" showErrorMessage="1" sqref="A3278">
      <formula1>0</formula1>
    </dataValidation>
    <dataValidation type="list" allowBlank="1" showInputMessage="1" showErrorMessage="1" sqref="C3278">
      <formula1>UnidadesList</formula1>
    </dataValidation>
    <dataValidation type="decimal" operator="greaterThan" allowBlank="1" showInputMessage="1" showErrorMessage="1" sqref="D3278">
      <formula1>0</formula1>
    </dataValidation>
    <dataValidation type="decimal" operator="greaterThan" allowBlank="1" showInputMessage="1" showErrorMessage="1" sqref="E3278">
      <formula1>0</formula1>
    </dataValidation>
    <dataValidation type="whole" operator="greaterThan" allowBlank="1" showInputMessage="1" showErrorMessage="1" sqref="A3279">
      <formula1>0</formula1>
    </dataValidation>
    <dataValidation type="list" allowBlank="1" showInputMessage="1" showErrorMessage="1" sqref="C3279">
      <formula1>UnidadesList</formula1>
    </dataValidation>
    <dataValidation type="decimal" operator="greaterThan" allowBlank="1" showInputMessage="1" showErrorMessage="1" sqref="D3279">
      <formula1>0</formula1>
    </dataValidation>
    <dataValidation type="decimal" operator="greaterThan" allowBlank="1" showInputMessage="1" showErrorMessage="1" sqref="E3279">
      <formula1>0</formula1>
    </dataValidation>
    <dataValidation type="whole" operator="greaterThan" allowBlank="1" showInputMessage="1" showErrorMessage="1" sqref="A3280">
      <formula1>0</formula1>
    </dataValidation>
    <dataValidation type="list" allowBlank="1" showInputMessage="1" showErrorMessage="1" sqref="C3280">
      <formula1>UnidadesList</formula1>
    </dataValidation>
    <dataValidation type="decimal" operator="greaterThan" allowBlank="1" showInputMessage="1" showErrorMessage="1" sqref="D3280">
      <formula1>0</formula1>
    </dataValidation>
    <dataValidation type="decimal" operator="greaterThan" allowBlank="1" showInputMessage="1" showErrorMessage="1" sqref="E3280">
      <formula1>0</formula1>
    </dataValidation>
    <dataValidation type="whole" operator="greaterThan" allowBlank="1" showInputMessage="1" showErrorMessage="1" sqref="A3281">
      <formula1>0</formula1>
    </dataValidation>
    <dataValidation type="list" allowBlank="1" showInputMessage="1" showErrorMessage="1" sqref="C3281">
      <formula1>UnidadesList</formula1>
    </dataValidation>
    <dataValidation type="decimal" operator="greaterThan" allowBlank="1" showInputMessage="1" showErrorMessage="1" sqref="D3281">
      <formula1>0</formula1>
    </dataValidation>
    <dataValidation type="decimal" operator="greaterThan" allowBlank="1" showInputMessage="1" showErrorMessage="1" sqref="E3281">
      <formula1>0</formula1>
    </dataValidation>
    <dataValidation type="whole" operator="greaterThan" allowBlank="1" showInputMessage="1" showErrorMessage="1" sqref="A3282">
      <formula1>0</formula1>
    </dataValidation>
    <dataValidation type="list" allowBlank="1" showInputMessage="1" showErrorMessage="1" sqref="C3282">
      <formula1>UnidadesList</formula1>
    </dataValidation>
    <dataValidation type="decimal" operator="greaterThan" allowBlank="1" showInputMessage="1" showErrorMessage="1" sqref="D3282">
      <formula1>0</formula1>
    </dataValidation>
    <dataValidation type="decimal" operator="greaterThan" allowBlank="1" showInputMessage="1" showErrorMessage="1" sqref="E3282">
      <formula1>0</formula1>
    </dataValidation>
    <dataValidation type="whole" operator="greaterThan" allowBlank="1" showInputMessage="1" showErrorMessage="1" sqref="A3283">
      <formula1>0</formula1>
    </dataValidation>
    <dataValidation type="list" allowBlank="1" showInputMessage="1" showErrorMessage="1" sqref="C3283">
      <formula1>UnidadesList</formula1>
    </dataValidation>
    <dataValidation type="decimal" operator="greaterThan" allowBlank="1" showInputMessage="1" showErrorMessage="1" sqref="D3283">
      <formula1>0</formula1>
    </dataValidation>
    <dataValidation type="decimal" operator="greaterThan" allowBlank="1" showInputMessage="1" showErrorMessage="1" sqref="E3283">
      <formula1>0</formula1>
    </dataValidation>
    <dataValidation type="whole" operator="greaterThan" allowBlank="1" showInputMessage="1" showErrorMessage="1" sqref="A3284">
      <formula1>0</formula1>
    </dataValidation>
    <dataValidation type="list" allowBlank="1" showInputMessage="1" showErrorMessage="1" sqref="C3284">
      <formula1>UnidadesList</formula1>
    </dataValidation>
    <dataValidation type="decimal" operator="greaterThan" allowBlank="1" showInputMessage="1" showErrorMessage="1" sqref="D3284">
      <formula1>0</formula1>
    </dataValidation>
    <dataValidation type="decimal" operator="greaterThan" allowBlank="1" showInputMessage="1" showErrorMessage="1" sqref="E3284">
      <formula1>0</formula1>
    </dataValidation>
    <dataValidation type="whole" operator="greaterThan" allowBlank="1" showInputMessage="1" showErrorMessage="1" sqref="A3285">
      <formula1>0</formula1>
    </dataValidation>
    <dataValidation type="list" allowBlank="1" showInputMessage="1" showErrorMessage="1" sqref="C3285">
      <formula1>UnidadesList</formula1>
    </dataValidation>
    <dataValidation type="decimal" operator="greaterThan" allowBlank="1" showInputMessage="1" showErrorMessage="1" sqref="D3285">
      <formula1>0</formula1>
    </dataValidation>
    <dataValidation type="decimal" operator="greaterThan" allowBlank="1" showInputMessage="1" showErrorMessage="1" sqref="E3285">
      <formula1>0</formula1>
    </dataValidation>
    <dataValidation type="whole" operator="greaterThan" allowBlank="1" showInputMessage="1" showErrorMessage="1" sqref="A3286">
      <formula1>0</formula1>
    </dataValidation>
    <dataValidation type="list" allowBlank="1" showInputMessage="1" showErrorMessage="1" sqref="C3286">
      <formula1>UnidadesList</formula1>
    </dataValidation>
    <dataValidation type="decimal" operator="greaterThan" allowBlank="1" showInputMessage="1" showErrorMessage="1" sqref="D3286">
      <formula1>0</formula1>
    </dataValidation>
    <dataValidation type="decimal" operator="greaterThan" allowBlank="1" showInputMessage="1" showErrorMessage="1" sqref="E3286">
      <formula1>0</formula1>
    </dataValidation>
    <dataValidation type="whole" operator="greaterThan" allowBlank="1" showInputMessage="1" showErrorMessage="1" sqref="A3287">
      <formula1>0</formula1>
    </dataValidation>
    <dataValidation type="list" allowBlank="1" showInputMessage="1" showErrorMessage="1" sqref="C3287">
      <formula1>UnidadesList</formula1>
    </dataValidation>
    <dataValidation type="decimal" operator="greaterThan" allowBlank="1" showInputMessage="1" showErrorMessage="1" sqref="D3287">
      <formula1>0</formula1>
    </dataValidation>
    <dataValidation type="decimal" operator="greaterThan" allowBlank="1" showInputMessage="1" showErrorMessage="1" sqref="E3287">
      <formula1>0</formula1>
    </dataValidation>
    <dataValidation type="whole" operator="greaterThan" allowBlank="1" showInputMessage="1" showErrorMessage="1" sqref="A3288">
      <formula1>0</formula1>
    </dataValidation>
    <dataValidation type="list" allowBlank="1" showInputMessage="1" showErrorMessage="1" sqref="C3288">
      <formula1>UnidadesList</formula1>
    </dataValidation>
    <dataValidation type="decimal" operator="greaterThan" allowBlank="1" showInputMessage="1" showErrorMessage="1" sqref="D3288">
      <formula1>0</formula1>
    </dataValidation>
    <dataValidation type="decimal" operator="greaterThan" allowBlank="1" showInputMessage="1" showErrorMessage="1" sqref="E3288">
      <formula1>0</formula1>
    </dataValidation>
    <dataValidation type="whole" operator="greaterThan" allowBlank="1" showInputMessage="1" showErrorMessage="1" sqref="A3289">
      <formula1>0</formula1>
    </dataValidation>
    <dataValidation type="list" allowBlank="1" showInputMessage="1" showErrorMessage="1" sqref="C3289">
      <formula1>UnidadesList</formula1>
    </dataValidation>
    <dataValidation type="decimal" operator="greaterThan" allowBlank="1" showInputMessage="1" showErrorMessage="1" sqref="D3289">
      <formula1>0</formula1>
    </dataValidation>
    <dataValidation type="decimal" operator="greaterThan" allowBlank="1" showInputMessage="1" showErrorMessage="1" sqref="E3289">
      <formula1>0</formula1>
    </dataValidation>
    <dataValidation type="whole" operator="greaterThan" allowBlank="1" showInputMessage="1" showErrorMessage="1" sqref="A3290">
      <formula1>0</formula1>
    </dataValidation>
    <dataValidation type="list" allowBlank="1" showInputMessage="1" showErrorMessage="1" sqref="C3290">
      <formula1>UnidadesList</formula1>
    </dataValidation>
    <dataValidation type="decimal" operator="greaterThan" allowBlank="1" showInputMessage="1" showErrorMessage="1" sqref="D3290">
      <formula1>0</formula1>
    </dataValidation>
    <dataValidation type="decimal" operator="greaterThan" allowBlank="1" showInputMessage="1" showErrorMessage="1" sqref="E3290">
      <formula1>0</formula1>
    </dataValidation>
    <dataValidation type="whole" operator="greaterThan" allowBlank="1" showInputMessage="1" showErrorMessage="1" sqref="A3291">
      <formula1>0</formula1>
    </dataValidation>
    <dataValidation type="list" allowBlank="1" showInputMessage="1" showErrorMessage="1" sqref="C3291">
      <formula1>UnidadesList</formula1>
    </dataValidation>
    <dataValidation type="decimal" operator="greaterThan" allowBlank="1" showInputMessage="1" showErrorMessage="1" sqref="D3291">
      <formula1>0</formula1>
    </dataValidation>
    <dataValidation type="decimal" operator="greaterThan" allowBlank="1" showInputMessage="1" showErrorMessage="1" sqref="E3291">
      <formula1>0</formula1>
    </dataValidation>
    <dataValidation type="whole" operator="greaterThan" allowBlank="1" showInputMessage="1" showErrorMessage="1" sqref="A3292">
      <formula1>0</formula1>
    </dataValidation>
    <dataValidation type="list" allowBlank="1" showInputMessage="1" showErrorMessage="1" sqref="C3292">
      <formula1>UnidadesList</formula1>
    </dataValidation>
    <dataValidation type="decimal" operator="greaterThan" allowBlank="1" showInputMessage="1" showErrorMessage="1" sqref="D3292">
      <formula1>0</formula1>
    </dataValidation>
    <dataValidation type="decimal" operator="greaterThan" allowBlank="1" showInputMessage="1" showErrorMessage="1" sqref="E3292">
      <formula1>0</formula1>
    </dataValidation>
    <dataValidation type="whole" operator="greaterThan" allowBlank="1" showInputMessage="1" showErrorMessage="1" sqref="A3293">
      <formula1>0</formula1>
    </dataValidation>
    <dataValidation type="list" allowBlank="1" showInputMessage="1" showErrorMessage="1" sqref="C3293">
      <formula1>UnidadesList</formula1>
    </dataValidation>
    <dataValidation type="decimal" operator="greaterThan" allowBlank="1" showInputMessage="1" showErrorMessage="1" sqref="D3293">
      <formula1>0</formula1>
    </dataValidation>
    <dataValidation type="decimal" operator="greaterThan" allowBlank="1" showInputMessage="1" showErrorMessage="1" sqref="E3293">
      <formula1>0</formula1>
    </dataValidation>
    <dataValidation type="whole" operator="greaterThan" allowBlank="1" showInputMessage="1" showErrorMessage="1" sqref="A3294">
      <formula1>0</formula1>
    </dataValidation>
    <dataValidation type="list" allowBlank="1" showInputMessage="1" showErrorMessage="1" sqref="C3294">
      <formula1>UnidadesList</formula1>
    </dataValidation>
    <dataValidation type="decimal" operator="greaterThan" allowBlank="1" showInputMessage="1" showErrorMessage="1" sqref="D3294">
      <formula1>0</formula1>
    </dataValidation>
    <dataValidation type="decimal" operator="greaterThan" allowBlank="1" showInputMessage="1" showErrorMessage="1" sqref="E3294">
      <formula1>0</formula1>
    </dataValidation>
    <dataValidation type="whole" operator="greaterThan" allowBlank="1" showInputMessage="1" showErrorMessage="1" sqref="A3295">
      <formula1>0</formula1>
    </dataValidation>
    <dataValidation type="list" allowBlank="1" showInputMessage="1" showErrorMessage="1" sqref="C3295">
      <formula1>UnidadesList</formula1>
    </dataValidation>
    <dataValidation type="decimal" operator="greaterThan" allowBlank="1" showInputMessage="1" showErrorMessage="1" sqref="D3295">
      <formula1>0</formula1>
    </dataValidation>
    <dataValidation type="decimal" operator="greaterThan" allowBlank="1" showInputMessage="1" showErrorMessage="1" sqref="E3295">
      <formula1>0</formula1>
    </dataValidation>
    <dataValidation type="whole" operator="greaterThan" allowBlank="1" showInputMessage="1" showErrorMessage="1" sqref="A3296">
      <formula1>0</formula1>
    </dataValidation>
    <dataValidation type="list" allowBlank="1" showInputMessage="1" showErrorMessage="1" sqref="C3296">
      <formula1>UnidadesList</formula1>
    </dataValidation>
    <dataValidation type="decimal" operator="greaterThan" allowBlank="1" showInputMessage="1" showErrorMessage="1" sqref="D3296">
      <formula1>0</formula1>
    </dataValidation>
    <dataValidation type="decimal" operator="greaterThan" allowBlank="1" showInputMessage="1" showErrorMessage="1" sqref="E3296">
      <formula1>0</formula1>
    </dataValidation>
    <dataValidation type="whole" operator="greaterThan" allowBlank="1" showInputMessage="1" showErrorMessage="1" sqref="A3297">
      <formula1>0</formula1>
    </dataValidation>
    <dataValidation type="list" allowBlank="1" showInputMessage="1" showErrorMessage="1" sqref="C3297">
      <formula1>UnidadesList</formula1>
    </dataValidation>
    <dataValidation type="decimal" operator="greaterThan" allowBlank="1" showInputMessage="1" showErrorMessage="1" sqref="D3297">
      <formula1>0</formula1>
    </dataValidation>
    <dataValidation type="decimal" operator="greaterThan" allowBlank="1" showInputMessage="1" showErrorMessage="1" sqref="E3297">
      <formula1>0</formula1>
    </dataValidation>
    <dataValidation type="whole" operator="greaterThan" allowBlank="1" showInputMessage="1" showErrorMessage="1" sqref="A3298">
      <formula1>0</formula1>
    </dataValidation>
    <dataValidation type="list" allowBlank="1" showInputMessage="1" showErrorMessage="1" sqref="C3298">
      <formula1>UnidadesList</formula1>
    </dataValidation>
    <dataValidation type="decimal" operator="greaterThan" allowBlank="1" showInputMessage="1" showErrorMessage="1" sqref="D3298">
      <formula1>0</formula1>
    </dataValidation>
    <dataValidation type="decimal" operator="greaterThan" allowBlank="1" showInputMessage="1" showErrorMessage="1" sqref="E3298">
      <formula1>0</formula1>
    </dataValidation>
    <dataValidation type="whole" operator="greaterThan" allowBlank="1" showInputMessage="1" showErrorMessage="1" sqref="A3299">
      <formula1>0</formula1>
    </dataValidation>
    <dataValidation type="list" allowBlank="1" showInputMessage="1" showErrorMessage="1" sqref="C3299">
      <formula1>UnidadesList</formula1>
    </dataValidation>
    <dataValidation type="decimal" operator="greaterThan" allowBlank="1" showInputMessage="1" showErrorMessage="1" sqref="D3299">
      <formula1>0</formula1>
    </dataValidation>
    <dataValidation type="decimal" operator="greaterThan" allowBlank="1" showInputMessage="1" showErrorMessage="1" sqref="E3299">
      <formula1>0</formula1>
    </dataValidation>
    <dataValidation type="whole" operator="greaterThan" allowBlank="1" showInputMessage="1" showErrorMessage="1" sqref="A3300">
      <formula1>0</formula1>
    </dataValidation>
    <dataValidation type="list" allowBlank="1" showInputMessage="1" showErrorMessage="1" sqref="C3300">
      <formula1>UnidadesList</formula1>
    </dataValidation>
    <dataValidation type="decimal" operator="greaterThan" allowBlank="1" showInputMessage="1" showErrorMessage="1" sqref="D3300">
      <formula1>0</formula1>
    </dataValidation>
    <dataValidation type="decimal" operator="greaterThan" allowBlank="1" showInputMessage="1" showErrorMessage="1" sqref="E3300">
      <formula1>0</formula1>
    </dataValidation>
    <dataValidation type="whole" operator="greaterThan" allowBlank="1" showInputMessage="1" showErrorMessage="1" sqref="A3301">
      <formula1>0</formula1>
    </dataValidation>
    <dataValidation type="list" allowBlank="1" showInputMessage="1" showErrorMessage="1" sqref="C3301">
      <formula1>UnidadesList</formula1>
    </dataValidation>
    <dataValidation type="decimal" operator="greaterThan" allowBlank="1" showInputMessage="1" showErrorMessage="1" sqref="D3301">
      <formula1>0</formula1>
    </dataValidation>
    <dataValidation type="decimal" operator="greaterThan" allowBlank="1" showInputMessage="1" showErrorMessage="1" sqref="E3301">
      <formula1>0</formula1>
    </dataValidation>
    <dataValidation type="whole" operator="greaterThan" allowBlank="1" showInputMessage="1" showErrorMessage="1" sqref="A3302">
      <formula1>0</formula1>
    </dataValidation>
    <dataValidation type="list" allowBlank="1" showInputMessage="1" showErrorMessage="1" sqref="C3302">
      <formula1>UnidadesList</formula1>
    </dataValidation>
    <dataValidation type="decimal" operator="greaterThan" allowBlank="1" showInputMessage="1" showErrorMessage="1" sqref="D3302">
      <formula1>0</formula1>
    </dataValidation>
    <dataValidation type="decimal" operator="greaterThan" allowBlank="1" showInputMessage="1" showErrorMessage="1" sqref="E3302">
      <formula1>0</formula1>
    </dataValidation>
    <dataValidation type="whole" operator="greaterThan" allowBlank="1" showInputMessage="1" showErrorMessage="1" sqref="A3303">
      <formula1>0</formula1>
    </dataValidation>
    <dataValidation type="list" allowBlank="1" showInputMessage="1" showErrorMessage="1" sqref="C3303">
      <formula1>UnidadesList</formula1>
    </dataValidation>
    <dataValidation type="decimal" operator="greaterThan" allowBlank="1" showInputMessage="1" showErrorMessage="1" sqref="D3303">
      <formula1>0</formula1>
    </dataValidation>
    <dataValidation type="decimal" operator="greaterThan" allowBlank="1" showInputMessage="1" showErrorMessage="1" sqref="E3303">
      <formula1>0</formula1>
    </dataValidation>
    <dataValidation type="whole" operator="greaterThan" allowBlank="1" showInputMessage="1" showErrorMessage="1" sqref="A3304">
      <formula1>0</formula1>
    </dataValidation>
    <dataValidation type="list" allowBlank="1" showInputMessage="1" showErrorMessage="1" sqref="C3304">
      <formula1>UnidadesList</formula1>
    </dataValidation>
    <dataValidation type="decimal" operator="greaterThan" allowBlank="1" showInputMessage="1" showErrorMessage="1" sqref="D3304">
      <formula1>0</formula1>
    </dataValidation>
    <dataValidation type="decimal" operator="greaterThan" allowBlank="1" showInputMessage="1" showErrorMessage="1" sqref="E3304">
      <formula1>0</formula1>
    </dataValidation>
    <dataValidation type="whole" operator="greaterThan" allowBlank="1" showInputMessage="1" showErrorMessage="1" sqref="A3305">
      <formula1>0</formula1>
    </dataValidation>
    <dataValidation type="list" allowBlank="1" showInputMessage="1" showErrorMessage="1" sqref="C3305">
      <formula1>UnidadesList</formula1>
    </dataValidation>
    <dataValidation type="decimal" operator="greaterThan" allowBlank="1" showInputMessage="1" showErrorMessage="1" sqref="D3305">
      <formula1>0</formula1>
    </dataValidation>
    <dataValidation type="decimal" operator="greaterThan" allowBlank="1" showInputMessage="1" showErrorMessage="1" sqref="E3305">
      <formula1>0</formula1>
    </dataValidation>
    <dataValidation type="whole" operator="greaterThan" allowBlank="1" showInputMessage="1" showErrorMessage="1" sqref="A3306">
      <formula1>0</formula1>
    </dataValidation>
    <dataValidation type="list" allowBlank="1" showInputMessage="1" showErrorMessage="1" sqref="C3306">
      <formula1>UnidadesList</formula1>
    </dataValidation>
    <dataValidation type="decimal" operator="greaterThan" allowBlank="1" showInputMessage="1" showErrorMessage="1" sqref="D3306">
      <formula1>0</formula1>
    </dataValidation>
    <dataValidation type="decimal" operator="greaterThan" allowBlank="1" showInputMessage="1" showErrorMessage="1" sqref="E3306">
      <formula1>0</formula1>
    </dataValidation>
    <dataValidation type="whole" operator="greaterThan" allowBlank="1" showInputMessage="1" showErrorMessage="1" sqref="A3307">
      <formula1>0</formula1>
    </dataValidation>
    <dataValidation type="list" allowBlank="1" showInputMessage="1" showErrorMessage="1" sqref="C3307">
      <formula1>UnidadesList</formula1>
    </dataValidation>
    <dataValidation type="decimal" operator="greaterThan" allowBlank="1" showInputMessage="1" showErrorMessage="1" sqref="D3307">
      <formula1>0</formula1>
    </dataValidation>
    <dataValidation type="decimal" operator="greaterThan" allowBlank="1" showInputMessage="1" showErrorMessage="1" sqref="E3307">
      <formula1>0</formula1>
    </dataValidation>
    <dataValidation type="whole" operator="greaterThan" allowBlank="1" showInputMessage="1" showErrorMessage="1" sqref="A3308">
      <formula1>0</formula1>
    </dataValidation>
    <dataValidation type="list" allowBlank="1" showInputMessage="1" showErrorMessage="1" sqref="C3308">
      <formula1>UnidadesList</formula1>
    </dataValidation>
    <dataValidation type="decimal" operator="greaterThan" allowBlank="1" showInputMessage="1" showErrorMessage="1" sqref="D3308">
      <formula1>0</formula1>
    </dataValidation>
    <dataValidation type="decimal" operator="greaterThan" allowBlank="1" showInputMessage="1" showErrorMessage="1" sqref="E3308">
      <formula1>0</formula1>
    </dataValidation>
    <dataValidation type="whole" operator="greaterThan" allowBlank="1" showInputMessage="1" showErrorMessage="1" sqref="A3309">
      <formula1>0</formula1>
    </dataValidation>
    <dataValidation type="list" allowBlank="1" showInputMessage="1" showErrorMessage="1" sqref="C3309">
      <formula1>UnidadesList</formula1>
    </dataValidation>
    <dataValidation type="decimal" operator="greaterThan" allowBlank="1" showInputMessage="1" showErrorMessage="1" sqref="D3309">
      <formula1>0</formula1>
    </dataValidation>
    <dataValidation type="decimal" operator="greaterThan" allowBlank="1" showInputMessage="1" showErrorMessage="1" sqref="E3309">
      <formula1>0</formula1>
    </dataValidation>
    <dataValidation type="whole" operator="greaterThan" allowBlank="1" showInputMessage="1" showErrorMessage="1" sqref="A3310">
      <formula1>0</formula1>
    </dataValidation>
    <dataValidation type="list" allowBlank="1" showInputMessage="1" showErrorMessage="1" sqref="C3310">
      <formula1>UnidadesList</formula1>
    </dataValidation>
    <dataValidation type="decimal" operator="greaterThan" allowBlank="1" showInputMessage="1" showErrorMessage="1" sqref="D3310">
      <formula1>0</formula1>
    </dataValidation>
    <dataValidation type="decimal" operator="greaterThan" allowBlank="1" showInputMessage="1" showErrorMessage="1" sqref="E3310">
      <formula1>0</formula1>
    </dataValidation>
    <dataValidation type="whole" operator="greaterThan" allowBlank="1" showInputMessage="1" showErrorMessage="1" sqref="A3311">
      <formula1>0</formula1>
    </dataValidation>
    <dataValidation type="list" allowBlank="1" showInputMessage="1" showErrorMessage="1" sqref="C3311">
      <formula1>UnidadesList</formula1>
    </dataValidation>
    <dataValidation type="decimal" operator="greaterThan" allowBlank="1" showInputMessage="1" showErrorMessage="1" sqref="D3311">
      <formula1>0</formula1>
    </dataValidation>
    <dataValidation type="decimal" operator="greaterThan" allowBlank="1" showInputMessage="1" showErrorMessage="1" sqref="E3311">
      <formula1>0</formula1>
    </dataValidation>
    <dataValidation type="whole" operator="greaterThan" allowBlank="1" showInputMessage="1" showErrorMessage="1" sqref="A3312">
      <formula1>0</formula1>
    </dataValidation>
    <dataValidation type="list" allowBlank="1" showInputMessage="1" showErrorMessage="1" sqref="C3312">
      <formula1>UnidadesList</formula1>
    </dataValidation>
    <dataValidation type="decimal" operator="greaterThan" allowBlank="1" showInputMessage="1" showErrorMessage="1" sqref="D3312">
      <formula1>0</formula1>
    </dataValidation>
    <dataValidation type="decimal" operator="greaterThan" allowBlank="1" showInputMessage="1" showErrorMessage="1" sqref="E3312">
      <formula1>0</formula1>
    </dataValidation>
    <dataValidation type="date" operator="lessThanOrEqual" allowBlank="1" showInputMessage="1" showErrorMessage="1" sqref="C3317">
      <formula1>C3319</formula1>
    </dataValidation>
    <dataValidation type="date" operator="greaterThanOrEqual" allowBlank="1" showInputMessage="1" showErrorMessage="1" sqref="C3319">
      <formula1>C3317</formula1>
    </dataValidation>
    <dataValidation type="list" allowBlank="1" showInputMessage="1" showErrorMessage="1" sqref="F33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3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3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3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323">
      <formula1>0</formula1>
    </dataValidation>
    <dataValidation type="list" allowBlank="1" showInputMessage="1" showErrorMessage="1" sqref="C3323">
      <formula1>UnidadesList</formula1>
    </dataValidation>
    <dataValidation type="decimal" operator="greaterThan" allowBlank="1" showInputMessage="1" showErrorMessage="1" sqref="D3323">
      <formula1>0</formula1>
    </dataValidation>
    <dataValidation type="decimal" operator="greaterThan" allowBlank="1" showInputMessage="1" showErrorMessage="1" sqref="E3323">
      <formula1>0</formula1>
    </dataValidation>
    <dataValidation type="whole" operator="greaterThan" allowBlank="1" showInputMessage="1" showErrorMessage="1" sqref="A3324">
      <formula1>0</formula1>
    </dataValidation>
    <dataValidation type="list" allowBlank="1" showInputMessage="1" showErrorMessage="1" sqref="C3324">
      <formula1>UnidadesList</formula1>
    </dataValidation>
    <dataValidation type="decimal" operator="greaterThan" allowBlank="1" showInputMessage="1" showErrorMessage="1" sqref="D3324">
      <formula1>0</formula1>
    </dataValidation>
    <dataValidation type="decimal" operator="greaterThan" allowBlank="1" showInputMessage="1" showErrorMessage="1" sqref="E3324">
      <formula1>0</formula1>
    </dataValidation>
    <dataValidation type="whole" operator="greaterThan" allowBlank="1" showInputMessage="1" showErrorMessage="1" sqref="A3325">
      <formula1>0</formula1>
    </dataValidation>
    <dataValidation type="list" allowBlank="1" showInputMessage="1" showErrorMessage="1" sqref="C3325">
      <formula1>UnidadesList</formula1>
    </dataValidation>
    <dataValidation type="decimal" operator="greaterThan" allowBlank="1" showInputMessage="1" showErrorMessage="1" sqref="D3325">
      <formula1>0</formula1>
    </dataValidation>
    <dataValidation type="decimal" operator="greaterThan" allowBlank="1" showInputMessage="1" showErrorMessage="1" sqref="E3325">
      <formula1>0</formula1>
    </dataValidation>
    <dataValidation type="whole" operator="greaterThan" allowBlank="1" showInputMessage="1" showErrorMessage="1" sqref="A3326">
      <formula1>0</formula1>
    </dataValidation>
    <dataValidation type="list" allowBlank="1" showInputMessage="1" showErrorMessage="1" sqref="C3326">
      <formula1>UnidadesList</formula1>
    </dataValidation>
    <dataValidation type="decimal" operator="greaterThan" allowBlank="1" showInputMessage="1" showErrorMessage="1" sqref="D3326">
      <formula1>0</formula1>
    </dataValidation>
    <dataValidation type="decimal" operator="greaterThan" allowBlank="1" showInputMessage="1" showErrorMessage="1" sqref="E3326">
      <formula1>0</formula1>
    </dataValidation>
    <dataValidation type="whole" operator="greaterThan" allowBlank="1" showInputMessage="1" showErrorMessage="1" sqref="A3327">
      <formula1>0</formula1>
    </dataValidation>
    <dataValidation type="list" allowBlank="1" showInputMessage="1" showErrorMessage="1" sqref="C3327">
      <formula1>UnidadesList</formula1>
    </dataValidation>
    <dataValidation type="decimal" operator="greaterThan" allowBlank="1" showInputMessage="1" showErrorMessage="1" sqref="D3327">
      <formula1>0</formula1>
    </dataValidation>
    <dataValidation type="decimal" operator="greaterThan" allowBlank="1" showInputMessage="1" showErrorMessage="1" sqref="E3327">
      <formula1>0</formula1>
    </dataValidation>
    <dataValidation type="whole" operator="greaterThan" allowBlank="1" showInputMessage="1" showErrorMessage="1" sqref="A3328">
      <formula1>0</formula1>
    </dataValidation>
    <dataValidation type="list" allowBlank="1" showInputMessage="1" showErrorMessage="1" sqref="C3328">
      <formula1>UnidadesList</formula1>
    </dataValidation>
    <dataValidation type="decimal" operator="greaterThan" allowBlank="1" showInputMessage="1" showErrorMessage="1" sqref="D3328">
      <formula1>0</formula1>
    </dataValidation>
    <dataValidation type="decimal" operator="greaterThan" allowBlank="1" showInputMessage="1" showErrorMessage="1" sqref="E3328">
      <formula1>0</formula1>
    </dataValidation>
    <dataValidation type="whole" operator="greaterThan" allowBlank="1" showInputMessage="1" showErrorMessage="1" sqref="A3329">
      <formula1>0</formula1>
    </dataValidation>
    <dataValidation type="list" allowBlank="1" showInputMessage="1" showErrorMessage="1" sqref="C3329">
      <formula1>UnidadesList</formula1>
    </dataValidation>
    <dataValidation type="decimal" operator="greaterThan" allowBlank="1" showInputMessage="1" showErrorMessage="1" sqref="D3329">
      <formula1>0</formula1>
    </dataValidation>
    <dataValidation type="decimal" operator="greaterThan" allowBlank="1" showInputMessage="1" showErrorMessage="1" sqref="E3329">
      <formula1>0</formula1>
    </dataValidation>
    <dataValidation type="whole" operator="greaterThan" allowBlank="1" showInputMessage="1" showErrorMessage="1" sqref="A3330">
      <formula1>0</formula1>
    </dataValidation>
    <dataValidation type="list" allowBlank="1" showInputMessage="1" showErrorMessage="1" sqref="C3330">
      <formula1>UnidadesList</formula1>
    </dataValidation>
    <dataValidation type="decimal" operator="greaterThan" allowBlank="1" showInputMessage="1" showErrorMessage="1" sqref="D3330">
      <formula1>0</formula1>
    </dataValidation>
    <dataValidation type="decimal" operator="greaterThan" allowBlank="1" showInputMessage="1" showErrorMessage="1" sqref="E3330">
      <formula1>0</formula1>
    </dataValidation>
    <dataValidation type="whole" operator="greaterThan" allowBlank="1" showInputMessage="1" showErrorMessage="1" sqref="A3331">
      <formula1>0</formula1>
    </dataValidation>
    <dataValidation type="list" allowBlank="1" showInputMessage="1" showErrorMessage="1" sqref="C3331">
      <formula1>UnidadesList</formula1>
    </dataValidation>
    <dataValidation type="decimal" operator="greaterThan" allowBlank="1" showInputMessage="1" showErrorMessage="1" sqref="D3331">
      <formula1>0</formula1>
    </dataValidation>
    <dataValidation type="decimal" operator="greaterThan" allowBlank="1" showInputMessage="1" showErrorMessage="1" sqref="E3331">
      <formula1>0</formula1>
    </dataValidation>
    <dataValidation type="whole" operator="greaterThan" allowBlank="1" showInputMessage="1" showErrorMessage="1" sqref="A3332">
      <formula1>0</formula1>
    </dataValidation>
    <dataValidation type="list" allowBlank="1" showInputMessage="1" showErrorMessage="1" sqref="C3332">
      <formula1>UnidadesList</formula1>
    </dataValidation>
    <dataValidation type="decimal" operator="greaterThan" allowBlank="1" showInputMessage="1" showErrorMessage="1" sqref="D3332">
      <formula1>0</formula1>
    </dataValidation>
    <dataValidation type="decimal" operator="greaterThan" allowBlank="1" showInputMessage="1" showErrorMessage="1" sqref="E3332">
      <formula1>0</formula1>
    </dataValidation>
    <dataValidation type="whole" operator="greaterThan" allowBlank="1" showInputMessage="1" showErrorMessage="1" sqref="A3333">
      <formula1>0</formula1>
    </dataValidation>
    <dataValidation type="list" allowBlank="1" showInputMessage="1" showErrorMessage="1" sqref="C3333">
      <formula1>UnidadesList</formula1>
    </dataValidation>
    <dataValidation type="decimal" operator="greaterThan" allowBlank="1" showInputMessage="1" showErrorMessage="1" sqref="D3333">
      <formula1>0</formula1>
    </dataValidation>
    <dataValidation type="decimal" operator="greaterThan" allowBlank="1" showInputMessage="1" showErrorMessage="1" sqref="E3333">
      <formula1>0</formula1>
    </dataValidation>
    <dataValidation type="whole" operator="greaterThan" allowBlank="1" showInputMessage="1" showErrorMessage="1" sqref="A3334">
      <formula1>0</formula1>
    </dataValidation>
    <dataValidation type="list" allowBlank="1" showInputMessage="1" showErrorMessage="1" sqref="C3334">
      <formula1>UnidadesList</formula1>
    </dataValidation>
    <dataValidation type="decimal" operator="greaterThan" allowBlank="1" showInputMessage="1" showErrorMessage="1" sqref="D3334">
      <formula1>0</formula1>
    </dataValidation>
    <dataValidation type="decimal" operator="greaterThan" allowBlank="1" showInputMessage="1" showErrorMessage="1" sqref="E3334">
      <formula1>0</formula1>
    </dataValidation>
    <dataValidation type="whole" operator="greaterThan" allowBlank="1" showInputMessage="1" showErrorMessage="1" sqref="A3335">
      <formula1>0</formula1>
    </dataValidation>
    <dataValidation type="list" allowBlank="1" showInputMessage="1" showErrorMessage="1" sqref="C3335">
      <formula1>UnidadesList</formula1>
    </dataValidation>
    <dataValidation type="decimal" operator="greaterThan" allowBlank="1" showInputMessage="1" showErrorMessage="1" sqref="D3335">
      <formula1>0</formula1>
    </dataValidation>
    <dataValidation type="decimal" operator="greaterThan" allowBlank="1" showInputMessage="1" showErrorMessage="1" sqref="E3335">
      <formula1>0</formula1>
    </dataValidation>
    <dataValidation type="whole" operator="greaterThan" allowBlank="1" showInputMessage="1" showErrorMessage="1" sqref="A3336">
      <formula1>0</formula1>
    </dataValidation>
    <dataValidation type="list" allowBlank="1" showInputMessage="1" showErrorMessage="1" sqref="C3336">
      <formula1>UnidadesList</formula1>
    </dataValidation>
    <dataValidation type="decimal" operator="greaterThan" allowBlank="1" showInputMessage="1" showErrorMessage="1" sqref="D3336">
      <formula1>0</formula1>
    </dataValidation>
    <dataValidation type="decimal" operator="greaterThan" allowBlank="1" showInputMessage="1" showErrorMessage="1" sqref="E3336">
      <formula1>0</formula1>
    </dataValidation>
    <dataValidation type="whole" operator="greaterThan" allowBlank="1" showInputMessage="1" showErrorMessage="1" sqref="A3337">
      <formula1>0</formula1>
    </dataValidation>
    <dataValidation type="list" allowBlank="1" showInputMessage="1" showErrorMessage="1" sqref="C3337">
      <formula1>UnidadesList</formula1>
    </dataValidation>
    <dataValidation type="decimal" operator="greaterThan" allowBlank="1" showInputMessage="1" showErrorMessage="1" sqref="D3337">
      <formula1>0</formula1>
    </dataValidation>
    <dataValidation type="decimal" operator="greaterThan" allowBlank="1" showInputMessage="1" showErrorMessage="1" sqref="E3337">
      <formula1>0</formula1>
    </dataValidation>
    <dataValidation type="whole" operator="greaterThan" allowBlank="1" showInputMessage="1" showErrorMessage="1" sqref="A3338">
      <formula1>0</formula1>
    </dataValidation>
    <dataValidation type="list" allowBlank="1" showInputMessage="1" showErrorMessage="1" sqref="C3338">
      <formula1>UnidadesList</formula1>
    </dataValidation>
    <dataValidation type="decimal" operator="greaterThan" allowBlank="1" showInputMessage="1" showErrorMessage="1" sqref="D3338">
      <formula1>0</formula1>
    </dataValidation>
    <dataValidation type="decimal" operator="greaterThan" allowBlank="1" showInputMessage="1" showErrorMessage="1" sqref="E3338">
      <formula1>0</formula1>
    </dataValidation>
    <dataValidation type="whole" operator="greaterThan" allowBlank="1" showInputMessage="1" showErrorMessage="1" sqref="A3339">
      <formula1>0</formula1>
    </dataValidation>
    <dataValidation type="list" allowBlank="1" showInputMessage="1" showErrorMessage="1" sqref="C3339">
      <formula1>UnidadesList</formula1>
    </dataValidation>
    <dataValidation type="decimal" operator="greaterThan" allowBlank="1" showInputMessage="1" showErrorMessage="1" sqref="D3339">
      <formula1>0</formula1>
    </dataValidation>
    <dataValidation type="decimal" operator="greaterThan" allowBlank="1" showInputMessage="1" showErrorMessage="1" sqref="E3339">
      <formula1>0</formula1>
    </dataValidation>
    <dataValidation type="whole" operator="greaterThan" allowBlank="1" showInputMessage="1" showErrorMessage="1" sqref="A3340">
      <formula1>0</formula1>
    </dataValidation>
    <dataValidation type="list" allowBlank="1" showInputMessage="1" showErrorMessage="1" sqref="C3340">
      <formula1>UnidadesList</formula1>
    </dataValidation>
    <dataValidation type="decimal" operator="greaterThan" allowBlank="1" showInputMessage="1" showErrorMessage="1" sqref="D3340">
      <formula1>0</formula1>
    </dataValidation>
    <dataValidation type="decimal" operator="greaterThan" allowBlank="1" showInputMessage="1" showErrorMessage="1" sqref="E3340">
      <formula1>0</formula1>
    </dataValidation>
    <dataValidation type="whole" operator="greaterThan" allowBlank="1" showInputMessage="1" showErrorMessage="1" sqref="A3341">
      <formula1>0</formula1>
    </dataValidation>
    <dataValidation type="list" allowBlank="1" showInputMessage="1" showErrorMessage="1" sqref="C3341">
      <formula1>UnidadesList</formula1>
    </dataValidation>
    <dataValidation type="decimal" operator="greaterThan" allowBlank="1" showInputMessage="1" showErrorMessage="1" sqref="D3341">
      <formula1>0</formula1>
    </dataValidation>
    <dataValidation type="decimal" operator="greaterThan" allowBlank="1" showInputMessage="1" showErrorMessage="1" sqref="E3341">
      <formula1>0</formula1>
    </dataValidation>
    <dataValidation type="whole" operator="greaterThan" allowBlank="1" showInputMessage="1" showErrorMessage="1" sqref="A3342">
      <formula1>0</formula1>
    </dataValidation>
    <dataValidation type="list" allowBlank="1" showInputMessage="1" showErrorMessage="1" sqref="C3342">
      <formula1>UnidadesList</formula1>
    </dataValidation>
    <dataValidation type="decimal" operator="greaterThan" allowBlank="1" showInputMessage="1" showErrorMessage="1" sqref="D3342">
      <formula1>0</formula1>
    </dataValidation>
    <dataValidation type="decimal" operator="greaterThan" allowBlank="1" showInputMessage="1" showErrorMessage="1" sqref="E3342">
      <formula1>0</formula1>
    </dataValidation>
    <dataValidation type="whole" operator="greaterThan" allowBlank="1" showInputMessage="1" showErrorMessage="1" sqref="A3343">
      <formula1>0</formula1>
    </dataValidation>
    <dataValidation type="list" allowBlank="1" showInputMessage="1" showErrorMessage="1" sqref="C3343">
      <formula1>UnidadesList</formula1>
    </dataValidation>
    <dataValidation type="decimal" operator="greaterThan" allowBlank="1" showInputMessage="1" showErrorMessage="1" sqref="D3343">
      <formula1>0</formula1>
    </dataValidation>
    <dataValidation type="decimal" operator="greaterThan" allowBlank="1" showInputMessage="1" showErrorMessage="1" sqref="E3343">
      <formula1>0</formula1>
    </dataValidation>
    <dataValidation type="whole" operator="greaterThan" allowBlank="1" showInputMessage="1" showErrorMessage="1" sqref="A3344">
      <formula1>0</formula1>
    </dataValidation>
    <dataValidation type="list" allowBlank="1" showInputMessage="1" showErrorMessage="1" sqref="C3344">
      <formula1>UnidadesList</formula1>
    </dataValidation>
    <dataValidation type="decimal" operator="greaterThan" allowBlank="1" showInputMessage="1" showErrorMessage="1" sqref="D3344">
      <formula1>0</formula1>
    </dataValidation>
    <dataValidation type="decimal" operator="greaterThan" allowBlank="1" showInputMessage="1" showErrorMessage="1" sqref="E3344">
      <formula1>0</formula1>
    </dataValidation>
    <dataValidation type="whole" operator="greaterThan" allowBlank="1" showInputMessage="1" showErrorMessage="1" sqref="A3345">
      <formula1>0</formula1>
    </dataValidation>
    <dataValidation type="list" allowBlank="1" showInputMessage="1" showErrorMessage="1" sqref="C3345">
      <formula1>UnidadesList</formula1>
    </dataValidation>
    <dataValidation type="decimal" operator="greaterThan" allowBlank="1" showInputMessage="1" showErrorMessage="1" sqref="D3345">
      <formula1>0</formula1>
    </dataValidation>
    <dataValidation type="decimal" operator="greaterThan" allowBlank="1" showInputMessage="1" showErrorMessage="1" sqref="E3345">
      <formula1>0</formula1>
    </dataValidation>
    <dataValidation type="whole" operator="greaterThan" allowBlank="1" showInputMessage="1" showErrorMessage="1" sqref="A3346">
      <formula1>0</formula1>
    </dataValidation>
    <dataValidation type="list" allowBlank="1" showInputMessage="1" showErrorMessage="1" sqref="C3346">
      <formula1>UnidadesList</formula1>
    </dataValidation>
    <dataValidation type="decimal" operator="greaterThan" allowBlank="1" showInputMessage="1" showErrorMessage="1" sqref="D3346">
      <formula1>0</formula1>
    </dataValidation>
    <dataValidation type="decimal" operator="greaterThan" allowBlank="1" showInputMessage="1" showErrorMessage="1" sqref="E3346">
      <formula1>0</formula1>
    </dataValidation>
    <dataValidation type="whole" operator="greaterThan" allowBlank="1" showInputMessage="1" showErrorMessage="1" sqref="A3347">
      <formula1>0</formula1>
    </dataValidation>
    <dataValidation type="list" allowBlank="1" showInputMessage="1" showErrorMessage="1" sqref="C3347">
      <formula1>UnidadesList</formula1>
    </dataValidation>
    <dataValidation type="decimal" operator="greaterThan" allowBlank="1" showInputMessage="1" showErrorMessage="1" sqref="D3347">
      <formula1>0</formula1>
    </dataValidation>
    <dataValidation type="decimal" operator="greaterThan" allowBlank="1" showInputMessage="1" showErrorMessage="1" sqref="E3347">
      <formula1>0</formula1>
    </dataValidation>
    <dataValidation type="whole" operator="greaterThan" allowBlank="1" showInputMessage="1" showErrorMessage="1" sqref="A3348">
      <formula1>0</formula1>
    </dataValidation>
    <dataValidation type="list" allowBlank="1" showInputMessage="1" showErrorMessage="1" sqref="C3348">
      <formula1>UnidadesList</formula1>
    </dataValidation>
    <dataValidation type="decimal" operator="greaterThan" allowBlank="1" showInputMessage="1" showErrorMessage="1" sqref="D3348">
      <formula1>0</formula1>
    </dataValidation>
    <dataValidation type="decimal" operator="greaterThan" allowBlank="1" showInputMessage="1" showErrorMessage="1" sqref="E3348">
      <formula1>0</formula1>
    </dataValidation>
    <dataValidation type="whole" operator="greaterThan" allowBlank="1" showInputMessage="1" showErrorMessage="1" sqref="A3349">
      <formula1>0</formula1>
    </dataValidation>
    <dataValidation type="list" allowBlank="1" showInputMessage="1" showErrorMessage="1" sqref="C3349">
      <formula1>UnidadesList</formula1>
    </dataValidation>
    <dataValidation type="decimal" operator="greaterThan" allowBlank="1" showInputMessage="1" showErrorMessage="1" sqref="D3349">
      <formula1>0</formula1>
    </dataValidation>
    <dataValidation type="decimal" operator="greaterThan" allowBlank="1" showInputMessage="1" showErrorMessage="1" sqref="E3349">
      <formula1>0</formula1>
    </dataValidation>
    <dataValidation type="whole" operator="greaterThan" allowBlank="1" showInputMessage="1" showErrorMessage="1" sqref="A3350">
      <formula1>0</formula1>
    </dataValidation>
    <dataValidation type="list" allowBlank="1" showInputMessage="1" showErrorMessage="1" sqref="C3350">
      <formula1>UnidadesList</formula1>
    </dataValidation>
    <dataValidation type="decimal" operator="greaterThan" allowBlank="1" showInputMessage="1" showErrorMessage="1" sqref="D3350">
      <formula1>0</formula1>
    </dataValidation>
    <dataValidation type="decimal" operator="greaterThan" allowBlank="1" showInputMessage="1" showErrorMessage="1" sqref="E3350">
      <formula1>0</formula1>
    </dataValidation>
    <dataValidation type="whole" operator="greaterThan" allowBlank="1" showInputMessage="1" showErrorMessage="1" sqref="A3351">
      <formula1>0</formula1>
    </dataValidation>
    <dataValidation type="list" allowBlank="1" showInputMessage="1" showErrorMessage="1" sqref="C3351">
      <formula1>UnidadesList</formula1>
    </dataValidation>
    <dataValidation type="decimal" operator="greaterThan" allowBlank="1" showInputMessage="1" showErrorMessage="1" sqref="D3351">
      <formula1>0</formula1>
    </dataValidation>
    <dataValidation type="decimal" operator="greaterThan" allowBlank="1" showInputMessage="1" showErrorMessage="1" sqref="E3351">
      <formula1>0</formula1>
    </dataValidation>
    <dataValidation type="whole" operator="greaterThan" allowBlank="1" showInputMessage="1" showErrorMessage="1" sqref="A3352">
      <formula1>0</formula1>
    </dataValidation>
    <dataValidation type="list" allowBlank="1" showInputMessage="1" showErrorMessage="1" sqref="C3352">
      <formula1>UnidadesList</formula1>
    </dataValidation>
    <dataValidation type="decimal" operator="greaterThan" allowBlank="1" showInputMessage="1" showErrorMessage="1" sqref="D3352">
      <formula1>0</formula1>
    </dataValidation>
    <dataValidation type="decimal" operator="greaterThan" allowBlank="1" showInputMessage="1" showErrorMessage="1" sqref="E3352">
      <formula1>0</formula1>
    </dataValidation>
    <dataValidation type="whole" operator="greaterThan" allowBlank="1" showInputMessage="1" showErrorMessage="1" sqref="A3353">
      <formula1>0</formula1>
    </dataValidation>
    <dataValidation type="list" allowBlank="1" showInputMessage="1" showErrorMessage="1" sqref="C3353">
      <formula1>UnidadesList</formula1>
    </dataValidation>
    <dataValidation type="decimal" operator="greaterThan" allowBlank="1" showInputMessage="1" showErrorMessage="1" sqref="D3353">
      <formula1>0</formula1>
    </dataValidation>
    <dataValidation type="decimal" operator="greaterThan" allowBlank="1" showInputMessage="1" showErrorMessage="1" sqref="E3353">
      <formula1>0</formula1>
    </dataValidation>
    <dataValidation type="whole" operator="greaterThan" allowBlank="1" showInputMessage="1" showErrorMessage="1" sqref="A3354">
      <formula1>0</formula1>
    </dataValidation>
    <dataValidation type="list" allowBlank="1" showInputMessage="1" showErrorMessage="1" sqref="C3354">
      <formula1>UnidadesList</formula1>
    </dataValidation>
    <dataValidation type="decimal" operator="greaterThan" allowBlank="1" showInputMessage="1" showErrorMessage="1" sqref="D3354">
      <formula1>0</formula1>
    </dataValidation>
    <dataValidation type="decimal" operator="greaterThan" allowBlank="1" showInputMessage="1" showErrorMessage="1" sqref="E3354">
      <formula1>0</formula1>
    </dataValidation>
    <dataValidation type="whole" operator="greaterThan" allowBlank="1" showInputMessage="1" showErrorMessage="1" sqref="A3355">
      <formula1>0</formula1>
    </dataValidation>
    <dataValidation type="list" allowBlank="1" showInputMessage="1" showErrorMessage="1" sqref="C3355">
      <formula1>UnidadesList</formula1>
    </dataValidation>
    <dataValidation type="decimal" operator="greaterThan" allowBlank="1" showInputMessage="1" showErrorMessage="1" sqref="D3355">
      <formula1>0</formula1>
    </dataValidation>
    <dataValidation type="decimal" operator="greaterThan" allowBlank="1" showInputMessage="1" showErrorMessage="1" sqref="E3355">
      <formula1>0</formula1>
    </dataValidation>
    <dataValidation type="whole" operator="greaterThan" allowBlank="1" showInputMessage="1" showErrorMessage="1" sqref="A3356">
      <formula1>0</formula1>
    </dataValidation>
    <dataValidation type="list" allowBlank="1" showInputMessage="1" showErrorMessage="1" sqref="C3356">
      <formula1>UnidadesList</formula1>
    </dataValidation>
    <dataValidation type="decimal" operator="greaterThan" allowBlank="1" showInputMessage="1" showErrorMessage="1" sqref="D3356">
      <formula1>0</formula1>
    </dataValidation>
    <dataValidation type="decimal" operator="greaterThan" allowBlank="1" showInputMessage="1" showErrorMessage="1" sqref="E3356">
      <formula1>0</formula1>
    </dataValidation>
    <dataValidation type="whole" operator="greaterThan" allowBlank="1" showInputMessage="1" showErrorMessage="1" sqref="A3357">
      <formula1>0</formula1>
    </dataValidation>
    <dataValidation type="list" allowBlank="1" showInputMessage="1" showErrorMessage="1" sqref="C3357">
      <formula1>UnidadesList</formula1>
    </dataValidation>
    <dataValidation type="decimal" operator="greaterThan" allowBlank="1" showInputMessage="1" showErrorMessage="1" sqref="D3357">
      <formula1>0</formula1>
    </dataValidation>
    <dataValidation type="decimal" operator="greaterThan" allowBlank="1" showInputMessage="1" showErrorMessage="1" sqref="E3357">
      <formula1>0</formula1>
    </dataValidation>
    <dataValidation type="whole" operator="greaterThan" allowBlank="1" showInputMessage="1" showErrorMessage="1" sqref="A3358">
      <formula1>0</formula1>
    </dataValidation>
    <dataValidation type="list" allowBlank="1" showInputMessage="1" showErrorMessage="1" sqref="C3358">
      <formula1>UnidadesList</formula1>
    </dataValidation>
    <dataValidation type="decimal" operator="greaterThan" allowBlank="1" showInputMessage="1" showErrorMessage="1" sqref="D3358">
      <formula1>0</formula1>
    </dataValidation>
    <dataValidation type="decimal" operator="greaterThan" allowBlank="1" showInputMessage="1" showErrorMessage="1" sqref="E3358">
      <formula1>0</formula1>
    </dataValidation>
    <dataValidation type="whole" operator="greaterThan" allowBlank="1" showInputMessage="1" showErrorMessage="1" sqref="A3359">
      <formula1>0</formula1>
    </dataValidation>
    <dataValidation type="list" allowBlank="1" showInputMessage="1" showErrorMessage="1" sqref="C3359">
      <formula1>UnidadesList</formula1>
    </dataValidation>
    <dataValidation type="decimal" operator="greaterThan" allowBlank="1" showInputMessage="1" showErrorMessage="1" sqref="D3359">
      <formula1>0</formula1>
    </dataValidation>
    <dataValidation type="decimal" operator="greaterThan" allowBlank="1" showInputMessage="1" showErrorMessage="1" sqref="E3359">
      <formula1>0</formula1>
    </dataValidation>
    <dataValidation type="whole" operator="greaterThan" allowBlank="1" showInputMessage="1" showErrorMessage="1" sqref="A3360">
      <formula1>0</formula1>
    </dataValidation>
    <dataValidation type="list" allowBlank="1" showInputMessage="1" showErrorMessage="1" sqref="C3360">
      <formula1>UnidadesList</formula1>
    </dataValidation>
    <dataValidation type="decimal" operator="greaterThan" allowBlank="1" showInputMessage="1" showErrorMessage="1" sqref="D3360">
      <formula1>0</formula1>
    </dataValidation>
    <dataValidation type="decimal" operator="greaterThan" allowBlank="1" showInputMessage="1" showErrorMessage="1" sqref="E3360">
      <formula1>0</formula1>
    </dataValidation>
    <dataValidation type="whole" operator="greaterThan" allowBlank="1" showInputMessage="1" showErrorMessage="1" sqref="A3361">
      <formula1>0</formula1>
    </dataValidation>
    <dataValidation type="list" allowBlank="1" showInputMessage="1" showErrorMessage="1" sqref="C3361">
      <formula1>UnidadesList</formula1>
    </dataValidation>
    <dataValidation type="decimal" operator="greaterThan" allowBlank="1" showInputMessage="1" showErrorMessage="1" sqref="D3361">
      <formula1>0</formula1>
    </dataValidation>
    <dataValidation type="decimal" operator="greaterThan" allowBlank="1" showInputMessage="1" showErrorMessage="1" sqref="E3361">
      <formula1>0</formula1>
    </dataValidation>
    <dataValidation type="whole" operator="greaterThan" allowBlank="1" showInputMessage="1" showErrorMessage="1" sqref="A3362">
      <formula1>0</formula1>
    </dataValidation>
    <dataValidation type="list" allowBlank="1" showInputMessage="1" showErrorMessage="1" sqref="C3362">
      <formula1>UnidadesList</formula1>
    </dataValidation>
    <dataValidation type="decimal" operator="greaterThan" allowBlank="1" showInputMessage="1" showErrorMessage="1" sqref="D3362">
      <formula1>0</formula1>
    </dataValidation>
    <dataValidation type="decimal" operator="greaterThan" allowBlank="1" showInputMessage="1" showErrorMessage="1" sqref="E3362">
      <formula1>0</formula1>
    </dataValidation>
    <dataValidation type="whole" operator="greaterThan" allowBlank="1" showInputMessage="1" showErrorMessage="1" sqref="A3363">
      <formula1>0</formula1>
    </dataValidation>
    <dataValidation type="list" allowBlank="1" showInputMessage="1" showErrorMessage="1" sqref="C3363">
      <formula1>UnidadesList</formula1>
    </dataValidation>
    <dataValidation type="decimal" operator="greaterThan" allowBlank="1" showInputMessage="1" showErrorMessage="1" sqref="D3363">
      <formula1>0</formula1>
    </dataValidation>
    <dataValidation type="decimal" operator="greaterThan" allowBlank="1" showInputMessage="1" showErrorMessage="1" sqref="E3363">
      <formula1>0</formula1>
    </dataValidation>
    <dataValidation type="whole" operator="greaterThan" allowBlank="1" showInputMessage="1" showErrorMessage="1" sqref="A3364">
      <formula1>0</formula1>
    </dataValidation>
    <dataValidation type="list" allowBlank="1" showInputMessage="1" showErrorMessage="1" sqref="C3364">
      <formula1>UnidadesList</formula1>
    </dataValidation>
    <dataValidation type="decimal" operator="greaterThan" allowBlank="1" showInputMessage="1" showErrorMessage="1" sqref="D3364">
      <formula1>0</formula1>
    </dataValidation>
    <dataValidation type="decimal" operator="greaterThan" allowBlank="1" showInputMessage="1" showErrorMessage="1" sqref="E3364">
      <formula1>0</formula1>
    </dataValidation>
    <dataValidation type="whole" operator="greaterThan" allowBlank="1" showInputMessage="1" showErrorMessage="1" sqref="A3365">
      <formula1>0</formula1>
    </dataValidation>
    <dataValidation type="list" allowBlank="1" showInputMessage="1" showErrorMessage="1" sqref="C3365">
      <formula1>UnidadesList</formula1>
    </dataValidation>
    <dataValidation type="decimal" operator="greaterThan" allowBlank="1" showInputMessage="1" showErrorMessage="1" sqref="D3365">
      <formula1>0</formula1>
    </dataValidation>
    <dataValidation type="decimal" operator="greaterThan" allowBlank="1" showInputMessage="1" showErrorMessage="1" sqref="E3365">
      <formula1>0</formula1>
    </dataValidation>
    <dataValidation type="whole" operator="greaterThan" allowBlank="1" showInputMessage="1" showErrorMessage="1" sqref="A3366">
      <formula1>0</formula1>
    </dataValidation>
    <dataValidation type="list" allowBlank="1" showInputMessage="1" showErrorMessage="1" sqref="C3366">
      <formula1>UnidadesList</formula1>
    </dataValidation>
    <dataValidation type="decimal" operator="greaterThan" allowBlank="1" showInputMessage="1" showErrorMessage="1" sqref="D3366">
      <formula1>0</formula1>
    </dataValidation>
    <dataValidation type="decimal" operator="greaterThan" allowBlank="1" showInputMessage="1" showErrorMessage="1" sqref="E3366">
      <formula1>0</formula1>
    </dataValidation>
    <dataValidation type="whole" operator="greaterThan" allowBlank="1" showInputMessage="1" showErrorMessage="1" sqref="A3367">
      <formula1>0</formula1>
    </dataValidation>
    <dataValidation type="list" allowBlank="1" showInputMessage="1" showErrorMessage="1" sqref="C3367">
      <formula1>UnidadesList</formula1>
    </dataValidation>
    <dataValidation type="decimal" operator="greaterThan" allowBlank="1" showInputMessage="1" showErrorMessage="1" sqref="D3367">
      <formula1>0</formula1>
    </dataValidation>
    <dataValidation type="decimal" operator="greaterThan" allowBlank="1" showInputMessage="1" showErrorMessage="1" sqref="E3367">
      <formula1>0</formula1>
    </dataValidation>
    <dataValidation type="whole" operator="greaterThan" allowBlank="1" showInputMessage="1" showErrorMessage="1" sqref="A3368">
      <formula1>0</formula1>
    </dataValidation>
    <dataValidation type="list" allowBlank="1" showInputMessage="1" showErrorMessage="1" sqref="C3368">
      <formula1>UnidadesList</formula1>
    </dataValidation>
    <dataValidation type="decimal" operator="greaterThan" allowBlank="1" showInputMessage="1" showErrorMessage="1" sqref="D3368">
      <formula1>0</formula1>
    </dataValidation>
    <dataValidation type="decimal" operator="greaterThan" allowBlank="1" showInputMessage="1" showErrorMessage="1" sqref="E3368">
      <formula1>0</formula1>
    </dataValidation>
    <dataValidation type="whole" operator="greaterThan" allowBlank="1" showInputMessage="1" showErrorMessage="1" sqref="A3369">
      <formula1>0</formula1>
    </dataValidation>
    <dataValidation type="list" allowBlank="1" showInputMessage="1" showErrorMessage="1" sqref="C3369">
      <formula1>UnidadesList</formula1>
    </dataValidation>
    <dataValidation type="decimal" operator="greaterThan" allowBlank="1" showInputMessage="1" showErrorMessage="1" sqref="D3369">
      <formula1>0</formula1>
    </dataValidation>
    <dataValidation type="decimal" operator="greaterThan" allowBlank="1" showInputMessage="1" showErrorMessage="1" sqref="E3369">
      <formula1>0</formula1>
    </dataValidation>
    <dataValidation type="whole" operator="greaterThan" allowBlank="1" showInputMessage="1" showErrorMessage="1" sqref="A3370">
      <formula1>0</formula1>
    </dataValidation>
    <dataValidation type="list" allowBlank="1" showInputMessage="1" showErrorMessage="1" sqref="C3370">
      <formula1>UnidadesList</formula1>
    </dataValidation>
    <dataValidation type="decimal" operator="greaterThan" allowBlank="1" showInputMessage="1" showErrorMessage="1" sqref="D3370">
      <formula1>0</formula1>
    </dataValidation>
    <dataValidation type="decimal" operator="greaterThan" allowBlank="1" showInputMessage="1" showErrorMessage="1" sqref="E3370">
      <formula1>0</formula1>
    </dataValidation>
    <dataValidation type="whole" operator="greaterThan" allowBlank="1" showInputMessage="1" showErrorMessage="1" sqref="A3371">
      <formula1>0</formula1>
    </dataValidation>
    <dataValidation type="list" allowBlank="1" showInputMessage="1" showErrorMessage="1" sqref="C3371">
      <formula1>UnidadesList</formula1>
    </dataValidation>
    <dataValidation type="decimal" operator="greaterThan" allowBlank="1" showInputMessage="1" showErrorMessage="1" sqref="D3371">
      <formula1>0</formula1>
    </dataValidation>
    <dataValidation type="decimal" operator="greaterThan" allowBlank="1" showInputMessage="1" showErrorMessage="1" sqref="E3371">
      <formula1>0</formula1>
    </dataValidation>
    <dataValidation type="whole" operator="greaterThan" allowBlank="1" showInputMessage="1" showErrorMessage="1" sqref="A3372">
      <formula1>0</formula1>
    </dataValidation>
    <dataValidation type="list" allowBlank="1" showInputMessage="1" showErrorMessage="1" sqref="C3372">
      <formula1>UnidadesList</formula1>
    </dataValidation>
    <dataValidation type="decimal" operator="greaterThan" allowBlank="1" showInputMessage="1" showErrorMessage="1" sqref="D3372">
      <formula1>0</formula1>
    </dataValidation>
    <dataValidation type="decimal" operator="greaterThan" allowBlank="1" showInputMessage="1" showErrorMessage="1" sqref="E3372">
      <formula1>0</formula1>
    </dataValidation>
    <dataValidation type="whole" operator="greaterThan" allowBlank="1" showInputMessage="1" showErrorMessage="1" sqref="A3373">
      <formula1>0</formula1>
    </dataValidation>
    <dataValidation type="list" allowBlank="1" showInputMessage="1" showErrorMessage="1" sqref="C3373">
      <formula1>UnidadesList</formula1>
    </dataValidation>
    <dataValidation type="decimal" operator="greaterThan" allowBlank="1" showInputMessage="1" showErrorMessage="1" sqref="D3373">
      <formula1>0</formula1>
    </dataValidation>
    <dataValidation type="decimal" operator="greaterThan" allowBlank="1" showInputMessage="1" showErrorMessage="1" sqref="E3373">
      <formula1>0</formula1>
    </dataValidation>
    <dataValidation type="whole" operator="greaterThan" allowBlank="1" showInputMessage="1" showErrorMessage="1" sqref="A3374">
      <formula1>0</formula1>
    </dataValidation>
    <dataValidation type="list" allowBlank="1" showInputMessage="1" showErrorMessage="1" sqref="C3374">
      <formula1>UnidadesList</formula1>
    </dataValidation>
    <dataValidation type="decimal" operator="greaterThan" allowBlank="1" showInputMessage="1" showErrorMessage="1" sqref="D3374">
      <formula1>0</formula1>
    </dataValidation>
    <dataValidation type="decimal" operator="greaterThan" allowBlank="1" showInputMessage="1" showErrorMessage="1" sqref="E3374">
      <formula1>0</formula1>
    </dataValidation>
    <dataValidation type="whole" operator="greaterThan" allowBlank="1" showInputMessage="1" showErrorMessage="1" sqref="A3375">
      <formula1>0</formula1>
    </dataValidation>
    <dataValidation type="list" allowBlank="1" showInputMessage="1" showErrorMessage="1" sqref="C3375">
      <formula1>UnidadesList</formula1>
    </dataValidation>
    <dataValidation type="decimal" operator="greaterThan" allowBlank="1" showInputMessage="1" showErrorMessage="1" sqref="D3375">
      <formula1>0</formula1>
    </dataValidation>
    <dataValidation type="decimal" operator="greaterThan" allowBlank="1" showInputMessage="1" showErrorMessage="1" sqref="E3375">
      <formula1>0</formula1>
    </dataValidation>
    <dataValidation type="whole" operator="greaterThan" allowBlank="1" showInputMessage="1" showErrorMessage="1" sqref="A3376">
      <formula1>0</formula1>
    </dataValidation>
    <dataValidation type="list" allowBlank="1" showInputMessage="1" showErrorMessage="1" sqref="C3376">
      <formula1>UnidadesList</formula1>
    </dataValidation>
    <dataValidation type="decimal" operator="greaterThan" allowBlank="1" showInputMessage="1" showErrorMessage="1" sqref="D3376">
      <formula1>0</formula1>
    </dataValidation>
    <dataValidation type="decimal" operator="greaterThan" allowBlank="1" showInputMessage="1" showErrorMessage="1" sqref="E3376">
      <formula1>0</formula1>
    </dataValidation>
    <dataValidation type="whole" operator="greaterThan" allowBlank="1" showInputMessage="1" showErrorMessage="1" sqref="A3377">
      <formula1>0</formula1>
    </dataValidation>
    <dataValidation type="list" allowBlank="1" showInputMessage="1" showErrorMessage="1" sqref="C3377">
      <formula1>UnidadesList</formula1>
    </dataValidation>
    <dataValidation type="decimal" operator="greaterThan" allowBlank="1" showInputMessage="1" showErrorMessage="1" sqref="D3377">
      <formula1>0</formula1>
    </dataValidation>
    <dataValidation type="decimal" operator="greaterThan" allowBlank="1" showInputMessage="1" showErrorMessage="1" sqref="E3377">
      <formula1>0</formula1>
    </dataValidation>
    <dataValidation type="whole" operator="greaterThan" allowBlank="1" showInputMessage="1" showErrorMessage="1" sqref="A3378">
      <formula1>0</formula1>
    </dataValidation>
    <dataValidation type="list" allowBlank="1" showInputMessage="1" showErrorMessage="1" sqref="C3378">
      <formula1>UnidadesList</formula1>
    </dataValidation>
    <dataValidation type="decimal" operator="greaterThan" allowBlank="1" showInputMessage="1" showErrorMessage="1" sqref="D3378">
      <formula1>0</formula1>
    </dataValidation>
    <dataValidation type="decimal" operator="greaterThan" allowBlank="1" showInputMessage="1" showErrorMessage="1" sqref="E3378">
      <formula1>0</formula1>
    </dataValidation>
    <dataValidation type="whole" operator="greaterThan" allowBlank="1" showInputMessage="1" showErrorMessage="1" sqref="A3379">
      <formula1>0</formula1>
    </dataValidation>
    <dataValidation type="list" allowBlank="1" showInputMessage="1" showErrorMessage="1" sqref="C3379">
      <formula1>UnidadesList</formula1>
    </dataValidation>
    <dataValidation type="decimal" operator="greaterThan" allowBlank="1" showInputMessage="1" showErrorMessage="1" sqref="D3379">
      <formula1>0</formula1>
    </dataValidation>
    <dataValidation type="decimal" operator="greaterThan" allowBlank="1" showInputMessage="1" showErrorMessage="1" sqref="E3379">
      <formula1>0</formula1>
    </dataValidation>
    <dataValidation type="whole" operator="greaterThan" allowBlank="1" showInputMessage="1" showErrorMessage="1" sqref="A3380">
      <formula1>0</formula1>
    </dataValidation>
    <dataValidation type="list" allowBlank="1" showInputMessage="1" showErrorMessage="1" sqref="C3380">
      <formula1>UnidadesList</formula1>
    </dataValidation>
    <dataValidation type="decimal" operator="greaterThan" allowBlank="1" showInputMessage="1" showErrorMessage="1" sqref="D3380">
      <formula1>0</formula1>
    </dataValidation>
    <dataValidation type="decimal" operator="greaterThan" allowBlank="1" showInputMessage="1" showErrorMessage="1" sqref="E3380">
      <formula1>0</formula1>
    </dataValidation>
    <dataValidation type="whole" operator="greaterThan" allowBlank="1" showInputMessage="1" showErrorMessage="1" sqref="A3381">
      <formula1>0</formula1>
    </dataValidation>
    <dataValidation type="list" allowBlank="1" showInputMessage="1" showErrorMessage="1" sqref="C3381">
      <formula1>UnidadesList</formula1>
    </dataValidation>
    <dataValidation type="decimal" operator="greaterThan" allowBlank="1" showInputMessage="1" showErrorMessage="1" sqref="D3381">
      <formula1>0</formula1>
    </dataValidation>
    <dataValidation type="decimal" operator="greaterThan" allowBlank="1" showInputMessage="1" showErrorMessage="1" sqref="E3381">
      <formula1>0</formula1>
    </dataValidation>
    <dataValidation type="whole" operator="greaterThan" allowBlank="1" showInputMessage="1" showErrorMessage="1" sqref="A3382">
      <formula1>0</formula1>
    </dataValidation>
    <dataValidation type="list" allowBlank="1" showInputMessage="1" showErrorMessage="1" sqref="C3382">
      <formula1>UnidadesList</formula1>
    </dataValidation>
    <dataValidation type="decimal" operator="greaterThan" allowBlank="1" showInputMessage="1" showErrorMessage="1" sqref="D3382">
      <formula1>0</formula1>
    </dataValidation>
    <dataValidation type="decimal" operator="greaterThan" allowBlank="1" showInputMessage="1" showErrorMessage="1" sqref="E3382">
      <formula1>0</formula1>
    </dataValidation>
    <dataValidation type="whole" operator="greaterThan" allowBlank="1" showInputMessage="1" showErrorMessage="1" sqref="A3383">
      <formula1>0</formula1>
    </dataValidation>
    <dataValidation type="list" allowBlank="1" showInputMessage="1" showErrorMessage="1" sqref="C3383">
      <formula1>UnidadesList</formula1>
    </dataValidation>
    <dataValidation type="decimal" operator="greaterThan" allowBlank="1" showInputMessage="1" showErrorMessage="1" sqref="D3383">
      <formula1>0</formula1>
    </dataValidation>
    <dataValidation type="decimal" operator="greaterThan" allowBlank="1" showInputMessage="1" showErrorMessage="1" sqref="E3383">
      <formula1>0</formula1>
    </dataValidation>
    <dataValidation type="whole" operator="greaterThan" allowBlank="1" showInputMessage="1" showErrorMessage="1" sqref="A3384">
      <formula1>0</formula1>
    </dataValidation>
    <dataValidation type="list" allowBlank="1" showInputMessage="1" showErrorMessage="1" sqref="C3384">
      <formula1>UnidadesList</formula1>
    </dataValidation>
    <dataValidation type="decimal" operator="greaterThan" allowBlank="1" showInputMessage="1" showErrorMessage="1" sqref="D3384">
      <formula1>0</formula1>
    </dataValidation>
    <dataValidation type="decimal" operator="greaterThan" allowBlank="1" showInputMessage="1" showErrorMessage="1" sqref="E3384">
      <formula1>0</formula1>
    </dataValidation>
    <dataValidation type="whole" operator="greaterThan" allowBlank="1" showInputMessage="1" showErrorMessage="1" sqref="A3385">
      <formula1>0</formula1>
    </dataValidation>
    <dataValidation type="list" allowBlank="1" showInputMessage="1" showErrorMessage="1" sqref="C3385">
      <formula1>UnidadesList</formula1>
    </dataValidation>
    <dataValidation type="decimal" operator="greaterThan" allowBlank="1" showInputMessage="1" showErrorMessage="1" sqref="D3385">
      <formula1>0</formula1>
    </dataValidation>
    <dataValidation type="decimal" operator="greaterThan" allowBlank="1" showInputMessage="1" showErrorMessage="1" sqref="E3385">
      <formula1>0</formula1>
    </dataValidation>
    <dataValidation type="whole" operator="greaterThan" allowBlank="1" showInputMessage="1" showErrorMessage="1" sqref="A3386">
      <formula1>0</formula1>
    </dataValidation>
    <dataValidation type="list" allowBlank="1" showInputMessage="1" showErrorMessage="1" sqref="C3386">
      <formula1>UnidadesList</formula1>
    </dataValidation>
    <dataValidation type="decimal" operator="greaterThan" allowBlank="1" showInputMessage="1" showErrorMessage="1" sqref="D3386">
      <formula1>0</formula1>
    </dataValidation>
    <dataValidation type="decimal" operator="greaterThan" allowBlank="1" showInputMessage="1" showErrorMessage="1" sqref="E3386">
      <formula1>0</formula1>
    </dataValidation>
    <dataValidation type="whole" operator="greaterThan" allowBlank="1" showInputMessage="1" showErrorMessage="1" sqref="A3387">
      <formula1>0</formula1>
    </dataValidation>
    <dataValidation type="list" allowBlank="1" showInputMessage="1" showErrorMessage="1" sqref="C3387">
      <formula1>UnidadesList</formula1>
    </dataValidation>
    <dataValidation type="decimal" operator="greaterThan" allowBlank="1" showInputMessage="1" showErrorMessage="1" sqref="D3387">
      <formula1>0</formula1>
    </dataValidation>
    <dataValidation type="decimal" operator="greaterThan" allowBlank="1" showInputMessage="1" showErrorMessage="1" sqref="E3387">
      <formula1>0</formula1>
    </dataValidation>
    <dataValidation type="whole" operator="greaterThan" allowBlank="1" showInputMessage="1" showErrorMessage="1" sqref="A3388">
      <formula1>0</formula1>
    </dataValidation>
    <dataValidation type="list" allowBlank="1" showInputMessage="1" showErrorMessage="1" sqref="C3388">
      <formula1>UnidadesList</formula1>
    </dataValidation>
    <dataValidation type="decimal" operator="greaterThan" allowBlank="1" showInputMessage="1" showErrorMessage="1" sqref="D3388">
      <formula1>0</formula1>
    </dataValidation>
    <dataValidation type="decimal" operator="greaterThan" allowBlank="1" showInputMessage="1" showErrorMessage="1" sqref="E3388">
      <formula1>0</formula1>
    </dataValidation>
    <dataValidation type="whole" operator="greaterThan" allowBlank="1" showInputMessage="1" showErrorMessage="1" sqref="A3389">
      <formula1>0</formula1>
    </dataValidation>
    <dataValidation type="list" allowBlank="1" showInputMessage="1" showErrorMessage="1" sqref="C3389">
      <formula1>UnidadesList</formula1>
    </dataValidation>
    <dataValidation type="decimal" operator="greaterThan" allowBlank="1" showInputMessage="1" showErrorMessage="1" sqref="D3389">
      <formula1>0</formula1>
    </dataValidation>
    <dataValidation type="decimal" operator="greaterThan" allowBlank="1" showInputMessage="1" showErrorMessage="1" sqref="E3389">
      <formula1>0</formula1>
    </dataValidation>
    <dataValidation type="whole" operator="greaterThan" allowBlank="1" showInputMessage="1" showErrorMessage="1" sqref="A3390">
      <formula1>0</formula1>
    </dataValidation>
    <dataValidation type="list" allowBlank="1" showInputMessage="1" showErrorMessage="1" sqref="C3390">
      <formula1>UnidadesList</formula1>
    </dataValidation>
    <dataValidation type="decimal" operator="greaterThan" allowBlank="1" showInputMessage="1" showErrorMessage="1" sqref="D3390">
      <formula1>0</formula1>
    </dataValidation>
    <dataValidation type="decimal" operator="greaterThan" allowBlank="1" showInputMessage="1" showErrorMessage="1" sqref="E3390">
      <formula1>0</formula1>
    </dataValidation>
    <dataValidation type="whole" operator="greaterThan" allowBlank="1" showInputMessage="1" showErrorMessage="1" sqref="A3391">
      <formula1>0</formula1>
    </dataValidation>
    <dataValidation type="list" allowBlank="1" showInputMessage="1" showErrorMessage="1" sqref="C3391">
      <formula1>UnidadesList</formula1>
    </dataValidation>
    <dataValidation type="decimal" operator="greaterThan" allowBlank="1" showInputMessage="1" showErrorMessage="1" sqref="D3391">
      <formula1>0</formula1>
    </dataValidation>
    <dataValidation type="decimal" operator="greaterThan" allowBlank="1" showInputMessage="1" showErrorMessage="1" sqref="E3391">
      <formula1>0</formula1>
    </dataValidation>
    <dataValidation type="whole" operator="greaterThan" allowBlank="1" showInputMessage="1" showErrorMessage="1" sqref="A3392">
      <formula1>0</formula1>
    </dataValidation>
    <dataValidation type="list" allowBlank="1" showInputMessage="1" showErrorMessage="1" sqref="C3392">
      <formula1>UnidadesList</formula1>
    </dataValidation>
    <dataValidation type="decimal" operator="greaterThan" allowBlank="1" showInputMessage="1" showErrorMessage="1" sqref="D3392">
      <formula1>0</formula1>
    </dataValidation>
    <dataValidation type="decimal" operator="greaterThan" allowBlank="1" showInputMessage="1" showErrorMessage="1" sqref="E3392">
      <formula1>0</formula1>
    </dataValidation>
    <dataValidation type="whole" operator="greaterThan" allowBlank="1" showInputMessage="1" showErrorMessage="1" sqref="A3393">
      <formula1>0</formula1>
    </dataValidation>
    <dataValidation type="list" allowBlank="1" showInputMessage="1" showErrorMessage="1" sqref="C3393">
      <formula1>UnidadesList</formula1>
    </dataValidation>
    <dataValidation type="decimal" operator="greaterThan" allowBlank="1" showInputMessage="1" showErrorMessage="1" sqref="D3393">
      <formula1>0</formula1>
    </dataValidation>
    <dataValidation type="decimal" operator="greaterThan" allowBlank="1" showInputMessage="1" showErrorMessage="1" sqref="E3393">
      <formula1>0</formula1>
    </dataValidation>
    <dataValidation type="whole" operator="greaterThan" allowBlank="1" showInputMessage="1" showErrorMessage="1" sqref="A3394">
      <formula1>0</formula1>
    </dataValidation>
    <dataValidation type="list" allowBlank="1" showInputMessage="1" showErrorMessage="1" sqref="C3394">
      <formula1>UnidadesList</formula1>
    </dataValidation>
    <dataValidation type="decimal" operator="greaterThan" allowBlank="1" showInputMessage="1" showErrorMessage="1" sqref="D3394">
      <formula1>0</formula1>
    </dataValidation>
    <dataValidation type="decimal" operator="greaterThan" allowBlank="1" showInputMessage="1" showErrorMessage="1" sqref="E3394">
      <formula1>0</formula1>
    </dataValidation>
    <dataValidation type="whole" operator="greaterThan" allowBlank="1" showInputMessage="1" showErrorMessage="1" sqref="A3395">
      <formula1>0</formula1>
    </dataValidation>
    <dataValidation type="list" allowBlank="1" showInputMessage="1" showErrorMessage="1" sqref="C3395">
      <formula1>UnidadesList</formula1>
    </dataValidation>
    <dataValidation type="decimal" operator="greaterThan" allowBlank="1" showInputMessage="1" showErrorMessage="1" sqref="D3395">
      <formula1>0</formula1>
    </dataValidation>
    <dataValidation type="decimal" operator="greaterThan" allowBlank="1" showInputMessage="1" showErrorMessage="1" sqref="E3395">
      <formula1>0</formula1>
    </dataValidation>
    <dataValidation type="whole" operator="greaterThan" allowBlank="1" showInputMessage="1" showErrorMessage="1" sqref="A3396">
      <formula1>0</formula1>
    </dataValidation>
    <dataValidation type="list" allowBlank="1" showInputMessage="1" showErrorMessage="1" sqref="C3396">
      <formula1>UnidadesList</formula1>
    </dataValidation>
    <dataValidation type="decimal" operator="greaterThan" allowBlank="1" showInputMessage="1" showErrorMessage="1" sqref="D3396">
      <formula1>0</formula1>
    </dataValidation>
    <dataValidation type="decimal" operator="greaterThan" allowBlank="1" showInputMessage="1" showErrorMessage="1" sqref="E3396">
      <formula1>0</formula1>
    </dataValidation>
    <dataValidation type="whole" operator="greaterThan" allowBlank="1" showInputMessage="1" showErrorMessage="1" sqref="A3397">
      <formula1>0</formula1>
    </dataValidation>
    <dataValidation type="list" allowBlank="1" showInputMessage="1" showErrorMessage="1" sqref="C3397">
      <formula1>UnidadesList</formula1>
    </dataValidation>
    <dataValidation type="decimal" operator="greaterThan" allowBlank="1" showInputMessage="1" showErrorMessage="1" sqref="D3397">
      <formula1>0</formula1>
    </dataValidation>
    <dataValidation type="decimal" operator="greaterThan" allowBlank="1" showInputMessage="1" showErrorMessage="1" sqref="E3397">
      <formula1>0</formula1>
    </dataValidation>
    <dataValidation type="whole" operator="greaterThan" allowBlank="1" showInputMessage="1" showErrorMessage="1" sqref="A3398">
      <formula1>0</formula1>
    </dataValidation>
    <dataValidation type="list" allowBlank="1" showInputMessage="1" showErrorMessage="1" sqref="C3398">
      <formula1>UnidadesList</formula1>
    </dataValidation>
    <dataValidation type="decimal" operator="greaterThan" allowBlank="1" showInputMessage="1" showErrorMessage="1" sqref="D3398">
      <formula1>0</formula1>
    </dataValidation>
    <dataValidation type="decimal" operator="greaterThan" allowBlank="1" showInputMessage="1" showErrorMessage="1" sqref="E3398">
      <formula1>0</formula1>
    </dataValidation>
    <dataValidation type="whole" operator="greaterThan" allowBlank="1" showInputMessage="1" showErrorMessage="1" sqref="A3399">
      <formula1>0</formula1>
    </dataValidation>
    <dataValidation type="list" allowBlank="1" showInputMessage="1" showErrorMessage="1" sqref="C3399">
      <formula1>UnidadesList</formula1>
    </dataValidation>
    <dataValidation type="decimal" operator="greaterThan" allowBlank="1" showInputMessage="1" showErrorMessage="1" sqref="D3399">
      <formula1>0</formula1>
    </dataValidation>
    <dataValidation type="decimal" operator="greaterThan" allowBlank="1" showInputMessage="1" showErrorMessage="1" sqref="E3399">
      <formula1>0</formula1>
    </dataValidation>
    <dataValidation type="whole" operator="greaterThan" allowBlank="1" showInputMessage="1" showErrorMessage="1" sqref="A3400">
      <formula1>0</formula1>
    </dataValidation>
    <dataValidation type="list" allowBlank="1" showInputMessage="1" showErrorMessage="1" sqref="C3400">
      <formula1>UnidadesList</formula1>
    </dataValidation>
    <dataValidation type="decimal" operator="greaterThan" allowBlank="1" showInputMessage="1" showErrorMessage="1" sqref="D3400">
      <formula1>0</formula1>
    </dataValidation>
    <dataValidation type="decimal" operator="greaterThan" allowBlank="1" showInputMessage="1" showErrorMessage="1" sqref="E3400">
      <formula1>0</formula1>
    </dataValidation>
    <dataValidation type="whole" operator="greaterThan" allowBlank="1" showInputMessage="1" showErrorMessage="1" sqref="A3401">
      <formula1>0</formula1>
    </dataValidation>
    <dataValidation type="list" allowBlank="1" showInputMessage="1" showErrorMessage="1" sqref="C3401">
      <formula1>UnidadesList</formula1>
    </dataValidation>
    <dataValidation type="decimal" operator="greaterThan" allowBlank="1" showInputMessage="1" showErrorMessage="1" sqref="D3401">
      <formula1>0</formula1>
    </dataValidation>
    <dataValidation type="decimal" operator="greaterThan" allowBlank="1" showInputMessage="1" showErrorMessage="1" sqref="E3401">
      <formula1>0</formula1>
    </dataValidation>
    <dataValidation type="whole" operator="greaterThan" allowBlank="1" showInputMessage="1" showErrorMessage="1" sqref="A3402">
      <formula1>0</formula1>
    </dataValidation>
    <dataValidation type="list" allowBlank="1" showInputMessage="1" showErrorMessage="1" sqref="C3402">
      <formula1>UnidadesList</formula1>
    </dataValidation>
    <dataValidation type="decimal" operator="greaterThan" allowBlank="1" showInputMessage="1" showErrorMessage="1" sqref="D3402">
      <formula1>0</formula1>
    </dataValidation>
    <dataValidation type="decimal" operator="greaterThan" allowBlank="1" showInputMessage="1" showErrorMessage="1" sqref="E3402">
      <formula1>0</formula1>
    </dataValidation>
    <dataValidation type="whole" operator="greaterThan" allowBlank="1" showInputMessage="1" showErrorMessage="1" sqref="A3403">
      <formula1>0</formula1>
    </dataValidation>
    <dataValidation type="list" allowBlank="1" showInputMessage="1" showErrorMessage="1" sqref="C3403">
      <formula1>UnidadesList</formula1>
    </dataValidation>
    <dataValidation type="decimal" operator="greaterThan" allowBlank="1" showInputMessage="1" showErrorMessage="1" sqref="D3403">
      <formula1>0</formula1>
    </dataValidation>
    <dataValidation type="decimal" operator="greaterThan" allowBlank="1" showInputMessage="1" showErrorMessage="1" sqref="E3403">
      <formula1>0</formula1>
    </dataValidation>
    <dataValidation type="whole" operator="greaterThan" allowBlank="1" showInputMessage="1" showErrorMessage="1" sqref="A3404">
      <formula1>0</formula1>
    </dataValidation>
    <dataValidation type="list" allowBlank="1" showInputMessage="1" showErrorMessage="1" sqref="C3404">
      <formula1>UnidadesList</formula1>
    </dataValidation>
    <dataValidation type="decimal" operator="greaterThan" allowBlank="1" showInputMessage="1" showErrorMessage="1" sqref="D3404">
      <formula1>0</formula1>
    </dataValidation>
    <dataValidation type="decimal" operator="greaterThan" allowBlank="1" showInputMessage="1" showErrorMessage="1" sqref="E3404">
      <formula1>0</formula1>
    </dataValidation>
    <dataValidation type="whole" operator="greaterThan" allowBlank="1" showInputMessage="1" showErrorMessage="1" sqref="A3405">
      <formula1>0</formula1>
    </dataValidation>
    <dataValidation type="list" allowBlank="1" showInputMessage="1" showErrorMessage="1" sqref="C3405">
      <formula1>UnidadesList</formula1>
    </dataValidation>
    <dataValidation type="decimal" operator="greaterThan" allowBlank="1" showInputMessage="1" showErrorMessage="1" sqref="D3405">
      <formula1>0</formula1>
    </dataValidation>
    <dataValidation type="decimal" operator="greaterThan" allowBlank="1" showInputMessage="1" showErrorMessage="1" sqref="E3405">
      <formula1>0</formula1>
    </dataValidation>
    <dataValidation type="whole" operator="greaterThan" allowBlank="1" showInputMessage="1" showErrorMessage="1" sqref="A3406">
      <formula1>0</formula1>
    </dataValidation>
    <dataValidation type="list" allowBlank="1" showInputMessage="1" showErrorMessage="1" sqref="C3406">
      <formula1>UnidadesList</formula1>
    </dataValidation>
    <dataValidation type="decimal" operator="greaterThan" allowBlank="1" showInputMessage="1" showErrorMessage="1" sqref="D3406">
      <formula1>0</formula1>
    </dataValidation>
    <dataValidation type="decimal" operator="greaterThan" allowBlank="1" showInputMessage="1" showErrorMessage="1" sqref="E3406">
      <formula1>0</formula1>
    </dataValidation>
    <dataValidation type="whole" operator="greaterThan" allowBlank="1" showInputMessage="1" showErrorMessage="1" sqref="A3407">
      <formula1>0</formula1>
    </dataValidation>
    <dataValidation type="list" allowBlank="1" showInputMessage="1" showErrorMessage="1" sqref="C3407">
      <formula1>UnidadesList</formula1>
    </dataValidation>
    <dataValidation type="decimal" operator="greaterThan" allowBlank="1" showInputMessage="1" showErrorMessage="1" sqref="D3407">
      <formula1>0</formula1>
    </dataValidation>
    <dataValidation type="decimal" operator="greaterThan" allowBlank="1" showInputMessage="1" showErrorMessage="1" sqref="E3407">
      <formula1>0</formula1>
    </dataValidation>
    <dataValidation type="whole" operator="greaterThan" allowBlank="1" showInputMessage="1" showErrorMessage="1" sqref="A3408">
      <formula1>0</formula1>
    </dataValidation>
    <dataValidation type="list" allowBlank="1" showInputMessage="1" showErrorMessage="1" sqref="C3408">
      <formula1>UnidadesList</formula1>
    </dataValidation>
    <dataValidation type="decimal" operator="greaterThan" allowBlank="1" showInputMessage="1" showErrorMessage="1" sqref="D3408">
      <formula1>0</formula1>
    </dataValidation>
    <dataValidation type="decimal" operator="greaterThan" allowBlank="1" showInputMessage="1" showErrorMessage="1" sqref="E3408">
      <formula1>0</formula1>
    </dataValidation>
    <dataValidation type="whole" operator="greaterThan" allowBlank="1" showInputMessage="1" showErrorMessage="1" sqref="A3409">
      <formula1>0</formula1>
    </dataValidation>
    <dataValidation type="list" allowBlank="1" showInputMessage="1" showErrorMessage="1" sqref="C3409">
      <formula1>UnidadesList</formula1>
    </dataValidation>
    <dataValidation type="decimal" operator="greaterThan" allowBlank="1" showInputMessage="1" showErrorMessage="1" sqref="D3409">
      <formula1>0</formula1>
    </dataValidation>
    <dataValidation type="decimal" operator="greaterThan" allowBlank="1" showInputMessage="1" showErrorMessage="1" sqref="E3409">
      <formula1>0</formula1>
    </dataValidation>
    <dataValidation type="whole" operator="greaterThan" allowBlank="1" showInputMessage="1" showErrorMessage="1" sqref="A3410">
      <formula1>0</formula1>
    </dataValidation>
    <dataValidation type="list" allowBlank="1" showInputMessage="1" showErrorMessage="1" sqref="C3410">
      <formula1>UnidadesList</formula1>
    </dataValidation>
    <dataValidation type="decimal" operator="greaterThan" allowBlank="1" showInputMessage="1" showErrorMessage="1" sqref="D3410">
      <formula1>0</formula1>
    </dataValidation>
    <dataValidation type="decimal" operator="greaterThan" allowBlank="1" showInputMessage="1" showErrorMessage="1" sqref="E3410">
      <formula1>0</formula1>
    </dataValidation>
    <dataValidation type="whole" operator="greaterThan" allowBlank="1" showInputMessage="1" showErrorMessage="1" sqref="A3411">
      <formula1>0</formula1>
    </dataValidation>
    <dataValidation type="list" allowBlank="1" showInputMessage="1" showErrorMessage="1" sqref="C3411">
      <formula1>UnidadesList</formula1>
    </dataValidation>
    <dataValidation type="decimal" operator="greaterThan" allowBlank="1" showInputMessage="1" showErrorMessage="1" sqref="D3411">
      <formula1>0</formula1>
    </dataValidation>
    <dataValidation type="decimal" operator="greaterThan" allowBlank="1" showInputMessage="1" showErrorMessage="1" sqref="E3411">
      <formula1>0</formula1>
    </dataValidation>
    <dataValidation type="whole" operator="greaterThan" allowBlank="1" showInputMessage="1" showErrorMessage="1" sqref="A3412">
      <formula1>0</formula1>
    </dataValidation>
    <dataValidation type="list" allowBlank="1" showInputMessage="1" showErrorMessage="1" sqref="C3412">
      <formula1>UnidadesList</formula1>
    </dataValidation>
    <dataValidation type="decimal" operator="greaterThan" allowBlank="1" showInputMessage="1" showErrorMessage="1" sqref="D3412">
      <formula1>0</formula1>
    </dataValidation>
    <dataValidation type="decimal" operator="greaterThan" allowBlank="1" showInputMessage="1" showErrorMessage="1" sqref="E3412">
      <formula1>0</formula1>
    </dataValidation>
    <dataValidation type="whole" operator="greaterThan" allowBlank="1" showInputMessage="1" showErrorMessage="1" sqref="A3413">
      <formula1>0</formula1>
    </dataValidation>
    <dataValidation type="list" allowBlank="1" showInputMessage="1" showErrorMessage="1" sqref="C3413">
      <formula1>UnidadesList</formula1>
    </dataValidation>
    <dataValidation type="decimal" operator="greaterThan" allowBlank="1" showInputMessage="1" showErrorMessage="1" sqref="D3413">
      <formula1>0</formula1>
    </dataValidation>
    <dataValidation type="decimal" operator="greaterThan" allowBlank="1" showInputMessage="1" showErrorMessage="1" sqref="E3413">
      <formula1>0</formula1>
    </dataValidation>
    <dataValidation type="whole" operator="greaterThan" allowBlank="1" showInputMessage="1" showErrorMessage="1" sqref="A3414">
      <formula1>0</formula1>
    </dataValidation>
    <dataValidation type="list" allowBlank="1" showInputMessage="1" showErrorMessage="1" sqref="C3414">
      <formula1>UnidadesList</formula1>
    </dataValidation>
    <dataValidation type="decimal" operator="greaterThan" allowBlank="1" showInputMessage="1" showErrorMessage="1" sqref="D3414">
      <formula1>0</formula1>
    </dataValidation>
    <dataValidation type="decimal" operator="greaterThan" allowBlank="1" showInputMessage="1" showErrorMessage="1" sqref="E3414">
      <formula1>0</formula1>
    </dataValidation>
    <dataValidation type="whole" operator="greaterThan" allowBlank="1" showInputMessage="1" showErrorMessage="1" sqref="A3415">
      <formula1>0</formula1>
    </dataValidation>
    <dataValidation type="list" allowBlank="1" showInputMessage="1" showErrorMessage="1" sqref="C3415">
      <formula1>UnidadesList</formula1>
    </dataValidation>
    <dataValidation type="decimal" operator="greaterThan" allowBlank="1" showInputMessage="1" showErrorMessage="1" sqref="D3415">
      <formula1>0</formula1>
    </dataValidation>
    <dataValidation type="decimal" operator="greaterThan" allowBlank="1" showInputMessage="1" showErrorMessage="1" sqref="E3415">
      <formula1>0</formula1>
    </dataValidation>
    <dataValidation type="whole" operator="greaterThan" allowBlank="1" showInputMessage="1" showErrorMessage="1" sqref="A3416">
      <formula1>0</formula1>
    </dataValidation>
    <dataValidation type="list" allowBlank="1" showInputMessage="1" showErrorMessage="1" sqref="C3416">
      <formula1>UnidadesList</formula1>
    </dataValidation>
    <dataValidation type="decimal" operator="greaterThan" allowBlank="1" showInputMessage="1" showErrorMessage="1" sqref="D3416">
      <formula1>0</formula1>
    </dataValidation>
    <dataValidation type="decimal" operator="greaterThan" allowBlank="1" showInputMessage="1" showErrorMessage="1" sqref="E3416">
      <formula1>0</formula1>
    </dataValidation>
    <dataValidation type="whole" operator="greaterThan" allowBlank="1" showInputMessage="1" showErrorMessage="1" sqref="A3417">
      <formula1>0</formula1>
    </dataValidation>
    <dataValidation type="list" allowBlank="1" showInputMessage="1" showErrorMessage="1" sqref="C3417">
      <formula1>UnidadesList</formula1>
    </dataValidation>
    <dataValidation type="decimal" operator="greaterThan" allowBlank="1" showInputMessage="1" showErrorMessage="1" sqref="D3417">
      <formula1>0</formula1>
    </dataValidation>
    <dataValidation type="decimal" operator="greaterThan" allowBlank="1" showInputMessage="1" showErrorMessage="1" sqref="E3417">
      <formula1>0</formula1>
    </dataValidation>
    <dataValidation type="whole" operator="greaterThan" allowBlank="1" showInputMessage="1" showErrorMessage="1" sqref="A3418">
      <formula1>0</formula1>
    </dataValidation>
    <dataValidation type="list" allowBlank="1" showInputMessage="1" showErrorMessage="1" sqref="C3418">
      <formula1>UnidadesList</formula1>
    </dataValidation>
    <dataValidation type="decimal" operator="greaterThan" allowBlank="1" showInputMessage="1" showErrorMessage="1" sqref="D3418">
      <formula1>0</formula1>
    </dataValidation>
    <dataValidation type="decimal" operator="greaterThan" allowBlank="1" showInputMessage="1" showErrorMessage="1" sqref="E3418">
      <formula1>0</formula1>
    </dataValidation>
    <dataValidation type="whole" operator="greaterThan" allowBlank="1" showInputMessage="1" showErrorMessage="1" sqref="A3419">
      <formula1>0</formula1>
    </dataValidation>
    <dataValidation type="list" allowBlank="1" showInputMessage="1" showErrorMessage="1" sqref="C3419">
      <formula1>UnidadesList</formula1>
    </dataValidation>
    <dataValidation type="decimal" operator="greaterThan" allowBlank="1" showInputMessage="1" showErrorMessage="1" sqref="D3419">
      <formula1>0</formula1>
    </dataValidation>
    <dataValidation type="decimal" operator="greaterThan" allowBlank="1" showInputMessage="1" showErrorMessage="1" sqref="E3419">
      <formula1>0</formula1>
    </dataValidation>
    <dataValidation type="whole" operator="greaterThan" allowBlank="1" showInputMessage="1" showErrorMessage="1" sqref="A3420">
      <formula1>0</formula1>
    </dataValidation>
    <dataValidation type="list" allowBlank="1" showInputMessage="1" showErrorMessage="1" sqref="C3420">
      <formula1>UnidadesList</formula1>
    </dataValidation>
    <dataValidation type="decimal" operator="greaterThan" allowBlank="1" showInputMessage="1" showErrorMessage="1" sqref="D3420">
      <formula1>0</formula1>
    </dataValidation>
    <dataValidation type="decimal" operator="greaterThan" allowBlank="1" showInputMessage="1" showErrorMessage="1" sqref="E3420">
      <formula1>0</formula1>
    </dataValidation>
    <dataValidation type="whole" operator="greaterThan" allowBlank="1" showInputMessage="1" showErrorMessage="1" sqref="A3421">
      <formula1>0</formula1>
    </dataValidation>
    <dataValidation type="list" allowBlank="1" showInputMessage="1" showErrorMessage="1" sqref="C3421">
      <formula1>UnidadesList</formula1>
    </dataValidation>
    <dataValidation type="decimal" operator="greaterThan" allowBlank="1" showInputMessage="1" showErrorMessage="1" sqref="D3421">
      <formula1>0</formula1>
    </dataValidation>
    <dataValidation type="decimal" operator="greaterThan" allowBlank="1" showInputMessage="1" showErrorMessage="1" sqref="E3421">
      <formula1>0</formula1>
    </dataValidation>
    <dataValidation type="whole" operator="greaterThan" allowBlank="1" showInputMessage="1" showErrorMessage="1" sqref="A3422">
      <formula1>0</formula1>
    </dataValidation>
    <dataValidation type="list" allowBlank="1" showInputMessage="1" showErrorMessage="1" sqref="C3422">
      <formula1>UnidadesList</formula1>
    </dataValidation>
    <dataValidation type="decimal" operator="greaterThan" allowBlank="1" showInputMessage="1" showErrorMessage="1" sqref="D3422">
      <formula1>0</formula1>
    </dataValidation>
    <dataValidation type="decimal" operator="greaterThan" allowBlank="1" showInputMessage="1" showErrorMessage="1" sqref="E3422">
      <formula1>0</formula1>
    </dataValidation>
    <dataValidation type="whole" operator="greaterThan" allowBlank="1" showInputMessage="1" showErrorMessage="1" sqref="A3423">
      <formula1>0</formula1>
    </dataValidation>
    <dataValidation type="list" allowBlank="1" showInputMessage="1" showErrorMessage="1" sqref="C3423">
      <formula1>UnidadesList</formula1>
    </dataValidation>
    <dataValidation type="decimal" operator="greaterThan" allowBlank="1" showInputMessage="1" showErrorMessage="1" sqref="D3423">
      <formula1>0</formula1>
    </dataValidation>
    <dataValidation type="decimal" operator="greaterThan" allowBlank="1" showInputMessage="1" showErrorMessage="1" sqref="E3423">
      <formula1>0</formula1>
    </dataValidation>
    <dataValidation type="whole" operator="greaterThan" allowBlank="1" showInputMessage="1" showErrorMessage="1" sqref="A3424">
      <formula1>0</formula1>
    </dataValidation>
    <dataValidation type="list" allowBlank="1" showInputMessage="1" showErrorMessage="1" sqref="C3424">
      <formula1>UnidadesList</formula1>
    </dataValidation>
    <dataValidation type="decimal" operator="greaterThan" allowBlank="1" showInputMessage="1" showErrorMessage="1" sqref="D3424">
      <formula1>0</formula1>
    </dataValidation>
    <dataValidation type="decimal" operator="greaterThan" allowBlank="1" showInputMessage="1" showErrorMessage="1" sqref="E3424">
      <formula1>0</formula1>
    </dataValidation>
    <dataValidation type="whole" operator="greaterThan" allowBlank="1" showInputMessage="1" showErrorMessage="1" sqref="A3425">
      <formula1>0</formula1>
    </dataValidation>
    <dataValidation type="list" allowBlank="1" showInputMessage="1" showErrorMessage="1" sqref="C3425">
      <formula1>UnidadesList</formula1>
    </dataValidation>
    <dataValidation type="decimal" operator="greaterThan" allowBlank="1" showInputMessage="1" showErrorMessage="1" sqref="D3425">
      <formula1>0</formula1>
    </dataValidation>
    <dataValidation type="decimal" operator="greaterThan" allowBlank="1" showInputMessage="1" showErrorMessage="1" sqref="E3425">
      <formula1>0</formula1>
    </dataValidation>
    <dataValidation type="whole" operator="greaterThan" allowBlank="1" showInputMessage="1" showErrorMessage="1" sqref="A3426">
      <formula1>0</formula1>
    </dataValidation>
    <dataValidation type="list" allowBlank="1" showInputMessage="1" showErrorMessage="1" sqref="C3426">
      <formula1>UnidadesList</formula1>
    </dataValidation>
    <dataValidation type="decimal" operator="greaterThan" allowBlank="1" showInputMessage="1" showErrorMessage="1" sqref="D3426">
      <formula1>0</formula1>
    </dataValidation>
    <dataValidation type="decimal" operator="greaterThan" allowBlank="1" showInputMessage="1" showErrorMessage="1" sqref="E3426">
      <formula1>0</formula1>
    </dataValidation>
    <dataValidation type="whole" operator="greaterThan" allowBlank="1" showInputMessage="1" showErrorMessage="1" sqref="A3427">
      <formula1>0</formula1>
    </dataValidation>
    <dataValidation type="list" allowBlank="1" showInputMessage="1" showErrorMessage="1" sqref="C3427">
      <formula1>UnidadesList</formula1>
    </dataValidation>
    <dataValidation type="decimal" operator="greaterThan" allowBlank="1" showInputMessage="1" showErrorMessage="1" sqref="D3427">
      <formula1>0</formula1>
    </dataValidation>
    <dataValidation type="decimal" operator="greaterThan" allowBlank="1" showInputMessage="1" showErrorMessage="1" sqref="E3427">
      <formula1>0</formula1>
    </dataValidation>
    <dataValidation type="whole" operator="greaterThan" allowBlank="1" showInputMessage="1" showErrorMessage="1" sqref="A3428">
      <formula1>0</formula1>
    </dataValidation>
    <dataValidation type="list" allowBlank="1" showInputMessage="1" showErrorMessage="1" sqref="C3428">
      <formula1>UnidadesList</formula1>
    </dataValidation>
    <dataValidation type="decimal" operator="greaterThan" allowBlank="1" showInputMessage="1" showErrorMessage="1" sqref="D3428">
      <formula1>0</formula1>
    </dataValidation>
    <dataValidation type="decimal" operator="greaterThan" allowBlank="1" showInputMessage="1" showErrorMessage="1" sqref="E3428">
      <formula1>0</formula1>
    </dataValidation>
    <dataValidation type="whole" operator="greaterThan" allowBlank="1" showInputMessage="1" showErrorMessage="1" sqref="A3429">
      <formula1>0</formula1>
    </dataValidation>
    <dataValidation type="list" allowBlank="1" showInputMessage="1" showErrorMessage="1" sqref="C3429">
      <formula1>UnidadesList</formula1>
    </dataValidation>
    <dataValidation type="decimal" operator="greaterThan" allowBlank="1" showInputMessage="1" showErrorMessage="1" sqref="D3429">
      <formula1>0</formula1>
    </dataValidation>
    <dataValidation type="decimal" operator="greaterThan" allowBlank="1" showInputMessage="1" showErrorMessage="1" sqref="E3429">
      <formula1>0</formula1>
    </dataValidation>
    <dataValidation type="whole" operator="greaterThan" allowBlank="1" showInputMessage="1" showErrorMessage="1" sqref="A3430">
      <formula1>0</formula1>
    </dataValidation>
    <dataValidation type="list" allowBlank="1" showInputMessage="1" showErrorMessage="1" sqref="C3430">
      <formula1>UnidadesList</formula1>
    </dataValidation>
    <dataValidation type="decimal" operator="greaterThan" allowBlank="1" showInputMessage="1" showErrorMessage="1" sqref="D3430">
      <formula1>0</formula1>
    </dataValidation>
    <dataValidation type="decimal" operator="greaterThan" allowBlank="1" showInputMessage="1" showErrorMessage="1" sqref="E3430">
      <formula1>0</formula1>
    </dataValidation>
    <dataValidation type="whole" operator="greaterThan" allowBlank="1" showInputMessage="1" showErrorMessage="1" sqref="A3431">
      <formula1>0</formula1>
    </dataValidation>
    <dataValidation type="list" allowBlank="1" showInputMessage="1" showErrorMessage="1" sqref="C3431">
      <formula1>UnidadesList</formula1>
    </dataValidation>
    <dataValidation type="decimal" operator="greaterThan" allowBlank="1" showInputMessage="1" showErrorMessage="1" sqref="D3431">
      <formula1>0</formula1>
    </dataValidation>
    <dataValidation type="decimal" operator="greaterThan" allowBlank="1" showInputMessage="1" showErrorMessage="1" sqref="E3431">
      <formula1>0</formula1>
    </dataValidation>
    <dataValidation type="whole" operator="greaterThan" allowBlank="1" showInputMessage="1" showErrorMessage="1" sqref="A3432">
      <formula1>0</formula1>
    </dataValidation>
    <dataValidation type="list" allowBlank="1" showInputMessage="1" showErrorMessage="1" sqref="C3432">
      <formula1>UnidadesList</formula1>
    </dataValidation>
    <dataValidation type="decimal" operator="greaterThan" allowBlank="1" showInputMessage="1" showErrorMessage="1" sqref="D3432">
      <formula1>0</formula1>
    </dataValidation>
    <dataValidation type="decimal" operator="greaterThan" allowBlank="1" showInputMessage="1" showErrorMessage="1" sqref="E3432">
      <formula1>0</formula1>
    </dataValidation>
    <dataValidation type="whole" operator="greaterThan" allowBlank="1" showInputMessage="1" showErrorMessage="1" sqref="A3433">
      <formula1>0</formula1>
    </dataValidation>
    <dataValidation type="list" allowBlank="1" showInputMessage="1" showErrorMessage="1" sqref="C3433">
      <formula1>UnidadesList</formula1>
    </dataValidation>
    <dataValidation type="decimal" operator="greaterThan" allowBlank="1" showInputMessage="1" showErrorMessage="1" sqref="D3433">
      <formula1>0</formula1>
    </dataValidation>
    <dataValidation type="decimal" operator="greaterThan" allowBlank="1" showInputMessage="1" showErrorMessage="1" sqref="E3433">
      <formula1>0</formula1>
    </dataValidation>
    <dataValidation type="whole" operator="greaterThan" allowBlank="1" showInputMessage="1" showErrorMessage="1" sqref="A3434">
      <formula1>0</formula1>
    </dataValidation>
    <dataValidation type="list" allowBlank="1" showInputMessage="1" showErrorMessage="1" sqref="C3434">
      <formula1>UnidadesList</formula1>
    </dataValidation>
    <dataValidation type="decimal" operator="greaterThan" allowBlank="1" showInputMessage="1" showErrorMessage="1" sqref="D3434">
      <formula1>0</formula1>
    </dataValidation>
    <dataValidation type="decimal" operator="greaterThan" allowBlank="1" showInputMessage="1" showErrorMessage="1" sqref="E3434">
      <formula1>0</formula1>
    </dataValidation>
    <dataValidation type="whole" operator="greaterThan" allowBlank="1" showInputMessage="1" showErrorMessage="1" sqref="A3435">
      <formula1>0</formula1>
    </dataValidation>
    <dataValidation type="list" allowBlank="1" showInputMessage="1" showErrorMessage="1" sqref="C3435">
      <formula1>UnidadesList</formula1>
    </dataValidation>
    <dataValidation type="decimal" operator="greaterThan" allowBlank="1" showInputMessage="1" showErrorMessage="1" sqref="D3435">
      <formula1>0</formula1>
    </dataValidation>
    <dataValidation type="decimal" operator="greaterThan" allowBlank="1" showInputMessage="1" showErrorMessage="1" sqref="E3435">
      <formula1>0</formula1>
    </dataValidation>
    <dataValidation type="whole" operator="greaterThan" allowBlank="1" showInputMessage="1" showErrorMessage="1" sqref="A3436">
      <formula1>0</formula1>
    </dataValidation>
    <dataValidation type="list" allowBlank="1" showInputMessage="1" showErrorMessage="1" sqref="C3436">
      <formula1>UnidadesList</formula1>
    </dataValidation>
    <dataValidation type="decimal" operator="greaterThan" allowBlank="1" showInputMessage="1" showErrorMessage="1" sqref="D3436">
      <formula1>0</formula1>
    </dataValidation>
    <dataValidation type="decimal" operator="greaterThan" allowBlank="1" showInputMessage="1" showErrorMessage="1" sqref="E3436">
      <formula1>0</formula1>
    </dataValidation>
    <dataValidation type="whole" operator="greaterThan" allowBlank="1" showInputMessage="1" showErrorMessage="1" sqref="A3437">
      <formula1>0</formula1>
    </dataValidation>
    <dataValidation type="list" allowBlank="1" showInputMessage="1" showErrorMessage="1" sqref="C3437">
      <formula1>UnidadesList</formula1>
    </dataValidation>
    <dataValidation type="decimal" operator="greaterThan" allowBlank="1" showInputMessage="1" showErrorMessage="1" sqref="D3437">
      <formula1>0</formula1>
    </dataValidation>
    <dataValidation type="decimal" operator="greaterThan" allowBlank="1" showInputMessage="1" showErrorMessage="1" sqref="E3437">
      <formula1>0</formula1>
    </dataValidation>
    <dataValidation type="whole" operator="greaterThan" allowBlank="1" showInputMessage="1" showErrorMessage="1" sqref="A3438">
      <formula1>0</formula1>
    </dataValidation>
    <dataValidation type="list" allowBlank="1" showInputMessage="1" showErrorMessage="1" sqref="C3438">
      <formula1>UnidadesList</formula1>
    </dataValidation>
    <dataValidation type="decimal" operator="greaterThan" allowBlank="1" showInputMessage="1" showErrorMessage="1" sqref="D3438">
      <formula1>0</formula1>
    </dataValidation>
    <dataValidation type="decimal" operator="greaterThan" allowBlank="1" showInputMessage="1" showErrorMessage="1" sqref="E3438">
      <formula1>0</formula1>
    </dataValidation>
    <dataValidation type="whole" operator="greaterThan" allowBlank="1" showInputMessage="1" showErrorMessage="1" sqref="A3439">
      <formula1>0</formula1>
    </dataValidation>
    <dataValidation type="list" allowBlank="1" showInputMessage="1" showErrorMessage="1" sqref="C3439">
      <formula1>UnidadesList</formula1>
    </dataValidation>
    <dataValidation type="decimal" operator="greaterThan" allowBlank="1" showInputMessage="1" showErrorMessage="1" sqref="D3439">
      <formula1>0</formula1>
    </dataValidation>
    <dataValidation type="decimal" operator="greaterThan" allowBlank="1" showInputMessage="1" showErrorMessage="1" sqref="E3439">
      <formula1>0</formula1>
    </dataValidation>
    <dataValidation type="whole" operator="greaterThan" allowBlank="1" showInputMessage="1" showErrorMessage="1" sqref="A3440">
      <formula1>0</formula1>
    </dataValidation>
    <dataValidation type="list" allowBlank="1" showInputMessage="1" showErrorMessage="1" sqref="C3440">
      <formula1>UnidadesList</formula1>
    </dataValidation>
    <dataValidation type="decimal" operator="greaterThan" allowBlank="1" showInputMessage="1" showErrorMessage="1" sqref="D3440">
      <formula1>0</formula1>
    </dataValidation>
    <dataValidation type="decimal" operator="greaterThan" allowBlank="1" showInputMessage="1" showErrorMessage="1" sqref="E3440">
      <formula1>0</formula1>
    </dataValidation>
    <dataValidation type="whole" operator="greaterThan" allowBlank="1" showInputMessage="1" showErrorMessage="1" sqref="A3441">
      <formula1>0</formula1>
    </dataValidation>
    <dataValidation type="list" allowBlank="1" showInputMessage="1" showErrorMessage="1" sqref="C3441">
      <formula1>UnidadesList</formula1>
    </dataValidation>
    <dataValidation type="decimal" operator="greaterThan" allowBlank="1" showInputMessage="1" showErrorMessage="1" sqref="D3441">
      <formula1>0</formula1>
    </dataValidation>
    <dataValidation type="decimal" operator="greaterThan" allowBlank="1" showInputMessage="1" showErrorMessage="1" sqref="E3441">
      <formula1>0</formula1>
    </dataValidation>
    <dataValidation type="date" operator="lessThanOrEqual" allowBlank="1" showInputMessage="1" showErrorMessage="1" sqref="C3446">
      <formula1>C3448</formula1>
    </dataValidation>
    <dataValidation type="date" operator="greaterThanOrEqual" allowBlank="1" showInputMessage="1" showErrorMessage="1" sqref="C3448">
      <formula1>C3446</formula1>
    </dataValidation>
    <dataValidation type="list" allowBlank="1" showInputMessage="1" showErrorMessage="1" sqref="F344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44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44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44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452">
      <formula1>0</formula1>
    </dataValidation>
    <dataValidation type="list" allowBlank="1" showInputMessage="1" showErrorMessage="1" sqref="C3452">
      <formula1>UnidadesList</formula1>
    </dataValidation>
    <dataValidation type="decimal" operator="greaterThan" allowBlank="1" showInputMessage="1" showErrorMessage="1" sqref="D3452">
      <formula1>0</formula1>
    </dataValidation>
    <dataValidation type="decimal" operator="greaterThan" allowBlank="1" showInputMessage="1" showErrorMessage="1" sqref="E3452">
      <formula1>0</formula1>
    </dataValidation>
    <dataValidation type="whole" operator="greaterThan" allowBlank="1" showInputMessage="1" showErrorMessage="1" sqref="A3453">
      <formula1>0</formula1>
    </dataValidation>
    <dataValidation type="list" allowBlank="1" showInputMessage="1" showErrorMessage="1" sqref="C3453">
      <formula1>UnidadesList</formula1>
    </dataValidation>
    <dataValidation type="decimal" operator="greaterThan" allowBlank="1" showInputMessage="1" showErrorMessage="1" sqref="D3453">
      <formula1>0</formula1>
    </dataValidation>
    <dataValidation type="decimal" operator="greaterThan" allowBlank="1" showInputMessage="1" showErrorMessage="1" sqref="E3453">
      <formula1>0</formula1>
    </dataValidation>
    <dataValidation type="whole" operator="greaterThan" allowBlank="1" showInputMessage="1" showErrorMessage="1" sqref="A3454">
      <formula1>0</formula1>
    </dataValidation>
    <dataValidation type="list" allowBlank="1" showInputMessage="1" showErrorMessage="1" sqref="C3454">
      <formula1>UnidadesList</formula1>
    </dataValidation>
    <dataValidation type="decimal" operator="greaterThan" allowBlank="1" showInputMessage="1" showErrorMessage="1" sqref="D3454">
      <formula1>0</formula1>
    </dataValidation>
    <dataValidation type="decimal" operator="greaterThan" allowBlank="1" showInputMessage="1" showErrorMessage="1" sqref="E3454">
      <formula1>0</formula1>
    </dataValidation>
    <dataValidation type="whole" operator="greaterThan" allowBlank="1" showInputMessage="1" showErrorMessage="1" sqref="A3455">
      <formula1>0</formula1>
    </dataValidation>
    <dataValidation type="list" allowBlank="1" showInputMessage="1" showErrorMessage="1" sqref="C3455">
      <formula1>UnidadesList</formula1>
    </dataValidation>
    <dataValidation type="decimal" operator="greaterThan" allowBlank="1" showInputMessage="1" showErrorMessage="1" sqref="D3455">
      <formula1>0</formula1>
    </dataValidation>
    <dataValidation type="decimal" operator="greaterThan" allowBlank="1" showInputMessage="1" showErrorMessage="1" sqref="E3455">
      <formula1>0</formula1>
    </dataValidation>
    <dataValidation type="whole" operator="greaterThan" allowBlank="1" showInputMessage="1" showErrorMessage="1" sqref="A3456">
      <formula1>0</formula1>
    </dataValidation>
    <dataValidation type="list" allowBlank="1" showInputMessage="1" showErrorMessage="1" sqref="C3456">
      <formula1>UnidadesList</formula1>
    </dataValidation>
    <dataValidation type="decimal" operator="greaterThan" allowBlank="1" showInputMessage="1" showErrorMessage="1" sqref="D3456">
      <formula1>0</formula1>
    </dataValidation>
    <dataValidation type="decimal" operator="greaterThan" allowBlank="1" showInputMessage="1" showErrorMessage="1" sqref="E3456">
      <formula1>0</formula1>
    </dataValidation>
    <dataValidation type="whole" operator="greaterThan" allowBlank="1" showInputMessage="1" showErrorMessage="1" sqref="A3457">
      <formula1>0</formula1>
    </dataValidation>
    <dataValidation type="list" allowBlank="1" showInputMessage="1" showErrorMessage="1" sqref="C3457">
      <formula1>UnidadesList</formula1>
    </dataValidation>
    <dataValidation type="decimal" operator="greaterThan" allowBlank="1" showInputMessage="1" showErrorMessage="1" sqref="D3457">
      <formula1>0</formula1>
    </dataValidation>
    <dataValidation type="decimal" operator="greaterThan" allowBlank="1" showInputMessage="1" showErrorMessage="1" sqref="E3457">
      <formula1>0</formula1>
    </dataValidation>
    <dataValidation type="whole" operator="greaterThan" allowBlank="1" showInputMessage="1" showErrorMessage="1" sqref="A3458">
      <formula1>0</formula1>
    </dataValidation>
    <dataValidation type="list" allowBlank="1" showInputMessage="1" showErrorMessage="1" sqref="C3458">
      <formula1>UnidadesList</formula1>
    </dataValidation>
    <dataValidation type="decimal" operator="greaterThan" allowBlank="1" showInputMessage="1" showErrorMessage="1" sqref="D3458">
      <formula1>0</formula1>
    </dataValidation>
    <dataValidation type="decimal" operator="greaterThan" allowBlank="1" showInputMessage="1" showErrorMessage="1" sqref="E3458">
      <formula1>0</formula1>
    </dataValidation>
    <dataValidation type="whole" operator="greaterThan" allowBlank="1" showInputMessage="1" showErrorMessage="1" sqref="A3459">
      <formula1>0</formula1>
    </dataValidation>
    <dataValidation type="list" allowBlank="1" showInputMessage="1" showErrorMessage="1" sqref="C3459">
      <formula1>UnidadesList</formula1>
    </dataValidation>
    <dataValidation type="decimal" operator="greaterThan" allowBlank="1" showInputMessage="1" showErrorMessage="1" sqref="D3459">
      <formula1>0</formula1>
    </dataValidation>
    <dataValidation type="decimal" operator="greaterThan" allowBlank="1" showInputMessage="1" showErrorMessage="1" sqref="E3459">
      <formula1>0</formula1>
    </dataValidation>
    <dataValidation type="whole" operator="greaterThan" allowBlank="1" showInputMessage="1" showErrorMessage="1" sqref="A3460">
      <formula1>0</formula1>
    </dataValidation>
    <dataValidation type="list" allowBlank="1" showInputMessage="1" showErrorMessage="1" sqref="C3460">
      <formula1>UnidadesList</formula1>
    </dataValidation>
    <dataValidation type="decimal" operator="greaterThan" allowBlank="1" showInputMessage="1" showErrorMessage="1" sqref="D3460">
      <formula1>0</formula1>
    </dataValidation>
    <dataValidation type="decimal" operator="greaterThan" allowBlank="1" showInputMessage="1" showErrorMessage="1" sqref="E3460">
      <formula1>0</formula1>
    </dataValidation>
    <dataValidation type="whole" operator="greaterThan" allowBlank="1" showInputMessage="1" showErrorMessage="1" sqref="A3461">
      <formula1>0</formula1>
    </dataValidation>
    <dataValidation type="list" allowBlank="1" showInputMessage="1" showErrorMessage="1" sqref="C3461">
      <formula1>UnidadesList</formula1>
    </dataValidation>
    <dataValidation type="decimal" operator="greaterThan" allowBlank="1" showInputMessage="1" showErrorMessage="1" sqref="D3461">
      <formula1>0</formula1>
    </dataValidation>
    <dataValidation type="decimal" operator="greaterThan" allowBlank="1" showInputMessage="1" showErrorMessage="1" sqref="E3461">
      <formula1>0</formula1>
    </dataValidation>
    <dataValidation type="whole" operator="greaterThan" allowBlank="1" showInputMessage="1" showErrorMessage="1" sqref="A3462">
      <formula1>0</formula1>
    </dataValidation>
    <dataValidation type="list" allowBlank="1" showInputMessage="1" showErrorMessage="1" sqref="C3462">
      <formula1>UnidadesList</formula1>
    </dataValidation>
    <dataValidation type="decimal" operator="greaterThan" allowBlank="1" showInputMessage="1" showErrorMessage="1" sqref="D3462">
      <formula1>0</formula1>
    </dataValidation>
    <dataValidation type="decimal" operator="greaterThan" allowBlank="1" showInputMessage="1" showErrorMessage="1" sqref="E3462">
      <formula1>0</formula1>
    </dataValidation>
    <dataValidation type="whole" operator="greaterThan" allowBlank="1" showInputMessage="1" showErrorMessage="1" sqref="A3463">
      <formula1>0</formula1>
    </dataValidation>
    <dataValidation type="list" allowBlank="1" showInputMessage="1" showErrorMessage="1" sqref="C3463">
      <formula1>UnidadesList</formula1>
    </dataValidation>
    <dataValidation type="decimal" operator="greaterThan" allowBlank="1" showInputMessage="1" showErrorMessage="1" sqref="D3463">
      <formula1>0</formula1>
    </dataValidation>
    <dataValidation type="decimal" operator="greaterThan" allowBlank="1" showInputMessage="1" showErrorMessage="1" sqref="E3463">
      <formula1>0</formula1>
    </dataValidation>
    <dataValidation type="whole" operator="greaterThan" allowBlank="1" showInputMessage="1" showErrorMessage="1" sqref="A3464">
      <formula1>0</formula1>
    </dataValidation>
    <dataValidation type="list" allowBlank="1" showInputMessage="1" showErrorMessage="1" sqref="C3464">
      <formula1>UnidadesList</formula1>
    </dataValidation>
    <dataValidation type="decimal" operator="greaterThan" allowBlank="1" showInputMessage="1" showErrorMessage="1" sqref="D3464">
      <formula1>0</formula1>
    </dataValidation>
    <dataValidation type="decimal" operator="greaterThan" allowBlank="1" showInputMessage="1" showErrorMessage="1" sqref="E3464">
      <formula1>0</formula1>
    </dataValidation>
    <dataValidation type="whole" operator="greaterThan" allowBlank="1" showInputMessage="1" showErrorMessage="1" sqref="A3465">
      <formula1>0</formula1>
    </dataValidation>
    <dataValidation type="list" allowBlank="1" showInputMessage="1" showErrorMessage="1" sqref="C3465">
      <formula1>UnidadesList</formula1>
    </dataValidation>
    <dataValidation type="decimal" operator="greaterThan" allowBlank="1" showInputMessage="1" showErrorMessage="1" sqref="D3465">
      <formula1>0</formula1>
    </dataValidation>
    <dataValidation type="decimal" operator="greaterThan" allowBlank="1" showInputMessage="1" showErrorMessage="1" sqref="E3465">
      <formula1>0</formula1>
    </dataValidation>
    <dataValidation type="whole" operator="greaterThan" allowBlank="1" showInputMessage="1" showErrorMessage="1" sqref="A3466">
      <formula1>0</formula1>
    </dataValidation>
    <dataValidation type="list" allowBlank="1" showInputMessage="1" showErrorMessage="1" sqref="C3466">
      <formula1>UnidadesList</formula1>
    </dataValidation>
    <dataValidation type="decimal" operator="greaterThan" allowBlank="1" showInputMessage="1" showErrorMessage="1" sqref="D3466">
      <formula1>0</formula1>
    </dataValidation>
    <dataValidation type="decimal" operator="greaterThan" allowBlank="1" showInputMessage="1" showErrorMessage="1" sqref="E3466">
      <formula1>0</formula1>
    </dataValidation>
    <dataValidation type="whole" operator="greaterThan" allowBlank="1" showInputMessage="1" showErrorMessage="1" sqref="A3467">
      <formula1>0</formula1>
    </dataValidation>
    <dataValidation type="list" allowBlank="1" showInputMessage="1" showErrorMessage="1" sqref="C3467">
      <formula1>UnidadesList</formula1>
    </dataValidation>
    <dataValidation type="decimal" operator="greaterThan" allowBlank="1" showInputMessage="1" showErrorMessage="1" sqref="D3467">
      <formula1>0</formula1>
    </dataValidation>
    <dataValidation type="decimal" operator="greaterThan" allowBlank="1" showInputMessage="1" showErrorMessage="1" sqref="E3467">
      <formula1>0</formula1>
    </dataValidation>
    <dataValidation type="whole" operator="greaterThan" allowBlank="1" showInputMessage="1" showErrorMessage="1" sqref="A3468">
      <formula1>0</formula1>
    </dataValidation>
    <dataValidation type="list" allowBlank="1" showInputMessage="1" showErrorMessage="1" sqref="C3468">
      <formula1>UnidadesList</formula1>
    </dataValidation>
    <dataValidation type="decimal" operator="greaterThan" allowBlank="1" showInputMessage="1" showErrorMessage="1" sqref="D3468">
      <formula1>0</formula1>
    </dataValidation>
    <dataValidation type="decimal" operator="greaterThan" allowBlank="1" showInputMessage="1" showErrorMessage="1" sqref="E3468">
      <formula1>0</formula1>
    </dataValidation>
    <dataValidation type="whole" operator="greaterThan" allowBlank="1" showInputMessage="1" showErrorMessage="1" sqref="A3469">
      <formula1>0</formula1>
    </dataValidation>
    <dataValidation type="list" allowBlank="1" showInputMessage="1" showErrorMessage="1" sqref="C3469">
      <formula1>UnidadesList</formula1>
    </dataValidation>
    <dataValidation type="decimal" operator="greaterThan" allowBlank="1" showInputMessage="1" showErrorMessage="1" sqref="D3469">
      <formula1>0</formula1>
    </dataValidation>
    <dataValidation type="decimal" operator="greaterThan" allowBlank="1" showInputMessage="1" showErrorMessage="1" sqref="E3469">
      <formula1>0</formula1>
    </dataValidation>
    <dataValidation type="whole" operator="greaterThan" allowBlank="1" showInputMessage="1" showErrorMessage="1" sqref="A3470">
      <formula1>0</formula1>
    </dataValidation>
    <dataValidation type="list" allowBlank="1" showInputMessage="1" showErrorMessage="1" sqref="C3470">
      <formula1>UnidadesList</formula1>
    </dataValidation>
    <dataValidation type="decimal" operator="greaterThan" allowBlank="1" showInputMessage="1" showErrorMessage="1" sqref="D3470">
      <formula1>0</formula1>
    </dataValidation>
    <dataValidation type="decimal" operator="greaterThan" allowBlank="1" showInputMessage="1" showErrorMessage="1" sqref="E3470">
      <formula1>0</formula1>
    </dataValidation>
    <dataValidation type="whole" operator="greaterThan" allowBlank="1" showInputMessage="1" showErrorMessage="1" sqref="A3471">
      <formula1>0</formula1>
    </dataValidation>
    <dataValidation type="list" allowBlank="1" showInputMessage="1" showErrorMessage="1" sqref="C3471">
      <formula1>UnidadesList</formula1>
    </dataValidation>
    <dataValidation type="decimal" operator="greaterThan" allowBlank="1" showInputMessage="1" showErrorMessage="1" sqref="D3471">
      <formula1>0</formula1>
    </dataValidation>
    <dataValidation type="decimal" operator="greaterThan" allowBlank="1" showInputMessage="1" showErrorMessage="1" sqref="E3471">
      <formula1>0</formula1>
    </dataValidation>
    <dataValidation type="whole" operator="greaterThan" allowBlank="1" showInputMessage="1" showErrorMessage="1" sqref="A3472">
      <formula1>0</formula1>
    </dataValidation>
    <dataValidation type="list" allowBlank="1" showInputMessage="1" showErrorMessage="1" sqref="C3472">
      <formula1>UnidadesList</formula1>
    </dataValidation>
    <dataValidation type="decimal" operator="greaterThan" allowBlank="1" showInputMessage="1" showErrorMessage="1" sqref="D3472">
      <formula1>0</formula1>
    </dataValidation>
    <dataValidation type="decimal" operator="greaterThan" allowBlank="1" showInputMessage="1" showErrorMessage="1" sqref="E3472">
      <formula1>0</formula1>
    </dataValidation>
    <dataValidation type="whole" operator="greaterThan" allowBlank="1" showInputMessage="1" showErrorMessage="1" sqref="A3473">
      <formula1>0</formula1>
    </dataValidation>
    <dataValidation type="list" allowBlank="1" showInputMessage="1" showErrorMessage="1" sqref="C3473">
      <formula1>UnidadesList</formula1>
    </dataValidation>
    <dataValidation type="decimal" operator="greaterThan" allowBlank="1" showInputMessage="1" showErrorMessage="1" sqref="D3473">
      <formula1>0</formula1>
    </dataValidation>
    <dataValidation type="decimal" operator="greaterThan" allowBlank="1" showInputMessage="1" showErrorMessage="1" sqref="E3473">
      <formula1>0</formula1>
    </dataValidation>
    <dataValidation type="whole" operator="greaterThan" allowBlank="1" showInputMessage="1" showErrorMessage="1" sqref="A3474">
      <formula1>0</formula1>
    </dataValidation>
    <dataValidation type="list" allowBlank="1" showInputMessage="1" showErrorMessage="1" sqref="C3474">
      <formula1>UnidadesList</formula1>
    </dataValidation>
    <dataValidation type="decimal" operator="greaterThan" allowBlank="1" showInputMessage="1" showErrorMessage="1" sqref="D3474">
      <formula1>0</formula1>
    </dataValidation>
    <dataValidation type="decimal" operator="greaterThan" allowBlank="1" showInputMessage="1" showErrorMessage="1" sqref="E3474">
      <formula1>0</formula1>
    </dataValidation>
    <dataValidation type="whole" operator="greaterThan" allowBlank="1" showInputMessage="1" showErrorMessage="1" sqref="A3475">
      <formula1>0</formula1>
    </dataValidation>
    <dataValidation type="list" allowBlank="1" showInputMessage="1" showErrorMessage="1" sqref="C3475">
      <formula1>UnidadesList</formula1>
    </dataValidation>
    <dataValidation type="decimal" operator="greaterThan" allowBlank="1" showInputMessage="1" showErrorMessage="1" sqref="D3475">
      <formula1>0</formula1>
    </dataValidation>
    <dataValidation type="decimal" operator="greaterThan" allowBlank="1" showInputMessage="1" showErrorMessage="1" sqref="E3475">
      <formula1>0</formula1>
    </dataValidation>
    <dataValidation type="whole" operator="greaterThan" allowBlank="1" showInputMessage="1" showErrorMessage="1" sqref="A3476">
      <formula1>0</formula1>
    </dataValidation>
    <dataValidation type="list" allowBlank="1" showInputMessage="1" showErrorMessage="1" sqref="C3476">
      <formula1>UnidadesList</formula1>
    </dataValidation>
    <dataValidation type="decimal" operator="greaterThan" allowBlank="1" showInputMessage="1" showErrorMessage="1" sqref="D3476">
      <formula1>0</formula1>
    </dataValidation>
    <dataValidation type="decimal" operator="greaterThan" allowBlank="1" showInputMessage="1" showErrorMessage="1" sqref="E3476">
      <formula1>0</formula1>
    </dataValidation>
    <dataValidation type="whole" operator="greaterThan" allowBlank="1" showInputMessage="1" showErrorMessage="1" sqref="A3477">
      <formula1>0</formula1>
    </dataValidation>
    <dataValidation type="list" allowBlank="1" showInputMessage="1" showErrorMessage="1" sqref="C3477">
      <formula1>UnidadesList</formula1>
    </dataValidation>
    <dataValidation type="decimal" operator="greaterThan" allowBlank="1" showInputMessage="1" showErrorMessage="1" sqref="D3477">
      <formula1>0</formula1>
    </dataValidation>
    <dataValidation type="decimal" operator="greaterThan" allowBlank="1" showInputMessage="1" showErrorMessage="1" sqref="E3477">
      <formula1>0</formula1>
    </dataValidation>
    <dataValidation type="whole" operator="greaterThan" allowBlank="1" showInputMessage="1" showErrorMessage="1" sqref="A3478">
      <formula1>0</formula1>
    </dataValidation>
    <dataValidation type="list" allowBlank="1" showInputMessage="1" showErrorMessage="1" sqref="C3478">
      <formula1>UnidadesList</formula1>
    </dataValidation>
    <dataValidation type="decimal" operator="greaterThan" allowBlank="1" showInputMessage="1" showErrorMessage="1" sqref="D3478">
      <formula1>0</formula1>
    </dataValidation>
    <dataValidation type="decimal" operator="greaterThan" allowBlank="1" showInputMessage="1" showErrorMessage="1" sqref="E3478">
      <formula1>0</formula1>
    </dataValidation>
    <dataValidation type="whole" operator="greaterThan" allowBlank="1" showInputMessage="1" showErrorMessage="1" sqref="A3479">
      <formula1>0</formula1>
    </dataValidation>
    <dataValidation type="list" allowBlank="1" showInputMessage="1" showErrorMessage="1" sqref="C3479">
      <formula1>UnidadesList</formula1>
    </dataValidation>
    <dataValidation type="decimal" operator="greaterThan" allowBlank="1" showInputMessage="1" showErrorMessage="1" sqref="D3479">
      <formula1>0</formula1>
    </dataValidation>
    <dataValidation type="decimal" operator="greaterThan" allowBlank="1" showInputMessage="1" showErrorMessage="1" sqref="E3479">
      <formula1>0</formula1>
    </dataValidation>
    <dataValidation type="whole" operator="greaterThan" allowBlank="1" showInputMessage="1" showErrorMessage="1" sqref="A3480">
      <formula1>0</formula1>
    </dataValidation>
    <dataValidation type="list" allowBlank="1" showInputMessage="1" showErrorMessage="1" sqref="C3480">
      <formula1>UnidadesList</formula1>
    </dataValidation>
    <dataValidation type="decimal" operator="greaterThan" allowBlank="1" showInputMessage="1" showErrorMessage="1" sqref="D3480">
      <formula1>0</formula1>
    </dataValidation>
    <dataValidation type="decimal" operator="greaterThan" allowBlank="1" showInputMessage="1" showErrorMessage="1" sqref="E3480">
      <formula1>0</formula1>
    </dataValidation>
    <dataValidation type="whole" operator="greaterThan" allowBlank="1" showInputMessage="1" showErrorMessage="1" sqref="A3481">
      <formula1>0</formula1>
    </dataValidation>
    <dataValidation type="list" allowBlank="1" showInputMessage="1" showErrorMessage="1" sqref="C3481">
      <formula1>UnidadesList</formula1>
    </dataValidation>
    <dataValidation type="decimal" operator="greaterThan" allowBlank="1" showInputMessage="1" showErrorMessage="1" sqref="D3481">
      <formula1>0</formula1>
    </dataValidation>
    <dataValidation type="decimal" operator="greaterThan" allowBlank="1" showInputMessage="1" showErrorMessage="1" sqref="E3481">
      <formula1>0</formula1>
    </dataValidation>
    <dataValidation type="whole" operator="greaterThan" allowBlank="1" showInputMessage="1" showErrorMessage="1" sqref="A3482">
      <formula1>0</formula1>
    </dataValidation>
    <dataValidation type="list" allowBlank="1" showInputMessage="1" showErrorMessage="1" sqref="C3482">
      <formula1>UnidadesList</formula1>
    </dataValidation>
    <dataValidation type="decimal" operator="greaterThan" allowBlank="1" showInputMessage="1" showErrorMessage="1" sqref="D3482">
      <formula1>0</formula1>
    </dataValidation>
    <dataValidation type="decimal" operator="greaterThan" allowBlank="1" showInputMessage="1" showErrorMessage="1" sqref="E3482">
      <formula1>0</formula1>
    </dataValidation>
    <dataValidation type="whole" operator="greaterThan" allowBlank="1" showInputMessage="1" showErrorMessage="1" sqref="A3483">
      <formula1>0</formula1>
    </dataValidation>
    <dataValidation type="list" allowBlank="1" showInputMessage="1" showErrorMessage="1" sqref="C3483">
      <formula1>UnidadesList</formula1>
    </dataValidation>
    <dataValidation type="decimal" operator="greaterThan" allowBlank="1" showInputMessage="1" showErrorMessage="1" sqref="D3483">
      <formula1>0</formula1>
    </dataValidation>
    <dataValidation type="decimal" operator="greaterThan" allowBlank="1" showInputMessage="1" showErrorMessage="1" sqref="E3483">
      <formula1>0</formula1>
    </dataValidation>
    <dataValidation type="whole" operator="greaterThan" allowBlank="1" showInputMessage="1" showErrorMessage="1" sqref="A3484">
      <formula1>0</formula1>
    </dataValidation>
    <dataValidation type="list" allowBlank="1" showInputMessage="1" showErrorMessage="1" sqref="C3484">
      <formula1>UnidadesList</formula1>
    </dataValidation>
    <dataValidation type="decimal" operator="greaterThan" allowBlank="1" showInputMessage="1" showErrorMessage="1" sqref="D3484">
      <formula1>0</formula1>
    </dataValidation>
    <dataValidation type="decimal" operator="greaterThan" allowBlank="1" showInputMessage="1" showErrorMessage="1" sqref="E3484">
      <formula1>0</formula1>
    </dataValidation>
    <dataValidation type="whole" operator="greaterThan" allowBlank="1" showInputMessage="1" showErrorMessage="1" sqref="A3485">
      <formula1>0</formula1>
    </dataValidation>
    <dataValidation type="list" allowBlank="1" showInputMessage="1" showErrorMessage="1" sqref="C3485">
      <formula1>UnidadesList</formula1>
    </dataValidation>
    <dataValidation type="decimal" operator="greaterThan" allowBlank="1" showInputMessage="1" showErrorMessage="1" sqref="D3485">
      <formula1>0</formula1>
    </dataValidation>
    <dataValidation type="decimal" operator="greaterThan" allowBlank="1" showInputMessage="1" showErrorMessage="1" sqref="E3485">
      <formula1>0</formula1>
    </dataValidation>
    <dataValidation type="whole" operator="greaterThan" allowBlank="1" showInputMessage="1" showErrorMessage="1" sqref="A3486">
      <formula1>0</formula1>
    </dataValidation>
    <dataValidation type="list" allowBlank="1" showInputMessage="1" showErrorMessage="1" sqref="C3486">
      <formula1>UnidadesList</formula1>
    </dataValidation>
    <dataValidation type="decimal" operator="greaterThan" allowBlank="1" showInputMessage="1" showErrorMessage="1" sqref="D3486">
      <formula1>0</formula1>
    </dataValidation>
    <dataValidation type="decimal" operator="greaterThan" allowBlank="1" showInputMessage="1" showErrorMessage="1" sqref="E3486">
      <formula1>0</formula1>
    </dataValidation>
    <dataValidation type="whole" operator="greaterThan" allowBlank="1" showInputMessage="1" showErrorMessage="1" sqref="A3487">
      <formula1>0</formula1>
    </dataValidation>
    <dataValidation type="list" allowBlank="1" showInputMessage="1" showErrorMessage="1" sqref="C3487">
      <formula1>UnidadesList</formula1>
    </dataValidation>
    <dataValidation type="decimal" operator="greaterThan" allowBlank="1" showInputMessage="1" showErrorMessage="1" sqref="D3487">
      <formula1>0</formula1>
    </dataValidation>
    <dataValidation type="decimal" operator="greaterThan" allowBlank="1" showInputMessage="1" showErrorMessage="1" sqref="E3487">
      <formula1>0</formula1>
    </dataValidation>
    <dataValidation type="whole" operator="greaterThan" allowBlank="1" showInputMessage="1" showErrorMessage="1" sqref="A3488">
      <formula1>0</formula1>
    </dataValidation>
    <dataValidation type="list" allowBlank="1" showInputMessage="1" showErrorMessage="1" sqref="C3488">
      <formula1>UnidadesList</formula1>
    </dataValidation>
    <dataValidation type="decimal" operator="greaterThan" allowBlank="1" showInputMessage="1" showErrorMessage="1" sqref="D3488">
      <formula1>0</formula1>
    </dataValidation>
    <dataValidation type="decimal" operator="greaterThan" allowBlank="1" showInputMessage="1" showErrorMessage="1" sqref="E3488">
      <formula1>0</formula1>
    </dataValidation>
    <dataValidation type="whole" operator="greaterThan" allowBlank="1" showInputMessage="1" showErrorMessage="1" sqref="A3489">
      <formula1>0</formula1>
    </dataValidation>
    <dataValidation type="list" allowBlank="1" showInputMessage="1" showErrorMessage="1" sqref="C3489">
      <formula1>UnidadesList</formula1>
    </dataValidation>
    <dataValidation type="decimal" operator="greaterThan" allowBlank="1" showInputMessage="1" showErrorMessage="1" sqref="D3489">
      <formula1>0</formula1>
    </dataValidation>
    <dataValidation type="decimal" operator="greaterThan" allowBlank="1" showInputMessage="1" showErrorMessage="1" sqref="E3489">
      <formula1>0</formula1>
    </dataValidation>
    <dataValidation type="whole" operator="greaterThan" allowBlank="1" showInputMessage="1" showErrorMessage="1" sqref="A3490">
      <formula1>0</formula1>
    </dataValidation>
    <dataValidation type="list" allowBlank="1" showInputMessage="1" showErrorMessage="1" sqref="C3490">
      <formula1>UnidadesList</formula1>
    </dataValidation>
    <dataValidation type="decimal" operator="greaterThan" allowBlank="1" showInputMessage="1" showErrorMessage="1" sqref="D3490">
      <formula1>0</formula1>
    </dataValidation>
    <dataValidation type="decimal" operator="greaterThan" allowBlank="1" showInputMessage="1" showErrorMessage="1" sqref="E3490">
      <formula1>0</formula1>
    </dataValidation>
    <dataValidation type="whole" operator="greaterThan" allowBlank="1" showInputMessage="1" showErrorMessage="1" sqref="A3491">
      <formula1>0</formula1>
    </dataValidation>
    <dataValidation type="list" allowBlank="1" showInputMessage="1" showErrorMessage="1" sqref="C3491">
      <formula1>UnidadesList</formula1>
    </dataValidation>
    <dataValidation type="decimal" operator="greaterThan" allowBlank="1" showInputMessage="1" showErrorMessage="1" sqref="D3491">
      <formula1>0</formula1>
    </dataValidation>
    <dataValidation type="decimal" operator="greaterThan" allowBlank="1" showInputMessage="1" showErrorMessage="1" sqref="E3491">
      <formula1>0</formula1>
    </dataValidation>
    <dataValidation type="whole" operator="greaterThan" allowBlank="1" showInputMessage="1" showErrorMessage="1" sqref="A3492">
      <formula1>0</formula1>
    </dataValidation>
    <dataValidation type="list" allowBlank="1" showInputMessage="1" showErrorMessage="1" sqref="C3492">
      <formula1>UnidadesList</formula1>
    </dataValidation>
    <dataValidation type="decimal" operator="greaterThan" allowBlank="1" showInputMessage="1" showErrorMessage="1" sqref="D3492">
      <formula1>0</formula1>
    </dataValidation>
    <dataValidation type="decimal" operator="greaterThan" allowBlank="1" showInputMessage="1" showErrorMessage="1" sqref="E3492">
      <formula1>0</formula1>
    </dataValidation>
    <dataValidation type="whole" operator="greaterThan" allowBlank="1" showInputMessage="1" showErrorMessage="1" sqref="A3493">
      <formula1>0</formula1>
    </dataValidation>
    <dataValidation type="list" allowBlank="1" showInputMessage="1" showErrorMessage="1" sqref="C3493">
      <formula1>UnidadesList</formula1>
    </dataValidation>
    <dataValidation type="decimal" operator="greaterThan" allowBlank="1" showInputMessage="1" showErrorMessage="1" sqref="D3493">
      <formula1>0</formula1>
    </dataValidation>
    <dataValidation type="decimal" operator="greaterThan" allowBlank="1" showInputMessage="1" showErrorMessage="1" sqref="E3493">
      <formula1>0</formula1>
    </dataValidation>
    <dataValidation type="whole" operator="greaterThan" allowBlank="1" showInputMessage="1" showErrorMessage="1" sqref="A3494">
      <formula1>0</formula1>
    </dataValidation>
    <dataValidation type="list" allowBlank="1" showInputMessage="1" showErrorMessage="1" sqref="C3494">
      <formula1>UnidadesList</formula1>
    </dataValidation>
    <dataValidation type="decimal" operator="greaterThan" allowBlank="1" showInputMessage="1" showErrorMessage="1" sqref="D3494">
      <formula1>0</formula1>
    </dataValidation>
    <dataValidation type="decimal" operator="greaterThan" allowBlank="1" showInputMessage="1" showErrorMessage="1" sqref="E3494">
      <formula1>0</formula1>
    </dataValidation>
    <dataValidation type="whole" operator="greaterThan" allowBlank="1" showInputMessage="1" showErrorMessage="1" sqref="A3495">
      <formula1>0</formula1>
    </dataValidation>
    <dataValidation type="list" allowBlank="1" showInputMessage="1" showErrorMessage="1" sqref="C3495">
      <formula1>UnidadesList</formula1>
    </dataValidation>
    <dataValidation type="decimal" operator="greaterThan" allowBlank="1" showInputMessage="1" showErrorMessage="1" sqref="D3495">
      <formula1>0</formula1>
    </dataValidation>
    <dataValidation type="decimal" operator="greaterThan" allowBlank="1" showInputMessage="1" showErrorMessage="1" sqref="E3495">
      <formula1>0</formula1>
    </dataValidation>
    <dataValidation type="whole" operator="greaterThan" allowBlank="1" showInputMessage="1" showErrorMessage="1" sqref="A3496">
      <formula1>0</formula1>
    </dataValidation>
    <dataValidation type="list" allowBlank="1" showInputMessage="1" showErrorMessage="1" sqref="C3496">
      <formula1>UnidadesList</formula1>
    </dataValidation>
    <dataValidation type="decimal" operator="greaterThan" allowBlank="1" showInputMessage="1" showErrorMessage="1" sqref="D3496">
      <formula1>0</formula1>
    </dataValidation>
    <dataValidation type="decimal" operator="greaterThan" allowBlank="1" showInputMessage="1" showErrorMessage="1" sqref="E3496">
      <formula1>0</formula1>
    </dataValidation>
    <dataValidation type="whole" operator="greaterThan" allowBlank="1" showInputMessage="1" showErrorMessage="1" sqref="A3497">
      <formula1>0</formula1>
    </dataValidation>
    <dataValidation type="list" allowBlank="1" showInputMessage="1" showErrorMessage="1" sqref="C3497">
      <formula1>UnidadesList</formula1>
    </dataValidation>
    <dataValidation type="decimal" operator="greaterThan" allowBlank="1" showInputMessage="1" showErrorMessage="1" sqref="D3497">
      <formula1>0</formula1>
    </dataValidation>
    <dataValidation type="decimal" operator="greaterThan" allowBlank="1" showInputMessage="1" showErrorMessage="1" sqref="E3497">
      <formula1>0</formula1>
    </dataValidation>
    <dataValidation type="whole" operator="greaterThan" allowBlank="1" showInputMessage="1" showErrorMessage="1" sqref="A3498">
      <formula1>0</formula1>
    </dataValidation>
    <dataValidation type="list" allowBlank="1" showInputMessage="1" showErrorMessage="1" sqref="C3498">
      <formula1>UnidadesList</formula1>
    </dataValidation>
    <dataValidation type="decimal" operator="greaterThan" allowBlank="1" showInputMessage="1" showErrorMessage="1" sqref="D3498">
      <formula1>0</formula1>
    </dataValidation>
    <dataValidation type="decimal" operator="greaterThan" allowBlank="1" showInputMessage="1" showErrorMessage="1" sqref="E3498">
      <formula1>0</formula1>
    </dataValidation>
    <dataValidation type="whole" operator="greaterThan" allowBlank="1" showInputMessage="1" showErrorMessage="1" sqref="A3499">
      <formula1>0</formula1>
    </dataValidation>
    <dataValidation type="list" allowBlank="1" showInputMessage="1" showErrorMessage="1" sqref="C3499">
      <formula1>UnidadesList</formula1>
    </dataValidation>
    <dataValidation type="decimal" operator="greaterThan" allowBlank="1" showInputMessage="1" showErrorMessage="1" sqref="D3499">
      <formula1>0</formula1>
    </dataValidation>
    <dataValidation type="decimal" operator="greaterThan" allowBlank="1" showInputMessage="1" showErrorMessage="1" sqref="E3499">
      <formula1>0</formula1>
    </dataValidation>
    <dataValidation type="whole" operator="greaterThan" allowBlank="1" showInputMessage="1" showErrorMessage="1" sqref="A3500">
      <formula1>0</formula1>
    </dataValidation>
    <dataValidation type="list" allowBlank="1" showInputMessage="1" showErrorMessage="1" sqref="C3500">
      <formula1>UnidadesList</formula1>
    </dataValidation>
    <dataValidation type="decimal" operator="greaterThan" allowBlank="1" showInputMessage="1" showErrorMessage="1" sqref="D3500">
      <formula1>0</formula1>
    </dataValidation>
    <dataValidation type="decimal" operator="greaterThan" allowBlank="1" showInputMessage="1" showErrorMessage="1" sqref="E3500">
      <formula1>0</formula1>
    </dataValidation>
    <dataValidation type="whole" operator="greaterThan" allowBlank="1" showInputMessage="1" showErrorMessage="1" sqref="A3501">
      <formula1>0</formula1>
    </dataValidation>
    <dataValidation type="list" allowBlank="1" showInputMessage="1" showErrorMessage="1" sqref="C3501">
      <formula1>UnidadesList</formula1>
    </dataValidation>
    <dataValidation type="decimal" operator="greaterThan" allowBlank="1" showInputMessage="1" showErrorMessage="1" sqref="D3501">
      <formula1>0</formula1>
    </dataValidation>
    <dataValidation type="decimal" operator="greaterThan" allowBlank="1" showInputMessage="1" showErrorMessage="1" sqref="E3501">
      <formula1>0</formula1>
    </dataValidation>
    <dataValidation type="whole" operator="greaterThan" allowBlank="1" showInputMessage="1" showErrorMessage="1" sqref="A3502">
      <formula1>0</formula1>
    </dataValidation>
    <dataValidation type="list" allowBlank="1" showInputMessage="1" showErrorMessage="1" sqref="C3502">
      <formula1>UnidadesList</formula1>
    </dataValidation>
    <dataValidation type="decimal" operator="greaterThan" allowBlank="1" showInputMessage="1" showErrorMessage="1" sqref="D3502">
      <formula1>0</formula1>
    </dataValidation>
    <dataValidation type="decimal" operator="greaterThan" allowBlank="1" showInputMessage="1" showErrorMessage="1" sqref="E3502">
      <formula1>0</formula1>
    </dataValidation>
    <dataValidation type="whole" operator="greaterThan" allowBlank="1" showInputMessage="1" showErrorMessage="1" sqref="A3503">
      <formula1>0</formula1>
    </dataValidation>
    <dataValidation type="list" allowBlank="1" showInputMessage="1" showErrorMessage="1" sqref="C3503">
      <formula1>UnidadesList</formula1>
    </dataValidation>
    <dataValidation type="decimal" operator="greaterThan" allowBlank="1" showInputMessage="1" showErrorMessage="1" sqref="D3503">
      <formula1>0</formula1>
    </dataValidation>
    <dataValidation type="decimal" operator="greaterThan" allowBlank="1" showInputMessage="1" showErrorMessage="1" sqref="E3503">
      <formula1>0</formula1>
    </dataValidation>
    <dataValidation type="whole" operator="greaterThan" allowBlank="1" showInputMessage="1" showErrorMessage="1" sqref="A3504">
      <formula1>0</formula1>
    </dataValidation>
    <dataValidation type="list" allowBlank="1" showInputMessage="1" showErrorMessage="1" sqref="C3504">
      <formula1>UnidadesList</formula1>
    </dataValidation>
    <dataValidation type="decimal" operator="greaterThan" allowBlank="1" showInputMessage="1" showErrorMessage="1" sqref="D3504">
      <formula1>0</formula1>
    </dataValidation>
    <dataValidation type="decimal" operator="greaterThan" allowBlank="1" showInputMessage="1" showErrorMessage="1" sqref="E3504">
      <formula1>0</formula1>
    </dataValidation>
    <dataValidation type="whole" operator="greaterThan" allowBlank="1" showInputMessage="1" showErrorMessage="1" sqref="A3505">
      <formula1>0</formula1>
    </dataValidation>
    <dataValidation type="list" allowBlank="1" showInputMessage="1" showErrorMessage="1" sqref="C3505">
      <formula1>UnidadesList</formula1>
    </dataValidation>
    <dataValidation type="decimal" operator="greaterThan" allowBlank="1" showInputMessage="1" showErrorMessage="1" sqref="D3505">
      <formula1>0</formula1>
    </dataValidation>
    <dataValidation type="decimal" operator="greaterThan" allowBlank="1" showInputMessage="1" showErrorMessage="1" sqref="E3505">
      <formula1>0</formula1>
    </dataValidation>
    <dataValidation type="date" operator="lessThanOrEqual" allowBlank="1" showInputMessage="1" showErrorMessage="1" sqref="C3510">
      <formula1>C3512</formula1>
    </dataValidation>
    <dataValidation type="date" operator="greaterThanOrEqual" allowBlank="1" showInputMessage="1" showErrorMessage="1" sqref="C3512">
      <formula1>C3510</formula1>
    </dataValidation>
    <dataValidation type="list" allowBlank="1" showInputMessage="1" showErrorMessage="1" sqref="F35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5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5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5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516">
      <formula1>0</formula1>
    </dataValidation>
    <dataValidation type="list" allowBlank="1" showInputMessage="1" showErrorMessage="1" sqref="C3516">
      <formula1>UnidadesList</formula1>
    </dataValidation>
    <dataValidation type="decimal" operator="greaterThan" allowBlank="1" showInputMessage="1" showErrorMessage="1" sqref="D3516">
      <formula1>0</formula1>
    </dataValidation>
    <dataValidation type="decimal" operator="greaterThan" allowBlank="1" showInputMessage="1" showErrorMessage="1" sqref="E3516">
      <formula1>0</formula1>
    </dataValidation>
    <dataValidation type="whole" operator="greaterThan" allowBlank="1" showInputMessage="1" showErrorMessage="1" sqref="A3517">
      <formula1>0</formula1>
    </dataValidation>
    <dataValidation type="list" allowBlank="1" showInputMessage="1" showErrorMessage="1" sqref="C3517">
      <formula1>UnidadesList</formula1>
    </dataValidation>
    <dataValidation type="decimal" operator="greaterThan" allowBlank="1" showInputMessage="1" showErrorMessage="1" sqref="D3517">
      <formula1>0</formula1>
    </dataValidation>
    <dataValidation type="decimal" operator="greaterThan" allowBlank="1" showInputMessage="1" showErrorMessage="1" sqref="E3517">
      <formula1>0</formula1>
    </dataValidation>
    <dataValidation type="whole" operator="greaterThan" allowBlank="1" showInputMessage="1" showErrorMessage="1" sqref="A3518">
      <formula1>0</formula1>
    </dataValidation>
    <dataValidation type="list" allowBlank="1" showInputMessage="1" showErrorMessage="1" sqref="C3518">
      <formula1>UnidadesList</formula1>
    </dataValidation>
    <dataValidation type="decimal" operator="greaterThan" allowBlank="1" showInputMessage="1" showErrorMessage="1" sqref="D3518">
      <formula1>0</formula1>
    </dataValidation>
    <dataValidation type="decimal" operator="greaterThan" allowBlank="1" showInputMessage="1" showErrorMessage="1" sqref="E3518">
      <formula1>0</formula1>
    </dataValidation>
    <dataValidation type="whole" operator="greaterThan" allowBlank="1" showInputMessage="1" showErrorMessage="1" sqref="A3519">
      <formula1>0</formula1>
    </dataValidation>
    <dataValidation type="list" allowBlank="1" showInputMessage="1" showErrorMessage="1" sqref="C3519">
      <formula1>UnidadesList</formula1>
    </dataValidation>
    <dataValidation type="decimal" operator="greaterThan" allowBlank="1" showInputMessage="1" showErrorMessage="1" sqref="D3519">
      <formula1>0</formula1>
    </dataValidation>
    <dataValidation type="decimal" operator="greaterThan" allowBlank="1" showInputMessage="1" showErrorMessage="1" sqref="E3519">
      <formula1>0</formula1>
    </dataValidation>
    <dataValidation type="whole" operator="greaterThan" allowBlank="1" showInputMessage="1" showErrorMessage="1" sqref="A3520">
      <formula1>0</formula1>
    </dataValidation>
    <dataValidation type="list" allowBlank="1" showInputMessage="1" showErrorMessage="1" sqref="C3520">
      <formula1>UnidadesList</formula1>
    </dataValidation>
    <dataValidation type="decimal" operator="greaterThan" allowBlank="1" showInputMessage="1" showErrorMessage="1" sqref="D3520">
      <formula1>0</formula1>
    </dataValidation>
    <dataValidation type="decimal" operator="greaterThan" allowBlank="1" showInputMessage="1" showErrorMessage="1" sqref="E3520">
      <formula1>0</formula1>
    </dataValidation>
    <dataValidation type="whole" operator="greaterThan" allowBlank="1" showInputMessage="1" showErrorMessage="1" sqref="A3521">
      <formula1>0</formula1>
    </dataValidation>
    <dataValidation type="list" allowBlank="1" showInputMessage="1" showErrorMessage="1" sqref="C3521">
      <formula1>UnidadesList</formula1>
    </dataValidation>
    <dataValidation type="decimal" operator="greaterThan" allowBlank="1" showInputMessage="1" showErrorMessage="1" sqref="D3521">
      <formula1>0</formula1>
    </dataValidation>
    <dataValidation type="decimal" operator="greaterThan" allowBlank="1" showInputMessage="1" showErrorMessage="1" sqref="E3521">
      <formula1>0</formula1>
    </dataValidation>
    <dataValidation type="whole" operator="greaterThan" allowBlank="1" showInputMessage="1" showErrorMessage="1" sqref="A3522">
      <formula1>0</formula1>
    </dataValidation>
    <dataValidation type="list" allowBlank="1" showInputMessage="1" showErrorMessage="1" sqref="C3522">
      <formula1>UnidadesList</formula1>
    </dataValidation>
    <dataValidation type="decimal" operator="greaterThan" allowBlank="1" showInputMessage="1" showErrorMessage="1" sqref="D3522">
      <formula1>0</formula1>
    </dataValidation>
    <dataValidation type="decimal" operator="greaterThan" allowBlank="1" showInputMessage="1" showErrorMessage="1" sqref="E3522">
      <formula1>0</formula1>
    </dataValidation>
    <dataValidation type="whole" operator="greaterThan" allowBlank="1" showInputMessage="1" showErrorMessage="1" sqref="A3523">
      <formula1>0</formula1>
    </dataValidation>
    <dataValidation type="list" allowBlank="1" showInputMessage="1" showErrorMessage="1" sqref="C3523">
      <formula1>UnidadesList</formula1>
    </dataValidation>
    <dataValidation type="decimal" operator="greaterThan" allowBlank="1" showInputMessage="1" showErrorMessage="1" sqref="D3523">
      <formula1>0</formula1>
    </dataValidation>
    <dataValidation type="decimal" operator="greaterThan" allowBlank="1" showInputMessage="1" showErrorMessage="1" sqref="E3523">
      <formula1>0</formula1>
    </dataValidation>
    <dataValidation type="whole" operator="greaterThan" allowBlank="1" showInputMessage="1" showErrorMessage="1" sqref="A3524">
      <formula1>0</formula1>
    </dataValidation>
    <dataValidation type="list" allowBlank="1" showInputMessage="1" showErrorMessage="1" sqref="C3524">
      <formula1>UnidadesList</formula1>
    </dataValidation>
    <dataValidation type="decimal" operator="greaterThan" allowBlank="1" showInputMessage="1" showErrorMessage="1" sqref="D3524">
      <formula1>0</formula1>
    </dataValidation>
    <dataValidation type="decimal" operator="greaterThan" allowBlank="1" showInputMessage="1" showErrorMessage="1" sqref="E3524">
      <formula1>0</formula1>
    </dataValidation>
    <dataValidation type="whole" operator="greaterThan" allowBlank="1" showInputMessage="1" showErrorMessage="1" sqref="A3525">
      <formula1>0</formula1>
    </dataValidation>
    <dataValidation type="list" allowBlank="1" showInputMessage="1" showErrorMessage="1" sqref="C3525">
      <formula1>UnidadesList</formula1>
    </dataValidation>
    <dataValidation type="decimal" operator="greaterThan" allowBlank="1" showInputMessage="1" showErrorMessage="1" sqref="D3525">
      <formula1>0</formula1>
    </dataValidation>
    <dataValidation type="decimal" operator="greaterThan" allowBlank="1" showInputMessage="1" showErrorMessage="1" sqref="E3525">
      <formula1>0</formula1>
    </dataValidation>
    <dataValidation type="whole" operator="greaterThan" allowBlank="1" showInputMessage="1" showErrorMessage="1" sqref="A3526">
      <formula1>0</formula1>
    </dataValidation>
    <dataValidation type="list" allowBlank="1" showInputMessage="1" showErrorMessage="1" sqref="C3526">
      <formula1>UnidadesList</formula1>
    </dataValidation>
    <dataValidation type="decimal" operator="greaterThan" allowBlank="1" showInputMessage="1" showErrorMessage="1" sqref="D3526">
      <formula1>0</formula1>
    </dataValidation>
    <dataValidation type="decimal" operator="greaterThan" allowBlank="1" showInputMessage="1" showErrorMessage="1" sqref="E3526">
      <formula1>0</formula1>
    </dataValidation>
    <dataValidation type="whole" operator="greaterThan" allowBlank="1" showInputMessage="1" showErrorMessage="1" sqref="A3527">
      <formula1>0</formula1>
    </dataValidation>
    <dataValidation type="list" allowBlank="1" showInputMessage="1" showErrorMessage="1" sqref="C3527">
      <formula1>UnidadesList</formula1>
    </dataValidation>
    <dataValidation type="decimal" operator="greaterThan" allowBlank="1" showInputMessage="1" showErrorMessage="1" sqref="D3527">
      <formula1>0</formula1>
    </dataValidation>
    <dataValidation type="decimal" operator="greaterThan" allowBlank="1" showInputMessage="1" showErrorMessage="1" sqref="E3527">
      <formula1>0</formula1>
    </dataValidation>
    <dataValidation type="whole" operator="greaterThan" allowBlank="1" showInputMessage="1" showErrorMessage="1" sqref="A3528">
      <formula1>0</formula1>
    </dataValidation>
    <dataValidation type="list" allowBlank="1" showInputMessage="1" showErrorMessage="1" sqref="C3528">
      <formula1>UnidadesList</formula1>
    </dataValidation>
    <dataValidation type="decimal" operator="greaterThan" allowBlank="1" showInputMessage="1" showErrorMessage="1" sqref="D3528">
      <formula1>0</formula1>
    </dataValidation>
    <dataValidation type="decimal" operator="greaterThan" allowBlank="1" showInputMessage="1" showErrorMessage="1" sqref="E3528">
      <formula1>0</formula1>
    </dataValidation>
    <dataValidation type="whole" operator="greaterThan" allowBlank="1" showInputMessage="1" showErrorMessage="1" sqref="A3529">
      <formula1>0</formula1>
    </dataValidation>
    <dataValidation type="list" allowBlank="1" showInputMessage="1" showErrorMessage="1" sqref="C3529">
      <formula1>UnidadesList</formula1>
    </dataValidation>
    <dataValidation type="decimal" operator="greaterThan" allowBlank="1" showInputMessage="1" showErrorMessage="1" sqref="D3529">
      <formula1>0</formula1>
    </dataValidation>
    <dataValidation type="decimal" operator="greaterThan" allowBlank="1" showInputMessage="1" showErrorMessage="1" sqref="E3529">
      <formula1>0</formula1>
    </dataValidation>
    <dataValidation type="whole" operator="greaterThan" allowBlank="1" showInputMessage="1" showErrorMessage="1" sqref="A3530">
      <formula1>0</formula1>
    </dataValidation>
    <dataValidation type="list" allowBlank="1" showInputMessage="1" showErrorMessage="1" sqref="C3530">
      <formula1>UnidadesList</formula1>
    </dataValidation>
    <dataValidation type="decimal" operator="greaterThan" allowBlank="1" showInputMessage="1" showErrorMessage="1" sqref="D3530">
      <formula1>0</formula1>
    </dataValidation>
    <dataValidation type="decimal" operator="greaterThan" allowBlank="1" showInputMessage="1" showErrorMessage="1" sqref="E3530">
      <formula1>0</formula1>
    </dataValidation>
    <dataValidation type="whole" operator="greaterThan" allowBlank="1" showInputMessage="1" showErrorMessage="1" sqref="A3531">
      <formula1>0</formula1>
    </dataValidation>
    <dataValidation type="list" allowBlank="1" showInputMessage="1" showErrorMessage="1" sqref="C3531">
      <formula1>UnidadesList</formula1>
    </dataValidation>
    <dataValidation type="decimal" operator="greaterThan" allowBlank="1" showInputMessage="1" showErrorMessage="1" sqref="D3531">
      <formula1>0</formula1>
    </dataValidation>
    <dataValidation type="decimal" operator="greaterThan" allowBlank="1" showInputMessage="1" showErrorMessage="1" sqref="E3531">
      <formula1>0</formula1>
    </dataValidation>
    <dataValidation type="whole" operator="greaterThan" allowBlank="1" showInputMessage="1" showErrorMessage="1" sqref="A3532">
      <formula1>0</formula1>
    </dataValidation>
    <dataValidation type="list" allowBlank="1" showInputMessage="1" showErrorMessage="1" sqref="C3532">
      <formula1>UnidadesList</formula1>
    </dataValidation>
    <dataValidation type="decimal" operator="greaterThan" allowBlank="1" showInputMessage="1" showErrorMessage="1" sqref="D3532">
      <formula1>0</formula1>
    </dataValidation>
    <dataValidation type="decimal" operator="greaterThan" allowBlank="1" showInputMessage="1" showErrorMessage="1" sqref="E3532">
      <formula1>0</formula1>
    </dataValidation>
    <dataValidation type="whole" operator="greaterThan" allowBlank="1" showInputMessage="1" showErrorMessage="1" sqref="A3533">
      <formula1>0</formula1>
    </dataValidation>
    <dataValidation type="list" allowBlank="1" showInputMessage="1" showErrorMessage="1" sqref="C3533">
      <formula1>UnidadesList</formula1>
    </dataValidation>
    <dataValidation type="decimal" operator="greaterThan" allowBlank="1" showInputMessage="1" showErrorMessage="1" sqref="D3533">
      <formula1>0</formula1>
    </dataValidation>
    <dataValidation type="decimal" operator="greaterThan" allowBlank="1" showInputMessage="1" showErrorMessage="1" sqref="E3533">
      <formula1>0</formula1>
    </dataValidation>
    <dataValidation type="whole" operator="greaterThan" allowBlank="1" showInputMessage="1" showErrorMessage="1" sqref="A3534">
      <formula1>0</formula1>
    </dataValidation>
    <dataValidation type="list" allowBlank="1" showInputMessage="1" showErrorMessage="1" sqref="C3534">
      <formula1>UnidadesList</formula1>
    </dataValidation>
    <dataValidation type="decimal" operator="greaterThan" allowBlank="1" showInputMessage="1" showErrorMessage="1" sqref="D3534">
      <formula1>0</formula1>
    </dataValidation>
    <dataValidation type="decimal" operator="greaterThan" allowBlank="1" showInputMessage="1" showErrorMessage="1" sqref="E3534">
      <formula1>0</formula1>
    </dataValidation>
    <dataValidation type="whole" operator="greaterThan" allowBlank="1" showInputMessage="1" showErrorMessage="1" sqref="A3535">
      <formula1>0</formula1>
    </dataValidation>
    <dataValidation type="list" allowBlank="1" showInputMessage="1" showErrorMessage="1" sqref="C3535">
      <formula1>UnidadesList</formula1>
    </dataValidation>
    <dataValidation type="decimal" operator="greaterThan" allowBlank="1" showInputMessage="1" showErrorMessage="1" sqref="D3535">
      <formula1>0</formula1>
    </dataValidation>
    <dataValidation type="decimal" operator="greaterThan" allowBlank="1" showInputMessage="1" showErrorMessage="1" sqref="E3535">
      <formula1>0</formula1>
    </dataValidation>
    <dataValidation type="whole" operator="greaterThan" allowBlank="1" showInputMessage="1" showErrorMessage="1" sqref="A3536">
      <formula1>0</formula1>
    </dataValidation>
    <dataValidation type="list" allowBlank="1" showInputMessage="1" showErrorMessage="1" sqref="C3536">
      <formula1>UnidadesList</formula1>
    </dataValidation>
    <dataValidation type="decimal" operator="greaterThan" allowBlank="1" showInputMessage="1" showErrorMessage="1" sqref="D3536">
      <formula1>0</formula1>
    </dataValidation>
    <dataValidation type="decimal" operator="greaterThan" allowBlank="1" showInputMessage="1" showErrorMessage="1" sqref="E3536">
      <formula1>0</formula1>
    </dataValidation>
    <dataValidation type="whole" operator="greaterThan" allowBlank="1" showInputMessage="1" showErrorMessage="1" sqref="A3537">
      <formula1>0</formula1>
    </dataValidation>
    <dataValidation type="list" allowBlank="1" showInputMessage="1" showErrorMessage="1" sqref="C3537">
      <formula1>UnidadesList</formula1>
    </dataValidation>
    <dataValidation type="decimal" operator="greaterThan" allowBlank="1" showInputMessage="1" showErrorMessage="1" sqref="D3537">
      <formula1>0</formula1>
    </dataValidation>
    <dataValidation type="decimal" operator="greaterThan" allowBlank="1" showInputMessage="1" showErrorMessage="1" sqref="E3537">
      <formula1>0</formula1>
    </dataValidation>
    <dataValidation type="whole" operator="greaterThan" allowBlank="1" showInputMessage="1" showErrorMessage="1" sqref="A3538">
      <formula1>0</formula1>
    </dataValidation>
    <dataValidation type="list" allowBlank="1" showInputMessage="1" showErrorMessage="1" sqref="C3538">
      <formula1>UnidadesList</formula1>
    </dataValidation>
    <dataValidation type="decimal" operator="greaterThan" allowBlank="1" showInputMessage="1" showErrorMessage="1" sqref="D3538">
      <formula1>0</formula1>
    </dataValidation>
    <dataValidation type="decimal" operator="greaterThan" allowBlank="1" showInputMessage="1" showErrorMessage="1" sqref="E3538">
      <formula1>0</formula1>
    </dataValidation>
    <dataValidation type="whole" operator="greaterThan" allowBlank="1" showInputMessage="1" showErrorMessage="1" sqref="A3539">
      <formula1>0</formula1>
    </dataValidation>
    <dataValidation type="list" allowBlank="1" showInputMessage="1" showErrorMessage="1" sqref="C3539">
      <formula1>UnidadesList</formula1>
    </dataValidation>
    <dataValidation type="decimal" operator="greaterThan" allowBlank="1" showInputMessage="1" showErrorMessage="1" sqref="D3539">
      <formula1>0</formula1>
    </dataValidation>
    <dataValidation type="decimal" operator="greaterThan" allowBlank="1" showInputMessage="1" showErrorMessage="1" sqref="E3539">
      <formula1>0</formula1>
    </dataValidation>
    <dataValidation type="whole" operator="greaterThan" allowBlank="1" showInputMessage="1" showErrorMessage="1" sqref="A3540">
      <formula1>0</formula1>
    </dataValidation>
    <dataValidation type="list" allowBlank="1" showInputMessage="1" showErrorMessage="1" sqref="C3540">
      <formula1>UnidadesList</formula1>
    </dataValidation>
    <dataValidation type="decimal" operator="greaterThan" allowBlank="1" showInputMessage="1" showErrorMessage="1" sqref="D3540">
      <formula1>0</formula1>
    </dataValidation>
    <dataValidation type="decimal" operator="greaterThan" allowBlank="1" showInputMessage="1" showErrorMessage="1" sqref="E3540">
      <formula1>0</formula1>
    </dataValidation>
    <dataValidation type="whole" operator="greaterThan" allowBlank="1" showInputMessage="1" showErrorMessage="1" sqref="A3541">
      <formula1>0</formula1>
    </dataValidation>
    <dataValidation type="list" allowBlank="1" showInputMessage="1" showErrorMessage="1" sqref="C3541">
      <formula1>UnidadesList</formula1>
    </dataValidation>
    <dataValidation type="decimal" operator="greaterThan" allowBlank="1" showInputMessage="1" showErrorMessage="1" sqref="D3541">
      <formula1>0</formula1>
    </dataValidation>
    <dataValidation type="decimal" operator="greaterThan" allowBlank="1" showInputMessage="1" showErrorMessage="1" sqref="E3541">
      <formula1>0</formula1>
    </dataValidation>
    <dataValidation type="whole" operator="greaterThan" allowBlank="1" showInputMessage="1" showErrorMessage="1" sqref="A3542">
      <formula1>0</formula1>
    </dataValidation>
    <dataValidation type="list" allowBlank="1" showInputMessage="1" showErrorMessage="1" sqref="C3542">
      <formula1>UnidadesList</formula1>
    </dataValidation>
    <dataValidation type="decimal" operator="greaterThan" allowBlank="1" showInputMessage="1" showErrorMessage="1" sqref="D3542">
      <formula1>0</formula1>
    </dataValidation>
    <dataValidation type="decimal" operator="greaterThan" allowBlank="1" showInputMessage="1" showErrorMessage="1" sqref="E3542">
      <formula1>0</formula1>
    </dataValidation>
    <dataValidation type="whole" operator="greaterThan" allowBlank="1" showInputMessage="1" showErrorMessage="1" sqref="A3543">
      <formula1>0</formula1>
    </dataValidation>
    <dataValidation type="list" allowBlank="1" showInputMessage="1" showErrorMessage="1" sqref="C3543">
      <formula1>UnidadesList</formula1>
    </dataValidation>
    <dataValidation type="decimal" operator="greaterThan" allowBlank="1" showInputMessage="1" showErrorMessage="1" sqref="D3543">
      <formula1>0</formula1>
    </dataValidation>
    <dataValidation type="decimal" operator="greaterThan" allowBlank="1" showInputMessage="1" showErrorMessage="1" sqref="E3543">
      <formula1>0</formula1>
    </dataValidation>
    <dataValidation type="whole" operator="greaterThan" allowBlank="1" showInputMessage="1" showErrorMessage="1" sqref="A3544">
      <formula1>0</formula1>
    </dataValidation>
    <dataValidation type="list" allowBlank="1" showInputMessage="1" showErrorMessage="1" sqref="C3544">
      <formula1>UnidadesList</formula1>
    </dataValidation>
    <dataValidation type="decimal" operator="greaterThan" allowBlank="1" showInputMessage="1" showErrorMessage="1" sqref="D3544">
      <formula1>0</formula1>
    </dataValidation>
    <dataValidation type="decimal" operator="greaterThan" allowBlank="1" showInputMessage="1" showErrorMessage="1" sqref="E3544">
      <formula1>0</formula1>
    </dataValidation>
    <dataValidation type="whole" operator="greaterThan" allowBlank="1" showInputMessage="1" showErrorMessage="1" sqref="A3545">
      <formula1>0</formula1>
    </dataValidation>
    <dataValidation type="list" allowBlank="1" showInputMessage="1" showErrorMessage="1" sqref="C3545">
      <formula1>UnidadesList</formula1>
    </dataValidation>
    <dataValidation type="decimal" operator="greaterThan" allowBlank="1" showInputMessage="1" showErrorMessage="1" sqref="D3545">
      <formula1>0</formula1>
    </dataValidation>
    <dataValidation type="decimal" operator="greaterThan" allowBlank="1" showInputMessage="1" showErrorMessage="1" sqref="E3545">
      <formula1>0</formula1>
    </dataValidation>
    <dataValidation type="whole" operator="greaterThan" allowBlank="1" showInputMessage="1" showErrorMessage="1" sqref="A3546">
      <formula1>0</formula1>
    </dataValidation>
    <dataValidation type="list" allowBlank="1" showInputMessage="1" showErrorMessage="1" sqref="C3546">
      <formula1>UnidadesList</formula1>
    </dataValidation>
    <dataValidation type="decimal" operator="greaterThan" allowBlank="1" showInputMessage="1" showErrorMessage="1" sqref="D3546">
      <formula1>0</formula1>
    </dataValidation>
    <dataValidation type="decimal" operator="greaterThan" allowBlank="1" showInputMessage="1" showErrorMessage="1" sqref="E3546">
      <formula1>0</formula1>
    </dataValidation>
    <dataValidation type="whole" operator="greaterThan" allowBlank="1" showInputMessage="1" showErrorMessage="1" sqref="A3547">
      <formula1>0</formula1>
    </dataValidation>
    <dataValidation type="list" allowBlank="1" showInputMessage="1" showErrorMessage="1" sqref="C3547">
      <formula1>UnidadesList</formula1>
    </dataValidation>
    <dataValidation type="decimal" operator="greaterThan" allowBlank="1" showInputMessage="1" showErrorMessage="1" sqref="D3547">
      <formula1>0</formula1>
    </dataValidation>
    <dataValidation type="decimal" operator="greaterThan" allowBlank="1" showInputMessage="1" showErrorMessage="1" sqref="E3547">
      <formula1>0</formula1>
    </dataValidation>
    <dataValidation type="whole" operator="greaterThan" allowBlank="1" showInputMessage="1" showErrorMessage="1" sqref="A3548">
      <formula1>0</formula1>
    </dataValidation>
    <dataValidation type="list" allowBlank="1" showInputMessage="1" showErrorMessage="1" sqref="C3548">
      <formula1>UnidadesList</formula1>
    </dataValidation>
    <dataValidation type="decimal" operator="greaterThan" allowBlank="1" showInputMessage="1" showErrorMessage="1" sqref="D3548">
      <formula1>0</formula1>
    </dataValidation>
    <dataValidation type="decimal" operator="greaterThan" allowBlank="1" showInputMessage="1" showErrorMessage="1" sqref="E3548">
      <formula1>0</formula1>
    </dataValidation>
    <dataValidation type="whole" operator="greaterThan" allowBlank="1" showInputMessage="1" showErrorMessage="1" sqref="A3549">
      <formula1>0</formula1>
    </dataValidation>
    <dataValidation type="list" allowBlank="1" showInputMessage="1" showErrorMessage="1" sqref="C3549">
      <formula1>UnidadesList</formula1>
    </dataValidation>
    <dataValidation type="decimal" operator="greaterThan" allowBlank="1" showInputMessage="1" showErrorMessage="1" sqref="D3549">
      <formula1>0</formula1>
    </dataValidation>
    <dataValidation type="decimal" operator="greaterThan" allowBlank="1" showInputMessage="1" showErrorMessage="1" sqref="E3549">
      <formula1>0</formula1>
    </dataValidation>
    <dataValidation type="whole" operator="greaterThan" allowBlank="1" showInputMessage="1" showErrorMessage="1" sqref="A3550">
      <formula1>0</formula1>
    </dataValidation>
    <dataValidation type="list" allowBlank="1" showInputMessage="1" showErrorMessage="1" sqref="C3550">
      <formula1>UnidadesList</formula1>
    </dataValidation>
    <dataValidation type="decimal" operator="greaterThan" allowBlank="1" showInputMessage="1" showErrorMessage="1" sqref="D3550">
      <formula1>0</formula1>
    </dataValidation>
    <dataValidation type="decimal" operator="greaterThan" allowBlank="1" showInputMessage="1" showErrorMessage="1" sqref="E3550">
      <formula1>0</formula1>
    </dataValidation>
    <dataValidation type="whole" operator="greaterThan" allowBlank="1" showInputMessage="1" showErrorMessage="1" sqref="A3551">
      <formula1>0</formula1>
    </dataValidation>
    <dataValidation type="list" allowBlank="1" showInputMessage="1" showErrorMessage="1" sqref="C3551">
      <formula1>UnidadesList</formula1>
    </dataValidation>
    <dataValidation type="decimal" operator="greaterThan" allowBlank="1" showInputMessage="1" showErrorMessage="1" sqref="D3551">
      <formula1>0</formula1>
    </dataValidation>
    <dataValidation type="decimal" operator="greaterThan" allowBlank="1" showInputMessage="1" showErrorMessage="1" sqref="E3551">
      <formula1>0</formula1>
    </dataValidation>
    <dataValidation type="whole" operator="greaterThan" allowBlank="1" showInputMessage="1" showErrorMessage="1" sqref="A3552">
      <formula1>0</formula1>
    </dataValidation>
    <dataValidation type="list" allowBlank="1" showInputMessage="1" showErrorMessage="1" sqref="C3552">
      <formula1>UnidadesList</formula1>
    </dataValidation>
    <dataValidation type="decimal" operator="greaterThan" allowBlank="1" showInputMessage="1" showErrorMessage="1" sqref="D3552">
      <formula1>0</formula1>
    </dataValidation>
    <dataValidation type="decimal" operator="greaterThan" allowBlank="1" showInputMessage="1" showErrorMessage="1" sqref="E3552">
      <formula1>0</formula1>
    </dataValidation>
    <dataValidation type="whole" operator="greaterThan" allowBlank="1" showInputMessage="1" showErrorMessage="1" sqref="A3553">
      <formula1>0</formula1>
    </dataValidation>
    <dataValidation type="list" allowBlank="1" showInputMessage="1" showErrorMessage="1" sqref="C3553">
      <formula1>UnidadesList</formula1>
    </dataValidation>
    <dataValidation type="decimal" operator="greaterThan" allowBlank="1" showInputMessage="1" showErrorMessage="1" sqref="D3553">
      <formula1>0</formula1>
    </dataValidation>
    <dataValidation type="decimal" operator="greaterThan" allowBlank="1" showInputMessage="1" showErrorMessage="1" sqref="E3553">
      <formula1>0</formula1>
    </dataValidation>
    <dataValidation type="whole" operator="greaterThan" allowBlank="1" showInputMessage="1" showErrorMessage="1" sqref="A3554">
      <formula1>0</formula1>
    </dataValidation>
    <dataValidation type="list" allowBlank="1" showInputMessage="1" showErrorMessage="1" sqref="C3554">
      <formula1>UnidadesList</formula1>
    </dataValidation>
    <dataValidation type="decimal" operator="greaterThan" allowBlank="1" showInputMessage="1" showErrorMessage="1" sqref="D3554">
      <formula1>0</formula1>
    </dataValidation>
    <dataValidation type="decimal" operator="greaterThan" allowBlank="1" showInputMessage="1" showErrorMessage="1" sqref="E3554">
      <formula1>0</formula1>
    </dataValidation>
    <dataValidation type="whole" operator="greaterThan" allowBlank="1" showInputMessage="1" showErrorMessage="1" sqref="A3555">
      <formula1>0</formula1>
    </dataValidation>
    <dataValidation type="list" allowBlank="1" showInputMessage="1" showErrorMessage="1" sqref="C3555">
      <formula1>UnidadesList</formula1>
    </dataValidation>
    <dataValidation type="decimal" operator="greaterThan" allowBlank="1" showInputMessage="1" showErrorMessage="1" sqref="D3555">
      <formula1>0</formula1>
    </dataValidation>
    <dataValidation type="decimal" operator="greaterThan" allowBlank="1" showInputMessage="1" showErrorMessage="1" sqref="E3555">
      <formula1>0</formula1>
    </dataValidation>
    <dataValidation type="whole" operator="greaterThan" allowBlank="1" showInputMessage="1" showErrorMessage="1" sqref="A3556">
      <formula1>0</formula1>
    </dataValidation>
    <dataValidation type="list" allowBlank="1" showInputMessage="1" showErrorMessage="1" sqref="C3556">
      <formula1>UnidadesList</formula1>
    </dataValidation>
    <dataValidation type="decimal" operator="greaterThan" allowBlank="1" showInputMessage="1" showErrorMessage="1" sqref="D3556">
      <formula1>0</formula1>
    </dataValidation>
    <dataValidation type="decimal" operator="greaterThan" allowBlank="1" showInputMessage="1" showErrorMessage="1" sqref="E3556">
      <formula1>0</formula1>
    </dataValidation>
    <dataValidation type="whole" operator="greaterThan" allowBlank="1" showInputMessage="1" showErrorMessage="1" sqref="A3557">
      <formula1>0</formula1>
    </dataValidation>
    <dataValidation type="list" allowBlank="1" showInputMessage="1" showErrorMessage="1" sqref="C3557">
      <formula1>UnidadesList</formula1>
    </dataValidation>
    <dataValidation type="decimal" operator="greaterThan" allowBlank="1" showInputMessage="1" showErrorMessage="1" sqref="D3557">
      <formula1>0</formula1>
    </dataValidation>
    <dataValidation type="decimal" operator="greaterThan" allowBlank="1" showInputMessage="1" showErrorMessage="1" sqref="E3557">
      <formula1>0</formula1>
    </dataValidation>
    <dataValidation type="whole" operator="greaterThan" allowBlank="1" showInputMessage="1" showErrorMessage="1" sqref="A3558">
      <formula1>0</formula1>
    </dataValidation>
    <dataValidation type="list" allowBlank="1" showInputMessage="1" showErrorMessage="1" sqref="C3558">
      <formula1>UnidadesList</formula1>
    </dataValidation>
    <dataValidation type="decimal" operator="greaterThan" allowBlank="1" showInputMessage="1" showErrorMessage="1" sqref="D3558">
      <formula1>0</formula1>
    </dataValidation>
    <dataValidation type="decimal" operator="greaterThan" allowBlank="1" showInputMessage="1" showErrorMessage="1" sqref="E3558">
      <formula1>0</formula1>
    </dataValidation>
    <dataValidation type="whole" operator="greaterThan" allowBlank="1" showInputMessage="1" showErrorMessage="1" sqref="A3559">
      <formula1>0</formula1>
    </dataValidation>
    <dataValidation type="list" allowBlank="1" showInputMessage="1" showErrorMessage="1" sqref="C3559">
      <formula1>UnidadesList</formula1>
    </dataValidation>
    <dataValidation type="decimal" operator="greaterThan" allowBlank="1" showInputMessage="1" showErrorMessage="1" sqref="D3559">
      <formula1>0</formula1>
    </dataValidation>
    <dataValidation type="decimal" operator="greaterThan" allowBlank="1" showInputMessage="1" showErrorMessage="1" sqref="E3559">
      <formula1>0</formula1>
    </dataValidation>
    <dataValidation type="date" operator="lessThanOrEqual" allowBlank="1" showInputMessage="1" showErrorMessage="1" sqref="C3564">
      <formula1>C3566</formula1>
    </dataValidation>
    <dataValidation type="date" operator="greaterThanOrEqual" allowBlank="1" showInputMessage="1" showErrorMessage="1" sqref="C3566">
      <formula1>C3564</formula1>
    </dataValidation>
    <dataValidation type="list" allowBlank="1" showInputMessage="1" showErrorMessage="1" sqref="F35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5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5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5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570">
      <formula1>0</formula1>
    </dataValidation>
    <dataValidation type="list" allowBlank="1" showInputMessage="1" showErrorMessage="1" sqref="C3570">
      <formula1>UnidadesList</formula1>
    </dataValidation>
    <dataValidation type="decimal" operator="greaterThan" allowBlank="1" showInputMessage="1" showErrorMessage="1" sqref="D3570">
      <formula1>0</formula1>
    </dataValidation>
    <dataValidation type="decimal" operator="greaterThan" allowBlank="1" showInputMessage="1" showErrorMessage="1" sqref="E3570">
      <formula1>0</formula1>
    </dataValidation>
    <dataValidation type="whole" operator="greaterThan" allowBlank="1" showInputMessage="1" showErrorMessage="1" sqref="A3571">
      <formula1>0</formula1>
    </dataValidation>
    <dataValidation type="list" allowBlank="1" showInputMessage="1" showErrorMessage="1" sqref="C3571">
      <formula1>UnidadesList</formula1>
    </dataValidation>
    <dataValidation type="decimal" operator="greaterThan" allowBlank="1" showInputMessage="1" showErrorMessage="1" sqref="D3571">
      <formula1>0</formula1>
    </dataValidation>
    <dataValidation type="decimal" operator="greaterThan" allowBlank="1" showInputMessage="1" showErrorMessage="1" sqref="E3571">
      <formula1>0</formula1>
    </dataValidation>
    <dataValidation type="whole" operator="greaterThan" allowBlank="1" showInputMessage="1" showErrorMessage="1" sqref="A3572">
      <formula1>0</formula1>
    </dataValidation>
    <dataValidation type="list" allowBlank="1" showInputMessage="1" showErrorMessage="1" sqref="C3572">
      <formula1>UnidadesList</formula1>
    </dataValidation>
    <dataValidation type="decimal" operator="greaterThan" allowBlank="1" showInputMessage="1" showErrorMessage="1" sqref="D3572">
      <formula1>0</formula1>
    </dataValidation>
    <dataValidation type="decimal" operator="greaterThan" allowBlank="1" showInputMessage="1" showErrorMessage="1" sqref="E3572">
      <formula1>0</formula1>
    </dataValidation>
    <dataValidation type="whole" operator="greaterThan" allowBlank="1" showInputMessage="1" showErrorMessage="1" sqref="A3573">
      <formula1>0</formula1>
    </dataValidation>
    <dataValidation type="list" allowBlank="1" showInputMessage="1" showErrorMessage="1" sqref="C3573">
      <formula1>UnidadesList</formula1>
    </dataValidation>
    <dataValidation type="decimal" operator="greaterThan" allowBlank="1" showInputMessage="1" showErrorMessage="1" sqref="D3573">
      <formula1>0</formula1>
    </dataValidation>
    <dataValidation type="decimal" operator="greaterThan" allowBlank="1" showInputMessage="1" showErrorMessage="1" sqref="E3573">
      <formula1>0</formula1>
    </dataValidation>
    <dataValidation type="whole" operator="greaterThan" allowBlank="1" showInputMessage="1" showErrorMessage="1" sqref="A3574">
      <formula1>0</formula1>
    </dataValidation>
    <dataValidation type="list" allowBlank="1" showInputMessage="1" showErrorMessage="1" sqref="C3574">
      <formula1>UnidadesList</formula1>
    </dataValidation>
    <dataValidation type="decimal" operator="greaterThan" allowBlank="1" showInputMessage="1" showErrorMessage="1" sqref="D3574">
      <formula1>0</formula1>
    </dataValidation>
    <dataValidation type="decimal" operator="greaterThan" allowBlank="1" showInputMessage="1" showErrorMessage="1" sqref="E3574">
      <formula1>0</formula1>
    </dataValidation>
    <dataValidation type="whole" operator="greaterThan" allowBlank="1" showInputMessage="1" showErrorMessage="1" sqref="A3575">
      <formula1>0</formula1>
    </dataValidation>
    <dataValidation type="list" allowBlank="1" showInputMessage="1" showErrorMessage="1" sqref="C3575">
      <formula1>UnidadesList</formula1>
    </dataValidation>
    <dataValidation type="decimal" operator="greaterThan" allowBlank="1" showInputMessage="1" showErrorMessage="1" sqref="D3575">
      <formula1>0</formula1>
    </dataValidation>
    <dataValidation type="decimal" operator="greaterThan" allowBlank="1" showInputMessage="1" showErrorMessage="1" sqref="E3575">
      <formula1>0</formula1>
    </dataValidation>
    <dataValidation type="whole" operator="greaterThan" allowBlank="1" showInputMessage="1" showErrorMessage="1" sqref="A3576">
      <formula1>0</formula1>
    </dataValidation>
    <dataValidation type="list" allowBlank="1" showInputMessage="1" showErrorMessage="1" sqref="C3576">
      <formula1>UnidadesList</formula1>
    </dataValidation>
    <dataValidation type="decimal" operator="greaterThan" allowBlank="1" showInputMessage="1" showErrorMessage="1" sqref="D3576">
      <formula1>0</formula1>
    </dataValidation>
    <dataValidation type="decimal" operator="greaterThan" allowBlank="1" showInputMessage="1" showErrorMessage="1" sqref="E3576">
      <formula1>0</formula1>
    </dataValidation>
    <dataValidation type="whole" operator="greaterThan" allowBlank="1" showInputMessage="1" showErrorMessage="1" sqref="A3577">
      <formula1>0</formula1>
    </dataValidation>
    <dataValidation type="list" allowBlank="1" showInputMessage="1" showErrorMessage="1" sqref="C3577">
      <formula1>UnidadesList</formula1>
    </dataValidation>
    <dataValidation type="decimal" operator="greaterThan" allowBlank="1" showInputMessage="1" showErrorMessage="1" sqref="D3577">
      <formula1>0</formula1>
    </dataValidation>
    <dataValidation type="decimal" operator="greaterThan" allowBlank="1" showInputMessage="1" showErrorMessage="1" sqref="E3577">
      <formula1>0</formula1>
    </dataValidation>
    <dataValidation type="whole" operator="greaterThan" allowBlank="1" showInputMessage="1" showErrorMessage="1" sqref="A3578">
      <formula1>0</formula1>
    </dataValidation>
    <dataValidation type="list" allowBlank="1" showInputMessage="1" showErrorMessage="1" sqref="C3578">
      <formula1>UnidadesList</formula1>
    </dataValidation>
    <dataValidation type="decimal" operator="greaterThan" allowBlank="1" showInputMessage="1" showErrorMessage="1" sqref="D3578">
      <formula1>0</formula1>
    </dataValidation>
    <dataValidation type="decimal" operator="greaterThan" allowBlank="1" showInputMessage="1" showErrorMessage="1" sqref="E3578">
      <formula1>0</formula1>
    </dataValidation>
    <dataValidation type="whole" operator="greaterThan" allowBlank="1" showInputMessage="1" showErrorMessage="1" sqref="A3579">
      <formula1>0</formula1>
    </dataValidation>
    <dataValidation type="list" allowBlank="1" showInputMessage="1" showErrorMessage="1" sqref="C3579">
      <formula1>UnidadesList</formula1>
    </dataValidation>
    <dataValidation type="decimal" operator="greaterThan" allowBlank="1" showInputMessage="1" showErrorMessage="1" sqref="D3579">
      <formula1>0</formula1>
    </dataValidation>
    <dataValidation type="decimal" operator="greaterThan" allowBlank="1" showInputMessage="1" showErrorMessage="1" sqref="E3579">
      <formula1>0</formula1>
    </dataValidation>
    <dataValidation type="whole" operator="greaterThan" allowBlank="1" showInputMessage="1" showErrorMessage="1" sqref="A3580">
      <formula1>0</formula1>
    </dataValidation>
    <dataValidation type="list" allowBlank="1" showInputMessage="1" showErrorMessage="1" sqref="C3580">
      <formula1>UnidadesList</formula1>
    </dataValidation>
    <dataValidation type="decimal" operator="greaterThan" allowBlank="1" showInputMessage="1" showErrorMessage="1" sqref="D3580">
      <formula1>0</formula1>
    </dataValidation>
    <dataValidation type="decimal" operator="greaterThan" allowBlank="1" showInputMessage="1" showErrorMessage="1" sqref="E3580">
      <formula1>0</formula1>
    </dataValidation>
    <dataValidation type="whole" operator="greaterThan" allowBlank="1" showInputMessage="1" showErrorMessage="1" sqref="A3581">
      <formula1>0</formula1>
    </dataValidation>
    <dataValidation type="list" allowBlank="1" showInputMessage="1" showErrorMessage="1" sqref="C3581">
      <formula1>UnidadesList</formula1>
    </dataValidation>
    <dataValidation type="decimal" operator="greaterThan" allowBlank="1" showInputMessage="1" showErrorMessage="1" sqref="D3581">
      <formula1>0</formula1>
    </dataValidation>
    <dataValidation type="decimal" operator="greaterThan" allowBlank="1" showInputMessage="1" showErrorMessage="1" sqref="E3581">
      <formula1>0</formula1>
    </dataValidation>
    <dataValidation type="whole" operator="greaterThan" allowBlank="1" showInputMessage="1" showErrorMessage="1" sqref="A3582">
      <formula1>0</formula1>
    </dataValidation>
    <dataValidation type="list" allowBlank="1" showInputMessage="1" showErrorMessage="1" sqref="C3582">
      <formula1>UnidadesList</formula1>
    </dataValidation>
    <dataValidation type="decimal" operator="greaterThan" allowBlank="1" showInputMessage="1" showErrorMessage="1" sqref="D3582">
      <formula1>0</formula1>
    </dataValidation>
    <dataValidation type="decimal" operator="greaterThan" allowBlank="1" showInputMessage="1" showErrorMessage="1" sqref="E3582">
      <formula1>0</formula1>
    </dataValidation>
    <dataValidation type="whole" operator="greaterThan" allowBlank="1" showInputMessage="1" showErrorMessage="1" sqref="A3583">
      <formula1>0</formula1>
    </dataValidation>
    <dataValidation type="list" allowBlank="1" showInputMessage="1" showErrorMessage="1" sqref="C3583">
      <formula1>UnidadesList</formula1>
    </dataValidation>
    <dataValidation type="decimal" operator="greaterThan" allowBlank="1" showInputMessage="1" showErrorMessage="1" sqref="D3583">
      <formula1>0</formula1>
    </dataValidation>
    <dataValidation type="decimal" operator="greaterThan" allowBlank="1" showInputMessage="1" showErrorMessage="1" sqref="E3583">
      <formula1>0</formula1>
    </dataValidation>
    <dataValidation type="whole" operator="greaterThan" allowBlank="1" showInputMessage="1" showErrorMessage="1" sqref="A3584">
      <formula1>0</formula1>
    </dataValidation>
    <dataValidation type="list" allowBlank="1" showInputMessage="1" showErrorMessage="1" sqref="C3584">
      <formula1>UnidadesList</formula1>
    </dataValidation>
    <dataValidation type="decimal" operator="greaterThan" allowBlank="1" showInputMessage="1" showErrorMessage="1" sqref="D3584">
      <formula1>0</formula1>
    </dataValidation>
    <dataValidation type="decimal" operator="greaterThan" allowBlank="1" showInputMessage="1" showErrorMessage="1" sqref="E3584">
      <formula1>0</formula1>
    </dataValidation>
    <dataValidation type="whole" operator="greaterThan" allowBlank="1" showInputMessage="1" showErrorMessage="1" sqref="A3585">
      <formula1>0</formula1>
    </dataValidation>
    <dataValidation type="list" allowBlank="1" showInputMessage="1" showErrorMessage="1" sqref="C3585">
      <formula1>UnidadesList</formula1>
    </dataValidation>
    <dataValidation type="decimal" operator="greaterThan" allowBlank="1" showInputMessage="1" showErrorMessage="1" sqref="D3585">
      <formula1>0</formula1>
    </dataValidation>
    <dataValidation type="decimal" operator="greaterThan" allowBlank="1" showInputMessage="1" showErrorMessage="1" sqref="E3585">
      <formula1>0</formula1>
    </dataValidation>
    <dataValidation type="whole" operator="greaterThan" allowBlank="1" showInputMessage="1" showErrorMessage="1" sqref="A3586">
      <formula1>0</formula1>
    </dataValidation>
    <dataValidation type="list" allowBlank="1" showInputMessage="1" showErrorMessage="1" sqref="C3586">
      <formula1>UnidadesList</formula1>
    </dataValidation>
    <dataValidation type="decimal" operator="greaterThan" allowBlank="1" showInputMessage="1" showErrorMessage="1" sqref="D3586">
      <formula1>0</formula1>
    </dataValidation>
    <dataValidation type="decimal" operator="greaterThan" allowBlank="1" showInputMessage="1" showErrorMessage="1" sqref="E3586">
      <formula1>0</formula1>
    </dataValidation>
    <dataValidation type="whole" operator="greaterThan" allowBlank="1" showInputMessage="1" showErrorMessage="1" sqref="A3587">
      <formula1>0</formula1>
    </dataValidation>
    <dataValidation type="list" allowBlank="1" showInputMessage="1" showErrorMessage="1" sqref="C3587">
      <formula1>UnidadesList</formula1>
    </dataValidation>
    <dataValidation type="decimal" operator="greaterThan" allowBlank="1" showInputMessage="1" showErrorMessage="1" sqref="D3587">
      <formula1>0</formula1>
    </dataValidation>
    <dataValidation type="decimal" operator="greaterThan" allowBlank="1" showInputMessage="1" showErrorMessage="1" sqref="E3587">
      <formula1>0</formula1>
    </dataValidation>
    <dataValidation type="date" operator="lessThanOrEqual" allowBlank="1" showInputMessage="1" showErrorMessage="1" sqref="C3592">
      <formula1>C3594</formula1>
    </dataValidation>
    <dataValidation type="date" operator="greaterThanOrEqual" allowBlank="1" showInputMessage="1" showErrorMessage="1" sqref="C3594">
      <formula1>C3592</formula1>
    </dataValidation>
    <dataValidation type="list" allowBlank="1" showInputMessage="1" showErrorMessage="1" sqref="F359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59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59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59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598">
      <formula1>0</formula1>
    </dataValidation>
    <dataValidation type="list" allowBlank="1" showInputMessage="1" showErrorMessage="1" sqref="C3598">
      <formula1>UnidadesList</formula1>
    </dataValidation>
    <dataValidation type="decimal" operator="greaterThan" allowBlank="1" showInputMessage="1" showErrorMessage="1" sqref="D3598">
      <formula1>0</formula1>
    </dataValidation>
    <dataValidation type="decimal" operator="greaterThan" allowBlank="1" showInputMessage="1" showErrorMessage="1" sqref="E3598">
      <formula1>0</formula1>
    </dataValidation>
    <dataValidation type="whole" operator="greaterThan" allowBlank="1" showInputMessage="1" showErrorMessage="1" sqref="A3599">
      <formula1>0</formula1>
    </dataValidation>
    <dataValidation type="list" allowBlank="1" showInputMessage="1" showErrorMessage="1" sqref="C3599">
      <formula1>UnidadesList</formula1>
    </dataValidation>
    <dataValidation type="decimal" operator="greaterThan" allowBlank="1" showInputMessage="1" showErrorMessage="1" sqref="D3599">
      <formula1>0</formula1>
    </dataValidation>
    <dataValidation type="decimal" operator="greaterThan" allowBlank="1" showInputMessage="1" showErrorMessage="1" sqref="E3599">
      <formula1>0</formula1>
    </dataValidation>
    <dataValidation type="whole" operator="greaterThan" allowBlank="1" showInputMessage="1" showErrorMessage="1" sqref="A3600">
      <formula1>0</formula1>
    </dataValidation>
    <dataValidation type="list" allowBlank="1" showInputMessage="1" showErrorMessage="1" sqref="C3600">
      <formula1>UnidadesList</formula1>
    </dataValidation>
    <dataValidation type="decimal" operator="greaterThan" allowBlank="1" showInputMessage="1" showErrorMessage="1" sqref="D3600">
      <formula1>0</formula1>
    </dataValidation>
    <dataValidation type="decimal" operator="greaterThan" allowBlank="1" showInputMessage="1" showErrorMessage="1" sqref="E3600">
      <formula1>0</formula1>
    </dataValidation>
    <dataValidation type="whole" operator="greaterThan" allowBlank="1" showInputMessage="1" showErrorMessage="1" sqref="A3601">
      <formula1>0</formula1>
    </dataValidation>
    <dataValidation type="list" allowBlank="1" showInputMessage="1" showErrorMessage="1" sqref="C3601">
      <formula1>UnidadesList</formula1>
    </dataValidation>
    <dataValidation type="decimal" operator="greaterThan" allowBlank="1" showInputMessage="1" showErrorMessage="1" sqref="D3601">
      <formula1>0</formula1>
    </dataValidation>
    <dataValidation type="decimal" operator="greaterThan" allowBlank="1" showInputMessage="1" showErrorMessage="1" sqref="E3601">
      <formula1>0</formula1>
    </dataValidation>
    <dataValidation type="whole" operator="greaterThan" allowBlank="1" showInputMessage="1" showErrorMessage="1" sqref="A3602">
      <formula1>0</formula1>
    </dataValidation>
    <dataValidation type="list" allowBlank="1" showInputMessage="1" showErrorMessage="1" sqref="C3602">
      <formula1>UnidadesList</formula1>
    </dataValidation>
    <dataValidation type="decimal" operator="greaterThan" allowBlank="1" showInputMessage="1" showErrorMessage="1" sqref="D3602">
      <formula1>0</formula1>
    </dataValidation>
    <dataValidation type="decimal" operator="greaterThan" allowBlank="1" showInputMessage="1" showErrorMessage="1" sqref="E3602">
      <formula1>0</formula1>
    </dataValidation>
    <dataValidation type="whole" operator="greaterThan" allowBlank="1" showInputMessage="1" showErrorMessage="1" sqref="A3603">
      <formula1>0</formula1>
    </dataValidation>
    <dataValidation type="list" allowBlank="1" showInputMessage="1" showErrorMessage="1" sqref="C3603">
      <formula1>UnidadesList</formula1>
    </dataValidation>
    <dataValidation type="decimal" operator="greaterThan" allowBlank="1" showInputMessage="1" showErrorMessage="1" sqref="D3603">
      <formula1>0</formula1>
    </dataValidation>
    <dataValidation type="decimal" operator="greaterThan" allowBlank="1" showInputMessage="1" showErrorMessage="1" sqref="E3603">
      <formula1>0</formula1>
    </dataValidation>
    <dataValidation type="whole" operator="greaterThan" allowBlank="1" showInputMessage="1" showErrorMessage="1" sqref="A3604">
      <formula1>0</formula1>
    </dataValidation>
    <dataValidation type="list" allowBlank="1" showInputMessage="1" showErrorMessage="1" sqref="C3604">
      <formula1>UnidadesList</formula1>
    </dataValidation>
    <dataValidation type="decimal" operator="greaterThan" allowBlank="1" showInputMessage="1" showErrorMessage="1" sqref="D3604">
      <formula1>0</formula1>
    </dataValidation>
    <dataValidation type="decimal" operator="greaterThan" allowBlank="1" showInputMessage="1" showErrorMessage="1" sqref="E3604">
      <formula1>0</formula1>
    </dataValidation>
    <dataValidation type="whole" operator="greaterThan" allowBlank="1" showInputMessage="1" showErrorMessage="1" sqref="A3605">
      <formula1>0</formula1>
    </dataValidation>
    <dataValidation type="list" allowBlank="1" showInputMessage="1" showErrorMessage="1" sqref="C3605">
      <formula1>UnidadesList</formula1>
    </dataValidation>
    <dataValidation type="decimal" operator="greaterThan" allowBlank="1" showInputMessage="1" showErrorMessage="1" sqref="D3605">
      <formula1>0</formula1>
    </dataValidation>
    <dataValidation type="decimal" operator="greaterThan" allowBlank="1" showInputMessage="1" showErrorMessage="1" sqref="E3605">
      <formula1>0</formula1>
    </dataValidation>
    <dataValidation type="whole" operator="greaterThan" allowBlank="1" showInputMessage="1" showErrorMessage="1" sqref="A3606">
      <formula1>0</formula1>
    </dataValidation>
    <dataValidation type="list" allowBlank="1" showInputMessage="1" showErrorMessage="1" sqref="C3606">
      <formula1>UnidadesList</formula1>
    </dataValidation>
    <dataValidation type="decimal" operator="greaterThan" allowBlank="1" showInputMessage="1" showErrorMessage="1" sqref="D3606">
      <formula1>0</formula1>
    </dataValidation>
    <dataValidation type="decimal" operator="greaterThan" allowBlank="1" showInputMessage="1" showErrorMessage="1" sqref="E3606">
      <formula1>0</formula1>
    </dataValidation>
    <dataValidation type="whole" operator="greaterThan" allowBlank="1" showInputMessage="1" showErrorMessage="1" sqref="A3607">
      <formula1>0</formula1>
    </dataValidation>
    <dataValidation type="list" allowBlank="1" showInputMessage="1" showErrorMessage="1" sqref="C3607">
      <formula1>UnidadesList</formula1>
    </dataValidation>
    <dataValidation type="decimal" operator="greaterThan" allowBlank="1" showInputMessage="1" showErrorMessage="1" sqref="D3607">
      <formula1>0</formula1>
    </dataValidation>
    <dataValidation type="decimal" operator="greaterThan" allowBlank="1" showInputMessage="1" showErrorMessage="1" sqref="E3607">
      <formula1>0</formula1>
    </dataValidation>
    <dataValidation type="whole" operator="greaterThan" allowBlank="1" showInputMessage="1" showErrorMessage="1" sqref="A3608">
      <formula1>0</formula1>
    </dataValidation>
    <dataValidation type="list" allowBlank="1" showInputMessage="1" showErrorMessage="1" sqref="C3608">
      <formula1>UnidadesList</formula1>
    </dataValidation>
    <dataValidation type="decimal" operator="greaterThan" allowBlank="1" showInputMessage="1" showErrorMessage="1" sqref="D3608">
      <formula1>0</formula1>
    </dataValidation>
    <dataValidation type="decimal" operator="greaterThan" allowBlank="1" showInputMessage="1" showErrorMessage="1" sqref="E3608">
      <formula1>0</formula1>
    </dataValidation>
    <dataValidation type="whole" operator="greaterThan" allowBlank="1" showInputMessage="1" showErrorMessage="1" sqref="A3609">
      <formula1>0</formula1>
    </dataValidation>
    <dataValidation type="list" allowBlank="1" showInputMessage="1" showErrorMessage="1" sqref="C3609">
      <formula1>UnidadesList</formula1>
    </dataValidation>
    <dataValidation type="decimal" operator="greaterThan" allowBlank="1" showInputMessage="1" showErrorMessage="1" sqref="D3609">
      <formula1>0</formula1>
    </dataValidation>
    <dataValidation type="decimal" operator="greaterThan" allowBlank="1" showInputMessage="1" showErrorMessage="1" sqref="E3609">
      <formula1>0</formula1>
    </dataValidation>
    <dataValidation type="whole" operator="greaterThan" allowBlank="1" showInputMessage="1" showErrorMessage="1" sqref="A3610">
      <formula1>0</formula1>
    </dataValidation>
    <dataValidation type="list" allowBlank="1" showInputMessage="1" showErrorMessage="1" sqref="C3610">
      <formula1>UnidadesList</formula1>
    </dataValidation>
    <dataValidation type="decimal" operator="greaterThan" allowBlank="1" showInputMessage="1" showErrorMessage="1" sqref="D3610">
      <formula1>0</formula1>
    </dataValidation>
    <dataValidation type="decimal" operator="greaterThan" allowBlank="1" showInputMessage="1" showErrorMessage="1" sqref="E3610">
      <formula1>0</formula1>
    </dataValidation>
    <dataValidation type="whole" operator="greaterThan" allowBlank="1" showInputMessage="1" showErrorMessage="1" sqref="A3611">
      <formula1>0</formula1>
    </dataValidation>
    <dataValidation type="list" allowBlank="1" showInputMessage="1" showErrorMessage="1" sqref="C3611">
      <formula1>UnidadesList</formula1>
    </dataValidation>
    <dataValidation type="decimal" operator="greaterThan" allowBlank="1" showInputMessage="1" showErrorMessage="1" sqref="D3611">
      <formula1>0</formula1>
    </dataValidation>
    <dataValidation type="decimal" operator="greaterThan" allowBlank="1" showInputMessage="1" showErrorMessage="1" sqref="E3611">
      <formula1>0</formula1>
    </dataValidation>
    <dataValidation type="whole" operator="greaterThan" allowBlank="1" showInputMessage="1" showErrorMessage="1" sqref="A3612">
      <formula1>0</formula1>
    </dataValidation>
    <dataValidation type="list" allowBlank="1" showInputMessage="1" showErrorMessage="1" sqref="C3612">
      <formula1>UnidadesList</formula1>
    </dataValidation>
    <dataValidation type="decimal" operator="greaterThan" allowBlank="1" showInputMessage="1" showErrorMessage="1" sqref="D3612">
      <formula1>0</formula1>
    </dataValidation>
    <dataValidation type="decimal" operator="greaterThan" allowBlank="1" showInputMessage="1" showErrorMessage="1" sqref="E3612">
      <formula1>0</formula1>
    </dataValidation>
    <dataValidation type="whole" operator="greaterThan" allowBlank="1" showInputMessage="1" showErrorMessage="1" sqref="A3613">
      <formula1>0</formula1>
    </dataValidation>
    <dataValidation type="list" allowBlank="1" showInputMessage="1" showErrorMessage="1" sqref="C3613">
      <formula1>UnidadesList</formula1>
    </dataValidation>
    <dataValidation type="decimal" operator="greaterThan" allowBlank="1" showInputMessage="1" showErrorMessage="1" sqref="D3613">
      <formula1>0</formula1>
    </dataValidation>
    <dataValidation type="decimal" operator="greaterThan" allowBlank="1" showInputMessage="1" showErrorMessage="1" sqref="E3613">
      <formula1>0</formula1>
    </dataValidation>
    <dataValidation type="whole" operator="greaterThan" allowBlank="1" showInputMessage="1" showErrorMessage="1" sqref="A3614">
      <formula1>0</formula1>
    </dataValidation>
    <dataValidation type="list" allowBlank="1" showInputMessage="1" showErrorMessage="1" sqref="C3614">
      <formula1>UnidadesList</formula1>
    </dataValidation>
    <dataValidation type="decimal" operator="greaterThan" allowBlank="1" showInputMessage="1" showErrorMessage="1" sqref="D3614">
      <formula1>0</formula1>
    </dataValidation>
    <dataValidation type="decimal" operator="greaterThan" allowBlank="1" showInputMessage="1" showErrorMessage="1" sqref="E3614">
      <formula1>0</formula1>
    </dataValidation>
    <dataValidation type="whole" operator="greaterThan" allowBlank="1" showInputMessage="1" showErrorMessage="1" sqref="A3615">
      <formula1>0</formula1>
    </dataValidation>
    <dataValidation type="list" allowBlank="1" showInputMessage="1" showErrorMessage="1" sqref="C3615">
      <formula1>UnidadesList</formula1>
    </dataValidation>
    <dataValidation type="decimal" operator="greaterThan" allowBlank="1" showInputMessage="1" showErrorMessage="1" sqref="D3615">
      <formula1>0</formula1>
    </dataValidation>
    <dataValidation type="decimal" operator="greaterThan" allowBlank="1" showInputMessage="1" showErrorMessage="1" sqref="E3615">
      <formula1>0</formula1>
    </dataValidation>
    <dataValidation type="whole" operator="greaterThan" allowBlank="1" showInputMessage="1" showErrorMessage="1" sqref="A3616">
      <formula1>0</formula1>
    </dataValidation>
    <dataValidation type="list" allowBlank="1" showInputMessage="1" showErrorMessage="1" sqref="C3616">
      <formula1>UnidadesList</formula1>
    </dataValidation>
    <dataValidation type="decimal" operator="greaterThan" allowBlank="1" showInputMessage="1" showErrorMessage="1" sqref="D3616">
      <formula1>0</formula1>
    </dataValidation>
    <dataValidation type="decimal" operator="greaterThan" allowBlank="1" showInputMessage="1" showErrorMessage="1" sqref="E3616">
      <formula1>0</formula1>
    </dataValidation>
    <dataValidation type="whole" operator="greaterThan" allowBlank="1" showInputMessage="1" showErrorMessage="1" sqref="A3617">
      <formula1>0</formula1>
    </dataValidation>
    <dataValidation type="list" allowBlank="1" showInputMessage="1" showErrorMessage="1" sqref="C3617">
      <formula1>UnidadesList</formula1>
    </dataValidation>
    <dataValidation type="decimal" operator="greaterThan" allowBlank="1" showInputMessage="1" showErrorMessage="1" sqref="D3617">
      <formula1>0</formula1>
    </dataValidation>
    <dataValidation type="decimal" operator="greaterThan" allowBlank="1" showInputMessage="1" showErrorMessage="1" sqref="E3617">
      <formula1>0</formula1>
    </dataValidation>
    <dataValidation type="whole" operator="greaterThan" allowBlank="1" showInputMessage="1" showErrorMessage="1" sqref="A3618">
      <formula1>0</formula1>
    </dataValidation>
    <dataValidation type="list" allowBlank="1" showInputMessage="1" showErrorMessage="1" sqref="C3618">
      <formula1>UnidadesList</formula1>
    </dataValidation>
    <dataValidation type="decimal" operator="greaterThan" allowBlank="1" showInputMessage="1" showErrorMessage="1" sqref="D3618">
      <formula1>0</formula1>
    </dataValidation>
    <dataValidation type="decimal" operator="greaterThan" allowBlank="1" showInputMessage="1" showErrorMessage="1" sqref="E3618">
      <formula1>0</formula1>
    </dataValidation>
    <dataValidation type="whole" operator="greaterThan" allowBlank="1" showInputMessage="1" showErrorMessage="1" sqref="A3619">
      <formula1>0</formula1>
    </dataValidation>
    <dataValidation type="list" allowBlank="1" showInputMessage="1" showErrorMessage="1" sqref="C3619">
      <formula1>UnidadesList</formula1>
    </dataValidation>
    <dataValidation type="decimal" operator="greaterThan" allowBlank="1" showInputMessage="1" showErrorMessage="1" sqref="D3619">
      <formula1>0</formula1>
    </dataValidation>
    <dataValidation type="decimal" operator="greaterThan" allowBlank="1" showInputMessage="1" showErrorMessage="1" sqref="E3619">
      <formula1>0</formula1>
    </dataValidation>
    <dataValidation type="whole" operator="greaterThan" allowBlank="1" showInputMessage="1" showErrorMessage="1" sqref="A3620">
      <formula1>0</formula1>
    </dataValidation>
    <dataValidation type="list" allowBlank="1" showInputMessage="1" showErrorMessage="1" sqref="C3620">
      <formula1>UnidadesList</formula1>
    </dataValidation>
    <dataValidation type="decimal" operator="greaterThan" allowBlank="1" showInputMessage="1" showErrorMessage="1" sqref="D3620">
      <formula1>0</formula1>
    </dataValidation>
    <dataValidation type="decimal" operator="greaterThan" allowBlank="1" showInputMessage="1" showErrorMessage="1" sqref="E3620">
      <formula1>0</formula1>
    </dataValidation>
    <dataValidation type="whole" operator="greaterThan" allowBlank="1" showInputMessage="1" showErrorMessage="1" sqref="A3621">
      <formula1>0</formula1>
    </dataValidation>
    <dataValidation type="list" allowBlank="1" showInputMessage="1" showErrorMessage="1" sqref="C3621">
      <formula1>UnidadesList</formula1>
    </dataValidation>
    <dataValidation type="decimal" operator="greaterThan" allowBlank="1" showInputMessage="1" showErrorMessage="1" sqref="D3621">
      <formula1>0</formula1>
    </dataValidation>
    <dataValidation type="decimal" operator="greaterThan" allowBlank="1" showInputMessage="1" showErrorMessage="1" sqref="E3621">
      <formula1>0</formula1>
    </dataValidation>
    <dataValidation type="whole" operator="greaterThan" allowBlank="1" showInputMessage="1" showErrorMessage="1" sqref="A3622">
      <formula1>0</formula1>
    </dataValidation>
    <dataValidation type="list" allowBlank="1" showInputMessage="1" showErrorMessage="1" sqref="C3622">
      <formula1>UnidadesList</formula1>
    </dataValidation>
    <dataValidation type="decimal" operator="greaterThan" allowBlank="1" showInputMessage="1" showErrorMessage="1" sqref="D3622">
      <formula1>0</formula1>
    </dataValidation>
    <dataValidation type="decimal" operator="greaterThan" allowBlank="1" showInputMessage="1" showErrorMessage="1" sqref="E3622">
      <formula1>0</formula1>
    </dataValidation>
    <dataValidation type="whole" operator="greaterThan" allowBlank="1" showInputMessage="1" showErrorMessage="1" sqref="A3623">
      <formula1>0</formula1>
    </dataValidation>
    <dataValidation type="list" allowBlank="1" showInputMessage="1" showErrorMessage="1" sqref="C3623">
      <formula1>UnidadesList</formula1>
    </dataValidation>
    <dataValidation type="decimal" operator="greaterThan" allowBlank="1" showInputMessage="1" showErrorMessage="1" sqref="D3623">
      <formula1>0</formula1>
    </dataValidation>
    <dataValidation type="decimal" operator="greaterThan" allowBlank="1" showInputMessage="1" showErrorMessage="1" sqref="E3623">
      <formula1>0</formula1>
    </dataValidation>
    <dataValidation type="whole" operator="greaterThan" allowBlank="1" showInputMessage="1" showErrorMessage="1" sqref="A3624">
      <formula1>0</formula1>
    </dataValidation>
    <dataValidation type="list" allowBlank="1" showInputMessage="1" showErrorMessage="1" sqref="C3624">
      <formula1>UnidadesList</formula1>
    </dataValidation>
    <dataValidation type="decimal" operator="greaterThan" allowBlank="1" showInputMessage="1" showErrorMessage="1" sqref="D3624">
      <formula1>0</formula1>
    </dataValidation>
    <dataValidation type="decimal" operator="greaterThan" allowBlank="1" showInputMessage="1" showErrorMessage="1" sqref="E3624">
      <formula1>0</formula1>
    </dataValidation>
    <dataValidation type="whole" operator="greaterThan" allowBlank="1" showInputMessage="1" showErrorMessage="1" sqref="A3625">
      <formula1>0</formula1>
    </dataValidation>
    <dataValidation type="list" allowBlank="1" showInputMessage="1" showErrorMessage="1" sqref="C3625">
      <formula1>UnidadesList</formula1>
    </dataValidation>
    <dataValidation type="decimal" operator="greaterThan" allowBlank="1" showInputMessage="1" showErrorMessage="1" sqref="D3625">
      <formula1>0</formula1>
    </dataValidation>
    <dataValidation type="decimal" operator="greaterThan" allowBlank="1" showInputMessage="1" showErrorMessage="1" sqref="E3625">
      <formula1>0</formula1>
    </dataValidation>
    <dataValidation type="whole" operator="greaterThan" allowBlank="1" showInputMessage="1" showErrorMessage="1" sqref="A3626">
      <formula1>0</formula1>
    </dataValidation>
    <dataValidation type="list" allowBlank="1" showInputMessage="1" showErrorMessage="1" sqref="C3626">
      <formula1>UnidadesList</formula1>
    </dataValidation>
    <dataValidation type="decimal" operator="greaterThan" allowBlank="1" showInputMessage="1" showErrorMessage="1" sqref="D3626">
      <formula1>0</formula1>
    </dataValidation>
    <dataValidation type="decimal" operator="greaterThan" allowBlank="1" showInputMessage="1" showErrorMessage="1" sqref="E3626">
      <formula1>0</formula1>
    </dataValidation>
    <dataValidation type="whole" operator="greaterThan" allowBlank="1" showInputMessage="1" showErrorMessage="1" sqref="A3627">
      <formula1>0</formula1>
    </dataValidation>
    <dataValidation type="list" allowBlank="1" showInputMessage="1" showErrorMessage="1" sqref="C3627">
      <formula1>UnidadesList</formula1>
    </dataValidation>
    <dataValidation type="decimal" operator="greaterThan" allowBlank="1" showInputMessage="1" showErrorMessage="1" sqref="D3627">
      <formula1>0</formula1>
    </dataValidation>
    <dataValidation type="decimal" operator="greaterThan" allowBlank="1" showInputMessage="1" showErrorMessage="1" sqref="E3627">
      <formula1>0</formula1>
    </dataValidation>
    <dataValidation type="whole" operator="greaterThan" allowBlank="1" showInputMessage="1" showErrorMessage="1" sqref="A3628">
      <formula1>0</formula1>
    </dataValidation>
    <dataValidation type="list" allowBlank="1" showInputMessage="1" showErrorMessage="1" sqref="C3628">
      <formula1>UnidadesList</formula1>
    </dataValidation>
    <dataValidation type="decimal" operator="greaterThan" allowBlank="1" showInputMessage="1" showErrorMessage="1" sqref="D3628">
      <formula1>0</formula1>
    </dataValidation>
    <dataValidation type="decimal" operator="greaterThan" allowBlank="1" showInputMessage="1" showErrorMessage="1" sqref="E3628">
      <formula1>0</formula1>
    </dataValidation>
    <dataValidation type="whole" operator="greaterThan" allowBlank="1" showInputMessage="1" showErrorMessage="1" sqref="A3629">
      <formula1>0</formula1>
    </dataValidation>
    <dataValidation type="list" allowBlank="1" showInputMessage="1" showErrorMessage="1" sqref="C3629">
      <formula1>UnidadesList</formula1>
    </dataValidation>
    <dataValidation type="decimal" operator="greaterThan" allowBlank="1" showInputMessage="1" showErrorMessage="1" sqref="D3629">
      <formula1>0</formula1>
    </dataValidation>
    <dataValidation type="decimal" operator="greaterThan" allowBlank="1" showInputMessage="1" showErrorMessage="1" sqref="E3629">
      <formula1>0</formula1>
    </dataValidation>
    <dataValidation type="whole" operator="greaterThan" allowBlank="1" showInputMessage="1" showErrorMessage="1" sqref="A3630">
      <formula1>0</formula1>
    </dataValidation>
    <dataValidation type="list" allowBlank="1" showInputMessage="1" showErrorMessage="1" sqref="C3630">
      <formula1>UnidadesList</formula1>
    </dataValidation>
    <dataValidation type="decimal" operator="greaterThan" allowBlank="1" showInputMessage="1" showErrorMessage="1" sqref="D3630">
      <formula1>0</formula1>
    </dataValidation>
    <dataValidation type="decimal" operator="greaterThan" allowBlank="1" showInputMessage="1" showErrorMessage="1" sqref="E3630">
      <formula1>0</formula1>
    </dataValidation>
    <dataValidation type="whole" operator="greaterThan" allowBlank="1" showInputMessage="1" showErrorMessage="1" sqref="A3631">
      <formula1>0</formula1>
    </dataValidation>
    <dataValidation type="list" allowBlank="1" showInputMessage="1" showErrorMessage="1" sqref="C3631">
      <formula1>UnidadesList</formula1>
    </dataValidation>
    <dataValidation type="decimal" operator="greaterThan" allowBlank="1" showInputMessage="1" showErrorMessage="1" sqref="D3631">
      <formula1>0</formula1>
    </dataValidation>
    <dataValidation type="decimal" operator="greaterThan" allowBlank="1" showInputMessage="1" showErrorMessage="1" sqref="E3631">
      <formula1>0</formula1>
    </dataValidation>
    <dataValidation type="whole" operator="greaterThan" allowBlank="1" showInputMessage="1" showErrorMessage="1" sqref="A3632">
      <formula1>0</formula1>
    </dataValidation>
    <dataValidation type="list" allowBlank="1" showInputMessage="1" showErrorMessage="1" sqref="C3632">
      <formula1>UnidadesList</formula1>
    </dataValidation>
    <dataValidation type="decimal" operator="greaterThan" allowBlank="1" showInputMessage="1" showErrorMessage="1" sqref="D3632">
      <formula1>0</formula1>
    </dataValidation>
    <dataValidation type="decimal" operator="greaterThan" allowBlank="1" showInputMessage="1" showErrorMessage="1" sqref="E3632">
      <formula1>0</formula1>
    </dataValidation>
    <dataValidation type="whole" operator="greaterThan" allowBlank="1" showInputMessage="1" showErrorMessage="1" sqref="A3633">
      <formula1>0</formula1>
    </dataValidation>
    <dataValidation type="list" allowBlank="1" showInputMessage="1" showErrorMessage="1" sqref="C3633">
      <formula1>UnidadesList</formula1>
    </dataValidation>
    <dataValidation type="decimal" operator="greaterThan" allowBlank="1" showInputMessage="1" showErrorMessage="1" sqref="D3633">
      <formula1>0</formula1>
    </dataValidation>
    <dataValidation type="decimal" operator="greaterThan" allowBlank="1" showInputMessage="1" showErrorMessage="1" sqref="E3633">
      <formula1>0</formula1>
    </dataValidation>
    <dataValidation type="whole" operator="greaterThan" allowBlank="1" showInputMessage="1" showErrorMessage="1" sqref="A3634">
      <formula1>0</formula1>
    </dataValidation>
    <dataValidation type="list" allowBlank="1" showInputMessage="1" showErrorMessage="1" sqref="C3634">
      <formula1>UnidadesList</formula1>
    </dataValidation>
    <dataValidation type="decimal" operator="greaterThan" allowBlank="1" showInputMessage="1" showErrorMessage="1" sqref="D3634">
      <formula1>0</formula1>
    </dataValidation>
    <dataValidation type="decimal" operator="greaterThan" allowBlank="1" showInputMessage="1" showErrorMessage="1" sqref="E3634">
      <formula1>0</formula1>
    </dataValidation>
    <dataValidation type="whole" operator="greaterThan" allowBlank="1" showInputMessage="1" showErrorMessage="1" sqref="A3635">
      <formula1>0</formula1>
    </dataValidation>
    <dataValidation type="list" allowBlank="1" showInputMessage="1" showErrorMessage="1" sqref="C3635">
      <formula1>UnidadesList</formula1>
    </dataValidation>
    <dataValidation type="decimal" operator="greaterThan" allowBlank="1" showInputMessage="1" showErrorMessage="1" sqref="D3635">
      <formula1>0</formula1>
    </dataValidation>
    <dataValidation type="decimal" operator="greaterThan" allowBlank="1" showInputMessage="1" showErrorMessage="1" sqref="E3635">
      <formula1>0</formula1>
    </dataValidation>
    <dataValidation type="whole" operator="greaterThan" allowBlank="1" showInputMessage="1" showErrorMessage="1" sqref="A3636">
      <formula1>0</formula1>
    </dataValidation>
    <dataValidation type="list" allowBlank="1" showInputMessage="1" showErrorMessage="1" sqref="C3636">
      <formula1>UnidadesList</formula1>
    </dataValidation>
    <dataValidation type="decimal" operator="greaterThan" allowBlank="1" showInputMessage="1" showErrorMessage="1" sqref="D3636">
      <formula1>0</formula1>
    </dataValidation>
    <dataValidation type="decimal" operator="greaterThan" allowBlank="1" showInputMessage="1" showErrorMessage="1" sqref="E3636">
      <formula1>0</formula1>
    </dataValidation>
    <dataValidation type="whole" operator="greaterThan" allowBlank="1" showInputMessage="1" showErrorMessage="1" sqref="A3637">
      <formula1>0</formula1>
    </dataValidation>
    <dataValidation type="list" allowBlank="1" showInputMessage="1" showErrorMessage="1" sqref="C3637">
      <formula1>UnidadesList</formula1>
    </dataValidation>
    <dataValidation type="decimal" operator="greaterThan" allowBlank="1" showInputMessage="1" showErrorMessage="1" sqref="D3637">
      <formula1>0</formula1>
    </dataValidation>
    <dataValidation type="decimal" operator="greaterThan" allowBlank="1" showInputMessage="1" showErrorMessage="1" sqref="E3637">
      <formula1>0</formula1>
    </dataValidation>
    <dataValidation type="whole" operator="greaterThan" allowBlank="1" showInputMessage="1" showErrorMessage="1" sqref="A3638">
      <formula1>0</formula1>
    </dataValidation>
    <dataValidation type="list" allowBlank="1" showInputMessage="1" showErrorMessage="1" sqref="C3638">
      <formula1>UnidadesList</formula1>
    </dataValidation>
    <dataValidation type="decimal" operator="greaterThan" allowBlank="1" showInputMessage="1" showErrorMessage="1" sqref="D3638">
      <formula1>0</formula1>
    </dataValidation>
    <dataValidation type="decimal" operator="greaterThan" allowBlank="1" showInputMessage="1" showErrorMessage="1" sqref="E3638">
      <formula1>0</formula1>
    </dataValidation>
    <dataValidation type="whole" operator="greaterThan" allowBlank="1" showInputMessage="1" showErrorMessage="1" sqref="A3639">
      <formula1>0</formula1>
    </dataValidation>
    <dataValidation type="list" allowBlank="1" showInputMessage="1" showErrorMessage="1" sqref="C3639">
      <formula1>UnidadesList</formula1>
    </dataValidation>
    <dataValidation type="decimal" operator="greaterThan" allowBlank="1" showInputMessage="1" showErrorMessage="1" sqref="D3639">
      <formula1>0</formula1>
    </dataValidation>
    <dataValidation type="decimal" operator="greaterThan" allowBlank="1" showInputMessage="1" showErrorMessage="1" sqref="E3639">
      <formula1>0</formula1>
    </dataValidation>
    <dataValidation type="date" operator="lessThanOrEqual" allowBlank="1" showInputMessage="1" showErrorMessage="1" sqref="C3644">
      <formula1>C3646</formula1>
    </dataValidation>
    <dataValidation type="date" operator="greaterThanOrEqual" allowBlank="1" showInputMessage="1" showErrorMessage="1" sqref="C3646">
      <formula1>C3644</formula1>
    </dataValidation>
    <dataValidation type="list" allowBlank="1" showInputMessage="1" showErrorMessage="1" sqref="F36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6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6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6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650">
      <formula1>0</formula1>
    </dataValidation>
    <dataValidation type="list" allowBlank="1" showInputMessage="1" showErrorMessage="1" sqref="C3650">
      <formula1>UnidadesList</formula1>
    </dataValidation>
    <dataValidation type="decimal" operator="greaterThan" allowBlank="1" showInputMessage="1" showErrorMessage="1" sqref="D3650">
      <formula1>0</formula1>
    </dataValidation>
    <dataValidation type="decimal" operator="greaterThan" allowBlank="1" showInputMessage="1" showErrorMessage="1" sqref="E3650">
      <formula1>0</formula1>
    </dataValidation>
    <dataValidation type="whole" operator="greaterThan" allowBlank="1" showInputMessage="1" showErrorMessage="1" sqref="A3651">
      <formula1>0</formula1>
    </dataValidation>
    <dataValidation type="list" allowBlank="1" showInputMessage="1" showErrorMessage="1" sqref="C3651">
      <formula1>UnidadesList</formula1>
    </dataValidation>
    <dataValidation type="decimal" operator="greaterThan" allowBlank="1" showInputMessage="1" showErrorMessage="1" sqref="D3651">
      <formula1>0</formula1>
    </dataValidation>
    <dataValidation type="decimal" operator="greaterThan" allowBlank="1" showInputMessage="1" showErrorMessage="1" sqref="E3651">
      <formula1>0</formula1>
    </dataValidation>
    <dataValidation type="whole" operator="greaterThan" allowBlank="1" showInputMessage="1" showErrorMessage="1" sqref="A3652">
      <formula1>0</formula1>
    </dataValidation>
    <dataValidation type="list" allowBlank="1" showInputMessage="1" showErrorMessage="1" sqref="C3652">
      <formula1>UnidadesList</formula1>
    </dataValidation>
    <dataValidation type="decimal" operator="greaterThan" allowBlank="1" showInputMessage="1" showErrorMessage="1" sqref="D3652">
      <formula1>0</formula1>
    </dataValidation>
    <dataValidation type="decimal" operator="greaterThan" allowBlank="1" showInputMessage="1" showErrorMessage="1" sqref="E3652">
      <formula1>0</formula1>
    </dataValidation>
    <dataValidation type="whole" operator="greaterThan" allowBlank="1" showInputMessage="1" showErrorMessage="1" sqref="A3653">
      <formula1>0</formula1>
    </dataValidation>
    <dataValidation type="list" allowBlank="1" showInputMessage="1" showErrorMessage="1" sqref="C3653">
      <formula1>UnidadesList</formula1>
    </dataValidation>
    <dataValidation type="decimal" operator="greaterThan" allowBlank="1" showInputMessage="1" showErrorMessage="1" sqref="D3653">
      <formula1>0</formula1>
    </dataValidation>
    <dataValidation type="decimal" operator="greaterThan" allowBlank="1" showInputMessage="1" showErrorMessage="1" sqref="E3653">
      <formula1>0</formula1>
    </dataValidation>
    <dataValidation type="whole" operator="greaterThan" allowBlank="1" showInputMessage="1" showErrorMessage="1" sqref="A3654">
      <formula1>0</formula1>
    </dataValidation>
    <dataValidation type="list" allowBlank="1" showInputMessage="1" showErrorMessage="1" sqref="C3654">
      <formula1>UnidadesList</formula1>
    </dataValidation>
    <dataValidation type="decimal" operator="greaterThan" allowBlank="1" showInputMessage="1" showErrorMessage="1" sqref="D3654">
      <formula1>0</formula1>
    </dataValidation>
    <dataValidation type="decimal" operator="greaterThan" allowBlank="1" showInputMessage="1" showErrorMessage="1" sqref="E3654">
      <formula1>0</formula1>
    </dataValidation>
    <dataValidation type="whole" operator="greaterThan" allowBlank="1" showInputMessage="1" showErrorMessage="1" sqref="A3655">
      <formula1>0</formula1>
    </dataValidation>
    <dataValidation type="list" allowBlank="1" showInputMessage="1" showErrorMessage="1" sqref="C3655">
      <formula1>UnidadesList</formula1>
    </dataValidation>
    <dataValidation type="decimal" operator="greaterThan" allowBlank="1" showInputMessage="1" showErrorMessage="1" sqref="D3655">
      <formula1>0</formula1>
    </dataValidation>
    <dataValidation type="decimal" operator="greaterThan" allowBlank="1" showInputMessage="1" showErrorMessage="1" sqref="E3655">
      <formula1>0</formula1>
    </dataValidation>
    <dataValidation type="whole" operator="greaterThan" allowBlank="1" showInputMessage="1" showErrorMessage="1" sqref="A3656">
      <formula1>0</formula1>
    </dataValidation>
    <dataValidation type="list" allowBlank="1" showInputMessage="1" showErrorMessage="1" sqref="C3656">
      <formula1>UnidadesList</formula1>
    </dataValidation>
    <dataValidation type="decimal" operator="greaterThan" allowBlank="1" showInputMessage="1" showErrorMessage="1" sqref="D3656">
      <formula1>0</formula1>
    </dataValidation>
    <dataValidation type="decimal" operator="greaterThan" allowBlank="1" showInputMessage="1" showErrorMessage="1" sqref="E3656">
      <formula1>0</formula1>
    </dataValidation>
    <dataValidation type="whole" operator="greaterThan" allowBlank="1" showInputMessage="1" showErrorMessage="1" sqref="A3657">
      <formula1>0</formula1>
    </dataValidation>
    <dataValidation type="list" allowBlank="1" showInputMessage="1" showErrorMessage="1" sqref="C3657">
      <formula1>UnidadesList</formula1>
    </dataValidation>
    <dataValidation type="decimal" operator="greaterThan" allowBlank="1" showInputMessage="1" showErrorMessage="1" sqref="D3657">
      <formula1>0</formula1>
    </dataValidation>
    <dataValidation type="decimal" operator="greaterThan" allowBlank="1" showInputMessage="1" showErrorMessage="1" sqref="E3657">
      <formula1>0</formula1>
    </dataValidation>
    <dataValidation type="whole" operator="greaterThan" allowBlank="1" showInputMessage="1" showErrorMessage="1" sqref="A3658">
      <formula1>0</formula1>
    </dataValidation>
    <dataValidation type="list" allowBlank="1" showInputMessage="1" showErrorMessage="1" sqref="C3658">
      <formula1>UnidadesList</formula1>
    </dataValidation>
    <dataValidation type="decimal" operator="greaterThan" allowBlank="1" showInputMessage="1" showErrorMessage="1" sqref="D3658">
      <formula1>0</formula1>
    </dataValidation>
    <dataValidation type="decimal" operator="greaterThan" allowBlank="1" showInputMessage="1" showErrorMessage="1" sqref="E3658">
      <formula1>0</formula1>
    </dataValidation>
    <dataValidation type="whole" operator="greaterThan" allowBlank="1" showInputMessage="1" showErrorMessage="1" sqref="A3659">
      <formula1>0</formula1>
    </dataValidation>
    <dataValidation type="list" allowBlank="1" showInputMessage="1" showErrorMessage="1" sqref="C3659">
      <formula1>UnidadesList</formula1>
    </dataValidation>
    <dataValidation type="decimal" operator="greaterThan" allowBlank="1" showInputMessage="1" showErrorMessage="1" sqref="D3659">
      <formula1>0</formula1>
    </dataValidation>
    <dataValidation type="decimal" operator="greaterThan" allowBlank="1" showInputMessage="1" showErrorMessage="1" sqref="E3659">
      <formula1>0</formula1>
    </dataValidation>
    <dataValidation type="whole" operator="greaterThan" allowBlank="1" showInputMessage="1" showErrorMessage="1" sqref="A3660">
      <formula1>0</formula1>
    </dataValidation>
    <dataValidation type="list" allowBlank="1" showInputMessage="1" showErrorMessage="1" sqref="C3660">
      <formula1>UnidadesList</formula1>
    </dataValidation>
    <dataValidation type="decimal" operator="greaterThan" allowBlank="1" showInputMessage="1" showErrorMessage="1" sqref="D3660">
      <formula1>0</formula1>
    </dataValidation>
    <dataValidation type="decimal" operator="greaterThan" allowBlank="1" showInputMessage="1" showErrorMessage="1" sqref="E3660">
      <formula1>0</formula1>
    </dataValidation>
    <dataValidation type="whole" operator="greaterThan" allowBlank="1" showInputMessage="1" showErrorMessage="1" sqref="A3661">
      <formula1>0</formula1>
    </dataValidation>
    <dataValidation type="list" allowBlank="1" showInputMessage="1" showErrorMessage="1" sqref="C3661">
      <formula1>UnidadesList</formula1>
    </dataValidation>
    <dataValidation type="decimal" operator="greaterThan" allowBlank="1" showInputMessage="1" showErrorMessage="1" sqref="D3661">
      <formula1>0</formula1>
    </dataValidation>
    <dataValidation type="decimal" operator="greaterThan" allowBlank="1" showInputMessage="1" showErrorMessage="1" sqref="E3661">
      <formula1>0</formula1>
    </dataValidation>
    <dataValidation type="whole" operator="greaterThan" allowBlank="1" showInputMessage="1" showErrorMessage="1" sqref="A3662">
      <formula1>0</formula1>
    </dataValidation>
    <dataValidation type="list" allowBlank="1" showInputMessage="1" showErrorMessage="1" sqref="C3662">
      <formula1>UnidadesList</formula1>
    </dataValidation>
    <dataValidation type="decimal" operator="greaterThan" allowBlank="1" showInputMessage="1" showErrorMessage="1" sqref="D3662">
      <formula1>0</formula1>
    </dataValidation>
    <dataValidation type="decimal" operator="greaterThan" allowBlank="1" showInputMessage="1" showErrorMessage="1" sqref="E3662">
      <formula1>0</formula1>
    </dataValidation>
    <dataValidation type="whole" operator="greaterThan" allowBlank="1" showInputMessage="1" showErrorMessage="1" sqref="A3663">
      <formula1>0</formula1>
    </dataValidation>
    <dataValidation type="list" allowBlank="1" showInputMessage="1" showErrorMessage="1" sqref="C3663">
      <formula1>UnidadesList</formula1>
    </dataValidation>
    <dataValidation type="decimal" operator="greaterThan" allowBlank="1" showInputMessage="1" showErrorMessage="1" sqref="D3663">
      <formula1>0</formula1>
    </dataValidation>
    <dataValidation type="decimal" operator="greaterThan" allowBlank="1" showInputMessage="1" showErrorMessage="1" sqref="E3663">
      <formula1>0</formula1>
    </dataValidation>
    <dataValidation type="whole" operator="greaterThan" allowBlank="1" showInputMessage="1" showErrorMessage="1" sqref="A3664">
      <formula1>0</formula1>
    </dataValidation>
    <dataValidation type="list" allowBlank="1" showInputMessage="1" showErrorMessage="1" sqref="C3664">
      <formula1>UnidadesList</formula1>
    </dataValidation>
    <dataValidation type="decimal" operator="greaterThan" allowBlank="1" showInputMessage="1" showErrorMessage="1" sqref="D3664">
      <formula1>0</formula1>
    </dataValidation>
    <dataValidation type="decimal" operator="greaterThan" allowBlank="1" showInputMessage="1" showErrorMessage="1" sqref="E3664">
      <formula1>0</formula1>
    </dataValidation>
    <dataValidation type="whole" operator="greaterThan" allowBlank="1" showInputMessage="1" showErrorMessage="1" sqref="A3665">
      <formula1>0</formula1>
    </dataValidation>
    <dataValidation type="list" allowBlank="1" showInputMessage="1" showErrorMessage="1" sqref="C3665">
      <formula1>UnidadesList</formula1>
    </dataValidation>
    <dataValidation type="decimal" operator="greaterThan" allowBlank="1" showInputMessage="1" showErrorMessage="1" sqref="D3665">
      <formula1>0</formula1>
    </dataValidation>
    <dataValidation type="decimal" operator="greaterThan" allowBlank="1" showInputMessage="1" showErrorMessage="1" sqref="E3665">
      <formula1>0</formula1>
    </dataValidation>
    <dataValidation type="whole" operator="greaterThan" allowBlank="1" showInputMessage="1" showErrorMessage="1" sqref="A3666">
      <formula1>0</formula1>
    </dataValidation>
    <dataValidation type="list" allowBlank="1" showInputMessage="1" showErrorMessage="1" sqref="C3666">
      <formula1>UnidadesList</formula1>
    </dataValidation>
    <dataValidation type="decimal" operator="greaterThan" allowBlank="1" showInputMessage="1" showErrorMessage="1" sqref="D3666">
      <formula1>0</formula1>
    </dataValidation>
    <dataValidation type="decimal" operator="greaterThan" allowBlank="1" showInputMessage="1" showErrorMessage="1" sqref="E3666">
      <formula1>0</formula1>
    </dataValidation>
    <dataValidation type="whole" operator="greaterThan" allowBlank="1" showInputMessage="1" showErrorMessage="1" sqref="A3667">
      <formula1>0</formula1>
    </dataValidation>
    <dataValidation type="list" allowBlank="1" showInputMessage="1" showErrorMessage="1" sqref="C3667">
      <formula1>UnidadesList</formula1>
    </dataValidation>
    <dataValidation type="decimal" operator="greaterThan" allowBlank="1" showInputMessage="1" showErrorMessage="1" sqref="D3667">
      <formula1>0</formula1>
    </dataValidation>
    <dataValidation type="decimal" operator="greaterThan" allowBlank="1" showInputMessage="1" showErrorMessage="1" sqref="E3667">
      <formula1>0</formula1>
    </dataValidation>
    <dataValidation type="whole" operator="greaterThan" allowBlank="1" showInputMessage="1" showErrorMessage="1" sqref="A3668">
      <formula1>0</formula1>
    </dataValidation>
    <dataValidation type="list" allowBlank="1" showInputMessage="1" showErrorMessage="1" sqref="C3668">
      <formula1>UnidadesList</formula1>
    </dataValidation>
    <dataValidation type="decimal" operator="greaterThan" allowBlank="1" showInputMessage="1" showErrorMessage="1" sqref="D3668">
      <formula1>0</formula1>
    </dataValidation>
    <dataValidation type="decimal" operator="greaterThan" allowBlank="1" showInputMessage="1" showErrorMessage="1" sqref="E3668">
      <formula1>0</formula1>
    </dataValidation>
    <dataValidation type="whole" operator="greaterThan" allowBlank="1" showInputMessage="1" showErrorMessage="1" sqref="A3669">
      <formula1>0</formula1>
    </dataValidation>
    <dataValidation type="list" allowBlank="1" showInputMessage="1" showErrorMessage="1" sqref="C3669">
      <formula1>UnidadesList</formula1>
    </dataValidation>
    <dataValidation type="decimal" operator="greaterThan" allowBlank="1" showInputMessage="1" showErrorMessage="1" sqref="D3669">
      <formula1>0</formula1>
    </dataValidation>
    <dataValidation type="decimal" operator="greaterThan" allowBlank="1" showInputMessage="1" showErrorMessage="1" sqref="E3669">
      <formula1>0</formula1>
    </dataValidation>
    <dataValidation type="whole" operator="greaterThan" allowBlank="1" showInputMessage="1" showErrorMessage="1" sqref="A3670">
      <formula1>0</formula1>
    </dataValidation>
    <dataValidation type="list" allowBlank="1" showInputMessage="1" showErrorMessage="1" sqref="C3670">
      <formula1>UnidadesList</formula1>
    </dataValidation>
    <dataValidation type="decimal" operator="greaterThan" allowBlank="1" showInputMessage="1" showErrorMessage="1" sqref="D3670">
      <formula1>0</formula1>
    </dataValidation>
    <dataValidation type="decimal" operator="greaterThan" allowBlank="1" showInputMessage="1" showErrorMessage="1" sqref="E3670">
      <formula1>0</formula1>
    </dataValidation>
    <dataValidation type="whole" operator="greaterThan" allowBlank="1" showInputMessage="1" showErrorMessage="1" sqref="A3671">
      <formula1>0</formula1>
    </dataValidation>
    <dataValidation type="list" allowBlank="1" showInputMessage="1" showErrorMessage="1" sqref="C3671">
      <formula1>UnidadesList</formula1>
    </dataValidation>
    <dataValidation type="decimal" operator="greaterThan" allowBlank="1" showInputMessage="1" showErrorMessage="1" sqref="D3671">
      <formula1>0</formula1>
    </dataValidation>
    <dataValidation type="decimal" operator="greaterThan" allowBlank="1" showInputMessage="1" showErrorMessage="1" sqref="E3671">
      <formula1>0</formula1>
    </dataValidation>
    <dataValidation type="whole" operator="greaterThan" allowBlank="1" showInputMessage="1" showErrorMessage="1" sqref="A3672">
      <formula1>0</formula1>
    </dataValidation>
    <dataValidation type="list" allowBlank="1" showInputMessage="1" showErrorMessage="1" sqref="C3672">
      <formula1>UnidadesList</formula1>
    </dataValidation>
    <dataValidation type="decimal" operator="greaterThan" allowBlank="1" showInputMessage="1" showErrorMessage="1" sqref="D3672">
      <formula1>0</formula1>
    </dataValidation>
    <dataValidation type="decimal" operator="greaterThan" allowBlank="1" showInputMessage="1" showErrorMessage="1" sqref="E3672">
      <formula1>0</formula1>
    </dataValidation>
    <dataValidation type="whole" operator="greaterThan" allowBlank="1" showInputMessage="1" showErrorMessage="1" sqref="A3673">
      <formula1>0</formula1>
    </dataValidation>
    <dataValidation type="list" allowBlank="1" showInputMessage="1" showErrorMessage="1" sqref="C3673">
      <formula1>UnidadesList</formula1>
    </dataValidation>
    <dataValidation type="decimal" operator="greaterThan" allowBlank="1" showInputMessage="1" showErrorMessage="1" sqref="D3673">
      <formula1>0</formula1>
    </dataValidation>
    <dataValidation type="decimal" operator="greaterThan" allowBlank="1" showInputMessage="1" showErrorMessage="1" sqref="E3673">
      <formula1>0</formula1>
    </dataValidation>
    <dataValidation type="whole" operator="greaterThan" allowBlank="1" showInputMessage="1" showErrorMessage="1" sqref="A3674">
      <formula1>0</formula1>
    </dataValidation>
    <dataValidation type="list" allowBlank="1" showInputMessage="1" showErrorMessage="1" sqref="C3674">
      <formula1>UnidadesList</formula1>
    </dataValidation>
    <dataValidation type="decimal" operator="greaterThan" allowBlank="1" showInputMessage="1" showErrorMessage="1" sqref="D3674">
      <formula1>0</formula1>
    </dataValidation>
    <dataValidation type="decimal" operator="greaterThan" allowBlank="1" showInputMessage="1" showErrorMessage="1" sqref="E3674">
      <formula1>0</formula1>
    </dataValidation>
    <dataValidation type="whole" operator="greaterThan" allowBlank="1" showInputMessage="1" showErrorMessage="1" sqref="A3675">
      <formula1>0</formula1>
    </dataValidation>
    <dataValidation type="list" allowBlank="1" showInputMessage="1" showErrorMessage="1" sqref="C3675">
      <formula1>UnidadesList</formula1>
    </dataValidation>
    <dataValidation type="decimal" operator="greaterThan" allowBlank="1" showInputMessage="1" showErrorMessage="1" sqref="D3675">
      <formula1>0</formula1>
    </dataValidation>
    <dataValidation type="decimal" operator="greaterThan" allowBlank="1" showInputMessage="1" showErrorMessage="1" sqref="E3675">
      <formula1>0</formula1>
    </dataValidation>
    <dataValidation type="whole" operator="greaterThan" allowBlank="1" showInputMessage="1" showErrorMessage="1" sqref="A3676">
      <formula1>0</formula1>
    </dataValidation>
    <dataValidation type="list" allowBlank="1" showInputMessage="1" showErrorMessage="1" sqref="C3676">
      <formula1>UnidadesList</formula1>
    </dataValidation>
    <dataValidation type="decimal" operator="greaterThan" allowBlank="1" showInputMessage="1" showErrorMessage="1" sqref="D3676">
      <formula1>0</formula1>
    </dataValidation>
    <dataValidation type="decimal" operator="greaterThan" allowBlank="1" showInputMessage="1" showErrorMessage="1" sqref="E3676">
      <formula1>0</formula1>
    </dataValidation>
    <dataValidation type="whole" operator="greaterThan" allowBlank="1" showInputMessage="1" showErrorMessage="1" sqref="A3677">
      <formula1>0</formula1>
    </dataValidation>
    <dataValidation type="list" allowBlank="1" showInputMessage="1" showErrorMessage="1" sqref="C3677">
      <formula1>UnidadesList</formula1>
    </dataValidation>
    <dataValidation type="decimal" operator="greaterThan" allowBlank="1" showInputMessage="1" showErrorMessage="1" sqref="D3677">
      <formula1>0</formula1>
    </dataValidation>
    <dataValidation type="decimal" operator="greaterThan" allowBlank="1" showInputMessage="1" showErrorMessage="1" sqref="E3677">
      <formula1>0</formula1>
    </dataValidation>
    <dataValidation type="whole" operator="greaterThan" allowBlank="1" showInputMessage="1" showErrorMessage="1" sqref="A3678">
      <formula1>0</formula1>
    </dataValidation>
    <dataValidation type="list" allowBlank="1" showInputMessage="1" showErrorMessage="1" sqref="C3678">
      <formula1>UnidadesList</formula1>
    </dataValidation>
    <dataValidation type="decimal" operator="greaterThan" allowBlank="1" showInputMessage="1" showErrorMessage="1" sqref="D3678">
      <formula1>0</formula1>
    </dataValidation>
    <dataValidation type="decimal" operator="greaterThan" allowBlank="1" showInputMessage="1" showErrorMessage="1" sqref="E3678">
      <formula1>0</formula1>
    </dataValidation>
    <dataValidation type="whole" operator="greaterThan" allowBlank="1" showInputMessage="1" showErrorMessage="1" sqref="A3679">
      <formula1>0</formula1>
    </dataValidation>
    <dataValidation type="list" allowBlank="1" showInputMessage="1" showErrorMessage="1" sqref="C3679">
      <formula1>UnidadesList</formula1>
    </dataValidation>
    <dataValidation type="decimal" operator="greaterThan" allowBlank="1" showInputMessage="1" showErrorMessage="1" sqref="D3679">
      <formula1>0</formula1>
    </dataValidation>
    <dataValidation type="decimal" operator="greaterThan" allowBlank="1" showInputMessage="1" showErrorMessage="1" sqref="E3679">
      <formula1>0</formula1>
    </dataValidation>
    <dataValidation type="whole" operator="greaterThan" allowBlank="1" showInputMessage="1" showErrorMessage="1" sqref="A3680">
      <formula1>0</formula1>
    </dataValidation>
    <dataValidation type="list" allowBlank="1" showInputMessage="1" showErrorMessage="1" sqref="C3680">
      <formula1>UnidadesList</formula1>
    </dataValidation>
    <dataValidation type="decimal" operator="greaterThan" allowBlank="1" showInputMessage="1" showErrorMessage="1" sqref="D3680">
      <formula1>0</formula1>
    </dataValidation>
    <dataValidation type="decimal" operator="greaterThan" allowBlank="1" showInputMessage="1" showErrorMessage="1" sqref="E3680">
      <formula1>0</formula1>
    </dataValidation>
    <dataValidation type="whole" operator="greaterThan" allowBlank="1" showInputMessage="1" showErrorMessage="1" sqref="A3681">
      <formula1>0</formula1>
    </dataValidation>
    <dataValidation type="list" allowBlank="1" showInputMessage="1" showErrorMessage="1" sqref="C3681">
      <formula1>UnidadesList</formula1>
    </dataValidation>
    <dataValidation type="decimal" operator="greaterThan" allowBlank="1" showInputMessage="1" showErrorMessage="1" sqref="D3681">
      <formula1>0</formula1>
    </dataValidation>
    <dataValidation type="decimal" operator="greaterThan" allowBlank="1" showInputMessage="1" showErrorMessage="1" sqref="E3681">
      <formula1>0</formula1>
    </dataValidation>
    <dataValidation type="whole" operator="greaterThan" allowBlank="1" showInputMessage="1" showErrorMessage="1" sqref="A3682">
      <formula1>0</formula1>
    </dataValidation>
    <dataValidation type="list" allowBlank="1" showInputMessage="1" showErrorMessage="1" sqref="C3682">
      <formula1>UnidadesList</formula1>
    </dataValidation>
    <dataValidation type="decimal" operator="greaterThan" allowBlank="1" showInputMessage="1" showErrorMessage="1" sqref="D3682">
      <formula1>0</formula1>
    </dataValidation>
    <dataValidation type="decimal" operator="greaterThan" allowBlank="1" showInputMessage="1" showErrorMessage="1" sqref="E3682">
      <formula1>0</formula1>
    </dataValidation>
    <dataValidation type="whole" operator="greaterThan" allowBlank="1" showInputMessage="1" showErrorMessage="1" sqref="A3683">
      <formula1>0</formula1>
    </dataValidation>
    <dataValidation type="list" allowBlank="1" showInputMessage="1" showErrorMessage="1" sqref="C3683">
      <formula1>UnidadesList</formula1>
    </dataValidation>
    <dataValidation type="decimal" operator="greaterThan" allowBlank="1" showInputMessage="1" showErrorMessage="1" sqref="D3683">
      <formula1>0</formula1>
    </dataValidation>
    <dataValidation type="decimal" operator="greaterThan" allowBlank="1" showInputMessage="1" showErrorMessage="1" sqref="E3683">
      <formula1>0</formula1>
    </dataValidation>
    <dataValidation type="whole" operator="greaterThan" allowBlank="1" showInputMessage="1" showErrorMessage="1" sqref="A3684">
      <formula1>0</formula1>
    </dataValidation>
    <dataValidation type="list" allowBlank="1" showInputMessage="1" showErrorMessage="1" sqref="C3684">
      <formula1>UnidadesList</formula1>
    </dataValidation>
    <dataValidation type="decimal" operator="greaterThan" allowBlank="1" showInputMessage="1" showErrorMessage="1" sqref="D3684">
      <formula1>0</formula1>
    </dataValidation>
    <dataValidation type="decimal" operator="greaterThan" allowBlank="1" showInputMessage="1" showErrorMessage="1" sqref="E3684">
      <formula1>0</formula1>
    </dataValidation>
    <dataValidation type="whole" operator="greaterThan" allowBlank="1" showInputMessage="1" showErrorMessage="1" sqref="A3685">
      <formula1>0</formula1>
    </dataValidation>
    <dataValidation type="list" allowBlank="1" showInputMessage="1" showErrorMessage="1" sqref="C3685">
      <formula1>UnidadesList</formula1>
    </dataValidation>
    <dataValidation type="decimal" operator="greaterThan" allowBlank="1" showInputMessage="1" showErrorMessage="1" sqref="D3685">
      <formula1>0</formula1>
    </dataValidation>
    <dataValidation type="decimal" operator="greaterThan" allowBlank="1" showInputMessage="1" showErrorMessage="1" sqref="E3685">
      <formula1>0</formula1>
    </dataValidation>
    <dataValidation type="whole" operator="greaterThan" allowBlank="1" showInputMessage="1" showErrorMessage="1" sqref="A3686">
      <formula1>0</formula1>
    </dataValidation>
    <dataValidation type="list" allowBlank="1" showInputMessage="1" showErrorMessage="1" sqref="C3686">
      <formula1>UnidadesList</formula1>
    </dataValidation>
    <dataValidation type="decimal" operator="greaterThan" allowBlank="1" showInputMessage="1" showErrorMessage="1" sqref="D3686">
      <formula1>0</formula1>
    </dataValidation>
    <dataValidation type="decimal" operator="greaterThan" allowBlank="1" showInputMessage="1" showErrorMessage="1" sqref="E3686">
      <formula1>0</formula1>
    </dataValidation>
    <dataValidation type="whole" operator="greaterThan" allowBlank="1" showInputMessage="1" showErrorMessage="1" sqref="A3687">
      <formula1>0</formula1>
    </dataValidation>
    <dataValidation type="list" allowBlank="1" showInputMessage="1" showErrorMessage="1" sqref="C3687">
      <formula1>UnidadesList</formula1>
    </dataValidation>
    <dataValidation type="decimal" operator="greaterThan" allowBlank="1" showInputMessage="1" showErrorMessage="1" sqref="D3687">
      <formula1>0</formula1>
    </dataValidation>
    <dataValidation type="decimal" operator="greaterThan" allowBlank="1" showInputMessage="1" showErrorMessage="1" sqref="E3687">
      <formula1>0</formula1>
    </dataValidation>
    <dataValidation type="whole" operator="greaterThan" allowBlank="1" showInputMessage="1" showErrorMessage="1" sqref="A3688">
      <formula1>0</formula1>
    </dataValidation>
    <dataValidation type="list" allowBlank="1" showInputMessage="1" showErrorMessage="1" sqref="C3688">
      <formula1>UnidadesList</formula1>
    </dataValidation>
    <dataValidation type="decimal" operator="greaterThan" allowBlank="1" showInputMessage="1" showErrorMessage="1" sqref="D3688">
      <formula1>0</formula1>
    </dataValidation>
    <dataValidation type="decimal" operator="greaterThan" allowBlank="1" showInputMessage="1" showErrorMessage="1" sqref="E3688">
      <formula1>0</formula1>
    </dataValidation>
    <dataValidation type="whole" operator="greaterThan" allowBlank="1" showInputMessage="1" showErrorMessage="1" sqref="A3689">
      <formula1>0</formula1>
    </dataValidation>
    <dataValidation type="list" allowBlank="1" showInputMessage="1" showErrorMessage="1" sqref="C3689">
      <formula1>UnidadesList</formula1>
    </dataValidation>
    <dataValidation type="decimal" operator="greaterThan" allowBlank="1" showInputMessage="1" showErrorMessage="1" sqref="D3689">
      <formula1>0</formula1>
    </dataValidation>
    <dataValidation type="decimal" operator="greaterThan" allowBlank="1" showInputMessage="1" showErrorMessage="1" sqref="E3689">
      <formula1>0</formula1>
    </dataValidation>
    <dataValidation type="whole" operator="greaterThan" allowBlank="1" showInputMessage="1" showErrorMessage="1" sqref="A3690">
      <formula1>0</formula1>
    </dataValidation>
    <dataValidation type="list" allowBlank="1" showInputMessage="1" showErrorMessage="1" sqref="C3690">
      <formula1>UnidadesList</formula1>
    </dataValidation>
    <dataValidation type="decimal" operator="greaterThan" allowBlank="1" showInputMessage="1" showErrorMessage="1" sqref="D3690">
      <formula1>0</formula1>
    </dataValidation>
    <dataValidation type="decimal" operator="greaterThan" allowBlank="1" showInputMessage="1" showErrorMessage="1" sqref="E3690">
      <formula1>0</formula1>
    </dataValidation>
    <dataValidation type="whole" operator="greaterThan" allowBlank="1" showInputMessage="1" showErrorMessage="1" sqref="A3691">
      <formula1>0</formula1>
    </dataValidation>
    <dataValidation type="list" allowBlank="1" showInputMessage="1" showErrorMessage="1" sqref="C3691">
      <formula1>UnidadesList</formula1>
    </dataValidation>
    <dataValidation type="decimal" operator="greaterThan" allowBlank="1" showInputMessage="1" showErrorMessage="1" sqref="D3691">
      <formula1>0</formula1>
    </dataValidation>
    <dataValidation type="decimal" operator="greaterThan" allowBlank="1" showInputMessage="1" showErrorMessage="1" sqref="E3691">
      <formula1>0</formula1>
    </dataValidation>
    <dataValidation type="whole" operator="greaterThan" allowBlank="1" showInputMessage="1" showErrorMessage="1" sqref="A3692">
      <formula1>0</formula1>
    </dataValidation>
    <dataValidation type="list" allowBlank="1" showInputMessage="1" showErrorMessage="1" sqref="C3692">
      <formula1>UnidadesList</formula1>
    </dataValidation>
    <dataValidation type="decimal" operator="greaterThan" allowBlank="1" showInputMessage="1" showErrorMessage="1" sqref="D3692">
      <formula1>0</formula1>
    </dataValidation>
    <dataValidation type="decimal" operator="greaterThan" allowBlank="1" showInputMessage="1" showErrorMessage="1" sqref="E3692">
      <formula1>0</formula1>
    </dataValidation>
    <dataValidation type="whole" operator="greaterThan" allowBlank="1" showInputMessage="1" showErrorMessage="1" sqref="A3693">
      <formula1>0</formula1>
    </dataValidation>
    <dataValidation type="list" allowBlank="1" showInputMessage="1" showErrorMessage="1" sqref="C3693">
      <formula1>UnidadesList</formula1>
    </dataValidation>
    <dataValidation type="decimal" operator="greaterThan" allowBlank="1" showInputMessage="1" showErrorMessage="1" sqref="D3693">
      <formula1>0</formula1>
    </dataValidation>
    <dataValidation type="decimal" operator="greaterThan" allowBlank="1" showInputMessage="1" showErrorMessage="1" sqref="E3693">
      <formula1>0</formula1>
    </dataValidation>
    <dataValidation type="whole" operator="greaterThan" allowBlank="1" showInputMessage="1" showErrorMessage="1" sqref="A3694">
      <formula1>0</formula1>
    </dataValidation>
    <dataValidation type="list" allowBlank="1" showInputMessage="1" showErrorMessage="1" sqref="C3694">
      <formula1>UnidadesList</formula1>
    </dataValidation>
    <dataValidation type="decimal" operator="greaterThan" allowBlank="1" showInputMessage="1" showErrorMessage="1" sqref="D3694">
      <formula1>0</formula1>
    </dataValidation>
    <dataValidation type="decimal" operator="greaterThan" allowBlank="1" showInputMessage="1" showErrorMessage="1" sqref="E3694">
      <formula1>0</formula1>
    </dataValidation>
    <dataValidation type="whole" operator="greaterThan" allowBlank="1" showInputMessage="1" showErrorMessage="1" sqref="A3695">
      <formula1>0</formula1>
    </dataValidation>
    <dataValidation type="list" allowBlank="1" showInputMessage="1" showErrorMessage="1" sqref="C3695">
      <formula1>UnidadesList</formula1>
    </dataValidation>
    <dataValidation type="decimal" operator="greaterThan" allowBlank="1" showInputMessage="1" showErrorMessage="1" sqref="D3695">
      <formula1>0</formula1>
    </dataValidation>
    <dataValidation type="decimal" operator="greaterThan" allowBlank="1" showInputMessage="1" showErrorMessage="1" sqref="E3695">
      <formula1>0</formula1>
    </dataValidation>
    <dataValidation type="whole" operator="greaterThan" allowBlank="1" showInputMessage="1" showErrorMessage="1" sqref="A3696">
      <formula1>0</formula1>
    </dataValidation>
    <dataValidation type="list" allowBlank="1" showInputMessage="1" showErrorMessage="1" sqref="C3696">
      <formula1>UnidadesList</formula1>
    </dataValidation>
    <dataValidation type="decimal" operator="greaterThan" allowBlank="1" showInputMessage="1" showErrorMessage="1" sqref="D3696">
      <formula1>0</formula1>
    </dataValidation>
    <dataValidation type="decimal" operator="greaterThan" allowBlank="1" showInputMessage="1" showErrorMessage="1" sqref="E3696">
      <formula1>0</formula1>
    </dataValidation>
    <dataValidation type="whole" operator="greaterThan" allowBlank="1" showInputMessage="1" showErrorMessage="1" sqref="A3697">
      <formula1>0</formula1>
    </dataValidation>
    <dataValidation type="list" allowBlank="1" showInputMessage="1" showErrorMessage="1" sqref="C3697">
      <formula1>UnidadesList</formula1>
    </dataValidation>
    <dataValidation type="decimal" operator="greaterThan" allowBlank="1" showInputMessage="1" showErrorMessage="1" sqref="D3697">
      <formula1>0</formula1>
    </dataValidation>
    <dataValidation type="decimal" operator="greaterThan" allowBlank="1" showInputMessage="1" showErrorMessage="1" sqref="E3697">
      <formula1>0</formula1>
    </dataValidation>
    <dataValidation type="whole" operator="greaterThan" allowBlank="1" showInputMessage="1" showErrorMessage="1" sqref="A3698">
      <formula1>0</formula1>
    </dataValidation>
    <dataValidation type="list" allowBlank="1" showInputMessage="1" showErrorMessage="1" sqref="C3698">
      <formula1>UnidadesList</formula1>
    </dataValidation>
    <dataValidation type="decimal" operator="greaterThan" allowBlank="1" showInputMessage="1" showErrorMessage="1" sqref="D3698">
      <formula1>0</formula1>
    </dataValidation>
    <dataValidation type="decimal" operator="greaterThan" allowBlank="1" showInputMessage="1" showErrorMessage="1" sqref="E3698">
      <formula1>0</formula1>
    </dataValidation>
    <dataValidation type="whole" operator="greaterThan" allowBlank="1" showInputMessage="1" showErrorMessage="1" sqref="A3699">
      <formula1>0</formula1>
    </dataValidation>
    <dataValidation type="list" allowBlank="1" showInputMessage="1" showErrorMessage="1" sqref="C3699">
      <formula1>UnidadesList</formula1>
    </dataValidation>
    <dataValidation type="decimal" operator="greaterThan" allowBlank="1" showInputMessage="1" showErrorMessage="1" sqref="D3699">
      <formula1>0</formula1>
    </dataValidation>
    <dataValidation type="decimal" operator="greaterThan" allowBlank="1" showInputMessage="1" showErrorMessage="1" sqref="E3699">
      <formula1>0</formula1>
    </dataValidation>
    <dataValidation type="whole" operator="greaterThan" allowBlank="1" showInputMessage="1" showErrorMessage="1" sqref="A3700">
      <formula1>0</formula1>
    </dataValidation>
    <dataValidation type="list" allowBlank="1" showInputMessage="1" showErrorMessage="1" sqref="C3700">
      <formula1>UnidadesList</formula1>
    </dataValidation>
    <dataValidation type="decimal" operator="greaterThan" allowBlank="1" showInputMessage="1" showErrorMessage="1" sqref="D3700">
      <formula1>0</formula1>
    </dataValidation>
    <dataValidation type="decimal" operator="greaterThan" allowBlank="1" showInputMessage="1" showErrorMessage="1" sqref="E3700">
      <formula1>0</formula1>
    </dataValidation>
    <dataValidation type="whole" operator="greaterThan" allowBlank="1" showInputMessage="1" showErrorMessage="1" sqref="A3701">
      <formula1>0</formula1>
    </dataValidation>
    <dataValidation type="list" allowBlank="1" showInputMessage="1" showErrorMessage="1" sqref="C3701">
      <formula1>UnidadesList</formula1>
    </dataValidation>
    <dataValidation type="decimal" operator="greaterThan" allowBlank="1" showInputMessage="1" showErrorMessage="1" sqref="D3701">
      <formula1>0</formula1>
    </dataValidation>
    <dataValidation type="decimal" operator="greaterThan" allowBlank="1" showInputMessage="1" showErrorMessage="1" sqref="E3701">
      <formula1>0</formula1>
    </dataValidation>
    <dataValidation type="whole" operator="greaterThan" allowBlank="1" showInputMessage="1" showErrorMessage="1" sqref="A3702">
      <formula1>0</formula1>
    </dataValidation>
    <dataValidation type="list" allowBlank="1" showInputMessage="1" showErrorMessage="1" sqref="C3702">
      <formula1>UnidadesList</formula1>
    </dataValidation>
    <dataValidation type="decimal" operator="greaterThan" allowBlank="1" showInputMessage="1" showErrorMessage="1" sqref="D3702">
      <formula1>0</formula1>
    </dataValidation>
    <dataValidation type="decimal" operator="greaterThan" allowBlank="1" showInputMessage="1" showErrorMessage="1" sqref="E3702">
      <formula1>0</formula1>
    </dataValidation>
    <dataValidation type="whole" operator="greaterThan" allowBlank="1" showInputMessage="1" showErrorMessage="1" sqref="A3703">
      <formula1>0</formula1>
    </dataValidation>
    <dataValidation type="list" allowBlank="1" showInputMessage="1" showErrorMessage="1" sqref="C3703">
      <formula1>UnidadesList</formula1>
    </dataValidation>
    <dataValidation type="decimal" operator="greaterThan" allowBlank="1" showInputMessage="1" showErrorMessage="1" sqref="D3703">
      <formula1>0</formula1>
    </dataValidation>
    <dataValidation type="decimal" operator="greaterThan" allowBlank="1" showInputMessage="1" showErrorMessage="1" sqref="E3703">
      <formula1>0</formula1>
    </dataValidation>
    <dataValidation type="whole" operator="greaterThan" allowBlank="1" showInputMessage="1" showErrorMessage="1" sqref="A3704">
      <formula1>0</formula1>
    </dataValidation>
    <dataValidation type="list" allowBlank="1" showInputMessage="1" showErrorMessage="1" sqref="C3704">
      <formula1>UnidadesList</formula1>
    </dataValidation>
    <dataValidation type="decimal" operator="greaterThan" allowBlank="1" showInputMessage="1" showErrorMessage="1" sqref="D3704">
      <formula1>0</formula1>
    </dataValidation>
    <dataValidation type="decimal" operator="greaterThan" allowBlank="1" showInputMessage="1" showErrorMessage="1" sqref="E3704">
      <formula1>0</formula1>
    </dataValidation>
    <dataValidation type="whole" operator="greaterThan" allowBlank="1" showInputMessage="1" showErrorMessage="1" sqref="A3705">
      <formula1>0</formula1>
    </dataValidation>
    <dataValidation type="list" allowBlank="1" showInputMessage="1" showErrorMessage="1" sqref="C3705">
      <formula1>UnidadesList</formula1>
    </dataValidation>
    <dataValidation type="decimal" operator="greaterThan" allowBlank="1" showInputMessage="1" showErrorMessage="1" sqref="D3705">
      <formula1>0</formula1>
    </dataValidation>
    <dataValidation type="decimal" operator="greaterThan" allowBlank="1" showInputMessage="1" showErrorMessage="1" sqref="E3705">
      <formula1>0</formula1>
    </dataValidation>
    <dataValidation type="whole" operator="greaterThan" allowBlank="1" showInputMessage="1" showErrorMessage="1" sqref="A3706">
      <formula1>0</formula1>
    </dataValidation>
    <dataValidation type="list" allowBlank="1" showInputMessage="1" showErrorMessage="1" sqref="C3706">
      <formula1>UnidadesList</formula1>
    </dataValidation>
    <dataValidation type="decimal" operator="greaterThan" allowBlank="1" showInputMessage="1" showErrorMessage="1" sqref="D3706">
      <formula1>0</formula1>
    </dataValidation>
    <dataValidation type="decimal" operator="greaterThan" allowBlank="1" showInputMessage="1" showErrorMessage="1" sqref="E3706">
      <formula1>0</formula1>
    </dataValidation>
    <dataValidation type="whole" operator="greaterThan" allowBlank="1" showInputMessage="1" showErrorMessage="1" sqref="A3707">
      <formula1>0</formula1>
    </dataValidation>
    <dataValidation type="list" allowBlank="1" showInputMessage="1" showErrorMessage="1" sqref="C3707">
      <formula1>UnidadesList</formula1>
    </dataValidation>
    <dataValidation type="decimal" operator="greaterThan" allowBlank="1" showInputMessage="1" showErrorMessage="1" sqref="D3707">
      <formula1>0</formula1>
    </dataValidation>
    <dataValidation type="decimal" operator="greaterThan" allowBlank="1" showInputMessage="1" showErrorMessage="1" sqref="E3707">
      <formula1>0</formula1>
    </dataValidation>
    <dataValidation type="whole" operator="greaterThan" allowBlank="1" showInputMessage="1" showErrorMessage="1" sqref="A3708">
      <formula1>0</formula1>
    </dataValidation>
    <dataValidation type="list" allowBlank="1" showInputMessage="1" showErrorMessage="1" sqref="C3708">
      <formula1>UnidadesList</formula1>
    </dataValidation>
    <dataValidation type="decimal" operator="greaterThan" allowBlank="1" showInputMessage="1" showErrorMessage="1" sqref="D3708">
      <formula1>0</formula1>
    </dataValidation>
    <dataValidation type="decimal" operator="greaterThan" allowBlank="1" showInputMessage="1" showErrorMessage="1" sqref="E3708">
      <formula1>0</formula1>
    </dataValidation>
    <dataValidation type="whole" operator="greaterThan" allowBlank="1" showInputMessage="1" showErrorMessage="1" sqref="A3709">
      <formula1>0</formula1>
    </dataValidation>
    <dataValidation type="list" allowBlank="1" showInputMessage="1" showErrorMessage="1" sqref="C3709">
      <formula1>UnidadesList</formula1>
    </dataValidation>
    <dataValidation type="decimal" operator="greaterThan" allowBlank="1" showInputMessage="1" showErrorMessage="1" sqref="D3709">
      <formula1>0</formula1>
    </dataValidation>
    <dataValidation type="decimal" operator="greaterThan" allowBlank="1" showInputMessage="1" showErrorMessage="1" sqref="E3709">
      <formula1>0</formula1>
    </dataValidation>
    <dataValidation type="whole" operator="greaterThan" allowBlank="1" showInputMessage="1" showErrorMessage="1" sqref="A3710">
      <formula1>0</formula1>
    </dataValidation>
    <dataValidation type="list" allowBlank="1" showInputMessage="1" showErrorMessage="1" sqref="C3710">
      <formula1>UnidadesList</formula1>
    </dataValidation>
    <dataValidation type="decimal" operator="greaterThan" allowBlank="1" showInputMessage="1" showErrorMessage="1" sqref="D3710">
      <formula1>0</formula1>
    </dataValidation>
    <dataValidation type="decimal" operator="greaterThan" allowBlank="1" showInputMessage="1" showErrorMessage="1" sqref="E3710">
      <formula1>0</formula1>
    </dataValidation>
    <dataValidation type="whole" operator="greaterThan" allowBlank="1" showInputMessage="1" showErrorMessage="1" sqref="A3711">
      <formula1>0</formula1>
    </dataValidation>
    <dataValidation type="list" allowBlank="1" showInputMessage="1" showErrorMessage="1" sqref="C3711">
      <formula1>UnidadesList</formula1>
    </dataValidation>
    <dataValidation type="decimal" operator="greaterThan" allowBlank="1" showInputMessage="1" showErrorMessage="1" sqref="D3711">
      <formula1>0</formula1>
    </dataValidation>
    <dataValidation type="decimal" operator="greaterThan" allowBlank="1" showInputMessage="1" showErrorMessage="1" sqref="E3711">
      <formula1>0</formula1>
    </dataValidation>
    <dataValidation type="whole" operator="greaterThan" allowBlank="1" showInputMessage="1" showErrorMessage="1" sqref="A3712">
      <formula1>0</formula1>
    </dataValidation>
    <dataValidation type="list" allowBlank="1" showInputMessage="1" showErrorMessage="1" sqref="C3712">
      <formula1>UnidadesList</formula1>
    </dataValidation>
    <dataValidation type="decimal" operator="greaterThan" allowBlank="1" showInputMessage="1" showErrorMessage="1" sqref="D3712">
      <formula1>0</formula1>
    </dataValidation>
    <dataValidation type="decimal" operator="greaterThan" allowBlank="1" showInputMessage="1" showErrorMessage="1" sqref="E3712">
      <formula1>0</formula1>
    </dataValidation>
    <dataValidation type="whole" operator="greaterThan" allowBlank="1" showInputMessage="1" showErrorMessage="1" sqref="A3713">
      <formula1>0</formula1>
    </dataValidation>
    <dataValidation type="list" allowBlank="1" showInputMessage="1" showErrorMessage="1" sqref="C3713">
      <formula1>UnidadesList</formula1>
    </dataValidation>
    <dataValidation type="decimal" operator="greaterThan" allowBlank="1" showInputMessage="1" showErrorMessage="1" sqref="D3713">
      <formula1>0</formula1>
    </dataValidation>
    <dataValidation type="decimal" operator="greaterThan" allowBlank="1" showInputMessage="1" showErrorMessage="1" sqref="E3713">
      <formula1>0</formula1>
    </dataValidation>
    <dataValidation type="whole" operator="greaterThan" allowBlank="1" showInputMessage="1" showErrorMessage="1" sqref="A3714">
      <formula1>0</formula1>
    </dataValidation>
    <dataValidation type="list" allowBlank="1" showInputMessage="1" showErrorMessage="1" sqref="C3714">
      <formula1>UnidadesList</formula1>
    </dataValidation>
    <dataValidation type="decimal" operator="greaterThan" allowBlank="1" showInputMessage="1" showErrorMessage="1" sqref="D3714">
      <formula1>0</formula1>
    </dataValidation>
    <dataValidation type="decimal" operator="greaterThan" allowBlank="1" showInputMessage="1" showErrorMessage="1" sqref="E3714">
      <formula1>0</formula1>
    </dataValidation>
    <dataValidation type="whole" operator="greaterThan" allowBlank="1" showInputMessage="1" showErrorMessage="1" sqref="A3715">
      <formula1>0</formula1>
    </dataValidation>
    <dataValidation type="list" allowBlank="1" showInputMessage="1" showErrorMessage="1" sqref="C3715">
      <formula1>UnidadesList</formula1>
    </dataValidation>
    <dataValidation type="decimal" operator="greaterThan" allowBlank="1" showInputMessage="1" showErrorMessage="1" sqref="D3715">
      <formula1>0</formula1>
    </dataValidation>
    <dataValidation type="decimal" operator="greaterThan" allowBlank="1" showInputMessage="1" showErrorMessage="1" sqref="E3715">
      <formula1>0</formula1>
    </dataValidation>
    <dataValidation type="whole" operator="greaterThan" allowBlank="1" showInputMessage="1" showErrorMessage="1" sqref="A3716">
      <formula1>0</formula1>
    </dataValidation>
    <dataValidation type="list" allowBlank="1" showInputMessage="1" showErrorMessage="1" sqref="C3716">
      <formula1>UnidadesList</formula1>
    </dataValidation>
    <dataValidation type="decimal" operator="greaterThan" allowBlank="1" showInputMessage="1" showErrorMessage="1" sqref="D3716">
      <formula1>0</formula1>
    </dataValidation>
    <dataValidation type="decimal" operator="greaterThan" allowBlank="1" showInputMessage="1" showErrorMessage="1" sqref="E3716">
      <formula1>0</formula1>
    </dataValidation>
    <dataValidation type="whole" operator="greaterThan" allowBlank="1" showInputMessage="1" showErrorMessage="1" sqref="A3717">
      <formula1>0</formula1>
    </dataValidation>
    <dataValidation type="list" allowBlank="1" showInputMessage="1" showErrorMessage="1" sqref="C3717">
      <formula1>UnidadesList</formula1>
    </dataValidation>
    <dataValidation type="decimal" operator="greaterThan" allowBlank="1" showInputMessage="1" showErrorMessage="1" sqref="D3717">
      <formula1>0</formula1>
    </dataValidation>
    <dataValidation type="decimal" operator="greaterThan" allowBlank="1" showInputMessage="1" showErrorMessage="1" sqref="E3717">
      <formula1>0</formula1>
    </dataValidation>
    <dataValidation type="whole" operator="greaterThan" allowBlank="1" showInputMessage="1" showErrorMessage="1" sqref="A3718">
      <formula1>0</formula1>
    </dataValidation>
    <dataValidation type="list" allowBlank="1" showInputMessage="1" showErrorMessage="1" sqref="C3718">
      <formula1>UnidadesList</formula1>
    </dataValidation>
    <dataValidation type="decimal" operator="greaterThan" allowBlank="1" showInputMessage="1" showErrorMessage="1" sqref="D3718">
      <formula1>0</formula1>
    </dataValidation>
    <dataValidation type="decimal" operator="greaterThan" allowBlank="1" showInputMessage="1" showErrorMessage="1" sqref="E3718">
      <formula1>0</formula1>
    </dataValidation>
    <dataValidation type="whole" operator="greaterThan" allowBlank="1" showInputMessage="1" showErrorMessage="1" sqref="A3719">
      <formula1>0</formula1>
    </dataValidation>
    <dataValidation type="list" allowBlank="1" showInputMessage="1" showErrorMessage="1" sqref="C3719">
      <formula1>UnidadesList</formula1>
    </dataValidation>
    <dataValidation type="decimal" operator="greaterThan" allowBlank="1" showInputMessage="1" showErrorMessage="1" sqref="D3719">
      <formula1>0</formula1>
    </dataValidation>
    <dataValidation type="decimal" operator="greaterThan" allowBlank="1" showInputMessage="1" showErrorMessage="1" sqref="E3719">
      <formula1>0</formula1>
    </dataValidation>
    <dataValidation type="whole" operator="greaterThan" allowBlank="1" showInputMessage="1" showErrorMessage="1" sqref="A3720">
      <formula1>0</formula1>
    </dataValidation>
    <dataValidation type="list" allowBlank="1" showInputMessage="1" showErrorMessage="1" sqref="C3720">
      <formula1>UnidadesList</formula1>
    </dataValidation>
    <dataValidation type="decimal" operator="greaterThan" allowBlank="1" showInputMessage="1" showErrorMessage="1" sqref="D3720">
      <formula1>0</formula1>
    </dataValidation>
    <dataValidation type="decimal" operator="greaterThan" allowBlank="1" showInputMessage="1" showErrorMessage="1" sqref="E3720">
      <formula1>0</formula1>
    </dataValidation>
    <dataValidation type="whole" operator="greaterThan" allowBlank="1" showInputMessage="1" showErrorMessage="1" sqref="A3721">
      <formula1>0</formula1>
    </dataValidation>
    <dataValidation type="list" allowBlank="1" showInputMessage="1" showErrorMessage="1" sqref="C3721">
      <formula1>UnidadesList</formula1>
    </dataValidation>
    <dataValidation type="decimal" operator="greaterThan" allowBlank="1" showInputMessage="1" showErrorMessage="1" sqref="D3721">
      <formula1>0</formula1>
    </dataValidation>
    <dataValidation type="decimal" operator="greaterThan" allowBlank="1" showInputMessage="1" showErrorMessage="1" sqref="E3721">
      <formula1>0</formula1>
    </dataValidation>
    <dataValidation type="whole" operator="greaterThan" allowBlank="1" showInputMessage="1" showErrorMessage="1" sqref="A3722">
      <formula1>0</formula1>
    </dataValidation>
    <dataValidation type="list" allowBlank="1" showInputMessage="1" showErrorMessage="1" sqref="C3722">
      <formula1>UnidadesList</formula1>
    </dataValidation>
    <dataValidation type="decimal" operator="greaterThan" allowBlank="1" showInputMessage="1" showErrorMessage="1" sqref="D3722">
      <formula1>0</formula1>
    </dataValidation>
    <dataValidation type="decimal" operator="greaterThan" allowBlank="1" showInputMessage="1" showErrorMessage="1" sqref="E3722">
      <formula1>0</formula1>
    </dataValidation>
    <dataValidation type="whole" operator="greaterThan" allowBlank="1" showInputMessage="1" showErrorMessage="1" sqref="A3723">
      <formula1>0</formula1>
    </dataValidation>
    <dataValidation type="list" allowBlank="1" showInputMessage="1" showErrorMessage="1" sqref="C3723">
      <formula1>UnidadesList</formula1>
    </dataValidation>
    <dataValidation type="decimal" operator="greaterThan" allowBlank="1" showInputMessage="1" showErrorMessage="1" sqref="D3723">
      <formula1>0</formula1>
    </dataValidation>
    <dataValidation type="decimal" operator="greaterThan" allowBlank="1" showInputMessage="1" showErrorMessage="1" sqref="E3723">
      <formula1>0</formula1>
    </dataValidation>
    <dataValidation type="whole" operator="greaterThan" allowBlank="1" showInputMessage="1" showErrorMessage="1" sqref="A3724">
      <formula1>0</formula1>
    </dataValidation>
    <dataValidation type="list" allowBlank="1" showInputMessage="1" showErrorMessage="1" sqref="C3724">
      <formula1>UnidadesList</formula1>
    </dataValidation>
    <dataValidation type="decimal" operator="greaterThan" allowBlank="1" showInputMessage="1" showErrorMessage="1" sqref="D3724">
      <formula1>0</formula1>
    </dataValidation>
    <dataValidation type="decimal" operator="greaterThan" allowBlank="1" showInputMessage="1" showErrorMessage="1" sqref="E3724">
      <formula1>0</formula1>
    </dataValidation>
    <dataValidation type="whole" operator="greaterThan" allowBlank="1" showInputMessage="1" showErrorMessage="1" sqref="A3725">
      <formula1>0</formula1>
    </dataValidation>
    <dataValidation type="list" allowBlank="1" showInputMessage="1" showErrorMessage="1" sqref="C3725">
      <formula1>UnidadesList</formula1>
    </dataValidation>
    <dataValidation type="decimal" operator="greaterThan" allowBlank="1" showInputMessage="1" showErrorMessage="1" sqref="D3725">
      <formula1>0</formula1>
    </dataValidation>
    <dataValidation type="decimal" operator="greaterThan" allowBlank="1" showInputMessage="1" showErrorMessage="1" sqref="E3725">
      <formula1>0</formula1>
    </dataValidation>
    <dataValidation type="whole" operator="greaterThan" allowBlank="1" showInputMessage="1" showErrorMessage="1" sqref="A3726">
      <formula1>0</formula1>
    </dataValidation>
    <dataValidation type="list" allowBlank="1" showInputMessage="1" showErrorMessage="1" sqref="C3726">
      <formula1>UnidadesList</formula1>
    </dataValidation>
    <dataValidation type="decimal" operator="greaterThan" allowBlank="1" showInputMessage="1" showErrorMessage="1" sqref="D3726">
      <formula1>0</formula1>
    </dataValidation>
    <dataValidation type="decimal" operator="greaterThan" allowBlank="1" showInputMessage="1" showErrorMessage="1" sqref="E3726">
      <formula1>0</formula1>
    </dataValidation>
    <dataValidation type="whole" operator="greaterThan" allowBlank="1" showInputMessage="1" showErrorMessage="1" sqref="A3727">
      <formula1>0</formula1>
    </dataValidation>
    <dataValidation type="list" allowBlank="1" showInputMessage="1" showErrorMessage="1" sqref="C3727">
      <formula1>UnidadesList</formula1>
    </dataValidation>
    <dataValidation type="decimal" operator="greaterThan" allowBlank="1" showInputMessage="1" showErrorMessage="1" sqref="D3727">
      <formula1>0</formula1>
    </dataValidation>
    <dataValidation type="decimal" operator="greaterThan" allowBlank="1" showInputMessage="1" showErrorMessage="1" sqref="E3727">
      <formula1>0</formula1>
    </dataValidation>
    <dataValidation type="whole" operator="greaterThan" allowBlank="1" showInputMessage="1" showErrorMessage="1" sqref="A3728">
      <formula1>0</formula1>
    </dataValidation>
    <dataValidation type="list" allowBlank="1" showInputMessage="1" showErrorMessage="1" sqref="C3728">
      <formula1>UnidadesList</formula1>
    </dataValidation>
    <dataValidation type="decimal" operator="greaterThan" allowBlank="1" showInputMessage="1" showErrorMessage="1" sqref="D3728">
      <formula1>0</formula1>
    </dataValidation>
    <dataValidation type="decimal" operator="greaterThan" allowBlank="1" showInputMessage="1" showErrorMessage="1" sqref="E3728">
      <formula1>0</formula1>
    </dataValidation>
    <dataValidation type="whole" operator="greaterThan" allowBlank="1" showInputMessage="1" showErrorMessage="1" sqref="A3729">
      <formula1>0</formula1>
    </dataValidation>
    <dataValidation type="list" allowBlank="1" showInputMessage="1" showErrorMessage="1" sqref="C3729">
      <formula1>UnidadesList</formula1>
    </dataValidation>
    <dataValidation type="decimal" operator="greaterThan" allowBlank="1" showInputMessage="1" showErrorMessage="1" sqref="D3729">
      <formula1>0</formula1>
    </dataValidation>
    <dataValidation type="decimal" operator="greaterThan" allowBlank="1" showInputMessage="1" showErrorMessage="1" sqref="E3729">
      <formula1>0</formula1>
    </dataValidation>
    <dataValidation type="whole" operator="greaterThan" allowBlank="1" showInputMessage="1" showErrorMessage="1" sqref="A3730">
      <formula1>0</formula1>
    </dataValidation>
    <dataValidation type="list" allowBlank="1" showInputMessage="1" showErrorMessage="1" sqref="C3730">
      <formula1>UnidadesList</formula1>
    </dataValidation>
    <dataValidation type="decimal" operator="greaterThan" allowBlank="1" showInputMessage="1" showErrorMessage="1" sqref="D3730">
      <formula1>0</formula1>
    </dataValidation>
    <dataValidation type="decimal" operator="greaterThan" allowBlank="1" showInputMessage="1" showErrorMessage="1" sqref="E3730">
      <formula1>0</formula1>
    </dataValidation>
    <dataValidation type="whole" operator="greaterThan" allowBlank="1" showInputMessage="1" showErrorMessage="1" sqref="A3731">
      <formula1>0</formula1>
    </dataValidation>
    <dataValidation type="list" allowBlank="1" showInputMessage="1" showErrorMessage="1" sqref="C3731">
      <formula1>UnidadesList</formula1>
    </dataValidation>
    <dataValidation type="decimal" operator="greaterThan" allowBlank="1" showInputMessage="1" showErrorMessage="1" sqref="D3731">
      <formula1>0</formula1>
    </dataValidation>
    <dataValidation type="decimal" operator="greaterThan" allowBlank="1" showInputMessage="1" showErrorMessage="1" sqref="E3731">
      <formula1>0</formula1>
    </dataValidation>
    <dataValidation type="whole" operator="greaterThan" allowBlank="1" showInputMessage="1" showErrorMessage="1" sqref="A3732">
      <formula1>0</formula1>
    </dataValidation>
    <dataValidation type="list" allowBlank="1" showInputMessage="1" showErrorMessage="1" sqref="C3732">
      <formula1>UnidadesList</formula1>
    </dataValidation>
    <dataValidation type="decimal" operator="greaterThan" allowBlank="1" showInputMessage="1" showErrorMessage="1" sqref="D3732">
      <formula1>0</formula1>
    </dataValidation>
    <dataValidation type="decimal" operator="greaterThan" allowBlank="1" showInputMessage="1" showErrorMessage="1" sqref="E3732">
      <formula1>0</formula1>
    </dataValidation>
    <dataValidation type="whole" operator="greaterThan" allowBlank="1" showInputMessage="1" showErrorMessage="1" sqref="A3733">
      <formula1>0</formula1>
    </dataValidation>
    <dataValidation type="list" allowBlank="1" showInputMessage="1" showErrorMessage="1" sqref="C3733">
      <formula1>UnidadesList</formula1>
    </dataValidation>
    <dataValidation type="decimal" operator="greaterThan" allowBlank="1" showInputMessage="1" showErrorMessage="1" sqref="D3733">
      <formula1>0</formula1>
    </dataValidation>
    <dataValidation type="decimal" operator="greaterThan" allowBlank="1" showInputMessage="1" showErrorMessage="1" sqref="E3733">
      <formula1>0</formula1>
    </dataValidation>
    <dataValidation type="whole" operator="greaterThan" allowBlank="1" showInputMessage="1" showErrorMessage="1" sqref="A3734">
      <formula1>0</formula1>
    </dataValidation>
    <dataValidation type="list" allowBlank="1" showInputMessage="1" showErrorMessage="1" sqref="C3734">
      <formula1>UnidadesList</formula1>
    </dataValidation>
    <dataValidation type="decimal" operator="greaterThan" allowBlank="1" showInputMessage="1" showErrorMessage="1" sqref="D3734">
      <formula1>0</formula1>
    </dataValidation>
    <dataValidation type="decimal" operator="greaterThan" allowBlank="1" showInputMessage="1" showErrorMessage="1" sqref="E3734">
      <formula1>0</formula1>
    </dataValidation>
    <dataValidation type="whole" operator="greaterThan" allowBlank="1" showInputMessage="1" showErrorMessage="1" sqref="A3735">
      <formula1>0</formula1>
    </dataValidation>
    <dataValidation type="list" allowBlank="1" showInputMessage="1" showErrorMessage="1" sqref="C3735">
      <formula1>UnidadesList</formula1>
    </dataValidation>
    <dataValidation type="decimal" operator="greaterThan" allowBlank="1" showInputMessage="1" showErrorMessage="1" sqref="D3735">
      <formula1>0</formula1>
    </dataValidation>
    <dataValidation type="decimal" operator="greaterThan" allowBlank="1" showInputMessage="1" showErrorMessage="1" sqref="E3735">
      <formula1>0</formula1>
    </dataValidation>
    <dataValidation type="whole" operator="greaterThan" allowBlank="1" showInputMessage="1" showErrorMessage="1" sqref="A3736">
      <formula1>0</formula1>
    </dataValidation>
    <dataValidation type="list" allowBlank="1" showInputMessage="1" showErrorMessage="1" sqref="C3736">
      <formula1>UnidadesList</formula1>
    </dataValidation>
    <dataValidation type="decimal" operator="greaterThan" allowBlank="1" showInputMessage="1" showErrorMessage="1" sqref="D3736">
      <formula1>0</formula1>
    </dataValidation>
    <dataValidation type="decimal" operator="greaterThan" allowBlank="1" showInputMessage="1" showErrorMessage="1" sqref="E3736">
      <formula1>0</formula1>
    </dataValidation>
    <dataValidation type="whole" operator="greaterThan" allowBlank="1" showInputMessage="1" showErrorMessage="1" sqref="A3737">
      <formula1>0</formula1>
    </dataValidation>
    <dataValidation type="list" allowBlank="1" showInputMessage="1" showErrorMessage="1" sqref="C3737">
      <formula1>UnidadesList</formula1>
    </dataValidation>
    <dataValidation type="decimal" operator="greaterThan" allowBlank="1" showInputMessage="1" showErrorMessage="1" sqref="D3737">
      <formula1>0</formula1>
    </dataValidation>
    <dataValidation type="decimal" operator="greaterThan" allowBlank="1" showInputMessage="1" showErrorMessage="1" sqref="E3737">
      <formula1>0</formula1>
    </dataValidation>
    <dataValidation type="whole" operator="greaterThan" allowBlank="1" showInputMessage="1" showErrorMessage="1" sqref="A3738">
      <formula1>0</formula1>
    </dataValidation>
    <dataValidation type="list" allowBlank="1" showInputMessage="1" showErrorMessage="1" sqref="C3738">
      <formula1>UnidadesList</formula1>
    </dataValidation>
    <dataValidation type="decimal" operator="greaterThan" allowBlank="1" showInputMessage="1" showErrorMessage="1" sqref="D3738">
      <formula1>0</formula1>
    </dataValidation>
    <dataValidation type="decimal" operator="greaterThan" allowBlank="1" showInputMessage="1" showErrorMessage="1" sqref="E3738">
      <formula1>0</formula1>
    </dataValidation>
    <dataValidation type="whole" operator="greaterThan" allowBlank="1" showInputMessage="1" showErrorMessage="1" sqref="A3739">
      <formula1>0</formula1>
    </dataValidation>
    <dataValidation type="list" allowBlank="1" showInputMessage="1" showErrorMessage="1" sqref="C3739">
      <formula1>UnidadesList</formula1>
    </dataValidation>
    <dataValidation type="decimal" operator="greaterThan" allowBlank="1" showInputMessage="1" showErrorMessage="1" sqref="D3739">
      <formula1>0</formula1>
    </dataValidation>
    <dataValidation type="decimal" operator="greaterThan" allowBlank="1" showInputMessage="1" showErrorMessage="1" sqref="E3739">
      <formula1>0</formula1>
    </dataValidation>
    <dataValidation type="whole" operator="greaterThan" allowBlank="1" showInputMessage="1" showErrorMessage="1" sqref="A3740">
      <formula1>0</formula1>
    </dataValidation>
    <dataValidation type="list" allowBlank="1" showInputMessage="1" showErrorMessage="1" sqref="C3740">
      <formula1>UnidadesList</formula1>
    </dataValidation>
    <dataValidation type="decimal" operator="greaterThan" allowBlank="1" showInputMessage="1" showErrorMessage="1" sqref="D3740">
      <formula1>0</formula1>
    </dataValidation>
    <dataValidation type="decimal" operator="greaterThan" allowBlank="1" showInputMessage="1" showErrorMessage="1" sqref="E3740">
      <formula1>0</formula1>
    </dataValidation>
    <dataValidation type="whole" operator="greaterThan" allowBlank="1" showInputMessage="1" showErrorMessage="1" sqref="A3741">
      <formula1>0</formula1>
    </dataValidation>
    <dataValidation type="list" allowBlank="1" showInputMessage="1" showErrorMessage="1" sqref="C3741">
      <formula1>UnidadesList</formula1>
    </dataValidation>
    <dataValidation type="decimal" operator="greaterThan" allowBlank="1" showInputMessage="1" showErrorMessage="1" sqref="D3741">
      <formula1>0</formula1>
    </dataValidation>
    <dataValidation type="decimal" operator="greaterThan" allowBlank="1" showInputMessage="1" showErrorMessage="1" sqref="E3741">
      <formula1>0</formula1>
    </dataValidation>
    <dataValidation type="whole" operator="greaterThan" allowBlank="1" showInputMessage="1" showErrorMessage="1" sqref="A3742">
      <formula1>0</formula1>
    </dataValidation>
    <dataValidation type="list" allowBlank="1" showInputMessage="1" showErrorMessage="1" sqref="C3742">
      <formula1>UnidadesList</formula1>
    </dataValidation>
    <dataValidation type="decimal" operator="greaterThan" allowBlank="1" showInputMessage="1" showErrorMessage="1" sqref="D3742">
      <formula1>0</formula1>
    </dataValidation>
    <dataValidation type="decimal" operator="greaterThan" allowBlank="1" showInputMessage="1" showErrorMessage="1" sqref="E3742">
      <formula1>0</formula1>
    </dataValidation>
    <dataValidation type="whole" operator="greaterThan" allowBlank="1" showInputMessage="1" showErrorMessage="1" sqref="A3743">
      <formula1>0</formula1>
    </dataValidation>
    <dataValidation type="list" allowBlank="1" showInputMessage="1" showErrorMessage="1" sqref="C3743">
      <formula1>UnidadesList</formula1>
    </dataValidation>
    <dataValidation type="decimal" operator="greaterThan" allowBlank="1" showInputMessage="1" showErrorMessage="1" sqref="D3743">
      <formula1>0</formula1>
    </dataValidation>
    <dataValidation type="decimal" operator="greaterThan" allowBlank="1" showInputMessage="1" showErrorMessage="1" sqref="E3743">
      <formula1>0</formula1>
    </dataValidation>
    <dataValidation type="whole" operator="greaterThan" allowBlank="1" showInputMessage="1" showErrorMessage="1" sqref="A3744">
      <formula1>0</formula1>
    </dataValidation>
    <dataValidation type="list" allowBlank="1" showInputMessage="1" showErrorMessage="1" sqref="C3744">
      <formula1>UnidadesList</formula1>
    </dataValidation>
    <dataValidation type="decimal" operator="greaterThan" allowBlank="1" showInputMessage="1" showErrorMessage="1" sqref="D3744">
      <formula1>0</formula1>
    </dataValidation>
    <dataValidation type="decimal" operator="greaterThan" allowBlank="1" showInputMessage="1" showErrorMessage="1" sqref="E3744">
      <formula1>0</formula1>
    </dataValidation>
    <dataValidation type="whole" operator="greaterThan" allowBlank="1" showInputMessage="1" showErrorMessage="1" sqref="A3745">
      <formula1>0</formula1>
    </dataValidation>
    <dataValidation type="list" allowBlank="1" showInputMessage="1" showErrorMessage="1" sqref="C3745">
      <formula1>UnidadesList</formula1>
    </dataValidation>
    <dataValidation type="decimal" operator="greaterThan" allowBlank="1" showInputMessage="1" showErrorMessage="1" sqref="D3745">
      <formula1>0</formula1>
    </dataValidation>
    <dataValidation type="decimal" operator="greaterThan" allowBlank="1" showInputMessage="1" showErrorMessage="1" sqref="E3745">
      <formula1>0</formula1>
    </dataValidation>
    <dataValidation type="whole" operator="greaterThan" allowBlank="1" showInputMessage="1" showErrorMessage="1" sqref="A3746">
      <formula1>0</formula1>
    </dataValidation>
    <dataValidation type="list" allowBlank="1" showInputMessage="1" showErrorMessage="1" sqref="C3746">
      <formula1>UnidadesList</formula1>
    </dataValidation>
    <dataValidation type="decimal" operator="greaterThan" allowBlank="1" showInputMessage="1" showErrorMessage="1" sqref="D3746">
      <formula1>0</formula1>
    </dataValidation>
    <dataValidation type="decimal" operator="greaterThan" allowBlank="1" showInputMessage="1" showErrorMessage="1" sqref="E3746">
      <formula1>0</formula1>
    </dataValidation>
    <dataValidation type="whole" operator="greaterThan" allowBlank="1" showInputMessage="1" showErrorMessage="1" sqref="A3747">
      <formula1>0</formula1>
    </dataValidation>
    <dataValidation type="list" allowBlank="1" showInputMessage="1" showErrorMessage="1" sqref="C3747">
      <formula1>UnidadesList</formula1>
    </dataValidation>
    <dataValidation type="decimal" operator="greaterThan" allowBlank="1" showInputMessage="1" showErrorMessage="1" sqref="D3747">
      <formula1>0</formula1>
    </dataValidation>
    <dataValidation type="decimal" operator="greaterThan" allowBlank="1" showInputMessage="1" showErrorMessage="1" sqref="E3747">
      <formula1>0</formula1>
    </dataValidation>
    <dataValidation type="whole" operator="greaterThan" allowBlank="1" showInputMessage="1" showErrorMessage="1" sqref="A3748">
      <formula1>0</formula1>
    </dataValidation>
    <dataValidation type="list" allowBlank="1" showInputMessage="1" showErrorMessage="1" sqref="C3748">
      <formula1>UnidadesList</formula1>
    </dataValidation>
    <dataValidation type="decimal" operator="greaterThan" allowBlank="1" showInputMessage="1" showErrorMessage="1" sqref="D3748">
      <formula1>0</formula1>
    </dataValidation>
    <dataValidation type="decimal" operator="greaterThan" allowBlank="1" showInputMessage="1" showErrorMessage="1" sqref="E3748">
      <formula1>0</formula1>
    </dataValidation>
    <dataValidation type="whole" operator="greaterThan" allowBlank="1" showInputMessage="1" showErrorMessage="1" sqref="A3749">
      <formula1>0</formula1>
    </dataValidation>
    <dataValidation type="list" allowBlank="1" showInputMessage="1" showErrorMessage="1" sqref="C3749">
      <formula1>UnidadesList</formula1>
    </dataValidation>
    <dataValidation type="decimal" operator="greaterThan" allowBlank="1" showInputMessage="1" showErrorMessage="1" sqref="D3749">
      <formula1>0</formula1>
    </dataValidation>
    <dataValidation type="decimal" operator="greaterThan" allowBlank="1" showInputMessage="1" showErrorMessage="1" sqref="E3749">
      <formula1>0</formula1>
    </dataValidation>
    <dataValidation type="whole" operator="greaterThan" allowBlank="1" showInputMessage="1" showErrorMessage="1" sqref="A3750">
      <formula1>0</formula1>
    </dataValidation>
    <dataValidation type="list" allowBlank="1" showInputMessage="1" showErrorMessage="1" sqref="C3750">
      <formula1>UnidadesList</formula1>
    </dataValidation>
    <dataValidation type="decimal" operator="greaterThan" allowBlank="1" showInputMessage="1" showErrorMessage="1" sqref="D3750">
      <formula1>0</formula1>
    </dataValidation>
    <dataValidation type="decimal" operator="greaterThan" allowBlank="1" showInputMessage="1" showErrorMessage="1" sqref="E3750">
      <formula1>0</formula1>
    </dataValidation>
    <dataValidation type="whole" operator="greaterThan" allowBlank="1" showInputMessage="1" showErrorMessage="1" sqref="A3751">
      <formula1>0</formula1>
    </dataValidation>
    <dataValidation type="list" allowBlank="1" showInputMessage="1" showErrorMessage="1" sqref="C3751">
      <formula1>UnidadesList</formula1>
    </dataValidation>
    <dataValidation type="decimal" operator="greaterThan" allowBlank="1" showInputMessage="1" showErrorMessage="1" sqref="D3751">
      <formula1>0</formula1>
    </dataValidation>
    <dataValidation type="decimal" operator="greaterThan" allowBlank="1" showInputMessage="1" showErrorMessage="1" sqref="E3751">
      <formula1>0</formula1>
    </dataValidation>
    <dataValidation type="whole" operator="greaterThan" allowBlank="1" showInputMessage="1" showErrorMessage="1" sqref="A3752">
      <formula1>0</formula1>
    </dataValidation>
    <dataValidation type="list" allowBlank="1" showInputMessage="1" showErrorMessage="1" sqref="C3752">
      <formula1>UnidadesList</formula1>
    </dataValidation>
    <dataValidation type="decimal" operator="greaterThan" allowBlank="1" showInputMessage="1" showErrorMessage="1" sqref="D3752">
      <formula1>0</formula1>
    </dataValidation>
    <dataValidation type="decimal" operator="greaterThan" allowBlank="1" showInputMessage="1" showErrorMessage="1" sqref="E3752">
      <formula1>0</formula1>
    </dataValidation>
    <dataValidation type="whole" operator="greaterThan" allowBlank="1" showInputMessage="1" showErrorMessage="1" sqref="A3753">
      <formula1>0</formula1>
    </dataValidation>
    <dataValidation type="list" allowBlank="1" showInputMessage="1" showErrorMessage="1" sqref="C3753">
      <formula1>UnidadesList</formula1>
    </dataValidation>
    <dataValidation type="decimal" operator="greaterThan" allowBlank="1" showInputMessage="1" showErrorMessage="1" sqref="D3753">
      <formula1>0</formula1>
    </dataValidation>
    <dataValidation type="decimal" operator="greaterThan" allowBlank="1" showInputMessage="1" showErrorMessage="1" sqref="E3753">
      <formula1>0</formula1>
    </dataValidation>
    <dataValidation type="whole" operator="greaterThan" allowBlank="1" showInputMessage="1" showErrorMessage="1" sqref="A3754">
      <formula1>0</formula1>
    </dataValidation>
    <dataValidation type="list" allowBlank="1" showInputMessage="1" showErrorMessage="1" sqref="C3754">
      <formula1>UnidadesList</formula1>
    </dataValidation>
    <dataValidation type="decimal" operator="greaterThan" allowBlank="1" showInputMessage="1" showErrorMessage="1" sqref="D3754">
      <formula1>0</formula1>
    </dataValidation>
    <dataValidation type="decimal" operator="greaterThan" allowBlank="1" showInputMessage="1" showErrorMessage="1" sqref="E3754">
      <formula1>0</formula1>
    </dataValidation>
    <dataValidation type="whole" operator="greaterThan" allowBlank="1" showInputMessage="1" showErrorMessage="1" sqref="A3755">
      <formula1>0</formula1>
    </dataValidation>
    <dataValidation type="list" allowBlank="1" showInputMessage="1" showErrorMessage="1" sqref="C3755">
      <formula1>UnidadesList</formula1>
    </dataValidation>
    <dataValidation type="decimal" operator="greaterThan" allowBlank="1" showInputMessage="1" showErrorMessage="1" sqref="D3755">
      <formula1>0</formula1>
    </dataValidation>
    <dataValidation type="decimal" operator="greaterThan" allowBlank="1" showInputMessage="1" showErrorMessage="1" sqref="E3755">
      <formula1>0</formula1>
    </dataValidation>
    <dataValidation type="whole" operator="greaterThan" allowBlank="1" showInputMessage="1" showErrorMessage="1" sqref="A3756">
      <formula1>0</formula1>
    </dataValidation>
    <dataValidation type="list" allowBlank="1" showInputMessage="1" showErrorMessage="1" sqref="C3756">
      <formula1>UnidadesList</formula1>
    </dataValidation>
    <dataValidation type="decimal" operator="greaterThan" allowBlank="1" showInputMessage="1" showErrorMessage="1" sqref="D3756">
      <formula1>0</formula1>
    </dataValidation>
    <dataValidation type="decimal" operator="greaterThan" allowBlank="1" showInputMessage="1" showErrorMessage="1" sqref="E3756">
      <formula1>0</formula1>
    </dataValidation>
    <dataValidation type="whole" operator="greaterThan" allowBlank="1" showInputMessage="1" showErrorMessage="1" sqref="A3757">
      <formula1>0</formula1>
    </dataValidation>
    <dataValidation type="list" allowBlank="1" showInputMessage="1" showErrorMessage="1" sqref="C3757">
      <formula1>UnidadesList</formula1>
    </dataValidation>
    <dataValidation type="decimal" operator="greaterThan" allowBlank="1" showInputMessage="1" showErrorMessage="1" sqref="D3757">
      <formula1>0</formula1>
    </dataValidation>
    <dataValidation type="decimal" operator="greaterThan" allowBlank="1" showInputMessage="1" showErrorMessage="1" sqref="E3757">
      <formula1>0</formula1>
    </dataValidation>
    <dataValidation type="whole" operator="greaterThan" allowBlank="1" showInputMessage="1" showErrorMessage="1" sqref="A3758">
      <formula1>0</formula1>
    </dataValidation>
    <dataValidation type="list" allowBlank="1" showInputMessage="1" showErrorMessage="1" sqref="C3758">
      <formula1>UnidadesList</formula1>
    </dataValidation>
    <dataValidation type="decimal" operator="greaterThan" allowBlank="1" showInputMessage="1" showErrorMessage="1" sqref="D3758">
      <formula1>0</formula1>
    </dataValidation>
    <dataValidation type="decimal" operator="greaterThan" allowBlank="1" showInputMessage="1" showErrorMessage="1" sqref="E3758">
      <formula1>0</formula1>
    </dataValidation>
    <dataValidation type="whole" operator="greaterThan" allowBlank="1" showInputMessage="1" showErrorMessage="1" sqref="A3759">
      <formula1>0</formula1>
    </dataValidation>
    <dataValidation type="list" allowBlank="1" showInputMessage="1" showErrorMessage="1" sqref="C3759">
      <formula1>UnidadesList</formula1>
    </dataValidation>
    <dataValidation type="decimal" operator="greaterThan" allowBlank="1" showInputMessage="1" showErrorMessage="1" sqref="D3759">
      <formula1>0</formula1>
    </dataValidation>
    <dataValidation type="decimal" operator="greaterThan" allowBlank="1" showInputMessage="1" showErrorMessage="1" sqref="E3759">
      <formula1>0</formula1>
    </dataValidation>
    <dataValidation type="whole" operator="greaterThan" allowBlank="1" showInputMessage="1" showErrorMessage="1" sqref="A3760">
      <formula1>0</formula1>
    </dataValidation>
    <dataValidation type="list" allowBlank="1" showInputMessage="1" showErrorMessage="1" sqref="C3760">
      <formula1>UnidadesList</formula1>
    </dataValidation>
    <dataValidation type="decimal" operator="greaterThan" allowBlank="1" showInputMessage="1" showErrorMessage="1" sqref="D3760">
      <formula1>0</formula1>
    </dataValidation>
    <dataValidation type="decimal" operator="greaterThan" allowBlank="1" showInputMessage="1" showErrorMessage="1" sqref="E3760">
      <formula1>0</formula1>
    </dataValidation>
    <dataValidation type="whole" operator="greaterThan" allowBlank="1" showInputMessage="1" showErrorMessage="1" sqref="A3761">
      <formula1>0</formula1>
    </dataValidation>
    <dataValidation type="list" allowBlank="1" showInputMessage="1" showErrorMessage="1" sqref="C3761">
      <formula1>UnidadesList</formula1>
    </dataValidation>
    <dataValidation type="decimal" operator="greaterThan" allowBlank="1" showInputMessage="1" showErrorMessage="1" sqref="D3761">
      <formula1>0</formula1>
    </dataValidation>
    <dataValidation type="decimal" operator="greaterThan" allowBlank="1" showInputMessage="1" showErrorMessage="1" sqref="E3761">
      <formula1>0</formula1>
    </dataValidation>
    <dataValidation type="whole" operator="greaterThan" allowBlank="1" showInputMessage="1" showErrorMessage="1" sqref="A3762">
      <formula1>0</formula1>
    </dataValidation>
    <dataValidation type="list" allowBlank="1" showInputMessage="1" showErrorMessage="1" sqref="C3762">
      <formula1>UnidadesList</formula1>
    </dataValidation>
    <dataValidation type="decimal" operator="greaterThan" allowBlank="1" showInputMessage="1" showErrorMessage="1" sqref="D3762">
      <formula1>0</formula1>
    </dataValidation>
    <dataValidation type="decimal" operator="greaterThan" allowBlank="1" showInputMessage="1" showErrorMessage="1" sqref="E3762">
      <formula1>0</formula1>
    </dataValidation>
    <dataValidation type="whole" operator="greaterThan" allowBlank="1" showInputMessage="1" showErrorMessage="1" sqref="A3763">
      <formula1>0</formula1>
    </dataValidation>
    <dataValidation type="list" allowBlank="1" showInputMessage="1" showErrorMessage="1" sqref="C3763">
      <formula1>UnidadesList</formula1>
    </dataValidation>
    <dataValidation type="decimal" operator="greaterThan" allowBlank="1" showInputMessage="1" showErrorMessage="1" sqref="D3763">
      <formula1>0</formula1>
    </dataValidation>
    <dataValidation type="decimal" operator="greaterThan" allowBlank="1" showInputMessage="1" showErrorMessage="1" sqref="E3763">
      <formula1>0</formula1>
    </dataValidation>
    <dataValidation type="whole" operator="greaterThan" allowBlank="1" showInputMessage="1" showErrorMessage="1" sqref="A3764">
      <formula1>0</formula1>
    </dataValidation>
    <dataValidation type="list" allowBlank="1" showInputMessage="1" showErrorMessage="1" sqref="C3764">
      <formula1>UnidadesList</formula1>
    </dataValidation>
    <dataValidation type="decimal" operator="greaterThan" allowBlank="1" showInputMessage="1" showErrorMessage="1" sqref="D3764">
      <formula1>0</formula1>
    </dataValidation>
    <dataValidation type="decimal" operator="greaterThan" allowBlank="1" showInputMessage="1" showErrorMessage="1" sqref="E3764">
      <formula1>0</formula1>
    </dataValidation>
    <dataValidation type="whole" operator="greaterThan" allowBlank="1" showInputMessage="1" showErrorMessage="1" sqref="A3765">
      <formula1>0</formula1>
    </dataValidation>
    <dataValidation type="list" allowBlank="1" showInputMessage="1" showErrorMessage="1" sqref="C3765">
      <formula1>UnidadesList</formula1>
    </dataValidation>
    <dataValidation type="decimal" operator="greaterThan" allowBlank="1" showInputMessage="1" showErrorMessage="1" sqref="D3765">
      <formula1>0</formula1>
    </dataValidation>
    <dataValidation type="decimal" operator="greaterThan" allowBlank="1" showInputMessage="1" showErrorMessage="1" sqref="E3765">
      <formula1>0</formula1>
    </dataValidation>
    <dataValidation type="whole" operator="greaterThan" allowBlank="1" showInputMessage="1" showErrorMessage="1" sqref="A3766">
      <formula1>0</formula1>
    </dataValidation>
    <dataValidation type="list" allowBlank="1" showInputMessage="1" showErrorMessage="1" sqref="C3766">
      <formula1>UnidadesList</formula1>
    </dataValidation>
    <dataValidation type="decimal" operator="greaterThan" allowBlank="1" showInputMessage="1" showErrorMessage="1" sqref="D3766">
      <formula1>0</formula1>
    </dataValidation>
    <dataValidation type="decimal" operator="greaterThan" allowBlank="1" showInputMessage="1" showErrorMessage="1" sqref="E3766">
      <formula1>0</formula1>
    </dataValidation>
    <dataValidation type="whole" operator="greaterThan" allowBlank="1" showInputMessage="1" showErrorMessage="1" sqref="A3767">
      <formula1>0</formula1>
    </dataValidation>
    <dataValidation type="list" allowBlank="1" showInputMessage="1" showErrorMessage="1" sqref="C3767">
      <formula1>UnidadesList</formula1>
    </dataValidation>
    <dataValidation type="decimal" operator="greaterThan" allowBlank="1" showInputMessage="1" showErrorMessage="1" sqref="D3767">
      <formula1>0</formula1>
    </dataValidation>
    <dataValidation type="decimal" operator="greaterThan" allowBlank="1" showInputMessage="1" showErrorMessage="1" sqref="E3767">
      <formula1>0</formula1>
    </dataValidation>
    <dataValidation type="whole" operator="greaterThan" allowBlank="1" showInputMessage="1" showErrorMessage="1" sqref="A3768">
      <formula1>0</formula1>
    </dataValidation>
    <dataValidation type="list" allowBlank="1" showInputMessage="1" showErrorMessage="1" sqref="C3768">
      <formula1>UnidadesList</formula1>
    </dataValidation>
    <dataValidation type="decimal" operator="greaterThan" allowBlank="1" showInputMessage="1" showErrorMessage="1" sqref="D3768">
      <formula1>0</formula1>
    </dataValidation>
    <dataValidation type="decimal" operator="greaterThan" allowBlank="1" showInputMessage="1" showErrorMessage="1" sqref="E3768">
      <formula1>0</formula1>
    </dataValidation>
    <dataValidation type="whole" operator="greaterThan" allowBlank="1" showInputMessage="1" showErrorMessage="1" sqref="A3769">
      <formula1>0</formula1>
    </dataValidation>
    <dataValidation type="list" allowBlank="1" showInputMessage="1" showErrorMessage="1" sqref="C3769">
      <formula1>UnidadesList</formula1>
    </dataValidation>
    <dataValidation type="decimal" operator="greaterThan" allowBlank="1" showInputMessage="1" showErrorMessage="1" sqref="D3769">
      <formula1>0</formula1>
    </dataValidation>
    <dataValidation type="decimal" operator="greaterThan" allowBlank="1" showInputMessage="1" showErrorMessage="1" sqref="E3769">
      <formula1>0</formula1>
    </dataValidation>
    <dataValidation type="whole" operator="greaterThan" allowBlank="1" showInputMessage="1" showErrorMessage="1" sqref="A3770">
      <formula1>0</formula1>
    </dataValidation>
    <dataValidation type="list" allowBlank="1" showInputMessage="1" showErrorMessage="1" sqref="C3770">
      <formula1>UnidadesList</formula1>
    </dataValidation>
    <dataValidation type="decimal" operator="greaterThan" allowBlank="1" showInputMessage="1" showErrorMessage="1" sqref="D3770">
      <formula1>0</formula1>
    </dataValidation>
    <dataValidation type="decimal" operator="greaterThan" allowBlank="1" showInputMessage="1" showErrorMessage="1" sqref="E3770">
      <formula1>0</formula1>
    </dataValidation>
    <dataValidation type="whole" operator="greaterThan" allowBlank="1" showInputMessage="1" showErrorMessage="1" sqref="A3771">
      <formula1>0</formula1>
    </dataValidation>
    <dataValidation type="list" allowBlank="1" showInputMessage="1" showErrorMessage="1" sqref="C3771">
      <formula1>UnidadesList</formula1>
    </dataValidation>
    <dataValidation type="decimal" operator="greaterThan" allowBlank="1" showInputMessage="1" showErrorMessage="1" sqref="D3771">
      <formula1>0</formula1>
    </dataValidation>
    <dataValidation type="decimal" operator="greaterThan" allowBlank="1" showInputMessage="1" showErrorMessage="1" sqref="E3771">
      <formula1>0</formula1>
    </dataValidation>
    <dataValidation type="whole" operator="greaterThan" allowBlank="1" showInputMessage="1" showErrorMessage="1" sqref="A3772">
      <formula1>0</formula1>
    </dataValidation>
    <dataValidation type="list" allowBlank="1" showInputMessage="1" showErrorMessage="1" sqref="C3772">
      <formula1>UnidadesList</formula1>
    </dataValidation>
    <dataValidation type="decimal" operator="greaterThan" allowBlank="1" showInputMessage="1" showErrorMessage="1" sqref="D3772">
      <formula1>0</formula1>
    </dataValidation>
    <dataValidation type="decimal" operator="greaterThan" allowBlank="1" showInputMessage="1" showErrorMessage="1" sqref="E3772">
      <formula1>0</formula1>
    </dataValidation>
    <dataValidation type="whole" operator="greaterThan" allowBlank="1" showInputMessage="1" showErrorMessage="1" sqref="A3773">
      <formula1>0</formula1>
    </dataValidation>
    <dataValidation type="list" allowBlank="1" showInputMessage="1" showErrorMessage="1" sqref="C3773">
      <formula1>UnidadesList</formula1>
    </dataValidation>
    <dataValidation type="decimal" operator="greaterThan" allowBlank="1" showInputMessage="1" showErrorMessage="1" sqref="D3773">
      <formula1>0</formula1>
    </dataValidation>
    <dataValidation type="decimal" operator="greaterThan" allowBlank="1" showInputMessage="1" showErrorMessage="1" sqref="E3773">
      <formula1>0</formula1>
    </dataValidation>
    <dataValidation type="whole" operator="greaterThan" allowBlank="1" showInputMessage="1" showErrorMessage="1" sqref="A3774">
      <formula1>0</formula1>
    </dataValidation>
    <dataValidation type="list" allowBlank="1" showInputMessage="1" showErrorMessage="1" sqref="C3774">
      <formula1>UnidadesList</formula1>
    </dataValidation>
    <dataValidation type="decimal" operator="greaterThan" allowBlank="1" showInputMessage="1" showErrorMessage="1" sqref="D3774">
      <formula1>0</formula1>
    </dataValidation>
    <dataValidation type="decimal" operator="greaterThan" allowBlank="1" showInputMessage="1" showErrorMessage="1" sqref="E3774">
      <formula1>0</formula1>
    </dataValidation>
    <dataValidation type="whole" operator="greaterThan" allowBlank="1" showInputMessage="1" showErrorMessage="1" sqref="A3775">
      <formula1>0</formula1>
    </dataValidation>
    <dataValidation type="list" allowBlank="1" showInputMessage="1" showErrorMessage="1" sqref="C3775">
      <formula1>UnidadesList</formula1>
    </dataValidation>
    <dataValidation type="decimal" operator="greaterThan" allowBlank="1" showInputMessage="1" showErrorMessage="1" sqref="D3775">
      <formula1>0</formula1>
    </dataValidation>
    <dataValidation type="decimal" operator="greaterThan" allowBlank="1" showInputMessage="1" showErrorMessage="1" sqref="E3775">
      <formula1>0</formula1>
    </dataValidation>
    <dataValidation type="whole" operator="greaterThan" allowBlank="1" showInputMessage="1" showErrorMessage="1" sqref="A3776">
      <formula1>0</formula1>
    </dataValidation>
    <dataValidation type="list" allowBlank="1" showInputMessage="1" showErrorMessage="1" sqref="C3776">
      <formula1>UnidadesList</formula1>
    </dataValidation>
    <dataValidation type="decimal" operator="greaterThan" allowBlank="1" showInputMessage="1" showErrorMessage="1" sqref="D3776">
      <formula1>0</formula1>
    </dataValidation>
    <dataValidation type="decimal" operator="greaterThan" allowBlank="1" showInputMessage="1" showErrorMessage="1" sqref="E3776">
      <formula1>0</formula1>
    </dataValidation>
    <dataValidation type="whole" operator="greaterThan" allowBlank="1" showInputMessage="1" showErrorMessage="1" sqref="A3777">
      <formula1>0</formula1>
    </dataValidation>
    <dataValidation type="list" allowBlank="1" showInputMessage="1" showErrorMessage="1" sqref="C3777">
      <formula1>UnidadesList</formula1>
    </dataValidation>
    <dataValidation type="decimal" operator="greaterThan" allowBlank="1" showInputMessage="1" showErrorMessage="1" sqref="D3777">
      <formula1>0</formula1>
    </dataValidation>
    <dataValidation type="decimal" operator="greaterThan" allowBlank="1" showInputMessage="1" showErrorMessage="1" sqref="E3777">
      <formula1>0</formula1>
    </dataValidation>
    <dataValidation type="whole" operator="greaterThan" allowBlank="1" showInputMessage="1" showErrorMessage="1" sqref="A3778">
      <formula1>0</formula1>
    </dataValidation>
    <dataValidation type="list" allowBlank="1" showInputMessage="1" showErrorMessage="1" sqref="C3778">
      <formula1>UnidadesList</formula1>
    </dataValidation>
    <dataValidation type="decimal" operator="greaterThan" allowBlank="1" showInputMessage="1" showErrorMessage="1" sqref="D3778">
      <formula1>0</formula1>
    </dataValidation>
    <dataValidation type="decimal" operator="greaterThan" allowBlank="1" showInputMessage="1" showErrorMessage="1" sqref="E3778">
      <formula1>0</formula1>
    </dataValidation>
    <dataValidation type="whole" operator="greaterThan" allowBlank="1" showInputMessage="1" showErrorMessage="1" sqref="A3779">
      <formula1>0</formula1>
    </dataValidation>
    <dataValidation type="list" allowBlank="1" showInputMessage="1" showErrorMessage="1" sqref="C3779">
      <formula1>UnidadesList</formula1>
    </dataValidation>
    <dataValidation type="decimal" operator="greaterThan" allowBlank="1" showInputMessage="1" showErrorMessage="1" sqref="D3779">
      <formula1>0</formula1>
    </dataValidation>
    <dataValidation type="decimal" operator="greaterThan" allowBlank="1" showInputMessage="1" showErrorMessage="1" sqref="E3779">
      <formula1>0</formula1>
    </dataValidation>
    <dataValidation type="whole" operator="greaterThan" allowBlank="1" showInputMessage="1" showErrorMessage="1" sqref="A3780">
      <formula1>0</formula1>
    </dataValidation>
    <dataValidation type="list" allowBlank="1" showInputMessage="1" showErrorMessage="1" sqref="C3780">
      <formula1>UnidadesList</formula1>
    </dataValidation>
    <dataValidation type="decimal" operator="greaterThan" allowBlank="1" showInputMessage="1" showErrorMessage="1" sqref="D3780">
      <formula1>0</formula1>
    </dataValidation>
    <dataValidation type="decimal" operator="greaterThan" allowBlank="1" showInputMessage="1" showErrorMessage="1" sqref="E3780">
      <formula1>0</formula1>
    </dataValidation>
    <dataValidation type="whole" operator="greaterThan" allowBlank="1" showInputMessage="1" showErrorMessage="1" sqref="A3781">
      <formula1>0</formula1>
    </dataValidation>
    <dataValidation type="list" allowBlank="1" showInputMessage="1" showErrorMessage="1" sqref="C3781">
      <formula1>UnidadesList</formula1>
    </dataValidation>
    <dataValidation type="decimal" operator="greaterThan" allowBlank="1" showInputMessage="1" showErrorMessage="1" sqref="D3781">
      <formula1>0</formula1>
    </dataValidation>
    <dataValidation type="decimal" operator="greaterThan" allowBlank="1" showInputMessage="1" showErrorMessage="1" sqref="E3781">
      <formula1>0</formula1>
    </dataValidation>
    <dataValidation type="whole" operator="greaterThan" allowBlank="1" showInputMessage="1" showErrorMessage="1" sqref="A3782">
      <formula1>0</formula1>
    </dataValidation>
    <dataValidation type="list" allowBlank="1" showInputMessage="1" showErrorMessage="1" sqref="C3782">
      <formula1>UnidadesList</formula1>
    </dataValidation>
    <dataValidation type="decimal" operator="greaterThan" allowBlank="1" showInputMessage="1" showErrorMessage="1" sqref="D3782">
      <formula1>0</formula1>
    </dataValidation>
    <dataValidation type="decimal" operator="greaterThan" allowBlank="1" showInputMessage="1" showErrorMessage="1" sqref="E3782">
      <formula1>0</formula1>
    </dataValidation>
    <dataValidation type="whole" operator="greaterThan" allowBlank="1" showInputMessage="1" showErrorMessage="1" sqref="A3783">
      <formula1>0</formula1>
    </dataValidation>
    <dataValidation type="list" allowBlank="1" showInputMessage="1" showErrorMessage="1" sqref="C3783">
      <formula1>UnidadesList</formula1>
    </dataValidation>
    <dataValidation type="decimal" operator="greaterThan" allowBlank="1" showInputMessage="1" showErrorMessage="1" sqref="D3783">
      <formula1>0</formula1>
    </dataValidation>
    <dataValidation type="decimal" operator="greaterThan" allowBlank="1" showInputMessage="1" showErrorMessage="1" sqref="E3783">
      <formula1>0</formula1>
    </dataValidation>
    <dataValidation type="whole" operator="greaterThan" allowBlank="1" showInputMessage="1" showErrorMessage="1" sqref="A3784">
      <formula1>0</formula1>
    </dataValidation>
    <dataValidation type="list" allowBlank="1" showInputMessage="1" showErrorMessage="1" sqref="C3784">
      <formula1>UnidadesList</formula1>
    </dataValidation>
    <dataValidation type="decimal" operator="greaterThan" allowBlank="1" showInputMessage="1" showErrorMessage="1" sqref="D3784">
      <formula1>0</formula1>
    </dataValidation>
    <dataValidation type="decimal" operator="greaterThan" allowBlank="1" showInputMessage="1" showErrorMessage="1" sqref="E3784">
      <formula1>0</formula1>
    </dataValidation>
    <dataValidation type="whole" operator="greaterThan" allowBlank="1" showInputMessage="1" showErrorMessage="1" sqref="A3785">
      <formula1>0</formula1>
    </dataValidation>
    <dataValidation type="list" allowBlank="1" showInputMessage="1" showErrorMessage="1" sqref="C3785">
      <formula1>UnidadesList</formula1>
    </dataValidation>
    <dataValidation type="decimal" operator="greaterThan" allowBlank="1" showInputMessage="1" showErrorMessage="1" sqref="D3785">
      <formula1>0</formula1>
    </dataValidation>
    <dataValidation type="decimal" operator="greaterThan" allowBlank="1" showInputMessage="1" showErrorMessage="1" sqref="E3785">
      <formula1>0</formula1>
    </dataValidation>
    <dataValidation type="whole" operator="greaterThan" allowBlank="1" showInputMessage="1" showErrorMessage="1" sqref="A3786">
      <formula1>0</formula1>
    </dataValidation>
    <dataValidation type="list" allowBlank="1" showInputMessage="1" showErrorMessage="1" sqref="C3786">
      <formula1>UnidadesList</formula1>
    </dataValidation>
    <dataValidation type="decimal" operator="greaterThan" allowBlank="1" showInputMessage="1" showErrorMessage="1" sqref="D3786">
      <formula1>0</formula1>
    </dataValidation>
    <dataValidation type="decimal" operator="greaterThan" allowBlank="1" showInputMessage="1" showErrorMessage="1" sqref="E3786">
      <formula1>0</formula1>
    </dataValidation>
    <dataValidation type="whole" operator="greaterThan" allowBlank="1" showInputMessage="1" showErrorMessage="1" sqref="A3787">
      <formula1>0</formula1>
    </dataValidation>
    <dataValidation type="list" allowBlank="1" showInputMessage="1" showErrorMessage="1" sqref="C3787">
      <formula1>UnidadesList</formula1>
    </dataValidation>
    <dataValidation type="decimal" operator="greaterThan" allowBlank="1" showInputMessage="1" showErrorMessage="1" sqref="D3787">
      <formula1>0</formula1>
    </dataValidation>
    <dataValidation type="decimal" operator="greaterThan" allowBlank="1" showInputMessage="1" showErrorMessage="1" sqref="E3787">
      <formula1>0</formula1>
    </dataValidation>
    <dataValidation type="whole" operator="greaterThan" allowBlank="1" showInputMessage="1" showErrorMessage="1" sqref="A3788">
      <formula1>0</formula1>
    </dataValidation>
    <dataValidation type="list" allowBlank="1" showInputMessage="1" showErrorMessage="1" sqref="C3788">
      <formula1>UnidadesList</formula1>
    </dataValidation>
    <dataValidation type="decimal" operator="greaterThan" allowBlank="1" showInputMessage="1" showErrorMessage="1" sqref="D3788">
      <formula1>0</formula1>
    </dataValidation>
    <dataValidation type="decimal" operator="greaterThan" allowBlank="1" showInputMessage="1" showErrorMessage="1" sqref="E3788">
      <formula1>0</formula1>
    </dataValidation>
    <dataValidation type="whole" operator="greaterThan" allowBlank="1" showInputMessage="1" showErrorMessage="1" sqref="A3789">
      <formula1>0</formula1>
    </dataValidation>
    <dataValidation type="list" allowBlank="1" showInputMessage="1" showErrorMessage="1" sqref="C3789">
      <formula1>UnidadesList</formula1>
    </dataValidation>
    <dataValidation type="decimal" operator="greaterThan" allowBlank="1" showInputMessage="1" showErrorMessage="1" sqref="D3789">
      <formula1>0</formula1>
    </dataValidation>
    <dataValidation type="decimal" operator="greaterThan" allowBlank="1" showInputMessage="1" showErrorMessage="1" sqref="E3789">
      <formula1>0</formula1>
    </dataValidation>
    <dataValidation type="whole" operator="greaterThan" allowBlank="1" showInputMessage="1" showErrorMessage="1" sqref="A3790">
      <formula1>0</formula1>
    </dataValidation>
    <dataValidation type="list" allowBlank="1" showInputMessage="1" showErrorMessage="1" sqref="C3790">
      <formula1>UnidadesList</formula1>
    </dataValidation>
    <dataValidation type="decimal" operator="greaterThan" allowBlank="1" showInputMessage="1" showErrorMessage="1" sqref="D3790">
      <formula1>0</formula1>
    </dataValidation>
    <dataValidation type="decimal" operator="greaterThan" allowBlank="1" showInputMessage="1" showErrorMessage="1" sqref="E3790">
      <formula1>0</formula1>
    </dataValidation>
    <dataValidation type="whole" operator="greaterThan" allowBlank="1" showInputMessage="1" showErrorMessage="1" sqref="A3791">
      <formula1>0</formula1>
    </dataValidation>
    <dataValidation type="list" allowBlank="1" showInputMessage="1" showErrorMessage="1" sqref="C3791">
      <formula1>UnidadesList</formula1>
    </dataValidation>
    <dataValidation type="decimal" operator="greaterThan" allowBlank="1" showInputMessage="1" showErrorMessage="1" sqref="D3791">
      <formula1>0</formula1>
    </dataValidation>
    <dataValidation type="decimal" operator="greaterThan" allowBlank="1" showInputMessage="1" showErrorMessage="1" sqref="E3791">
      <formula1>0</formula1>
    </dataValidation>
    <dataValidation type="whole" operator="greaterThan" allowBlank="1" showInputMessage="1" showErrorMessage="1" sqref="A3792">
      <formula1>0</formula1>
    </dataValidation>
    <dataValidation type="list" allowBlank="1" showInputMessage="1" showErrorMessage="1" sqref="C3792">
      <formula1>UnidadesList</formula1>
    </dataValidation>
    <dataValidation type="decimal" operator="greaterThan" allowBlank="1" showInputMessage="1" showErrorMessage="1" sqref="D3792">
      <formula1>0</formula1>
    </dataValidation>
    <dataValidation type="decimal" operator="greaterThan" allowBlank="1" showInputMessage="1" showErrorMessage="1" sqref="E3792">
      <formula1>0</formula1>
    </dataValidation>
    <dataValidation type="whole" operator="greaterThan" allowBlank="1" showInputMessage="1" showErrorMessage="1" sqref="A3793">
      <formula1>0</formula1>
    </dataValidation>
    <dataValidation type="list" allowBlank="1" showInputMessage="1" showErrorMessage="1" sqref="C3793">
      <formula1>UnidadesList</formula1>
    </dataValidation>
    <dataValidation type="decimal" operator="greaterThan" allowBlank="1" showInputMessage="1" showErrorMessage="1" sqref="D3793">
      <formula1>0</formula1>
    </dataValidation>
    <dataValidation type="decimal" operator="greaterThan" allowBlank="1" showInputMessage="1" showErrorMessage="1" sqref="E3793">
      <formula1>0</formula1>
    </dataValidation>
    <dataValidation type="whole" operator="greaterThan" allowBlank="1" showInputMessage="1" showErrorMessage="1" sqref="A3794">
      <formula1>0</formula1>
    </dataValidation>
    <dataValidation type="list" allowBlank="1" showInputMessage="1" showErrorMessage="1" sqref="C3794">
      <formula1>UnidadesList</formula1>
    </dataValidation>
    <dataValidation type="decimal" operator="greaterThan" allowBlank="1" showInputMessage="1" showErrorMessage="1" sqref="D3794">
      <formula1>0</formula1>
    </dataValidation>
    <dataValidation type="decimal" operator="greaterThan" allowBlank="1" showInputMessage="1" showErrorMessage="1" sqref="E3794">
      <formula1>0</formula1>
    </dataValidation>
    <dataValidation type="whole" operator="greaterThan" allowBlank="1" showInputMessage="1" showErrorMessage="1" sqref="A3795">
      <formula1>0</formula1>
    </dataValidation>
    <dataValidation type="list" allowBlank="1" showInputMessage="1" showErrorMessage="1" sqref="C3795">
      <formula1>UnidadesList</formula1>
    </dataValidation>
    <dataValidation type="decimal" operator="greaterThan" allowBlank="1" showInputMessage="1" showErrorMessage="1" sqref="D3795">
      <formula1>0</formula1>
    </dataValidation>
    <dataValidation type="decimal" operator="greaterThan" allowBlank="1" showInputMessage="1" showErrorMessage="1" sqref="E3795">
      <formula1>0</formula1>
    </dataValidation>
    <dataValidation type="whole" operator="greaterThan" allowBlank="1" showInputMessage="1" showErrorMessage="1" sqref="A3796">
      <formula1>0</formula1>
    </dataValidation>
    <dataValidation type="list" allowBlank="1" showInputMessage="1" showErrorMessage="1" sqref="C3796">
      <formula1>UnidadesList</formula1>
    </dataValidation>
    <dataValidation type="decimal" operator="greaterThan" allowBlank="1" showInputMessage="1" showErrorMessage="1" sqref="D3796">
      <formula1>0</formula1>
    </dataValidation>
    <dataValidation type="decimal" operator="greaterThan" allowBlank="1" showInputMessage="1" showErrorMessage="1" sqref="E3796">
      <formula1>0</formula1>
    </dataValidation>
    <dataValidation type="whole" operator="greaterThan" allowBlank="1" showInputMessage="1" showErrorMessage="1" sqref="A3797">
      <formula1>0</formula1>
    </dataValidation>
    <dataValidation type="list" allowBlank="1" showInputMessage="1" showErrorMessage="1" sqref="C3797">
      <formula1>UnidadesList</formula1>
    </dataValidation>
    <dataValidation type="decimal" operator="greaterThan" allowBlank="1" showInputMessage="1" showErrorMessage="1" sqref="D3797">
      <formula1>0</formula1>
    </dataValidation>
    <dataValidation type="decimal" operator="greaterThan" allowBlank="1" showInputMessage="1" showErrorMessage="1" sqref="E3797">
      <formula1>0</formula1>
    </dataValidation>
    <dataValidation type="whole" operator="greaterThan" allowBlank="1" showInputMessage="1" showErrorMessage="1" sqref="A3798">
      <formula1>0</formula1>
    </dataValidation>
    <dataValidation type="list" allowBlank="1" showInputMessage="1" showErrorMessage="1" sqref="C3798">
      <formula1>UnidadesList</formula1>
    </dataValidation>
    <dataValidation type="decimal" operator="greaterThan" allowBlank="1" showInputMessage="1" showErrorMessage="1" sqref="D3798">
      <formula1>0</formula1>
    </dataValidation>
    <dataValidation type="decimal" operator="greaterThan" allowBlank="1" showInputMessage="1" showErrorMessage="1" sqref="E3798">
      <formula1>0</formula1>
    </dataValidation>
    <dataValidation type="whole" operator="greaterThan" allowBlank="1" showInputMessage="1" showErrorMessage="1" sqref="A3799">
      <formula1>0</formula1>
    </dataValidation>
    <dataValidation type="list" allowBlank="1" showInputMessage="1" showErrorMessage="1" sqref="C3799">
      <formula1>UnidadesList</formula1>
    </dataValidation>
    <dataValidation type="decimal" operator="greaterThan" allowBlank="1" showInputMessage="1" showErrorMessage="1" sqref="D3799">
      <formula1>0</formula1>
    </dataValidation>
    <dataValidation type="decimal" operator="greaterThan" allowBlank="1" showInputMessage="1" showErrorMessage="1" sqref="E3799">
      <formula1>0</formula1>
    </dataValidation>
    <dataValidation type="whole" operator="greaterThan" allowBlank="1" showInputMessage="1" showErrorMessage="1" sqref="A3800">
      <formula1>0</formula1>
    </dataValidation>
    <dataValidation type="list" allowBlank="1" showInputMessage="1" showErrorMessage="1" sqref="C3800">
      <formula1>UnidadesList</formula1>
    </dataValidation>
    <dataValidation type="decimal" operator="greaterThan" allowBlank="1" showInputMessage="1" showErrorMessage="1" sqref="D3800">
      <formula1>0</formula1>
    </dataValidation>
    <dataValidation type="decimal" operator="greaterThan" allowBlank="1" showInputMessage="1" showErrorMessage="1" sqref="E3800">
      <formula1>0</formula1>
    </dataValidation>
    <dataValidation type="whole" operator="greaterThan" allowBlank="1" showInputMessage="1" showErrorMessage="1" sqref="A3801">
      <formula1>0</formula1>
    </dataValidation>
    <dataValidation type="list" allowBlank="1" showInputMessage="1" showErrorMessage="1" sqref="C3801">
      <formula1>UnidadesList</formula1>
    </dataValidation>
    <dataValidation type="decimal" operator="greaterThan" allowBlank="1" showInputMessage="1" showErrorMessage="1" sqref="D3801">
      <formula1>0</formula1>
    </dataValidation>
    <dataValidation type="decimal" operator="greaterThan" allowBlank="1" showInputMessage="1" showErrorMessage="1" sqref="E3801">
      <formula1>0</formula1>
    </dataValidation>
    <dataValidation type="whole" operator="greaterThan" allowBlank="1" showInputMessage="1" showErrorMessage="1" sqref="A3802">
      <formula1>0</formula1>
    </dataValidation>
    <dataValidation type="list" allowBlank="1" showInputMessage="1" showErrorMessage="1" sqref="C3802">
      <formula1>UnidadesList</formula1>
    </dataValidation>
    <dataValidation type="decimal" operator="greaterThan" allowBlank="1" showInputMessage="1" showErrorMessage="1" sqref="D3802">
      <formula1>0</formula1>
    </dataValidation>
    <dataValidation type="decimal" operator="greaterThan" allowBlank="1" showInputMessage="1" showErrorMessage="1" sqref="E3802">
      <formula1>0</formula1>
    </dataValidation>
    <dataValidation type="whole" operator="greaterThan" allowBlank="1" showInputMessage="1" showErrorMessage="1" sqref="A3803">
      <formula1>0</formula1>
    </dataValidation>
    <dataValidation type="list" allowBlank="1" showInputMessage="1" showErrorMessage="1" sqref="C3803">
      <formula1>UnidadesList</formula1>
    </dataValidation>
    <dataValidation type="decimal" operator="greaterThan" allowBlank="1" showInputMessage="1" showErrorMessage="1" sqref="D3803">
      <formula1>0</formula1>
    </dataValidation>
    <dataValidation type="decimal" operator="greaterThan" allowBlank="1" showInputMessage="1" showErrorMessage="1" sqref="E3803">
      <formula1>0</formula1>
    </dataValidation>
    <dataValidation type="whole" operator="greaterThan" allowBlank="1" showInputMessage="1" showErrorMessage="1" sqref="A3804">
      <formula1>0</formula1>
    </dataValidation>
    <dataValidation type="list" allowBlank="1" showInputMessage="1" showErrorMessage="1" sqref="C3804">
      <formula1>UnidadesList</formula1>
    </dataValidation>
    <dataValidation type="decimal" operator="greaterThan" allowBlank="1" showInputMessage="1" showErrorMessage="1" sqref="D3804">
      <formula1>0</formula1>
    </dataValidation>
    <dataValidation type="decimal" operator="greaterThan" allowBlank="1" showInputMessage="1" showErrorMessage="1" sqref="E3804">
      <formula1>0</formula1>
    </dataValidation>
    <dataValidation type="whole" operator="greaterThan" allowBlank="1" showInputMessage="1" showErrorMessage="1" sqref="A3805">
      <formula1>0</formula1>
    </dataValidation>
    <dataValidation type="list" allowBlank="1" showInputMessage="1" showErrorMessage="1" sqref="C3805">
      <formula1>UnidadesList</formula1>
    </dataValidation>
    <dataValidation type="decimal" operator="greaterThan" allowBlank="1" showInputMessage="1" showErrorMessage="1" sqref="D3805">
      <formula1>0</formula1>
    </dataValidation>
    <dataValidation type="decimal" operator="greaterThan" allowBlank="1" showInputMessage="1" showErrorMessage="1" sqref="E3805">
      <formula1>0</formula1>
    </dataValidation>
    <dataValidation type="whole" operator="greaterThan" allowBlank="1" showInputMessage="1" showErrorMessage="1" sqref="A3806">
      <formula1>0</formula1>
    </dataValidation>
    <dataValidation type="list" allowBlank="1" showInputMessage="1" showErrorMessage="1" sqref="C3806">
      <formula1>UnidadesList</formula1>
    </dataValidation>
    <dataValidation type="decimal" operator="greaterThan" allowBlank="1" showInputMessage="1" showErrorMessage="1" sqref="D3806">
      <formula1>0</formula1>
    </dataValidation>
    <dataValidation type="decimal" operator="greaterThan" allowBlank="1" showInputMessage="1" showErrorMessage="1" sqref="E3806">
      <formula1>0</formula1>
    </dataValidation>
    <dataValidation type="whole" operator="greaterThan" allowBlank="1" showInputMessage="1" showErrorMessage="1" sqref="A3807">
      <formula1>0</formula1>
    </dataValidation>
    <dataValidation type="list" allowBlank="1" showInputMessage="1" showErrorMessage="1" sqref="C3807">
      <formula1>UnidadesList</formula1>
    </dataValidation>
    <dataValidation type="decimal" operator="greaterThan" allowBlank="1" showInputMessage="1" showErrorMessage="1" sqref="D3807">
      <formula1>0</formula1>
    </dataValidation>
    <dataValidation type="decimal" operator="greaterThan" allowBlank="1" showInputMessage="1" showErrorMessage="1" sqref="E3807">
      <formula1>0</formula1>
    </dataValidation>
    <dataValidation type="whole" operator="greaterThan" allowBlank="1" showInputMessage="1" showErrorMessage="1" sqref="A3808">
      <formula1>0</formula1>
    </dataValidation>
    <dataValidation type="list" allowBlank="1" showInputMessage="1" showErrorMessage="1" sqref="C3808">
      <formula1>UnidadesList</formula1>
    </dataValidation>
    <dataValidation type="decimal" operator="greaterThan" allowBlank="1" showInputMessage="1" showErrorMessage="1" sqref="D3808">
      <formula1>0</formula1>
    </dataValidation>
    <dataValidation type="decimal" operator="greaterThan" allowBlank="1" showInputMessage="1" showErrorMessage="1" sqref="E3808">
      <formula1>0</formula1>
    </dataValidation>
    <dataValidation type="whole" operator="greaterThan" allowBlank="1" showInputMessage="1" showErrorMessage="1" sqref="A3809">
      <formula1>0</formula1>
    </dataValidation>
    <dataValidation type="list" allowBlank="1" showInputMessage="1" showErrorMessage="1" sqref="C3809">
      <formula1>UnidadesList</formula1>
    </dataValidation>
    <dataValidation type="decimal" operator="greaterThan" allowBlank="1" showInputMessage="1" showErrorMessage="1" sqref="D3809">
      <formula1>0</formula1>
    </dataValidation>
    <dataValidation type="decimal" operator="greaterThan" allowBlank="1" showInputMessage="1" showErrorMessage="1" sqref="E3809">
      <formula1>0</formula1>
    </dataValidation>
    <dataValidation type="whole" operator="greaterThan" allowBlank="1" showInputMessage="1" showErrorMessage="1" sqref="A3810">
      <formula1>0</formula1>
    </dataValidation>
    <dataValidation type="list" allowBlank="1" showInputMessage="1" showErrorMessage="1" sqref="C3810">
      <formula1>UnidadesList</formula1>
    </dataValidation>
    <dataValidation type="decimal" operator="greaterThan" allowBlank="1" showInputMessage="1" showErrorMessage="1" sqref="D3810">
      <formula1>0</formula1>
    </dataValidation>
    <dataValidation type="decimal" operator="greaterThan" allowBlank="1" showInputMessage="1" showErrorMessage="1" sqref="E3810">
      <formula1>0</formula1>
    </dataValidation>
    <dataValidation type="whole" operator="greaterThan" allowBlank="1" showInputMessage="1" showErrorMessage="1" sqref="A3811">
      <formula1>0</formula1>
    </dataValidation>
    <dataValidation type="list" allowBlank="1" showInputMessage="1" showErrorMessage="1" sqref="C3811">
      <formula1>UnidadesList</formula1>
    </dataValidation>
    <dataValidation type="decimal" operator="greaterThan" allowBlank="1" showInputMessage="1" showErrorMessage="1" sqref="D3811">
      <formula1>0</formula1>
    </dataValidation>
    <dataValidation type="decimal" operator="greaterThan" allowBlank="1" showInputMessage="1" showErrorMessage="1" sqref="E3811">
      <formula1>0</formula1>
    </dataValidation>
    <dataValidation type="whole" operator="greaterThan" allowBlank="1" showInputMessage="1" showErrorMessage="1" sqref="A3812">
      <formula1>0</formula1>
    </dataValidation>
    <dataValidation type="list" allowBlank="1" showInputMessage="1" showErrorMessage="1" sqref="C3812">
      <formula1>UnidadesList</formula1>
    </dataValidation>
    <dataValidation type="decimal" operator="greaterThan" allowBlank="1" showInputMessage="1" showErrorMessage="1" sqref="D3812">
      <formula1>0</formula1>
    </dataValidation>
    <dataValidation type="decimal" operator="greaterThan" allowBlank="1" showInputMessage="1" showErrorMessage="1" sqref="E3812">
      <formula1>0</formula1>
    </dataValidation>
    <dataValidation type="whole" operator="greaterThan" allowBlank="1" showInputMessage="1" showErrorMessage="1" sqref="A3813">
      <formula1>0</formula1>
    </dataValidation>
    <dataValidation type="list" allowBlank="1" showInputMessage="1" showErrorMessage="1" sqref="C3813">
      <formula1>UnidadesList</formula1>
    </dataValidation>
    <dataValidation type="decimal" operator="greaterThan" allowBlank="1" showInputMessage="1" showErrorMessage="1" sqref="D3813">
      <formula1>0</formula1>
    </dataValidation>
    <dataValidation type="decimal" operator="greaterThan" allowBlank="1" showInputMessage="1" showErrorMessage="1" sqref="E3813">
      <formula1>0</formula1>
    </dataValidation>
    <dataValidation type="whole" operator="greaterThan" allowBlank="1" showInputMessage="1" showErrorMessage="1" sqref="A3814">
      <formula1>0</formula1>
    </dataValidation>
    <dataValidation type="list" allowBlank="1" showInputMessage="1" showErrorMessage="1" sqref="C3814">
      <formula1>UnidadesList</formula1>
    </dataValidation>
    <dataValidation type="decimal" operator="greaterThan" allowBlank="1" showInputMessage="1" showErrorMessage="1" sqref="D3814">
      <formula1>0</formula1>
    </dataValidation>
    <dataValidation type="decimal" operator="greaterThan" allowBlank="1" showInputMessage="1" showErrorMessage="1" sqref="E3814">
      <formula1>0</formula1>
    </dataValidation>
    <dataValidation type="whole" operator="greaterThan" allowBlank="1" showInputMessage="1" showErrorMessage="1" sqref="A3815">
      <formula1>0</formula1>
    </dataValidation>
    <dataValidation type="list" allowBlank="1" showInputMessage="1" showErrorMessage="1" sqref="C3815">
      <formula1>UnidadesList</formula1>
    </dataValidation>
    <dataValidation type="decimal" operator="greaterThan" allowBlank="1" showInputMessage="1" showErrorMessage="1" sqref="D3815">
      <formula1>0</formula1>
    </dataValidation>
    <dataValidation type="decimal" operator="greaterThan" allowBlank="1" showInputMessage="1" showErrorMessage="1" sqref="E3815">
      <formula1>0</formula1>
    </dataValidation>
    <dataValidation type="whole" operator="greaterThan" allowBlank="1" showInputMessage="1" showErrorMessage="1" sqref="A3816">
      <formula1>0</formula1>
    </dataValidation>
    <dataValidation type="list" allowBlank="1" showInputMessage="1" showErrorMessage="1" sqref="C3816">
      <formula1>UnidadesList</formula1>
    </dataValidation>
    <dataValidation type="decimal" operator="greaterThan" allowBlank="1" showInputMessage="1" showErrorMessage="1" sqref="D3816">
      <formula1>0</formula1>
    </dataValidation>
    <dataValidation type="decimal" operator="greaterThan" allowBlank="1" showInputMessage="1" showErrorMessage="1" sqref="E3816">
      <formula1>0</formula1>
    </dataValidation>
    <dataValidation type="whole" operator="greaterThan" allowBlank="1" showInputMessage="1" showErrorMessage="1" sqref="A3817">
      <formula1>0</formula1>
    </dataValidation>
    <dataValidation type="list" allowBlank="1" showInputMessage="1" showErrorMessage="1" sqref="C3817">
      <formula1>UnidadesList</formula1>
    </dataValidation>
    <dataValidation type="decimal" operator="greaterThan" allowBlank="1" showInputMessage="1" showErrorMessage="1" sqref="D3817">
      <formula1>0</formula1>
    </dataValidation>
    <dataValidation type="decimal" operator="greaterThan" allowBlank="1" showInputMessage="1" showErrorMessage="1" sqref="E3817">
      <formula1>0</formula1>
    </dataValidation>
    <dataValidation type="whole" operator="greaterThan" allowBlank="1" showInputMessage="1" showErrorMessage="1" sqref="A3818">
      <formula1>0</formula1>
    </dataValidation>
    <dataValidation type="list" allowBlank="1" showInputMessage="1" showErrorMessage="1" sqref="C3818">
      <formula1>UnidadesList</formula1>
    </dataValidation>
    <dataValidation type="decimal" operator="greaterThan" allowBlank="1" showInputMessage="1" showErrorMessage="1" sqref="D3818">
      <formula1>0</formula1>
    </dataValidation>
    <dataValidation type="decimal" operator="greaterThan" allowBlank="1" showInputMessage="1" showErrorMessage="1" sqref="E3818">
      <formula1>0</formula1>
    </dataValidation>
    <dataValidation type="whole" operator="greaterThan" allowBlank="1" showInputMessage="1" showErrorMessage="1" sqref="A3819">
      <formula1>0</formula1>
    </dataValidation>
    <dataValidation type="list" allowBlank="1" showInputMessage="1" showErrorMessage="1" sqref="C3819">
      <formula1>UnidadesList</formula1>
    </dataValidation>
    <dataValidation type="decimal" operator="greaterThan" allowBlank="1" showInputMessage="1" showErrorMessage="1" sqref="D3819">
      <formula1>0</formula1>
    </dataValidation>
    <dataValidation type="decimal" operator="greaterThan" allowBlank="1" showInputMessage="1" showErrorMessage="1" sqref="E3819">
      <formula1>0</formula1>
    </dataValidation>
    <dataValidation type="whole" operator="greaterThan" allowBlank="1" showInputMessage="1" showErrorMessage="1" sqref="A3820">
      <formula1>0</formula1>
    </dataValidation>
    <dataValidation type="list" allowBlank="1" showInputMessage="1" showErrorMessage="1" sqref="C3820">
      <formula1>UnidadesList</formula1>
    </dataValidation>
    <dataValidation type="decimal" operator="greaterThan" allowBlank="1" showInputMessage="1" showErrorMessage="1" sqref="D3820">
      <formula1>0</formula1>
    </dataValidation>
    <dataValidation type="decimal" operator="greaterThan" allowBlank="1" showInputMessage="1" showErrorMessage="1" sqref="E3820">
      <formula1>0</formula1>
    </dataValidation>
    <dataValidation type="whole" operator="greaterThan" allowBlank="1" showInputMessage="1" showErrorMessage="1" sqref="A3821">
      <formula1>0</formula1>
    </dataValidation>
    <dataValidation type="list" allowBlank="1" showInputMessage="1" showErrorMessage="1" sqref="C3821">
      <formula1>UnidadesList</formula1>
    </dataValidation>
    <dataValidation type="decimal" operator="greaterThan" allowBlank="1" showInputMessage="1" showErrorMessage="1" sqref="D3821">
      <formula1>0</formula1>
    </dataValidation>
    <dataValidation type="decimal" operator="greaterThan" allowBlank="1" showInputMessage="1" showErrorMessage="1" sqref="E3821">
      <formula1>0</formula1>
    </dataValidation>
    <dataValidation type="whole" operator="greaterThan" allowBlank="1" showInputMessage="1" showErrorMessage="1" sqref="A3822">
      <formula1>0</formula1>
    </dataValidation>
    <dataValidation type="list" allowBlank="1" showInputMessage="1" showErrorMessage="1" sqref="C3822">
      <formula1>UnidadesList</formula1>
    </dataValidation>
    <dataValidation type="decimal" operator="greaterThan" allowBlank="1" showInputMessage="1" showErrorMessage="1" sqref="D3822">
      <formula1>0</formula1>
    </dataValidation>
    <dataValidation type="decimal" operator="greaterThan" allowBlank="1" showInputMessage="1" showErrorMessage="1" sqref="E3822">
      <formula1>0</formula1>
    </dataValidation>
    <dataValidation type="whole" operator="greaterThan" allowBlank="1" showInputMessage="1" showErrorMessage="1" sqref="A3823">
      <formula1>0</formula1>
    </dataValidation>
    <dataValidation type="list" allowBlank="1" showInputMessage="1" showErrorMessage="1" sqref="C3823">
      <formula1>UnidadesList</formula1>
    </dataValidation>
    <dataValidation type="decimal" operator="greaterThan" allowBlank="1" showInputMessage="1" showErrorMessage="1" sqref="D3823">
      <formula1>0</formula1>
    </dataValidation>
    <dataValidation type="decimal" operator="greaterThan" allowBlank="1" showInputMessage="1" showErrorMessage="1" sqref="E3823">
      <formula1>0</formula1>
    </dataValidation>
    <dataValidation type="whole" operator="greaterThan" allowBlank="1" showInputMessage="1" showErrorMessage="1" sqref="A3824">
      <formula1>0</formula1>
    </dataValidation>
    <dataValidation type="list" allowBlank="1" showInputMessage="1" showErrorMessage="1" sqref="C3824">
      <formula1>UnidadesList</formula1>
    </dataValidation>
    <dataValidation type="decimal" operator="greaterThan" allowBlank="1" showInputMessage="1" showErrorMessage="1" sqref="D3824">
      <formula1>0</formula1>
    </dataValidation>
    <dataValidation type="decimal" operator="greaterThan" allowBlank="1" showInputMessage="1" showErrorMessage="1" sqref="E3824">
      <formula1>0</formula1>
    </dataValidation>
    <dataValidation type="whole" operator="greaterThan" allowBlank="1" showInputMessage="1" showErrorMessage="1" sqref="A3825">
      <formula1>0</formula1>
    </dataValidation>
    <dataValidation type="list" allowBlank="1" showInputMessage="1" showErrorMessage="1" sqref="C3825">
      <formula1>UnidadesList</formula1>
    </dataValidation>
    <dataValidation type="decimal" operator="greaterThan" allowBlank="1" showInputMessage="1" showErrorMessage="1" sqref="D3825">
      <formula1>0</formula1>
    </dataValidation>
    <dataValidation type="decimal" operator="greaterThan" allowBlank="1" showInputMessage="1" showErrorMessage="1" sqref="E3825">
      <formula1>0</formula1>
    </dataValidation>
    <dataValidation type="whole" operator="greaterThan" allowBlank="1" showInputMessage="1" showErrorMessage="1" sqref="A3826">
      <formula1>0</formula1>
    </dataValidation>
    <dataValidation type="list" allowBlank="1" showInputMessage="1" showErrorMessage="1" sqref="C3826">
      <formula1>UnidadesList</formula1>
    </dataValidation>
    <dataValidation type="decimal" operator="greaterThan" allowBlank="1" showInputMessage="1" showErrorMessage="1" sqref="D3826">
      <formula1>0</formula1>
    </dataValidation>
    <dataValidation type="decimal" operator="greaterThan" allowBlank="1" showInputMessage="1" showErrorMessage="1" sqref="E3826">
      <formula1>0</formula1>
    </dataValidation>
    <dataValidation type="whole" operator="greaterThan" allowBlank="1" showInputMessage="1" showErrorMessage="1" sqref="A3827">
      <formula1>0</formula1>
    </dataValidation>
    <dataValidation type="list" allowBlank="1" showInputMessage="1" showErrorMessage="1" sqref="C3827">
      <formula1>UnidadesList</formula1>
    </dataValidation>
    <dataValidation type="decimal" operator="greaterThan" allowBlank="1" showInputMessage="1" showErrorMessage="1" sqref="D3827">
      <formula1>0</formula1>
    </dataValidation>
    <dataValidation type="decimal" operator="greaterThan" allowBlank="1" showInputMessage="1" showErrorMessage="1" sqref="E3827">
      <formula1>0</formula1>
    </dataValidation>
    <dataValidation type="whole" operator="greaterThan" allowBlank="1" showInputMessage="1" showErrorMessage="1" sqref="A3828">
      <formula1>0</formula1>
    </dataValidation>
    <dataValidation type="list" allowBlank="1" showInputMessage="1" showErrorMessage="1" sqref="C3828">
      <formula1>UnidadesList</formula1>
    </dataValidation>
    <dataValidation type="decimal" operator="greaterThan" allowBlank="1" showInputMessage="1" showErrorMessage="1" sqref="D3828">
      <formula1>0</formula1>
    </dataValidation>
    <dataValidation type="decimal" operator="greaterThan" allowBlank="1" showInputMessage="1" showErrorMessage="1" sqref="E3828">
      <formula1>0</formula1>
    </dataValidation>
    <dataValidation type="whole" operator="greaterThan" allowBlank="1" showInputMessage="1" showErrorMessage="1" sqref="A3829">
      <formula1>0</formula1>
    </dataValidation>
    <dataValidation type="list" allowBlank="1" showInputMessage="1" showErrorMessage="1" sqref="C3829">
      <formula1>UnidadesList</formula1>
    </dataValidation>
    <dataValidation type="decimal" operator="greaterThan" allowBlank="1" showInputMessage="1" showErrorMessage="1" sqref="D3829">
      <formula1>0</formula1>
    </dataValidation>
    <dataValidation type="decimal" operator="greaterThan" allowBlank="1" showInputMessage="1" showErrorMessage="1" sqref="E3829">
      <formula1>0</formula1>
    </dataValidation>
    <dataValidation type="whole" operator="greaterThan" allowBlank="1" showInputMessage="1" showErrorMessage="1" sqref="A3830">
      <formula1>0</formula1>
    </dataValidation>
    <dataValidation type="list" allowBlank="1" showInputMessage="1" showErrorMessage="1" sqref="C3830">
      <formula1>UnidadesList</formula1>
    </dataValidation>
    <dataValidation type="decimal" operator="greaterThan" allowBlank="1" showInputMessage="1" showErrorMessage="1" sqref="D3830">
      <formula1>0</formula1>
    </dataValidation>
    <dataValidation type="decimal" operator="greaterThan" allowBlank="1" showInputMessage="1" showErrorMessage="1" sqref="E3830">
      <formula1>0</formula1>
    </dataValidation>
    <dataValidation type="whole" operator="greaterThan" allowBlank="1" showInputMessage="1" showErrorMessage="1" sqref="A3831">
      <formula1>0</formula1>
    </dataValidation>
    <dataValidation type="list" allowBlank="1" showInputMessage="1" showErrorMessage="1" sqref="C3831">
      <formula1>UnidadesList</formula1>
    </dataValidation>
    <dataValidation type="decimal" operator="greaterThan" allowBlank="1" showInputMessage="1" showErrorMessage="1" sqref="D3831">
      <formula1>0</formula1>
    </dataValidation>
    <dataValidation type="decimal" operator="greaterThan" allowBlank="1" showInputMessage="1" showErrorMessage="1" sqref="E3831">
      <formula1>0</formula1>
    </dataValidation>
    <dataValidation type="whole" operator="greaterThan" allowBlank="1" showInputMessage="1" showErrorMessage="1" sqref="A3832">
      <formula1>0</formula1>
    </dataValidation>
    <dataValidation type="list" allowBlank="1" showInputMessage="1" showErrorMessage="1" sqref="C3832">
      <formula1>UnidadesList</formula1>
    </dataValidation>
    <dataValidation type="decimal" operator="greaterThan" allowBlank="1" showInputMessage="1" showErrorMessage="1" sqref="D3832">
      <formula1>0</formula1>
    </dataValidation>
    <dataValidation type="decimal" operator="greaterThan" allowBlank="1" showInputMessage="1" showErrorMessage="1" sqref="E3832">
      <formula1>0</formula1>
    </dataValidation>
    <dataValidation type="whole" operator="greaterThan" allowBlank="1" showInputMessage="1" showErrorMessage="1" sqref="A3833">
      <formula1>0</formula1>
    </dataValidation>
    <dataValidation type="list" allowBlank="1" showInputMessage="1" showErrorMessage="1" sqref="C3833">
      <formula1>UnidadesList</formula1>
    </dataValidation>
    <dataValidation type="decimal" operator="greaterThan" allowBlank="1" showInputMessage="1" showErrorMessage="1" sqref="D3833">
      <formula1>0</formula1>
    </dataValidation>
    <dataValidation type="decimal" operator="greaterThan" allowBlank="1" showInputMessage="1" showErrorMessage="1" sqref="E3833">
      <formula1>0</formula1>
    </dataValidation>
    <dataValidation type="whole" operator="greaterThan" allowBlank="1" showInputMessage="1" showErrorMessage="1" sqref="A3834">
      <formula1>0</formula1>
    </dataValidation>
    <dataValidation type="list" allowBlank="1" showInputMessage="1" showErrorMessage="1" sqref="C3834">
      <formula1>UnidadesList</formula1>
    </dataValidation>
    <dataValidation type="decimal" operator="greaterThan" allowBlank="1" showInputMessage="1" showErrorMessage="1" sqref="D3834">
      <formula1>0</formula1>
    </dataValidation>
    <dataValidation type="decimal" operator="greaterThan" allowBlank="1" showInputMessage="1" showErrorMessage="1" sqref="E3834">
      <formula1>0</formula1>
    </dataValidation>
    <dataValidation type="whole" operator="greaterThan" allowBlank="1" showInputMessage="1" showErrorMessage="1" sqref="A3835">
      <formula1>0</formula1>
    </dataValidation>
    <dataValidation type="list" allowBlank="1" showInputMessage="1" showErrorMessage="1" sqref="C3835">
      <formula1>UnidadesList</formula1>
    </dataValidation>
    <dataValidation type="decimal" operator="greaterThan" allowBlank="1" showInputMessage="1" showErrorMessage="1" sqref="D3835">
      <formula1>0</formula1>
    </dataValidation>
    <dataValidation type="decimal" operator="greaterThan" allowBlank="1" showInputMessage="1" showErrorMessage="1" sqref="E3835">
      <formula1>0</formula1>
    </dataValidation>
    <dataValidation type="whole" operator="greaterThan" allowBlank="1" showInputMessage="1" showErrorMessage="1" sqref="A3836">
      <formula1>0</formula1>
    </dataValidation>
    <dataValidation type="list" allowBlank="1" showInputMessage="1" showErrorMessage="1" sqref="C3836">
      <formula1>UnidadesList</formula1>
    </dataValidation>
    <dataValidation type="decimal" operator="greaterThan" allowBlank="1" showInputMessage="1" showErrorMessage="1" sqref="D3836">
      <formula1>0</formula1>
    </dataValidation>
    <dataValidation type="decimal" operator="greaterThan" allowBlank="1" showInputMessage="1" showErrorMessage="1" sqref="E3836">
      <formula1>0</formula1>
    </dataValidation>
    <dataValidation type="whole" operator="greaterThan" allowBlank="1" showInputMessage="1" showErrorMessage="1" sqref="A3837">
      <formula1>0</formula1>
    </dataValidation>
    <dataValidation type="list" allowBlank="1" showInputMessage="1" showErrorMessage="1" sqref="C3837">
      <formula1>UnidadesList</formula1>
    </dataValidation>
    <dataValidation type="decimal" operator="greaterThan" allowBlank="1" showInputMessage="1" showErrorMessage="1" sqref="D3837">
      <formula1>0</formula1>
    </dataValidation>
    <dataValidation type="decimal" operator="greaterThan" allowBlank="1" showInputMessage="1" showErrorMessage="1" sqref="E3837">
      <formula1>0</formula1>
    </dataValidation>
    <dataValidation type="whole" operator="greaterThan" allowBlank="1" showInputMessage="1" showErrorMessage="1" sqref="A3838">
      <formula1>0</formula1>
    </dataValidation>
    <dataValidation type="list" allowBlank="1" showInputMessage="1" showErrorMessage="1" sqref="C3838">
      <formula1>UnidadesList</formula1>
    </dataValidation>
    <dataValidation type="decimal" operator="greaterThan" allowBlank="1" showInputMessage="1" showErrorMessage="1" sqref="D3838">
      <formula1>0</formula1>
    </dataValidation>
    <dataValidation type="decimal" operator="greaterThan" allowBlank="1" showInputMessage="1" showErrorMessage="1" sqref="E3838">
      <formula1>0</formula1>
    </dataValidation>
    <dataValidation type="whole" operator="greaterThan" allowBlank="1" showInputMessage="1" showErrorMessage="1" sqref="A3839">
      <formula1>0</formula1>
    </dataValidation>
    <dataValidation type="list" allowBlank="1" showInputMessage="1" showErrorMessage="1" sqref="C3839">
      <formula1>UnidadesList</formula1>
    </dataValidation>
    <dataValidation type="decimal" operator="greaterThan" allowBlank="1" showInputMessage="1" showErrorMessage="1" sqref="D3839">
      <formula1>0</formula1>
    </dataValidation>
    <dataValidation type="decimal" operator="greaterThan" allowBlank="1" showInputMessage="1" showErrorMessage="1" sqref="E3839">
      <formula1>0</formula1>
    </dataValidation>
    <dataValidation type="whole" operator="greaterThan" allowBlank="1" showInputMessage="1" showErrorMessage="1" sqref="A3840">
      <formula1>0</formula1>
    </dataValidation>
    <dataValidation type="list" allowBlank="1" showInputMessage="1" showErrorMessage="1" sqref="C3840">
      <formula1>UnidadesList</formula1>
    </dataValidation>
    <dataValidation type="decimal" operator="greaterThan" allowBlank="1" showInputMessage="1" showErrorMessage="1" sqref="D3840">
      <formula1>0</formula1>
    </dataValidation>
    <dataValidation type="decimal" operator="greaterThan" allowBlank="1" showInputMessage="1" showErrorMessage="1" sqref="E3840">
      <formula1>0</formula1>
    </dataValidation>
    <dataValidation type="whole" operator="greaterThan" allowBlank="1" showInputMessage="1" showErrorMessage="1" sqref="A3841">
      <formula1>0</formula1>
    </dataValidation>
    <dataValidation type="list" allowBlank="1" showInputMessage="1" showErrorMessage="1" sqref="C3841">
      <formula1>UnidadesList</formula1>
    </dataValidation>
    <dataValidation type="decimal" operator="greaterThan" allowBlank="1" showInputMessage="1" showErrorMessage="1" sqref="D3841">
      <formula1>0</formula1>
    </dataValidation>
    <dataValidation type="decimal" operator="greaterThan" allowBlank="1" showInputMessage="1" showErrorMessage="1" sqref="E3841">
      <formula1>0</formula1>
    </dataValidation>
    <dataValidation type="whole" operator="greaterThan" allowBlank="1" showInputMessage="1" showErrorMessage="1" sqref="A3842">
      <formula1>0</formula1>
    </dataValidation>
    <dataValidation type="list" allowBlank="1" showInputMessage="1" showErrorMessage="1" sqref="C3842">
      <formula1>UnidadesList</formula1>
    </dataValidation>
    <dataValidation type="decimal" operator="greaterThan" allowBlank="1" showInputMessage="1" showErrorMessage="1" sqref="D3842">
      <formula1>0</formula1>
    </dataValidation>
    <dataValidation type="decimal" operator="greaterThan" allowBlank="1" showInputMessage="1" showErrorMessage="1" sqref="E3842">
      <formula1>0</formula1>
    </dataValidation>
    <dataValidation type="whole" operator="greaterThan" allowBlank="1" showInputMessage="1" showErrorMessage="1" sqref="A3843">
      <formula1>0</formula1>
    </dataValidation>
    <dataValidation type="list" allowBlank="1" showInputMessage="1" showErrorMessage="1" sqref="C3843">
      <formula1>UnidadesList</formula1>
    </dataValidation>
    <dataValidation type="decimal" operator="greaterThan" allowBlank="1" showInputMessage="1" showErrorMessage="1" sqref="D3843">
      <formula1>0</formula1>
    </dataValidation>
    <dataValidation type="decimal" operator="greaterThan" allowBlank="1" showInputMessage="1" showErrorMessage="1" sqref="E3843">
      <formula1>0</formula1>
    </dataValidation>
    <dataValidation type="whole" operator="greaterThan" allowBlank="1" showInputMessage="1" showErrorMessage="1" sqref="A3844">
      <formula1>0</formula1>
    </dataValidation>
    <dataValidation type="list" allowBlank="1" showInputMessage="1" showErrorMessage="1" sqref="C3844">
      <formula1>UnidadesList</formula1>
    </dataValidation>
    <dataValidation type="decimal" operator="greaterThan" allowBlank="1" showInputMessage="1" showErrorMessage="1" sqref="D3844">
      <formula1>0</formula1>
    </dataValidation>
    <dataValidation type="decimal" operator="greaterThan" allowBlank="1" showInputMessage="1" showErrorMessage="1" sqref="E3844">
      <formula1>0</formula1>
    </dataValidation>
    <dataValidation type="whole" operator="greaterThan" allowBlank="1" showInputMessage="1" showErrorMessage="1" sqref="A3845">
      <formula1>0</formula1>
    </dataValidation>
    <dataValidation type="list" allowBlank="1" showInputMessage="1" showErrorMessage="1" sqref="C3845">
      <formula1>UnidadesList</formula1>
    </dataValidation>
    <dataValidation type="decimal" operator="greaterThan" allowBlank="1" showInputMessage="1" showErrorMessage="1" sqref="D3845">
      <formula1>0</formula1>
    </dataValidation>
    <dataValidation type="decimal" operator="greaterThan" allowBlank="1" showInputMessage="1" showErrorMessage="1" sqref="E3845">
      <formula1>0</formula1>
    </dataValidation>
    <dataValidation type="whole" operator="greaterThan" allowBlank="1" showInputMessage="1" showErrorMessage="1" sqref="A3846">
      <formula1>0</formula1>
    </dataValidation>
    <dataValidation type="list" allowBlank="1" showInputMessage="1" showErrorMessage="1" sqref="C3846">
      <formula1>UnidadesList</formula1>
    </dataValidation>
    <dataValidation type="decimal" operator="greaterThan" allowBlank="1" showInputMessage="1" showErrorMessage="1" sqref="D3846">
      <formula1>0</formula1>
    </dataValidation>
    <dataValidation type="decimal" operator="greaterThan" allowBlank="1" showInputMessage="1" showErrorMessage="1" sqref="E3846">
      <formula1>0</formula1>
    </dataValidation>
    <dataValidation type="whole" operator="greaterThan" allowBlank="1" showInputMessage="1" showErrorMessage="1" sqref="A3847">
      <formula1>0</formula1>
    </dataValidation>
    <dataValidation type="list" allowBlank="1" showInputMessage="1" showErrorMessage="1" sqref="C3847">
      <formula1>UnidadesList</formula1>
    </dataValidation>
    <dataValidation type="decimal" operator="greaterThan" allowBlank="1" showInputMessage="1" showErrorMessage="1" sqref="D3847">
      <formula1>0</formula1>
    </dataValidation>
    <dataValidation type="decimal" operator="greaterThan" allowBlank="1" showInputMessage="1" showErrorMessage="1" sqref="E3847">
      <formula1>0</formula1>
    </dataValidation>
    <dataValidation type="whole" operator="greaterThan" allowBlank="1" showInputMessage="1" showErrorMessage="1" sqref="A3848">
      <formula1>0</formula1>
    </dataValidation>
    <dataValidation type="list" allowBlank="1" showInputMessage="1" showErrorMessage="1" sqref="C3848">
      <formula1>UnidadesList</formula1>
    </dataValidation>
    <dataValidation type="decimal" operator="greaterThan" allowBlank="1" showInputMessage="1" showErrorMessage="1" sqref="D3848">
      <formula1>0</formula1>
    </dataValidation>
    <dataValidation type="decimal" operator="greaterThan" allowBlank="1" showInputMessage="1" showErrorMessage="1" sqref="E3848">
      <formula1>0</formula1>
    </dataValidation>
    <dataValidation type="whole" operator="greaterThan" allowBlank="1" showInputMessage="1" showErrorMessage="1" sqref="A3849">
      <formula1>0</formula1>
    </dataValidation>
    <dataValidation type="list" allowBlank="1" showInputMessage="1" showErrorMessage="1" sqref="C3849">
      <formula1>UnidadesList</formula1>
    </dataValidation>
    <dataValidation type="decimal" operator="greaterThan" allowBlank="1" showInputMessage="1" showErrorMessage="1" sqref="D3849">
      <formula1>0</formula1>
    </dataValidation>
    <dataValidation type="decimal" operator="greaterThan" allowBlank="1" showInputMessage="1" showErrorMessage="1" sqref="E3849">
      <formula1>0</formula1>
    </dataValidation>
    <dataValidation type="whole" operator="greaterThan" allowBlank="1" showInputMessage="1" showErrorMessage="1" sqref="A3850">
      <formula1>0</formula1>
    </dataValidation>
    <dataValidation type="list" allowBlank="1" showInputMessage="1" showErrorMessage="1" sqref="C3850">
      <formula1>UnidadesList</formula1>
    </dataValidation>
    <dataValidation type="decimal" operator="greaterThan" allowBlank="1" showInputMessage="1" showErrorMessage="1" sqref="D3850">
      <formula1>0</formula1>
    </dataValidation>
    <dataValidation type="decimal" operator="greaterThan" allowBlank="1" showInputMessage="1" showErrorMessage="1" sqref="E3850">
      <formula1>0</formula1>
    </dataValidation>
    <dataValidation type="whole" operator="greaterThan" allowBlank="1" showInputMessage="1" showErrorMessage="1" sqref="A3851">
      <formula1>0</formula1>
    </dataValidation>
    <dataValidation type="list" allowBlank="1" showInputMessage="1" showErrorMessage="1" sqref="C3851">
      <formula1>UnidadesList</formula1>
    </dataValidation>
    <dataValidation type="decimal" operator="greaterThan" allowBlank="1" showInputMessage="1" showErrorMessage="1" sqref="D3851">
      <formula1>0</formula1>
    </dataValidation>
    <dataValidation type="decimal" operator="greaterThan" allowBlank="1" showInputMessage="1" showErrorMessage="1" sqref="E3851">
      <formula1>0</formula1>
    </dataValidation>
    <dataValidation type="whole" operator="greaterThan" allowBlank="1" showInputMessage="1" showErrorMessage="1" sqref="A3852">
      <formula1>0</formula1>
    </dataValidation>
    <dataValidation type="list" allowBlank="1" showInputMessage="1" showErrorMessage="1" sqref="C3852">
      <formula1>UnidadesList</formula1>
    </dataValidation>
    <dataValidation type="decimal" operator="greaterThan" allowBlank="1" showInputMessage="1" showErrorMessage="1" sqref="D3852">
      <formula1>0</formula1>
    </dataValidation>
    <dataValidation type="decimal" operator="greaterThan" allowBlank="1" showInputMessage="1" showErrorMessage="1" sqref="E3852">
      <formula1>0</formula1>
    </dataValidation>
    <dataValidation type="whole" operator="greaterThan" allowBlank="1" showInputMessage="1" showErrorMessage="1" sqref="A3853">
      <formula1>0</formula1>
    </dataValidation>
    <dataValidation type="list" allowBlank="1" showInputMessage="1" showErrorMessage="1" sqref="C3853">
      <formula1>UnidadesList</formula1>
    </dataValidation>
    <dataValidation type="decimal" operator="greaterThan" allowBlank="1" showInputMessage="1" showErrorMessage="1" sqref="D3853">
      <formula1>0</formula1>
    </dataValidation>
    <dataValidation type="decimal" operator="greaterThan" allowBlank="1" showInputMessage="1" showErrorMessage="1" sqref="E3853">
      <formula1>0</formula1>
    </dataValidation>
    <dataValidation type="whole" operator="greaterThan" allowBlank="1" showInputMessage="1" showErrorMessage="1" sqref="A3854">
      <formula1>0</formula1>
    </dataValidation>
    <dataValidation type="list" allowBlank="1" showInputMessage="1" showErrorMessage="1" sqref="C3854">
      <formula1>UnidadesList</formula1>
    </dataValidation>
    <dataValidation type="decimal" operator="greaterThan" allowBlank="1" showInputMessage="1" showErrorMessage="1" sqref="D3854">
      <formula1>0</formula1>
    </dataValidation>
    <dataValidation type="decimal" operator="greaterThan" allowBlank="1" showInputMessage="1" showErrorMessage="1" sqref="E3854">
      <formula1>0</formula1>
    </dataValidation>
    <dataValidation type="whole" operator="greaterThan" allowBlank="1" showInputMessage="1" showErrorMessage="1" sqref="A3855">
      <formula1>0</formula1>
    </dataValidation>
    <dataValidation type="list" allowBlank="1" showInputMessage="1" showErrorMessage="1" sqref="C3855">
      <formula1>UnidadesList</formula1>
    </dataValidation>
    <dataValidation type="decimal" operator="greaterThan" allowBlank="1" showInputMessage="1" showErrorMessage="1" sqref="D3855">
      <formula1>0</formula1>
    </dataValidation>
    <dataValidation type="decimal" operator="greaterThan" allowBlank="1" showInputMessage="1" showErrorMessage="1" sqref="E3855">
      <formula1>0</formula1>
    </dataValidation>
    <dataValidation type="whole" operator="greaterThan" allowBlank="1" showInputMessage="1" showErrorMessage="1" sqref="A3856">
      <formula1>0</formula1>
    </dataValidation>
    <dataValidation type="list" allowBlank="1" showInputMessage="1" showErrorMessage="1" sqref="C3856">
      <formula1>UnidadesList</formula1>
    </dataValidation>
    <dataValidation type="decimal" operator="greaterThan" allowBlank="1" showInputMessage="1" showErrorMessage="1" sqref="D3856">
      <formula1>0</formula1>
    </dataValidation>
    <dataValidation type="decimal" operator="greaterThan" allowBlank="1" showInputMessage="1" showErrorMessage="1" sqref="E3856">
      <formula1>0</formula1>
    </dataValidation>
    <dataValidation type="whole" operator="greaterThan" allowBlank="1" showInputMessage="1" showErrorMessage="1" sqref="A3857">
      <formula1>0</formula1>
    </dataValidation>
    <dataValidation type="list" allowBlank="1" showInputMessage="1" showErrorMessage="1" sqref="C3857">
      <formula1>UnidadesList</formula1>
    </dataValidation>
    <dataValidation type="decimal" operator="greaterThan" allowBlank="1" showInputMessage="1" showErrorMessage="1" sqref="D3857">
      <formula1>0</formula1>
    </dataValidation>
    <dataValidation type="decimal" operator="greaterThan" allowBlank="1" showInputMessage="1" showErrorMessage="1" sqref="E3857">
      <formula1>0</formula1>
    </dataValidation>
    <dataValidation type="whole" operator="greaterThan" allowBlank="1" showInputMessage="1" showErrorMessage="1" sqref="A3858">
      <formula1>0</formula1>
    </dataValidation>
    <dataValidation type="list" allowBlank="1" showInputMessage="1" showErrorMessage="1" sqref="C3858">
      <formula1>UnidadesList</formula1>
    </dataValidation>
    <dataValidation type="decimal" operator="greaterThan" allowBlank="1" showInputMessage="1" showErrorMessage="1" sqref="D3858">
      <formula1>0</formula1>
    </dataValidation>
    <dataValidation type="decimal" operator="greaterThan" allowBlank="1" showInputMessage="1" showErrorMessage="1" sqref="E3858">
      <formula1>0</formula1>
    </dataValidation>
    <dataValidation type="whole" operator="greaterThan" allowBlank="1" showInputMessage="1" showErrorMessage="1" sqref="A3859">
      <formula1>0</formula1>
    </dataValidation>
    <dataValidation type="list" allowBlank="1" showInputMessage="1" showErrorMessage="1" sqref="C3859">
      <formula1>UnidadesList</formula1>
    </dataValidation>
    <dataValidation type="decimal" operator="greaterThan" allowBlank="1" showInputMessage="1" showErrorMessage="1" sqref="D3859">
      <formula1>0</formula1>
    </dataValidation>
    <dataValidation type="decimal" operator="greaterThan" allowBlank="1" showInputMessage="1" showErrorMessage="1" sqref="E3859">
      <formula1>0</formula1>
    </dataValidation>
    <dataValidation type="whole" operator="greaterThan" allowBlank="1" showInputMessage="1" showErrorMessage="1" sqref="A3860">
      <formula1>0</formula1>
    </dataValidation>
    <dataValidation type="list" allowBlank="1" showInputMessage="1" showErrorMessage="1" sqref="C3860">
      <formula1>UnidadesList</formula1>
    </dataValidation>
    <dataValidation type="decimal" operator="greaterThan" allowBlank="1" showInputMessage="1" showErrorMessage="1" sqref="D3860">
      <formula1>0</formula1>
    </dataValidation>
    <dataValidation type="decimal" operator="greaterThan" allowBlank="1" showInputMessage="1" showErrorMessage="1" sqref="E3860">
      <formula1>0</formula1>
    </dataValidation>
    <dataValidation type="whole" operator="greaterThan" allowBlank="1" showInputMessage="1" showErrorMessage="1" sqref="A3861">
      <formula1>0</formula1>
    </dataValidation>
    <dataValidation type="list" allowBlank="1" showInputMessage="1" showErrorMessage="1" sqref="C3861">
      <formula1>UnidadesList</formula1>
    </dataValidation>
    <dataValidation type="decimal" operator="greaterThan" allowBlank="1" showInputMessage="1" showErrorMessage="1" sqref="D3861">
      <formula1>0</formula1>
    </dataValidation>
    <dataValidation type="decimal" operator="greaterThan" allowBlank="1" showInputMessage="1" showErrorMessage="1" sqref="E3861">
      <formula1>0</formula1>
    </dataValidation>
    <dataValidation type="whole" operator="greaterThan" allowBlank="1" showInputMessage="1" showErrorMessage="1" sqref="A3862">
      <formula1>0</formula1>
    </dataValidation>
    <dataValidation type="list" allowBlank="1" showInputMessage="1" showErrorMessage="1" sqref="C3862">
      <formula1>UnidadesList</formula1>
    </dataValidation>
    <dataValidation type="decimal" operator="greaterThan" allowBlank="1" showInputMessage="1" showErrorMessage="1" sqref="D3862">
      <formula1>0</formula1>
    </dataValidation>
    <dataValidation type="decimal" operator="greaterThan" allowBlank="1" showInputMessage="1" showErrorMessage="1" sqref="E3862">
      <formula1>0</formula1>
    </dataValidation>
    <dataValidation type="whole" operator="greaterThan" allowBlank="1" showInputMessage="1" showErrorMessage="1" sqref="A3863">
      <formula1>0</formula1>
    </dataValidation>
    <dataValidation type="list" allowBlank="1" showInputMessage="1" showErrorMessage="1" sqref="C3863">
      <formula1>UnidadesList</formula1>
    </dataValidation>
    <dataValidation type="decimal" operator="greaterThan" allowBlank="1" showInputMessage="1" showErrorMessage="1" sqref="D3863">
      <formula1>0</formula1>
    </dataValidation>
    <dataValidation type="decimal" operator="greaterThan" allowBlank="1" showInputMessage="1" showErrorMessage="1" sqref="E3863">
      <formula1>0</formula1>
    </dataValidation>
    <dataValidation type="whole" operator="greaterThan" allowBlank="1" showInputMessage="1" showErrorMessage="1" sqref="A3864">
      <formula1>0</formula1>
    </dataValidation>
    <dataValidation type="list" allowBlank="1" showInputMessage="1" showErrorMessage="1" sqref="C3864">
      <formula1>UnidadesList</formula1>
    </dataValidation>
    <dataValidation type="decimal" operator="greaterThan" allowBlank="1" showInputMessage="1" showErrorMessage="1" sqref="D3864">
      <formula1>0</formula1>
    </dataValidation>
    <dataValidation type="decimal" operator="greaterThan" allowBlank="1" showInputMessage="1" showErrorMessage="1" sqref="E3864">
      <formula1>0</formula1>
    </dataValidation>
    <dataValidation type="whole" operator="greaterThan" allowBlank="1" showInputMessage="1" showErrorMessage="1" sqref="A3865">
      <formula1>0</formula1>
    </dataValidation>
    <dataValidation type="list" allowBlank="1" showInputMessage="1" showErrorMessage="1" sqref="C3865">
      <formula1>UnidadesList</formula1>
    </dataValidation>
    <dataValidation type="decimal" operator="greaterThan" allowBlank="1" showInputMessage="1" showErrorMessage="1" sqref="D3865">
      <formula1>0</formula1>
    </dataValidation>
    <dataValidation type="decimal" operator="greaterThan" allowBlank="1" showInputMessage="1" showErrorMessage="1" sqref="E3865">
      <formula1>0</formula1>
    </dataValidation>
    <dataValidation type="whole" operator="greaterThan" allowBlank="1" showInputMessage="1" showErrorMessage="1" sqref="A3866">
      <formula1>0</formula1>
    </dataValidation>
    <dataValidation type="list" allowBlank="1" showInputMessage="1" showErrorMessage="1" sqref="C3866">
      <formula1>UnidadesList</formula1>
    </dataValidation>
    <dataValidation type="decimal" operator="greaterThan" allowBlank="1" showInputMessage="1" showErrorMessage="1" sqref="D3866">
      <formula1>0</formula1>
    </dataValidation>
    <dataValidation type="decimal" operator="greaterThan" allowBlank="1" showInputMessage="1" showErrorMessage="1" sqref="E3866">
      <formula1>0</formula1>
    </dataValidation>
    <dataValidation type="whole" operator="greaterThan" allowBlank="1" showInputMessage="1" showErrorMessage="1" sqref="A3867">
      <formula1>0</formula1>
    </dataValidation>
    <dataValidation type="list" allowBlank="1" showInputMessage="1" showErrorMessage="1" sqref="C3867">
      <formula1>UnidadesList</formula1>
    </dataValidation>
    <dataValidation type="decimal" operator="greaterThan" allowBlank="1" showInputMessage="1" showErrorMessage="1" sqref="D3867">
      <formula1>0</formula1>
    </dataValidation>
    <dataValidation type="decimal" operator="greaterThan" allowBlank="1" showInputMessage="1" showErrorMessage="1" sqref="E3867">
      <formula1>0</formula1>
    </dataValidation>
    <dataValidation type="whole" operator="greaterThan" allowBlank="1" showInputMessage="1" showErrorMessage="1" sqref="A3868">
      <formula1>0</formula1>
    </dataValidation>
    <dataValidation type="list" allowBlank="1" showInputMessage="1" showErrorMessage="1" sqref="C3868">
      <formula1>UnidadesList</formula1>
    </dataValidation>
    <dataValidation type="decimal" operator="greaterThan" allowBlank="1" showInputMessage="1" showErrorMessage="1" sqref="D3868">
      <formula1>0</formula1>
    </dataValidation>
    <dataValidation type="decimal" operator="greaterThan" allowBlank="1" showInputMessage="1" showErrorMessage="1" sqref="E3868">
      <formula1>0</formula1>
    </dataValidation>
    <dataValidation type="whole" operator="greaterThan" allowBlank="1" showInputMessage="1" showErrorMessage="1" sqref="A3869">
      <formula1>0</formula1>
    </dataValidation>
    <dataValidation type="list" allowBlank="1" showInputMessage="1" showErrorMessage="1" sqref="C3869">
      <formula1>UnidadesList</formula1>
    </dataValidation>
    <dataValidation type="decimal" operator="greaterThan" allowBlank="1" showInputMessage="1" showErrorMessage="1" sqref="D3869">
      <formula1>0</formula1>
    </dataValidation>
    <dataValidation type="decimal" operator="greaterThan" allowBlank="1" showInputMessage="1" showErrorMessage="1" sqref="E3869">
      <formula1>0</formula1>
    </dataValidation>
    <dataValidation type="whole" operator="greaterThan" allowBlank="1" showInputMessage="1" showErrorMessage="1" sqref="A3870">
      <formula1>0</formula1>
    </dataValidation>
    <dataValidation type="list" allowBlank="1" showInputMessage="1" showErrorMessage="1" sqref="C3870">
      <formula1>UnidadesList</formula1>
    </dataValidation>
    <dataValidation type="decimal" operator="greaterThan" allowBlank="1" showInputMessage="1" showErrorMessage="1" sqref="D3870">
      <formula1>0</formula1>
    </dataValidation>
    <dataValidation type="decimal" operator="greaterThan" allowBlank="1" showInputMessage="1" showErrorMessage="1" sqref="E3870">
      <formula1>0</formula1>
    </dataValidation>
    <dataValidation type="whole" operator="greaterThan" allowBlank="1" showInputMessage="1" showErrorMessage="1" sqref="A3871">
      <formula1>0</formula1>
    </dataValidation>
    <dataValidation type="list" allowBlank="1" showInputMessage="1" showErrorMessage="1" sqref="C3871">
      <formula1>UnidadesList</formula1>
    </dataValidation>
    <dataValidation type="decimal" operator="greaterThan" allowBlank="1" showInputMessage="1" showErrorMessage="1" sqref="D3871">
      <formula1>0</formula1>
    </dataValidation>
    <dataValidation type="decimal" operator="greaterThan" allowBlank="1" showInputMessage="1" showErrorMessage="1" sqref="E3871">
      <formula1>0</formula1>
    </dataValidation>
    <dataValidation type="whole" operator="greaterThan" allowBlank="1" showInputMessage="1" showErrorMessage="1" sqref="A3872">
      <formula1>0</formula1>
    </dataValidation>
    <dataValidation type="list" allowBlank="1" showInputMessage="1" showErrorMessage="1" sqref="C3872">
      <formula1>UnidadesList</formula1>
    </dataValidation>
    <dataValidation type="decimal" operator="greaterThan" allowBlank="1" showInputMessage="1" showErrorMessage="1" sqref="D3872">
      <formula1>0</formula1>
    </dataValidation>
    <dataValidation type="decimal" operator="greaterThan" allowBlank="1" showInputMessage="1" showErrorMessage="1" sqref="E3872">
      <formula1>0</formula1>
    </dataValidation>
    <dataValidation type="whole" operator="greaterThan" allowBlank="1" showInputMessage="1" showErrorMessage="1" sqref="A3873">
      <formula1>0</formula1>
    </dataValidation>
    <dataValidation type="list" allowBlank="1" showInputMessage="1" showErrorMessage="1" sqref="C3873">
      <formula1>UnidadesList</formula1>
    </dataValidation>
    <dataValidation type="decimal" operator="greaterThan" allowBlank="1" showInputMessage="1" showErrorMessage="1" sqref="D3873">
      <formula1>0</formula1>
    </dataValidation>
    <dataValidation type="decimal" operator="greaterThan" allowBlank="1" showInputMessage="1" showErrorMessage="1" sqref="E3873">
      <formula1>0</formula1>
    </dataValidation>
    <dataValidation type="whole" operator="greaterThan" allowBlank="1" showInputMessage="1" showErrorMessage="1" sqref="A3874">
      <formula1>0</formula1>
    </dataValidation>
    <dataValidation type="list" allowBlank="1" showInputMessage="1" showErrorMessage="1" sqref="C3874">
      <formula1>UnidadesList</formula1>
    </dataValidation>
    <dataValidation type="decimal" operator="greaterThan" allowBlank="1" showInputMessage="1" showErrorMessage="1" sqref="D3874">
      <formula1>0</formula1>
    </dataValidation>
    <dataValidation type="decimal" operator="greaterThan" allowBlank="1" showInputMessage="1" showErrorMessage="1" sqref="E3874">
      <formula1>0</formula1>
    </dataValidation>
    <dataValidation type="whole" operator="greaterThan" allowBlank="1" showInputMessage="1" showErrorMessage="1" sqref="A3875">
      <formula1>0</formula1>
    </dataValidation>
    <dataValidation type="list" allowBlank="1" showInputMessage="1" showErrorMessage="1" sqref="C3875">
      <formula1>UnidadesList</formula1>
    </dataValidation>
    <dataValidation type="decimal" operator="greaterThan" allowBlank="1" showInputMessage="1" showErrorMessage="1" sqref="D3875">
      <formula1>0</formula1>
    </dataValidation>
    <dataValidation type="decimal" operator="greaterThan" allowBlank="1" showInputMessage="1" showErrorMessage="1" sqref="E3875">
      <formula1>0</formula1>
    </dataValidation>
    <dataValidation type="whole" operator="greaterThan" allowBlank="1" showInputMessage="1" showErrorMessage="1" sqref="A3876">
      <formula1>0</formula1>
    </dataValidation>
    <dataValidation type="list" allowBlank="1" showInputMessage="1" showErrorMessage="1" sqref="C3876">
      <formula1>UnidadesList</formula1>
    </dataValidation>
    <dataValidation type="decimal" operator="greaterThan" allowBlank="1" showInputMessage="1" showErrorMessage="1" sqref="D3876">
      <formula1>0</formula1>
    </dataValidation>
    <dataValidation type="decimal" operator="greaterThan" allowBlank="1" showInputMessage="1" showErrorMessage="1" sqref="E3876">
      <formula1>0</formula1>
    </dataValidation>
    <dataValidation type="whole" operator="greaterThan" allowBlank="1" showInputMessage="1" showErrorMessage="1" sqref="A3877">
      <formula1>0</formula1>
    </dataValidation>
    <dataValidation type="list" allowBlank="1" showInputMessage="1" showErrorMessage="1" sqref="C3877">
      <formula1>UnidadesList</formula1>
    </dataValidation>
    <dataValidation type="decimal" operator="greaterThan" allowBlank="1" showInputMessage="1" showErrorMessage="1" sqref="D3877">
      <formula1>0</formula1>
    </dataValidation>
    <dataValidation type="decimal" operator="greaterThan" allowBlank="1" showInputMessage="1" showErrorMessage="1" sqref="E3877">
      <formula1>0</formula1>
    </dataValidation>
    <dataValidation type="whole" operator="greaterThan" allowBlank="1" showInputMessage="1" showErrorMessage="1" sqref="A3878">
      <formula1>0</formula1>
    </dataValidation>
    <dataValidation type="list" allowBlank="1" showInputMessage="1" showErrorMessage="1" sqref="C3878">
      <formula1>UnidadesList</formula1>
    </dataValidation>
    <dataValidation type="decimal" operator="greaterThan" allowBlank="1" showInputMessage="1" showErrorMessage="1" sqref="D3878">
      <formula1>0</formula1>
    </dataValidation>
    <dataValidation type="decimal" operator="greaterThan" allowBlank="1" showInputMessage="1" showErrorMessage="1" sqref="E3878">
      <formula1>0</formula1>
    </dataValidation>
    <dataValidation type="whole" operator="greaterThan" allowBlank="1" showInputMessage="1" showErrorMessage="1" sqref="A3879">
      <formula1>0</formula1>
    </dataValidation>
    <dataValidation type="list" allowBlank="1" showInputMessage="1" showErrorMessage="1" sqref="C3879">
      <formula1>UnidadesList</formula1>
    </dataValidation>
    <dataValidation type="decimal" operator="greaterThan" allowBlank="1" showInputMessage="1" showErrorMessage="1" sqref="D3879">
      <formula1>0</formula1>
    </dataValidation>
    <dataValidation type="decimal" operator="greaterThan" allowBlank="1" showInputMessage="1" showErrorMessage="1" sqref="E3879">
      <formula1>0</formula1>
    </dataValidation>
    <dataValidation type="whole" operator="greaterThan" allowBlank="1" showInputMessage="1" showErrorMessage="1" sqref="A3880">
      <formula1>0</formula1>
    </dataValidation>
    <dataValidation type="list" allowBlank="1" showInputMessage="1" showErrorMessage="1" sqref="C3880">
      <formula1>UnidadesList</formula1>
    </dataValidation>
    <dataValidation type="decimal" operator="greaterThan" allowBlank="1" showInputMessage="1" showErrorMessage="1" sqref="D3880">
      <formula1>0</formula1>
    </dataValidation>
    <dataValidation type="decimal" operator="greaterThan" allowBlank="1" showInputMessage="1" showErrorMessage="1" sqref="E3880">
      <formula1>0</formula1>
    </dataValidation>
    <dataValidation type="whole" operator="greaterThan" allowBlank="1" showInputMessage="1" showErrorMessage="1" sqref="A3881">
      <formula1>0</formula1>
    </dataValidation>
    <dataValidation type="list" allowBlank="1" showInputMessage="1" showErrorMessage="1" sqref="C3881">
      <formula1>UnidadesList</formula1>
    </dataValidation>
    <dataValidation type="decimal" operator="greaterThan" allowBlank="1" showInputMessage="1" showErrorMessage="1" sqref="D3881">
      <formula1>0</formula1>
    </dataValidation>
    <dataValidation type="decimal" operator="greaterThan" allowBlank="1" showInputMessage="1" showErrorMessage="1" sqref="E3881">
      <formula1>0</formula1>
    </dataValidation>
    <dataValidation type="whole" operator="greaterThan" allowBlank="1" showInputMessage="1" showErrorMessage="1" sqref="A3882">
      <formula1>0</formula1>
    </dataValidation>
    <dataValidation type="list" allowBlank="1" showInputMessage="1" showErrorMessage="1" sqref="C3882">
      <formula1>UnidadesList</formula1>
    </dataValidation>
    <dataValidation type="decimal" operator="greaterThan" allowBlank="1" showInputMessage="1" showErrorMessage="1" sqref="D3882">
      <formula1>0</formula1>
    </dataValidation>
    <dataValidation type="decimal" operator="greaterThan" allowBlank="1" showInputMessage="1" showErrorMessage="1" sqref="E3882">
      <formula1>0</formula1>
    </dataValidation>
    <dataValidation type="whole" operator="greaterThan" allowBlank="1" showInputMessage="1" showErrorMessage="1" sqref="A3883">
      <formula1>0</formula1>
    </dataValidation>
    <dataValidation type="list" allowBlank="1" showInputMessage="1" showErrorMessage="1" sqref="C3883">
      <formula1>UnidadesList</formula1>
    </dataValidation>
    <dataValidation type="decimal" operator="greaterThan" allowBlank="1" showInputMessage="1" showErrorMessage="1" sqref="D3883">
      <formula1>0</formula1>
    </dataValidation>
    <dataValidation type="decimal" operator="greaterThan" allowBlank="1" showInputMessage="1" showErrorMessage="1" sqref="E3883">
      <formula1>0</formula1>
    </dataValidation>
    <dataValidation type="whole" operator="greaterThan" allowBlank="1" showInputMessage="1" showErrorMessage="1" sqref="A3884">
      <formula1>0</formula1>
    </dataValidation>
    <dataValidation type="list" allowBlank="1" showInputMessage="1" showErrorMessage="1" sqref="C3884">
      <formula1>UnidadesList</formula1>
    </dataValidation>
    <dataValidation type="decimal" operator="greaterThan" allowBlank="1" showInputMessage="1" showErrorMessage="1" sqref="D3884">
      <formula1>0</formula1>
    </dataValidation>
    <dataValidation type="decimal" operator="greaterThan" allowBlank="1" showInputMessage="1" showErrorMessage="1" sqref="E3884">
      <formula1>0</formula1>
    </dataValidation>
    <dataValidation type="whole" operator="greaterThan" allowBlank="1" showInputMessage="1" showErrorMessage="1" sqref="A3885">
      <formula1>0</formula1>
    </dataValidation>
    <dataValidation type="list" allowBlank="1" showInputMessage="1" showErrorMessage="1" sqref="C3885">
      <formula1>UnidadesList</formula1>
    </dataValidation>
    <dataValidation type="decimal" operator="greaterThan" allowBlank="1" showInputMessage="1" showErrorMessage="1" sqref="D3885">
      <formula1>0</formula1>
    </dataValidation>
    <dataValidation type="decimal" operator="greaterThan" allowBlank="1" showInputMessage="1" showErrorMessage="1" sqref="E3885">
      <formula1>0</formula1>
    </dataValidation>
    <dataValidation type="whole" operator="greaterThan" allowBlank="1" showInputMessage="1" showErrorMessage="1" sqref="A3886">
      <formula1>0</formula1>
    </dataValidation>
    <dataValidation type="list" allowBlank="1" showInputMessage="1" showErrorMessage="1" sqref="C3886">
      <formula1>UnidadesList</formula1>
    </dataValidation>
    <dataValidation type="decimal" operator="greaterThan" allowBlank="1" showInputMessage="1" showErrorMessage="1" sqref="D3886">
      <formula1>0</formula1>
    </dataValidation>
    <dataValidation type="decimal" operator="greaterThan" allowBlank="1" showInputMessage="1" showErrorMessage="1" sqref="E3886">
      <formula1>0</formula1>
    </dataValidation>
    <dataValidation type="whole" operator="greaterThan" allowBlank="1" showInputMessage="1" showErrorMessage="1" sqref="A3887">
      <formula1>0</formula1>
    </dataValidation>
    <dataValidation type="list" allowBlank="1" showInputMessage="1" showErrorMessage="1" sqref="C3887">
      <formula1>UnidadesList</formula1>
    </dataValidation>
    <dataValidation type="decimal" operator="greaterThan" allowBlank="1" showInputMessage="1" showErrorMessage="1" sqref="D3887">
      <formula1>0</formula1>
    </dataValidation>
    <dataValidation type="decimal" operator="greaterThan" allowBlank="1" showInputMessage="1" showErrorMessage="1" sqref="E3887">
      <formula1>0</formula1>
    </dataValidation>
    <dataValidation type="whole" operator="greaterThan" allowBlank="1" showInputMessage="1" showErrorMessage="1" sqref="A3888">
      <formula1>0</formula1>
    </dataValidation>
    <dataValidation type="list" allowBlank="1" showInputMessage="1" showErrorMessage="1" sqref="C3888">
      <formula1>UnidadesList</formula1>
    </dataValidation>
    <dataValidation type="decimal" operator="greaterThan" allowBlank="1" showInputMessage="1" showErrorMessage="1" sqref="D3888">
      <formula1>0</formula1>
    </dataValidation>
    <dataValidation type="decimal" operator="greaterThan" allowBlank="1" showInputMessage="1" showErrorMessage="1" sqref="E3888">
      <formula1>0</formula1>
    </dataValidation>
    <dataValidation type="whole" operator="greaterThan" allowBlank="1" showInputMessage="1" showErrorMessage="1" sqref="A3889">
      <formula1>0</formula1>
    </dataValidation>
    <dataValidation type="list" allowBlank="1" showInputMessage="1" showErrorMessage="1" sqref="C3889">
      <formula1>UnidadesList</formula1>
    </dataValidation>
    <dataValidation type="decimal" operator="greaterThan" allowBlank="1" showInputMessage="1" showErrorMessage="1" sqref="D3889">
      <formula1>0</formula1>
    </dataValidation>
    <dataValidation type="decimal" operator="greaterThan" allowBlank="1" showInputMessage="1" showErrorMessage="1" sqref="E3889">
      <formula1>0</formula1>
    </dataValidation>
    <dataValidation type="whole" operator="greaterThan" allowBlank="1" showInputMessage="1" showErrorMessage="1" sqref="A3890">
      <formula1>0</formula1>
    </dataValidation>
    <dataValidation type="list" allowBlank="1" showInputMessage="1" showErrorMessage="1" sqref="C3890">
      <formula1>UnidadesList</formula1>
    </dataValidation>
    <dataValidation type="decimal" operator="greaterThan" allowBlank="1" showInputMessage="1" showErrorMessage="1" sqref="D3890">
      <formula1>0</formula1>
    </dataValidation>
    <dataValidation type="decimal" operator="greaterThan" allowBlank="1" showInputMessage="1" showErrorMessage="1" sqref="E3890">
      <formula1>0</formula1>
    </dataValidation>
    <dataValidation type="whole" operator="greaterThan" allowBlank="1" showInputMessage="1" showErrorMessage="1" sqref="A3891">
      <formula1>0</formula1>
    </dataValidation>
    <dataValidation type="list" allowBlank="1" showInputMessage="1" showErrorMessage="1" sqref="C3891">
      <formula1>UnidadesList</formula1>
    </dataValidation>
    <dataValidation type="decimal" operator="greaterThan" allowBlank="1" showInputMessage="1" showErrorMessage="1" sqref="D3891">
      <formula1>0</formula1>
    </dataValidation>
    <dataValidation type="decimal" operator="greaterThan" allowBlank="1" showInputMessage="1" showErrorMessage="1" sqref="E3891">
      <formula1>0</formula1>
    </dataValidation>
    <dataValidation type="whole" operator="greaterThan" allowBlank="1" showInputMessage="1" showErrorMessage="1" sqref="A3892">
      <formula1>0</formula1>
    </dataValidation>
    <dataValidation type="list" allowBlank="1" showInputMessage="1" showErrorMessage="1" sqref="C3892">
      <formula1>UnidadesList</formula1>
    </dataValidation>
    <dataValidation type="decimal" operator="greaterThan" allowBlank="1" showInputMessage="1" showErrorMessage="1" sqref="D3892">
      <formula1>0</formula1>
    </dataValidation>
    <dataValidation type="decimal" operator="greaterThan" allowBlank="1" showInputMessage="1" showErrorMessage="1" sqref="E3892">
      <formula1>0</formula1>
    </dataValidation>
    <dataValidation type="whole" operator="greaterThan" allowBlank="1" showInputMessage="1" showErrorMessage="1" sqref="A3893">
      <formula1>0</formula1>
    </dataValidation>
    <dataValidation type="list" allowBlank="1" showInputMessage="1" showErrorMessage="1" sqref="C3893">
      <formula1>UnidadesList</formula1>
    </dataValidation>
    <dataValidation type="decimal" operator="greaterThan" allowBlank="1" showInputMessage="1" showErrorMessage="1" sqref="D3893">
      <formula1>0</formula1>
    </dataValidation>
    <dataValidation type="decimal" operator="greaterThan" allowBlank="1" showInputMessage="1" showErrorMessage="1" sqref="E3893">
      <formula1>0</formula1>
    </dataValidation>
    <dataValidation type="whole" operator="greaterThan" allowBlank="1" showInputMessage="1" showErrorMessage="1" sqref="A3894">
      <formula1>0</formula1>
    </dataValidation>
    <dataValidation type="list" allowBlank="1" showInputMessage="1" showErrorMessage="1" sqref="C3894">
      <formula1>UnidadesList</formula1>
    </dataValidation>
    <dataValidation type="decimal" operator="greaterThan" allowBlank="1" showInputMessage="1" showErrorMessage="1" sqref="D3894">
      <formula1>0</formula1>
    </dataValidation>
    <dataValidation type="decimal" operator="greaterThan" allowBlank="1" showInputMessage="1" showErrorMessage="1" sqref="E3894">
      <formula1>0</formula1>
    </dataValidation>
    <dataValidation type="whole" operator="greaterThan" allowBlank="1" showInputMessage="1" showErrorMessage="1" sqref="A3895">
      <formula1>0</formula1>
    </dataValidation>
    <dataValidation type="list" allowBlank="1" showInputMessage="1" showErrorMessage="1" sqref="C3895">
      <formula1>UnidadesList</formula1>
    </dataValidation>
    <dataValidation type="decimal" operator="greaterThan" allowBlank="1" showInputMessage="1" showErrorMessage="1" sqref="D3895">
      <formula1>0</formula1>
    </dataValidation>
    <dataValidation type="decimal" operator="greaterThan" allowBlank="1" showInputMessage="1" showErrorMessage="1" sqref="E3895">
      <formula1>0</formula1>
    </dataValidation>
    <dataValidation type="whole" operator="greaterThan" allowBlank="1" showInputMessage="1" showErrorMessage="1" sqref="A3896">
      <formula1>0</formula1>
    </dataValidation>
    <dataValidation type="list" allowBlank="1" showInputMessage="1" showErrorMessage="1" sqref="C3896">
      <formula1>UnidadesList</formula1>
    </dataValidation>
    <dataValidation type="decimal" operator="greaterThan" allowBlank="1" showInputMessage="1" showErrorMessage="1" sqref="D3896">
      <formula1>0</formula1>
    </dataValidation>
    <dataValidation type="decimal" operator="greaterThan" allowBlank="1" showInputMessage="1" showErrorMessage="1" sqref="E3896">
      <formula1>0</formula1>
    </dataValidation>
    <dataValidation type="whole" operator="greaterThan" allowBlank="1" showInputMessage="1" showErrorMessage="1" sqref="A3897">
      <formula1>0</formula1>
    </dataValidation>
    <dataValidation type="list" allowBlank="1" showInputMessage="1" showErrorMessage="1" sqref="C3897">
      <formula1>UnidadesList</formula1>
    </dataValidation>
    <dataValidation type="decimal" operator="greaterThan" allowBlank="1" showInputMessage="1" showErrorMessage="1" sqref="D3897">
      <formula1>0</formula1>
    </dataValidation>
    <dataValidation type="decimal" operator="greaterThan" allowBlank="1" showInputMessage="1" showErrorMessage="1" sqref="E3897">
      <formula1>0</formula1>
    </dataValidation>
    <dataValidation type="whole" operator="greaterThan" allowBlank="1" showInputMessage="1" showErrorMessage="1" sqref="A3898">
      <formula1>0</formula1>
    </dataValidation>
    <dataValidation type="list" allowBlank="1" showInputMessage="1" showErrorMessage="1" sqref="C3898">
      <formula1>UnidadesList</formula1>
    </dataValidation>
    <dataValidation type="decimal" operator="greaterThan" allowBlank="1" showInputMessage="1" showErrorMessage="1" sqref="D3898">
      <formula1>0</formula1>
    </dataValidation>
    <dataValidation type="decimal" operator="greaterThan" allowBlank="1" showInputMessage="1" showErrorMessage="1" sqref="E3898">
      <formula1>0</formula1>
    </dataValidation>
    <dataValidation type="whole" operator="greaterThan" allowBlank="1" showInputMessage="1" showErrorMessage="1" sqref="A3899">
      <formula1>0</formula1>
    </dataValidation>
    <dataValidation type="list" allowBlank="1" showInputMessage="1" showErrorMessage="1" sqref="C3899">
      <formula1>UnidadesList</formula1>
    </dataValidation>
    <dataValidation type="decimal" operator="greaterThan" allowBlank="1" showInputMessage="1" showErrorMessage="1" sqref="D3899">
      <formula1>0</formula1>
    </dataValidation>
    <dataValidation type="decimal" operator="greaterThan" allowBlank="1" showInputMessage="1" showErrorMessage="1" sqref="E3899">
      <formula1>0</formula1>
    </dataValidation>
    <dataValidation type="whole" operator="greaterThan" allowBlank="1" showInputMessage="1" showErrorMessage="1" sqref="A3900">
      <formula1>0</formula1>
    </dataValidation>
    <dataValidation type="list" allowBlank="1" showInputMessage="1" showErrorMessage="1" sqref="C3900">
      <formula1>UnidadesList</formula1>
    </dataValidation>
    <dataValidation type="decimal" operator="greaterThan" allowBlank="1" showInputMessage="1" showErrorMessage="1" sqref="D3900">
      <formula1>0</formula1>
    </dataValidation>
    <dataValidation type="decimal" operator="greaterThan" allowBlank="1" showInputMessage="1" showErrorMessage="1" sqref="E3900">
      <formula1>0</formula1>
    </dataValidation>
    <dataValidation type="whole" operator="greaterThan" allowBlank="1" showInputMessage="1" showErrorMessage="1" sqref="A3901">
      <formula1>0</formula1>
    </dataValidation>
    <dataValidation type="list" allowBlank="1" showInputMessage="1" showErrorMessage="1" sqref="C3901">
      <formula1>UnidadesList</formula1>
    </dataValidation>
    <dataValidation type="decimal" operator="greaterThan" allowBlank="1" showInputMessage="1" showErrorMessage="1" sqref="D3901">
      <formula1>0</formula1>
    </dataValidation>
    <dataValidation type="decimal" operator="greaterThan" allowBlank="1" showInputMessage="1" showErrorMessage="1" sqref="E3901">
      <formula1>0</formula1>
    </dataValidation>
    <dataValidation type="whole" operator="greaterThan" allowBlank="1" showInputMessage="1" showErrorMessage="1" sqref="A3902">
      <formula1>0</formula1>
    </dataValidation>
    <dataValidation type="list" allowBlank="1" showInputMessage="1" showErrorMessage="1" sqref="C3902">
      <formula1>UnidadesList</formula1>
    </dataValidation>
    <dataValidation type="decimal" operator="greaterThan" allowBlank="1" showInputMessage="1" showErrorMessage="1" sqref="D3902">
      <formula1>0</formula1>
    </dataValidation>
    <dataValidation type="decimal" operator="greaterThan" allowBlank="1" showInputMessage="1" showErrorMessage="1" sqref="E3902">
      <formula1>0</formula1>
    </dataValidation>
    <dataValidation type="whole" operator="greaterThan" allowBlank="1" showInputMessage="1" showErrorMessage="1" sqref="A3903">
      <formula1>0</formula1>
    </dataValidation>
    <dataValidation type="list" allowBlank="1" showInputMessage="1" showErrorMessage="1" sqref="C3903">
      <formula1>UnidadesList</formula1>
    </dataValidation>
    <dataValidation type="decimal" operator="greaterThan" allowBlank="1" showInputMessage="1" showErrorMessage="1" sqref="D3903">
      <formula1>0</formula1>
    </dataValidation>
    <dataValidation type="decimal" operator="greaterThan" allowBlank="1" showInputMessage="1" showErrorMessage="1" sqref="E3903">
      <formula1>0</formula1>
    </dataValidation>
    <dataValidation type="whole" operator="greaterThan" allowBlank="1" showInputMessage="1" showErrorMessage="1" sqref="A3904">
      <formula1>0</formula1>
    </dataValidation>
    <dataValidation type="list" allowBlank="1" showInputMessage="1" showErrorMessage="1" sqref="C3904">
      <formula1>UnidadesList</formula1>
    </dataValidation>
    <dataValidation type="decimal" operator="greaterThan" allowBlank="1" showInputMessage="1" showErrorMessage="1" sqref="D3904">
      <formula1>0</formula1>
    </dataValidation>
    <dataValidation type="decimal" operator="greaterThan" allowBlank="1" showInputMessage="1" showErrorMessage="1" sqref="E3904">
      <formula1>0</formula1>
    </dataValidation>
    <dataValidation type="whole" operator="greaterThan" allowBlank="1" showInputMessage="1" showErrorMessage="1" sqref="A3905">
      <formula1>0</formula1>
    </dataValidation>
    <dataValidation type="list" allowBlank="1" showInputMessage="1" showErrorMessage="1" sqref="C3905">
      <formula1>UnidadesList</formula1>
    </dataValidation>
    <dataValidation type="decimal" operator="greaterThan" allowBlank="1" showInputMessage="1" showErrorMessage="1" sqref="D3905">
      <formula1>0</formula1>
    </dataValidation>
    <dataValidation type="decimal" operator="greaterThan" allowBlank="1" showInputMessage="1" showErrorMessage="1" sqref="E3905">
      <formula1>0</formula1>
    </dataValidation>
    <dataValidation type="whole" operator="greaterThan" allowBlank="1" showInputMessage="1" showErrorMessage="1" sqref="A3906">
      <formula1>0</formula1>
    </dataValidation>
    <dataValidation type="list" allowBlank="1" showInputMessage="1" showErrorMessage="1" sqref="C3906">
      <formula1>UnidadesList</formula1>
    </dataValidation>
    <dataValidation type="decimal" operator="greaterThan" allowBlank="1" showInputMessage="1" showErrorMessage="1" sqref="D3906">
      <formula1>0</formula1>
    </dataValidation>
    <dataValidation type="decimal" operator="greaterThan" allowBlank="1" showInputMessage="1" showErrorMessage="1" sqref="E3906">
      <formula1>0</formula1>
    </dataValidation>
    <dataValidation type="whole" operator="greaterThan" allowBlank="1" showInputMessage="1" showErrorMessage="1" sqref="A3907">
      <formula1>0</formula1>
    </dataValidation>
    <dataValidation type="list" allowBlank="1" showInputMessage="1" showErrorMessage="1" sqref="C3907">
      <formula1>UnidadesList</formula1>
    </dataValidation>
    <dataValidation type="decimal" operator="greaterThan" allowBlank="1" showInputMessage="1" showErrorMessage="1" sqref="D3907">
      <formula1>0</formula1>
    </dataValidation>
    <dataValidation type="decimal" operator="greaterThan" allowBlank="1" showInputMessage="1" showErrorMessage="1" sqref="E3907">
      <formula1>0</formula1>
    </dataValidation>
    <dataValidation type="whole" operator="greaterThan" allowBlank="1" showInputMessage="1" showErrorMessage="1" sqref="A3908">
      <formula1>0</formula1>
    </dataValidation>
    <dataValidation type="list" allowBlank="1" showInputMessage="1" showErrorMessage="1" sqref="C3908">
      <formula1>UnidadesList</formula1>
    </dataValidation>
    <dataValidation type="decimal" operator="greaterThan" allowBlank="1" showInputMessage="1" showErrorMessage="1" sqref="D3908">
      <formula1>0</formula1>
    </dataValidation>
    <dataValidation type="decimal" operator="greaterThan" allowBlank="1" showInputMessage="1" showErrorMessage="1" sqref="E3908">
      <formula1>0</formula1>
    </dataValidation>
    <dataValidation type="whole" operator="greaterThan" allowBlank="1" showInputMessage="1" showErrorMessage="1" sqref="A3909">
      <formula1>0</formula1>
    </dataValidation>
    <dataValidation type="list" allowBlank="1" showInputMessage="1" showErrorMessage="1" sqref="C3909">
      <formula1>UnidadesList</formula1>
    </dataValidation>
    <dataValidation type="decimal" operator="greaterThan" allowBlank="1" showInputMessage="1" showErrorMessage="1" sqref="D3909">
      <formula1>0</formula1>
    </dataValidation>
    <dataValidation type="decimal" operator="greaterThan" allowBlank="1" showInputMessage="1" showErrorMessage="1" sqref="E3909">
      <formula1>0</formula1>
    </dataValidation>
    <dataValidation type="whole" operator="greaterThan" allowBlank="1" showInputMessage="1" showErrorMessage="1" sqref="A3910">
      <formula1>0</formula1>
    </dataValidation>
    <dataValidation type="list" allowBlank="1" showInputMessage="1" showErrorMessage="1" sqref="C3910">
      <formula1>UnidadesList</formula1>
    </dataValidation>
    <dataValidation type="decimal" operator="greaterThan" allowBlank="1" showInputMessage="1" showErrorMessage="1" sqref="D3910">
      <formula1>0</formula1>
    </dataValidation>
    <dataValidation type="decimal" operator="greaterThan" allowBlank="1" showInputMessage="1" showErrorMessage="1" sqref="E3910">
      <formula1>0</formula1>
    </dataValidation>
    <dataValidation type="whole" operator="greaterThan" allowBlank="1" showInputMessage="1" showErrorMessage="1" sqref="A3911">
      <formula1>0</formula1>
    </dataValidation>
    <dataValidation type="list" allowBlank="1" showInputMessage="1" showErrorMessage="1" sqref="C3911">
      <formula1>UnidadesList</formula1>
    </dataValidation>
    <dataValidation type="decimal" operator="greaterThan" allowBlank="1" showInputMessage="1" showErrorMessage="1" sqref="D3911">
      <formula1>0</formula1>
    </dataValidation>
    <dataValidation type="decimal" operator="greaterThan" allowBlank="1" showInputMessage="1" showErrorMessage="1" sqref="E3911">
      <formula1>0</formula1>
    </dataValidation>
    <dataValidation type="whole" operator="greaterThan" allowBlank="1" showInputMessage="1" showErrorMessage="1" sqref="A3912">
      <formula1>0</formula1>
    </dataValidation>
    <dataValidation type="list" allowBlank="1" showInputMessage="1" showErrorMessage="1" sqref="C3912">
      <formula1>UnidadesList</formula1>
    </dataValidation>
    <dataValidation type="decimal" operator="greaterThan" allowBlank="1" showInputMessage="1" showErrorMessage="1" sqref="D3912">
      <formula1>0</formula1>
    </dataValidation>
    <dataValidation type="decimal" operator="greaterThan" allowBlank="1" showInputMessage="1" showErrorMessage="1" sqref="E3912">
      <formula1>0</formula1>
    </dataValidation>
    <dataValidation type="whole" operator="greaterThan" allowBlank="1" showInputMessage="1" showErrorMessage="1" sqref="A3913">
      <formula1>0</formula1>
    </dataValidation>
    <dataValidation type="list" allowBlank="1" showInputMessage="1" showErrorMessage="1" sqref="C3913">
      <formula1>UnidadesList</formula1>
    </dataValidation>
    <dataValidation type="decimal" operator="greaterThan" allowBlank="1" showInputMessage="1" showErrorMessage="1" sqref="D3913">
      <formula1>0</formula1>
    </dataValidation>
    <dataValidation type="decimal" operator="greaterThan" allowBlank="1" showInputMessage="1" showErrorMessage="1" sqref="E3913">
      <formula1>0</formula1>
    </dataValidation>
    <dataValidation type="whole" operator="greaterThan" allowBlank="1" showInputMessage="1" showErrorMessage="1" sqref="A3914">
      <formula1>0</formula1>
    </dataValidation>
    <dataValidation type="list" allowBlank="1" showInputMessage="1" showErrorMessage="1" sqref="C3914">
      <formula1>UnidadesList</formula1>
    </dataValidation>
    <dataValidation type="decimal" operator="greaterThan" allowBlank="1" showInputMessage="1" showErrorMessage="1" sqref="D3914">
      <formula1>0</formula1>
    </dataValidation>
    <dataValidation type="decimal" operator="greaterThan" allowBlank="1" showInputMessage="1" showErrorMessage="1" sqref="E3914">
      <formula1>0</formula1>
    </dataValidation>
    <dataValidation type="whole" operator="greaterThan" allowBlank="1" showInputMessage="1" showErrorMessage="1" sqref="A3915">
      <formula1>0</formula1>
    </dataValidation>
    <dataValidation type="list" allowBlank="1" showInputMessage="1" showErrorMessage="1" sqref="C3915">
      <formula1>UnidadesList</formula1>
    </dataValidation>
    <dataValidation type="decimal" operator="greaterThan" allowBlank="1" showInputMessage="1" showErrorMessage="1" sqref="D3915">
      <formula1>0</formula1>
    </dataValidation>
    <dataValidation type="decimal" operator="greaterThan" allowBlank="1" showInputMessage="1" showErrorMessage="1" sqref="E3915">
      <formula1>0</formula1>
    </dataValidation>
    <dataValidation type="whole" operator="greaterThan" allowBlank="1" showInputMessage="1" showErrorMessage="1" sqref="A3916">
      <formula1>0</formula1>
    </dataValidation>
    <dataValidation type="list" allowBlank="1" showInputMessage="1" showErrorMessage="1" sqref="C3916">
      <formula1>UnidadesList</formula1>
    </dataValidation>
    <dataValidation type="decimal" operator="greaterThan" allowBlank="1" showInputMessage="1" showErrorMessage="1" sqref="D3916">
      <formula1>0</formula1>
    </dataValidation>
    <dataValidation type="decimal" operator="greaterThan" allowBlank="1" showInputMessage="1" showErrorMessage="1" sqref="E3916">
      <formula1>0</formula1>
    </dataValidation>
    <dataValidation type="whole" operator="greaterThan" allowBlank="1" showInputMessage="1" showErrorMessage="1" sqref="A3917">
      <formula1>0</formula1>
    </dataValidation>
    <dataValidation type="list" allowBlank="1" showInputMessage="1" showErrorMessage="1" sqref="C3917">
      <formula1>UnidadesList</formula1>
    </dataValidation>
    <dataValidation type="decimal" operator="greaterThan" allowBlank="1" showInputMessage="1" showErrorMessage="1" sqref="D3917">
      <formula1>0</formula1>
    </dataValidation>
    <dataValidation type="decimal" operator="greaterThan" allowBlank="1" showInputMessage="1" showErrorMessage="1" sqref="E3917">
      <formula1>0</formula1>
    </dataValidation>
    <dataValidation type="whole" operator="greaterThan" allowBlank="1" showInputMessage="1" showErrorMessage="1" sqref="A3918">
      <formula1>0</formula1>
    </dataValidation>
    <dataValidation type="list" allowBlank="1" showInputMessage="1" showErrorMessage="1" sqref="C3918">
      <formula1>UnidadesList</formula1>
    </dataValidation>
    <dataValidation type="decimal" operator="greaterThan" allowBlank="1" showInputMessage="1" showErrorMessage="1" sqref="D3918">
      <formula1>0</formula1>
    </dataValidation>
    <dataValidation type="decimal" operator="greaterThan" allowBlank="1" showInputMessage="1" showErrorMessage="1" sqref="E3918">
      <formula1>0</formula1>
    </dataValidation>
    <dataValidation type="whole" operator="greaterThan" allowBlank="1" showInputMessage="1" showErrorMessage="1" sqref="A3919">
      <formula1>0</formula1>
    </dataValidation>
    <dataValidation type="list" allowBlank="1" showInputMessage="1" showErrorMessage="1" sqref="C3919">
      <formula1>UnidadesList</formula1>
    </dataValidation>
    <dataValidation type="decimal" operator="greaterThan" allowBlank="1" showInputMessage="1" showErrorMessage="1" sqref="D3919">
      <formula1>0</formula1>
    </dataValidation>
    <dataValidation type="decimal" operator="greaterThan" allowBlank="1" showInputMessage="1" showErrorMessage="1" sqref="E3919">
      <formula1>0</formula1>
    </dataValidation>
    <dataValidation type="whole" operator="greaterThan" allowBlank="1" showInputMessage="1" showErrorMessage="1" sqref="A3920">
      <formula1>0</formula1>
    </dataValidation>
    <dataValidation type="list" allowBlank="1" showInputMessage="1" showErrorMessage="1" sqref="C3920">
      <formula1>UnidadesList</formula1>
    </dataValidation>
    <dataValidation type="decimal" operator="greaterThan" allowBlank="1" showInputMessage="1" showErrorMessage="1" sqref="D3920">
      <formula1>0</formula1>
    </dataValidation>
    <dataValidation type="decimal" operator="greaterThan" allowBlank="1" showInputMessage="1" showErrorMessage="1" sqref="E3920">
      <formula1>0</formula1>
    </dataValidation>
    <dataValidation type="whole" operator="greaterThan" allowBlank="1" showInputMessage="1" showErrorMessage="1" sqref="A3921">
      <formula1>0</formula1>
    </dataValidation>
    <dataValidation type="list" allowBlank="1" showInputMessage="1" showErrorMessage="1" sqref="C3921">
      <formula1>UnidadesList</formula1>
    </dataValidation>
    <dataValidation type="decimal" operator="greaterThan" allowBlank="1" showInputMessage="1" showErrorMessage="1" sqref="D3921">
      <formula1>0</formula1>
    </dataValidation>
    <dataValidation type="decimal" operator="greaterThan" allowBlank="1" showInputMessage="1" showErrorMessage="1" sqref="E3921">
      <formula1>0</formula1>
    </dataValidation>
    <dataValidation type="whole" operator="greaterThan" allowBlank="1" showInputMessage="1" showErrorMessage="1" sqref="A3922">
      <formula1>0</formula1>
    </dataValidation>
    <dataValidation type="list" allowBlank="1" showInputMessage="1" showErrorMessage="1" sqref="C3922">
      <formula1>UnidadesList</formula1>
    </dataValidation>
    <dataValidation type="decimal" operator="greaterThan" allowBlank="1" showInputMessage="1" showErrorMessage="1" sqref="D3922">
      <formula1>0</formula1>
    </dataValidation>
    <dataValidation type="decimal" operator="greaterThan" allowBlank="1" showInputMessage="1" showErrorMessage="1" sqref="E3922">
      <formula1>0</formula1>
    </dataValidation>
    <dataValidation type="whole" operator="greaterThan" allowBlank="1" showInputMessage="1" showErrorMessage="1" sqref="A3923">
      <formula1>0</formula1>
    </dataValidation>
    <dataValidation type="list" allowBlank="1" showInputMessage="1" showErrorMessage="1" sqref="C3923">
      <formula1>UnidadesList</formula1>
    </dataValidation>
    <dataValidation type="decimal" operator="greaterThan" allowBlank="1" showInputMessage="1" showErrorMessage="1" sqref="D3923">
      <formula1>0</formula1>
    </dataValidation>
    <dataValidation type="decimal" operator="greaterThan" allowBlank="1" showInputMessage="1" showErrorMessage="1" sqref="E3923">
      <formula1>0</formula1>
    </dataValidation>
    <dataValidation type="whole" operator="greaterThan" allowBlank="1" showInputMessage="1" showErrorMessage="1" sqref="A3924">
      <formula1>0</formula1>
    </dataValidation>
    <dataValidation type="list" allowBlank="1" showInputMessage="1" showErrorMessage="1" sqref="C3924">
      <formula1>UnidadesList</formula1>
    </dataValidation>
    <dataValidation type="decimal" operator="greaterThan" allowBlank="1" showInputMessage="1" showErrorMessage="1" sqref="D3924">
      <formula1>0</formula1>
    </dataValidation>
    <dataValidation type="decimal" operator="greaterThan" allowBlank="1" showInputMessage="1" showErrorMessage="1" sqref="E3924">
      <formula1>0</formula1>
    </dataValidation>
    <dataValidation type="whole" operator="greaterThan" allowBlank="1" showInputMessage="1" showErrorMessage="1" sqref="A3925">
      <formula1>0</formula1>
    </dataValidation>
    <dataValidation type="list" allowBlank="1" showInputMessage="1" showErrorMessage="1" sqref="C3925">
      <formula1>UnidadesList</formula1>
    </dataValidation>
    <dataValidation type="decimal" operator="greaterThan" allowBlank="1" showInputMessage="1" showErrorMessage="1" sqref="D3925">
      <formula1>0</formula1>
    </dataValidation>
    <dataValidation type="decimal" operator="greaterThan" allowBlank="1" showInputMessage="1" showErrorMessage="1" sqref="E3925">
      <formula1>0</formula1>
    </dataValidation>
    <dataValidation type="whole" operator="greaterThan" allowBlank="1" showInputMessage="1" showErrorMessage="1" sqref="A3926">
      <formula1>0</formula1>
    </dataValidation>
    <dataValidation type="list" allowBlank="1" showInputMessage="1" showErrorMessage="1" sqref="C3926">
      <formula1>UnidadesList</formula1>
    </dataValidation>
    <dataValidation type="decimal" operator="greaterThan" allowBlank="1" showInputMessage="1" showErrorMessage="1" sqref="D3926">
      <formula1>0</formula1>
    </dataValidation>
    <dataValidation type="decimal" operator="greaterThan" allowBlank="1" showInputMessage="1" showErrorMessage="1" sqref="E3926">
      <formula1>0</formula1>
    </dataValidation>
    <dataValidation type="whole" operator="greaterThan" allowBlank="1" showInputMessage="1" showErrorMessage="1" sqref="A3927">
      <formula1>0</formula1>
    </dataValidation>
    <dataValidation type="list" allowBlank="1" showInputMessage="1" showErrorMessage="1" sqref="C3927">
      <formula1>UnidadesList</formula1>
    </dataValidation>
    <dataValidation type="decimal" operator="greaterThan" allowBlank="1" showInputMessage="1" showErrorMessage="1" sqref="D3927">
      <formula1>0</formula1>
    </dataValidation>
    <dataValidation type="decimal" operator="greaterThan" allowBlank="1" showInputMessage="1" showErrorMessage="1" sqref="E3927">
      <formula1>0</formula1>
    </dataValidation>
    <dataValidation type="whole" operator="greaterThan" allowBlank="1" showInputMessage="1" showErrorMessage="1" sqref="A3928">
      <formula1>0</formula1>
    </dataValidation>
    <dataValidation type="list" allowBlank="1" showInputMessage="1" showErrorMessage="1" sqref="C3928">
      <formula1>UnidadesList</formula1>
    </dataValidation>
    <dataValidation type="decimal" operator="greaterThan" allowBlank="1" showInputMessage="1" showErrorMessage="1" sqref="D3928">
      <formula1>0</formula1>
    </dataValidation>
    <dataValidation type="decimal" operator="greaterThan" allowBlank="1" showInputMessage="1" showErrorMessage="1" sqref="E3928">
      <formula1>0</formula1>
    </dataValidation>
    <dataValidation type="whole" operator="greaterThan" allowBlank="1" showInputMessage="1" showErrorMessage="1" sqref="A3929">
      <formula1>0</formula1>
    </dataValidation>
    <dataValidation type="list" allowBlank="1" showInputMessage="1" showErrorMessage="1" sqref="C3929">
      <formula1>UnidadesList</formula1>
    </dataValidation>
    <dataValidation type="decimal" operator="greaterThan" allowBlank="1" showInputMessage="1" showErrorMessage="1" sqref="D3929">
      <formula1>0</formula1>
    </dataValidation>
    <dataValidation type="decimal" operator="greaterThan" allowBlank="1" showInputMessage="1" showErrorMessage="1" sqref="E3929">
      <formula1>0</formula1>
    </dataValidation>
    <dataValidation type="whole" operator="greaterThan" allowBlank="1" showInputMessage="1" showErrorMessage="1" sqref="A3930">
      <formula1>0</formula1>
    </dataValidation>
    <dataValidation type="list" allowBlank="1" showInputMessage="1" showErrorMessage="1" sqref="C3930">
      <formula1>UnidadesList</formula1>
    </dataValidation>
    <dataValidation type="decimal" operator="greaterThan" allowBlank="1" showInputMessage="1" showErrorMessage="1" sqref="D3930">
      <formula1>0</formula1>
    </dataValidation>
    <dataValidation type="decimal" operator="greaterThan" allowBlank="1" showInputMessage="1" showErrorMessage="1" sqref="E3930">
      <formula1>0</formula1>
    </dataValidation>
    <dataValidation type="whole" operator="greaterThan" allowBlank="1" showInputMessage="1" showErrorMessage="1" sqref="A3931">
      <formula1>0</formula1>
    </dataValidation>
    <dataValidation type="list" allowBlank="1" showInputMessage="1" showErrorMessage="1" sqref="C3931">
      <formula1>UnidadesList</formula1>
    </dataValidation>
    <dataValidation type="decimal" operator="greaterThan" allowBlank="1" showInputMessage="1" showErrorMessage="1" sqref="D3931">
      <formula1>0</formula1>
    </dataValidation>
    <dataValidation type="decimal" operator="greaterThan" allowBlank="1" showInputMessage="1" showErrorMessage="1" sqref="E3931">
      <formula1>0</formula1>
    </dataValidation>
    <dataValidation type="whole" operator="greaterThan" allowBlank="1" showInputMessage="1" showErrorMessage="1" sqref="A3932">
      <formula1>0</formula1>
    </dataValidation>
    <dataValidation type="list" allowBlank="1" showInputMessage="1" showErrorMessage="1" sqref="C3932">
      <formula1>UnidadesList</formula1>
    </dataValidation>
    <dataValidation type="decimal" operator="greaterThan" allowBlank="1" showInputMessage="1" showErrorMessage="1" sqref="D3932">
      <formula1>0</formula1>
    </dataValidation>
    <dataValidation type="decimal" operator="greaterThan" allowBlank="1" showInputMessage="1" showErrorMessage="1" sqref="E3932">
      <formula1>0</formula1>
    </dataValidation>
    <dataValidation type="whole" operator="greaterThan" allowBlank="1" showInputMessage="1" showErrorMessage="1" sqref="A3933">
      <formula1>0</formula1>
    </dataValidation>
    <dataValidation type="list" allowBlank="1" showInputMessage="1" showErrorMessage="1" sqref="C3933">
      <formula1>UnidadesList</formula1>
    </dataValidation>
    <dataValidation type="decimal" operator="greaterThan" allowBlank="1" showInputMessage="1" showErrorMessage="1" sqref="D3933">
      <formula1>0</formula1>
    </dataValidation>
    <dataValidation type="decimal" operator="greaterThan" allowBlank="1" showInputMessage="1" showErrorMessage="1" sqref="E3933">
      <formula1>0</formula1>
    </dataValidation>
    <dataValidation type="whole" operator="greaterThan" allowBlank="1" showInputMessage="1" showErrorMessage="1" sqref="A3934">
      <formula1>0</formula1>
    </dataValidation>
    <dataValidation type="list" allowBlank="1" showInputMessage="1" showErrorMessage="1" sqref="C3934">
      <formula1>UnidadesList</formula1>
    </dataValidation>
    <dataValidation type="decimal" operator="greaterThan" allowBlank="1" showInputMessage="1" showErrorMessage="1" sqref="D3934">
      <formula1>0</formula1>
    </dataValidation>
    <dataValidation type="decimal" operator="greaterThan" allowBlank="1" showInputMessage="1" showErrorMessage="1" sqref="E3934">
      <formula1>0</formula1>
    </dataValidation>
    <dataValidation type="whole" operator="greaterThan" allowBlank="1" showInputMessage="1" showErrorMessage="1" sqref="A3935">
      <formula1>0</formula1>
    </dataValidation>
    <dataValidation type="list" allowBlank="1" showInputMessage="1" showErrorMessage="1" sqref="C3935">
      <formula1>UnidadesList</formula1>
    </dataValidation>
    <dataValidation type="decimal" operator="greaterThan" allowBlank="1" showInputMessage="1" showErrorMessage="1" sqref="D3935">
      <formula1>0</formula1>
    </dataValidation>
    <dataValidation type="decimal" operator="greaterThan" allowBlank="1" showInputMessage="1" showErrorMessage="1" sqref="E3935">
      <formula1>0</formula1>
    </dataValidation>
    <dataValidation type="whole" operator="greaterThan" allowBlank="1" showInputMessage="1" showErrorMessage="1" sqref="A3936">
      <formula1>0</formula1>
    </dataValidation>
    <dataValidation type="list" allowBlank="1" showInputMessage="1" showErrorMessage="1" sqref="C3936">
      <formula1>UnidadesList</formula1>
    </dataValidation>
    <dataValidation type="decimal" operator="greaterThan" allowBlank="1" showInputMessage="1" showErrorMessage="1" sqref="D3936">
      <formula1>0</formula1>
    </dataValidation>
    <dataValidation type="decimal" operator="greaterThan" allowBlank="1" showInputMessage="1" showErrorMessage="1" sqref="E3936">
      <formula1>0</formula1>
    </dataValidation>
    <dataValidation type="whole" operator="greaterThan" allowBlank="1" showInputMessage="1" showErrorMessage="1" sqref="A3937">
      <formula1>0</formula1>
    </dataValidation>
    <dataValidation type="list" allowBlank="1" showInputMessage="1" showErrorMessage="1" sqref="C3937">
      <formula1>UnidadesList</formula1>
    </dataValidation>
    <dataValidation type="decimal" operator="greaterThan" allowBlank="1" showInputMessage="1" showErrorMessage="1" sqref="D3937">
      <formula1>0</formula1>
    </dataValidation>
    <dataValidation type="decimal" operator="greaterThan" allowBlank="1" showInputMessage="1" showErrorMessage="1" sqref="E3937">
      <formula1>0</formula1>
    </dataValidation>
    <dataValidation type="whole" operator="greaterThan" allowBlank="1" showInputMessage="1" showErrorMessage="1" sqref="A3938">
      <formula1>0</formula1>
    </dataValidation>
    <dataValidation type="list" allowBlank="1" showInputMessage="1" showErrorMessage="1" sqref="C3938">
      <formula1>UnidadesList</formula1>
    </dataValidation>
    <dataValidation type="decimal" operator="greaterThan" allowBlank="1" showInputMessage="1" showErrorMessage="1" sqref="D3938">
      <formula1>0</formula1>
    </dataValidation>
    <dataValidation type="decimal" operator="greaterThan" allowBlank="1" showInputMessage="1" showErrorMessage="1" sqref="E3938">
      <formula1>0</formula1>
    </dataValidation>
    <dataValidation type="whole" operator="greaterThan" allowBlank="1" showInputMessage="1" showErrorMessage="1" sqref="A3939">
      <formula1>0</formula1>
    </dataValidation>
    <dataValidation type="list" allowBlank="1" showInputMessage="1" showErrorMessage="1" sqref="C3939">
      <formula1>UnidadesList</formula1>
    </dataValidation>
    <dataValidation type="decimal" operator="greaterThan" allowBlank="1" showInputMessage="1" showErrorMessage="1" sqref="D3939">
      <formula1>0</formula1>
    </dataValidation>
    <dataValidation type="decimal" operator="greaterThan" allowBlank="1" showInputMessage="1" showErrorMessage="1" sqref="E3939">
      <formula1>0</formula1>
    </dataValidation>
    <dataValidation type="whole" operator="greaterThan" allowBlank="1" showInputMessage="1" showErrorMessage="1" sqref="A3940">
      <formula1>0</formula1>
    </dataValidation>
    <dataValidation type="list" allowBlank="1" showInputMessage="1" showErrorMessage="1" sqref="C3940">
      <formula1>UnidadesList</formula1>
    </dataValidation>
    <dataValidation type="decimal" operator="greaterThan" allowBlank="1" showInputMessage="1" showErrorMessage="1" sqref="D3940">
      <formula1>0</formula1>
    </dataValidation>
    <dataValidation type="decimal" operator="greaterThan" allowBlank="1" showInputMessage="1" showErrorMessage="1" sqref="E3940">
      <formula1>0</formula1>
    </dataValidation>
    <dataValidation type="whole" operator="greaterThan" allowBlank="1" showInputMessage="1" showErrorMessage="1" sqref="A3941">
      <formula1>0</formula1>
    </dataValidation>
    <dataValidation type="list" allowBlank="1" showInputMessage="1" showErrorMessage="1" sqref="C3941">
      <formula1>UnidadesList</formula1>
    </dataValidation>
    <dataValidation type="decimal" operator="greaterThan" allowBlank="1" showInputMessage="1" showErrorMessage="1" sqref="D3941">
      <formula1>0</formula1>
    </dataValidation>
    <dataValidation type="decimal" operator="greaterThan" allowBlank="1" showInputMessage="1" showErrorMessage="1" sqref="E3941">
      <formula1>0</formula1>
    </dataValidation>
    <dataValidation type="whole" operator="greaterThan" allowBlank="1" showInputMessage="1" showErrorMessage="1" sqref="A3942">
      <formula1>0</formula1>
    </dataValidation>
    <dataValidation type="list" allowBlank="1" showInputMessage="1" showErrorMessage="1" sqref="C3942">
      <formula1>UnidadesList</formula1>
    </dataValidation>
    <dataValidation type="decimal" operator="greaterThan" allowBlank="1" showInputMessage="1" showErrorMessage="1" sqref="D3942">
      <formula1>0</formula1>
    </dataValidation>
    <dataValidation type="decimal" operator="greaterThan" allowBlank="1" showInputMessage="1" showErrorMessage="1" sqref="E3942">
      <formula1>0</formula1>
    </dataValidation>
    <dataValidation type="whole" operator="greaterThan" allowBlank="1" showInputMessage="1" showErrorMessage="1" sqref="A3943">
      <formula1>0</formula1>
    </dataValidation>
    <dataValidation type="list" allowBlank="1" showInputMessage="1" showErrorMessage="1" sqref="C3943">
      <formula1>UnidadesList</formula1>
    </dataValidation>
    <dataValidation type="decimal" operator="greaterThan" allowBlank="1" showInputMessage="1" showErrorMessage="1" sqref="D3943">
      <formula1>0</formula1>
    </dataValidation>
    <dataValidation type="decimal" operator="greaterThan" allowBlank="1" showInputMessage="1" showErrorMessage="1" sqref="E3943">
      <formula1>0</formula1>
    </dataValidation>
    <dataValidation type="whole" operator="greaterThan" allowBlank="1" showInputMessage="1" showErrorMessage="1" sqref="A3944">
      <formula1>0</formula1>
    </dataValidation>
    <dataValidation type="list" allowBlank="1" showInputMessage="1" showErrorMessage="1" sqref="C3944">
      <formula1>UnidadesList</formula1>
    </dataValidation>
    <dataValidation type="decimal" operator="greaterThan" allowBlank="1" showInputMessage="1" showErrorMessage="1" sqref="D3944">
      <formula1>0</formula1>
    </dataValidation>
    <dataValidation type="decimal" operator="greaterThan" allowBlank="1" showInputMessage="1" showErrorMessage="1" sqref="E3944">
      <formula1>0</formula1>
    </dataValidation>
    <dataValidation type="whole" operator="greaterThan" allowBlank="1" showInputMessage="1" showErrorMessage="1" sqref="A3945">
      <formula1>0</formula1>
    </dataValidation>
    <dataValidation type="list" allowBlank="1" showInputMessage="1" showErrorMessage="1" sqref="C3945">
      <formula1>UnidadesList</formula1>
    </dataValidation>
    <dataValidation type="decimal" operator="greaterThan" allowBlank="1" showInputMessage="1" showErrorMessage="1" sqref="D3945">
      <formula1>0</formula1>
    </dataValidation>
    <dataValidation type="decimal" operator="greaterThan" allowBlank="1" showInputMessage="1" showErrorMessage="1" sqref="E3945">
      <formula1>0</formula1>
    </dataValidation>
    <dataValidation type="whole" operator="greaterThan" allowBlank="1" showInputMessage="1" showErrorMessage="1" sqref="A3946">
      <formula1>0</formula1>
    </dataValidation>
    <dataValidation type="list" allowBlank="1" showInputMessage="1" showErrorMessage="1" sqref="C3946">
      <formula1>UnidadesList</formula1>
    </dataValidation>
    <dataValidation type="decimal" operator="greaterThan" allowBlank="1" showInputMessage="1" showErrorMessage="1" sqref="D3946">
      <formula1>0</formula1>
    </dataValidation>
    <dataValidation type="decimal" operator="greaterThan" allowBlank="1" showInputMessage="1" showErrorMessage="1" sqref="E3946">
      <formula1>0</formula1>
    </dataValidation>
    <dataValidation type="whole" operator="greaterThan" allowBlank="1" showInputMessage="1" showErrorMessage="1" sqref="A3947">
      <formula1>0</formula1>
    </dataValidation>
    <dataValidation type="list" allowBlank="1" showInputMessage="1" showErrorMessage="1" sqref="C3947">
      <formula1>UnidadesList</formula1>
    </dataValidation>
    <dataValidation type="decimal" operator="greaterThan" allowBlank="1" showInputMessage="1" showErrorMessage="1" sqref="D3947">
      <formula1>0</formula1>
    </dataValidation>
    <dataValidation type="decimal" operator="greaterThan" allowBlank="1" showInputMessage="1" showErrorMessage="1" sqref="E3947">
      <formula1>0</formula1>
    </dataValidation>
    <dataValidation type="whole" operator="greaterThan" allowBlank="1" showInputMessage="1" showErrorMessage="1" sqref="A3948">
      <formula1>0</formula1>
    </dataValidation>
    <dataValidation type="list" allowBlank="1" showInputMessage="1" showErrorMessage="1" sqref="C3948">
      <formula1>UnidadesList</formula1>
    </dataValidation>
    <dataValidation type="decimal" operator="greaterThan" allowBlank="1" showInputMessage="1" showErrorMessage="1" sqref="D3948">
      <formula1>0</formula1>
    </dataValidation>
    <dataValidation type="decimal" operator="greaterThan" allowBlank="1" showInputMessage="1" showErrorMessage="1" sqref="E3948">
      <formula1>0</formula1>
    </dataValidation>
    <dataValidation type="whole" operator="greaterThan" allowBlank="1" showInputMessage="1" showErrorMessage="1" sqref="A3949">
      <formula1>0</formula1>
    </dataValidation>
    <dataValidation type="list" allowBlank="1" showInputMessage="1" showErrorMessage="1" sqref="C3949">
      <formula1>UnidadesList</formula1>
    </dataValidation>
    <dataValidation type="decimal" operator="greaterThan" allowBlank="1" showInputMessage="1" showErrorMessage="1" sqref="D3949">
      <formula1>0</formula1>
    </dataValidation>
    <dataValidation type="decimal" operator="greaterThan" allowBlank="1" showInputMessage="1" showErrorMessage="1" sqref="E3949">
      <formula1>0</formula1>
    </dataValidation>
    <dataValidation type="whole" operator="greaterThan" allowBlank="1" showInputMessage="1" showErrorMessage="1" sqref="A3950">
      <formula1>0</formula1>
    </dataValidation>
    <dataValidation type="list" allowBlank="1" showInputMessage="1" showErrorMessage="1" sqref="C3950">
      <formula1>UnidadesList</formula1>
    </dataValidation>
    <dataValidation type="decimal" operator="greaterThan" allowBlank="1" showInputMessage="1" showErrorMessage="1" sqref="D3950">
      <formula1>0</formula1>
    </dataValidation>
    <dataValidation type="decimal" operator="greaterThan" allowBlank="1" showInputMessage="1" showErrorMessage="1" sqref="E3950">
      <formula1>0</formula1>
    </dataValidation>
    <dataValidation type="whole" operator="greaterThan" allowBlank="1" showInputMessage="1" showErrorMessage="1" sqref="A3951">
      <formula1>0</formula1>
    </dataValidation>
    <dataValidation type="list" allowBlank="1" showInputMessage="1" showErrorMessage="1" sqref="C3951">
      <formula1>UnidadesList</formula1>
    </dataValidation>
    <dataValidation type="decimal" operator="greaterThan" allowBlank="1" showInputMessage="1" showErrorMessage="1" sqref="D3951">
      <formula1>0</formula1>
    </dataValidation>
    <dataValidation type="decimal" operator="greaterThan" allowBlank="1" showInputMessage="1" showErrorMessage="1" sqref="E3951">
      <formula1>0</formula1>
    </dataValidation>
    <dataValidation type="whole" operator="greaterThan" allowBlank="1" showInputMessage="1" showErrorMessage="1" sqref="A3952">
      <formula1>0</formula1>
    </dataValidation>
    <dataValidation type="list" allowBlank="1" showInputMessage="1" showErrorMessage="1" sqref="C3952">
      <formula1>UnidadesList</formula1>
    </dataValidation>
    <dataValidation type="decimal" operator="greaterThan" allowBlank="1" showInputMessage="1" showErrorMessage="1" sqref="D3952">
      <formula1>0</formula1>
    </dataValidation>
    <dataValidation type="decimal" operator="greaterThan" allowBlank="1" showInputMessage="1" showErrorMessage="1" sqref="E3952">
      <formula1>0</formula1>
    </dataValidation>
    <dataValidation type="whole" operator="greaterThan" allowBlank="1" showInputMessage="1" showErrorMessage="1" sqref="A3953">
      <formula1>0</formula1>
    </dataValidation>
    <dataValidation type="list" allowBlank="1" showInputMessage="1" showErrorMessage="1" sqref="C3953">
      <formula1>UnidadesList</formula1>
    </dataValidation>
    <dataValidation type="decimal" operator="greaterThan" allowBlank="1" showInputMessage="1" showErrorMessage="1" sqref="D3953">
      <formula1>0</formula1>
    </dataValidation>
    <dataValidation type="decimal" operator="greaterThan" allowBlank="1" showInputMessage="1" showErrorMessage="1" sqref="E3953">
      <formula1>0</formula1>
    </dataValidation>
    <dataValidation type="whole" operator="greaterThan" allowBlank="1" showInputMessage="1" showErrorMessage="1" sqref="A3954">
      <formula1>0</formula1>
    </dataValidation>
    <dataValidation type="list" allowBlank="1" showInputMessage="1" showErrorMessage="1" sqref="C3954">
      <formula1>UnidadesList</formula1>
    </dataValidation>
    <dataValidation type="decimal" operator="greaterThan" allowBlank="1" showInputMessage="1" showErrorMessage="1" sqref="D3954">
      <formula1>0</formula1>
    </dataValidation>
    <dataValidation type="decimal" operator="greaterThan" allowBlank="1" showInputMessage="1" showErrorMessage="1" sqref="E3954">
      <formula1>0</formula1>
    </dataValidation>
    <dataValidation type="whole" operator="greaterThan" allowBlank="1" showInputMessage="1" showErrorMessage="1" sqref="A3955">
      <formula1>0</formula1>
    </dataValidation>
    <dataValidation type="list" allowBlank="1" showInputMessage="1" showErrorMessage="1" sqref="C3955">
      <formula1>UnidadesList</formula1>
    </dataValidation>
    <dataValidation type="decimal" operator="greaterThan" allowBlank="1" showInputMessage="1" showErrorMessage="1" sqref="D3955">
      <formula1>0</formula1>
    </dataValidation>
    <dataValidation type="decimal" operator="greaterThan" allowBlank="1" showInputMessage="1" showErrorMessage="1" sqref="E3955">
      <formula1>0</formula1>
    </dataValidation>
    <dataValidation type="whole" operator="greaterThan" allowBlank="1" showInputMessage="1" showErrorMessage="1" sqref="A3956">
      <formula1>0</formula1>
    </dataValidation>
    <dataValidation type="list" allowBlank="1" showInputMessage="1" showErrorMessage="1" sqref="C3956">
      <formula1>UnidadesList</formula1>
    </dataValidation>
    <dataValidation type="decimal" operator="greaterThan" allowBlank="1" showInputMessage="1" showErrorMessage="1" sqref="D3956">
      <formula1>0</formula1>
    </dataValidation>
    <dataValidation type="decimal" operator="greaterThan" allowBlank="1" showInputMessage="1" showErrorMessage="1" sqref="E3956">
      <formula1>0</formula1>
    </dataValidation>
    <dataValidation type="whole" operator="greaterThan" allowBlank="1" showInputMessage="1" showErrorMessage="1" sqref="A3957">
      <formula1>0</formula1>
    </dataValidation>
    <dataValidation type="list" allowBlank="1" showInputMessage="1" showErrorMessage="1" sqref="C3957">
      <formula1>UnidadesList</formula1>
    </dataValidation>
    <dataValidation type="decimal" operator="greaterThan" allowBlank="1" showInputMessage="1" showErrorMessage="1" sqref="D3957">
      <formula1>0</formula1>
    </dataValidation>
    <dataValidation type="decimal" operator="greaterThan" allowBlank="1" showInputMessage="1" showErrorMessage="1" sqref="E3957">
      <formula1>0</formula1>
    </dataValidation>
    <dataValidation type="date" operator="lessThanOrEqual" allowBlank="1" showInputMessage="1" showErrorMessage="1" sqref="C3962">
      <formula1>C3964</formula1>
    </dataValidation>
    <dataValidation type="date" operator="greaterThanOrEqual" allowBlank="1" showInputMessage="1" showErrorMessage="1" sqref="C3964">
      <formula1>C3962</formula1>
    </dataValidation>
    <dataValidation type="list" allowBlank="1" showInputMessage="1" showErrorMessage="1" sqref="F39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9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9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9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968">
      <formula1>0</formula1>
    </dataValidation>
    <dataValidation type="list" allowBlank="1" showInputMessage="1" showErrorMessage="1" sqref="C3968">
      <formula1>UnidadesList</formula1>
    </dataValidation>
    <dataValidation type="decimal" operator="greaterThan" allowBlank="1" showInputMessage="1" showErrorMessage="1" sqref="D3968">
      <formula1>0</formula1>
    </dataValidation>
    <dataValidation type="decimal" operator="greaterThan" allowBlank="1" showInputMessage="1" showErrorMessage="1" sqref="E3968">
      <formula1>0</formula1>
    </dataValidation>
    <dataValidation type="whole" operator="greaterThan" allowBlank="1" showInputMessage="1" showErrorMessage="1" sqref="A3969">
      <formula1>0</formula1>
    </dataValidation>
    <dataValidation type="list" allowBlank="1" showInputMessage="1" showErrorMessage="1" sqref="C3969">
      <formula1>UnidadesList</formula1>
    </dataValidation>
    <dataValidation type="decimal" operator="greaterThan" allowBlank="1" showInputMessage="1" showErrorMessage="1" sqref="D3969">
      <formula1>0</formula1>
    </dataValidation>
    <dataValidation type="decimal" operator="greaterThan" allowBlank="1" showInputMessage="1" showErrorMessage="1" sqref="E3969">
      <formula1>0</formula1>
    </dataValidation>
    <dataValidation type="whole" operator="greaterThan" allowBlank="1" showInputMessage="1" showErrorMessage="1" sqref="A3970">
      <formula1>0</formula1>
    </dataValidation>
    <dataValidation type="list" allowBlank="1" showInputMessage="1" showErrorMessage="1" sqref="C3970">
      <formula1>UnidadesList</formula1>
    </dataValidation>
    <dataValidation type="decimal" operator="greaterThan" allowBlank="1" showInputMessage="1" showErrorMessage="1" sqref="D3970">
      <formula1>0</formula1>
    </dataValidation>
    <dataValidation type="decimal" operator="greaterThan" allowBlank="1" showInputMessage="1" showErrorMessage="1" sqref="E3970">
      <formula1>0</formula1>
    </dataValidation>
    <dataValidation type="whole" operator="greaterThan" allowBlank="1" showInputMessage="1" showErrorMessage="1" sqref="A3971">
      <formula1>0</formula1>
    </dataValidation>
    <dataValidation type="list" allowBlank="1" showInputMessage="1" showErrorMessage="1" sqref="C3971">
      <formula1>UnidadesList</formula1>
    </dataValidation>
    <dataValidation type="decimal" operator="greaterThan" allowBlank="1" showInputMessage="1" showErrorMessage="1" sqref="D3971">
      <formula1>0</formula1>
    </dataValidation>
    <dataValidation type="decimal" operator="greaterThan" allowBlank="1" showInputMessage="1" showErrorMessage="1" sqref="E3971">
      <formula1>0</formula1>
    </dataValidation>
    <dataValidation type="whole" operator="greaterThan" allowBlank="1" showInputMessage="1" showErrorMessage="1" sqref="A3972">
      <formula1>0</formula1>
    </dataValidation>
    <dataValidation type="list" allowBlank="1" showInputMessage="1" showErrorMessage="1" sqref="C3972">
      <formula1>UnidadesList</formula1>
    </dataValidation>
    <dataValidation type="decimal" operator="greaterThan" allowBlank="1" showInputMessage="1" showErrorMessage="1" sqref="D3972">
      <formula1>0</formula1>
    </dataValidation>
    <dataValidation type="decimal" operator="greaterThan" allowBlank="1" showInputMessage="1" showErrorMessage="1" sqref="E3972">
      <formula1>0</formula1>
    </dataValidation>
    <dataValidation type="whole" operator="greaterThan" allowBlank="1" showInputMessage="1" showErrorMessage="1" sqref="A3973">
      <formula1>0</formula1>
    </dataValidation>
    <dataValidation type="list" allowBlank="1" showInputMessage="1" showErrorMessage="1" sqref="C3973">
      <formula1>UnidadesList</formula1>
    </dataValidation>
    <dataValidation type="decimal" operator="greaterThan" allowBlank="1" showInputMessage="1" showErrorMessage="1" sqref="D3973">
      <formula1>0</formula1>
    </dataValidation>
    <dataValidation type="decimal" operator="greaterThan" allowBlank="1" showInputMessage="1" showErrorMessage="1" sqref="E3973">
      <formula1>0</formula1>
    </dataValidation>
    <dataValidation type="whole" operator="greaterThan" allowBlank="1" showInputMessage="1" showErrorMessage="1" sqref="A3974">
      <formula1>0</formula1>
    </dataValidation>
    <dataValidation type="list" allowBlank="1" showInputMessage="1" showErrorMessage="1" sqref="C3974">
      <formula1>UnidadesList</formula1>
    </dataValidation>
    <dataValidation type="decimal" operator="greaterThan" allowBlank="1" showInputMessage="1" showErrorMessage="1" sqref="D3974">
      <formula1>0</formula1>
    </dataValidation>
    <dataValidation type="decimal" operator="greaterThan" allowBlank="1" showInputMessage="1" showErrorMessage="1" sqref="E3974">
      <formula1>0</formula1>
    </dataValidation>
    <dataValidation type="whole" operator="greaterThan" allowBlank="1" showInputMessage="1" showErrorMessage="1" sqref="A3975">
      <formula1>0</formula1>
    </dataValidation>
    <dataValidation type="list" allowBlank="1" showInputMessage="1" showErrorMessage="1" sqref="C3975">
      <formula1>UnidadesList</formula1>
    </dataValidation>
    <dataValidation type="decimal" operator="greaterThan" allowBlank="1" showInputMessage="1" showErrorMessage="1" sqref="D3975">
      <formula1>0</formula1>
    </dataValidation>
    <dataValidation type="decimal" operator="greaterThan" allowBlank="1" showInputMessage="1" showErrorMessage="1" sqref="E3975">
      <formula1>0</formula1>
    </dataValidation>
    <dataValidation type="whole" operator="greaterThan" allowBlank="1" showInputMessage="1" showErrorMessage="1" sqref="A3976">
      <formula1>0</formula1>
    </dataValidation>
    <dataValidation type="list" allowBlank="1" showInputMessage="1" showErrorMessage="1" sqref="C3976">
      <formula1>UnidadesList</formula1>
    </dataValidation>
    <dataValidation type="decimal" operator="greaterThan" allowBlank="1" showInputMessage="1" showErrorMessage="1" sqref="D3976">
      <formula1>0</formula1>
    </dataValidation>
    <dataValidation type="decimal" operator="greaterThan" allowBlank="1" showInputMessage="1" showErrorMessage="1" sqref="E3976">
      <formula1>0</formula1>
    </dataValidation>
    <dataValidation type="whole" operator="greaterThan" allowBlank="1" showInputMessage="1" showErrorMessage="1" sqref="A3977">
      <formula1>0</formula1>
    </dataValidation>
    <dataValidation type="list" allowBlank="1" showInputMessage="1" showErrorMessage="1" sqref="C3977">
      <formula1>UnidadesList</formula1>
    </dataValidation>
    <dataValidation type="decimal" operator="greaterThan" allowBlank="1" showInputMessage="1" showErrorMessage="1" sqref="D3977">
      <formula1>0</formula1>
    </dataValidation>
    <dataValidation type="decimal" operator="greaterThan" allowBlank="1" showInputMessage="1" showErrorMessage="1" sqref="E3977">
      <formula1>0</formula1>
    </dataValidation>
    <dataValidation type="whole" operator="greaterThan" allowBlank="1" showInputMessage="1" showErrorMessage="1" sqref="A3978">
      <formula1>0</formula1>
    </dataValidation>
    <dataValidation type="list" allowBlank="1" showInputMessage="1" showErrorMessage="1" sqref="C3978">
      <formula1>UnidadesList</formula1>
    </dataValidation>
    <dataValidation type="decimal" operator="greaterThan" allowBlank="1" showInputMessage="1" showErrorMessage="1" sqref="D3978">
      <formula1>0</formula1>
    </dataValidation>
    <dataValidation type="decimal" operator="greaterThan" allowBlank="1" showInputMessage="1" showErrorMessage="1" sqref="E3978">
      <formula1>0</formula1>
    </dataValidation>
    <dataValidation type="whole" operator="greaterThan" allowBlank="1" showInputMessage="1" showErrorMessage="1" sqref="A3979">
      <formula1>0</formula1>
    </dataValidation>
    <dataValidation type="list" allowBlank="1" showInputMessage="1" showErrorMessage="1" sqref="C3979">
      <formula1>UnidadesList</formula1>
    </dataValidation>
    <dataValidation type="decimal" operator="greaterThan" allowBlank="1" showInputMessage="1" showErrorMessage="1" sqref="D3979">
      <formula1>0</formula1>
    </dataValidation>
    <dataValidation type="decimal" operator="greaterThan" allowBlank="1" showInputMessage="1" showErrorMessage="1" sqref="E3979">
      <formula1>0</formula1>
    </dataValidation>
    <dataValidation type="whole" operator="greaterThan" allowBlank="1" showInputMessage="1" showErrorMessage="1" sqref="A3980">
      <formula1>0</formula1>
    </dataValidation>
    <dataValidation type="list" allowBlank="1" showInputMessage="1" showErrorMessage="1" sqref="C3980">
      <formula1>UnidadesList</formula1>
    </dataValidation>
    <dataValidation type="decimal" operator="greaterThan" allowBlank="1" showInputMessage="1" showErrorMessage="1" sqref="D3980">
      <formula1>0</formula1>
    </dataValidation>
    <dataValidation type="decimal" operator="greaterThan" allowBlank="1" showInputMessage="1" showErrorMessage="1" sqref="E3980">
      <formula1>0</formula1>
    </dataValidation>
    <dataValidation type="whole" operator="greaterThan" allowBlank="1" showInputMessage="1" showErrorMessage="1" sqref="A3981">
      <formula1>0</formula1>
    </dataValidation>
    <dataValidation type="list" allowBlank="1" showInputMessage="1" showErrorMessage="1" sqref="C3981">
      <formula1>UnidadesList</formula1>
    </dataValidation>
    <dataValidation type="decimal" operator="greaterThan" allowBlank="1" showInputMessage="1" showErrorMessage="1" sqref="D3981">
      <formula1>0</formula1>
    </dataValidation>
    <dataValidation type="decimal" operator="greaterThan" allowBlank="1" showInputMessage="1" showErrorMessage="1" sqref="E3981">
      <formula1>0</formula1>
    </dataValidation>
    <dataValidation type="whole" operator="greaterThan" allowBlank="1" showInputMessage="1" showErrorMessage="1" sqref="A3982">
      <formula1>0</formula1>
    </dataValidation>
    <dataValidation type="list" allowBlank="1" showInputMessage="1" showErrorMessage="1" sqref="C3982">
      <formula1>UnidadesList</formula1>
    </dataValidation>
    <dataValidation type="decimal" operator="greaterThan" allowBlank="1" showInputMessage="1" showErrorMessage="1" sqref="D3982">
      <formula1>0</formula1>
    </dataValidation>
    <dataValidation type="decimal" operator="greaterThan" allowBlank="1" showInputMessage="1" showErrorMessage="1" sqref="E3982">
      <formula1>0</formula1>
    </dataValidation>
    <dataValidation type="whole" operator="greaterThan" allowBlank="1" showInputMessage="1" showErrorMessage="1" sqref="A3983">
      <formula1>0</formula1>
    </dataValidation>
    <dataValidation type="list" allowBlank="1" showInputMessage="1" showErrorMessage="1" sqref="C3983">
      <formula1>UnidadesList</formula1>
    </dataValidation>
    <dataValidation type="decimal" operator="greaterThan" allowBlank="1" showInputMessage="1" showErrorMessage="1" sqref="D3983">
      <formula1>0</formula1>
    </dataValidation>
    <dataValidation type="decimal" operator="greaterThan" allowBlank="1" showInputMessage="1" showErrorMessage="1" sqref="E3983">
      <formula1>0</formula1>
    </dataValidation>
    <dataValidation type="whole" operator="greaterThan" allowBlank="1" showInputMessage="1" showErrorMessage="1" sqref="A3984">
      <formula1>0</formula1>
    </dataValidation>
    <dataValidation type="list" allowBlank="1" showInputMessage="1" showErrorMessage="1" sqref="C3984">
      <formula1>UnidadesList</formula1>
    </dataValidation>
    <dataValidation type="decimal" operator="greaterThan" allowBlank="1" showInputMessage="1" showErrorMessage="1" sqref="D3984">
      <formula1>0</formula1>
    </dataValidation>
    <dataValidation type="decimal" operator="greaterThan" allowBlank="1" showInputMessage="1" showErrorMessage="1" sqref="E3984">
      <formula1>0</formula1>
    </dataValidation>
    <dataValidation type="whole" operator="greaterThan" allowBlank="1" showInputMessage="1" showErrorMessage="1" sqref="A3985">
      <formula1>0</formula1>
    </dataValidation>
    <dataValidation type="list" allowBlank="1" showInputMessage="1" showErrorMessage="1" sqref="C3985">
      <formula1>UnidadesList</formula1>
    </dataValidation>
    <dataValidation type="decimal" operator="greaterThan" allowBlank="1" showInputMessage="1" showErrorMessage="1" sqref="D3985">
      <formula1>0</formula1>
    </dataValidation>
    <dataValidation type="decimal" operator="greaterThan" allowBlank="1" showInputMessage="1" showErrorMessage="1" sqref="E3985">
      <formula1>0</formula1>
    </dataValidation>
    <dataValidation type="whole" operator="greaterThan" allowBlank="1" showInputMessage="1" showErrorMessage="1" sqref="A3986">
      <formula1>0</formula1>
    </dataValidation>
    <dataValidation type="list" allowBlank="1" showInputMessage="1" showErrorMessage="1" sqref="C3986">
      <formula1>UnidadesList</formula1>
    </dataValidation>
    <dataValidation type="decimal" operator="greaterThan" allowBlank="1" showInputMessage="1" showErrorMessage="1" sqref="D3986">
      <formula1>0</formula1>
    </dataValidation>
    <dataValidation type="decimal" operator="greaterThan" allowBlank="1" showInputMessage="1" showErrorMessage="1" sqref="E3986">
      <formula1>0</formula1>
    </dataValidation>
    <dataValidation type="whole" operator="greaterThan" allowBlank="1" showInputMessage="1" showErrorMessage="1" sqref="A3987">
      <formula1>0</formula1>
    </dataValidation>
    <dataValidation type="list" allowBlank="1" showInputMessage="1" showErrorMessage="1" sqref="C3987">
      <formula1>UnidadesList</formula1>
    </dataValidation>
    <dataValidation type="decimal" operator="greaterThan" allowBlank="1" showInputMessage="1" showErrorMessage="1" sqref="D3987">
      <formula1>0</formula1>
    </dataValidation>
    <dataValidation type="decimal" operator="greaterThan" allowBlank="1" showInputMessage="1" showErrorMessage="1" sqref="E3987">
      <formula1>0</formula1>
    </dataValidation>
    <dataValidation type="whole" operator="greaterThan" allowBlank="1" showInputMessage="1" showErrorMessage="1" sqref="A3988">
      <formula1>0</formula1>
    </dataValidation>
    <dataValidation type="list" allowBlank="1" showInputMessage="1" showErrorMessage="1" sqref="C3988">
      <formula1>UnidadesList</formula1>
    </dataValidation>
    <dataValidation type="decimal" operator="greaterThan" allowBlank="1" showInputMessage="1" showErrorMessage="1" sqref="D3988">
      <formula1>0</formula1>
    </dataValidation>
    <dataValidation type="decimal" operator="greaterThan" allowBlank="1" showInputMessage="1" showErrorMessage="1" sqref="E3988">
      <formula1>0</formula1>
    </dataValidation>
    <dataValidation type="whole" operator="greaterThan" allowBlank="1" showInputMessage="1" showErrorMessage="1" sqref="A3989">
      <formula1>0</formula1>
    </dataValidation>
    <dataValidation type="list" allowBlank="1" showInputMessage="1" showErrorMessage="1" sqref="C3989">
      <formula1>UnidadesList</formula1>
    </dataValidation>
    <dataValidation type="decimal" operator="greaterThan" allowBlank="1" showInputMessage="1" showErrorMessage="1" sqref="D3989">
      <formula1>0</formula1>
    </dataValidation>
    <dataValidation type="decimal" operator="greaterThan" allowBlank="1" showInputMessage="1" showErrorMessage="1" sqref="E3989">
      <formula1>0</formula1>
    </dataValidation>
    <dataValidation type="whole" operator="greaterThan" allowBlank="1" showInputMessage="1" showErrorMessage="1" sqref="A3990">
      <formula1>0</formula1>
    </dataValidation>
    <dataValidation type="list" allowBlank="1" showInputMessage="1" showErrorMessage="1" sqref="C3990">
      <formula1>UnidadesList</formula1>
    </dataValidation>
    <dataValidation type="decimal" operator="greaterThan" allowBlank="1" showInputMessage="1" showErrorMessage="1" sqref="D3990">
      <formula1>0</formula1>
    </dataValidation>
    <dataValidation type="decimal" operator="greaterThan" allowBlank="1" showInputMessage="1" showErrorMessage="1" sqref="E3990">
      <formula1>0</formula1>
    </dataValidation>
    <dataValidation type="whole" operator="greaterThan" allowBlank="1" showInputMessage="1" showErrorMessage="1" sqref="A3991">
      <formula1>0</formula1>
    </dataValidation>
    <dataValidation type="list" allowBlank="1" showInputMessage="1" showErrorMessage="1" sqref="C3991">
      <formula1>UnidadesList</formula1>
    </dataValidation>
    <dataValidation type="decimal" operator="greaterThan" allowBlank="1" showInputMessage="1" showErrorMessage="1" sqref="D3991">
      <formula1>0</formula1>
    </dataValidation>
    <dataValidation type="decimal" operator="greaterThan" allowBlank="1" showInputMessage="1" showErrorMessage="1" sqref="E3991">
      <formula1>0</formula1>
    </dataValidation>
    <dataValidation type="whole" operator="greaterThan" allowBlank="1" showInputMessage="1" showErrorMessage="1" sqref="A3992">
      <formula1>0</formula1>
    </dataValidation>
    <dataValidation type="list" allowBlank="1" showInputMessage="1" showErrorMessage="1" sqref="C3992">
      <formula1>UnidadesList</formula1>
    </dataValidation>
    <dataValidation type="decimal" operator="greaterThan" allowBlank="1" showInputMessage="1" showErrorMessage="1" sqref="D3992">
      <formula1>0</formula1>
    </dataValidation>
    <dataValidation type="decimal" operator="greaterThan" allowBlank="1" showInputMessage="1" showErrorMessage="1" sqref="E3992">
      <formula1>0</formula1>
    </dataValidation>
    <dataValidation type="whole" operator="greaterThan" allowBlank="1" showInputMessage="1" showErrorMessage="1" sqref="A3993">
      <formula1>0</formula1>
    </dataValidation>
    <dataValidation type="list" allowBlank="1" showInputMessage="1" showErrorMessage="1" sqref="C3993">
      <formula1>UnidadesList</formula1>
    </dataValidation>
    <dataValidation type="decimal" operator="greaterThan" allowBlank="1" showInputMessage="1" showErrorMessage="1" sqref="D3993">
      <formula1>0</formula1>
    </dataValidation>
    <dataValidation type="decimal" operator="greaterThan" allowBlank="1" showInputMessage="1" showErrorMessage="1" sqref="E3993">
      <formula1>0</formula1>
    </dataValidation>
    <dataValidation type="whole" operator="greaterThan" allowBlank="1" showInputMessage="1" showErrorMessage="1" sqref="A3994">
      <formula1>0</formula1>
    </dataValidation>
    <dataValidation type="list" allowBlank="1" showInputMessage="1" showErrorMessage="1" sqref="C3994">
      <formula1>UnidadesList</formula1>
    </dataValidation>
    <dataValidation type="decimal" operator="greaterThan" allowBlank="1" showInputMessage="1" showErrorMessage="1" sqref="D3994">
      <formula1>0</formula1>
    </dataValidation>
    <dataValidation type="decimal" operator="greaterThan" allowBlank="1" showInputMessage="1" showErrorMessage="1" sqref="E3994">
      <formula1>0</formula1>
    </dataValidation>
    <dataValidation type="whole" operator="greaterThan" allowBlank="1" showInputMessage="1" showErrorMessage="1" sqref="A3995">
      <formula1>0</formula1>
    </dataValidation>
    <dataValidation type="list" allowBlank="1" showInputMessage="1" showErrorMessage="1" sqref="C3995">
      <formula1>UnidadesList</formula1>
    </dataValidation>
    <dataValidation type="decimal" operator="greaterThan" allowBlank="1" showInputMessage="1" showErrorMessage="1" sqref="D3995">
      <formula1>0</formula1>
    </dataValidation>
    <dataValidation type="decimal" operator="greaterThan" allowBlank="1" showInputMessage="1" showErrorMessage="1" sqref="E3995">
      <formula1>0</formula1>
    </dataValidation>
    <dataValidation type="whole" operator="greaterThan" allowBlank="1" showInputMessage="1" showErrorMessage="1" sqref="A3996">
      <formula1>0</formula1>
    </dataValidation>
    <dataValidation type="list" allowBlank="1" showInputMessage="1" showErrorMessage="1" sqref="C3996">
      <formula1>UnidadesList</formula1>
    </dataValidation>
    <dataValidation type="decimal" operator="greaterThan" allowBlank="1" showInputMessage="1" showErrorMessage="1" sqref="D3996">
      <formula1>0</formula1>
    </dataValidation>
    <dataValidation type="decimal" operator="greaterThan" allowBlank="1" showInputMessage="1" showErrorMessage="1" sqref="E3996">
      <formula1>0</formula1>
    </dataValidation>
    <dataValidation type="whole" operator="greaterThan" allowBlank="1" showInputMessage="1" showErrorMessage="1" sqref="A3997">
      <formula1>0</formula1>
    </dataValidation>
    <dataValidation type="list" allowBlank="1" showInputMessage="1" showErrorMessage="1" sqref="C3997">
      <formula1>UnidadesList</formula1>
    </dataValidation>
    <dataValidation type="decimal" operator="greaterThan" allowBlank="1" showInputMessage="1" showErrorMessage="1" sqref="D3997">
      <formula1>0</formula1>
    </dataValidation>
    <dataValidation type="decimal" operator="greaterThan" allowBlank="1" showInputMessage="1" showErrorMessage="1" sqref="E3997">
      <formula1>0</formula1>
    </dataValidation>
    <dataValidation type="whole" operator="greaterThan" allowBlank="1" showInputMessage="1" showErrorMessage="1" sqref="A3998">
      <formula1>0</formula1>
    </dataValidation>
    <dataValidation type="list" allowBlank="1" showInputMessage="1" showErrorMessage="1" sqref="C3998">
      <formula1>UnidadesList</formula1>
    </dataValidation>
    <dataValidation type="decimal" operator="greaterThan" allowBlank="1" showInputMessage="1" showErrorMessage="1" sqref="D3998">
      <formula1>0</formula1>
    </dataValidation>
    <dataValidation type="decimal" operator="greaterThan" allowBlank="1" showInputMessage="1" showErrorMessage="1" sqref="E3998">
      <formula1>0</formula1>
    </dataValidation>
    <dataValidation type="whole" operator="greaterThan" allowBlank="1" showInputMessage="1" showErrorMessage="1" sqref="A3999">
      <formula1>0</formula1>
    </dataValidation>
    <dataValidation type="list" allowBlank="1" showInputMessage="1" showErrorMessage="1" sqref="C3999">
      <formula1>UnidadesList</formula1>
    </dataValidation>
    <dataValidation type="decimal" operator="greaterThan" allowBlank="1" showInputMessage="1" showErrorMessage="1" sqref="D3999">
      <formula1>0</formula1>
    </dataValidation>
    <dataValidation type="decimal" operator="greaterThan" allowBlank="1" showInputMessage="1" showErrorMessage="1" sqref="E3999">
      <formula1>0</formula1>
    </dataValidation>
    <dataValidation type="whole" operator="greaterThan" allowBlank="1" showInputMessage="1" showErrorMessage="1" sqref="A4000">
      <formula1>0</formula1>
    </dataValidation>
    <dataValidation type="list" allowBlank="1" showInputMessage="1" showErrorMessage="1" sqref="C4000">
      <formula1>UnidadesList</formula1>
    </dataValidation>
    <dataValidation type="decimal" operator="greaterThan" allowBlank="1" showInputMessage="1" showErrorMessage="1" sqref="D4000">
      <formula1>0</formula1>
    </dataValidation>
    <dataValidation type="decimal" operator="greaterThan" allowBlank="1" showInputMessage="1" showErrorMessage="1" sqref="E4000">
      <formula1>0</formula1>
    </dataValidation>
    <dataValidation type="whole" operator="greaterThan" allowBlank="1" showInputMessage="1" showErrorMessage="1" sqref="A4001">
      <formula1>0</formula1>
    </dataValidation>
    <dataValidation type="list" allowBlank="1" showInputMessage="1" showErrorMessage="1" sqref="C4001">
      <formula1>UnidadesList</formula1>
    </dataValidation>
    <dataValidation type="decimal" operator="greaterThan" allowBlank="1" showInputMessage="1" showErrorMessage="1" sqref="D4001">
      <formula1>0</formula1>
    </dataValidation>
    <dataValidation type="decimal" operator="greaterThan" allowBlank="1" showInputMessage="1" showErrorMessage="1" sqref="E4001">
      <formula1>0</formula1>
    </dataValidation>
    <dataValidation type="whole" operator="greaterThan" allowBlank="1" showInputMessage="1" showErrorMessage="1" sqref="A4002">
      <formula1>0</formula1>
    </dataValidation>
    <dataValidation type="list" allowBlank="1" showInputMessage="1" showErrorMessage="1" sqref="C4002">
      <formula1>UnidadesList</formula1>
    </dataValidation>
    <dataValidation type="decimal" operator="greaterThan" allowBlank="1" showInputMessage="1" showErrorMessage="1" sqref="D4002">
      <formula1>0</formula1>
    </dataValidation>
    <dataValidation type="decimal" operator="greaterThan" allowBlank="1" showInputMessage="1" showErrorMessage="1" sqref="E4002">
      <formula1>0</formula1>
    </dataValidation>
    <dataValidation type="whole" operator="greaterThan" allowBlank="1" showInputMessage="1" showErrorMessage="1" sqref="A4003">
      <formula1>0</formula1>
    </dataValidation>
    <dataValidation type="list" allowBlank="1" showInputMessage="1" showErrorMessage="1" sqref="C4003">
      <formula1>UnidadesList</formula1>
    </dataValidation>
    <dataValidation type="decimal" operator="greaterThan" allowBlank="1" showInputMessage="1" showErrorMessage="1" sqref="D4003">
      <formula1>0</formula1>
    </dataValidation>
    <dataValidation type="decimal" operator="greaterThan" allowBlank="1" showInputMessage="1" showErrorMessage="1" sqref="E4003">
      <formula1>0</formula1>
    </dataValidation>
    <dataValidation type="whole" operator="greaterThan" allowBlank="1" showInputMessage="1" showErrorMessage="1" sqref="A4004">
      <formula1>0</formula1>
    </dataValidation>
    <dataValidation type="list" allowBlank="1" showInputMessage="1" showErrorMessage="1" sqref="C4004">
      <formula1>UnidadesList</formula1>
    </dataValidation>
    <dataValidation type="decimal" operator="greaterThan" allowBlank="1" showInputMessage="1" showErrorMessage="1" sqref="D4004">
      <formula1>0</formula1>
    </dataValidation>
    <dataValidation type="decimal" operator="greaterThan" allowBlank="1" showInputMessage="1" showErrorMessage="1" sqref="E4004">
      <formula1>0</formula1>
    </dataValidation>
    <dataValidation type="whole" operator="greaterThan" allowBlank="1" showInputMessage="1" showErrorMessage="1" sqref="A4005">
      <formula1>0</formula1>
    </dataValidation>
    <dataValidation type="list" allowBlank="1" showInputMessage="1" showErrorMessage="1" sqref="C4005">
      <formula1>UnidadesList</formula1>
    </dataValidation>
    <dataValidation type="decimal" operator="greaterThan" allowBlank="1" showInputMessage="1" showErrorMessage="1" sqref="D4005">
      <formula1>0</formula1>
    </dataValidation>
    <dataValidation type="decimal" operator="greaterThan" allowBlank="1" showInputMessage="1" showErrorMessage="1" sqref="E4005">
      <formula1>0</formula1>
    </dataValidation>
    <dataValidation type="whole" operator="greaterThan" allowBlank="1" showInputMessage="1" showErrorMessage="1" sqref="A4006">
      <formula1>0</formula1>
    </dataValidation>
    <dataValidation type="list" allowBlank="1" showInputMessage="1" showErrorMessage="1" sqref="C4006">
      <formula1>UnidadesList</formula1>
    </dataValidation>
    <dataValidation type="decimal" operator="greaterThan" allowBlank="1" showInputMessage="1" showErrorMessage="1" sqref="D4006">
      <formula1>0</formula1>
    </dataValidation>
    <dataValidation type="decimal" operator="greaterThan" allowBlank="1" showInputMessage="1" showErrorMessage="1" sqref="E4006">
      <formula1>0</formula1>
    </dataValidation>
    <dataValidation type="whole" operator="greaterThan" allowBlank="1" showInputMessage="1" showErrorMessage="1" sqref="A4007">
      <formula1>0</formula1>
    </dataValidation>
    <dataValidation type="list" allowBlank="1" showInputMessage="1" showErrorMessage="1" sqref="C4007">
      <formula1>UnidadesList</formula1>
    </dataValidation>
    <dataValidation type="decimal" operator="greaterThan" allowBlank="1" showInputMessage="1" showErrorMessage="1" sqref="D4007">
      <formula1>0</formula1>
    </dataValidation>
    <dataValidation type="decimal" operator="greaterThan" allowBlank="1" showInputMessage="1" showErrorMessage="1" sqref="E4007">
      <formula1>0</formula1>
    </dataValidation>
    <dataValidation type="whole" operator="greaterThan" allowBlank="1" showInputMessage="1" showErrorMessage="1" sqref="A4008">
      <formula1>0</formula1>
    </dataValidation>
    <dataValidation type="list" allowBlank="1" showInputMessage="1" showErrorMessage="1" sqref="C4008">
      <formula1>UnidadesList</formula1>
    </dataValidation>
    <dataValidation type="decimal" operator="greaterThan" allowBlank="1" showInputMessage="1" showErrorMessage="1" sqref="D4008">
      <formula1>0</formula1>
    </dataValidation>
    <dataValidation type="decimal" operator="greaterThan" allowBlank="1" showInputMessage="1" showErrorMessage="1" sqref="E4008">
      <formula1>0</formula1>
    </dataValidation>
    <dataValidation type="date" operator="lessThanOrEqual" allowBlank="1" showInputMessage="1" showErrorMessage="1" sqref="C4013">
      <formula1>C4015</formula1>
    </dataValidation>
    <dataValidation type="date" operator="greaterThanOrEqual" allowBlank="1" showInputMessage="1" showErrorMessage="1" sqref="C4015">
      <formula1>C4013</formula1>
    </dataValidation>
    <dataValidation type="list" allowBlank="1" showInputMessage="1" showErrorMessage="1" sqref="F40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0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0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0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019">
      <formula1>0</formula1>
    </dataValidation>
    <dataValidation type="list" allowBlank="1" showInputMessage="1" showErrorMessage="1" sqref="C4019">
      <formula1>UnidadesList</formula1>
    </dataValidation>
    <dataValidation type="decimal" operator="greaterThan" allowBlank="1" showInputMessage="1" showErrorMessage="1" sqref="D4019">
      <formula1>0</formula1>
    </dataValidation>
    <dataValidation type="decimal" operator="greaterThan" allowBlank="1" showInputMessage="1" showErrorMessage="1" sqref="E4019">
      <formula1>0</formula1>
    </dataValidation>
    <dataValidation type="whole" operator="greaterThan" allowBlank="1" showInputMessage="1" showErrorMessage="1" sqref="A4020">
      <formula1>0</formula1>
    </dataValidation>
    <dataValidation type="list" allowBlank="1" showInputMessage="1" showErrorMessage="1" sqref="C4020">
      <formula1>UnidadesList</formula1>
    </dataValidation>
    <dataValidation type="decimal" operator="greaterThan" allowBlank="1" showInputMessage="1" showErrorMessage="1" sqref="D4020">
      <formula1>0</formula1>
    </dataValidation>
    <dataValidation type="decimal" operator="greaterThan" allowBlank="1" showInputMessage="1" showErrorMessage="1" sqref="E4020">
      <formula1>0</formula1>
    </dataValidation>
    <dataValidation type="whole" operator="greaterThan" allowBlank="1" showInputMessage="1" showErrorMessage="1" sqref="A4021">
      <formula1>0</formula1>
    </dataValidation>
    <dataValidation type="list" allowBlank="1" showInputMessage="1" showErrorMessage="1" sqref="C4021">
      <formula1>UnidadesList</formula1>
    </dataValidation>
    <dataValidation type="decimal" operator="greaterThan" allowBlank="1" showInputMessage="1" showErrorMessage="1" sqref="D4021">
      <formula1>0</formula1>
    </dataValidation>
    <dataValidation type="decimal" operator="greaterThan" allowBlank="1" showInputMessage="1" showErrorMessage="1" sqref="E4021">
      <formula1>0</formula1>
    </dataValidation>
    <dataValidation type="whole" operator="greaterThan" allowBlank="1" showInputMessage="1" showErrorMessage="1" sqref="A4022">
      <formula1>0</formula1>
    </dataValidation>
    <dataValidation type="list" allowBlank="1" showInputMessage="1" showErrorMessage="1" sqref="C4022">
      <formula1>UnidadesList</formula1>
    </dataValidation>
    <dataValidation type="decimal" operator="greaterThan" allowBlank="1" showInputMessage="1" showErrorMessage="1" sqref="D4022">
      <formula1>0</formula1>
    </dataValidation>
    <dataValidation type="decimal" operator="greaterThan" allowBlank="1" showInputMessage="1" showErrorMessage="1" sqref="E4022">
      <formula1>0</formula1>
    </dataValidation>
    <dataValidation type="whole" operator="greaterThan" allowBlank="1" showInputMessage="1" showErrorMessage="1" sqref="A4023">
      <formula1>0</formula1>
    </dataValidation>
    <dataValidation type="list" allowBlank="1" showInputMessage="1" showErrorMessage="1" sqref="C4023">
      <formula1>UnidadesList</formula1>
    </dataValidation>
    <dataValidation type="decimal" operator="greaterThan" allowBlank="1" showInputMessage="1" showErrorMessage="1" sqref="D4023">
      <formula1>0</formula1>
    </dataValidation>
    <dataValidation type="decimal" operator="greaterThan" allowBlank="1" showInputMessage="1" showErrorMessage="1" sqref="E4023">
      <formula1>0</formula1>
    </dataValidation>
    <dataValidation type="whole" operator="greaterThan" allowBlank="1" showInputMessage="1" showErrorMessage="1" sqref="A4024">
      <formula1>0</formula1>
    </dataValidation>
    <dataValidation type="list" allowBlank="1" showInputMessage="1" showErrorMessage="1" sqref="C4024">
      <formula1>UnidadesList</formula1>
    </dataValidation>
    <dataValidation type="decimal" operator="greaterThan" allowBlank="1" showInputMessage="1" showErrorMessage="1" sqref="D4024">
      <formula1>0</formula1>
    </dataValidation>
    <dataValidation type="decimal" operator="greaterThan" allowBlank="1" showInputMessage="1" showErrorMessage="1" sqref="E4024">
      <formula1>0</formula1>
    </dataValidation>
    <dataValidation type="whole" operator="greaterThan" allowBlank="1" showInputMessage="1" showErrorMessage="1" sqref="A4025">
      <formula1>0</formula1>
    </dataValidation>
    <dataValidation type="list" allowBlank="1" showInputMessage="1" showErrorMessage="1" sqref="C4025">
      <formula1>UnidadesList</formula1>
    </dataValidation>
    <dataValidation type="decimal" operator="greaterThan" allowBlank="1" showInputMessage="1" showErrorMessage="1" sqref="D4025">
      <formula1>0</formula1>
    </dataValidation>
    <dataValidation type="decimal" operator="greaterThan" allowBlank="1" showInputMessage="1" showErrorMessage="1" sqref="E4025">
      <formula1>0</formula1>
    </dataValidation>
    <dataValidation type="whole" operator="greaterThan" allowBlank="1" showInputMessage="1" showErrorMessage="1" sqref="A4026">
      <formula1>0</formula1>
    </dataValidation>
    <dataValidation type="list" allowBlank="1" showInputMessage="1" showErrorMessage="1" sqref="C4026">
      <formula1>UnidadesList</formula1>
    </dataValidation>
    <dataValidation type="decimal" operator="greaterThan" allowBlank="1" showInputMessage="1" showErrorMessage="1" sqref="D4026">
      <formula1>0</formula1>
    </dataValidation>
    <dataValidation type="decimal" operator="greaterThan" allowBlank="1" showInputMessage="1" showErrorMessage="1" sqref="E4026">
      <formula1>0</formula1>
    </dataValidation>
    <dataValidation type="whole" operator="greaterThan" allowBlank="1" showInputMessage="1" showErrorMessage="1" sqref="A4027">
      <formula1>0</formula1>
    </dataValidation>
    <dataValidation type="list" allowBlank="1" showInputMessage="1" showErrorMessage="1" sqref="C4027">
      <formula1>UnidadesList</formula1>
    </dataValidation>
    <dataValidation type="decimal" operator="greaterThan" allowBlank="1" showInputMessage="1" showErrorMessage="1" sqref="D4027">
      <formula1>0</formula1>
    </dataValidation>
    <dataValidation type="decimal" operator="greaterThan" allowBlank="1" showInputMessage="1" showErrorMessage="1" sqref="E4027">
      <formula1>0</formula1>
    </dataValidation>
    <dataValidation type="whole" operator="greaterThan" allowBlank="1" showInputMessage="1" showErrorMessage="1" sqref="A4028">
      <formula1>0</formula1>
    </dataValidation>
    <dataValidation type="list" allowBlank="1" showInputMessage="1" showErrorMessage="1" sqref="C4028">
      <formula1>UnidadesList</formula1>
    </dataValidation>
    <dataValidation type="decimal" operator="greaterThan" allowBlank="1" showInputMessage="1" showErrorMessage="1" sqref="D4028">
      <formula1>0</formula1>
    </dataValidation>
    <dataValidation type="decimal" operator="greaterThan" allowBlank="1" showInputMessage="1" showErrorMessage="1" sqref="E4028">
      <formula1>0</formula1>
    </dataValidation>
    <dataValidation type="whole" operator="greaterThan" allowBlank="1" showInputMessage="1" showErrorMessage="1" sqref="A4029">
      <formula1>0</formula1>
    </dataValidation>
    <dataValidation type="list" allowBlank="1" showInputMessage="1" showErrorMessage="1" sqref="C4029">
      <formula1>UnidadesList</formula1>
    </dataValidation>
    <dataValidation type="decimal" operator="greaterThan" allowBlank="1" showInputMessage="1" showErrorMessage="1" sqref="D4029">
      <formula1>0</formula1>
    </dataValidation>
    <dataValidation type="decimal" operator="greaterThan" allowBlank="1" showInputMessage="1" showErrorMessage="1" sqref="E4029">
      <formula1>0</formula1>
    </dataValidation>
    <dataValidation type="whole" operator="greaterThan" allowBlank="1" showInputMessage="1" showErrorMessage="1" sqref="A4030">
      <formula1>0</formula1>
    </dataValidation>
    <dataValidation type="list" allowBlank="1" showInputMessage="1" showErrorMessage="1" sqref="C4030">
      <formula1>UnidadesList</formula1>
    </dataValidation>
    <dataValidation type="decimal" operator="greaterThan" allowBlank="1" showInputMessage="1" showErrorMessage="1" sqref="D4030">
      <formula1>0</formula1>
    </dataValidation>
    <dataValidation type="decimal" operator="greaterThan" allowBlank="1" showInputMessage="1" showErrorMessage="1" sqref="E4030">
      <formula1>0</formula1>
    </dataValidation>
    <dataValidation type="whole" operator="greaterThan" allowBlank="1" showInputMessage="1" showErrorMessage="1" sqref="A4031">
      <formula1>0</formula1>
    </dataValidation>
    <dataValidation type="list" allowBlank="1" showInputMessage="1" showErrorMessage="1" sqref="C4031">
      <formula1>UnidadesList</formula1>
    </dataValidation>
    <dataValidation type="decimal" operator="greaterThan" allowBlank="1" showInputMessage="1" showErrorMessage="1" sqref="D4031">
      <formula1>0</formula1>
    </dataValidation>
    <dataValidation type="decimal" operator="greaterThan" allowBlank="1" showInputMessage="1" showErrorMessage="1" sqref="E4031">
      <formula1>0</formula1>
    </dataValidation>
    <dataValidation type="whole" operator="greaterThan" allowBlank="1" showInputMessage="1" showErrorMessage="1" sqref="A4032">
      <formula1>0</formula1>
    </dataValidation>
    <dataValidation type="list" allowBlank="1" showInputMessage="1" showErrorMessage="1" sqref="C4032">
      <formula1>UnidadesList</formula1>
    </dataValidation>
    <dataValidation type="decimal" operator="greaterThan" allowBlank="1" showInputMessage="1" showErrorMessage="1" sqref="D4032">
      <formula1>0</formula1>
    </dataValidation>
    <dataValidation type="decimal" operator="greaterThan" allowBlank="1" showInputMessage="1" showErrorMessage="1" sqref="E4032">
      <formula1>0</formula1>
    </dataValidation>
    <dataValidation type="whole" operator="greaterThan" allowBlank="1" showInputMessage="1" showErrorMessage="1" sqref="A4033">
      <formula1>0</formula1>
    </dataValidation>
    <dataValidation type="list" allowBlank="1" showInputMessage="1" showErrorMessage="1" sqref="C4033">
      <formula1>UnidadesList</formula1>
    </dataValidation>
    <dataValidation type="decimal" operator="greaterThan" allowBlank="1" showInputMessage="1" showErrorMessage="1" sqref="D4033">
      <formula1>0</formula1>
    </dataValidation>
    <dataValidation type="decimal" operator="greaterThan" allowBlank="1" showInputMessage="1" showErrorMessage="1" sqref="E4033">
      <formula1>0</formula1>
    </dataValidation>
    <dataValidation type="whole" operator="greaterThan" allowBlank="1" showInputMessage="1" showErrorMessage="1" sqref="A4034">
      <formula1>0</formula1>
    </dataValidation>
    <dataValidation type="list" allowBlank="1" showInputMessage="1" showErrorMessage="1" sqref="C4034">
      <formula1>UnidadesList</formula1>
    </dataValidation>
    <dataValidation type="decimal" operator="greaterThan" allowBlank="1" showInputMessage="1" showErrorMessage="1" sqref="D4034">
      <formula1>0</formula1>
    </dataValidation>
    <dataValidation type="decimal" operator="greaterThan" allowBlank="1" showInputMessage="1" showErrorMessage="1" sqref="E4034">
      <formula1>0</formula1>
    </dataValidation>
    <dataValidation type="whole" operator="greaterThan" allowBlank="1" showInputMessage="1" showErrorMessage="1" sqref="A4035">
      <formula1>0</formula1>
    </dataValidation>
    <dataValidation type="list" allowBlank="1" showInputMessage="1" showErrorMessage="1" sqref="C4035">
      <formula1>UnidadesList</formula1>
    </dataValidation>
    <dataValidation type="decimal" operator="greaterThan" allowBlank="1" showInputMessage="1" showErrorMessage="1" sqref="D4035">
      <formula1>0</formula1>
    </dataValidation>
    <dataValidation type="decimal" operator="greaterThan" allowBlank="1" showInputMessage="1" showErrorMessage="1" sqref="E4035">
      <formula1>0</formula1>
    </dataValidation>
    <dataValidation type="whole" operator="greaterThan" allowBlank="1" showInputMessage="1" showErrorMessage="1" sqref="A4036">
      <formula1>0</formula1>
    </dataValidation>
    <dataValidation type="list" allowBlank="1" showInputMessage="1" showErrorMessage="1" sqref="C4036">
      <formula1>UnidadesList</formula1>
    </dataValidation>
    <dataValidation type="decimal" operator="greaterThan" allowBlank="1" showInputMessage="1" showErrorMessage="1" sqref="D4036">
      <formula1>0</formula1>
    </dataValidation>
    <dataValidation type="decimal" operator="greaterThan" allowBlank="1" showInputMessage="1" showErrorMessage="1" sqref="E4036">
      <formula1>0</formula1>
    </dataValidation>
    <dataValidation type="whole" operator="greaterThan" allowBlank="1" showInputMessage="1" showErrorMessage="1" sqref="A4037">
      <formula1>0</formula1>
    </dataValidation>
    <dataValidation type="list" allowBlank="1" showInputMessage="1" showErrorMessage="1" sqref="C4037">
      <formula1>UnidadesList</formula1>
    </dataValidation>
    <dataValidation type="decimal" operator="greaterThan" allowBlank="1" showInputMessage="1" showErrorMessage="1" sqref="D4037">
      <formula1>0</formula1>
    </dataValidation>
    <dataValidation type="decimal" operator="greaterThan" allowBlank="1" showInputMessage="1" showErrorMessage="1" sqref="E4037">
      <formula1>0</formula1>
    </dataValidation>
    <dataValidation type="whole" operator="greaterThan" allowBlank="1" showInputMessage="1" showErrorMessage="1" sqref="A4038">
      <formula1>0</formula1>
    </dataValidation>
    <dataValidation type="list" allowBlank="1" showInputMessage="1" showErrorMessage="1" sqref="C4038">
      <formula1>UnidadesList</formula1>
    </dataValidation>
    <dataValidation type="decimal" operator="greaterThan" allowBlank="1" showInputMessage="1" showErrorMessage="1" sqref="D4038">
      <formula1>0</formula1>
    </dataValidation>
    <dataValidation type="decimal" operator="greaterThan" allowBlank="1" showInputMessage="1" showErrorMessage="1" sqref="E4038">
      <formula1>0</formula1>
    </dataValidation>
    <dataValidation type="whole" operator="greaterThan" allowBlank="1" showInputMessage="1" showErrorMessage="1" sqref="A4039">
      <formula1>0</formula1>
    </dataValidation>
    <dataValidation type="list" allowBlank="1" showInputMessage="1" showErrorMessage="1" sqref="C4039">
      <formula1>UnidadesList</formula1>
    </dataValidation>
    <dataValidation type="decimal" operator="greaterThan" allowBlank="1" showInputMessage="1" showErrorMessage="1" sqref="D4039">
      <formula1>0</formula1>
    </dataValidation>
    <dataValidation type="decimal" operator="greaterThan" allowBlank="1" showInputMessage="1" showErrorMessage="1" sqref="E4039">
      <formula1>0</formula1>
    </dataValidation>
    <dataValidation type="whole" operator="greaterThan" allowBlank="1" showInputMessage="1" showErrorMessage="1" sqref="A4040">
      <formula1>0</formula1>
    </dataValidation>
    <dataValidation type="list" allowBlank="1" showInputMessage="1" showErrorMessage="1" sqref="C4040">
      <formula1>UnidadesList</formula1>
    </dataValidation>
    <dataValidation type="decimal" operator="greaterThan" allowBlank="1" showInputMessage="1" showErrorMessage="1" sqref="D4040">
      <formula1>0</formula1>
    </dataValidation>
    <dataValidation type="decimal" operator="greaterThan" allowBlank="1" showInputMessage="1" showErrorMessage="1" sqref="E4040">
      <formula1>0</formula1>
    </dataValidation>
    <dataValidation type="whole" operator="greaterThan" allowBlank="1" showInputMessage="1" showErrorMessage="1" sqref="A4041">
      <formula1>0</formula1>
    </dataValidation>
    <dataValidation type="list" allowBlank="1" showInputMessage="1" showErrorMessage="1" sqref="C4041">
      <formula1>UnidadesList</formula1>
    </dataValidation>
    <dataValidation type="decimal" operator="greaterThan" allowBlank="1" showInputMessage="1" showErrorMessage="1" sqref="D4041">
      <formula1>0</formula1>
    </dataValidation>
    <dataValidation type="decimal" operator="greaterThan" allowBlank="1" showInputMessage="1" showErrorMessage="1" sqref="E4041">
      <formula1>0</formula1>
    </dataValidation>
    <dataValidation type="whole" operator="greaterThan" allowBlank="1" showInputMessage="1" showErrorMessage="1" sqref="A4042">
      <formula1>0</formula1>
    </dataValidation>
    <dataValidation type="list" allowBlank="1" showInputMessage="1" showErrorMessage="1" sqref="C4042">
      <formula1>UnidadesList</formula1>
    </dataValidation>
    <dataValidation type="decimal" operator="greaterThan" allowBlank="1" showInputMessage="1" showErrorMessage="1" sqref="D4042">
      <formula1>0</formula1>
    </dataValidation>
    <dataValidation type="decimal" operator="greaterThan" allowBlank="1" showInputMessage="1" showErrorMessage="1" sqref="E4042">
      <formula1>0</formula1>
    </dataValidation>
    <dataValidation type="whole" operator="greaterThan" allowBlank="1" showInputMessage="1" showErrorMessage="1" sqref="A4043">
      <formula1>0</formula1>
    </dataValidation>
    <dataValidation type="list" allowBlank="1" showInputMessage="1" showErrorMessage="1" sqref="C4043">
      <formula1>UnidadesList</formula1>
    </dataValidation>
    <dataValidation type="decimal" operator="greaterThan" allowBlank="1" showInputMessage="1" showErrorMessage="1" sqref="D4043">
      <formula1>0</formula1>
    </dataValidation>
    <dataValidation type="decimal" operator="greaterThan" allowBlank="1" showInputMessage="1" showErrorMessage="1" sqref="E4043">
      <formula1>0</formula1>
    </dataValidation>
    <dataValidation type="whole" operator="greaterThan" allowBlank="1" showInputMessage="1" showErrorMessage="1" sqref="A4044">
      <formula1>0</formula1>
    </dataValidation>
    <dataValidation type="list" allowBlank="1" showInputMessage="1" showErrorMessage="1" sqref="C4044">
      <formula1>UnidadesList</formula1>
    </dataValidation>
    <dataValidation type="decimal" operator="greaterThan" allowBlank="1" showInputMessage="1" showErrorMessage="1" sqref="D4044">
      <formula1>0</formula1>
    </dataValidation>
    <dataValidation type="decimal" operator="greaterThan" allowBlank="1" showInputMessage="1" showErrorMessage="1" sqref="E4044">
      <formula1>0</formula1>
    </dataValidation>
    <dataValidation type="whole" operator="greaterThan" allowBlank="1" showInputMessage="1" showErrorMessage="1" sqref="A4045">
      <formula1>0</formula1>
    </dataValidation>
    <dataValidation type="list" allowBlank="1" showInputMessage="1" showErrorMessage="1" sqref="C4045">
      <formula1>UnidadesList</formula1>
    </dataValidation>
    <dataValidation type="decimal" operator="greaterThan" allowBlank="1" showInputMessage="1" showErrorMessage="1" sqref="D4045">
      <formula1>0</formula1>
    </dataValidation>
    <dataValidation type="decimal" operator="greaterThan" allowBlank="1" showInputMessage="1" showErrorMessage="1" sqref="E4045">
      <formula1>0</formula1>
    </dataValidation>
    <dataValidation type="whole" operator="greaterThan" allowBlank="1" showInputMessage="1" showErrorMessage="1" sqref="A4046">
      <formula1>0</formula1>
    </dataValidation>
    <dataValidation type="list" allowBlank="1" showInputMessage="1" showErrorMessage="1" sqref="C4046">
      <formula1>UnidadesList</formula1>
    </dataValidation>
    <dataValidation type="decimal" operator="greaterThan" allowBlank="1" showInputMessage="1" showErrorMessage="1" sqref="D4046">
      <formula1>0</formula1>
    </dataValidation>
    <dataValidation type="decimal" operator="greaterThan" allowBlank="1" showInputMessage="1" showErrorMessage="1" sqref="E4046">
      <formula1>0</formula1>
    </dataValidation>
    <dataValidation type="whole" operator="greaterThan" allowBlank="1" showInputMessage="1" showErrorMessage="1" sqref="A4047">
      <formula1>0</formula1>
    </dataValidation>
    <dataValidation type="list" allowBlank="1" showInputMessage="1" showErrorMessage="1" sqref="C4047">
      <formula1>UnidadesList</formula1>
    </dataValidation>
    <dataValidation type="decimal" operator="greaterThan" allowBlank="1" showInputMessage="1" showErrorMessage="1" sqref="D4047">
      <formula1>0</formula1>
    </dataValidation>
    <dataValidation type="decimal" operator="greaterThan" allowBlank="1" showInputMessage="1" showErrorMessage="1" sqref="E4047">
      <formula1>0</formula1>
    </dataValidation>
    <dataValidation type="whole" operator="greaterThan" allowBlank="1" showInputMessage="1" showErrorMessage="1" sqref="A4048">
      <formula1>0</formula1>
    </dataValidation>
    <dataValidation type="list" allowBlank="1" showInputMessage="1" showErrorMessage="1" sqref="C4048">
      <formula1>UnidadesList</formula1>
    </dataValidation>
    <dataValidation type="decimal" operator="greaterThan" allowBlank="1" showInputMessage="1" showErrorMessage="1" sqref="D4048">
      <formula1>0</formula1>
    </dataValidation>
    <dataValidation type="decimal" operator="greaterThan" allowBlank="1" showInputMessage="1" showErrorMessage="1" sqref="E4048">
      <formula1>0</formula1>
    </dataValidation>
    <dataValidation type="whole" operator="greaterThan" allowBlank="1" showInputMessage="1" showErrorMessage="1" sqref="A4049">
      <formula1>0</formula1>
    </dataValidation>
    <dataValidation type="list" allowBlank="1" showInputMessage="1" showErrorMessage="1" sqref="C4049">
      <formula1>UnidadesList</formula1>
    </dataValidation>
    <dataValidation type="decimal" operator="greaterThan" allowBlank="1" showInputMessage="1" showErrorMessage="1" sqref="D4049">
      <formula1>0</formula1>
    </dataValidation>
    <dataValidation type="decimal" operator="greaterThan" allowBlank="1" showInputMessage="1" showErrorMessage="1" sqref="E4049">
      <formula1>0</formula1>
    </dataValidation>
    <dataValidation type="whole" operator="greaterThan" allowBlank="1" showInputMessage="1" showErrorMessage="1" sqref="A4050">
      <formula1>0</formula1>
    </dataValidation>
    <dataValidation type="list" allowBlank="1" showInputMessage="1" showErrorMessage="1" sqref="C4050">
      <formula1>UnidadesList</formula1>
    </dataValidation>
    <dataValidation type="decimal" operator="greaterThan" allowBlank="1" showInputMessage="1" showErrorMessage="1" sqref="D4050">
      <formula1>0</formula1>
    </dataValidation>
    <dataValidation type="decimal" operator="greaterThan" allowBlank="1" showInputMessage="1" showErrorMessage="1" sqref="E4050">
      <formula1>0</formula1>
    </dataValidation>
    <dataValidation type="whole" operator="greaterThan" allowBlank="1" showInputMessage="1" showErrorMessage="1" sqref="A4051">
      <formula1>0</formula1>
    </dataValidation>
    <dataValidation type="list" allowBlank="1" showInputMessage="1" showErrorMessage="1" sqref="C4051">
      <formula1>UnidadesList</formula1>
    </dataValidation>
    <dataValidation type="decimal" operator="greaterThan" allowBlank="1" showInputMessage="1" showErrorMessage="1" sqref="D4051">
      <formula1>0</formula1>
    </dataValidation>
    <dataValidation type="decimal" operator="greaterThan" allowBlank="1" showInputMessage="1" showErrorMessage="1" sqref="E4051">
      <formula1>0</formula1>
    </dataValidation>
    <dataValidation type="whole" operator="greaterThan" allowBlank="1" showInputMessage="1" showErrorMessage="1" sqref="A4052">
      <formula1>0</formula1>
    </dataValidation>
    <dataValidation type="list" allowBlank="1" showInputMessage="1" showErrorMessage="1" sqref="C4052">
      <formula1>UnidadesList</formula1>
    </dataValidation>
    <dataValidation type="decimal" operator="greaterThan" allowBlank="1" showInputMessage="1" showErrorMessage="1" sqref="D4052">
      <formula1>0</formula1>
    </dataValidation>
    <dataValidation type="decimal" operator="greaterThan" allowBlank="1" showInputMessage="1" showErrorMessage="1" sqref="E4052">
      <formula1>0</formula1>
    </dataValidation>
    <dataValidation type="whole" operator="greaterThan" allowBlank="1" showInputMessage="1" showErrorMessage="1" sqref="A4053">
      <formula1>0</formula1>
    </dataValidation>
    <dataValidation type="list" allowBlank="1" showInputMessage="1" showErrorMessage="1" sqref="C4053">
      <formula1>UnidadesList</formula1>
    </dataValidation>
    <dataValidation type="decimal" operator="greaterThan" allowBlank="1" showInputMessage="1" showErrorMessage="1" sqref="D4053">
      <formula1>0</formula1>
    </dataValidation>
    <dataValidation type="decimal" operator="greaterThan" allowBlank="1" showInputMessage="1" showErrorMessage="1" sqref="E4053">
      <formula1>0</formula1>
    </dataValidation>
    <dataValidation type="whole" operator="greaterThan" allowBlank="1" showInputMessage="1" showErrorMessage="1" sqref="A4054">
      <formula1>0</formula1>
    </dataValidation>
    <dataValidation type="list" allowBlank="1" showInputMessage="1" showErrorMessage="1" sqref="C4054">
      <formula1>UnidadesList</formula1>
    </dataValidation>
    <dataValidation type="decimal" operator="greaterThan" allowBlank="1" showInputMessage="1" showErrorMessage="1" sqref="D4054">
      <formula1>0</formula1>
    </dataValidation>
    <dataValidation type="decimal" operator="greaterThan" allowBlank="1" showInputMessage="1" showErrorMessage="1" sqref="E4054">
      <formula1>0</formula1>
    </dataValidation>
    <dataValidation type="whole" operator="greaterThan" allowBlank="1" showInputMessage="1" showErrorMessage="1" sqref="A4055">
      <formula1>0</formula1>
    </dataValidation>
    <dataValidation type="list" allowBlank="1" showInputMessage="1" showErrorMessage="1" sqref="C4055">
      <formula1>UnidadesList</formula1>
    </dataValidation>
    <dataValidation type="decimal" operator="greaterThan" allowBlank="1" showInputMessage="1" showErrorMessage="1" sqref="D4055">
      <formula1>0</formula1>
    </dataValidation>
    <dataValidation type="decimal" operator="greaterThan" allowBlank="1" showInputMessage="1" showErrorMessage="1" sqref="E4055">
      <formula1>0</formula1>
    </dataValidation>
    <dataValidation type="whole" operator="greaterThan" allowBlank="1" showInputMessage="1" showErrorMessage="1" sqref="A4056">
      <formula1>0</formula1>
    </dataValidation>
    <dataValidation type="list" allowBlank="1" showInputMessage="1" showErrorMessage="1" sqref="C4056">
      <formula1>UnidadesList</formula1>
    </dataValidation>
    <dataValidation type="decimal" operator="greaterThan" allowBlank="1" showInputMessage="1" showErrorMessage="1" sqref="D4056">
      <formula1>0</formula1>
    </dataValidation>
    <dataValidation type="decimal" operator="greaterThan" allowBlank="1" showInputMessage="1" showErrorMessage="1" sqref="E4056">
      <formula1>0</formula1>
    </dataValidation>
    <dataValidation type="whole" operator="greaterThan" allowBlank="1" showInputMessage="1" showErrorMessage="1" sqref="A4057">
      <formula1>0</formula1>
    </dataValidation>
    <dataValidation type="list" allowBlank="1" showInputMessage="1" showErrorMessage="1" sqref="C4057">
      <formula1>UnidadesList</formula1>
    </dataValidation>
    <dataValidation type="decimal" operator="greaterThan" allowBlank="1" showInputMessage="1" showErrorMessage="1" sqref="D4057">
      <formula1>0</formula1>
    </dataValidation>
    <dataValidation type="decimal" operator="greaterThan" allowBlank="1" showInputMessage="1" showErrorMessage="1" sqref="E4057">
      <formula1>0</formula1>
    </dataValidation>
    <dataValidation type="whole" operator="greaterThan" allowBlank="1" showInputMessage="1" showErrorMessage="1" sqref="A4058">
      <formula1>0</formula1>
    </dataValidation>
    <dataValidation type="list" allowBlank="1" showInputMessage="1" showErrorMessage="1" sqref="C4058">
      <formula1>UnidadesList</formula1>
    </dataValidation>
    <dataValidation type="decimal" operator="greaterThan" allowBlank="1" showInputMessage="1" showErrorMessage="1" sqref="D4058">
      <formula1>0</formula1>
    </dataValidation>
    <dataValidation type="decimal" operator="greaterThan" allowBlank="1" showInputMessage="1" showErrorMessage="1" sqref="E4058">
      <formula1>0</formula1>
    </dataValidation>
    <dataValidation type="whole" operator="greaterThan" allowBlank="1" showInputMessage="1" showErrorMessage="1" sqref="A4059">
      <formula1>0</formula1>
    </dataValidation>
    <dataValidation type="list" allowBlank="1" showInputMessage="1" showErrorMessage="1" sqref="C4059">
      <formula1>UnidadesList</formula1>
    </dataValidation>
    <dataValidation type="decimal" operator="greaterThan" allowBlank="1" showInputMessage="1" showErrorMessage="1" sqref="D4059">
      <formula1>0</formula1>
    </dataValidation>
    <dataValidation type="decimal" operator="greaterThan" allowBlank="1" showInputMessage="1" showErrorMessage="1" sqref="E4059">
      <formula1>0</formula1>
    </dataValidation>
    <dataValidation type="whole" operator="greaterThan" allowBlank="1" showInputMessage="1" showErrorMessage="1" sqref="A4060">
      <formula1>0</formula1>
    </dataValidation>
    <dataValidation type="list" allowBlank="1" showInputMessage="1" showErrorMessage="1" sqref="C4060">
      <formula1>UnidadesList</formula1>
    </dataValidation>
    <dataValidation type="decimal" operator="greaterThan" allowBlank="1" showInputMessage="1" showErrorMessage="1" sqref="D4060">
      <formula1>0</formula1>
    </dataValidation>
    <dataValidation type="decimal" operator="greaterThan" allowBlank="1" showInputMessage="1" showErrorMessage="1" sqref="E4060">
      <formula1>0</formula1>
    </dataValidation>
    <dataValidation type="whole" operator="greaterThan" allowBlank="1" showInputMessage="1" showErrorMessage="1" sqref="A4061">
      <formula1>0</formula1>
    </dataValidation>
    <dataValidation type="list" allowBlank="1" showInputMessage="1" showErrorMessage="1" sqref="C4061">
      <formula1>UnidadesList</formula1>
    </dataValidation>
    <dataValidation type="decimal" operator="greaterThan" allowBlank="1" showInputMessage="1" showErrorMessage="1" sqref="D4061">
      <formula1>0</formula1>
    </dataValidation>
    <dataValidation type="decimal" operator="greaterThan" allowBlank="1" showInputMessage="1" showErrorMessage="1" sqref="E4061">
      <formula1>0</formula1>
    </dataValidation>
    <dataValidation type="whole" operator="greaterThan" allowBlank="1" showInputMessage="1" showErrorMessage="1" sqref="A4062">
      <formula1>0</formula1>
    </dataValidation>
    <dataValidation type="list" allowBlank="1" showInputMessage="1" showErrorMessage="1" sqref="C4062">
      <formula1>UnidadesList</formula1>
    </dataValidation>
    <dataValidation type="decimal" operator="greaterThan" allowBlank="1" showInputMessage="1" showErrorMessage="1" sqref="D4062">
      <formula1>0</formula1>
    </dataValidation>
    <dataValidation type="decimal" operator="greaterThan" allowBlank="1" showInputMessage="1" showErrorMessage="1" sqref="E4062">
      <formula1>0</formula1>
    </dataValidation>
    <dataValidation type="whole" operator="greaterThan" allowBlank="1" showInputMessage="1" showErrorMessage="1" sqref="A4063">
      <formula1>0</formula1>
    </dataValidation>
    <dataValidation type="list" allowBlank="1" showInputMessage="1" showErrorMessage="1" sqref="C4063">
      <formula1>UnidadesList</formula1>
    </dataValidation>
    <dataValidation type="decimal" operator="greaterThan" allowBlank="1" showInputMessage="1" showErrorMessage="1" sqref="D4063">
      <formula1>0</formula1>
    </dataValidation>
    <dataValidation type="decimal" operator="greaterThan" allowBlank="1" showInputMessage="1" showErrorMessage="1" sqref="E4063">
      <formula1>0</formula1>
    </dataValidation>
    <dataValidation type="whole" operator="greaterThan" allowBlank="1" showInputMessage="1" showErrorMessage="1" sqref="A4064">
      <formula1>0</formula1>
    </dataValidation>
    <dataValidation type="list" allowBlank="1" showInputMessage="1" showErrorMessage="1" sqref="C4064">
      <formula1>UnidadesList</formula1>
    </dataValidation>
    <dataValidation type="decimal" operator="greaterThan" allowBlank="1" showInputMessage="1" showErrorMessage="1" sqref="D4064">
      <formula1>0</formula1>
    </dataValidation>
    <dataValidation type="decimal" operator="greaterThan" allowBlank="1" showInputMessage="1" showErrorMessage="1" sqref="E4064">
      <formula1>0</formula1>
    </dataValidation>
    <dataValidation type="whole" operator="greaterThan" allowBlank="1" showInputMessage="1" showErrorMessage="1" sqref="A4065">
      <formula1>0</formula1>
    </dataValidation>
    <dataValidation type="list" allowBlank="1" showInputMessage="1" showErrorMessage="1" sqref="C4065">
      <formula1>UnidadesList</formula1>
    </dataValidation>
    <dataValidation type="decimal" operator="greaterThan" allowBlank="1" showInputMessage="1" showErrorMessage="1" sqref="D4065">
      <formula1>0</formula1>
    </dataValidation>
    <dataValidation type="decimal" operator="greaterThan" allowBlank="1" showInputMessage="1" showErrorMessage="1" sqref="E4065">
      <formula1>0</formula1>
    </dataValidation>
    <dataValidation type="whole" operator="greaterThan" allowBlank="1" showInputMessage="1" showErrorMessage="1" sqref="A4066">
      <formula1>0</formula1>
    </dataValidation>
    <dataValidation type="list" allowBlank="1" showInputMessage="1" showErrorMessage="1" sqref="C4066">
      <formula1>UnidadesList</formula1>
    </dataValidation>
    <dataValidation type="decimal" operator="greaterThan" allowBlank="1" showInputMessage="1" showErrorMessage="1" sqref="D4066">
      <formula1>0</formula1>
    </dataValidation>
    <dataValidation type="decimal" operator="greaterThan" allowBlank="1" showInputMessage="1" showErrorMessage="1" sqref="E4066">
      <formula1>0</formula1>
    </dataValidation>
    <dataValidation type="whole" operator="greaterThan" allowBlank="1" showInputMessage="1" showErrorMessage="1" sqref="A4067">
      <formula1>0</formula1>
    </dataValidation>
    <dataValidation type="list" allowBlank="1" showInputMessage="1" showErrorMessage="1" sqref="C4067">
      <formula1>UnidadesList</formula1>
    </dataValidation>
    <dataValidation type="decimal" operator="greaterThan" allowBlank="1" showInputMessage="1" showErrorMessage="1" sqref="D4067">
      <formula1>0</formula1>
    </dataValidation>
    <dataValidation type="decimal" operator="greaterThan" allowBlank="1" showInputMessage="1" showErrorMessage="1" sqref="E4067">
      <formula1>0</formula1>
    </dataValidation>
    <dataValidation type="whole" operator="greaterThan" allowBlank="1" showInputMessage="1" showErrorMessage="1" sqref="A4068">
      <formula1>0</formula1>
    </dataValidation>
    <dataValidation type="list" allowBlank="1" showInputMessage="1" showErrorMessage="1" sqref="C4068">
      <formula1>UnidadesList</formula1>
    </dataValidation>
    <dataValidation type="decimal" operator="greaterThan" allowBlank="1" showInputMessage="1" showErrorMessage="1" sqref="D4068">
      <formula1>0</formula1>
    </dataValidation>
    <dataValidation type="decimal" operator="greaterThan" allowBlank="1" showInputMessage="1" showErrorMessage="1" sqref="E4068">
      <formula1>0</formula1>
    </dataValidation>
    <dataValidation type="date" operator="lessThanOrEqual" allowBlank="1" showInputMessage="1" showErrorMessage="1" sqref="C4073">
      <formula1>C4075</formula1>
    </dataValidation>
    <dataValidation type="date" operator="greaterThanOrEqual" allowBlank="1" showInputMessage="1" showErrorMessage="1" sqref="C4075">
      <formula1>C4073</formula1>
    </dataValidation>
    <dataValidation type="list" allowBlank="1" showInputMessage="1" showErrorMessage="1" sqref="F407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07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07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07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079">
      <formula1>0</formula1>
    </dataValidation>
    <dataValidation type="list" allowBlank="1" showInputMessage="1" showErrorMessage="1" sqref="C4079">
      <formula1>UnidadesList</formula1>
    </dataValidation>
    <dataValidation type="decimal" operator="greaterThan" allowBlank="1" showInputMessage="1" showErrorMessage="1" sqref="D4079">
      <formula1>0</formula1>
    </dataValidation>
    <dataValidation type="decimal" operator="greaterThan" allowBlank="1" showInputMessage="1" showErrorMessage="1" sqref="E4079">
      <formula1>0</formula1>
    </dataValidation>
    <dataValidation type="whole" operator="greaterThan" allowBlank="1" showInputMessage="1" showErrorMessage="1" sqref="A4080">
      <formula1>0</formula1>
    </dataValidation>
    <dataValidation type="list" allowBlank="1" showInputMessage="1" showErrorMessage="1" sqref="C4080">
      <formula1>UnidadesList</formula1>
    </dataValidation>
    <dataValidation type="decimal" operator="greaterThan" allowBlank="1" showInputMessage="1" showErrorMessage="1" sqref="D4080">
      <formula1>0</formula1>
    </dataValidation>
    <dataValidation type="decimal" operator="greaterThan" allowBlank="1" showInputMessage="1" showErrorMessage="1" sqref="E4080">
      <formula1>0</formula1>
    </dataValidation>
    <dataValidation type="whole" operator="greaterThan" allowBlank="1" showInputMessage="1" showErrorMessage="1" sqref="A4081">
      <formula1>0</formula1>
    </dataValidation>
    <dataValidation type="list" allowBlank="1" showInputMessage="1" showErrorMessage="1" sqref="C4081">
      <formula1>UnidadesList</formula1>
    </dataValidation>
    <dataValidation type="decimal" operator="greaterThan" allowBlank="1" showInputMessage="1" showErrorMessage="1" sqref="D4081">
      <formula1>0</formula1>
    </dataValidation>
    <dataValidation type="decimal" operator="greaterThan" allowBlank="1" showInputMessage="1" showErrorMessage="1" sqref="E4081">
      <formula1>0</formula1>
    </dataValidation>
    <dataValidation type="whole" operator="greaterThan" allowBlank="1" showInputMessage="1" showErrorMessage="1" sqref="A4082">
      <formula1>0</formula1>
    </dataValidation>
    <dataValidation type="list" allowBlank="1" showInputMessage="1" showErrorMessage="1" sqref="C4082">
      <formula1>UnidadesList</formula1>
    </dataValidation>
    <dataValidation type="decimal" operator="greaterThan" allowBlank="1" showInputMessage="1" showErrorMessage="1" sqref="D4082">
      <formula1>0</formula1>
    </dataValidation>
    <dataValidation type="decimal" operator="greaterThan" allowBlank="1" showInputMessage="1" showErrorMessage="1" sqref="E4082">
      <formula1>0</formula1>
    </dataValidation>
    <dataValidation type="whole" operator="greaterThan" allowBlank="1" showInputMessage="1" showErrorMessage="1" sqref="A4083">
      <formula1>0</formula1>
    </dataValidation>
    <dataValidation type="list" allowBlank="1" showInputMessage="1" showErrorMessage="1" sqref="C4083">
      <formula1>UnidadesList</formula1>
    </dataValidation>
    <dataValidation type="decimal" operator="greaterThan" allowBlank="1" showInputMessage="1" showErrorMessage="1" sqref="D4083">
      <formula1>0</formula1>
    </dataValidation>
    <dataValidation type="decimal" operator="greaterThan" allowBlank="1" showInputMessage="1" showErrorMessage="1" sqref="E4083">
      <formula1>0</formula1>
    </dataValidation>
    <dataValidation type="whole" operator="greaterThan" allowBlank="1" showInputMessage="1" showErrorMessage="1" sqref="A4084">
      <formula1>0</formula1>
    </dataValidation>
    <dataValidation type="list" allowBlank="1" showInputMessage="1" showErrorMessage="1" sqref="C4084">
      <formula1>UnidadesList</formula1>
    </dataValidation>
    <dataValidation type="decimal" operator="greaterThan" allowBlank="1" showInputMessage="1" showErrorMessage="1" sqref="D4084">
      <formula1>0</formula1>
    </dataValidation>
    <dataValidation type="decimal" operator="greaterThan" allowBlank="1" showInputMessage="1" showErrorMessage="1" sqref="E4084">
      <formula1>0</formula1>
    </dataValidation>
    <dataValidation type="whole" operator="greaterThan" allowBlank="1" showInputMessage="1" showErrorMessage="1" sqref="A4085">
      <formula1>0</formula1>
    </dataValidation>
    <dataValidation type="list" allowBlank="1" showInputMessage="1" showErrorMessage="1" sqref="C4085">
      <formula1>UnidadesList</formula1>
    </dataValidation>
    <dataValidation type="decimal" operator="greaterThan" allowBlank="1" showInputMessage="1" showErrorMessage="1" sqref="D4085">
      <formula1>0</formula1>
    </dataValidation>
    <dataValidation type="decimal" operator="greaterThan" allowBlank="1" showInputMessage="1" showErrorMessage="1" sqref="E4085">
      <formula1>0</formula1>
    </dataValidation>
    <dataValidation type="whole" operator="greaterThan" allowBlank="1" showInputMessage="1" showErrorMessage="1" sqref="A4086">
      <formula1>0</formula1>
    </dataValidation>
    <dataValidation type="list" allowBlank="1" showInputMessage="1" showErrorMessage="1" sqref="C4086">
      <formula1>UnidadesList</formula1>
    </dataValidation>
    <dataValidation type="decimal" operator="greaterThan" allowBlank="1" showInputMessage="1" showErrorMessage="1" sqref="D4086">
      <formula1>0</formula1>
    </dataValidation>
    <dataValidation type="decimal" operator="greaterThan" allowBlank="1" showInputMessage="1" showErrorMessage="1" sqref="E4086">
      <formula1>0</formula1>
    </dataValidation>
    <dataValidation type="whole" operator="greaterThan" allowBlank="1" showInputMessage="1" showErrorMessage="1" sqref="A4087">
      <formula1>0</formula1>
    </dataValidation>
    <dataValidation type="list" allowBlank="1" showInputMessage="1" showErrorMessage="1" sqref="C4087">
      <formula1>UnidadesList</formula1>
    </dataValidation>
    <dataValidation type="decimal" operator="greaterThan" allowBlank="1" showInputMessage="1" showErrorMessage="1" sqref="D4087">
      <formula1>0</formula1>
    </dataValidation>
    <dataValidation type="decimal" operator="greaterThan" allowBlank="1" showInputMessage="1" showErrorMessage="1" sqref="E4087">
      <formula1>0</formula1>
    </dataValidation>
    <dataValidation type="whole" operator="greaterThan" allowBlank="1" showInputMessage="1" showErrorMessage="1" sqref="A4088">
      <formula1>0</formula1>
    </dataValidation>
    <dataValidation type="list" allowBlank="1" showInputMessage="1" showErrorMessage="1" sqref="C4088">
      <formula1>UnidadesList</formula1>
    </dataValidation>
    <dataValidation type="decimal" operator="greaterThan" allowBlank="1" showInputMessage="1" showErrorMessage="1" sqref="D4088">
      <formula1>0</formula1>
    </dataValidation>
    <dataValidation type="decimal" operator="greaterThan" allowBlank="1" showInputMessage="1" showErrorMessage="1" sqref="E4088">
      <formula1>0</formula1>
    </dataValidation>
    <dataValidation type="whole" operator="greaterThan" allowBlank="1" showInputMessage="1" showErrorMessage="1" sqref="A4089">
      <formula1>0</formula1>
    </dataValidation>
    <dataValidation type="list" allowBlank="1" showInputMessage="1" showErrorMessage="1" sqref="C4089">
      <formula1>UnidadesList</formula1>
    </dataValidation>
    <dataValidation type="decimal" operator="greaterThan" allowBlank="1" showInputMessage="1" showErrorMessage="1" sqref="D4089">
      <formula1>0</formula1>
    </dataValidation>
    <dataValidation type="decimal" operator="greaterThan" allowBlank="1" showInputMessage="1" showErrorMessage="1" sqref="E4089">
      <formula1>0</formula1>
    </dataValidation>
    <dataValidation type="whole" operator="greaterThan" allowBlank="1" showInputMessage="1" showErrorMessage="1" sqref="A4090">
      <formula1>0</formula1>
    </dataValidation>
    <dataValidation type="list" allowBlank="1" showInputMessage="1" showErrorMessage="1" sqref="C4090">
      <formula1>UnidadesList</formula1>
    </dataValidation>
    <dataValidation type="decimal" operator="greaterThan" allowBlank="1" showInputMessage="1" showErrorMessage="1" sqref="D4090">
      <formula1>0</formula1>
    </dataValidation>
    <dataValidation type="decimal" operator="greaterThan" allowBlank="1" showInputMessage="1" showErrorMessage="1" sqref="E4090">
      <formula1>0</formula1>
    </dataValidation>
    <dataValidation type="whole" operator="greaterThan" allowBlank="1" showInputMessage="1" showErrorMessage="1" sqref="A4091">
      <formula1>0</formula1>
    </dataValidation>
    <dataValidation type="list" allowBlank="1" showInputMessage="1" showErrorMessage="1" sqref="C4091">
      <formula1>UnidadesList</formula1>
    </dataValidation>
    <dataValidation type="decimal" operator="greaterThan" allowBlank="1" showInputMessage="1" showErrorMessage="1" sqref="D4091">
      <formula1>0</formula1>
    </dataValidation>
    <dataValidation type="decimal" operator="greaterThan" allowBlank="1" showInputMessage="1" showErrorMessage="1" sqref="E4091">
      <formula1>0</formula1>
    </dataValidation>
    <dataValidation type="whole" operator="greaterThan" allowBlank="1" showInputMessage="1" showErrorMessage="1" sqref="A4092">
      <formula1>0</formula1>
    </dataValidation>
    <dataValidation type="list" allowBlank="1" showInputMessage="1" showErrorMessage="1" sqref="C4092">
      <formula1>UnidadesList</formula1>
    </dataValidation>
    <dataValidation type="decimal" operator="greaterThan" allowBlank="1" showInputMessage="1" showErrorMessage="1" sqref="D4092">
      <formula1>0</formula1>
    </dataValidation>
    <dataValidation type="decimal" operator="greaterThan" allowBlank="1" showInputMessage="1" showErrorMessage="1" sqref="E4092">
      <formula1>0</formula1>
    </dataValidation>
    <dataValidation type="whole" operator="greaterThan" allowBlank="1" showInputMessage="1" showErrorMessage="1" sqref="A4093">
      <formula1>0</formula1>
    </dataValidation>
    <dataValidation type="list" allowBlank="1" showInputMessage="1" showErrorMessage="1" sqref="C4093">
      <formula1>UnidadesList</formula1>
    </dataValidation>
    <dataValidation type="decimal" operator="greaterThan" allowBlank="1" showInputMessage="1" showErrorMessage="1" sqref="D4093">
      <formula1>0</formula1>
    </dataValidation>
    <dataValidation type="decimal" operator="greaterThan" allowBlank="1" showInputMessage="1" showErrorMessage="1" sqref="E4093">
      <formula1>0</formula1>
    </dataValidation>
    <dataValidation type="whole" operator="greaterThan" allowBlank="1" showInputMessage="1" showErrorMessage="1" sqref="A4094">
      <formula1>0</formula1>
    </dataValidation>
    <dataValidation type="list" allowBlank="1" showInputMessage="1" showErrorMessage="1" sqref="C4094">
      <formula1>UnidadesList</formula1>
    </dataValidation>
    <dataValidation type="decimal" operator="greaterThan" allowBlank="1" showInputMessage="1" showErrorMessage="1" sqref="D4094">
      <formula1>0</formula1>
    </dataValidation>
    <dataValidation type="decimal" operator="greaterThan" allowBlank="1" showInputMessage="1" showErrorMessage="1" sqref="E4094">
      <formula1>0</formula1>
    </dataValidation>
    <dataValidation type="whole" operator="greaterThan" allowBlank="1" showInputMessage="1" showErrorMessage="1" sqref="A4095">
      <formula1>0</formula1>
    </dataValidation>
    <dataValidation type="list" allowBlank="1" showInputMessage="1" showErrorMessage="1" sqref="C4095">
      <formula1>UnidadesList</formula1>
    </dataValidation>
    <dataValidation type="decimal" operator="greaterThan" allowBlank="1" showInputMessage="1" showErrorMessage="1" sqref="D4095">
      <formula1>0</formula1>
    </dataValidation>
    <dataValidation type="decimal" operator="greaterThan" allowBlank="1" showInputMessage="1" showErrorMessage="1" sqref="E4095">
      <formula1>0</formula1>
    </dataValidation>
    <dataValidation type="whole" operator="greaterThan" allowBlank="1" showInputMessage="1" showErrorMessage="1" sqref="A4096">
      <formula1>0</formula1>
    </dataValidation>
    <dataValidation type="list" allowBlank="1" showInputMessage="1" showErrorMessage="1" sqref="C4096">
      <formula1>UnidadesList</formula1>
    </dataValidation>
    <dataValidation type="decimal" operator="greaterThan" allowBlank="1" showInputMessage="1" showErrorMessage="1" sqref="D4096">
      <formula1>0</formula1>
    </dataValidation>
    <dataValidation type="decimal" operator="greaterThan" allowBlank="1" showInputMessage="1" showErrorMessage="1" sqref="E4096">
      <formula1>0</formula1>
    </dataValidation>
    <dataValidation type="whole" operator="greaterThan" allowBlank="1" showInputMessage="1" showErrorMessage="1" sqref="A4097">
      <formula1>0</formula1>
    </dataValidation>
    <dataValidation type="list" allowBlank="1" showInputMessage="1" showErrorMessage="1" sqref="C4097">
      <formula1>UnidadesList</formula1>
    </dataValidation>
    <dataValidation type="decimal" operator="greaterThan" allowBlank="1" showInputMessage="1" showErrorMessage="1" sqref="D4097">
      <formula1>0</formula1>
    </dataValidation>
    <dataValidation type="decimal" operator="greaterThan" allowBlank="1" showInputMessage="1" showErrorMessage="1" sqref="E4097">
      <formula1>0</formula1>
    </dataValidation>
    <dataValidation type="whole" operator="greaterThan" allowBlank="1" showInputMessage="1" showErrorMessage="1" sqref="A4098">
      <formula1>0</formula1>
    </dataValidation>
    <dataValidation type="list" allowBlank="1" showInputMessage="1" showErrorMessage="1" sqref="C4098">
      <formula1>UnidadesList</formula1>
    </dataValidation>
    <dataValidation type="decimal" operator="greaterThan" allowBlank="1" showInputMessage="1" showErrorMessage="1" sqref="D4098">
      <formula1>0</formula1>
    </dataValidation>
    <dataValidation type="decimal" operator="greaterThan" allowBlank="1" showInputMessage="1" showErrorMessage="1" sqref="E4098">
      <formula1>0</formula1>
    </dataValidation>
    <dataValidation type="whole" operator="greaterThan" allowBlank="1" showInputMessage="1" showErrorMessage="1" sqref="A4099">
      <formula1>0</formula1>
    </dataValidation>
    <dataValidation type="list" allowBlank="1" showInputMessage="1" showErrorMessage="1" sqref="C4099">
      <formula1>UnidadesList</formula1>
    </dataValidation>
    <dataValidation type="decimal" operator="greaterThan" allowBlank="1" showInputMessage="1" showErrorMessage="1" sqref="D4099">
      <formula1>0</formula1>
    </dataValidation>
    <dataValidation type="decimal" operator="greaterThan" allowBlank="1" showInputMessage="1" showErrorMessage="1" sqref="E4099">
      <formula1>0</formula1>
    </dataValidation>
    <dataValidation type="whole" operator="greaterThan" allowBlank="1" showInputMessage="1" showErrorMessage="1" sqref="A4100">
      <formula1>0</formula1>
    </dataValidation>
    <dataValidation type="list" allowBlank="1" showInputMessage="1" showErrorMessage="1" sqref="C4100">
      <formula1>UnidadesList</formula1>
    </dataValidation>
    <dataValidation type="decimal" operator="greaterThan" allowBlank="1" showInputMessage="1" showErrorMessage="1" sqref="D4100">
      <formula1>0</formula1>
    </dataValidation>
    <dataValidation type="decimal" operator="greaterThan" allowBlank="1" showInputMessage="1" showErrorMessage="1" sqref="E4100">
      <formula1>0</formula1>
    </dataValidation>
    <dataValidation type="whole" operator="greaterThan" allowBlank="1" showInputMessage="1" showErrorMessage="1" sqref="A4101">
      <formula1>0</formula1>
    </dataValidation>
    <dataValidation type="list" allowBlank="1" showInputMessage="1" showErrorMessage="1" sqref="C4101">
      <formula1>UnidadesList</formula1>
    </dataValidation>
    <dataValidation type="decimal" operator="greaterThan" allowBlank="1" showInputMessage="1" showErrorMessage="1" sqref="D4101">
      <formula1>0</formula1>
    </dataValidation>
    <dataValidation type="decimal" operator="greaterThan" allowBlank="1" showInputMessage="1" showErrorMessage="1" sqref="E4101">
      <formula1>0</formula1>
    </dataValidation>
    <dataValidation type="whole" operator="greaterThan" allowBlank="1" showInputMessage="1" showErrorMessage="1" sqref="A4102">
      <formula1>0</formula1>
    </dataValidation>
    <dataValidation type="list" allowBlank="1" showInputMessage="1" showErrorMessage="1" sqref="C4102">
      <formula1>UnidadesList</formula1>
    </dataValidation>
    <dataValidation type="decimal" operator="greaterThan" allowBlank="1" showInputMessage="1" showErrorMessage="1" sqref="D4102">
      <formula1>0</formula1>
    </dataValidation>
    <dataValidation type="decimal" operator="greaterThan" allowBlank="1" showInputMessage="1" showErrorMessage="1" sqref="E4102">
      <formula1>0</formula1>
    </dataValidation>
    <dataValidation type="whole" operator="greaterThan" allowBlank="1" showInputMessage="1" showErrorMessage="1" sqref="A4103">
      <formula1>0</formula1>
    </dataValidation>
    <dataValidation type="list" allowBlank="1" showInputMessage="1" showErrorMessage="1" sqref="C4103">
      <formula1>UnidadesList</formula1>
    </dataValidation>
    <dataValidation type="decimal" operator="greaterThan" allowBlank="1" showInputMessage="1" showErrorMessage="1" sqref="D4103">
      <formula1>0</formula1>
    </dataValidation>
    <dataValidation type="decimal" operator="greaterThan" allowBlank="1" showInputMessage="1" showErrorMessage="1" sqref="E4103">
      <formula1>0</formula1>
    </dataValidation>
    <dataValidation type="whole" operator="greaterThan" allowBlank="1" showInputMessage="1" showErrorMessage="1" sqref="A4104">
      <formula1>0</formula1>
    </dataValidation>
    <dataValidation type="list" allowBlank="1" showInputMessage="1" showErrorMessage="1" sqref="C4104">
      <formula1>UnidadesList</formula1>
    </dataValidation>
    <dataValidation type="decimal" operator="greaterThan" allowBlank="1" showInputMessage="1" showErrorMessage="1" sqref="D4104">
      <formula1>0</formula1>
    </dataValidation>
    <dataValidation type="decimal" operator="greaterThan" allowBlank="1" showInputMessage="1" showErrorMessage="1" sqref="E4104">
      <formula1>0</formula1>
    </dataValidation>
    <dataValidation type="whole" operator="greaterThan" allowBlank="1" showInputMessage="1" showErrorMessage="1" sqref="A4105">
      <formula1>0</formula1>
    </dataValidation>
    <dataValidation type="list" allowBlank="1" showInputMessage="1" showErrorMessage="1" sqref="C4105">
      <formula1>UnidadesList</formula1>
    </dataValidation>
    <dataValidation type="decimal" operator="greaterThan" allowBlank="1" showInputMessage="1" showErrorMessage="1" sqref="D4105">
      <formula1>0</formula1>
    </dataValidation>
    <dataValidation type="decimal" operator="greaterThan" allowBlank="1" showInputMessage="1" showErrorMessage="1" sqref="E4105">
      <formula1>0</formula1>
    </dataValidation>
    <dataValidation type="whole" operator="greaterThan" allowBlank="1" showInputMessage="1" showErrorMessage="1" sqref="A4106">
      <formula1>0</formula1>
    </dataValidation>
    <dataValidation type="list" allowBlank="1" showInputMessage="1" showErrorMessage="1" sqref="C4106">
      <formula1>UnidadesList</formula1>
    </dataValidation>
    <dataValidation type="decimal" operator="greaterThan" allowBlank="1" showInputMessage="1" showErrorMessage="1" sqref="D4106">
      <formula1>0</formula1>
    </dataValidation>
    <dataValidation type="decimal" operator="greaterThan" allowBlank="1" showInputMessage="1" showErrorMessage="1" sqref="E4106">
      <formula1>0</formula1>
    </dataValidation>
    <dataValidation type="date" operator="lessThanOrEqual" allowBlank="1" showInputMessage="1" showErrorMessage="1" sqref="C4111">
      <formula1>C4113</formula1>
    </dataValidation>
    <dataValidation type="date" operator="greaterThanOrEqual" allowBlank="1" showInputMessage="1" showErrorMessage="1" sqref="C4113">
      <formula1>C4111</formula1>
    </dataValidation>
    <dataValidation type="list" allowBlank="1" showInputMessage="1" showErrorMessage="1" sqref="F411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1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1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1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17">
      <formula1>0</formula1>
    </dataValidation>
    <dataValidation type="list" allowBlank="1" showInputMessage="1" showErrorMessage="1" sqref="C4117">
      <formula1>UnidadesList</formula1>
    </dataValidation>
    <dataValidation type="decimal" operator="greaterThan" allowBlank="1" showInputMessage="1" showErrorMessage="1" sqref="D4117">
      <formula1>0</formula1>
    </dataValidation>
    <dataValidation type="decimal" operator="greaterThan" allowBlank="1" showInputMessage="1" showErrorMessage="1" sqref="E4117">
      <formula1>0</formula1>
    </dataValidation>
    <dataValidation type="whole" operator="greaterThan" allowBlank="1" showInputMessage="1" showErrorMessage="1" sqref="A4118">
      <formula1>0</formula1>
    </dataValidation>
    <dataValidation type="list" allowBlank="1" showInputMessage="1" showErrorMessage="1" sqref="C4118">
      <formula1>UnidadesList</formula1>
    </dataValidation>
    <dataValidation type="decimal" operator="greaterThan" allowBlank="1" showInputMessage="1" showErrorMessage="1" sqref="D4118">
      <formula1>0</formula1>
    </dataValidation>
    <dataValidation type="decimal" operator="greaterThan" allowBlank="1" showInputMessage="1" showErrorMessage="1" sqref="E4118">
      <formula1>0</formula1>
    </dataValidation>
    <dataValidation type="whole" operator="greaterThan" allowBlank="1" showInputMessage="1" showErrorMessage="1" sqref="A4119">
      <formula1>0</formula1>
    </dataValidation>
    <dataValidation type="list" allowBlank="1" showInputMessage="1" showErrorMessage="1" sqref="C4119">
      <formula1>UnidadesList</formula1>
    </dataValidation>
    <dataValidation type="decimal" operator="greaterThan" allowBlank="1" showInputMessage="1" showErrorMessage="1" sqref="D4119">
      <formula1>0</formula1>
    </dataValidation>
    <dataValidation type="decimal" operator="greaterThan" allowBlank="1" showInputMessage="1" showErrorMessage="1" sqref="E4119">
      <formula1>0</formula1>
    </dataValidation>
    <dataValidation type="whole" operator="greaterThan" allowBlank="1" showInputMessage="1" showErrorMessage="1" sqref="A4120">
      <formula1>0</formula1>
    </dataValidation>
    <dataValidation type="list" allowBlank="1" showInputMessage="1" showErrorMessage="1" sqref="C4120">
      <formula1>UnidadesList</formula1>
    </dataValidation>
    <dataValidation type="decimal" operator="greaterThan" allowBlank="1" showInputMessage="1" showErrorMessage="1" sqref="D4120">
      <formula1>0</formula1>
    </dataValidation>
    <dataValidation type="decimal" operator="greaterThan" allowBlank="1" showInputMessage="1" showErrorMessage="1" sqref="E4120">
      <formula1>0</formula1>
    </dataValidation>
    <dataValidation type="whole" operator="greaterThan" allowBlank="1" showInputMessage="1" showErrorMessage="1" sqref="A4121">
      <formula1>0</formula1>
    </dataValidation>
    <dataValidation type="list" allowBlank="1" showInputMessage="1" showErrorMessage="1" sqref="C4121">
      <formula1>UnidadesList</formula1>
    </dataValidation>
    <dataValidation type="decimal" operator="greaterThan" allowBlank="1" showInputMessage="1" showErrorMessage="1" sqref="D4121">
      <formula1>0</formula1>
    </dataValidation>
    <dataValidation type="decimal" operator="greaterThan" allowBlank="1" showInputMessage="1" showErrorMessage="1" sqref="E4121">
      <formula1>0</formula1>
    </dataValidation>
    <dataValidation type="whole" operator="greaterThan" allowBlank="1" showInputMessage="1" showErrorMessage="1" sqref="A4122">
      <formula1>0</formula1>
    </dataValidation>
    <dataValidation type="list" allowBlank="1" showInputMessage="1" showErrorMessage="1" sqref="C4122">
      <formula1>UnidadesList</formula1>
    </dataValidation>
    <dataValidation type="decimal" operator="greaterThan" allowBlank="1" showInputMessage="1" showErrorMessage="1" sqref="D4122">
      <formula1>0</formula1>
    </dataValidation>
    <dataValidation type="decimal" operator="greaterThan" allowBlank="1" showInputMessage="1" showErrorMessage="1" sqref="E4122">
      <formula1>0</formula1>
    </dataValidation>
    <dataValidation type="whole" operator="greaterThan" allowBlank="1" showInputMessage="1" showErrorMessage="1" sqref="A4123">
      <formula1>0</formula1>
    </dataValidation>
    <dataValidation type="list" allowBlank="1" showInputMessage="1" showErrorMessage="1" sqref="C4123">
      <formula1>UnidadesList</formula1>
    </dataValidation>
    <dataValidation type="decimal" operator="greaterThan" allowBlank="1" showInputMessage="1" showErrorMessage="1" sqref="D4123">
      <formula1>0</formula1>
    </dataValidation>
    <dataValidation type="decimal" operator="greaterThan" allowBlank="1" showInputMessage="1" showErrorMessage="1" sqref="E4123">
      <formula1>0</formula1>
    </dataValidation>
    <dataValidation type="whole" operator="greaterThan" allowBlank="1" showInputMessage="1" showErrorMessage="1" sqref="A4124">
      <formula1>0</formula1>
    </dataValidation>
    <dataValidation type="list" allowBlank="1" showInputMessage="1" showErrorMessage="1" sqref="C4124">
      <formula1>UnidadesList</formula1>
    </dataValidation>
    <dataValidation type="decimal" operator="greaterThan" allowBlank="1" showInputMessage="1" showErrorMessage="1" sqref="D4124">
      <formula1>0</formula1>
    </dataValidation>
    <dataValidation type="decimal" operator="greaterThan" allowBlank="1" showInputMessage="1" showErrorMessage="1" sqref="E4124">
      <formula1>0</formula1>
    </dataValidation>
    <dataValidation type="whole" operator="greaterThan" allowBlank="1" showInputMessage="1" showErrorMessage="1" sqref="A4125">
      <formula1>0</formula1>
    </dataValidation>
    <dataValidation type="list" allowBlank="1" showInputMessage="1" showErrorMessage="1" sqref="C4125">
      <formula1>UnidadesList</formula1>
    </dataValidation>
    <dataValidation type="decimal" operator="greaterThan" allowBlank="1" showInputMessage="1" showErrorMessage="1" sqref="D4125">
      <formula1>0</formula1>
    </dataValidation>
    <dataValidation type="decimal" operator="greaterThan" allowBlank="1" showInputMessage="1" showErrorMessage="1" sqref="E4125">
      <formula1>0</formula1>
    </dataValidation>
    <dataValidation type="whole" operator="greaterThan" allowBlank="1" showInputMessage="1" showErrorMessage="1" sqref="A4126">
      <formula1>0</formula1>
    </dataValidation>
    <dataValidation type="list" allowBlank="1" showInputMessage="1" showErrorMessage="1" sqref="C4126">
      <formula1>UnidadesList</formula1>
    </dataValidation>
    <dataValidation type="decimal" operator="greaterThan" allowBlank="1" showInputMessage="1" showErrorMessage="1" sqref="D4126">
      <formula1>0</formula1>
    </dataValidation>
    <dataValidation type="decimal" operator="greaterThan" allowBlank="1" showInputMessage="1" showErrorMessage="1" sqref="E4126">
      <formula1>0</formula1>
    </dataValidation>
    <dataValidation type="whole" operator="greaterThan" allowBlank="1" showInputMessage="1" showErrorMessage="1" sqref="A4127">
      <formula1>0</formula1>
    </dataValidation>
    <dataValidation type="list" allowBlank="1" showInputMessage="1" showErrorMessage="1" sqref="C4127">
      <formula1>UnidadesList</formula1>
    </dataValidation>
    <dataValidation type="decimal" operator="greaterThan" allowBlank="1" showInputMessage="1" showErrorMessage="1" sqref="D4127">
      <formula1>0</formula1>
    </dataValidation>
    <dataValidation type="decimal" operator="greaterThan" allowBlank="1" showInputMessage="1" showErrorMessage="1" sqref="E4127">
      <formula1>0</formula1>
    </dataValidation>
    <dataValidation type="whole" operator="greaterThan" allowBlank="1" showInputMessage="1" showErrorMessage="1" sqref="A4128">
      <formula1>0</formula1>
    </dataValidation>
    <dataValidation type="list" allowBlank="1" showInputMessage="1" showErrorMessage="1" sqref="C4128">
      <formula1>UnidadesList</formula1>
    </dataValidation>
    <dataValidation type="decimal" operator="greaterThan" allowBlank="1" showInputMessage="1" showErrorMessage="1" sqref="D4128">
      <formula1>0</formula1>
    </dataValidation>
    <dataValidation type="decimal" operator="greaterThan" allowBlank="1" showInputMessage="1" showErrorMessage="1" sqref="E4128">
      <formula1>0</formula1>
    </dataValidation>
    <dataValidation type="whole" operator="greaterThan" allowBlank="1" showInputMessage="1" showErrorMessage="1" sqref="A4129">
      <formula1>0</formula1>
    </dataValidation>
    <dataValidation type="list" allowBlank="1" showInputMessage="1" showErrorMessage="1" sqref="C4129">
      <formula1>UnidadesList</formula1>
    </dataValidation>
    <dataValidation type="decimal" operator="greaterThan" allowBlank="1" showInputMessage="1" showErrorMessage="1" sqref="D4129">
      <formula1>0</formula1>
    </dataValidation>
    <dataValidation type="decimal" operator="greaterThan" allowBlank="1" showInputMessage="1" showErrorMessage="1" sqref="E4129">
      <formula1>0</formula1>
    </dataValidation>
    <dataValidation type="whole" operator="greaterThan" allowBlank="1" showInputMessage="1" showErrorMessage="1" sqref="A4130">
      <formula1>0</formula1>
    </dataValidation>
    <dataValidation type="list" allowBlank="1" showInputMessage="1" showErrorMessage="1" sqref="C4130">
      <formula1>UnidadesList</formula1>
    </dataValidation>
    <dataValidation type="decimal" operator="greaterThan" allowBlank="1" showInputMessage="1" showErrorMessage="1" sqref="D4130">
      <formula1>0</formula1>
    </dataValidation>
    <dataValidation type="decimal" operator="greaterThan" allowBlank="1" showInputMessage="1" showErrorMessage="1" sqref="E4130">
      <formula1>0</formula1>
    </dataValidation>
    <dataValidation type="whole" operator="greaterThan" allowBlank="1" showInputMessage="1" showErrorMessage="1" sqref="A4131">
      <formula1>0</formula1>
    </dataValidation>
    <dataValidation type="list" allowBlank="1" showInputMessage="1" showErrorMessage="1" sqref="C4131">
      <formula1>UnidadesList</formula1>
    </dataValidation>
    <dataValidation type="decimal" operator="greaterThan" allowBlank="1" showInputMessage="1" showErrorMessage="1" sqref="D4131">
      <formula1>0</formula1>
    </dataValidation>
    <dataValidation type="decimal" operator="greaterThan" allowBlank="1" showInputMessage="1" showErrorMessage="1" sqref="E4131">
      <formula1>0</formula1>
    </dataValidation>
    <dataValidation type="whole" operator="greaterThan" allowBlank="1" showInputMessage="1" showErrorMessage="1" sqref="A4132">
      <formula1>0</formula1>
    </dataValidation>
    <dataValidation type="list" allowBlank="1" showInputMessage="1" showErrorMessage="1" sqref="C4132">
      <formula1>UnidadesList</formula1>
    </dataValidation>
    <dataValidation type="decimal" operator="greaterThan" allowBlank="1" showInputMessage="1" showErrorMessage="1" sqref="D4132">
      <formula1>0</formula1>
    </dataValidation>
    <dataValidation type="decimal" operator="greaterThan" allowBlank="1" showInputMessage="1" showErrorMessage="1" sqref="E4132">
      <formula1>0</formula1>
    </dataValidation>
    <dataValidation type="whole" operator="greaterThan" allowBlank="1" showInputMessage="1" showErrorMessage="1" sqref="A4133">
      <formula1>0</formula1>
    </dataValidation>
    <dataValidation type="list" allowBlank="1" showInputMessage="1" showErrorMessage="1" sqref="C4133">
      <formula1>UnidadesList</formula1>
    </dataValidation>
    <dataValidation type="decimal" operator="greaterThan" allowBlank="1" showInputMessage="1" showErrorMessage="1" sqref="D4133">
      <formula1>0</formula1>
    </dataValidation>
    <dataValidation type="decimal" operator="greaterThan" allowBlank="1" showInputMessage="1" showErrorMessage="1" sqref="E4133">
      <formula1>0</formula1>
    </dataValidation>
    <dataValidation type="whole" operator="greaterThan" allowBlank="1" showInputMessage="1" showErrorMessage="1" sqref="A4134">
      <formula1>0</formula1>
    </dataValidation>
    <dataValidation type="list" allowBlank="1" showInputMessage="1" showErrorMessage="1" sqref="C4134">
      <formula1>UnidadesList</formula1>
    </dataValidation>
    <dataValidation type="decimal" operator="greaterThan" allowBlank="1" showInputMessage="1" showErrorMessage="1" sqref="D4134">
      <formula1>0</formula1>
    </dataValidation>
    <dataValidation type="decimal" operator="greaterThan" allowBlank="1" showInputMessage="1" showErrorMessage="1" sqref="E4134">
      <formula1>0</formula1>
    </dataValidation>
    <dataValidation type="whole" operator="greaterThan" allowBlank="1" showInputMessage="1" showErrorMessage="1" sqref="A4135">
      <formula1>0</formula1>
    </dataValidation>
    <dataValidation type="list" allowBlank="1" showInputMessage="1" showErrorMessage="1" sqref="C4135">
      <formula1>UnidadesList</formula1>
    </dataValidation>
    <dataValidation type="decimal" operator="greaterThan" allowBlank="1" showInputMessage="1" showErrorMessage="1" sqref="D4135">
      <formula1>0</formula1>
    </dataValidation>
    <dataValidation type="decimal" operator="greaterThan" allowBlank="1" showInputMessage="1" showErrorMessage="1" sqref="E4135">
      <formula1>0</formula1>
    </dataValidation>
    <dataValidation type="whole" operator="greaterThan" allowBlank="1" showInputMessage="1" showErrorMessage="1" sqref="A4136">
      <formula1>0</formula1>
    </dataValidation>
    <dataValidation type="list" allowBlank="1" showInputMessage="1" showErrorMessage="1" sqref="C4136">
      <formula1>UnidadesList</formula1>
    </dataValidation>
    <dataValidation type="decimal" operator="greaterThan" allowBlank="1" showInputMessage="1" showErrorMessage="1" sqref="D4136">
      <formula1>0</formula1>
    </dataValidation>
    <dataValidation type="decimal" operator="greaterThan" allowBlank="1" showInputMessage="1" showErrorMessage="1" sqref="E4136">
      <formula1>0</formula1>
    </dataValidation>
    <dataValidation type="whole" operator="greaterThan" allowBlank="1" showInputMessage="1" showErrorMessage="1" sqref="A4137">
      <formula1>0</formula1>
    </dataValidation>
    <dataValidation type="list" allowBlank="1" showInputMessage="1" showErrorMessage="1" sqref="C4137">
      <formula1>UnidadesList</formula1>
    </dataValidation>
    <dataValidation type="decimal" operator="greaterThan" allowBlank="1" showInputMessage="1" showErrorMessage="1" sqref="D4137">
      <formula1>0</formula1>
    </dataValidation>
    <dataValidation type="decimal" operator="greaterThan" allowBlank="1" showInputMessage="1" showErrorMessage="1" sqref="E4137">
      <formula1>0</formula1>
    </dataValidation>
    <dataValidation type="whole" operator="greaterThan" allowBlank="1" showInputMessage="1" showErrorMessage="1" sqref="A4138">
      <formula1>0</formula1>
    </dataValidation>
    <dataValidation type="list" allowBlank="1" showInputMessage="1" showErrorMessage="1" sqref="C4138">
      <formula1>UnidadesList</formula1>
    </dataValidation>
    <dataValidation type="decimal" operator="greaterThan" allowBlank="1" showInputMessage="1" showErrorMessage="1" sqref="D4138">
      <formula1>0</formula1>
    </dataValidation>
    <dataValidation type="decimal" operator="greaterThan" allowBlank="1" showInputMessage="1" showErrorMessage="1" sqref="E4138">
      <formula1>0</formula1>
    </dataValidation>
    <dataValidation type="whole" operator="greaterThan" allowBlank="1" showInputMessage="1" showErrorMessage="1" sqref="A4139">
      <formula1>0</formula1>
    </dataValidation>
    <dataValidation type="list" allowBlank="1" showInputMessage="1" showErrorMessage="1" sqref="C4139">
      <formula1>UnidadesList</formula1>
    </dataValidation>
    <dataValidation type="decimal" operator="greaterThan" allowBlank="1" showInputMessage="1" showErrorMessage="1" sqref="D4139">
      <formula1>0</formula1>
    </dataValidation>
    <dataValidation type="decimal" operator="greaterThan" allowBlank="1" showInputMessage="1" showErrorMessage="1" sqref="E4139">
      <formula1>0</formula1>
    </dataValidation>
    <dataValidation type="whole" operator="greaterThan" allowBlank="1" showInputMessage="1" showErrorMessage="1" sqref="A4140">
      <formula1>0</formula1>
    </dataValidation>
    <dataValidation type="list" allowBlank="1" showInputMessage="1" showErrorMessage="1" sqref="C4140">
      <formula1>UnidadesList</formula1>
    </dataValidation>
    <dataValidation type="decimal" operator="greaterThan" allowBlank="1" showInputMessage="1" showErrorMessage="1" sqref="D4140">
      <formula1>0</formula1>
    </dataValidation>
    <dataValidation type="decimal" operator="greaterThan" allowBlank="1" showInputMessage="1" showErrorMessage="1" sqref="E4140">
      <formula1>0</formula1>
    </dataValidation>
    <dataValidation type="whole" operator="greaterThan" allowBlank="1" showInputMessage="1" showErrorMessage="1" sqref="A4141">
      <formula1>0</formula1>
    </dataValidation>
    <dataValidation type="list" allowBlank="1" showInputMessage="1" showErrorMessage="1" sqref="C4141">
      <formula1>UnidadesList</formula1>
    </dataValidation>
    <dataValidation type="decimal" operator="greaterThan" allowBlank="1" showInputMessage="1" showErrorMessage="1" sqref="D4141">
      <formula1>0</formula1>
    </dataValidation>
    <dataValidation type="decimal" operator="greaterThan" allowBlank="1" showInputMessage="1" showErrorMessage="1" sqref="E4141">
      <formula1>0</formula1>
    </dataValidation>
    <dataValidation type="whole" operator="greaterThan" allowBlank="1" showInputMessage="1" showErrorMessage="1" sqref="A4142">
      <formula1>0</formula1>
    </dataValidation>
    <dataValidation type="list" allowBlank="1" showInputMessage="1" showErrorMessage="1" sqref="C4142">
      <formula1>UnidadesList</formula1>
    </dataValidation>
    <dataValidation type="decimal" operator="greaterThan" allowBlank="1" showInputMessage="1" showErrorMessage="1" sqref="D4142">
      <formula1>0</formula1>
    </dataValidation>
    <dataValidation type="decimal" operator="greaterThan" allowBlank="1" showInputMessage="1" showErrorMessage="1" sqref="E4142">
      <formula1>0</formula1>
    </dataValidation>
    <dataValidation type="whole" operator="greaterThan" allowBlank="1" showInputMessage="1" showErrorMessage="1" sqref="A4143">
      <formula1>0</formula1>
    </dataValidation>
    <dataValidation type="list" allowBlank="1" showInputMessage="1" showErrorMessage="1" sqref="C4143">
      <formula1>UnidadesList</formula1>
    </dataValidation>
    <dataValidation type="decimal" operator="greaterThan" allowBlank="1" showInputMessage="1" showErrorMessage="1" sqref="D4143">
      <formula1>0</formula1>
    </dataValidation>
    <dataValidation type="decimal" operator="greaterThan" allowBlank="1" showInputMessage="1" showErrorMessage="1" sqref="E4143">
      <formula1>0</formula1>
    </dataValidation>
    <dataValidation type="whole" operator="greaterThan" allowBlank="1" showInputMessage="1" showErrorMessage="1" sqref="A4144">
      <formula1>0</formula1>
    </dataValidation>
    <dataValidation type="list" allowBlank="1" showInputMessage="1" showErrorMessage="1" sqref="C4144">
      <formula1>UnidadesList</formula1>
    </dataValidation>
    <dataValidation type="decimal" operator="greaterThan" allowBlank="1" showInputMessage="1" showErrorMessage="1" sqref="D4144">
      <formula1>0</formula1>
    </dataValidation>
    <dataValidation type="decimal" operator="greaterThan" allowBlank="1" showInputMessage="1" showErrorMessage="1" sqref="E4144">
      <formula1>0</formula1>
    </dataValidation>
    <dataValidation type="whole" operator="greaterThan" allowBlank="1" showInputMessage="1" showErrorMessage="1" sqref="A4145">
      <formula1>0</formula1>
    </dataValidation>
    <dataValidation type="list" allowBlank="1" showInputMessage="1" showErrorMessage="1" sqref="C4145">
      <formula1>UnidadesList</formula1>
    </dataValidation>
    <dataValidation type="decimal" operator="greaterThan" allowBlank="1" showInputMessage="1" showErrorMessage="1" sqref="D4145">
      <formula1>0</formula1>
    </dataValidation>
    <dataValidation type="decimal" operator="greaterThan" allowBlank="1" showInputMessage="1" showErrorMessage="1" sqref="E4145">
      <formula1>0</formula1>
    </dataValidation>
    <dataValidation type="whole" operator="greaterThan" allowBlank="1" showInputMessage="1" showErrorMessage="1" sqref="A4146">
      <formula1>0</formula1>
    </dataValidation>
    <dataValidation type="list" allowBlank="1" showInputMessage="1" showErrorMessage="1" sqref="C4146">
      <formula1>UnidadesList</formula1>
    </dataValidation>
    <dataValidation type="decimal" operator="greaterThan" allowBlank="1" showInputMessage="1" showErrorMessage="1" sqref="D4146">
      <formula1>0</formula1>
    </dataValidation>
    <dataValidation type="decimal" operator="greaterThan" allowBlank="1" showInputMessage="1" showErrorMessage="1" sqref="E4146">
      <formula1>0</formula1>
    </dataValidation>
    <dataValidation type="whole" operator="greaterThan" allowBlank="1" showInputMessage="1" showErrorMessage="1" sqref="A4147">
      <formula1>0</formula1>
    </dataValidation>
    <dataValidation type="list" allowBlank="1" showInputMessage="1" showErrorMessage="1" sqref="C4147">
      <formula1>UnidadesList</formula1>
    </dataValidation>
    <dataValidation type="decimal" operator="greaterThan" allowBlank="1" showInputMessage="1" showErrorMessage="1" sqref="D4147">
      <formula1>0</formula1>
    </dataValidation>
    <dataValidation type="decimal" operator="greaterThan" allowBlank="1" showInputMessage="1" showErrorMessage="1" sqref="E4147">
      <formula1>0</formula1>
    </dataValidation>
    <dataValidation type="whole" operator="greaterThan" allowBlank="1" showInputMessage="1" showErrorMessage="1" sqref="A4148">
      <formula1>0</formula1>
    </dataValidation>
    <dataValidation type="list" allowBlank="1" showInputMessage="1" showErrorMessage="1" sqref="C4148">
      <formula1>UnidadesList</formula1>
    </dataValidation>
    <dataValidation type="decimal" operator="greaterThan" allowBlank="1" showInputMessage="1" showErrorMessage="1" sqref="D4148">
      <formula1>0</formula1>
    </dataValidation>
    <dataValidation type="decimal" operator="greaterThan" allowBlank="1" showInputMessage="1" showErrorMessage="1" sqref="E4148">
      <formula1>0</formula1>
    </dataValidation>
    <dataValidation type="whole" operator="greaterThan" allowBlank="1" showInputMessage="1" showErrorMessage="1" sqref="A4149">
      <formula1>0</formula1>
    </dataValidation>
    <dataValidation type="list" allowBlank="1" showInputMessage="1" showErrorMessage="1" sqref="C4149">
      <formula1>UnidadesList</formula1>
    </dataValidation>
    <dataValidation type="decimal" operator="greaterThan" allowBlank="1" showInputMessage="1" showErrorMessage="1" sqref="D4149">
      <formula1>0</formula1>
    </dataValidation>
    <dataValidation type="decimal" operator="greaterThan" allowBlank="1" showInputMessage="1" showErrorMessage="1" sqref="E4149">
      <formula1>0</formula1>
    </dataValidation>
    <dataValidation type="whole" operator="greaterThan" allowBlank="1" showInputMessage="1" showErrorMessage="1" sqref="A4150">
      <formula1>0</formula1>
    </dataValidation>
    <dataValidation type="list" allowBlank="1" showInputMessage="1" showErrorMessage="1" sqref="C4150">
      <formula1>UnidadesList</formula1>
    </dataValidation>
    <dataValidation type="decimal" operator="greaterThan" allowBlank="1" showInputMessage="1" showErrorMessage="1" sqref="D4150">
      <formula1>0</formula1>
    </dataValidation>
    <dataValidation type="decimal" operator="greaterThan" allowBlank="1" showInputMessage="1" showErrorMessage="1" sqref="E4150">
      <formula1>0</formula1>
    </dataValidation>
    <dataValidation type="whole" operator="greaterThan" allowBlank="1" showInputMessage="1" showErrorMessage="1" sqref="A4151">
      <formula1>0</formula1>
    </dataValidation>
    <dataValidation type="list" allowBlank="1" showInputMessage="1" showErrorMessage="1" sqref="C4151">
      <formula1>UnidadesList</formula1>
    </dataValidation>
    <dataValidation type="decimal" operator="greaterThan" allowBlank="1" showInputMessage="1" showErrorMessage="1" sqref="D4151">
      <formula1>0</formula1>
    </dataValidation>
    <dataValidation type="decimal" operator="greaterThan" allowBlank="1" showInputMessage="1" showErrorMessage="1" sqref="E4151">
      <formula1>0</formula1>
    </dataValidation>
    <dataValidation type="whole" operator="greaterThan" allowBlank="1" showInputMessage="1" showErrorMessage="1" sqref="A4152">
      <formula1>0</formula1>
    </dataValidation>
    <dataValidation type="list" allowBlank="1" showInputMessage="1" showErrorMessage="1" sqref="C4152">
      <formula1>UnidadesList</formula1>
    </dataValidation>
    <dataValidation type="decimal" operator="greaterThan" allowBlank="1" showInputMessage="1" showErrorMessage="1" sqref="D4152">
      <formula1>0</formula1>
    </dataValidation>
    <dataValidation type="decimal" operator="greaterThan" allowBlank="1" showInputMessage="1" showErrorMessage="1" sqref="E4152">
      <formula1>0</formula1>
    </dataValidation>
    <dataValidation type="whole" operator="greaterThan" allowBlank="1" showInputMessage="1" showErrorMessage="1" sqref="A4153">
      <formula1>0</formula1>
    </dataValidation>
    <dataValidation type="list" allowBlank="1" showInputMessage="1" showErrorMessage="1" sqref="C4153">
      <formula1>UnidadesList</formula1>
    </dataValidation>
    <dataValidation type="decimal" operator="greaterThan" allowBlank="1" showInputMessage="1" showErrorMessage="1" sqref="D4153">
      <formula1>0</formula1>
    </dataValidation>
    <dataValidation type="decimal" operator="greaterThan" allowBlank="1" showInputMessage="1" showErrorMessage="1" sqref="E4153">
      <formula1>0</formula1>
    </dataValidation>
    <dataValidation type="whole" operator="greaterThan" allowBlank="1" showInputMessage="1" showErrorMessage="1" sqref="A4154">
      <formula1>0</formula1>
    </dataValidation>
    <dataValidation type="list" allowBlank="1" showInputMessage="1" showErrorMessage="1" sqref="C4154">
      <formula1>UnidadesList</formula1>
    </dataValidation>
    <dataValidation type="decimal" operator="greaterThan" allowBlank="1" showInputMessage="1" showErrorMessage="1" sqref="D4154">
      <formula1>0</formula1>
    </dataValidation>
    <dataValidation type="decimal" operator="greaterThan" allowBlank="1" showInputMessage="1" showErrorMessage="1" sqref="E4154">
      <formula1>0</formula1>
    </dataValidation>
    <dataValidation type="whole" operator="greaterThan" allowBlank="1" showInputMessage="1" showErrorMessage="1" sqref="A4155">
      <formula1>0</formula1>
    </dataValidation>
    <dataValidation type="list" allowBlank="1" showInputMessage="1" showErrorMessage="1" sqref="C4155">
      <formula1>UnidadesList</formula1>
    </dataValidation>
    <dataValidation type="decimal" operator="greaterThan" allowBlank="1" showInputMessage="1" showErrorMessage="1" sqref="D4155">
      <formula1>0</formula1>
    </dataValidation>
    <dataValidation type="decimal" operator="greaterThan" allowBlank="1" showInputMessage="1" showErrorMessage="1" sqref="E4155">
      <formula1>0</formula1>
    </dataValidation>
    <dataValidation type="date" operator="lessThanOrEqual" allowBlank="1" showInputMessage="1" showErrorMessage="1" sqref="C4160">
      <formula1>C4162</formula1>
    </dataValidation>
    <dataValidation type="date" operator="greaterThanOrEqual" allowBlank="1" showInputMessage="1" showErrorMessage="1" sqref="C4162">
      <formula1>C4160</formula1>
    </dataValidation>
    <dataValidation type="list" allowBlank="1" showInputMessage="1" showErrorMessage="1" sqref="F41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66">
      <formula1>0</formula1>
    </dataValidation>
    <dataValidation type="list" allowBlank="1" showInputMessage="1" showErrorMessage="1" sqref="C4166">
      <formula1>UnidadesList</formula1>
    </dataValidation>
    <dataValidation type="decimal" operator="greaterThan" allowBlank="1" showInputMessage="1" showErrorMessage="1" sqref="D4166">
      <formula1>0</formula1>
    </dataValidation>
    <dataValidation type="decimal" operator="greaterThan" allowBlank="1" showInputMessage="1" showErrorMessage="1" sqref="E4166">
      <formula1>0</formula1>
    </dataValidation>
    <dataValidation type="whole" operator="greaterThan" allowBlank="1" showInputMessage="1" showErrorMessage="1" sqref="A4167">
      <formula1>0</formula1>
    </dataValidation>
    <dataValidation type="list" allowBlank="1" showInputMessage="1" showErrorMessage="1" sqref="C4167">
      <formula1>UnidadesList</formula1>
    </dataValidation>
    <dataValidation type="decimal" operator="greaterThan" allowBlank="1" showInputMessage="1" showErrorMessage="1" sqref="D4167">
      <formula1>0</formula1>
    </dataValidation>
    <dataValidation type="decimal" operator="greaterThan" allowBlank="1" showInputMessage="1" showErrorMessage="1" sqref="E4167">
      <formula1>0</formula1>
    </dataValidation>
    <dataValidation type="whole" operator="greaterThan" allowBlank="1" showInputMessage="1" showErrorMessage="1" sqref="A4168">
      <formula1>0</formula1>
    </dataValidation>
    <dataValidation type="list" allowBlank="1" showInputMessage="1" showErrorMessage="1" sqref="C4168">
      <formula1>UnidadesList</formula1>
    </dataValidation>
    <dataValidation type="decimal" operator="greaterThan" allowBlank="1" showInputMessage="1" showErrorMessage="1" sqref="D4168">
      <formula1>0</formula1>
    </dataValidation>
    <dataValidation type="decimal" operator="greaterThan" allowBlank="1" showInputMessage="1" showErrorMessage="1" sqref="E4168">
      <formula1>0</formula1>
    </dataValidation>
    <dataValidation type="whole" operator="greaterThan" allowBlank="1" showInputMessage="1" showErrorMessage="1" sqref="A4169">
      <formula1>0</formula1>
    </dataValidation>
    <dataValidation type="list" allowBlank="1" showInputMessage="1" showErrorMessage="1" sqref="C4169">
      <formula1>UnidadesList</formula1>
    </dataValidation>
    <dataValidation type="decimal" operator="greaterThan" allowBlank="1" showInputMessage="1" showErrorMessage="1" sqref="D4169">
      <formula1>0</formula1>
    </dataValidation>
    <dataValidation type="decimal" operator="greaterThan" allowBlank="1" showInputMessage="1" showErrorMessage="1" sqref="E4169">
      <formula1>0</formula1>
    </dataValidation>
    <dataValidation type="whole" operator="greaterThan" allowBlank="1" showInputMessage="1" showErrorMessage="1" sqref="A4170">
      <formula1>0</formula1>
    </dataValidation>
    <dataValidation type="list" allowBlank="1" showInputMessage="1" showErrorMessage="1" sqref="C4170">
      <formula1>UnidadesList</formula1>
    </dataValidation>
    <dataValidation type="decimal" operator="greaterThan" allowBlank="1" showInputMessage="1" showErrorMessage="1" sqref="D4170">
      <formula1>0</formula1>
    </dataValidation>
    <dataValidation type="decimal" operator="greaterThan" allowBlank="1" showInputMessage="1" showErrorMessage="1" sqref="E4170">
      <formula1>0</formula1>
    </dataValidation>
    <dataValidation type="whole" operator="greaterThan" allowBlank="1" showInputMessage="1" showErrorMessage="1" sqref="A4171">
      <formula1>0</formula1>
    </dataValidation>
    <dataValidation type="list" allowBlank="1" showInputMessage="1" showErrorMessage="1" sqref="C4171">
      <formula1>UnidadesList</formula1>
    </dataValidation>
    <dataValidation type="decimal" operator="greaterThan" allowBlank="1" showInputMessage="1" showErrorMessage="1" sqref="D4171">
      <formula1>0</formula1>
    </dataValidation>
    <dataValidation type="decimal" operator="greaterThan" allowBlank="1" showInputMessage="1" showErrorMessage="1" sqref="E4171">
      <formula1>0</formula1>
    </dataValidation>
    <dataValidation type="whole" operator="greaterThan" allowBlank="1" showInputMessage="1" showErrorMessage="1" sqref="A4172">
      <formula1>0</formula1>
    </dataValidation>
    <dataValidation type="list" allowBlank="1" showInputMessage="1" showErrorMessage="1" sqref="C4172">
      <formula1>UnidadesList</formula1>
    </dataValidation>
    <dataValidation type="decimal" operator="greaterThan" allowBlank="1" showInputMessage="1" showErrorMessage="1" sqref="D4172">
      <formula1>0</formula1>
    </dataValidation>
    <dataValidation type="decimal" operator="greaterThan" allowBlank="1" showInputMessage="1" showErrorMessage="1" sqref="E4172">
      <formula1>0</formula1>
    </dataValidation>
    <dataValidation type="whole" operator="greaterThan" allowBlank="1" showInputMessage="1" showErrorMessage="1" sqref="A4173">
      <formula1>0</formula1>
    </dataValidation>
    <dataValidation type="list" allowBlank="1" showInputMessage="1" showErrorMessage="1" sqref="C4173">
      <formula1>UnidadesList</formula1>
    </dataValidation>
    <dataValidation type="decimal" operator="greaterThan" allowBlank="1" showInputMessage="1" showErrorMessage="1" sqref="D4173">
      <formula1>0</formula1>
    </dataValidation>
    <dataValidation type="decimal" operator="greaterThan" allowBlank="1" showInputMessage="1" showErrorMessage="1" sqref="E4173">
      <formula1>0</formula1>
    </dataValidation>
    <dataValidation type="whole" operator="greaterThan" allowBlank="1" showInputMessage="1" showErrorMessage="1" sqref="A4174">
      <formula1>0</formula1>
    </dataValidation>
    <dataValidation type="list" allowBlank="1" showInputMessage="1" showErrorMessage="1" sqref="C4174">
      <formula1>UnidadesList</formula1>
    </dataValidation>
    <dataValidation type="decimal" operator="greaterThan" allowBlank="1" showInputMessage="1" showErrorMessage="1" sqref="D4174">
      <formula1>0</formula1>
    </dataValidation>
    <dataValidation type="decimal" operator="greaterThan" allowBlank="1" showInputMessage="1" showErrorMessage="1" sqref="E4174">
      <formula1>0</formula1>
    </dataValidation>
    <dataValidation type="whole" operator="greaterThan" allowBlank="1" showInputMessage="1" showErrorMessage="1" sqref="A4175">
      <formula1>0</formula1>
    </dataValidation>
    <dataValidation type="list" allowBlank="1" showInputMessage="1" showErrorMessage="1" sqref="C4175">
      <formula1>UnidadesList</formula1>
    </dataValidation>
    <dataValidation type="decimal" operator="greaterThan" allowBlank="1" showInputMessage="1" showErrorMessage="1" sqref="D4175">
      <formula1>0</formula1>
    </dataValidation>
    <dataValidation type="decimal" operator="greaterThan" allowBlank="1" showInputMessage="1" showErrorMessage="1" sqref="E4175">
      <formula1>0</formula1>
    </dataValidation>
    <dataValidation type="whole" operator="greaterThan" allowBlank="1" showInputMessage="1" showErrorMessage="1" sqref="A4176">
      <formula1>0</formula1>
    </dataValidation>
    <dataValidation type="list" allowBlank="1" showInputMessage="1" showErrorMessage="1" sqref="C4176">
      <formula1>UnidadesList</formula1>
    </dataValidation>
    <dataValidation type="decimal" operator="greaterThan" allowBlank="1" showInputMessage="1" showErrorMessage="1" sqref="D4176">
      <formula1>0</formula1>
    </dataValidation>
    <dataValidation type="decimal" operator="greaterThan" allowBlank="1" showInputMessage="1" showErrorMessage="1" sqref="E4176">
      <formula1>0</formula1>
    </dataValidation>
    <dataValidation type="whole" operator="greaterThan" allowBlank="1" showInputMessage="1" showErrorMessage="1" sqref="A4177">
      <formula1>0</formula1>
    </dataValidation>
    <dataValidation type="list" allowBlank="1" showInputMessage="1" showErrorMessage="1" sqref="C4177">
      <formula1>UnidadesList</formula1>
    </dataValidation>
    <dataValidation type="decimal" operator="greaterThan" allowBlank="1" showInputMessage="1" showErrorMessage="1" sqref="D4177">
      <formula1>0</formula1>
    </dataValidation>
    <dataValidation type="decimal" operator="greaterThan" allowBlank="1" showInputMessage="1" showErrorMessage="1" sqref="E4177">
      <formula1>0</formula1>
    </dataValidation>
    <dataValidation type="whole" operator="greaterThan" allowBlank="1" showInputMessage="1" showErrorMessage="1" sqref="A4178">
      <formula1>0</formula1>
    </dataValidation>
    <dataValidation type="list" allowBlank="1" showInputMessage="1" showErrorMessage="1" sqref="C4178">
      <formula1>UnidadesList</formula1>
    </dataValidation>
    <dataValidation type="decimal" operator="greaterThan" allowBlank="1" showInputMessage="1" showErrorMessage="1" sqref="D4178">
      <formula1>0</formula1>
    </dataValidation>
    <dataValidation type="decimal" operator="greaterThan" allowBlank="1" showInputMessage="1" showErrorMessage="1" sqref="E4178">
      <formula1>0</formula1>
    </dataValidation>
    <dataValidation type="whole" operator="greaterThan" allowBlank="1" showInputMessage="1" showErrorMessage="1" sqref="A4179">
      <formula1>0</formula1>
    </dataValidation>
    <dataValidation type="list" allowBlank="1" showInputMessage="1" showErrorMessage="1" sqref="C4179">
      <formula1>UnidadesList</formula1>
    </dataValidation>
    <dataValidation type="decimal" operator="greaterThan" allowBlank="1" showInputMessage="1" showErrorMessage="1" sqref="D4179">
      <formula1>0</formula1>
    </dataValidation>
    <dataValidation type="decimal" operator="greaterThan" allowBlank="1" showInputMessage="1" showErrorMessage="1" sqref="E4179">
      <formula1>0</formula1>
    </dataValidation>
    <dataValidation type="whole" operator="greaterThan" allowBlank="1" showInputMessage="1" showErrorMessage="1" sqref="A4180">
      <formula1>0</formula1>
    </dataValidation>
    <dataValidation type="list" allowBlank="1" showInputMessage="1" showErrorMessage="1" sqref="C4180">
      <formula1>UnidadesList</formula1>
    </dataValidation>
    <dataValidation type="decimal" operator="greaterThan" allowBlank="1" showInputMessage="1" showErrorMessage="1" sqref="D4180">
      <formula1>0</formula1>
    </dataValidation>
    <dataValidation type="decimal" operator="greaterThan" allowBlank="1" showInputMessage="1" showErrorMessage="1" sqref="E4180">
      <formula1>0</formula1>
    </dataValidation>
    <dataValidation type="whole" operator="greaterThan" allowBlank="1" showInputMessage="1" showErrorMessage="1" sqref="A4181">
      <formula1>0</formula1>
    </dataValidation>
    <dataValidation type="list" allowBlank="1" showInputMessage="1" showErrorMessage="1" sqref="C4181">
      <formula1>UnidadesList</formula1>
    </dataValidation>
    <dataValidation type="decimal" operator="greaterThan" allowBlank="1" showInputMessage="1" showErrorMessage="1" sqref="D4181">
      <formula1>0</formula1>
    </dataValidation>
    <dataValidation type="decimal" operator="greaterThan" allowBlank="1" showInputMessage="1" showErrorMessage="1" sqref="E4181">
      <formula1>0</formula1>
    </dataValidation>
    <dataValidation type="whole" operator="greaterThan" allowBlank="1" showInputMessage="1" showErrorMessage="1" sqref="A4182">
      <formula1>0</formula1>
    </dataValidation>
    <dataValidation type="list" allowBlank="1" showInputMessage="1" showErrorMessage="1" sqref="C4182">
      <formula1>UnidadesList</formula1>
    </dataValidation>
    <dataValidation type="decimal" operator="greaterThan" allowBlank="1" showInputMessage="1" showErrorMessage="1" sqref="D4182">
      <formula1>0</formula1>
    </dataValidation>
    <dataValidation type="decimal" operator="greaterThan" allowBlank="1" showInputMessage="1" showErrorMessage="1" sqref="E4182">
      <formula1>0</formula1>
    </dataValidation>
    <dataValidation type="whole" operator="greaterThan" allowBlank="1" showInputMessage="1" showErrorMessage="1" sqref="A4183">
      <formula1>0</formula1>
    </dataValidation>
    <dataValidation type="list" allowBlank="1" showInputMessage="1" showErrorMessage="1" sqref="C4183">
      <formula1>UnidadesList</formula1>
    </dataValidation>
    <dataValidation type="decimal" operator="greaterThan" allowBlank="1" showInputMessage="1" showErrorMessage="1" sqref="D4183">
      <formula1>0</formula1>
    </dataValidation>
    <dataValidation type="decimal" operator="greaterThan" allowBlank="1" showInputMessage="1" showErrorMessage="1" sqref="E4183">
      <formula1>0</formula1>
    </dataValidation>
    <dataValidation type="whole" operator="greaterThan" allowBlank="1" showInputMessage="1" showErrorMessage="1" sqref="A4184">
      <formula1>0</formula1>
    </dataValidation>
    <dataValidation type="list" allowBlank="1" showInputMessage="1" showErrorMessage="1" sqref="C4184">
      <formula1>UnidadesList</formula1>
    </dataValidation>
    <dataValidation type="decimal" operator="greaterThan" allowBlank="1" showInputMessage="1" showErrorMessage="1" sqref="D4184">
      <formula1>0</formula1>
    </dataValidation>
    <dataValidation type="decimal" operator="greaterThan" allowBlank="1" showInputMessage="1" showErrorMessage="1" sqref="E4184">
      <formula1>0</formula1>
    </dataValidation>
    <dataValidation type="whole" operator="greaterThan" allowBlank="1" showInputMessage="1" showErrorMessage="1" sqref="A4185">
      <formula1>0</formula1>
    </dataValidation>
    <dataValidation type="list" allowBlank="1" showInputMessage="1" showErrorMessage="1" sqref="C4185">
      <formula1>UnidadesList</formula1>
    </dataValidation>
    <dataValidation type="decimal" operator="greaterThan" allowBlank="1" showInputMessage="1" showErrorMessage="1" sqref="D4185">
      <formula1>0</formula1>
    </dataValidation>
    <dataValidation type="decimal" operator="greaterThan" allowBlank="1" showInputMessage="1" showErrorMessage="1" sqref="E4185">
      <formula1>0</formula1>
    </dataValidation>
    <dataValidation type="whole" operator="greaterThan" allowBlank="1" showInputMessage="1" showErrorMessage="1" sqref="A4186">
      <formula1>0</formula1>
    </dataValidation>
    <dataValidation type="list" allowBlank="1" showInputMessage="1" showErrorMessage="1" sqref="C4186">
      <formula1>UnidadesList</formula1>
    </dataValidation>
    <dataValidation type="decimal" operator="greaterThan" allowBlank="1" showInputMessage="1" showErrorMessage="1" sqref="D4186">
      <formula1>0</formula1>
    </dataValidation>
    <dataValidation type="decimal" operator="greaterThan" allowBlank="1" showInputMessage="1" showErrorMessage="1" sqref="E4186">
      <formula1>0</formula1>
    </dataValidation>
    <dataValidation type="whole" operator="greaterThan" allowBlank="1" showInputMessage="1" showErrorMessage="1" sqref="A4187">
      <formula1>0</formula1>
    </dataValidation>
    <dataValidation type="list" allowBlank="1" showInputMessage="1" showErrorMessage="1" sqref="C4187">
      <formula1>UnidadesList</formula1>
    </dataValidation>
    <dataValidation type="decimal" operator="greaterThan" allowBlank="1" showInputMessage="1" showErrorMessage="1" sqref="D4187">
      <formula1>0</formula1>
    </dataValidation>
    <dataValidation type="decimal" operator="greaterThan" allowBlank="1" showInputMessage="1" showErrorMessage="1" sqref="E4187">
      <formula1>0</formula1>
    </dataValidation>
    <dataValidation type="whole" operator="greaterThan" allowBlank="1" showInputMessage="1" showErrorMessage="1" sqref="A4188">
      <formula1>0</formula1>
    </dataValidation>
    <dataValidation type="list" allowBlank="1" showInputMessage="1" showErrorMessage="1" sqref="C4188">
      <formula1>UnidadesList</formula1>
    </dataValidation>
    <dataValidation type="decimal" operator="greaterThan" allowBlank="1" showInputMessage="1" showErrorMessage="1" sqref="D4188">
      <formula1>0</formula1>
    </dataValidation>
    <dataValidation type="decimal" operator="greaterThan" allowBlank="1" showInputMessage="1" showErrorMessage="1" sqref="E4188">
      <formula1>0</formula1>
    </dataValidation>
    <dataValidation type="whole" operator="greaterThan" allowBlank="1" showInputMessage="1" showErrorMessage="1" sqref="A4189">
      <formula1>0</formula1>
    </dataValidation>
    <dataValidation type="list" allowBlank="1" showInputMessage="1" showErrorMessage="1" sqref="C4189">
      <formula1>UnidadesList</formula1>
    </dataValidation>
    <dataValidation type="decimal" operator="greaterThan" allowBlank="1" showInputMessage="1" showErrorMessage="1" sqref="D4189">
      <formula1>0</formula1>
    </dataValidation>
    <dataValidation type="decimal" operator="greaterThan" allowBlank="1" showInputMessage="1" showErrorMessage="1" sqref="E4189">
      <formula1>0</formula1>
    </dataValidation>
    <dataValidation type="whole" operator="greaterThan" allowBlank="1" showInputMessage="1" showErrorMessage="1" sqref="A4190">
      <formula1>0</formula1>
    </dataValidation>
    <dataValidation type="list" allowBlank="1" showInputMessage="1" showErrorMessage="1" sqref="C4190">
      <formula1>UnidadesList</formula1>
    </dataValidation>
    <dataValidation type="decimal" operator="greaterThan" allowBlank="1" showInputMessage="1" showErrorMessage="1" sqref="D4190">
      <formula1>0</formula1>
    </dataValidation>
    <dataValidation type="decimal" operator="greaterThan" allowBlank="1" showInputMessage="1" showErrorMessage="1" sqref="E4190">
      <formula1>0</formula1>
    </dataValidation>
    <dataValidation type="date" operator="lessThanOrEqual" allowBlank="1" showInputMessage="1" showErrorMessage="1" sqref="C4195">
      <formula1>C4197</formula1>
    </dataValidation>
    <dataValidation type="date" operator="greaterThanOrEqual" allowBlank="1" showInputMessage="1" showErrorMessage="1" sqref="C4197">
      <formula1>C4195</formula1>
    </dataValidation>
    <dataValidation type="list" allowBlank="1" showInputMessage="1" showErrorMessage="1" sqref="F419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9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9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9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201">
      <formula1>0</formula1>
    </dataValidation>
    <dataValidation type="list" allowBlank="1" showInputMessage="1" showErrorMessage="1" sqref="C4201">
      <formula1>UnidadesList</formula1>
    </dataValidation>
    <dataValidation type="decimal" operator="greaterThan" allowBlank="1" showInputMessage="1" showErrorMessage="1" sqref="D4201">
      <formula1>0</formula1>
    </dataValidation>
    <dataValidation type="decimal" operator="greaterThan" allowBlank="1" showInputMessage="1" showErrorMessage="1" sqref="E4201">
      <formula1>0</formula1>
    </dataValidation>
    <dataValidation type="whole" operator="greaterThan" allowBlank="1" showInputMessage="1" showErrorMessage="1" sqref="A4202">
      <formula1>0</formula1>
    </dataValidation>
    <dataValidation type="list" allowBlank="1" showInputMessage="1" showErrorMessage="1" sqref="C4202">
      <formula1>UnidadesList</formula1>
    </dataValidation>
    <dataValidation type="decimal" operator="greaterThan" allowBlank="1" showInputMessage="1" showErrorMessage="1" sqref="D4202">
      <formula1>0</formula1>
    </dataValidation>
    <dataValidation type="decimal" operator="greaterThan" allowBlank="1" showInputMessage="1" showErrorMessage="1" sqref="E4202">
      <formula1>0</formula1>
    </dataValidation>
    <dataValidation type="whole" operator="greaterThan" allowBlank="1" showInputMessage="1" showErrorMessage="1" sqref="A4203">
      <formula1>0</formula1>
    </dataValidation>
    <dataValidation type="list" allowBlank="1" showInputMessage="1" showErrorMessage="1" sqref="C4203">
      <formula1>UnidadesList</formula1>
    </dataValidation>
    <dataValidation type="decimal" operator="greaterThan" allowBlank="1" showInputMessage="1" showErrorMessage="1" sqref="D4203">
      <formula1>0</formula1>
    </dataValidation>
    <dataValidation type="decimal" operator="greaterThan" allowBlank="1" showInputMessage="1" showErrorMessage="1" sqref="E4203">
      <formula1>0</formula1>
    </dataValidation>
    <dataValidation type="whole" operator="greaterThan" allowBlank="1" showInputMessage="1" showErrorMessage="1" sqref="A4204">
      <formula1>0</formula1>
    </dataValidation>
    <dataValidation type="list" allowBlank="1" showInputMessage="1" showErrorMessage="1" sqref="C4204">
      <formula1>UnidadesList</formula1>
    </dataValidation>
    <dataValidation type="decimal" operator="greaterThan" allowBlank="1" showInputMessage="1" showErrorMessage="1" sqref="D4204">
      <formula1>0</formula1>
    </dataValidation>
    <dataValidation type="decimal" operator="greaterThan" allowBlank="1" showInputMessage="1" showErrorMessage="1" sqref="E4204">
      <formula1>0</formula1>
    </dataValidation>
    <dataValidation type="whole" operator="greaterThan" allowBlank="1" showInputMessage="1" showErrorMessage="1" sqref="A4205">
      <formula1>0</formula1>
    </dataValidation>
    <dataValidation type="list" allowBlank="1" showInputMessage="1" showErrorMessage="1" sqref="C4205">
      <formula1>UnidadesList</formula1>
    </dataValidation>
    <dataValidation type="decimal" operator="greaterThan" allowBlank="1" showInputMessage="1" showErrorMessage="1" sqref="D4205">
      <formula1>0</formula1>
    </dataValidation>
    <dataValidation type="decimal" operator="greaterThan" allowBlank="1" showInputMessage="1" showErrorMessage="1" sqref="E4205">
      <formula1>0</formula1>
    </dataValidation>
    <dataValidation type="whole" operator="greaterThan" allowBlank="1" showInputMessage="1" showErrorMessage="1" sqref="A4206">
      <formula1>0</formula1>
    </dataValidation>
    <dataValidation type="list" allowBlank="1" showInputMessage="1" showErrorMessage="1" sqref="C4206">
      <formula1>UnidadesList</formula1>
    </dataValidation>
    <dataValidation type="decimal" operator="greaterThan" allowBlank="1" showInputMessage="1" showErrorMessage="1" sqref="D4206">
      <formula1>0</formula1>
    </dataValidation>
    <dataValidation type="decimal" operator="greaterThan" allowBlank="1" showInputMessage="1" showErrorMessage="1" sqref="E4206">
      <formula1>0</formula1>
    </dataValidation>
    <dataValidation type="whole" operator="greaterThan" allowBlank="1" showInputMessage="1" showErrorMessage="1" sqref="A4207">
      <formula1>0</formula1>
    </dataValidation>
    <dataValidation type="list" allowBlank="1" showInputMessage="1" showErrorMessage="1" sqref="C4207">
      <formula1>UnidadesList</formula1>
    </dataValidation>
    <dataValidation type="decimal" operator="greaterThan" allowBlank="1" showInputMessage="1" showErrorMessage="1" sqref="D4207">
      <formula1>0</formula1>
    </dataValidation>
    <dataValidation type="decimal" operator="greaterThan" allowBlank="1" showInputMessage="1" showErrorMessage="1" sqref="E4207">
      <formula1>0</formula1>
    </dataValidation>
    <dataValidation type="whole" operator="greaterThan" allowBlank="1" showInputMessage="1" showErrorMessage="1" sqref="A4208">
      <formula1>0</formula1>
    </dataValidation>
    <dataValidation type="list" allowBlank="1" showInputMessage="1" showErrorMessage="1" sqref="C4208">
      <formula1>UnidadesList</formula1>
    </dataValidation>
    <dataValidation type="decimal" operator="greaterThan" allowBlank="1" showInputMessage="1" showErrorMessage="1" sqref="D4208">
      <formula1>0</formula1>
    </dataValidation>
    <dataValidation type="decimal" operator="greaterThan" allowBlank="1" showInputMessage="1" showErrorMessage="1" sqref="E4208">
      <formula1>0</formula1>
    </dataValidation>
    <dataValidation type="whole" operator="greaterThan" allowBlank="1" showInputMessage="1" showErrorMessage="1" sqref="A4209">
      <formula1>0</formula1>
    </dataValidation>
    <dataValidation type="list" allowBlank="1" showInputMessage="1" showErrorMessage="1" sqref="C4209">
      <formula1>UnidadesList</formula1>
    </dataValidation>
    <dataValidation type="decimal" operator="greaterThan" allowBlank="1" showInputMessage="1" showErrorMessage="1" sqref="D4209">
      <formula1>0</formula1>
    </dataValidation>
    <dataValidation type="decimal" operator="greaterThan" allowBlank="1" showInputMessage="1" showErrorMessage="1" sqref="E4209">
      <formula1>0</formula1>
    </dataValidation>
    <dataValidation type="whole" operator="greaterThan" allowBlank="1" showInputMessage="1" showErrorMessage="1" sqref="A4210">
      <formula1>0</formula1>
    </dataValidation>
    <dataValidation type="list" allowBlank="1" showInputMessage="1" showErrorMessage="1" sqref="C4210">
      <formula1>UnidadesList</formula1>
    </dataValidation>
    <dataValidation type="decimal" operator="greaterThan" allowBlank="1" showInputMessage="1" showErrorMessage="1" sqref="D4210">
      <formula1>0</formula1>
    </dataValidation>
    <dataValidation type="decimal" operator="greaterThan" allowBlank="1" showInputMessage="1" showErrorMessage="1" sqref="E4210">
      <formula1>0</formula1>
    </dataValidation>
    <dataValidation type="whole" operator="greaterThan" allowBlank="1" showInputMessage="1" showErrorMessage="1" sqref="A4211">
      <formula1>0</formula1>
    </dataValidation>
    <dataValidation type="list" allowBlank="1" showInputMessage="1" showErrorMessage="1" sqref="C4211">
      <formula1>UnidadesList</formula1>
    </dataValidation>
    <dataValidation type="decimal" operator="greaterThan" allowBlank="1" showInputMessage="1" showErrorMessage="1" sqref="D4211">
      <formula1>0</formula1>
    </dataValidation>
    <dataValidation type="decimal" operator="greaterThan" allowBlank="1" showInputMessage="1" showErrorMessage="1" sqref="E4211">
      <formula1>0</formula1>
    </dataValidation>
    <dataValidation type="whole" operator="greaterThan" allowBlank="1" showInputMessage="1" showErrorMessage="1" sqref="A4212">
      <formula1>0</formula1>
    </dataValidation>
    <dataValidation type="list" allowBlank="1" showInputMessage="1" showErrorMessage="1" sqref="C4212">
      <formula1>UnidadesList</formula1>
    </dataValidation>
    <dataValidation type="decimal" operator="greaterThan" allowBlank="1" showInputMessage="1" showErrorMessage="1" sqref="D4212">
      <formula1>0</formula1>
    </dataValidation>
    <dataValidation type="decimal" operator="greaterThan" allowBlank="1" showInputMessage="1" showErrorMessage="1" sqref="E4212">
      <formula1>0</formula1>
    </dataValidation>
    <dataValidation type="whole" operator="greaterThan" allowBlank="1" showInputMessage="1" showErrorMessage="1" sqref="A4213">
      <formula1>0</formula1>
    </dataValidation>
    <dataValidation type="list" allowBlank="1" showInputMessage="1" showErrorMessage="1" sqref="C4213">
      <formula1>UnidadesList</formula1>
    </dataValidation>
    <dataValidation type="decimal" operator="greaterThan" allowBlank="1" showInputMessage="1" showErrorMessage="1" sqref="D4213">
      <formula1>0</formula1>
    </dataValidation>
    <dataValidation type="decimal" operator="greaterThan" allowBlank="1" showInputMessage="1" showErrorMessage="1" sqref="E4213">
      <formula1>0</formula1>
    </dataValidation>
    <dataValidation type="whole" operator="greaterThan" allowBlank="1" showInputMessage="1" showErrorMessage="1" sqref="A4214">
      <formula1>0</formula1>
    </dataValidation>
    <dataValidation type="list" allowBlank="1" showInputMessage="1" showErrorMessage="1" sqref="C4214">
      <formula1>UnidadesList</formula1>
    </dataValidation>
    <dataValidation type="decimal" operator="greaterThan" allowBlank="1" showInputMessage="1" showErrorMessage="1" sqref="D4214">
      <formula1>0</formula1>
    </dataValidation>
    <dataValidation type="decimal" operator="greaterThan" allowBlank="1" showInputMessage="1" showErrorMessage="1" sqref="E4214">
      <formula1>0</formula1>
    </dataValidation>
    <dataValidation type="whole" operator="greaterThan" allowBlank="1" showInputMessage="1" showErrorMessage="1" sqref="A4215">
      <formula1>0</formula1>
    </dataValidation>
    <dataValidation type="list" allowBlank="1" showInputMessage="1" showErrorMessage="1" sqref="C4215">
      <formula1>UnidadesList</formula1>
    </dataValidation>
    <dataValidation type="decimal" operator="greaterThan" allowBlank="1" showInputMessage="1" showErrorMessage="1" sqref="D4215">
      <formula1>0</formula1>
    </dataValidation>
    <dataValidation type="decimal" operator="greaterThan" allowBlank="1" showInputMessage="1" showErrorMessage="1" sqref="E4215">
      <formula1>0</formula1>
    </dataValidation>
    <dataValidation type="whole" operator="greaterThan" allowBlank="1" showInputMessage="1" showErrorMessage="1" sqref="A4216">
      <formula1>0</formula1>
    </dataValidation>
    <dataValidation type="list" allowBlank="1" showInputMessage="1" showErrorMessage="1" sqref="C4216">
      <formula1>UnidadesList</formula1>
    </dataValidation>
    <dataValidation type="decimal" operator="greaterThan" allowBlank="1" showInputMessage="1" showErrorMessage="1" sqref="D4216">
      <formula1>0</formula1>
    </dataValidation>
    <dataValidation type="decimal" operator="greaterThan" allowBlank="1" showInputMessage="1" showErrorMessage="1" sqref="E4216">
      <formula1>0</formula1>
    </dataValidation>
    <dataValidation type="whole" operator="greaterThan" allowBlank="1" showInputMessage="1" showErrorMessage="1" sqref="A4217">
      <formula1>0</formula1>
    </dataValidation>
    <dataValidation type="list" allowBlank="1" showInputMessage="1" showErrorMessage="1" sqref="C4217">
      <formula1>UnidadesList</formula1>
    </dataValidation>
    <dataValidation type="decimal" operator="greaterThan" allowBlank="1" showInputMessage="1" showErrorMessage="1" sqref="D4217">
      <formula1>0</formula1>
    </dataValidation>
    <dataValidation type="decimal" operator="greaterThan" allowBlank="1" showInputMessage="1" showErrorMessage="1" sqref="E4217">
      <formula1>0</formula1>
    </dataValidation>
    <dataValidation type="whole" operator="greaterThan" allowBlank="1" showInputMessage="1" showErrorMessage="1" sqref="A4218">
      <formula1>0</formula1>
    </dataValidation>
    <dataValidation type="list" allowBlank="1" showInputMessage="1" showErrorMessage="1" sqref="C4218">
      <formula1>UnidadesList</formula1>
    </dataValidation>
    <dataValidation type="decimal" operator="greaterThan" allowBlank="1" showInputMessage="1" showErrorMessage="1" sqref="D4218">
      <formula1>0</formula1>
    </dataValidation>
    <dataValidation type="decimal" operator="greaterThan" allowBlank="1" showInputMessage="1" showErrorMessage="1" sqref="E4218">
      <formula1>0</formula1>
    </dataValidation>
    <dataValidation type="whole" operator="greaterThan" allowBlank="1" showInputMessage="1" showErrorMessage="1" sqref="A4219">
      <formula1>0</formula1>
    </dataValidation>
    <dataValidation type="list" allowBlank="1" showInputMessage="1" showErrorMessage="1" sqref="C4219">
      <formula1>UnidadesList</formula1>
    </dataValidation>
    <dataValidation type="decimal" operator="greaterThan" allowBlank="1" showInputMessage="1" showErrorMessage="1" sqref="D4219">
      <formula1>0</formula1>
    </dataValidation>
    <dataValidation type="decimal" operator="greaterThan" allowBlank="1" showInputMessage="1" showErrorMessage="1" sqref="E4219">
      <formula1>0</formula1>
    </dataValidation>
    <dataValidation type="whole" operator="greaterThan" allowBlank="1" showInputMessage="1" showErrorMessage="1" sqref="A4220">
      <formula1>0</formula1>
    </dataValidation>
    <dataValidation type="list" allowBlank="1" showInputMessage="1" showErrorMessage="1" sqref="C4220">
      <formula1>UnidadesList</formula1>
    </dataValidation>
    <dataValidation type="decimal" operator="greaterThan" allowBlank="1" showInputMessage="1" showErrorMessage="1" sqref="D4220">
      <formula1>0</formula1>
    </dataValidation>
    <dataValidation type="decimal" operator="greaterThan" allowBlank="1" showInputMessage="1" showErrorMessage="1" sqref="E4220">
      <formula1>0</formula1>
    </dataValidation>
    <dataValidation type="whole" operator="greaterThan" allowBlank="1" showInputMessage="1" showErrorMessage="1" sqref="A4221">
      <formula1>0</formula1>
    </dataValidation>
    <dataValidation type="list" allowBlank="1" showInputMessage="1" showErrorMessage="1" sqref="C4221">
      <formula1>UnidadesList</formula1>
    </dataValidation>
    <dataValidation type="decimal" operator="greaterThan" allowBlank="1" showInputMessage="1" showErrorMessage="1" sqref="D4221">
      <formula1>0</formula1>
    </dataValidation>
    <dataValidation type="decimal" operator="greaterThan" allowBlank="1" showInputMessage="1" showErrorMessage="1" sqref="E4221">
      <formula1>0</formula1>
    </dataValidation>
    <dataValidation type="whole" operator="greaterThan" allowBlank="1" showInputMessage="1" showErrorMessage="1" sqref="A4222">
      <formula1>0</formula1>
    </dataValidation>
    <dataValidation type="list" allowBlank="1" showInputMessage="1" showErrorMessage="1" sqref="C4222">
      <formula1>UnidadesList</formula1>
    </dataValidation>
    <dataValidation type="decimal" operator="greaterThan" allowBlank="1" showInputMessage="1" showErrorMessage="1" sqref="D4222">
      <formula1>0</formula1>
    </dataValidation>
    <dataValidation type="decimal" operator="greaterThan" allowBlank="1" showInputMessage="1" showErrorMessage="1" sqref="E4222">
      <formula1>0</formula1>
    </dataValidation>
    <dataValidation type="whole" operator="greaterThan" allowBlank="1" showInputMessage="1" showErrorMessage="1" sqref="A4223">
      <formula1>0</formula1>
    </dataValidation>
    <dataValidation type="list" allowBlank="1" showInputMessage="1" showErrorMessage="1" sqref="C4223">
      <formula1>UnidadesList</formula1>
    </dataValidation>
    <dataValidation type="decimal" operator="greaterThan" allowBlank="1" showInputMessage="1" showErrorMessage="1" sqref="D4223">
      <formula1>0</formula1>
    </dataValidation>
    <dataValidation type="decimal" operator="greaterThan" allowBlank="1" showInputMessage="1" showErrorMessage="1" sqref="E4223">
      <formula1>0</formula1>
    </dataValidation>
    <dataValidation type="whole" operator="greaterThan" allowBlank="1" showInputMessage="1" showErrorMessage="1" sqref="A4224">
      <formula1>0</formula1>
    </dataValidation>
    <dataValidation type="list" allowBlank="1" showInputMessage="1" showErrorMessage="1" sqref="C4224">
      <formula1>UnidadesList</formula1>
    </dataValidation>
    <dataValidation type="decimal" operator="greaterThan" allowBlank="1" showInputMessage="1" showErrorMessage="1" sqref="D4224">
      <formula1>0</formula1>
    </dataValidation>
    <dataValidation type="decimal" operator="greaterThan" allowBlank="1" showInputMessage="1" showErrorMessage="1" sqref="E4224">
      <formula1>0</formula1>
    </dataValidation>
    <dataValidation type="whole" operator="greaterThan" allowBlank="1" showInputMessage="1" showErrorMessage="1" sqref="A4225">
      <formula1>0</formula1>
    </dataValidation>
    <dataValidation type="list" allowBlank="1" showInputMessage="1" showErrorMessage="1" sqref="C4225">
      <formula1>UnidadesList</formula1>
    </dataValidation>
    <dataValidation type="decimal" operator="greaterThan" allowBlank="1" showInputMessage="1" showErrorMessage="1" sqref="D4225">
      <formula1>0</formula1>
    </dataValidation>
    <dataValidation type="decimal" operator="greaterThan" allowBlank="1" showInputMessage="1" showErrorMessage="1" sqref="E4225">
      <formula1>0</formula1>
    </dataValidation>
    <dataValidation type="whole" operator="greaterThan" allowBlank="1" showInputMessage="1" showErrorMessage="1" sqref="A4226">
      <formula1>0</formula1>
    </dataValidation>
    <dataValidation type="list" allowBlank="1" showInputMessage="1" showErrorMessage="1" sqref="C4226">
      <formula1>UnidadesList</formula1>
    </dataValidation>
    <dataValidation type="decimal" operator="greaterThan" allowBlank="1" showInputMessage="1" showErrorMessage="1" sqref="D4226">
      <formula1>0</formula1>
    </dataValidation>
    <dataValidation type="decimal" operator="greaterThan" allowBlank="1" showInputMessage="1" showErrorMessage="1" sqref="E4226">
      <formula1>0</formula1>
    </dataValidation>
    <dataValidation type="date" operator="lessThanOrEqual" allowBlank="1" showInputMessage="1" showErrorMessage="1" sqref="C4231">
      <formula1>C4233</formula1>
    </dataValidation>
    <dataValidation type="date" operator="greaterThanOrEqual" allowBlank="1" showInputMessage="1" showErrorMessage="1" sqref="C4233">
      <formula1>C4231</formula1>
    </dataValidation>
    <dataValidation type="list" allowBlank="1" showInputMessage="1" showErrorMessage="1" sqref="F423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23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23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23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237">
      <formula1>0</formula1>
    </dataValidation>
    <dataValidation type="list" allowBlank="1" showInputMessage="1" showErrorMessage="1" sqref="C4237">
      <formula1>UnidadesList</formula1>
    </dataValidation>
    <dataValidation type="decimal" operator="greaterThan" allowBlank="1" showInputMessage="1" showErrorMessage="1" sqref="D4237">
      <formula1>0</formula1>
    </dataValidation>
    <dataValidation type="decimal" operator="greaterThan" allowBlank="1" showInputMessage="1" showErrorMessage="1" sqref="E4237">
      <formula1>0</formula1>
    </dataValidation>
    <dataValidation type="whole" operator="greaterThan" allowBlank="1" showInputMessage="1" showErrorMessage="1" sqref="A4238">
      <formula1>0</formula1>
    </dataValidation>
    <dataValidation type="list" allowBlank="1" showInputMessage="1" showErrorMessage="1" sqref="C4238">
      <formula1>UnidadesList</formula1>
    </dataValidation>
    <dataValidation type="decimal" operator="greaterThan" allowBlank="1" showInputMessage="1" showErrorMessage="1" sqref="D4238">
      <formula1>0</formula1>
    </dataValidation>
    <dataValidation type="decimal" operator="greaterThan" allowBlank="1" showInputMessage="1" showErrorMessage="1" sqref="E4238">
      <formula1>0</formula1>
    </dataValidation>
    <dataValidation type="whole" operator="greaterThan" allowBlank="1" showInputMessage="1" showErrorMessage="1" sqref="A4239">
      <formula1>0</formula1>
    </dataValidation>
    <dataValidation type="list" allowBlank="1" showInputMessage="1" showErrorMessage="1" sqref="C4239">
      <formula1>UnidadesList</formula1>
    </dataValidation>
    <dataValidation type="decimal" operator="greaterThan" allowBlank="1" showInputMessage="1" showErrorMessage="1" sqref="D4239">
      <formula1>0</formula1>
    </dataValidation>
    <dataValidation type="decimal" operator="greaterThan" allowBlank="1" showInputMessage="1" showErrorMessage="1" sqref="E4239">
      <formula1>0</formula1>
    </dataValidation>
    <dataValidation type="whole" operator="greaterThan" allowBlank="1" showInputMessage="1" showErrorMessage="1" sqref="A4240">
      <formula1>0</formula1>
    </dataValidation>
    <dataValidation type="list" allowBlank="1" showInputMessage="1" showErrorMessage="1" sqref="C4240">
      <formula1>UnidadesList</formula1>
    </dataValidation>
    <dataValidation type="decimal" operator="greaterThan" allowBlank="1" showInputMessage="1" showErrorMessage="1" sqref="D4240">
      <formula1>0</formula1>
    </dataValidation>
    <dataValidation type="decimal" operator="greaterThan" allowBlank="1" showInputMessage="1" showErrorMessage="1" sqref="E4240">
      <formula1>0</formula1>
    </dataValidation>
    <dataValidation type="whole" operator="greaterThan" allowBlank="1" showInputMessage="1" showErrorMessage="1" sqref="A4241">
      <formula1>0</formula1>
    </dataValidation>
    <dataValidation type="list" allowBlank="1" showInputMessage="1" showErrorMessage="1" sqref="C4241">
      <formula1>UnidadesList</formula1>
    </dataValidation>
    <dataValidation type="decimal" operator="greaterThan" allowBlank="1" showInputMessage="1" showErrorMessage="1" sqref="D4241">
      <formula1>0</formula1>
    </dataValidation>
    <dataValidation type="decimal" operator="greaterThan" allowBlank="1" showInputMessage="1" showErrorMessage="1" sqref="E4241">
      <formula1>0</formula1>
    </dataValidation>
    <dataValidation type="whole" operator="greaterThan" allowBlank="1" showInputMessage="1" showErrorMessage="1" sqref="A4242">
      <formula1>0</formula1>
    </dataValidation>
    <dataValidation type="list" allowBlank="1" showInputMessage="1" showErrorMessage="1" sqref="C4242">
      <formula1>UnidadesList</formula1>
    </dataValidation>
    <dataValidation type="decimal" operator="greaterThan" allowBlank="1" showInputMessage="1" showErrorMessage="1" sqref="D4242">
      <formula1>0</formula1>
    </dataValidation>
    <dataValidation type="decimal" operator="greaterThan" allowBlank="1" showInputMessage="1" showErrorMessage="1" sqref="E4242">
      <formula1>0</formula1>
    </dataValidation>
    <dataValidation type="whole" operator="greaterThan" allowBlank="1" showInputMessage="1" showErrorMessage="1" sqref="A4243">
      <formula1>0</formula1>
    </dataValidation>
    <dataValidation type="list" allowBlank="1" showInputMessage="1" showErrorMessage="1" sqref="C4243">
      <formula1>UnidadesList</formula1>
    </dataValidation>
    <dataValidation type="decimal" operator="greaterThan" allowBlank="1" showInputMessage="1" showErrorMessage="1" sqref="D4243">
      <formula1>0</formula1>
    </dataValidation>
    <dataValidation type="decimal" operator="greaterThan" allowBlank="1" showInputMessage="1" showErrorMessage="1" sqref="E4243">
      <formula1>0</formula1>
    </dataValidation>
    <dataValidation type="whole" operator="greaterThan" allowBlank="1" showInputMessage="1" showErrorMessage="1" sqref="A4244">
      <formula1>0</formula1>
    </dataValidation>
    <dataValidation type="list" allowBlank="1" showInputMessage="1" showErrorMessage="1" sqref="C4244">
      <formula1>UnidadesList</formula1>
    </dataValidation>
    <dataValidation type="decimal" operator="greaterThan" allowBlank="1" showInputMessage="1" showErrorMessage="1" sqref="D4244">
      <formula1>0</formula1>
    </dataValidation>
    <dataValidation type="decimal" operator="greaterThan" allowBlank="1" showInputMessage="1" showErrorMessage="1" sqref="E4244">
      <formula1>0</formula1>
    </dataValidation>
    <dataValidation type="whole" operator="greaterThan" allowBlank="1" showInputMessage="1" showErrorMessage="1" sqref="A4245">
      <formula1>0</formula1>
    </dataValidation>
    <dataValidation type="list" allowBlank="1" showInputMessage="1" showErrorMessage="1" sqref="C4245">
      <formula1>UnidadesList</formula1>
    </dataValidation>
    <dataValidation type="decimal" operator="greaterThan" allowBlank="1" showInputMessage="1" showErrorMessage="1" sqref="D4245">
      <formula1>0</formula1>
    </dataValidation>
    <dataValidation type="decimal" operator="greaterThan" allowBlank="1" showInputMessage="1" showErrorMessage="1" sqref="E4245">
      <formula1>0</formula1>
    </dataValidation>
    <dataValidation type="whole" operator="greaterThan" allowBlank="1" showInputMessage="1" showErrorMessage="1" sqref="A4246">
      <formula1>0</formula1>
    </dataValidation>
    <dataValidation type="list" allowBlank="1" showInputMessage="1" showErrorMessage="1" sqref="C4246">
      <formula1>UnidadesList</formula1>
    </dataValidation>
    <dataValidation type="decimal" operator="greaterThan" allowBlank="1" showInputMessage="1" showErrorMessage="1" sqref="D4246">
      <formula1>0</formula1>
    </dataValidation>
    <dataValidation type="decimal" operator="greaterThan" allowBlank="1" showInputMessage="1" showErrorMessage="1" sqref="E4246">
      <formula1>0</formula1>
    </dataValidation>
    <dataValidation type="whole" operator="greaterThan" allowBlank="1" showInputMessage="1" showErrorMessage="1" sqref="A4247">
      <formula1>0</formula1>
    </dataValidation>
    <dataValidation type="list" allowBlank="1" showInputMessage="1" showErrorMessage="1" sqref="C4247">
      <formula1>UnidadesList</formula1>
    </dataValidation>
    <dataValidation type="decimal" operator="greaterThan" allowBlank="1" showInputMessage="1" showErrorMessage="1" sqref="D4247">
      <formula1>0</formula1>
    </dataValidation>
    <dataValidation type="decimal" operator="greaterThan" allowBlank="1" showInputMessage="1" showErrorMessage="1" sqref="E4247">
      <formula1>0</formula1>
    </dataValidation>
    <dataValidation type="whole" operator="greaterThan" allowBlank="1" showInputMessage="1" showErrorMessage="1" sqref="A4248">
      <formula1>0</formula1>
    </dataValidation>
    <dataValidation type="list" allowBlank="1" showInputMessage="1" showErrorMessage="1" sqref="C4248">
      <formula1>UnidadesList</formula1>
    </dataValidation>
    <dataValidation type="decimal" operator="greaterThan" allowBlank="1" showInputMessage="1" showErrorMessage="1" sqref="D4248">
      <formula1>0</formula1>
    </dataValidation>
    <dataValidation type="decimal" operator="greaterThan" allowBlank="1" showInputMessage="1" showErrorMessage="1" sqref="E4248">
      <formula1>0</formula1>
    </dataValidation>
    <dataValidation type="whole" operator="greaterThan" allowBlank="1" showInputMessage="1" showErrorMessage="1" sqref="A4249">
      <formula1>0</formula1>
    </dataValidation>
    <dataValidation type="list" allowBlank="1" showInputMessage="1" showErrorMessage="1" sqref="C4249">
      <formula1>UnidadesList</formula1>
    </dataValidation>
    <dataValidation type="decimal" operator="greaterThan" allowBlank="1" showInputMessage="1" showErrorMessage="1" sqref="D4249">
      <formula1>0</formula1>
    </dataValidation>
    <dataValidation type="decimal" operator="greaterThan" allowBlank="1" showInputMessage="1" showErrorMessage="1" sqref="E4249">
      <formula1>0</formula1>
    </dataValidation>
    <dataValidation type="whole" operator="greaterThan" allowBlank="1" showInputMessage="1" showErrorMessage="1" sqref="A4250">
      <formula1>0</formula1>
    </dataValidation>
    <dataValidation type="list" allowBlank="1" showInputMessage="1" showErrorMessage="1" sqref="C4250">
      <formula1>UnidadesList</formula1>
    </dataValidation>
    <dataValidation type="decimal" operator="greaterThan" allowBlank="1" showInputMessage="1" showErrorMessage="1" sqref="D4250">
      <formula1>0</formula1>
    </dataValidation>
    <dataValidation type="decimal" operator="greaterThan" allowBlank="1" showInputMessage="1" showErrorMessage="1" sqref="E4250">
      <formula1>0</formula1>
    </dataValidation>
    <dataValidation type="whole" operator="greaterThan" allowBlank="1" showInputMessage="1" showErrorMessage="1" sqref="A4251">
      <formula1>0</formula1>
    </dataValidation>
    <dataValidation type="list" allowBlank="1" showInputMessage="1" showErrorMessage="1" sqref="C4251">
      <formula1>UnidadesList</formula1>
    </dataValidation>
    <dataValidation type="decimal" operator="greaterThan" allowBlank="1" showInputMessage="1" showErrorMessage="1" sqref="D4251">
      <formula1>0</formula1>
    </dataValidation>
    <dataValidation type="decimal" operator="greaterThan" allowBlank="1" showInputMessage="1" showErrorMessage="1" sqref="E4251">
      <formula1>0</formula1>
    </dataValidation>
    <dataValidation type="whole" operator="greaterThan" allowBlank="1" showInputMessage="1" showErrorMessage="1" sqref="A4252">
      <formula1>0</formula1>
    </dataValidation>
    <dataValidation type="list" allowBlank="1" showInputMessage="1" showErrorMessage="1" sqref="C4252">
      <formula1>UnidadesList</formula1>
    </dataValidation>
    <dataValidation type="decimal" operator="greaterThan" allowBlank="1" showInputMessage="1" showErrorMessage="1" sqref="D4252">
      <formula1>0</formula1>
    </dataValidation>
    <dataValidation type="decimal" operator="greaterThan" allowBlank="1" showInputMessage="1" showErrorMessage="1" sqref="E4252">
      <formula1>0</formula1>
    </dataValidation>
    <dataValidation type="whole" operator="greaterThan" allowBlank="1" showInputMessage="1" showErrorMessage="1" sqref="A4253">
      <formula1>0</formula1>
    </dataValidation>
    <dataValidation type="list" allowBlank="1" showInputMessage="1" showErrorMessage="1" sqref="C4253">
      <formula1>UnidadesList</formula1>
    </dataValidation>
    <dataValidation type="decimal" operator="greaterThan" allowBlank="1" showInputMessage="1" showErrorMessage="1" sqref="D4253">
      <formula1>0</formula1>
    </dataValidation>
    <dataValidation type="decimal" operator="greaterThan" allowBlank="1" showInputMessage="1" showErrorMessage="1" sqref="E4253">
      <formula1>0</formula1>
    </dataValidation>
    <dataValidation type="whole" operator="greaterThan" allowBlank="1" showInputMessage="1" showErrorMessage="1" sqref="A4254">
      <formula1>0</formula1>
    </dataValidation>
    <dataValidation type="list" allowBlank="1" showInputMessage="1" showErrorMessage="1" sqref="C4254">
      <formula1>UnidadesList</formula1>
    </dataValidation>
    <dataValidation type="decimal" operator="greaterThan" allowBlank="1" showInputMessage="1" showErrorMessage="1" sqref="D4254">
      <formula1>0</formula1>
    </dataValidation>
    <dataValidation type="decimal" operator="greaterThan" allowBlank="1" showInputMessage="1" showErrorMessage="1" sqref="E4254">
      <formula1>0</formula1>
    </dataValidation>
    <dataValidation type="whole" operator="greaterThan" allowBlank="1" showInputMessage="1" showErrorMessage="1" sqref="A4255">
      <formula1>0</formula1>
    </dataValidation>
    <dataValidation type="list" allowBlank="1" showInputMessage="1" showErrorMessage="1" sqref="C4255">
      <formula1>UnidadesList</formula1>
    </dataValidation>
    <dataValidation type="decimal" operator="greaterThan" allowBlank="1" showInputMessage="1" showErrorMessage="1" sqref="D4255">
      <formula1>0</formula1>
    </dataValidation>
    <dataValidation type="decimal" operator="greaterThan" allowBlank="1" showInputMessage="1" showErrorMessage="1" sqref="E4255">
      <formula1>0</formula1>
    </dataValidation>
    <dataValidation type="whole" operator="greaterThan" allowBlank="1" showInputMessage="1" showErrorMessage="1" sqref="A4256">
      <formula1>0</formula1>
    </dataValidation>
    <dataValidation type="list" allowBlank="1" showInputMessage="1" showErrorMessage="1" sqref="C4256">
      <formula1>UnidadesList</formula1>
    </dataValidation>
    <dataValidation type="decimal" operator="greaterThan" allowBlank="1" showInputMessage="1" showErrorMessage="1" sqref="D4256">
      <formula1>0</formula1>
    </dataValidation>
    <dataValidation type="decimal" operator="greaterThan" allowBlank="1" showInputMessage="1" showErrorMessage="1" sqref="E4256">
      <formula1>0</formula1>
    </dataValidation>
    <dataValidation type="whole" operator="greaterThan" allowBlank="1" showInputMessage="1" showErrorMessage="1" sqref="A4257">
      <formula1>0</formula1>
    </dataValidation>
    <dataValidation type="list" allowBlank="1" showInputMessage="1" showErrorMessage="1" sqref="C4257">
      <formula1>UnidadesList</formula1>
    </dataValidation>
    <dataValidation type="decimal" operator="greaterThan" allowBlank="1" showInputMessage="1" showErrorMessage="1" sqref="D4257">
      <formula1>0</formula1>
    </dataValidation>
    <dataValidation type="decimal" operator="greaterThan" allowBlank="1" showInputMessage="1" showErrorMessage="1" sqref="E4257">
      <formula1>0</formula1>
    </dataValidation>
    <dataValidation type="whole" operator="greaterThan" allowBlank="1" showInputMessage="1" showErrorMessage="1" sqref="A4258">
      <formula1>0</formula1>
    </dataValidation>
    <dataValidation type="list" allowBlank="1" showInputMessage="1" showErrorMessage="1" sqref="C4258">
      <formula1>UnidadesList</formula1>
    </dataValidation>
    <dataValidation type="decimal" operator="greaterThan" allowBlank="1" showInputMessage="1" showErrorMessage="1" sqref="D4258">
      <formula1>0</formula1>
    </dataValidation>
    <dataValidation type="decimal" operator="greaterThan" allowBlank="1" showInputMessage="1" showErrorMessage="1" sqref="E4258">
      <formula1>0</formula1>
    </dataValidation>
    <dataValidation type="whole" operator="greaterThan" allowBlank="1" showInputMessage="1" showErrorMessage="1" sqref="A4259">
      <formula1>0</formula1>
    </dataValidation>
    <dataValidation type="list" allowBlank="1" showInputMessage="1" showErrorMessage="1" sqref="C4259">
      <formula1>UnidadesList</formula1>
    </dataValidation>
    <dataValidation type="decimal" operator="greaterThan" allowBlank="1" showInputMessage="1" showErrorMessage="1" sqref="D4259">
      <formula1>0</formula1>
    </dataValidation>
    <dataValidation type="decimal" operator="greaterThan" allowBlank="1" showInputMessage="1" showErrorMessage="1" sqref="E4259">
      <formula1>0</formula1>
    </dataValidation>
    <dataValidation type="whole" operator="greaterThan" allowBlank="1" showInputMessage="1" showErrorMessage="1" sqref="A4260">
      <formula1>0</formula1>
    </dataValidation>
    <dataValidation type="list" allowBlank="1" showInputMessage="1" showErrorMessage="1" sqref="C4260">
      <formula1>UnidadesList</formula1>
    </dataValidation>
    <dataValidation type="decimal" operator="greaterThan" allowBlank="1" showInputMessage="1" showErrorMessage="1" sqref="D4260">
      <formula1>0</formula1>
    </dataValidation>
    <dataValidation type="decimal" operator="greaterThan" allowBlank="1" showInputMessage="1" showErrorMessage="1" sqref="E4260">
      <formula1>0</formula1>
    </dataValidation>
    <dataValidation type="whole" operator="greaterThan" allowBlank="1" showInputMessage="1" showErrorMessage="1" sqref="A4261">
      <formula1>0</formula1>
    </dataValidation>
    <dataValidation type="list" allowBlank="1" showInputMessage="1" showErrorMessage="1" sqref="C4261">
      <formula1>UnidadesList</formula1>
    </dataValidation>
    <dataValidation type="decimal" operator="greaterThan" allowBlank="1" showInputMessage="1" showErrorMessage="1" sqref="D4261">
      <formula1>0</formula1>
    </dataValidation>
    <dataValidation type="decimal" operator="greaterThan" allowBlank="1" showInputMessage="1" showErrorMessage="1" sqref="E4261">
      <formula1>0</formula1>
    </dataValidation>
    <dataValidation type="whole" operator="greaterThan" allowBlank="1" showInputMessage="1" showErrorMessage="1" sqref="A4262">
      <formula1>0</formula1>
    </dataValidation>
    <dataValidation type="list" allowBlank="1" showInputMessage="1" showErrorMessage="1" sqref="C4262">
      <formula1>UnidadesList</formula1>
    </dataValidation>
    <dataValidation type="decimal" operator="greaterThan" allowBlank="1" showInputMessage="1" showErrorMessage="1" sqref="D4262">
      <formula1>0</formula1>
    </dataValidation>
    <dataValidation type="decimal" operator="greaterThan" allowBlank="1" showInputMessage="1" showErrorMessage="1" sqref="E4262">
      <formula1>0</formula1>
    </dataValidation>
    <dataValidation type="whole" operator="greaterThan" allowBlank="1" showInputMessage="1" showErrorMessage="1" sqref="A4263">
      <formula1>0</formula1>
    </dataValidation>
    <dataValidation type="list" allowBlank="1" showInputMessage="1" showErrorMessage="1" sqref="C4263">
      <formula1>UnidadesList</formula1>
    </dataValidation>
    <dataValidation type="decimal" operator="greaterThan" allowBlank="1" showInputMessage="1" showErrorMessage="1" sqref="D4263">
      <formula1>0</formula1>
    </dataValidation>
    <dataValidation type="decimal" operator="greaterThan" allowBlank="1" showInputMessage="1" showErrorMessage="1" sqref="E4263">
      <formula1>0</formula1>
    </dataValidation>
    <dataValidation type="whole" operator="greaterThan" allowBlank="1" showInputMessage="1" showErrorMessage="1" sqref="A4264">
      <formula1>0</formula1>
    </dataValidation>
    <dataValidation type="list" allowBlank="1" showInputMessage="1" showErrorMessage="1" sqref="C4264">
      <formula1>UnidadesList</formula1>
    </dataValidation>
    <dataValidation type="decimal" operator="greaterThan" allowBlank="1" showInputMessage="1" showErrorMessage="1" sqref="D4264">
      <formula1>0</formula1>
    </dataValidation>
    <dataValidation type="decimal" operator="greaterThan" allowBlank="1" showInputMessage="1" showErrorMessage="1" sqref="E4264">
      <formula1>0</formula1>
    </dataValidation>
    <dataValidation type="whole" operator="greaterThan" allowBlank="1" showInputMessage="1" showErrorMessage="1" sqref="A4265">
      <formula1>0</formula1>
    </dataValidation>
    <dataValidation type="list" allowBlank="1" showInputMessage="1" showErrorMessage="1" sqref="C4265">
      <formula1>UnidadesList</formula1>
    </dataValidation>
    <dataValidation type="decimal" operator="greaterThan" allowBlank="1" showInputMessage="1" showErrorMessage="1" sqref="D4265">
      <formula1>0</formula1>
    </dataValidation>
    <dataValidation type="decimal" operator="greaterThan" allowBlank="1" showInputMessage="1" showErrorMessage="1" sqref="E4265">
      <formula1>0</formula1>
    </dataValidation>
    <dataValidation type="whole" operator="greaterThan" allowBlank="1" showInputMessage="1" showErrorMessage="1" sqref="A4266">
      <formula1>0</formula1>
    </dataValidation>
    <dataValidation type="list" allowBlank="1" showInputMessage="1" showErrorMessage="1" sqref="C4266">
      <formula1>UnidadesList</formula1>
    </dataValidation>
    <dataValidation type="decimal" operator="greaterThan" allowBlank="1" showInputMessage="1" showErrorMessage="1" sqref="D4266">
      <formula1>0</formula1>
    </dataValidation>
    <dataValidation type="decimal" operator="greaterThan" allowBlank="1" showInputMessage="1" showErrorMessage="1" sqref="E4266">
      <formula1>0</formula1>
    </dataValidation>
    <dataValidation type="whole" operator="greaterThan" allowBlank="1" showInputMessage="1" showErrorMessage="1" sqref="A4267">
      <formula1>0</formula1>
    </dataValidation>
    <dataValidation type="list" allowBlank="1" showInputMessage="1" showErrorMessage="1" sqref="C4267">
      <formula1>UnidadesList</formula1>
    </dataValidation>
    <dataValidation type="decimal" operator="greaterThan" allowBlank="1" showInputMessage="1" showErrorMessage="1" sqref="D4267">
      <formula1>0</formula1>
    </dataValidation>
    <dataValidation type="decimal" operator="greaterThan" allowBlank="1" showInputMessage="1" showErrorMessage="1" sqref="E4267">
      <formula1>0</formula1>
    </dataValidation>
    <dataValidation type="whole" operator="greaterThan" allowBlank="1" showInputMessage="1" showErrorMessage="1" sqref="A4268">
      <formula1>0</formula1>
    </dataValidation>
    <dataValidation type="list" allowBlank="1" showInputMessage="1" showErrorMessage="1" sqref="C4268">
      <formula1>UnidadesList</formula1>
    </dataValidation>
    <dataValidation type="decimal" operator="greaterThan" allowBlank="1" showInputMessage="1" showErrorMessage="1" sqref="D4268">
      <formula1>0</formula1>
    </dataValidation>
    <dataValidation type="decimal" operator="greaterThan" allowBlank="1" showInputMessage="1" showErrorMessage="1" sqref="E4268">
      <formula1>0</formula1>
    </dataValidation>
    <dataValidation type="whole" operator="greaterThan" allowBlank="1" showInputMessage="1" showErrorMessage="1" sqref="A4269">
      <formula1>0</formula1>
    </dataValidation>
    <dataValidation type="list" allowBlank="1" showInputMessage="1" showErrorMessage="1" sqref="C4269">
      <formula1>UnidadesList</formula1>
    </dataValidation>
    <dataValidation type="decimal" operator="greaterThan" allowBlank="1" showInputMessage="1" showErrorMessage="1" sqref="D4269">
      <formula1>0</formula1>
    </dataValidation>
    <dataValidation type="decimal" operator="greaterThan" allowBlank="1" showInputMessage="1" showErrorMessage="1" sqref="E4269">
      <formula1>0</formula1>
    </dataValidation>
    <dataValidation type="whole" operator="greaterThan" allowBlank="1" showInputMessage="1" showErrorMessage="1" sqref="A4270">
      <formula1>0</formula1>
    </dataValidation>
    <dataValidation type="list" allowBlank="1" showInputMessage="1" showErrorMessage="1" sqref="C4270">
      <formula1>UnidadesList</formula1>
    </dataValidation>
    <dataValidation type="decimal" operator="greaterThan" allowBlank="1" showInputMessage="1" showErrorMessage="1" sqref="D4270">
      <formula1>0</formula1>
    </dataValidation>
    <dataValidation type="decimal" operator="greaterThan" allowBlank="1" showInputMessage="1" showErrorMessage="1" sqref="E4270">
      <formula1>0</formula1>
    </dataValidation>
    <dataValidation type="whole" operator="greaterThan" allowBlank="1" showInputMessage="1" showErrorMessage="1" sqref="A4271">
      <formula1>0</formula1>
    </dataValidation>
    <dataValidation type="list" allowBlank="1" showInputMessage="1" showErrorMessage="1" sqref="C4271">
      <formula1>UnidadesList</formula1>
    </dataValidation>
    <dataValidation type="decimal" operator="greaterThan" allowBlank="1" showInputMessage="1" showErrorMessage="1" sqref="D4271">
      <formula1>0</formula1>
    </dataValidation>
    <dataValidation type="decimal" operator="greaterThan" allowBlank="1" showInputMessage="1" showErrorMessage="1" sqref="E4271">
      <formula1>0</formula1>
    </dataValidation>
    <dataValidation type="whole" operator="greaterThan" allowBlank="1" showInputMessage="1" showErrorMessage="1" sqref="A4272">
      <formula1>0</formula1>
    </dataValidation>
    <dataValidation type="list" allowBlank="1" showInputMessage="1" showErrorMessage="1" sqref="C4272">
      <formula1>UnidadesList</formula1>
    </dataValidation>
    <dataValidation type="decimal" operator="greaterThan" allowBlank="1" showInputMessage="1" showErrorMessage="1" sqref="D4272">
      <formula1>0</formula1>
    </dataValidation>
    <dataValidation type="decimal" operator="greaterThan" allowBlank="1" showInputMessage="1" showErrorMessage="1" sqref="E4272">
      <formula1>0</formula1>
    </dataValidation>
    <dataValidation type="whole" operator="greaterThan" allowBlank="1" showInputMessage="1" showErrorMessage="1" sqref="A4273">
      <formula1>0</formula1>
    </dataValidation>
    <dataValidation type="list" allowBlank="1" showInputMessage="1" showErrorMessage="1" sqref="C4273">
      <formula1>UnidadesList</formula1>
    </dataValidation>
    <dataValidation type="decimal" operator="greaterThan" allowBlank="1" showInputMessage="1" showErrorMessage="1" sqref="D4273">
      <formula1>0</formula1>
    </dataValidation>
    <dataValidation type="decimal" operator="greaterThan" allowBlank="1" showInputMessage="1" showErrorMessage="1" sqref="E4273">
      <formula1>0</formula1>
    </dataValidation>
    <dataValidation type="whole" operator="greaterThan" allowBlank="1" showInputMessage="1" showErrorMessage="1" sqref="A4274">
      <formula1>0</formula1>
    </dataValidation>
    <dataValidation type="list" allowBlank="1" showInputMessage="1" showErrorMessage="1" sqref="C4274">
      <formula1>UnidadesList</formula1>
    </dataValidation>
    <dataValidation type="decimal" operator="greaterThan" allowBlank="1" showInputMessage="1" showErrorMessage="1" sqref="D4274">
      <formula1>0</formula1>
    </dataValidation>
    <dataValidation type="decimal" operator="greaterThan" allowBlank="1" showInputMessage="1" showErrorMessage="1" sqref="E4274">
      <formula1>0</formula1>
    </dataValidation>
    <dataValidation type="whole" operator="greaterThan" allowBlank="1" showInputMessage="1" showErrorMessage="1" sqref="A4275">
      <formula1>0</formula1>
    </dataValidation>
    <dataValidation type="list" allowBlank="1" showInputMessage="1" showErrorMessage="1" sqref="C4275">
      <formula1>UnidadesList</formula1>
    </dataValidation>
    <dataValidation type="decimal" operator="greaterThan" allowBlank="1" showInputMessage="1" showErrorMessage="1" sqref="D4275">
      <formula1>0</formula1>
    </dataValidation>
    <dataValidation type="decimal" operator="greaterThan" allowBlank="1" showInputMessage="1" showErrorMessage="1" sqref="E4275">
      <formula1>0</formula1>
    </dataValidation>
    <dataValidation type="whole" operator="greaterThan" allowBlank="1" showInputMessage="1" showErrorMessage="1" sqref="A4276">
      <formula1>0</formula1>
    </dataValidation>
    <dataValidation type="list" allowBlank="1" showInputMessage="1" showErrorMessage="1" sqref="C4276">
      <formula1>UnidadesList</formula1>
    </dataValidation>
    <dataValidation type="decimal" operator="greaterThan" allowBlank="1" showInputMessage="1" showErrorMessage="1" sqref="D4276">
      <formula1>0</formula1>
    </dataValidation>
    <dataValidation type="decimal" operator="greaterThan" allowBlank="1" showInputMessage="1" showErrorMessage="1" sqref="E4276">
      <formula1>0</formula1>
    </dataValidation>
    <dataValidation type="whole" operator="greaterThan" allowBlank="1" showInputMessage="1" showErrorMessage="1" sqref="A4277">
      <formula1>0</formula1>
    </dataValidation>
    <dataValidation type="list" allowBlank="1" showInputMessage="1" showErrorMessage="1" sqref="C4277">
      <formula1>UnidadesList</formula1>
    </dataValidation>
    <dataValidation type="decimal" operator="greaterThan" allowBlank="1" showInputMessage="1" showErrorMessage="1" sqref="D4277">
      <formula1>0</formula1>
    </dataValidation>
    <dataValidation type="decimal" operator="greaterThan" allowBlank="1" showInputMessage="1" showErrorMessage="1" sqref="E4277">
      <formula1>0</formula1>
    </dataValidation>
    <dataValidation type="whole" operator="greaterThan" allowBlank="1" showInputMessage="1" showErrorMessage="1" sqref="A4278">
      <formula1>0</formula1>
    </dataValidation>
    <dataValidation type="list" allowBlank="1" showInputMessage="1" showErrorMessage="1" sqref="C4278">
      <formula1>UnidadesList</formula1>
    </dataValidation>
    <dataValidation type="decimal" operator="greaterThan" allowBlank="1" showInputMessage="1" showErrorMessage="1" sqref="D4278">
      <formula1>0</formula1>
    </dataValidation>
    <dataValidation type="decimal" operator="greaterThan" allowBlank="1" showInputMessage="1" showErrorMessage="1" sqref="E4278">
      <formula1>0</formula1>
    </dataValidation>
    <dataValidation type="whole" operator="greaterThan" allowBlank="1" showInputMessage="1" showErrorMessage="1" sqref="A4279">
      <formula1>0</formula1>
    </dataValidation>
    <dataValidation type="list" allowBlank="1" showInputMessage="1" showErrorMessage="1" sqref="C4279">
      <formula1>UnidadesList</formula1>
    </dataValidation>
    <dataValidation type="decimal" operator="greaterThan" allowBlank="1" showInputMessage="1" showErrorMessage="1" sqref="D4279">
      <formula1>0</formula1>
    </dataValidation>
    <dataValidation type="decimal" operator="greaterThan" allowBlank="1" showInputMessage="1" showErrorMessage="1" sqref="E4279">
      <formula1>0</formula1>
    </dataValidation>
    <dataValidation type="whole" operator="greaterThan" allowBlank="1" showInputMessage="1" showErrorMessage="1" sqref="A4280">
      <formula1>0</formula1>
    </dataValidation>
    <dataValidation type="list" allowBlank="1" showInputMessage="1" showErrorMessage="1" sqref="C4280">
      <formula1>UnidadesList</formula1>
    </dataValidation>
    <dataValidation type="decimal" operator="greaterThan" allowBlank="1" showInputMessage="1" showErrorMessage="1" sqref="D4280">
      <formula1>0</formula1>
    </dataValidation>
    <dataValidation type="decimal" operator="greaterThan" allowBlank="1" showInputMessage="1" showErrorMessage="1" sqref="E4280">
      <formula1>0</formula1>
    </dataValidation>
    <dataValidation type="whole" operator="greaterThan" allowBlank="1" showInputMessage="1" showErrorMessage="1" sqref="A4281">
      <formula1>0</formula1>
    </dataValidation>
    <dataValidation type="list" allowBlank="1" showInputMessage="1" showErrorMessage="1" sqref="C4281">
      <formula1>UnidadesList</formula1>
    </dataValidation>
    <dataValidation type="decimal" operator="greaterThan" allowBlank="1" showInputMessage="1" showErrorMessage="1" sqref="D4281">
      <formula1>0</formula1>
    </dataValidation>
    <dataValidation type="decimal" operator="greaterThan" allowBlank="1" showInputMessage="1" showErrorMessage="1" sqref="E4281">
      <formula1>0</formula1>
    </dataValidation>
    <dataValidation type="whole" operator="greaterThan" allowBlank="1" showInputMessage="1" showErrorMessage="1" sqref="A4282">
      <formula1>0</formula1>
    </dataValidation>
    <dataValidation type="list" allowBlank="1" showInputMessage="1" showErrorMessage="1" sqref="C4282">
      <formula1>UnidadesList</formula1>
    </dataValidation>
    <dataValidation type="decimal" operator="greaterThan" allowBlank="1" showInputMessage="1" showErrorMessage="1" sqref="D4282">
      <formula1>0</formula1>
    </dataValidation>
    <dataValidation type="decimal" operator="greaterThan" allowBlank="1" showInputMessage="1" showErrorMessage="1" sqref="E4282">
      <formula1>0</formula1>
    </dataValidation>
    <dataValidation type="whole" operator="greaterThan" allowBlank="1" showInputMessage="1" showErrorMessage="1" sqref="A4283">
      <formula1>0</formula1>
    </dataValidation>
    <dataValidation type="list" allowBlank="1" showInputMessage="1" showErrorMessage="1" sqref="C4283">
      <formula1>UnidadesList</formula1>
    </dataValidation>
    <dataValidation type="decimal" operator="greaterThan" allowBlank="1" showInputMessage="1" showErrorMessage="1" sqref="D4283">
      <formula1>0</formula1>
    </dataValidation>
    <dataValidation type="decimal" operator="greaterThan" allowBlank="1" showInputMessage="1" showErrorMessage="1" sqref="E4283">
      <formula1>0</formula1>
    </dataValidation>
    <dataValidation type="whole" operator="greaterThan" allowBlank="1" showInputMessage="1" showErrorMessage="1" sqref="A4284">
      <formula1>0</formula1>
    </dataValidation>
    <dataValidation type="list" allowBlank="1" showInputMessage="1" showErrorMessage="1" sqref="C4284">
      <formula1>UnidadesList</formula1>
    </dataValidation>
    <dataValidation type="decimal" operator="greaterThan" allowBlank="1" showInputMessage="1" showErrorMessage="1" sqref="D4284">
      <formula1>0</formula1>
    </dataValidation>
    <dataValidation type="decimal" operator="greaterThan" allowBlank="1" showInputMessage="1" showErrorMessage="1" sqref="E4284">
      <formula1>0</formula1>
    </dataValidation>
    <dataValidation type="whole" operator="greaterThan" allowBlank="1" showInputMessage="1" showErrorMessage="1" sqref="A4285">
      <formula1>0</formula1>
    </dataValidation>
    <dataValidation type="list" allowBlank="1" showInputMessage="1" showErrorMessage="1" sqref="C4285">
      <formula1>UnidadesList</formula1>
    </dataValidation>
    <dataValidation type="decimal" operator="greaterThan" allowBlank="1" showInputMessage="1" showErrorMessage="1" sqref="D4285">
      <formula1>0</formula1>
    </dataValidation>
    <dataValidation type="decimal" operator="greaterThan" allowBlank="1" showInputMessage="1" showErrorMessage="1" sqref="E4285">
      <formula1>0</formula1>
    </dataValidation>
    <dataValidation type="whole" operator="greaterThan" allowBlank="1" showInputMessage="1" showErrorMessage="1" sqref="A4286">
      <formula1>0</formula1>
    </dataValidation>
    <dataValidation type="list" allowBlank="1" showInputMessage="1" showErrorMessage="1" sqref="C4286">
      <formula1>UnidadesList</formula1>
    </dataValidation>
    <dataValidation type="decimal" operator="greaterThan" allowBlank="1" showInputMessage="1" showErrorMessage="1" sqref="D4286">
      <formula1>0</formula1>
    </dataValidation>
    <dataValidation type="decimal" operator="greaterThan" allowBlank="1" showInputMessage="1" showErrorMessage="1" sqref="E4286">
      <formula1>0</formula1>
    </dataValidation>
    <dataValidation type="whole" operator="greaterThan" allowBlank="1" showInputMessage="1" showErrorMessage="1" sqref="A4287">
      <formula1>0</formula1>
    </dataValidation>
    <dataValidation type="list" allowBlank="1" showInputMessage="1" showErrorMessage="1" sqref="C4287">
      <formula1>UnidadesList</formula1>
    </dataValidation>
    <dataValidation type="decimal" operator="greaterThan" allowBlank="1" showInputMessage="1" showErrorMessage="1" sqref="D4287">
      <formula1>0</formula1>
    </dataValidation>
    <dataValidation type="decimal" operator="greaterThan" allowBlank="1" showInputMessage="1" showErrorMessage="1" sqref="E4287">
      <formula1>0</formula1>
    </dataValidation>
    <dataValidation type="whole" operator="greaterThan" allowBlank="1" showInputMessage="1" showErrorMessage="1" sqref="A4288">
      <formula1>0</formula1>
    </dataValidation>
    <dataValidation type="list" allowBlank="1" showInputMessage="1" showErrorMessage="1" sqref="C4288">
      <formula1>UnidadesList</formula1>
    </dataValidation>
    <dataValidation type="decimal" operator="greaterThan" allowBlank="1" showInputMessage="1" showErrorMessage="1" sqref="D4288">
      <formula1>0</formula1>
    </dataValidation>
    <dataValidation type="decimal" operator="greaterThan" allowBlank="1" showInputMessage="1" showErrorMessage="1" sqref="E4288">
      <formula1>0</formula1>
    </dataValidation>
    <dataValidation type="whole" operator="greaterThan" allowBlank="1" showInputMessage="1" showErrorMessage="1" sqref="A4289">
      <formula1>0</formula1>
    </dataValidation>
    <dataValidation type="list" allowBlank="1" showInputMessage="1" showErrorMessage="1" sqref="C4289">
      <formula1>UnidadesList</formula1>
    </dataValidation>
    <dataValidation type="decimal" operator="greaterThan" allowBlank="1" showInputMessage="1" showErrorMessage="1" sqref="D4289">
      <formula1>0</formula1>
    </dataValidation>
    <dataValidation type="decimal" operator="greaterThan" allowBlank="1" showInputMessage="1" showErrorMessage="1" sqref="E4289">
      <formula1>0</formula1>
    </dataValidation>
    <dataValidation type="whole" operator="greaterThan" allowBlank="1" showInputMessage="1" showErrorMessage="1" sqref="A4290">
      <formula1>0</formula1>
    </dataValidation>
    <dataValidation type="list" allowBlank="1" showInputMessage="1" showErrorMessage="1" sqref="C4290">
      <formula1>UnidadesList</formula1>
    </dataValidation>
    <dataValidation type="decimal" operator="greaterThan" allowBlank="1" showInputMessage="1" showErrorMessage="1" sqref="D4290">
      <formula1>0</formula1>
    </dataValidation>
    <dataValidation type="decimal" operator="greaterThan" allowBlank="1" showInputMessage="1" showErrorMessage="1" sqref="E4290">
      <formula1>0</formula1>
    </dataValidation>
    <dataValidation type="whole" operator="greaterThan" allowBlank="1" showInputMessage="1" showErrorMessage="1" sqref="A4291">
      <formula1>0</formula1>
    </dataValidation>
    <dataValidation type="list" allowBlank="1" showInputMessage="1" showErrorMessage="1" sqref="C4291">
      <formula1>UnidadesList</formula1>
    </dataValidation>
    <dataValidation type="decimal" operator="greaterThan" allowBlank="1" showInputMessage="1" showErrorMessage="1" sqref="D4291">
      <formula1>0</formula1>
    </dataValidation>
    <dataValidation type="decimal" operator="greaterThan" allowBlank="1" showInputMessage="1" showErrorMessage="1" sqref="E4291">
      <formula1>0</formula1>
    </dataValidation>
    <dataValidation type="whole" operator="greaterThan" allowBlank="1" showInputMessage="1" showErrorMessage="1" sqref="A4292">
      <formula1>0</formula1>
    </dataValidation>
    <dataValidation type="list" allowBlank="1" showInputMessage="1" showErrorMessage="1" sqref="C4292">
      <formula1>UnidadesList</formula1>
    </dataValidation>
    <dataValidation type="decimal" operator="greaterThan" allowBlank="1" showInputMessage="1" showErrorMessage="1" sqref="D4292">
      <formula1>0</formula1>
    </dataValidation>
    <dataValidation type="decimal" operator="greaterThan" allowBlank="1" showInputMessage="1" showErrorMessage="1" sqref="E4292">
      <formula1>0</formula1>
    </dataValidation>
    <dataValidation type="whole" operator="greaterThan" allowBlank="1" showInputMessage="1" showErrorMessage="1" sqref="A4293">
      <formula1>0</formula1>
    </dataValidation>
    <dataValidation type="list" allowBlank="1" showInputMessage="1" showErrorMessage="1" sqref="C4293">
      <formula1>UnidadesList</formula1>
    </dataValidation>
    <dataValidation type="decimal" operator="greaterThan" allowBlank="1" showInputMessage="1" showErrorMessage="1" sqref="D4293">
      <formula1>0</formula1>
    </dataValidation>
    <dataValidation type="decimal" operator="greaterThan" allowBlank="1" showInputMessage="1" showErrorMessage="1" sqref="E4293">
      <formula1>0</formula1>
    </dataValidation>
    <dataValidation type="whole" operator="greaterThan" allowBlank="1" showInputMessage="1" showErrorMessage="1" sqref="A4294">
      <formula1>0</formula1>
    </dataValidation>
    <dataValidation type="list" allowBlank="1" showInputMessage="1" showErrorMessage="1" sqref="C4294">
      <formula1>UnidadesList</formula1>
    </dataValidation>
    <dataValidation type="decimal" operator="greaterThan" allowBlank="1" showInputMessage="1" showErrorMessage="1" sqref="D4294">
      <formula1>0</formula1>
    </dataValidation>
    <dataValidation type="decimal" operator="greaterThan" allowBlank="1" showInputMessage="1" showErrorMessage="1" sqref="E4294">
      <formula1>0</formula1>
    </dataValidation>
    <dataValidation type="whole" operator="greaterThan" allowBlank="1" showInputMessage="1" showErrorMessage="1" sqref="A4295">
      <formula1>0</formula1>
    </dataValidation>
    <dataValidation type="list" allowBlank="1" showInputMessage="1" showErrorMessage="1" sqref="C4295">
      <formula1>UnidadesList</formula1>
    </dataValidation>
    <dataValidation type="decimal" operator="greaterThan" allowBlank="1" showInputMessage="1" showErrorMessage="1" sqref="D4295">
      <formula1>0</formula1>
    </dataValidation>
    <dataValidation type="decimal" operator="greaterThan" allowBlank="1" showInputMessage="1" showErrorMessage="1" sqref="E4295">
      <formula1>0</formula1>
    </dataValidation>
    <dataValidation type="whole" operator="greaterThan" allowBlank="1" showInputMessage="1" showErrorMessage="1" sqref="A4296">
      <formula1>0</formula1>
    </dataValidation>
    <dataValidation type="list" allowBlank="1" showInputMessage="1" showErrorMessage="1" sqref="C4296">
      <formula1>UnidadesList</formula1>
    </dataValidation>
    <dataValidation type="decimal" operator="greaterThan" allowBlank="1" showInputMessage="1" showErrorMessage="1" sqref="D4296">
      <formula1>0</formula1>
    </dataValidation>
    <dataValidation type="decimal" operator="greaterThan" allowBlank="1" showInputMessage="1" showErrorMessage="1" sqref="E4296">
      <formula1>0</formula1>
    </dataValidation>
    <dataValidation type="whole" operator="greaterThan" allowBlank="1" showInputMessage="1" showErrorMessage="1" sqref="A4297">
      <formula1>0</formula1>
    </dataValidation>
    <dataValidation type="list" allowBlank="1" showInputMessage="1" showErrorMessage="1" sqref="C4297">
      <formula1>UnidadesList</formula1>
    </dataValidation>
    <dataValidation type="decimal" operator="greaterThan" allowBlank="1" showInputMessage="1" showErrorMessage="1" sqref="D4297">
      <formula1>0</formula1>
    </dataValidation>
    <dataValidation type="decimal" operator="greaterThan" allowBlank="1" showInputMessage="1" showErrorMessage="1" sqref="E4297">
      <formula1>0</formula1>
    </dataValidation>
    <dataValidation type="whole" operator="greaterThan" allowBlank="1" showInputMessage="1" showErrorMessage="1" sqref="A4298">
      <formula1>0</formula1>
    </dataValidation>
    <dataValidation type="list" allowBlank="1" showInputMessage="1" showErrorMessage="1" sqref="C4298">
      <formula1>UnidadesList</formula1>
    </dataValidation>
    <dataValidation type="decimal" operator="greaterThan" allowBlank="1" showInputMessage="1" showErrorMessage="1" sqref="D4298">
      <formula1>0</formula1>
    </dataValidation>
    <dataValidation type="decimal" operator="greaterThan" allowBlank="1" showInputMessage="1" showErrorMessage="1" sqref="E4298">
      <formula1>0</formula1>
    </dataValidation>
    <dataValidation type="whole" operator="greaterThan" allowBlank="1" showInputMessage="1" showErrorMessage="1" sqref="A4299">
      <formula1>0</formula1>
    </dataValidation>
    <dataValidation type="list" allowBlank="1" showInputMessage="1" showErrorMessage="1" sqref="C4299">
      <formula1>UnidadesList</formula1>
    </dataValidation>
    <dataValidation type="decimal" operator="greaterThan" allowBlank="1" showInputMessage="1" showErrorMessage="1" sqref="D4299">
      <formula1>0</formula1>
    </dataValidation>
    <dataValidation type="decimal" operator="greaterThan" allowBlank="1" showInputMessage="1" showErrorMessage="1" sqref="E4299">
      <formula1>0</formula1>
    </dataValidation>
    <dataValidation type="whole" operator="greaterThan" allowBlank="1" showInputMessage="1" showErrorMessage="1" sqref="A4300">
      <formula1>0</formula1>
    </dataValidation>
    <dataValidation type="list" allowBlank="1" showInputMessage="1" showErrorMessage="1" sqref="C4300">
      <formula1>UnidadesList</formula1>
    </dataValidation>
    <dataValidation type="decimal" operator="greaterThan" allowBlank="1" showInputMessage="1" showErrorMessage="1" sqref="D4300">
      <formula1>0</formula1>
    </dataValidation>
    <dataValidation type="decimal" operator="greaterThan" allowBlank="1" showInputMessage="1" showErrorMessage="1" sqref="E4300">
      <formula1>0</formula1>
    </dataValidation>
    <dataValidation type="whole" operator="greaterThan" allowBlank="1" showInputMessage="1" showErrorMessage="1" sqref="A4301">
      <formula1>0</formula1>
    </dataValidation>
    <dataValidation type="list" allowBlank="1" showInputMessage="1" showErrorMessage="1" sqref="C4301">
      <formula1>UnidadesList</formula1>
    </dataValidation>
    <dataValidation type="decimal" operator="greaterThan" allowBlank="1" showInputMessage="1" showErrorMessage="1" sqref="D4301">
      <formula1>0</formula1>
    </dataValidation>
    <dataValidation type="decimal" operator="greaterThan" allowBlank="1" showInputMessage="1" showErrorMessage="1" sqref="E4301">
      <formula1>0</formula1>
    </dataValidation>
    <dataValidation type="whole" operator="greaterThan" allowBlank="1" showInputMessage="1" showErrorMessage="1" sqref="A4302">
      <formula1>0</formula1>
    </dataValidation>
    <dataValidation type="list" allowBlank="1" showInputMessage="1" showErrorMessage="1" sqref="C4302">
      <formula1>UnidadesList</formula1>
    </dataValidation>
    <dataValidation type="decimal" operator="greaterThan" allowBlank="1" showInputMessage="1" showErrorMessage="1" sqref="D4302">
      <formula1>0</formula1>
    </dataValidation>
    <dataValidation type="decimal" operator="greaterThan" allowBlank="1" showInputMessage="1" showErrorMessage="1" sqref="E4302">
      <formula1>0</formula1>
    </dataValidation>
    <dataValidation type="whole" operator="greaterThan" allowBlank="1" showInputMessage="1" showErrorMessage="1" sqref="A4303">
      <formula1>0</formula1>
    </dataValidation>
    <dataValidation type="list" allowBlank="1" showInputMessage="1" showErrorMessage="1" sqref="C4303">
      <formula1>UnidadesList</formula1>
    </dataValidation>
    <dataValidation type="decimal" operator="greaterThan" allowBlank="1" showInputMessage="1" showErrorMessage="1" sqref="D4303">
      <formula1>0</formula1>
    </dataValidation>
    <dataValidation type="decimal" operator="greaterThan" allowBlank="1" showInputMessage="1" showErrorMessage="1" sqref="E4303">
      <formula1>0</formula1>
    </dataValidation>
    <dataValidation type="whole" operator="greaterThan" allowBlank="1" showInputMessage="1" showErrorMessage="1" sqref="A4304">
      <formula1>0</formula1>
    </dataValidation>
    <dataValidation type="list" allowBlank="1" showInputMessage="1" showErrorMessage="1" sqref="C4304">
      <formula1>UnidadesList</formula1>
    </dataValidation>
    <dataValidation type="decimal" operator="greaterThan" allowBlank="1" showInputMessage="1" showErrorMessage="1" sqref="D4304">
      <formula1>0</formula1>
    </dataValidation>
    <dataValidation type="decimal" operator="greaterThan" allowBlank="1" showInputMessage="1" showErrorMessage="1" sqref="E4304">
      <formula1>0</formula1>
    </dataValidation>
    <dataValidation type="whole" operator="greaterThan" allowBlank="1" showInputMessage="1" showErrorMessage="1" sqref="A4305">
      <formula1>0</formula1>
    </dataValidation>
    <dataValidation type="list" allowBlank="1" showInputMessage="1" showErrorMessage="1" sqref="C4305">
      <formula1>UnidadesList</formula1>
    </dataValidation>
    <dataValidation type="decimal" operator="greaterThan" allowBlank="1" showInputMessage="1" showErrorMessage="1" sqref="D4305">
      <formula1>0</formula1>
    </dataValidation>
    <dataValidation type="decimal" operator="greaterThan" allowBlank="1" showInputMessage="1" showErrorMessage="1" sqref="E4305">
      <formula1>0</formula1>
    </dataValidation>
    <dataValidation type="whole" operator="greaterThan" allowBlank="1" showInputMessage="1" showErrorMessage="1" sqref="A4306">
      <formula1>0</formula1>
    </dataValidation>
    <dataValidation type="list" allowBlank="1" showInputMessage="1" showErrorMessage="1" sqref="C4306">
      <formula1>UnidadesList</formula1>
    </dataValidation>
    <dataValidation type="decimal" operator="greaterThan" allowBlank="1" showInputMessage="1" showErrorMessage="1" sqref="D4306">
      <formula1>0</formula1>
    </dataValidation>
    <dataValidation type="decimal" operator="greaterThan" allowBlank="1" showInputMessage="1" showErrorMessage="1" sqref="E4306">
      <formula1>0</formula1>
    </dataValidation>
    <dataValidation type="whole" operator="greaterThan" allowBlank="1" showInputMessage="1" showErrorMessage="1" sqref="A4307">
      <formula1>0</formula1>
    </dataValidation>
    <dataValidation type="list" allowBlank="1" showInputMessage="1" showErrorMessage="1" sqref="C4307">
      <formula1>UnidadesList</formula1>
    </dataValidation>
    <dataValidation type="decimal" operator="greaterThan" allowBlank="1" showInputMessage="1" showErrorMessage="1" sqref="D4307">
      <formula1>0</formula1>
    </dataValidation>
    <dataValidation type="decimal" operator="greaterThan" allowBlank="1" showInputMessage="1" showErrorMessage="1" sqref="E4307">
      <formula1>0</formula1>
    </dataValidation>
    <dataValidation type="whole" operator="greaterThan" allowBlank="1" showInputMessage="1" showErrorMessage="1" sqref="A4308">
      <formula1>0</formula1>
    </dataValidation>
    <dataValidation type="list" allowBlank="1" showInputMessage="1" showErrorMessage="1" sqref="C4308">
      <formula1>UnidadesList</formula1>
    </dataValidation>
    <dataValidation type="decimal" operator="greaterThan" allowBlank="1" showInputMessage="1" showErrorMessage="1" sqref="D4308">
      <formula1>0</formula1>
    </dataValidation>
    <dataValidation type="decimal" operator="greaterThan" allowBlank="1" showInputMessage="1" showErrorMessage="1" sqref="E4308">
      <formula1>0</formula1>
    </dataValidation>
    <dataValidation type="whole" operator="greaterThan" allowBlank="1" showInputMessage="1" showErrorMessage="1" sqref="A4309">
      <formula1>0</formula1>
    </dataValidation>
    <dataValidation type="list" allowBlank="1" showInputMessage="1" showErrorMessage="1" sqref="C4309">
      <formula1>UnidadesList</formula1>
    </dataValidation>
    <dataValidation type="decimal" operator="greaterThan" allowBlank="1" showInputMessage="1" showErrorMessage="1" sqref="D4309">
      <formula1>0</formula1>
    </dataValidation>
    <dataValidation type="decimal" operator="greaterThan" allowBlank="1" showInputMessage="1" showErrorMessage="1" sqref="E4309">
      <formula1>0</formula1>
    </dataValidation>
    <dataValidation type="whole" operator="greaterThan" allowBlank="1" showInputMessage="1" showErrorMessage="1" sqref="A4310">
      <formula1>0</formula1>
    </dataValidation>
    <dataValidation type="list" allowBlank="1" showInputMessage="1" showErrorMessage="1" sqref="C4310">
      <formula1>UnidadesList</formula1>
    </dataValidation>
    <dataValidation type="decimal" operator="greaterThan" allowBlank="1" showInputMessage="1" showErrorMessage="1" sqref="D4310">
      <formula1>0</formula1>
    </dataValidation>
    <dataValidation type="decimal" operator="greaterThan" allowBlank="1" showInputMessage="1" showErrorMessage="1" sqref="E4310">
      <formula1>0</formula1>
    </dataValidation>
    <dataValidation type="whole" operator="greaterThan" allowBlank="1" showInputMessage="1" showErrorMessage="1" sqref="A4311">
      <formula1>0</formula1>
    </dataValidation>
    <dataValidation type="list" allowBlank="1" showInputMessage="1" showErrorMessage="1" sqref="C4311">
      <formula1>UnidadesList</formula1>
    </dataValidation>
    <dataValidation type="decimal" operator="greaterThan" allowBlank="1" showInputMessage="1" showErrorMessage="1" sqref="D4311">
      <formula1>0</formula1>
    </dataValidation>
    <dataValidation type="decimal" operator="greaterThan" allowBlank="1" showInputMessage="1" showErrorMessage="1" sqref="E4311">
      <formula1>0</formula1>
    </dataValidation>
    <dataValidation type="whole" operator="greaterThan" allowBlank="1" showInputMessage="1" showErrorMessage="1" sqref="A4312">
      <formula1>0</formula1>
    </dataValidation>
    <dataValidation type="list" allowBlank="1" showInputMessage="1" showErrorMessage="1" sqref="C4312">
      <formula1>UnidadesList</formula1>
    </dataValidation>
    <dataValidation type="decimal" operator="greaterThan" allowBlank="1" showInputMessage="1" showErrorMessage="1" sqref="D4312">
      <formula1>0</formula1>
    </dataValidation>
    <dataValidation type="decimal" operator="greaterThan" allowBlank="1" showInputMessage="1" showErrorMessage="1" sqref="E4312">
      <formula1>0</formula1>
    </dataValidation>
    <dataValidation type="whole" operator="greaterThan" allowBlank="1" showInputMessage="1" showErrorMessage="1" sqref="A4313">
      <formula1>0</formula1>
    </dataValidation>
    <dataValidation type="list" allowBlank="1" showInputMessage="1" showErrorMessage="1" sqref="C4313">
      <formula1>UnidadesList</formula1>
    </dataValidation>
    <dataValidation type="decimal" operator="greaterThan" allowBlank="1" showInputMessage="1" showErrorMessage="1" sqref="D4313">
      <formula1>0</formula1>
    </dataValidation>
    <dataValidation type="decimal" operator="greaterThan" allowBlank="1" showInputMessage="1" showErrorMessage="1" sqref="E4313">
      <formula1>0</formula1>
    </dataValidation>
    <dataValidation type="whole" operator="greaterThan" allowBlank="1" showInputMessage="1" showErrorMessage="1" sqref="A4314">
      <formula1>0</formula1>
    </dataValidation>
    <dataValidation type="list" allowBlank="1" showInputMessage="1" showErrorMessage="1" sqref="C4314">
      <formula1>UnidadesList</formula1>
    </dataValidation>
    <dataValidation type="decimal" operator="greaterThan" allowBlank="1" showInputMessage="1" showErrorMessage="1" sqref="D4314">
      <formula1>0</formula1>
    </dataValidation>
    <dataValidation type="decimal" operator="greaterThan" allowBlank="1" showInputMessage="1" showErrorMessage="1" sqref="E4314">
      <formula1>0</formula1>
    </dataValidation>
    <dataValidation type="whole" operator="greaterThan" allowBlank="1" showInputMessage="1" showErrorMessage="1" sqref="A4315">
      <formula1>0</formula1>
    </dataValidation>
    <dataValidation type="list" allowBlank="1" showInputMessage="1" showErrorMessage="1" sqref="C4315">
      <formula1>UnidadesList</formula1>
    </dataValidation>
    <dataValidation type="decimal" operator="greaterThan" allowBlank="1" showInputMessage="1" showErrorMessage="1" sqref="D4315">
      <formula1>0</formula1>
    </dataValidation>
    <dataValidation type="decimal" operator="greaterThan" allowBlank="1" showInputMessage="1" showErrorMessage="1" sqref="E4315">
      <formula1>0</formula1>
    </dataValidation>
    <dataValidation type="whole" operator="greaterThan" allowBlank="1" showInputMessage="1" showErrorMessage="1" sqref="A4316">
      <formula1>0</formula1>
    </dataValidation>
    <dataValidation type="list" allowBlank="1" showInputMessage="1" showErrorMessage="1" sqref="C4316">
      <formula1>UnidadesList</formula1>
    </dataValidation>
    <dataValidation type="decimal" operator="greaterThan" allowBlank="1" showInputMessage="1" showErrorMessage="1" sqref="D4316">
      <formula1>0</formula1>
    </dataValidation>
    <dataValidation type="decimal" operator="greaterThan" allowBlank="1" showInputMessage="1" showErrorMessage="1" sqref="E4316">
      <formula1>0</formula1>
    </dataValidation>
    <dataValidation type="whole" operator="greaterThan" allowBlank="1" showInputMessage="1" showErrorMessage="1" sqref="A4317">
      <formula1>0</formula1>
    </dataValidation>
    <dataValidation type="list" allowBlank="1" showInputMessage="1" showErrorMessage="1" sqref="C4317">
      <formula1>UnidadesList</formula1>
    </dataValidation>
    <dataValidation type="decimal" operator="greaterThan" allowBlank="1" showInputMessage="1" showErrorMessage="1" sqref="D4317">
      <formula1>0</formula1>
    </dataValidation>
    <dataValidation type="decimal" operator="greaterThan" allowBlank="1" showInputMessage="1" showErrorMessage="1" sqref="E4317">
      <formula1>0</formula1>
    </dataValidation>
    <dataValidation type="whole" operator="greaterThan" allowBlank="1" showInputMessage="1" showErrorMessage="1" sqref="A4318">
      <formula1>0</formula1>
    </dataValidation>
    <dataValidation type="list" allowBlank="1" showInputMessage="1" showErrorMessage="1" sqref="C4318">
      <formula1>UnidadesList</formula1>
    </dataValidation>
    <dataValidation type="decimal" operator="greaterThan" allowBlank="1" showInputMessage="1" showErrorMessage="1" sqref="D4318">
      <formula1>0</formula1>
    </dataValidation>
    <dataValidation type="decimal" operator="greaterThan" allowBlank="1" showInputMessage="1" showErrorMessage="1" sqref="E4318">
      <formula1>0</formula1>
    </dataValidation>
    <dataValidation type="whole" operator="greaterThan" allowBlank="1" showInputMessage="1" showErrorMessage="1" sqref="A4319">
      <formula1>0</formula1>
    </dataValidation>
    <dataValidation type="list" allowBlank="1" showInputMessage="1" showErrorMessage="1" sqref="C4319">
      <formula1>UnidadesList</formula1>
    </dataValidation>
    <dataValidation type="decimal" operator="greaterThan" allowBlank="1" showInputMessage="1" showErrorMessage="1" sqref="D4319">
      <formula1>0</formula1>
    </dataValidation>
    <dataValidation type="decimal" operator="greaterThan" allowBlank="1" showInputMessage="1" showErrorMessage="1" sqref="E4319">
      <formula1>0</formula1>
    </dataValidation>
    <dataValidation type="whole" operator="greaterThan" allowBlank="1" showInputMessage="1" showErrorMessage="1" sqref="A4320">
      <formula1>0</formula1>
    </dataValidation>
    <dataValidation type="list" allowBlank="1" showInputMessage="1" showErrorMessage="1" sqref="C4320">
      <formula1>UnidadesList</formula1>
    </dataValidation>
    <dataValidation type="decimal" operator="greaterThan" allowBlank="1" showInputMessage="1" showErrorMessage="1" sqref="D4320">
      <formula1>0</formula1>
    </dataValidation>
    <dataValidation type="decimal" operator="greaterThan" allowBlank="1" showInputMessage="1" showErrorMessage="1" sqref="E4320">
      <formula1>0</formula1>
    </dataValidation>
    <dataValidation type="whole" operator="greaterThan" allowBlank="1" showInputMessage="1" showErrorMessage="1" sqref="A4321">
      <formula1>0</formula1>
    </dataValidation>
    <dataValidation type="list" allowBlank="1" showInputMessage="1" showErrorMessage="1" sqref="C4321">
      <formula1>UnidadesList</formula1>
    </dataValidation>
    <dataValidation type="decimal" operator="greaterThan" allowBlank="1" showInputMessage="1" showErrorMessage="1" sqref="D4321">
      <formula1>0</formula1>
    </dataValidation>
    <dataValidation type="decimal" operator="greaterThan" allowBlank="1" showInputMessage="1" showErrorMessage="1" sqref="E4321">
      <formula1>0</formula1>
    </dataValidation>
    <dataValidation type="whole" operator="greaterThan" allowBlank="1" showInputMessage="1" showErrorMessage="1" sqref="A4322">
      <formula1>0</formula1>
    </dataValidation>
    <dataValidation type="list" allowBlank="1" showInputMessage="1" showErrorMessage="1" sqref="C4322">
      <formula1>UnidadesList</formula1>
    </dataValidation>
    <dataValidation type="decimal" operator="greaterThan" allowBlank="1" showInputMessage="1" showErrorMessage="1" sqref="D4322">
      <formula1>0</formula1>
    </dataValidation>
    <dataValidation type="decimal" operator="greaterThan" allowBlank="1" showInputMessage="1" showErrorMessage="1" sqref="E4322">
      <formula1>0</formula1>
    </dataValidation>
    <dataValidation type="whole" operator="greaterThan" allowBlank="1" showInputMessage="1" showErrorMessage="1" sqref="A4323">
      <formula1>0</formula1>
    </dataValidation>
    <dataValidation type="list" allowBlank="1" showInputMessage="1" showErrorMessage="1" sqref="C4323">
      <formula1>UnidadesList</formula1>
    </dataValidation>
    <dataValidation type="decimal" operator="greaterThan" allowBlank="1" showInputMessage="1" showErrorMessage="1" sqref="D4323">
      <formula1>0</formula1>
    </dataValidation>
    <dataValidation type="decimal" operator="greaterThan" allowBlank="1" showInputMessage="1" showErrorMessage="1" sqref="E4323">
      <formula1>0</formula1>
    </dataValidation>
    <dataValidation type="whole" operator="greaterThan" allowBlank="1" showInputMessage="1" showErrorMessage="1" sqref="A4324">
      <formula1>0</formula1>
    </dataValidation>
    <dataValidation type="list" allowBlank="1" showInputMessage="1" showErrorMessage="1" sqref="C4324">
      <formula1>UnidadesList</formula1>
    </dataValidation>
    <dataValidation type="decimal" operator="greaterThan" allowBlank="1" showInputMessage="1" showErrorMessage="1" sqref="D4324">
      <formula1>0</formula1>
    </dataValidation>
    <dataValidation type="decimal" operator="greaterThan" allowBlank="1" showInputMessage="1" showErrorMessage="1" sqref="E4324">
      <formula1>0</formula1>
    </dataValidation>
    <dataValidation type="whole" operator="greaterThan" allowBlank="1" showInputMessage="1" showErrorMessage="1" sqref="A4325">
      <formula1>0</formula1>
    </dataValidation>
    <dataValidation type="list" allowBlank="1" showInputMessage="1" showErrorMessage="1" sqref="C4325">
      <formula1>UnidadesList</formula1>
    </dataValidation>
    <dataValidation type="decimal" operator="greaterThan" allowBlank="1" showInputMessage="1" showErrorMessage="1" sqref="D4325">
      <formula1>0</formula1>
    </dataValidation>
    <dataValidation type="decimal" operator="greaterThan" allowBlank="1" showInputMessage="1" showErrorMessage="1" sqref="E4325">
      <formula1>0</formula1>
    </dataValidation>
    <dataValidation type="whole" operator="greaterThan" allowBlank="1" showInputMessage="1" showErrorMessage="1" sqref="A4326">
      <formula1>0</formula1>
    </dataValidation>
    <dataValidation type="list" allowBlank="1" showInputMessage="1" showErrorMessage="1" sqref="C4326">
      <formula1>UnidadesList</formula1>
    </dataValidation>
    <dataValidation type="decimal" operator="greaterThan" allowBlank="1" showInputMessage="1" showErrorMessage="1" sqref="D4326">
      <formula1>0</formula1>
    </dataValidation>
    <dataValidation type="decimal" operator="greaterThan" allowBlank="1" showInputMessage="1" showErrorMessage="1" sqref="E4326">
      <formula1>0</formula1>
    </dataValidation>
    <dataValidation type="whole" operator="greaterThan" allowBlank="1" showInputMessage="1" showErrorMessage="1" sqref="A4327">
      <formula1>0</formula1>
    </dataValidation>
    <dataValidation type="list" allowBlank="1" showInputMessage="1" showErrorMessage="1" sqref="C4327">
      <formula1>UnidadesList</formula1>
    </dataValidation>
    <dataValidation type="decimal" operator="greaterThan" allowBlank="1" showInputMessage="1" showErrorMessage="1" sqref="D4327">
      <formula1>0</formula1>
    </dataValidation>
    <dataValidation type="decimal" operator="greaterThan" allowBlank="1" showInputMessage="1" showErrorMessage="1" sqref="E4327">
      <formula1>0</formula1>
    </dataValidation>
    <dataValidation type="whole" operator="greaterThan" allowBlank="1" showInputMessage="1" showErrorMessage="1" sqref="A4328">
      <formula1>0</formula1>
    </dataValidation>
    <dataValidation type="list" allowBlank="1" showInputMessage="1" showErrorMessage="1" sqref="C4328">
      <formula1>UnidadesList</formula1>
    </dataValidation>
    <dataValidation type="decimal" operator="greaterThan" allowBlank="1" showInputMessage="1" showErrorMessage="1" sqref="D4328">
      <formula1>0</formula1>
    </dataValidation>
    <dataValidation type="decimal" operator="greaterThan" allowBlank="1" showInputMessage="1" showErrorMessage="1" sqref="E4328">
      <formula1>0</formula1>
    </dataValidation>
    <dataValidation type="whole" operator="greaterThan" allowBlank="1" showInputMessage="1" showErrorMessage="1" sqref="A4329">
      <formula1>0</formula1>
    </dataValidation>
    <dataValidation type="list" allowBlank="1" showInputMessage="1" showErrorMessage="1" sqref="C4329">
      <formula1>UnidadesList</formula1>
    </dataValidation>
    <dataValidation type="decimal" operator="greaterThan" allowBlank="1" showInputMessage="1" showErrorMessage="1" sqref="D4329">
      <formula1>0</formula1>
    </dataValidation>
    <dataValidation type="decimal" operator="greaterThan" allowBlank="1" showInputMessage="1" showErrorMessage="1" sqref="E4329">
      <formula1>0</formula1>
    </dataValidation>
    <dataValidation type="whole" operator="greaterThan" allowBlank="1" showInputMessage="1" showErrorMessage="1" sqref="A4330">
      <formula1>0</formula1>
    </dataValidation>
    <dataValidation type="list" allowBlank="1" showInputMessage="1" showErrorMessage="1" sqref="C4330">
      <formula1>UnidadesList</formula1>
    </dataValidation>
    <dataValidation type="decimal" operator="greaterThan" allowBlank="1" showInputMessage="1" showErrorMessage="1" sqref="D4330">
      <formula1>0</formula1>
    </dataValidation>
    <dataValidation type="decimal" operator="greaterThan" allowBlank="1" showInputMessage="1" showErrorMessage="1" sqref="E4330">
      <formula1>0</formula1>
    </dataValidation>
    <dataValidation type="whole" operator="greaterThan" allowBlank="1" showInputMessage="1" showErrorMessage="1" sqref="A4331">
      <formula1>0</formula1>
    </dataValidation>
    <dataValidation type="list" allowBlank="1" showInputMessage="1" showErrorMessage="1" sqref="C4331">
      <formula1>UnidadesList</formula1>
    </dataValidation>
    <dataValidation type="decimal" operator="greaterThan" allowBlank="1" showInputMessage="1" showErrorMessage="1" sqref="D4331">
      <formula1>0</formula1>
    </dataValidation>
    <dataValidation type="decimal" operator="greaterThan" allowBlank="1" showInputMessage="1" showErrorMessage="1" sqref="E4331">
      <formula1>0</formula1>
    </dataValidation>
    <dataValidation type="whole" operator="greaterThan" allowBlank="1" showInputMessage="1" showErrorMessage="1" sqref="A4332">
      <formula1>0</formula1>
    </dataValidation>
    <dataValidation type="list" allowBlank="1" showInputMessage="1" showErrorMessage="1" sqref="C4332">
      <formula1>UnidadesList</formula1>
    </dataValidation>
    <dataValidation type="decimal" operator="greaterThan" allowBlank="1" showInputMessage="1" showErrorMessage="1" sqref="D4332">
      <formula1>0</formula1>
    </dataValidation>
    <dataValidation type="decimal" operator="greaterThan" allowBlank="1" showInputMessage="1" showErrorMessage="1" sqref="E4332">
      <formula1>0</formula1>
    </dataValidation>
    <dataValidation type="whole" operator="greaterThan" allowBlank="1" showInputMessage="1" showErrorMessage="1" sqref="A4333">
      <formula1>0</formula1>
    </dataValidation>
    <dataValidation type="list" allowBlank="1" showInputMessage="1" showErrorMessage="1" sqref="C4333">
      <formula1>UnidadesList</formula1>
    </dataValidation>
    <dataValidation type="decimal" operator="greaterThan" allowBlank="1" showInputMessage="1" showErrorMessage="1" sqref="D4333">
      <formula1>0</formula1>
    </dataValidation>
    <dataValidation type="decimal" operator="greaterThan" allowBlank="1" showInputMessage="1" showErrorMessage="1" sqref="E4333">
      <formula1>0</formula1>
    </dataValidation>
    <dataValidation type="whole" operator="greaterThan" allowBlank="1" showInputMessage="1" showErrorMessage="1" sqref="A4334">
      <formula1>0</formula1>
    </dataValidation>
    <dataValidation type="list" allowBlank="1" showInputMessage="1" showErrorMessage="1" sqref="C4334">
      <formula1>UnidadesList</formula1>
    </dataValidation>
    <dataValidation type="decimal" operator="greaterThan" allowBlank="1" showInputMessage="1" showErrorMessage="1" sqref="D4334">
      <formula1>0</formula1>
    </dataValidation>
    <dataValidation type="decimal" operator="greaterThan" allowBlank="1" showInputMessage="1" showErrorMessage="1" sqref="E4334">
      <formula1>0</formula1>
    </dataValidation>
    <dataValidation type="whole" operator="greaterThan" allowBlank="1" showInputMessage="1" showErrorMessage="1" sqref="A4335">
      <formula1>0</formula1>
    </dataValidation>
    <dataValidation type="list" allowBlank="1" showInputMessage="1" showErrorMessage="1" sqref="C4335">
      <formula1>UnidadesList</formula1>
    </dataValidation>
    <dataValidation type="decimal" operator="greaterThan" allowBlank="1" showInputMessage="1" showErrorMessage="1" sqref="D4335">
      <formula1>0</formula1>
    </dataValidation>
    <dataValidation type="decimal" operator="greaterThan" allowBlank="1" showInputMessage="1" showErrorMessage="1" sqref="E4335">
      <formula1>0</formula1>
    </dataValidation>
    <dataValidation type="whole" operator="greaterThan" allowBlank="1" showInputMessage="1" showErrorMessage="1" sqref="A4336">
      <formula1>0</formula1>
    </dataValidation>
    <dataValidation type="list" allowBlank="1" showInputMessage="1" showErrorMessage="1" sqref="C4336">
      <formula1>UnidadesList</formula1>
    </dataValidation>
    <dataValidation type="decimal" operator="greaterThan" allowBlank="1" showInputMessage="1" showErrorMessage="1" sqref="D4336">
      <formula1>0</formula1>
    </dataValidation>
    <dataValidation type="decimal" operator="greaterThan" allowBlank="1" showInputMessage="1" showErrorMessage="1" sqref="E4336">
      <formula1>0</formula1>
    </dataValidation>
    <dataValidation type="whole" operator="greaterThan" allowBlank="1" showInputMessage="1" showErrorMessage="1" sqref="A4337">
      <formula1>0</formula1>
    </dataValidation>
    <dataValidation type="list" allowBlank="1" showInputMessage="1" showErrorMessage="1" sqref="C4337">
      <formula1>UnidadesList</formula1>
    </dataValidation>
    <dataValidation type="decimal" operator="greaterThan" allowBlank="1" showInputMessage="1" showErrorMessage="1" sqref="D4337">
      <formula1>0</formula1>
    </dataValidation>
    <dataValidation type="decimal" operator="greaterThan" allowBlank="1" showInputMessage="1" showErrorMessage="1" sqref="E4337">
      <formula1>0</formula1>
    </dataValidation>
    <dataValidation type="whole" operator="greaterThan" allowBlank="1" showInputMessage="1" showErrorMessage="1" sqref="A4338">
      <formula1>0</formula1>
    </dataValidation>
    <dataValidation type="list" allowBlank="1" showInputMessage="1" showErrorMessage="1" sqref="C4338">
      <formula1>UnidadesList</formula1>
    </dataValidation>
    <dataValidation type="decimal" operator="greaterThan" allowBlank="1" showInputMessage="1" showErrorMessage="1" sqref="D4338">
      <formula1>0</formula1>
    </dataValidation>
    <dataValidation type="decimal" operator="greaterThan" allowBlank="1" showInputMessage="1" showErrorMessage="1" sqref="E4338">
      <formula1>0</formula1>
    </dataValidation>
    <dataValidation type="whole" operator="greaterThan" allowBlank="1" showInputMessage="1" showErrorMessage="1" sqref="A4339">
      <formula1>0</formula1>
    </dataValidation>
    <dataValidation type="list" allowBlank="1" showInputMessage="1" showErrorMessage="1" sqref="C4339">
      <formula1>UnidadesList</formula1>
    </dataValidation>
    <dataValidation type="decimal" operator="greaterThan" allowBlank="1" showInputMessage="1" showErrorMessage="1" sqref="D4339">
      <formula1>0</formula1>
    </dataValidation>
    <dataValidation type="decimal" operator="greaterThan" allowBlank="1" showInputMessage="1" showErrorMessage="1" sqref="E4339">
      <formula1>0</formula1>
    </dataValidation>
    <dataValidation type="whole" operator="greaterThan" allowBlank="1" showInputMessage="1" showErrorMessage="1" sqref="A4340">
      <formula1>0</formula1>
    </dataValidation>
    <dataValidation type="list" allowBlank="1" showInputMessage="1" showErrorMessage="1" sqref="C4340">
      <formula1>UnidadesList</formula1>
    </dataValidation>
    <dataValidation type="decimal" operator="greaterThan" allowBlank="1" showInputMessage="1" showErrorMessage="1" sqref="D4340">
      <formula1>0</formula1>
    </dataValidation>
    <dataValidation type="decimal" operator="greaterThan" allowBlank="1" showInputMessage="1" showErrorMessage="1" sqref="E4340">
      <formula1>0</formula1>
    </dataValidation>
    <dataValidation type="whole" operator="greaterThan" allowBlank="1" showInputMessage="1" showErrorMessage="1" sqref="A4341">
      <formula1>0</formula1>
    </dataValidation>
    <dataValidation type="list" allowBlank="1" showInputMessage="1" showErrorMessage="1" sqref="C4341">
      <formula1>UnidadesList</formula1>
    </dataValidation>
    <dataValidation type="decimal" operator="greaterThan" allowBlank="1" showInputMessage="1" showErrorMessage="1" sqref="D4341">
      <formula1>0</formula1>
    </dataValidation>
    <dataValidation type="decimal" operator="greaterThan" allowBlank="1" showInputMessage="1" showErrorMessage="1" sqref="E4341">
      <formula1>0</formula1>
    </dataValidation>
    <dataValidation type="whole" operator="greaterThan" allowBlank="1" showInputMessage="1" showErrorMessage="1" sqref="A4342">
      <formula1>0</formula1>
    </dataValidation>
    <dataValidation type="list" allowBlank="1" showInputMessage="1" showErrorMessage="1" sqref="C4342">
      <formula1>UnidadesList</formula1>
    </dataValidation>
    <dataValidation type="decimal" operator="greaterThan" allowBlank="1" showInputMessage="1" showErrorMessage="1" sqref="D4342">
      <formula1>0</formula1>
    </dataValidation>
    <dataValidation type="decimal" operator="greaterThan" allowBlank="1" showInputMessage="1" showErrorMessage="1" sqref="E4342">
      <formula1>0</formula1>
    </dataValidation>
    <dataValidation type="whole" operator="greaterThan" allowBlank="1" showInputMessage="1" showErrorMessage="1" sqref="A4343">
      <formula1>0</formula1>
    </dataValidation>
    <dataValidation type="list" allowBlank="1" showInputMessage="1" showErrorMessage="1" sqref="C4343">
      <formula1>UnidadesList</formula1>
    </dataValidation>
    <dataValidation type="decimal" operator="greaterThan" allowBlank="1" showInputMessage="1" showErrorMessage="1" sqref="D4343">
      <formula1>0</formula1>
    </dataValidation>
    <dataValidation type="decimal" operator="greaterThan" allowBlank="1" showInputMessage="1" showErrorMessage="1" sqref="E4343">
      <formula1>0</formula1>
    </dataValidation>
    <dataValidation type="whole" operator="greaterThan" allowBlank="1" showInputMessage="1" showErrorMessage="1" sqref="A4344">
      <formula1>0</formula1>
    </dataValidation>
    <dataValidation type="list" allowBlank="1" showInputMessage="1" showErrorMessage="1" sqref="C4344">
      <formula1>UnidadesList</formula1>
    </dataValidation>
    <dataValidation type="decimal" operator="greaterThan" allowBlank="1" showInputMessage="1" showErrorMessage="1" sqref="D4344">
      <formula1>0</formula1>
    </dataValidation>
    <dataValidation type="decimal" operator="greaterThan" allowBlank="1" showInputMessage="1" showErrorMessage="1" sqref="E4344">
      <formula1>0</formula1>
    </dataValidation>
    <dataValidation type="whole" operator="greaterThan" allowBlank="1" showInputMessage="1" showErrorMessage="1" sqref="A4345">
      <formula1>0</formula1>
    </dataValidation>
    <dataValidation type="list" allowBlank="1" showInputMessage="1" showErrorMessage="1" sqref="C4345">
      <formula1>UnidadesList</formula1>
    </dataValidation>
    <dataValidation type="decimal" operator="greaterThan" allowBlank="1" showInputMessage="1" showErrorMessage="1" sqref="D4345">
      <formula1>0</formula1>
    </dataValidation>
    <dataValidation type="decimal" operator="greaterThan" allowBlank="1" showInputMessage="1" showErrorMessage="1" sqref="E4345">
      <formula1>0</formula1>
    </dataValidation>
    <dataValidation type="whole" operator="greaterThan" allowBlank="1" showInputMessage="1" showErrorMessage="1" sqref="A4346">
      <formula1>0</formula1>
    </dataValidation>
    <dataValidation type="list" allowBlank="1" showInputMessage="1" showErrorMessage="1" sqref="C4346">
      <formula1>UnidadesList</formula1>
    </dataValidation>
    <dataValidation type="decimal" operator="greaterThan" allowBlank="1" showInputMessage="1" showErrorMessage="1" sqref="D4346">
      <formula1>0</formula1>
    </dataValidation>
    <dataValidation type="decimal" operator="greaterThan" allowBlank="1" showInputMessage="1" showErrorMessage="1" sqref="E4346">
      <formula1>0</formula1>
    </dataValidation>
    <dataValidation type="whole" operator="greaterThan" allowBlank="1" showInputMessage="1" showErrorMessage="1" sqref="A4347">
      <formula1>0</formula1>
    </dataValidation>
    <dataValidation type="list" allowBlank="1" showInputMessage="1" showErrorMessage="1" sqref="C4347">
      <formula1>UnidadesList</formula1>
    </dataValidation>
    <dataValidation type="decimal" operator="greaterThan" allowBlank="1" showInputMessage="1" showErrorMessage="1" sqref="D4347">
      <formula1>0</formula1>
    </dataValidation>
    <dataValidation type="decimal" operator="greaterThan" allowBlank="1" showInputMessage="1" showErrorMessage="1" sqref="E4347">
      <formula1>0</formula1>
    </dataValidation>
    <dataValidation type="whole" operator="greaterThan" allowBlank="1" showInputMessage="1" showErrorMessage="1" sqref="A4348">
      <formula1>0</formula1>
    </dataValidation>
    <dataValidation type="list" allowBlank="1" showInputMessage="1" showErrorMessage="1" sqref="C4348">
      <formula1>UnidadesList</formula1>
    </dataValidation>
    <dataValidation type="decimal" operator="greaterThan" allowBlank="1" showInputMessage="1" showErrorMessage="1" sqref="D4348">
      <formula1>0</formula1>
    </dataValidation>
    <dataValidation type="decimal" operator="greaterThan" allowBlank="1" showInputMessage="1" showErrorMessage="1" sqref="E4348">
      <formula1>0</formula1>
    </dataValidation>
    <dataValidation type="whole" operator="greaterThan" allowBlank="1" showInputMessage="1" showErrorMessage="1" sqref="A4349">
      <formula1>0</formula1>
    </dataValidation>
    <dataValidation type="list" allowBlank="1" showInputMessage="1" showErrorMessage="1" sqref="C4349">
      <formula1>UnidadesList</formula1>
    </dataValidation>
    <dataValidation type="decimal" operator="greaterThan" allowBlank="1" showInputMessage="1" showErrorMessage="1" sqref="D4349">
      <formula1>0</formula1>
    </dataValidation>
    <dataValidation type="decimal" operator="greaterThan" allowBlank="1" showInputMessage="1" showErrorMessage="1" sqref="E4349">
      <formula1>0</formula1>
    </dataValidation>
    <dataValidation type="whole" operator="greaterThan" allowBlank="1" showInputMessage="1" showErrorMessage="1" sqref="A4350">
      <formula1>0</formula1>
    </dataValidation>
    <dataValidation type="list" allowBlank="1" showInputMessage="1" showErrorMessage="1" sqref="C4350">
      <formula1>UnidadesList</formula1>
    </dataValidation>
    <dataValidation type="decimal" operator="greaterThan" allowBlank="1" showInputMessage="1" showErrorMessage="1" sqref="D4350">
      <formula1>0</formula1>
    </dataValidation>
    <dataValidation type="decimal" operator="greaterThan" allowBlank="1" showInputMessage="1" showErrorMessage="1" sqref="E4350">
      <formula1>0</formula1>
    </dataValidation>
    <dataValidation type="whole" operator="greaterThan" allowBlank="1" showInputMessage="1" showErrorMessage="1" sqref="A4351">
      <formula1>0</formula1>
    </dataValidation>
    <dataValidation type="list" allowBlank="1" showInputMessage="1" showErrorMessage="1" sqref="C4351">
      <formula1>UnidadesList</formula1>
    </dataValidation>
    <dataValidation type="decimal" operator="greaterThan" allowBlank="1" showInputMessage="1" showErrorMessage="1" sqref="D4351">
      <formula1>0</formula1>
    </dataValidation>
    <dataValidation type="decimal" operator="greaterThan" allowBlank="1" showInputMessage="1" showErrorMessage="1" sqref="E4351">
      <formula1>0</formula1>
    </dataValidation>
    <dataValidation type="whole" operator="greaterThan" allowBlank="1" showInputMessage="1" showErrorMessage="1" sqref="A4352">
      <formula1>0</formula1>
    </dataValidation>
    <dataValidation type="list" allowBlank="1" showInputMessage="1" showErrorMessage="1" sqref="C4352">
      <formula1>UnidadesList</formula1>
    </dataValidation>
    <dataValidation type="decimal" operator="greaterThan" allowBlank="1" showInputMessage="1" showErrorMessage="1" sqref="D4352">
      <formula1>0</formula1>
    </dataValidation>
    <dataValidation type="decimal" operator="greaterThan" allowBlank="1" showInputMessage="1" showErrorMessage="1" sqref="E4352">
      <formula1>0</formula1>
    </dataValidation>
    <dataValidation type="whole" operator="greaterThan" allowBlank="1" showInputMessage="1" showErrorMessage="1" sqref="A4353">
      <formula1>0</formula1>
    </dataValidation>
    <dataValidation type="list" allowBlank="1" showInputMessage="1" showErrorMessage="1" sqref="C4353">
      <formula1>UnidadesList</formula1>
    </dataValidation>
    <dataValidation type="decimal" operator="greaterThan" allowBlank="1" showInputMessage="1" showErrorMessage="1" sqref="D4353">
      <formula1>0</formula1>
    </dataValidation>
    <dataValidation type="decimal" operator="greaterThan" allowBlank="1" showInputMessage="1" showErrorMessage="1" sqref="E4353">
      <formula1>0</formula1>
    </dataValidation>
    <dataValidation type="whole" operator="greaterThan" allowBlank="1" showInputMessage="1" showErrorMessage="1" sqref="A4354">
      <formula1>0</formula1>
    </dataValidation>
    <dataValidation type="list" allowBlank="1" showInputMessage="1" showErrorMessage="1" sqref="C4354">
      <formula1>UnidadesList</formula1>
    </dataValidation>
    <dataValidation type="decimal" operator="greaterThan" allowBlank="1" showInputMessage="1" showErrorMessage="1" sqref="D4354">
      <formula1>0</formula1>
    </dataValidation>
    <dataValidation type="decimal" operator="greaterThan" allowBlank="1" showInputMessage="1" showErrorMessage="1" sqref="E4354">
      <formula1>0</formula1>
    </dataValidation>
    <dataValidation type="whole" operator="greaterThan" allowBlank="1" showInputMessage="1" showErrorMessage="1" sqref="A4355">
      <formula1>0</formula1>
    </dataValidation>
    <dataValidation type="list" allowBlank="1" showInputMessage="1" showErrorMessage="1" sqref="C4355">
      <formula1>UnidadesList</formula1>
    </dataValidation>
    <dataValidation type="decimal" operator="greaterThan" allowBlank="1" showInputMessage="1" showErrorMessage="1" sqref="D4355">
      <formula1>0</formula1>
    </dataValidation>
    <dataValidation type="decimal" operator="greaterThan" allowBlank="1" showInputMessage="1" showErrorMessage="1" sqref="E4355">
      <formula1>0</formula1>
    </dataValidation>
    <dataValidation type="whole" operator="greaterThan" allowBlank="1" showInputMessage="1" showErrorMessage="1" sqref="A4356">
      <formula1>0</formula1>
    </dataValidation>
    <dataValidation type="list" allowBlank="1" showInputMessage="1" showErrorMessage="1" sqref="C4356">
      <formula1>UnidadesList</formula1>
    </dataValidation>
    <dataValidation type="decimal" operator="greaterThan" allowBlank="1" showInputMessage="1" showErrorMessage="1" sqref="D4356">
      <formula1>0</formula1>
    </dataValidation>
    <dataValidation type="decimal" operator="greaterThan" allowBlank="1" showInputMessage="1" showErrorMessage="1" sqref="E4356">
      <formula1>0</formula1>
    </dataValidation>
    <dataValidation type="whole" operator="greaterThan" allowBlank="1" showInputMessage="1" showErrorMessage="1" sqref="A4357">
      <formula1>0</formula1>
    </dataValidation>
    <dataValidation type="list" allowBlank="1" showInputMessage="1" showErrorMessage="1" sqref="C4357">
      <formula1>UnidadesList</formula1>
    </dataValidation>
    <dataValidation type="decimal" operator="greaterThan" allowBlank="1" showInputMessage="1" showErrorMessage="1" sqref="D4357">
      <formula1>0</formula1>
    </dataValidation>
    <dataValidation type="decimal" operator="greaterThan" allowBlank="1" showInputMessage="1" showErrorMessage="1" sqref="E4357">
      <formula1>0</formula1>
    </dataValidation>
    <dataValidation type="whole" operator="greaterThan" allowBlank="1" showInputMessage="1" showErrorMessage="1" sqref="A4358">
      <formula1>0</formula1>
    </dataValidation>
    <dataValidation type="list" allowBlank="1" showInputMessage="1" showErrorMessage="1" sqref="C4358">
      <formula1>UnidadesList</formula1>
    </dataValidation>
    <dataValidation type="decimal" operator="greaterThan" allowBlank="1" showInputMessage="1" showErrorMessage="1" sqref="D4358">
      <formula1>0</formula1>
    </dataValidation>
    <dataValidation type="decimal" operator="greaterThan" allowBlank="1" showInputMessage="1" showErrorMessage="1" sqref="E4358">
      <formula1>0</formula1>
    </dataValidation>
    <dataValidation type="whole" operator="greaterThan" allowBlank="1" showInputMessage="1" showErrorMessage="1" sqref="A4359">
      <formula1>0</formula1>
    </dataValidation>
    <dataValidation type="list" allowBlank="1" showInputMessage="1" showErrorMessage="1" sqref="C4359">
      <formula1>UnidadesList</formula1>
    </dataValidation>
    <dataValidation type="decimal" operator="greaterThan" allowBlank="1" showInputMessage="1" showErrorMessage="1" sqref="D4359">
      <formula1>0</formula1>
    </dataValidation>
    <dataValidation type="decimal" operator="greaterThan" allowBlank="1" showInputMessage="1" showErrorMessage="1" sqref="E4359">
      <formula1>0</formula1>
    </dataValidation>
    <dataValidation type="whole" operator="greaterThan" allowBlank="1" showInputMessage="1" showErrorMessage="1" sqref="A4360">
      <formula1>0</formula1>
    </dataValidation>
    <dataValidation type="list" allowBlank="1" showInputMessage="1" showErrorMessage="1" sqref="C4360">
      <formula1>UnidadesList</formula1>
    </dataValidation>
    <dataValidation type="decimal" operator="greaterThan" allowBlank="1" showInputMessage="1" showErrorMessage="1" sqref="D4360">
      <formula1>0</formula1>
    </dataValidation>
    <dataValidation type="decimal" operator="greaterThan" allowBlank="1" showInputMessage="1" showErrorMessage="1" sqref="E4360">
      <formula1>0</formula1>
    </dataValidation>
    <dataValidation type="whole" operator="greaterThan" allowBlank="1" showInputMessage="1" showErrorMessage="1" sqref="A4361">
      <formula1>0</formula1>
    </dataValidation>
    <dataValidation type="list" allowBlank="1" showInputMessage="1" showErrorMessage="1" sqref="C4361">
      <formula1>UnidadesList</formula1>
    </dataValidation>
    <dataValidation type="decimal" operator="greaterThan" allowBlank="1" showInputMessage="1" showErrorMessage="1" sqref="D4361">
      <formula1>0</formula1>
    </dataValidation>
    <dataValidation type="decimal" operator="greaterThan" allowBlank="1" showInputMessage="1" showErrorMessage="1" sqref="E4361">
      <formula1>0</formula1>
    </dataValidation>
    <dataValidation type="whole" operator="greaterThan" allowBlank="1" showInputMessage="1" showErrorMessage="1" sqref="A4362">
      <formula1>0</formula1>
    </dataValidation>
    <dataValidation type="list" allowBlank="1" showInputMessage="1" showErrorMessage="1" sqref="C4362">
      <formula1>UnidadesList</formula1>
    </dataValidation>
    <dataValidation type="decimal" operator="greaterThan" allowBlank="1" showInputMessage="1" showErrorMessage="1" sqref="D4362">
      <formula1>0</formula1>
    </dataValidation>
    <dataValidation type="decimal" operator="greaterThan" allowBlank="1" showInputMessage="1" showErrorMessage="1" sqref="E4362">
      <formula1>0</formula1>
    </dataValidation>
    <dataValidation type="whole" operator="greaterThan" allowBlank="1" showInputMessage="1" showErrorMessage="1" sqref="A4363">
      <formula1>0</formula1>
    </dataValidation>
    <dataValidation type="list" allowBlank="1" showInputMessage="1" showErrorMessage="1" sqref="C4363">
      <formula1>UnidadesList</formula1>
    </dataValidation>
    <dataValidation type="decimal" operator="greaterThan" allowBlank="1" showInputMessage="1" showErrorMessage="1" sqref="D4363">
      <formula1>0</formula1>
    </dataValidation>
    <dataValidation type="decimal" operator="greaterThan" allowBlank="1" showInputMessage="1" showErrorMessage="1" sqref="E4363">
      <formula1>0</formula1>
    </dataValidation>
    <dataValidation type="whole" operator="greaterThan" allowBlank="1" showInputMessage="1" showErrorMessage="1" sqref="A4364">
      <formula1>0</formula1>
    </dataValidation>
    <dataValidation type="list" allowBlank="1" showInputMessage="1" showErrorMessage="1" sqref="C4364">
      <formula1>UnidadesList</formula1>
    </dataValidation>
    <dataValidation type="decimal" operator="greaterThan" allowBlank="1" showInputMessage="1" showErrorMessage="1" sqref="D4364">
      <formula1>0</formula1>
    </dataValidation>
    <dataValidation type="decimal" operator="greaterThan" allowBlank="1" showInputMessage="1" showErrorMessage="1" sqref="E4364">
      <formula1>0</formula1>
    </dataValidation>
    <dataValidation type="whole" operator="greaterThan" allowBlank="1" showInputMessage="1" showErrorMessage="1" sqref="A4365">
      <formula1>0</formula1>
    </dataValidation>
    <dataValidation type="list" allowBlank="1" showInputMessage="1" showErrorMessage="1" sqref="C4365">
      <formula1>UnidadesList</formula1>
    </dataValidation>
    <dataValidation type="decimal" operator="greaterThan" allowBlank="1" showInputMessage="1" showErrorMessage="1" sqref="D4365">
      <formula1>0</formula1>
    </dataValidation>
    <dataValidation type="decimal" operator="greaterThan" allowBlank="1" showInputMessage="1" showErrorMessage="1" sqref="E4365">
      <formula1>0</formula1>
    </dataValidation>
    <dataValidation type="whole" operator="greaterThan" allowBlank="1" showInputMessage="1" showErrorMessage="1" sqref="A4366">
      <formula1>0</formula1>
    </dataValidation>
    <dataValidation type="list" allowBlank="1" showInputMessage="1" showErrorMessage="1" sqref="C4366">
      <formula1>UnidadesList</formula1>
    </dataValidation>
    <dataValidation type="decimal" operator="greaterThan" allowBlank="1" showInputMessage="1" showErrorMessage="1" sqref="D4366">
      <formula1>0</formula1>
    </dataValidation>
    <dataValidation type="decimal" operator="greaterThan" allowBlank="1" showInputMessage="1" showErrorMessage="1" sqref="E4366">
      <formula1>0</formula1>
    </dataValidation>
    <dataValidation type="whole" operator="greaterThan" allowBlank="1" showInputMessage="1" showErrorMessage="1" sqref="A4367">
      <formula1>0</formula1>
    </dataValidation>
    <dataValidation type="list" allowBlank="1" showInputMessage="1" showErrorMessage="1" sqref="C4367">
      <formula1>UnidadesList</formula1>
    </dataValidation>
    <dataValidation type="decimal" operator="greaterThan" allowBlank="1" showInputMessage="1" showErrorMessage="1" sqref="D4367">
      <formula1>0</formula1>
    </dataValidation>
    <dataValidation type="decimal" operator="greaterThan" allowBlank="1" showInputMessage="1" showErrorMessage="1" sqref="E4367">
      <formula1>0</formula1>
    </dataValidation>
    <dataValidation type="whole" operator="greaterThan" allowBlank="1" showInputMessage="1" showErrorMessage="1" sqref="A4368">
      <formula1>0</formula1>
    </dataValidation>
    <dataValidation type="list" allowBlank="1" showInputMessage="1" showErrorMessage="1" sqref="C4368">
      <formula1>UnidadesList</formula1>
    </dataValidation>
    <dataValidation type="decimal" operator="greaterThan" allowBlank="1" showInputMessage="1" showErrorMessage="1" sqref="D4368">
      <formula1>0</formula1>
    </dataValidation>
    <dataValidation type="decimal" operator="greaterThan" allowBlank="1" showInputMessage="1" showErrorMessage="1" sqref="E4368">
      <formula1>0</formula1>
    </dataValidation>
    <dataValidation type="whole" operator="greaterThan" allowBlank="1" showInputMessage="1" showErrorMessage="1" sqref="A4369">
      <formula1>0</formula1>
    </dataValidation>
    <dataValidation type="list" allowBlank="1" showInputMessage="1" showErrorMessage="1" sqref="C4369">
      <formula1>UnidadesList</formula1>
    </dataValidation>
    <dataValidation type="decimal" operator="greaterThan" allowBlank="1" showInputMessage="1" showErrorMessage="1" sqref="D4369">
      <formula1>0</formula1>
    </dataValidation>
    <dataValidation type="decimal" operator="greaterThan" allowBlank="1" showInputMessage="1" showErrorMessage="1" sqref="E4369">
      <formula1>0</formula1>
    </dataValidation>
    <dataValidation type="whole" operator="greaterThan" allowBlank="1" showInputMessage="1" showErrorMessage="1" sqref="A4370">
      <formula1>0</formula1>
    </dataValidation>
    <dataValidation type="list" allowBlank="1" showInputMessage="1" showErrorMessage="1" sqref="C4370">
      <formula1>UnidadesList</formula1>
    </dataValidation>
    <dataValidation type="decimal" operator="greaterThan" allowBlank="1" showInputMessage="1" showErrorMessage="1" sqref="D4370">
      <formula1>0</formula1>
    </dataValidation>
    <dataValidation type="decimal" operator="greaterThan" allowBlank="1" showInputMessage="1" showErrorMessage="1" sqref="E4370">
      <formula1>0</formula1>
    </dataValidation>
    <dataValidation type="whole" operator="greaterThan" allowBlank="1" showInputMessage="1" showErrorMessage="1" sqref="A4371">
      <formula1>0</formula1>
    </dataValidation>
    <dataValidation type="list" allowBlank="1" showInputMessage="1" showErrorMessage="1" sqref="C4371">
      <formula1>UnidadesList</formula1>
    </dataValidation>
    <dataValidation type="decimal" operator="greaterThan" allowBlank="1" showInputMessage="1" showErrorMessage="1" sqref="D4371">
      <formula1>0</formula1>
    </dataValidation>
    <dataValidation type="decimal" operator="greaterThan" allowBlank="1" showInputMessage="1" showErrorMessage="1" sqref="E4371">
      <formula1>0</formula1>
    </dataValidation>
    <dataValidation type="whole" operator="greaterThan" allowBlank="1" showInputMessage="1" showErrorMessage="1" sqref="A4372">
      <formula1>0</formula1>
    </dataValidation>
    <dataValidation type="list" allowBlank="1" showInputMessage="1" showErrorMessage="1" sqref="C4372">
      <formula1>UnidadesList</formula1>
    </dataValidation>
    <dataValidation type="decimal" operator="greaterThan" allowBlank="1" showInputMessage="1" showErrorMessage="1" sqref="D4372">
      <formula1>0</formula1>
    </dataValidation>
    <dataValidation type="decimal" operator="greaterThan" allowBlank="1" showInputMessage="1" showErrorMessage="1" sqref="E4372">
      <formula1>0</formula1>
    </dataValidation>
    <dataValidation type="whole" operator="greaterThan" allowBlank="1" showInputMessage="1" showErrorMessage="1" sqref="A4373">
      <formula1>0</formula1>
    </dataValidation>
    <dataValidation type="list" allowBlank="1" showInputMessage="1" showErrorMessage="1" sqref="C4373">
      <formula1>UnidadesList</formula1>
    </dataValidation>
    <dataValidation type="decimal" operator="greaterThan" allowBlank="1" showInputMessage="1" showErrorMessage="1" sqref="D4373">
      <formula1>0</formula1>
    </dataValidation>
    <dataValidation type="decimal" operator="greaterThan" allowBlank="1" showInputMessage="1" showErrorMessage="1" sqref="E4373">
      <formula1>0</formula1>
    </dataValidation>
    <dataValidation type="whole" operator="greaterThan" allowBlank="1" showInputMessage="1" showErrorMessage="1" sqref="A4374">
      <formula1>0</formula1>
    </dataValidation>
    <dataValidation type="list" allowBlank="1" showInputMessage="1" showErrorMessage="1" sqref="C4374">
      <formula1>UnidadesList</formula1>
    </dataValidation>
    <dataValidation type="decimal" operator="greaterThan" allowBlank="1" showInputMessage="1" showErrorMessage="1" sqref="D4374">
      <formula1>0</formula1>
    </dataValidation>
    <dataValidation type="decimal" operator="greaterThan" allowBlank="1" showInputMessage="1" showErrorMessage="1" sqref="E4374">
      <formula1>0</formula1>
    </dataValidation>
    <dataValidation type="whole" operator="greaterThan" allowBlank="1" showInputMessage="1" showErrorMessage="1" sqref="A4375">
      <formula1>0</formula1>
    </dataValidation>
    <dataValidation type="list" allowBlank="1" showInputMessage="1" showErrorMessage="1" sqref="C4375">
      <formula1>UnidadesList</formula1>
    </dataValidation>
    <dataValidation type="decimal" operator="greaterThan" allowBlank="1" showInputMessage="1" showErrorMessage="1" sqref="D4375">
      <formula1>0</formula1>
    </dataValidation>
    <dataValidation type="decimal" operator="greaterThan" allowBlank="1" showInputMessage="1" showErrorMessage="1" sqref="E4375">
      <formula1>0</formula1>
    </dataValidation>
    <dataValidation type="whole" operator="greaterThan" allowBlank="1" showInputMessage="1" showErrorMessage="1" sqref="A4376">
      <formula1>0</formula1>
    </dataValidation>
    <dataValidation type="list" allowBlank="1" showInputMessage="1" showErrorMessage="1" sqref="C4376">
      <formula1>UnidadesList</formula1>
    </dataValidation>
    <dataValidation type="decimal" operator="greaterThan" allowBlank="1" showInputMessage="1" showErrorMessage="1" sqref="D4376">
      <formula1>0</formula1>
    </dataValidation>
    <dataValidation type="decimal" operator="greaterThan" allowBlank="1" showInputMessage="1" showErrorMessage="1" sqref="E4376">
      <formula1>0</formula1>
    </dataValidation>
    <dataValidation type="whole" operator="greaterThan" allowBlank="1" showInputMessage="1" showErrorMessage="1" sqref="A4377">
      <formula1>0</formula1>
    </dataValidation>
    <dataValidation type="list" allowBlank="1" showInputMessage="1" showErrorMessage="1" sqref="C4377">
      <formula1>UnidadesList</formula1>
    </dataValidation>
    <dataValidation type="decimal" operator="greaterThan" allowBlank="1" showInputMessage="1" showErrorMessage="1" sqref="D4377">
      <formula1>0</formula1>
    </dataValidation>
    <dataValidation type="decimal" operator="greaterThan" allowBlank="1" showInputMessage="1" showErrorMessage="1" sqref="E4377">
      <formula1>0</formula1>
    </dataValidation>
    <dataValidation type="whole" operator="greaterThan" allowBlank="1" showInputMessage="1" showErrorMessage="1" sqref="A4378">
      <formula1>0</formula1>
    </dataValidation>
    <dataValidation type="list" allowBlank="1" showInputMessage="1" showErrorMessage="1" sqref="C4378">
      <formula1>UnidadesList</formula1>
    </dataValidation>
    <dataValidation type="decimal" operator="greaterThan" allowBlank="1" showInputMessage="1" showErrorMessage="1" sqref="D4378">
      <formula1>0</formula1>
    </dataValidation>
    <dataValidation type="decimal" operator="greaterThan" allowBlank="1" showInputMessage="1" showErrorMessage="1" sqref="E4378">
      <formula1>0</formula1>
    </dataValidation>
    <dataValidation type="whole" operator="greaterThan" allowBlank="1" showInputMessage="1" showErrorMessage="1" sqref="A4379">
      <formula1>0</formula1>
    </dataValidation>
    <dataValidation type="list" allowBlank="1" showInputMessage="1" showErrorMessage="1" sqref="C4379">
      <formula1>UnidadesList</formula1>
    </dataValidation>
    <dataValidation type="decimal" operator="greaterThan" allowBlank="1" showInputMessage="1" showErrorMessage="1" sqref="D4379">
      <formula1>0</formula1>
    </dataValidation>
    <dataValidation type="decimal" operator="greaterThan" allowBlank="1" showInputMessage="1" showErrorMessage="1" sqref="E4379">
      <formula1>0</formula1>
    </dataValidation>
    <dataValidation type="whole" operator="greaterThan" allowBlank="1" showInputMessage="1" showErrorMessage="1" sqref="A4380">
      <formula1>0</formula1>
    </dataValidation>
    <dataValidation type="list" allowBlank="1" showInputMessage="1" showErrorMessage="1" sqref="C4380">
      <formula1>UnidadesList</formula1>
    </dataValidation>
    <dataValidation type="decimal" operator="greaterThan" allowBlank="1" showInputMessage="1" showErrorMessage="1" sqref="D4380">
      <formula1>0</formula1>
    </dataValidation>
    <dataValidation type="decimal" operator="greaterThan" allowBlank="1" showInputMessage="1" showErrorMessage="1" sqref="E4380">
      <formula1>0</formula1>
    </dataValidation>
    <dataValidation type="whole" operator="greaterThan" allowBlank="1" showInputMessage="1" showErrorMessage="1" sqref="A4381">
      <formula1>0</formula1>
    </dataValidation>
    <dataValidation type="list" allowBlank="1" showInputMessage="1" showErrorMessage="1" sqref="C4381">
      <formula1>UnidadesList</formula1>
    </dataValidation>
    <dataValidation type="decimal" operator="greaterThan" allowBlank="1" showInputMessage="1" showErrorMessage="1" sqref="D4381">
      <formula1>0</formula1>
    </dataValidation>
    <dataValidation type="decimal" operator="greaterThan" allowBlank="1" showInputMessage="1" showErrorMessage="1" sqref="E4381">
      <formula1>0</formula1>
    </dataValidation>
    <dataValidation type="whole" operator="greaterThan" allowBlank="1" showInputMessage="1" showErrorMessage="1" sqref="A4382">
      <formula1>0</formula1>
    </dataValidation>
    <dataValidation type="list" allowBlank="1" showInputMessage="1" showErrorMessage="1" sqref="C4382">
      <formula1>UnidadesList</formula1>
    </dataValidation>
    <dataValidation type="decimal" operator="greaterThan" allowBlank="1" showInputMessage="1" showErrorMessage="1" sqref="D4382">
      <formula1>0</formula1>
    </dataValidation>
    <dataValidation type="decimal" operator="greaterThan" allowBlank="1" showInputMessage="1" showErrorMessage="1" sqref="E4382">
      <formula1>0</formula1>
    </dataValidation>
    <dataValidation type="whole" operator="greaterThan" allowBlank="1" showInputMessage="1" showErrorMessage="1" sqref="A4383">
      <formula1>0</formula1>
    </dataValidation>
    <dataValidation type="list" allowBlank="1" showInputMessage="1" showErrorMessage="1" sqref="C4383">
      <formula1>UnidadesList</formula1>
    </dataValidation>
    <dataValidation type="decimal" operator="greaterThan" allowBlank="1" showInputMessage="1" showErrorMessage="1" sqref="D4383">
      <formula1>0</formula1>
    </dataValidation>
    <dataValidation type="decimal" operator="greaterThan" allowBlank="1" showInputMessage="1" showErrorMessage="1" sqref="E4383">
      <formula1>0</formula1>
    </dataValidation>
    <dataValidation type="whole" operator="greaterThan" allowBlank="1" showInputMessage="1" showErrorMessage="1" sqref="A4384">
      <formula1>0</formula1>
    </dataValidation>
    <dataValidation type="list" allowBlank="1" showInputMessage="1" showErrorMessage="1" sqref="C4384">
      <formula1>UnidadesList</formula1>
    </dataValidation>
    <dataValidation type="decimal" operator="greaterThan" allowBlank="1" showInputMessage="1" showErrorMessage="1" sqref="D4384">
      <formula1>0</formula1>
    </dataValidation>
    <dataValidation type="decimal" operator="greaterThan" allowBlank="1" showInputMessage="1" showErrorMessage="1" sqref="E4384">
      <formula1>0</formula1>
    </dataValidation>
    <dataValidation type="whole" operator="greaterThan" allowBlank="1" showInputMessage="1" showErrorMessage="1" sqref="A4385">
      <formula1>0</formula1>
    </dataValidation>
    <dataValidation type="list" allowBlank="1" showInputMessage="1" showErrorMessage="1" sqref="C4385">
      <formula1>UnidadesList</formula1>
    </dataValidation>
    <dataValidation type="decimal" operator="greaterThan" allowBlank="1" showInputMessage="1" showErrorMessage="1" sqref="D4385">
      <formula1>0</formula1>
    </dataValidation>
    <dataValidation type="decimal" operator="greaterThan" allowBlank="1" showInputMessage="1" showErrorMessage="1" sqref="E4385">
      <formula1>0</formula1>
    </dataValidation>
    <dataValidation type="whole" operator="greaterThan" allowBlank="1" showInputMessage="1" showErrorMessage="1" sqref="A4386">
      <formula1>0</formula1>
    </dataValidation>
    <dataValidation type="list" allowBlank="1" showInputMessage="1" showErrorMessage="1" sqref="C4386">
      <formula1>UnidadesList</formula1>
    </dataValidation>
    <dataValidation type="decimal" operator="greaterThan" allowBlank="1" showInputMessage="1" showErrorMessage="1" sqref="D4386">
      <formula1>0</formula1>
    </dataValidation>
    <dataValidation type="decimal" operator="greaterThan" allowBlank="1" showInputMessage="1" showErrorMessage="1" sqref="E4386">
      <formula1>0</formula1>
    </dataValidation>
    <dataValidation type="whole" operator="greaterThan" allowBlank="1" showInputMessage="1" showErrorMessage="1" sqref="A4387">
      <formula1>0</formula1>
    </dataValidation>
    <dataValidation type="list" allowBlank="1" showInputMessage="1" showErrorMessage="1" sqref="C4387">
      <formula1>UnidadesList</formula1>
    </dataValidation>
    <dataValidation type="decimal" operator="greaterThan" allowBlank="1" showInputMessage="1" showErrorMessage="1" sqref="D4387">
      <formula1>0</formula1>
    </dataValidation>
    <dataValidation type="decimal" operator="greaterThan" allowBlank="1" showInputMessage="1" showErrorMessage="1" sqref="E4387">
      <formula1>0</formula1>
    </dataValidation>
    <dataValidation type="whole" operator="greaterThan" allowBlank="1" showInputMessage="1" showErrorMessage="1" sqref="A4388">
      <formula1>0</formula1>
    </dataValidation>
    <dataValidation type="list" allowBlank="1" showInputMessage="1" showErrorMessage="1" sqref="C4388">
      <formula1>UnidadesList</formula1>
    </dataValidation>
    <dataValidation type="decimal" operator="greaterThan" allowBlank="1" showInputMessage="1" showErrorMessage="1" sqref="D4388">
      <formula1>0</formula1>
    </dataValidation>
    <dataValidation type="decimal" operator="greaterThan" allowBlank="1" showInputMessage="1" showErrorMessage="1" sqref="E4388">
      <formula1>0</formula1>
    </dataValidation>
    <dataValidation type="whole" operator="greaterThan" allowBlank="1" showInputMessage="1" showErrorMessage="1" sqref="A4389">
      <formula1>0</formula1>
    </dataValidation>
    <dataValidation type="list" allowBlank="1" showInputMessage="1" showErrorMessage="1" sqref="C4389">
      <formula1>UnidadesList</formula1>
    </dataValidation>
    <dataValidation type="decimal" operator="greaterThan" allowBlank="1" showInputMessage="1" showErrorMessage="1" sqref="D4389">
      <formula1>0</formula1>
    </dataValidation>
    <dataValidation type="decimal" operator="greaterThan" allowBlank="1" showInputMessage="1" showErrorMessage="1" sqref="E4389">
      <formula1>0</formula1>
    </dataValidation>
    <dataValidation type="whole" operator="greaterThan" allowBlank="1" showInputMessage="1" showErrorMessage="1" sqref="A4390">
      <formula1>0</formula1>
    </dataValidation>
    <dataValidation type="list" allowBlank="1" showInputMessage="1" showErrorMessage="1" sqref="C4390">
      <formula1>UnidadesList</formula1>
    </dataValidation>
    <dataValidation type="decimal" operator="greaterThan" allowBlank="1" showInputMessage="1" showErrorMessage="1" sqref="D4390">
      <formula1>0</formula1>
    </dataValidation>
    <dataValidation type="decimal" operator="greaterThan" allowBlank="1" showInputMessage="1" showErrorMessage="1" sqref="E4390">
      <formula1>0</formula1>
    </dataValidation>
    <dataValidation type="whole" operator="greaterThan" allowBlank="1" showInputMessage="1" showErrorMessage="1" sqref="A4391">
      <formula1>0</formula1>
    </dataValidation>
    <dataValidation type="list" allowBlank="1" showInputMessage="1" showErrorMessage="1" sqref="C4391">
      <formula1>UnidadesList</formula1>
    </dataValidation>
    <dataValidation type="decimal" operator="greaterThan" allowBlank="1" showInputMessage="1" showErrorMessage="1" sqref="D4391">
      <formula1>0</formula1>
    </dataValidation>
    <dataValidation type="decimal" operator="greaterThan" allowBlank="1" showInputMessage="1" showErrorMessage="1" sqref="E4391">
      <formula1>0</formula1>
    </dataValidation>
    <dataValidation type="whole" operator="greaterThan" allowBlank="1" showInputMessage="1" showErrorMessage="1" sqref="A4392">
      <formula1>0</formula1>
    </dataValidation>
    <dataValidation type="list" allowBlank="1" showInputMessage="1" showErrorMessage="1" sqref="C4392">
      <formula1>UnidadesList</formula1>
    </dataValidation>
    <dataValidation type="decimal" operator="greaterThan" allowBlank="1" showInputMessage="1" showErrorMessage="1" sqref="D4392">
      <formula1>0</formula1>
    </dataValidation>
    <dataValidation type="decimal" operator="greaterThan" allowBlank="1" showInputMessage="1" showErrorMessage="1" sqref="E4392">
      <formula1>0</formula1>
    </dataValidation>
    <dataValidation type="whole" operator="greaterThan" allowBlank="1" showInputMessage="1" showErrorMessage="1" sqref="A4393">
      <formula1>0</formula1>
    </dataValidation>
    <dataValidation type="list" allowBlank="1" showInputMessage="1" showErrorMessage="1" sqref="C4393">
      <formula1>UnidadesList</formula1>
    </dataValidation>
    <dataValidation type="decimal" operator="greaterThan" allowBlank="1" showInputMessage="1" showErrorMessage="1" sqref="D4393">
      <formula1>0</formula1>
    </dataValidation>
    <dataValidation type="decimal" operator="greaterThan" allowBlank="1" showInputMessage="1" showErrorMessage="1" sqref="E4393">
      <formula1>0</formula1>
    </dataValidation>
    <dataValidation type="whole" operator="greaterThan" allowBlank="1" showInputMessage="1" showErrorMessage="1" sqref="A4394">
      <formula1>0</formula1>
    </dataValidation>
    <dataValidation type="list" allowBlank="1" showInputMessage="1" showErrorMessage="1" sqref="C4394">
      <formula1>UnidadesList</formula1>
    </dataValidation>
    <dataValidation type="decimal" operator="greaterThan" allowBlank="1" showInputMessage="1" showErrorMessage="1" sqref="D4394">
      <formula1>0</formula1>
    </dataValidation>
    <dataValidation type="decimal" operator="greaterThan" allowBlank="1" showInputMessage="1" showErrorMessage="1" sqref="E4394">
      <formula1>0</formula1>
    </dataValidation>
    <dataValidation type="whole" operator="greaterThan" allowBlank="1" showInputMessage="1" showErrorMessage="1" sqref="A4395">
      <formula1>0</formula1>
    </dataValidation>
    <dataValidation type="list" allowBlank="1" showInputMessage="1" showErrorMessage="1" sqref="C4395">
      <formula1>UnidadesList</formula1>
    </dataValidation>
    <dataValidation type="decimal" operator="greaterThan" allowBlank="1" showInputMessage="1" showErrorMessage="1" sqref="D4395">
      <formula1>0</formula1>
    </dataValidation>
    <dataValidation type="decimal" operator="greaterThan" allowBlank="1" showInputMessage="1" showErrorMessage="1" sqref="E4395">
      <formula1>0</formula1>
    </dataValidation>
    <dataValidation type="whole" operator="greaterThan" allowBlank="1" showInputMessage="1" showErrorMessage="1" sqref="A4396">
      <formula1>0</formula1>
    </dataValidation>
    <dataValidation type="list" allowBlank="1" showInputMessage="1" showErrorMessage="1" sqref="C4396">
      <formula1>UnidadesList</formula1>
    </dataValidation>
    <dataValidation type="decimal" operator="greaterThan" allowBlank="1" showInputMessage="1" showErrorMessage="1" sqref="D4396">
      <formula1>0</formula1>
    </dataValidation>
    <dataValidation type="decimal" operator="greaterThan" allowBlank="1" showInputMessage="1" showErrorMessage="1" sqref="E4396">
      <formula1>0</formula1>
    </dataValidation>
    <dataValidation type="whole" operator="greaterThan" allowBlank="1" showInputMessage="1" showErrorMessage="1" sqref="A4397">
      <formula1>0</formula1>
    </dataValidation>
    <dataValidation type="list" allowBlank="1" showInputMessage="1" showErrorMessage="1" sqref="C4397">
      <formula1>UnidadesList</formula1>
    </dataValidation>
    <dataValidation type="decimal" operator="greaterThan" allowBlank="1" showInputMessage="1" showErrorMessage="1" sqref="D4397">
      <formula1>0</formula1>
    </dataValidation>
    <dataValidation type="decimal" operator="greaterThan" allowBlank="1" showInputMessage="1" showErrorMessage="1" sqref="E4397">
      <formula1>0</formula1>
    </dataValidation>
    <dataValidation type="whole" operator="greaterThan" allowBlank="1" showInputMessage="1" showErrorMessage="1" sqref="A4398">
      <formula1>0</formula1>
    </dataValidation>
    <dataValidation type="list" allowBlank="1" showInputMessage="1" showErrorMessage="1" sqref="C4398">
      <formula1>UnidadesList</formula1>
    </dataValidation>
    <dataValidation type="decimal" operator="greaterThan" allowBlank="1" showInputMessage="1" showErrorMessage="1" sqref="D4398">
      <formula1>0</formula1>
    </dataValidation>
    <dataValidation type="decimal" operator="greaterThan" allowBlank="1" showInputMessage="1" showErrorMessage="1" sqref="E4398">
      <formula1>0</formula1>
    </dataValidation>
    <dataValidation type="whole" operator="greaterThan" allowBlank="1" showInputMessage="1" showErrorMessage="1" sqref="A4399">
      <formula1>0</formula1>
    </dataValidation>
    <dataValidation type="list" allowBlank="1" showInputMessage="1" showErrorMessage="1" sqref="C4399">
      <formula1>UnidadesList</formula1>
    </dataValidation>
    <dataValidation type="decimal" operator="greaterThan" allowBlank="1" showInputMessage="1" showErrorMessage="1" sqref="D4399">
      <formula1>0</formula1>
    </dataValidation>
    <dataValidation type="decimal" operator="greaterThan" allowBlank="1" showInputMessage="1" showErrorMessage="1" sqref="E4399">
      <formula1>0</formula1>
    </dataValidation>
    <dataValidation type="whole" operator="greaterThan" allowBlank="1" showInputMessage="1" showErrorMessage="1" sqref="A4400">
      <formula1>0</formula1>
    </dataValidation>
    <dataValidation type="list" allowBlank="1" showInputMessage="1" showErrorMessage="1" sqref="C4400">
      <formula1>UnidadesList</formula1>
    </dataValidation>
    <dataValidation type="decimal" operator="greaterThan" allowBlank="1" showInputMessage="1" showErrorMessage="1" sqref="D4400">
      <formula1>0</formula1>
    </dataValidation>
    <dataValidation type="decimal" operator="greaterThan" allowBlank="1" showInputMessage="1" showErrorMessage="1" sqref="E4400">
      <formula1>0</formula1>
    </dataValidation>
    <dataValidation type="whole" operator="greaterThan" allowBlank="1" showInputMessage="1" showErrorMessage="1" sqref="A4401">
      <formula1>0</formula1>
    </dataValidation>
    <dataValidation type="list" allowBlank="1" showInputMessage="1" showErrorMessage="1" sqref="C4401">
      <formula1>UnidadesList</formula1>
    </dataValidation>
    <dataValidation type="decimal" operator="greaterThan" allowBlank="1" showInputMessage="1" showErrorMessage="1" sqref="D4401">
      <formula1>0</formula1>
    </dataValidation>
    <dataValidation type="decimal" operator="greaterThan" allowBlank="1" showInputMessage="1" showErrorMessage="1" sqref="E4401">
      <formula1>0</formula1>
    </dataValidation>
    <dataValidation type="whole" operator="greaterThan" allowBlank="1" showInputMessage="1" showErrorMessage="1" sqref="A4402">
      <formula1>0</formula1>
    </dataValidation>
    <dataValidation type="list" allowBlank="1" showInputMessage="1" showErrorMessage="1" sqref="C4402">
      <formula1>UnidadesList</formula1>
    </dataValidation>
    <dataValidation type="decimal" operator="greaterThan" allowBlank="1" showInputMessage="1" showErrorMessage="1" sqref="D4402">
      <formula1>0</formula1>
    </dataValidation>
    <dataValidation type="decimal" operator="greaterThan" allowBlank="1" showInputMessage="1" showErrorMessage="1" sqref="E4402">
      <formula1>0</formula1>
    </dataValidation>
    <dataValidation type="whole" operator="greaterThan" allowBlank="1" showInputMessage="1" showErrorMessage="1" sqref="A4403">
      <formula1>0</formula1>
    </dataValidation>
    <dataValidation type="list" allowBlank="1" showInputMessage="1" showErrorMessage="1" sqref="C4403">
      <formula1>UnidadesList</formula1>
    </dataValidation>
    <dataValidation type="decimal" operator="greaterThan" allowBlank="1" showInputMessage="1" showErrorMessage="1" sqref="D4403">
      <formula1>0</formula1>
    </dataValidation>
    <dataValidation type="decimal" operator="greaterThan" allowBlank="1" showInputMessage="1" showErrorMessage="1" sqref="E4403">
      <formula1>0</formula1>
    </dataValidation>
    <dataValidation type="whole" operator="greaterThan" allowBlank="1" showInputMessage="1" showErrorMessage="1" sqref="A4404">
      <formula1>0</formula1>
    </dataValidation>
    <dataValidation type="list" allowBlank="1" showInputMessage="1" showErrorMessage="1" sqref="C4404">
      <formula1>UnidadesList</formula1>
    </dataValidation>
    <dataValidation type="decimal" operator="greaterThan" allowBlank="1" showInputMessage="1" showErrorMessage="1" sqref="D4404">
      <formula1>0</formula1>
    </dataValidation>
    <dataValidation type="decimal" operator="greaterThan" allowBlank="1" showInputMessage="1" showErrorMessage="1" sqref="E4404">
      <formula1>0</formula1>
    </dataValidation>
    <dataValidation type="whole" operator="greaterThan" allowBlank="1" showInputMessage="1" showErrorMessage="1" sqref="A4405">
      <formula1>0</formula1>
    </dataValidation>
    <dataValidation type="list" allowBlank="1" showInputMessage="1" showErrorMessage="1" sqref="C4405">
      <formula1>UnidadesList</formula1>
    </dataValidation>
    <dataValidation type="decimal" operator="greaterThan" allowBlank="1" showInputMessage="1" showErrorMessage="1" sqref="D4405">
      <formula1>0</formula1>
    </dataValidation>
    <dataValidation type="decimal" operator="greaterThan" allowBlank="1" showInputMessage="1" showErrorMessage="1" sqref="E4405">
      <formula1>0</formula1>
    </dataValidation>
    <dataValidation type="whole" operator="greaterThan" allowBlank="1" showInputMessage="1" showErrorMessage="1" sqref="A4406">
      <formula1>0</formula1>
    </dataValidation>
    <dataValidation type="list" allowBlank="1" showInputMessage="1" showErrorMessage="1" sqref="C4406">
      <formula1>UnidadesList</formula1>
    </dataValidation>
    <dataValidation type="decimal" operator="greaterThan" allowBlank="1" showInputMessage="1" showErrorMessage="1" sqref="D4406">
      <formula1>0</formula1>
    </dataValidation>
    <dataValidation type="decimal" operator="greaterThan" allowBlank="1" showInputMessage="1" showErrorMessage="1" sqref="E4406">
      <formula1>0</formula1>
    </dataValidation>
    <dataValidation type="whole" operator="greaterThan" allowBlank="1" showInputMessage="1" showErrorMessage="1" sqref="A4407">
      <formula1>0</formula1>
    </dataValidation>
    <dataValidation type="list" allowBlank="1" showInputMessage="1" showErrorMessage="1" sqref="C4407">
      <formula1>UnidadesList</formula1>
    </dataValidation>
    <dataValidation type="decimal" operator="greaterThan" allowBlank="1" showInputMessage="1" showErrorMessage="1" sqref="D4407">
      <formula1>0</formula1>
    </dataValidation>
    <dataValidation type="decimal" operator="greaterThan" allowBlank="1" showInputMessage="1" showErrorMessage="1" sqref="E4407">
      <formula1>0</formula1>
    </dataValidation>
    <dataValidation type="whole" operator="greaterThan" allowBlank="1" showInputMessage="1" showErrorMessage="1" sqref="A4408">
      <formula1>0</formula1>
    </dataValidation>
    <dataValidation type="list" allowBlank="1" showInputMessage="1" showErrorMessage="1" sqref="C4408">
      <formula1>UnidadesList</formula1>
    </dataValidation>
    <dataValidation type="decimal" operator="greaterThan" allowBlank="1" showInputMessage="1" showErrorMessage="1" sqref="D4408">
      <formula1>0</formula1>
    </dataValidation>
    <dataValidation type="decimal" operator="greaterThan" allowBlank="1" showInputMessage="1" showErrorMessage="1" sqref="E4408">
      <formula1>0</formula1>
    </dataValidation>
    <dataValidation type="whole" operator="greaterThan" allowBlank="1" showInputMessage="1" showErrorMessage="1" sqref="A4409">
      <formula1>0</formula1>
    </dataValidation>
    <dataValidation type="list" allowBlank="1" showInputMessage="1" showErrorMessage="1" sqref="C4409">
      <formula1>UnidadesList</formula1>
    </dataValidation>
    <dataValidation type="decimal" operator="greaterThan" allowBlank="1" showInputMessage="1" showErrorMessage="1" sqref="D4409">
      <formula1>0</formula1>
    </dataValidation>
    <dataValidation type="decimal" operator="greaterThan" allowBlank="1" showInputMessage="1" showErrorMessage="1" sqref="E4409">
      <formula1>0</formula1>
    </dataValidation>
    <dataValidation type="date" operator="lessThanOrEqual" allowBlank="1" showInputMessage="1" showErrorMessage="1" sqref="C4414">
      <formula1>C4416</formula1>
    </dataValidation>
    <dataValidation type="date" operator="greaterThanOrEqual" allowBlank="1" showInputMessage="1" showErrorMessage="1" sqref="C4416">
      <formula1>C4414</formula1>
    </dataValidation>
    <dataValidation type="list" allowBlank="1" showInputMessage="1" showErrorMessage="1" sqref="F441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41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41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41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420">
      <formula1>0</formula1>
    </dataValidation>
    <dataValidation type="list" allowBlank="1" showInputMessage="1" showErrorMessage="1" sqref="C4420">
      <formula1>UnidadesList</formula1>
    </dataValidation>
    <dataValidation type="decimal" operator="greaterThan" allowBlank="1" showInputMessage="1" showErrorMessage="1" sqref="D4420">
      <formula1>0</formula1>
    </dataValidation>
    <dataValidation type="decimal" operator="greaterThan" allowBlank="1" showInputMessage="1" showErrorMessage="1" sqref="E4420">
      <formula1>0</formula1>
    </dataValidation>
    <dataValidation type="whole" operator="greaterThan" allowBlank="1" showInputMessage="1" showErrorMessage="1" sqref="A4421">
      <formula1>0</formula1>
    </dataValidation>
    <dataValidation type="list" allowBlank="1" showInputMessage="1" showErrorMessage="1" sqref="C4421">
      <formula1>UnidadesList</formula1>
    </dataValidation>
    <dataValidation type="decimal" operator="greaterThan" allowBlank="1" showInputMessage="1" showErrorMessage="1" sqref="D4421">
      <formula1>0</formula1>
    </dataValidation>
    <dataValidation type="decimal" operator="greaterThan" allowBlank="1" showInputMessage="1" showErrorMessage="1" sqref="E4421">
      <formula1>0</formula1>
    </dataValidation>
    <dataValidation type="whole" operator="greaterThan" allowBlank="1" showInputMessage="1" showErrorMessage="1" sqref="A4422">
      <formula1>0</formula1>
    </dataValidation>
    <dataValidation type="list" allowBlank="1" showInputMessage="1" showErrorMessage="1" sqref="C4422">
      <formula1>UnidadesList</formula1>
    </dataValidation>
    <dataValidation type="decimal" operator="greaterThan" allowBlank="1" showInputMessage="1" showErrorMessage="1" sqref="D4422">
      <formula1>0</formula1>
    </dataValidation>
    <dataValidation type="decimal" operator="greaterThan" allowBlank="1" showInputMessage="1" showErrorMessage="1" sqref="E4422">
      <formula1>0</formula1>
    </dataValidation>
    <dataValidation type="whole" operator="greaterThan" allowBlank="1" showInputMessage="1" showErrorMessage="1" sqref="A4423">
      <formula1>0</formula1>
    </dataValidation>
    <dataValidation type="list" allowBlank="1" showInputMessage="1" showErrorMessage="1" sqref="C4423">
      <formula1>UnidadesList</formula1>
    </dataValidation>
    <dataValidation type="decimal" operator="greaterThan" allowBlank="1" showInputMessage="1" showErrorMessage="1" sqref="D4423">
      <formula1>0</formula1>
    </dataValidation>
    <dataValidation type="decimal" operator="greaterThan" allowBlank="1" showInputMessage="1" showErrorMessage="1" sqref="E4423">
      <formula1>0</formula1>
    </dataValidation>
    <dataValidation type="whole" operator="greaterThan" allowBlank="1" showInputMessage="1" showErrorMessage="1" sqref="A4424">
      <formula1>0</formula1>
    </dataValidation>
    <dataValidation type="list" allowBlank="1" showInputMessage="1" showErrorMessage="1" sqref="C4424">
      <formula1>UnidadesList</formula1>
    </dataValidation>
    <dataValidation type="decimal" operator="greaterThan" allowBlank="1" showInputMessage="1" showErrorMessage="1" sqref="D4424">
      <formula1>0</formula1>
    </dataValidation>
    <dataValidation type="decimal" operator="greaterThan" allowBlank="1" showInputMessage="1" showErrorMessage="1" sqref="E4424">
      <formula1>0</formula1>
    </dataValidation>
    <dataValidation type="whole" operator="greaterThan" allowBlank="1" showInputMessage="1" showErrorMessage="1" sqref="A4425">
      <formula1>0</formula1>
    </dataValidation>
    <dataValidation type="list" allowBlank="1" showInputMessage="1" showErrorMessage="1" sqref="C4425">
      <formula1>UnidadesList</formula1>
    </dataValidation>
    <dataValidation type="decimal" operator="greaterThan" allowBlank="1" showInputMessage="1" showErrorMessage="1" sqref="D4425">
      <formula1>0</formula1>
    </dataValidation>
    <dataValidation type="decimal" operator="greaterThan" allowBlank="1" showInputMessage="1" showErrorMessage="1" sqref="E4425">
      <formula1>0</formula1>
    </dataValidation>
    <dataValidation type="whole" operator="greaterThan" allowBlank="1" showInputMessage="1" showErrorMessage="1" sqref="A4426">
      <formula1>0</formula1>
    </dataValidation>
    <dataValidation type="list" allowBlank="1" showInputMessage="1" showErrorMessage="1" sqref="C4426">
      <formula1>UnidadesList</formula1>
    </dataValidation>
    <dataValidation type="decimal" operator="greaterThan" allowBlank="1" showInputMessage="1" showErrorMessage="1" sqref="D4426">
      <formula1>0</formula1>
    </dataValidation>
    <dataValidation type="decimal" operator="greaterThan" allowBlank="1" showInputMessage="1" showErrorMessage="1" sqref="E4426">
      <formula1>0</formula1>
    </dataValidation>
    <dataValidation type="whole" operator="greaterThan" allowBlank="1" showInputMessage="1" showErrorMessage="1" sqref="A4427">
      <formula1>0</formula1>
    </dataValidation>
    <dataValidation type="list" allowBlank="1" showInputMessage="1" showErrorMessage="1" sqref="C4427">
      <formula1>UnidadesList</formula1>
    </dataValidation>
    <dataValidation type="decimal" operator="greaterThan" allowBlank="1" showInputMessage="1" showErrorMessage="1" sqref="D4427">
      <formula1>0</formula1>
    </dataValidation>
    <dataValidation type="decimal" operator="greaterThan" allowBlank="1" showInputMessage="1" showErrorMessage="1" sqref="E4427">
      <formula1>0</formula1>
    </dataValidation>
    <dataValidation type="whole" operator="greaterThan" allowBlank="1" showInputMessage="1" showErrorMessage="1" sqref="A4428">
      <formula1>0</formula1>
    </dataValidation>
    <dataValidation type="list" allowBlank="1" showInputMessage="1" showErrorMessage="1" sqref="C4428">
      <formula1>UnidadesList</formula1>
    </dataValidation>
    <dataValidation type="decimal" operator="greaterThan" allowBlank="1" showInputMessage="1" showErrorMessage="1" sqref="D4428">
      <formula1>0</formula1>
    </dataValidation>
    <dataValidation type="decimal" operator="greaterThan" allowBlank="1" showInputMessage="1" showErrorMessage="1" sqref="E4428">
      <formula1>0</formula1>
    </dataValidation>
    <dataValidation type="whole" operator="greaterThan" allowBlank="1" showInputMessage="1" showErrorMessage="1" sqref="A4429">
      <formula1>0</formula1>
    </dataValidation>
    <dataValidation type="list" allowBlank="1" showInputMessage="1" showErrorMessage="1" sqref="C4429">
      <formula1>UnidadesList</formula1>
    </dataValidation>
    <dataValidation type="decimal" operator="greaterThan" allowBlank="1" showInputMessage="1" showErrorMessage="1" sqref="D4429">
      <formula1>0</formula1>
    </dataValidation>
    <dataValidation type="decimal" operator="greaterThan" allowBlank="1" showInputMessage="1" showErrorMessage="1" sqref="E4429">
      <formula1>0</formula1>
    </dataValidation>
    <dataValidation type="whole" operator="greaterThan" allowBlank="1" showInputMessage="1" showErrorMessage="1" sqref="A4430">
      <formula1>0</formula1>
    </dataValidation>
    <dataValidation type="list" allowBlank="1" showInputMessage="1" showErrorMessage="1" sqref="C4430">
      <formula1>UnidadesList</formula1>
    </dataValidation>
    <dataValidation type="decimal" operator="greaterThan" allowBlank="1" showInputMessage="1" showErrorMessage="1" sqref="D4430">
      <formula1>0</formula1>
    </dataValidation>
    <dataValidation type="decimal" operator="greaterThan" allowBlank="1" showInputMessage="1" showErrorMessage="1" sqref="E4430">
      <formula1>0</formula1>
    </dataValidation>
    <dataValidation type="whole" operator="greaterThan" allowBlank="1" showInputMessage="1" showErrorMessage="1" sqref="A4431">
      <formula1>0</formula1>
    </dataValidation>
    <dataValidation type="list" allowBlank="1" showInputMessage="1" showErrorMessage="1" sqref="C4431">
      <formula1>UnidadesList</formula1>
    </dataValidation>
    <dataValidation type="decimal" operator="greaterThan" allowBlank="1" showInputMessage="1" showErrorMessage="1" sqref="D4431">
      <formula1>0</formula1>
    </dataValidation>
    <dataValidation type="decimal" operator="greaterThan" allowBlank="1" showInputMessage="1" showErrorMessage="1" sqref="E4431">
      <formula1>0</formula1>
    </dataValidation>
    <dataValidation type="whole" operator="greaterThan" allowBlank="1" showInputMessage="1" showErrorMessage="1" sqref="A4432">
      <formula1>0</formula1>
    </dataValidation>
    <dataValidation type="list" allowBlank="1" showInputMessage="1" showErrorMessage="1" sqref="C4432">
      <formula1>UnidadesList</formula1>
    </dataValidation>
    <dataValidation type="decimal" operator="greaterThan" allowBlank="1" showInputMessage="1" showErrorMessage="1" sqref="D4432">
      <formula1>0</formula1>
    </dataValidation>
    <dataValidation type="decimal" operator="greaterThan" allowBlank="1" showInputMessage="1" showErrorMessage="1" sqref="E4432">
      <formula1>0</formula1>
    </dataValidation>
    <dataValidation type="whole" operator="greaterThan" allowBlank="1" showInputMessage="1" showErrorMessage="1" sqref="A4433">
      <formula1>0</formula1>
    </dataValidation>
    <dataValidation type="list" allowBlank="1" showInputMessage="1" showErrorMessage="1" sqref="C4433">
      <formula1>UnidadesList</formula1>
    </dataValidation>
    <dataValidation type="decimal" operator="greaterThan" allowBlank="1" showInputMessage="1" showErrorMessage="1" sqref="D4433">
      <formula1>0</formula1>
    </dataValidation>
    <dataValidation type="decimal" operator="greaterThan" allowBlank="1" showInputMessage="1" showErrorMessage="1" sqref="E4433">
      <formula1>0</formula1>
    </dataValidation>
    <dataValidation type="whole" operator="greaterThan" allowBlank="1" showInputMessage="1" showErrorMessage="1" sqref="A4434">
      <formula1>0</formula1>
    </dataValidation>
    <dataValidation type="list" allowBlank="1" showInputMessage="1" showErrorMessage="1" sqref="C4434">
      <formula1>UnidadesList</formula1>
    </dataValidation>
    <dataValidation type="decimal" operator="greaterThan" allowBlank="1" showInputMessage="1" showErrorMessage="1" sqref="D4434">
      <formula1>0</formula1>
    </dataValidation>
    <dataValidation type="decimal" operator="greaterThan" allowBlank="1" showInputMessage="1" showErrorMessage="1" sqref="E4434">
      <formula1>0</formula1>
    </dataValidation>
    <dataValidation type="whole" operator="greaterThan" allowBlank="1" showInputMessage="1" showErrorMessage="1" sqref="A4435">
      <formula1>0</formula1>
    </dataValidation>
    <dataValidation type="list" allowBlank="1" showInputMessage="1" showErrorMessage="1" sqref="C4435">
      <formula1>UnidadesList</formula1>
    </dataValidation>
    <dataValidation type="decimal" operator="greaterThan" allowBlank="1" showInputMessage="1" showErrorMessage="1" sqref="D4435">
      <formula1>0</formula1>
    </dataValidation>
    <dataValidation type="decimal" operator="greaterThan" allowBlank="1" showInputMessage="1" showErrorMessage="1" sqref="E4435">
      <formula1>0</formula1>
    </dataValidation>
    <dataValidation type="whole" operator="greaterThan" allowBlank="1" showInputMessage="1" showErrorMessage="1" sqref="A4436">
      <formula1>0</formula1>
    </dataValidation>
    <dataValidation type="list" allowBlank="1" showInputMessage="1" showErrorMessage="1" sqref="C4436">
      <formula1>UnidadesList</formula1>
    </dataValidation>
    <dataValidation type="decimal" operator="greaterThan" allowBlank="1" showInputMessage="1" showErrorMessage="1" sqref="D4436">
      <formula1>0</formula1>
    </dataValidation>
    <dataValidation type="decimal" operator="greaterThan" allowBlank="1" showInputMessage="1" showErrorMessage="1" sqref="E4436">
      <formula1>0</formula1>
    </dataValidation>
    <dataValidation type="whole" operator="greaterThan" allowBlank="1" showInputMessage="1" showErrorMessage="1" sqref="A4437">
      <formula1>0</formula1>
    </dataValidation>
    <dataValidation type="list" allowBlank="1" showInputMessage="1" showErrorMessage="1" sqref="C4437">
      <formula1>UnidadesList</formula1>
    </dataValidation>
    <dataValidation type="decimal" operator="greaterThan" allowBlank="1" showInputMessage="1" showErrorMessage="1" sqref="D4437">
      <formula1>0</formula1>
    </dataValidation>
    <dataValidation type="decimal" operator="greaterThan" allowBlank="1" showInputMessage="1" showErrorMessage="1" sqref="E4437">
      <formula1>0</formula1>
    </dataValidation>
    <dataValidation type="whole" operator="greaterThan" allowBlank="1" showInputMessage="1" showErrorMessage="1" sqref="A4438">
      <formula1>0</formula1>
    </dataValidation>
    <dataValidation type="list" allowBlank="1" showInputMessage="1" showErrorMessage="1" sqref="C4438">
      <formula1>UnidadesList</formula1>
    </dataValidation>
    <dataValidation type="decimal" operator="greaterThan" allowBlank="1" showInputMessage="1" showErrorMessage="1" sqref="D4438">
      <formula1>0</formula1>
    </dataValidation>
    <dataValidation type="decimal" operator="greaterThan" allowBlank="1" showInputMessage="1" showErrorMessage="1" sqref="E4438">
      <formula1>0</formula1>
    </dataValidation>
    <dataValidation type="whole" operator="greaterThan" allowBlank="1" showInputMessage="1" showErrorMessage="1" sqref="A4439">
      <formula1>0</formula1>
    </dataValidation>
    <dataValidation type="list" allowBlank="1" showInputMessage="1" showErrorMessage="1" sqref="C4439">
      <formula1>UnidadesList</formula1>
    </dataValidation>
    <dataValidation type="decimal" operator="greaterThan" allowBlank="1" showInputMessage="1" showErrorMessage="1" sqref="D4439">
      <formula1>0</formula1>
    </dataValidation>
    <dataValidation type="decimal" operator="greaterThan" allowBlank="1" showInputMessage="1" showErrorMessage="1" sqref="E4439">
      <formula1>0</formula1>
    </dataValidation>
    <dataValidation type="whole" operator="greaterThan" allowBlank="1" showInputMessage="1" showErrorMessage="1" sqref="A4440">
      <formula1>0</formula1>
    </dataValidation>
    <dataValidation type="list" allowBlank="1" showInputMessage="1" showErrorMessage="1" sqref="C4440">
      <formula1>UnidadesList</formula1>
    </dataValidation>
    <dataValidation type="decimal" operator="greaterThan" allowBlank="1" showInputMessage="1" showErrorMessage="1" sqref="D4440">
      <formula1>0</formula1>
    </dataValidation>
    <dataValidation type="decimal" operator="greaterThan" allowBlank="1" showInputMessage="1" showErrorMessage="1" sqref="E4440">
      <formula1>0</formula1>
    </dataValidation>
    <dataValidation type="whole" operator="greaterThan" allowBlank="1" showInputMessage="1" showErrorMessage="1" sqref="A4441">
      <formula1>0</formula1>
    </dataValidation>
    <dataValidation type="list" allowBlank="1" showInputMessage="1" showErrorMessage="1" sqref="C4441">
      <formula1>UnidadesList</formula1>
    </dataValidation>
    <dataValidation type="decimal" operator="greaterThan" allowBlank="1" showInputMessage="1" showErrorMessage="1" sqref="D4441">
      <formula1>0</formula1>
    </dataValidation>
    <dataValidation type="decimal" operator="greaterThan" allowBlank="1" showInputMessage="1" showErrorMessage="1" sqref="E4441">
      <formula1>0</formula1>
    </dataValidation>
    <dataValidation type="whole" operator="greaterThan" allowBlank="1" showInputMessage="1" showErrorMessage="1" sqref="A4442">
      <formula1>0</formula1>
    </dataValidation>
    <dataValidation type="list" allowBlank="1" showInputMessage="1" showErrorMessage="1" sqref="C4442">
      <formula1>UnidadesList</formula1>
    </dataValidation>
    <dataValidation type="decimal" operator="greaterThan" allowBlank="1" showInputMessage="1" showErrorMessage="1" sqref="D4442">
      <formula1>0</formula1>
    </dataValidation>
    <dataValidation type="decimal" operator="greaterThan" allowBlank="1" showInputMessage="1" showErrorMessage="1" sqref="E4442">
      <formula1>0</formula1>
    </dataValidation>
    <dataValidation type="whole" operator="greaterThan" allowBlank="1" showInputMessage="1" showErrorMessage="1" sqref="A4443">
      <formula1>0</formula1>
    </dataValidation>
    <dataValidation type="list" allowBlank="1" showInputMessage="1" showErrorMessage="1" sqref="C4443">
      <formula1>UnidadesList</formula1>
    </dataValidation>
    <dataValidation type="decimal" operator="greaterThan" allowBlank="1" showInputMessage="1" showErrorMessage="1" sqref="D4443">
      <formula1>0</formula1>
    </dataValidation>
    <dataValidation type="decimal" operator="greaterThan" allowBlank="1" showInputMessage="1" showErrorMessage="1" sqref="E4443">
      <formula1>0</formula1>
    </dataValidation>
    <dataValidation type="whole" operator="greaterThan" allowBlank="1" showInputMessage="1" showErrorMessage="1" sqref="A4444">
      <formula1>0</formula1>
    </dataValidation>
    <dataValidation type="list" allowBlank="1" showInputMessage="1" showErrorMessage="1" sqref="C4444">
      <formula1>UnidadesList</formula1>
    </dataValidation>
    <dataValidation type="decimal" operator="greaterThan" allowBlank="1" showInputMessage="1" showErrorMessage="1" sqref="D4444">
      <formula1>0</formula1>
    </dataValidation>
    <dataValidation type="decimal" operator="greaterThan" allowBlank="1" showInputMessage="1" showErrorMessage="1" sqref="E4444">
      <formula1>0</formula1>
    </dataValidation>
    <dataValidation type="whole" operator="greaterThan" allowBlank="1" showInputMessage="1" showErrorMessage="1" sqref="A4445">
      <formula1>0</formula1>
    </dataValidation>
    <dataValidation type="list" allowBlank="1" showInputMessage="1" showErrorMessage="1" sqref="C4445">
      <formula1>UnidadesList</formula1>
    </dataValidation>
    <dataValidation type="decimal" operator="greaterThan" allowBlank="1" showInputMessage="1" showErrorMessage="1" sqref="D4445">
      <formula1>0</formula1>
    </dataValidation>
    <dataValidation type="decimal" operator="greaterThan" allowBlank="1" showInputMessage="1" showErrorMessage="1" sqref="E4445">
      <formula1>0</formula1>
    </dataValidation>
    <dataValidation type="whole" operator="greaterThan" allowBlank="1" showInputMessage="1" showErrorMessage="1" sqref="A4446">
      <formula1>0</formula1>
    </dataValidation>
    <dataValidation type="list" allowBlank="1" showInputMessage="1" showErrorMessage="1" sqref="C4446">
      <formula1>UnidadesList</formula1>
    </dataValidation>
    <dataValidation type="decimal" operator="greaterThan" allowBlank="1" showInputMessage="1" showErrorMessage="1" sqref="D4446">
      <formula1>0</formula1>
    </dataValidation>
    <dataValidation type="decimal" operator="greaterThan" allowBlank="1" showInputMessage="1" showErrorMessage="1" sqref="E4446">
      <formula1>0</formula1>
    </dataValidation>
    <dataValidation type="whole" operator="greaterThan" allowBlank="1" showInputMessage="1" showErrorMessage="1" sqref="A4447">
      <formula1>0</formula1>
    </dataValidation>
    <dataValidation type="list" allowBlank="1" showInputMessage="1" showErrorMessage="1" sqref="C4447">
      <formula1>UnidadesList</formula1>
    </dataValidation>
    <dataValidation type="decimal" operator="greaterThan" allowBlank="1" showInputMessage="1" showErrorMessage="1" sqref="D4447">
      <formula1>0</formula1>
    </dataValidation>
    <dataValidation type="decimal" operator="greaterThan" allowBlank="1" showInputMessage="1" showErrorMessage="1" sqref="E4447">
      <formula1>0</formula1>
    </dataValidation>
    <dataValidation type="whole" operator="greaterThan" allowBlank="1" showInputMessage="1" showErrorMessage="1" sqref="A4448">
      <formula1>0</formula1>
    </dataValidation>
    <dataValidation type="list" allowBlank="1" showInputMessage="1" showErrorMessage="1" sqref="C4448">
      <formula1>UnidadesList</formula1>
    </dataValidation>
    <dataValidation type="decimal" operator="greaterThan" allowBlank="1" showInputMessage="1" showErrorMessage="1" sqref="D4448">
      <formula1>0</formula1>
    </dataValidation>
    <dataValidation type="decimal" operator="greaterThan" allowBlank="1" showInputMessage="1" showErrorMessage="1" sqref="E4448">
      <formula1>0</formula1>
    </dataValidation>
    <dataValidation type="whole" operator="greaterThan" allowBlank="1" showInputMessage="1" showErrorMessage="1" sqref="A4449">
      <formula1>0</formula1>
    </dataValidation>
    <dataValidation type="list" allowBlank="1" showInputMessage="1" showErrorMessage="1" sqref="C4449">
      <formula1>UnidadesList</formula1>
    </dataValidation>
    <dataValidation type="decimal" operator="greaterThan" allowBlank="1" showInputMessage="1" showErrorMessage="1" sqref="D4449">
      <formula1>0</formula1>
    </dataValidation>
    <dataValidation type="decimal" operator="greaterThan" allowBlank="1" showInputMessage="1" showErrorMessage="1" sqref="E4449">
      <formula1>0</formula1>
    </dataValidation>
    <dataValidation type="whole" operator="greaterThan" allowBlank="1" showInputMessage="1" showErrorMessage="1" sqref="A4450">
      <formula1>0</formula1>
    </dataValidation>
    <dataValidation type="list" allowBlank="1" showInputMessage="1" showErrorMessage="1" sqref="C4450">
      <formula1>UnidadesList</formula1>
    </dataValidation>
    <dataValidation type="decimal" operator="greaterThan" allowBlank="1" showInputMessage="1" showErrorMessage="1" sqref="D4450">
      <formula1>0</formula1>
    </dataValidation>
    <dataValidation type="decimal" operator="greaterThan" allowBlank="1" showInputMessage="1" showErrorMessage="1" sqref="E4450">
      <formula1>0</formula1>
    </dataValidation>
    <dataValidation type="whole" operator="greaterThan" allowBlank="1" showInputMessage="1" showErrorMessage="1" sqref="A4451">
      <formula1>0</formula1>
    </dataValidation>
    <dataValidation type="list" allowBlank="1" showInputMessage="1" showErrorMessage="1" sqref="C4451">
      <formula1>UnidadesList</formula1>
    </dataValidation>
    <dataValidation type="decimal" operator="greaterThan" allowBlank="1" showInputMessage="1" showErrorMessage="1" sqref="D4451">
      <formula1>0</formula1>
    </dataValidation>
    <dataValidation type="decimal" operator="greaterThan" allowBlank="1" showInputMessage="1" showErrorMessage="1" sqref="E4451">
      <formula1>0</formula1>
    </dataValidation>
    <dataValidation type="whole" operator="greaterThan" allowBlank="1" showInputMessage="1" showErrorMessage="1" sqref="A4452">
      <formula1>0</formula1>
    </dataValidation>
    <dataValidation type="list" allowBlank="1" showInputMessage="1" showErrorMessage="1" sqref="C4452">
      <formula1>UnidadesList</formula1>
    </dataValidation>
    <dataValidation type="decimal" operator="greaterThan" allowBlank="1" showInputMessage="1" showErrorMessage="1" sqref="D4452">
      <formula1>0</formula1>
    </dataValidation>
    <dataValidation type="decimal" operator="greaterThan" allowBlank="1" showInputMessage="1" showErrorMessage="1" sqref="E4452">
      <formula1>0</formula1>
    </dataValidation>
    <dataValidation type="whole" operator="greaterThan" allowBlank="1" showInputMessage="1" showErrorMessage="1" sqref="A4453">
      <formula1>0</formula1>
    </dataValidation>
    <dataValidation type="list" allowBlank="1" showInputMessage="1" showErrorMessage="1" sqref="C4453">
      <formula1>UnidadesList</formula1>
    </dataValidation>
    <dataValidation type="decimal" operator="greaterThan" allowBlank="1" showInputMessage="1" showErrorMessage="1" sqref="D4453">
      <formula1>0</formula1>
    </dataValidation>
    <dataValidation type="decimal" operator="greaterThan" allowBlank="1" showInputMessage="1" showErrorMessage="1" sqref="E4453">
      <formula1>0</formula1>
    </dataValidation>
    <dataValidation type="whole" operator="greaterThan" allowBlank="1" showInputMessage="1" showErrorMessage="1" sqref="A4454">
      <formula1>0</formula1>
    </dataValidation>
    <dataValidation type="list" allowBlank="1" showInputMessage="1" showErrorMessage="1" sqref="C4454">
      <formula1>UnidadesList</formula1>
    </dataValidation>
    <dataValidation type="decimal" operator="greaterThan" allowBlank="1" showInputMessage="1" showErrorMessage="1" sqref="D4454">
      <formula1>0</formula1>
    </dataValidation>
    <dataValidation type="decimal" operator="greaterThan" allowBlank="1" showInputMessage="1" showErrorMessage="1" sqref="E4454">
      <formula1>0</formula1>
    </dataValidation>
    <dataValidation type="whole" operator="greaterThan" allowBlank="1" showInputMessage="1" showErrorMessage="1" sqref="A4455">
      <formula1>0</formula1>
    </dataValidation>
    <dataValidation type="list" allowBlank="1" showInputMessage="1" showErrorMessage="1" sqref="C4455">
      <formula1>UnidadesList</formula1>
    </dataValidation>
    <dataValidation type="decimal" operator="greaterThan" allowBlank="1" showInputMessage="1" showErrorMessage="1" sqref="D4455">
      <formula1>0</formula1>
    </dataValidation>
    <dataValidation type="decimal" operator="greaterThan" allowBlank="1" showInputMessage="1" showErrorMessage="1" sqref="E4455">
      <formula1>0</formula1>
    </dataValidation>
    <dataValidation type="whole" operator="greaterThan" allowBlank="1" showInputMessage="1" showErrorMessage="1" sqref="A4456">
      <formula1>0</formula1>
    </dataValidation>
    <dataValidation type="list" allowBlank="1" showInputMessage="1" showErrorMessage="1" sqref="C4456">
      <formula1>UnidadesList</formula1>
    </dataValidation>
    <dataValidation type="decimal" operator="greaterThan" allowBlank="1" showInputMessage="1" showErrorMessage="1" sqref="D4456">
      <formula1>0</formula1>
    </dataValidation>
    <dataValidation type="decimal" operator="greaterThan" allowBlank="1" showInputMessage="1" showErrorMessage="1" sqref="E4456">
      <formula1>0</formula1>
    </dataValidation>
    <dataValidation type="whole" operator="greaterThan" allowBlank="1" showInputMessage="1" showErrorMessage="1" sqref="A4457">
      <formula1>0</formula1>
    </dataValidation>
    <dataValidation type="list" allowBlank="1" showInputMessage="1" showErrorMessage="1" sqref="C4457">
      <formula1>UnidadesList</formula1>
    </dataValidation>
    <dataValidation type="decimal" operator="greaterThan" allowBlank="1" showInputMessage="1" showErrorMessage="1" sqref="D4457">
      <formula1>0</formula1>
    </dataValidation>
    <dataValidation type="decimal" operator="greaterThan" allowBlank="1" showInputMessage="1" showErrorMessage="1" sqref="E4457">
      <formula1>0</formula1>
    </dataValidation>
    <dataValidation type="whole" operator="greaterThan" allowBlank="1" showInputMessage="1" showErrorMessage="1" sqref="A4458">
      <formula1>0</formula1>
    </dataValidation>
    <dataValidation type="list" allowBlank="1" showInputMessage="1" showErrorMessage="1" sqref="C4458">
      <formula1>UnidadesList</formula1>
    </dataValidation>
    <dataValidation type="decimal" operator="greaterThan" allowBlank="1" showInputMessage="1" showErrorMessage="1" sqref="D4458">
      <formula1>0</formula1>
    </dataValidation>
    <dataValidation type="decimal" operator="greaterThan" allowBlank="1" showInputMessage="1" showErrorMessage="1" sqref="E4458">
      <formula1>0</formula1>
    </dataValidation>
    <dataValidation type="whole" operator="greaterThan" allowBlank="1" showInputMessage="1" showErrorMessage="1" sqref="A4459">
      <formula1>0</formula1>
    </dataValidation>
    <dataValidation type="list" allowBlank="1" showInputMessage="1" showErrorMessage="1" sqref="C4459">
      <formula1>UnidadesList</formula1>
    </dataValidation>
    <dataValidation type="decimal" operator="greaterThan" allowBlank="1" showInputMessage="1" showErrorMessage="1" sqref="D4459">
      <formula1>0</formula1>
    </dataValidation>
    <dataValidation type="decimal" operator="greaterThan" allowBlank="1" showInputMessage="1" showErrorMessage="1" sqref="E4459">
      <formula1>0</formula1>
    </dataValidation>
    <dataValidation type="whole" operator="greaterThan" allowBlank="1" showInputMessage="1" showErrorMessage="1" sqref="A4460">
      <formula1>0</formula1>
    </dataValidation>
    <dataValidation type="list" allowBlank="1" showInputMessage="1" showErrorMessage="1" sqref="C4460">
      <formula1>UnidadesList</formula1>
    </dataValidation>
    <dataValidation type="decimal" operator="greaterThan" allowBlank="1" showInputMessage="1" showErrorMessage="1" sqref="D4460">
      <formula1>0</formula1>
    </dataValidation>
    <dataValidation type="decimal" operator="greaterThan" allowBlank="1" showInputMessage="1" showErrorMessage="1" sqref="E4460">
      <formula1>0</formula1>
    </dataValidation>
    <dataValidation type="whole" operator="greaterThan" allowBlank="1" showInputMessage="1" showErrorMessage="1" sqref="A4461">
      <formula1>0</formula1>
    </dataValidation>
    <dataValidation type="list" allowBlank="1" showInputMessage="1" showErrorMessage="1" sqref="C4461">
      <formula1>UnidadesList</formula1>
    </dataValidation>
    <dataValidation type="decimal" operator="greaterThan" allowBlank="1" showInputMessage="1" showErrorMessage="1" sqref="D4461">
      <formula1>0</formula1>
    </dataValidation>
    <dataValidation type="decimal" operator="greaterThan" allowBlank="1" showInputMessage="1" showErrorMessage="1" sqref="E4461">
      <formula1>0</formula1>
    </dataValidation>
    <dataValidation type="whole" operator="greaterThan" allowBlank="1" showInputMessage="1" showErrorMessage="1" sqref="A4462">
      <formula1>0</formula1>
    </dataValidation>
    <dataValidation type="list" allowBlank="1" showInputMessage="1" showErrorMessage="1" sqref="C4462">
      <formula1>UnidadesList</formula1>
    </dataValidation>
    <dataValidation type="decimal" operator="greaterThan" allowBlank="1" showInputMessage="1" showErrorMessage="1" sqref="D4462">
      <formula1>0</formula1>
    </dataValidation>
    <dataValidation type="decimal" operator="greaterThan" allowBlank="1" showInputMessage="1" showErrorMessage="1" sqref="E4462">
      <formula1>0</formula1>
    </dataValidation>
    <dataValidation type="whole" operator="greaterThan" allowBlank="1" showInputMessage="1" showErrorMessage="1" sqref="A4463">
      <formula1>0</formula1>
    </dataValidation>
    <dataValidation type="list" allowBlank="1" showInputMessage="1" showErrorMessage="1" sqref="C4463">
      <formula1>UnidadesList</formula1>
    </dataValidation>
    <dataValidation type="decimal" operator="greaterThan" allowBlank="1" showInputMessage="1" showErrorMessage="1" sqref="D4463">
      <formula1>0</formula1>
    </dataValidation>
    <dataValidation type="decimal" operator="greaterThan" allowBlank="1" showInputMessage="1" showErrorMessage="1" sqref="E4463">
      <formula1>0</formula1>
    </dataValidation>
    <dataValidation type="whole" operator="greaterThan" allowBlank="1" showInputMessage="1" showErrorMessage="1" sqref="A4464">
      <formula1>0</formula1>
    </dataValidation>
    <dataValidation type="list" allowBlank="1" showInputMessage="1" showErrorMessage="1" sqref="C4464">
      <formula1>UnidadesList</formula1>
    </dataValidation>
    <dataValidation type="decimal" operator="greaterThan" allowBlank="1" showInputMessage="1" showErrorMessage="1" sqref="D4464">
      <formula1>0</formula1>
    </dataValidation>
    <dataValidation type="decimal" operator="greaterThan" allowBlank="1" showInputMessage="1" showErrorMessage="1" sqref="E4464">
      <formula1>0</formula1>
    </dataValidation>
    <dataValidation type="whole" operator="greaterThan" allowBlank="1" showInputMessage="1" showErrorMessage="1" sqref="A4465">
      <formula1>0</formula1>
    </dataValidation>
    <dataValidation type="list" allowBlank="1" showInputMessage="1" showErrorMessage="1" sqref="C4465">
      <formula1>UnidadesList</formula1>
    </dataValidation>
    <dataValidation type="decimal" operator="greaterThan" allowBlank="1" showInputMessage="1" showErrorMessage="1" sqref="D4465">
      <formula1>0</formula1>
    </dataValidation>
    <dataValidation type="decimal" operator="greaterThan" allowBlank="1" showInputMessage="1" showErrorMessage="1" sqref="E4465">
      <formula1>0</formula1>
    </dataValidation>
    <dataValidation type="whole" operator="greaterThan" allowBlank="1" showInputMessage="1" showErrorMessage="1" sqref="A4466">
      <formula1>0</formula1>
    </dataValidation>
    <dataValidation type="list" allowBlank="1" showInputMessage="1" showErrorMessage="1" sqref="C4466">
      <formula1>UnidadesList</formula1>
    </dataValidation>
    <dataValidation type="decimal" operator="greaterThan" allowBlank="1" showInputMessage="1" showErrorMessage="1" sqref="D4466">
      <formula1>0</formula1>
    </dataValidation>
    <dataValidation type="decimal" operator="greaterThan" allowBlank="1" showInputMessage="1" showErrorMessage="1" sqref="E4466">
      <formula1>0</formula1>
    </dataValidation>
    <dataValidation type="whole" operator="greaterThan" allowBlank="1" showInputMessage="1" showErrorMessage="1" sqref="A4467">
      <formula1>0</formula1>
    </dataValidation>
    <dataValidation type="list" allowBlank="1" showInputMessage="1" showErrorMessage="1" sqref="C4467">
      <formula1>UnidadesList</formula1>
    </dataValidation>
    <dataValidation type="decimal" operator="greaterThan" allowBlank="1" showInputMessage="1" showErrorMessage="1" sqref="D4467">
      <formula1>0</formula1>
    </dataValidation>
    <dataValidation type="decimal" operator="greaterThan" allowBlank="1" showInputMessage="1" showErrorMessage="1" sqref="E4467">
      <formula1>0</formula1>
    </dataValidation>
    <dataValidation type="whole" operator="greaterThan" allowBlank="1" showInputMessage="1" showErrorMessage="1" sqref="A4468">
      <formula1>0</formula1>
    </dataValidation>
    <dataValidation type="list" allowBlank="1" showInputMessage="1" showErrorMessage="1" sqref="C4468">
      <formula1>UnidadesList</formula1>
    </dataValidation>
    <dataValidation type="decimal" operator="greaterThan" allowBlank="1" showInputMessage="1" showErrorMessage="1" sqref="D4468">
      <formula1>0</formula1>
    </dataValidation>
    <dataValidation type="decimal" operator="greaterThan" allowBlank="1" showInputMessage="1" showErrorMessage="1" sqref="E4468">
      <formula1>0</formula1>
    </dataValidation>
    <dataValidation type="whole" operator="greaterThan" allowBlank="1" showInputMessage="1" showErrorMessage="1" sqref="A4469">
      <formula1>0</formula1>
    </dataValidation>
    <dataValidation type="list" allowBlank="1" showInputMessage="1" showErrorMessage="1" sqref="C4469">
      <formula1>UnidadesList</formula1>
    </dataValidation>
    <dataValidation type="decimal" operator="greaterThan" allowBlank="1" showInputMessage="1" showErrorMessage="1" sqref="D4469">
      <formula1>0</formula1>
    </dataValidation>
    <dataValidation type="decimal" operator="greaterThan" allowBlank="1" showInputMessage="1" showErrorMessage="1" sqref="E4469">
      <formula1>0</formula1>
    </dataValidation>
    <dataValidation type="whole" operator="greaterThan" allowBlank="1" showInputMessage="1" showErrorMessage="1" sqref="A4470">
      <formula1>0</formula1>
    </dataValidation>
    <dataValidation type="list" allowBlank="1" showInputMessage="1" showErrorMessage="1" sqref="C4470">
      <formula1>UnidadesList</formula1>
    </dataValidation>
    <dataValidation type="decimal" operator="greaterThan" allowBlank="1" showInputMessage="1" showErrorMessage="1" sqref="D4470">
      <formula1>0</formula1>
    </dataValidation>
    <dataValidation type="decimal" operator="greaterThan" allowBlank="1" showInputMessage="1" showErrorMessage="1" sqref="E4470">
      <formula1>0</formula1>
    </dataValidation>
    <dataValidation type="whole" operator="greaterThan" allowBlank="1" showInputMessage="1" showErrorMessage="1" sqref="A4471">
      <formula1>0</formula1>
    </dataValidation>
    <dataValidation type="list" allowBlank="1" showInputMessage="1" showErrorMessage="1" sqref="C4471">
      <formula1>UnidadesList</formula1>
    </dataValidation>
    <dataValidation type="decimal" operator="greaterThan" allowBlank="1" showInputMessage="1" showErrorMessage="1" sqref="D4471">
      <formula1>0</formula1>
    </dataValidation>
    <dataValidation type="decimal" operator="greaterThan" allowBlank="1" showInputMessage="1" showErrorMessage="1" sqref="E4471">
      <formula1>0</formula1>
    </dataValidation>
    <dataValidation type="whole" operator="greaterThan" allowBlank="1" showInputMessage="1" showErrorMessage="1" sqref="A4472">
      <formula1>0</formula1>
    </dataValidation>
    <dataValidation type="list" allowBlank="1" showInputMessage="1" showErrorMessage="1" sqref="C4472">
      <formula1>UnidadesList</formula1>
    </dataValidation>
    <dataValidation type="decimal" operator="greaterThan" allowBlank="1" showInputMessage="1" showErrorMessage="1" sqref="D4472">
      <formula1>0</formula1>
    </dataValidation>
    <dataValidation type="decimal" operator="greaterThan" allowBlank="1" showInputMessage="1" showErrorMessage="1" sqref="E4472">
      <formula1>0</formula1>
    </dataValidation>
    <dataValidation type="whole" operator="greaterThan" allowBlank="1" showInputMessage="1" showErrorMessage="1" sqref="A4473">
      <formula1>0</formula1>
    </dataValidation>
    <dataValidation type="list" allowBlank="1" showInputMessage="1" showErrorMessage="1" sqref="C4473">
      <formula1>UnidadesList</formula1>
    </dataValidation>
    <dataValidation type="decimal" operator="greaterThan" allowBlank="1" showInputMessage="1" showErrorMessage="1" sqref="D4473">
      <formula1>0</formula1>
    </dataValidation>
    <dataValidation type="decimal" operator="greaterThan" allowBlank="1" showInputMessage="1" showErrorMessage="1" sqref="E4473">
      <formula1>0</formula1>
    </dataValidation>
    <dataValidation type="whole" operator="greaterThan" allowBlank="1" showInputMessage="1" showErrorMessage="1" sqref="A4474">
      <formula1>0</formula1>
    </dataValidation>
    <dataValidation type="list" allowBlank="1" showInputMessage="1" showErrorMessage="1" sqref="C4474">
      <formula1>UnidadesList</formula1>
    </dataValidation>
    <dataValidation type="decimal" operator="greaterThan" allowBlank="1" showInputMessage="1" showErrorMessage="1" sqref="D4474">
      <formula1>0</formula1>
    </dataValidation>
    <dataValidation type="decimal" operator="greaterThan" allowBlank="1" showInputMessage="1" showErrorMessage="1" sqref="E4474">
      <formula1>0</formula1>
    </dataValidation>
    <dataValidation type="whole" operator="greaterThan" allowBlank="1" showInputMessage="1" showErrorMessage="1" sqref="A4475">
      <formula1>0</formula1>
    </dataValidation>
    <dataValidation type="list" allowBlank="1" showInputMessage="1" showErrorMessage="1" sqref="C4475">
      <formula1>UnidadesList</formula1>
    </dataValidation>
    <dataValidation type="decimal" operator="greaterThan" allowBlank="1" showInputMessage="1" showErrorMessage="1" sqref="D4475">
      <formula1>0</formula1>
    </dataValidation>
    <dataValidation type="decimal" operator="greaterThan" allowBlank="1" showInputMessage="1" showErrorMessage="1" sqref="E4475">
      <formula1>0</formula1>
    </dataValidation>
    <dataValidation type="whole" operator="greaterThan" allowBlank="1" showInputMessage="1" showErrorMessage="1" sqref="A4476">
      <formula1>0</formula1>
    </dataValidation>
    <dataValidation type="list" allowBlank="1" showInputMessage="1" showErrorMessage="1" sqref="C4476">
      <formula1>UnidadesList</formula1>
    </dataValidation>
    <dataValidation type="decimal" operator="greaterThan" allowBlank="1" showInputMessage="1" showErrorMessage="1" sqref="D4476">
      <formula1>0</formula1>
    </dataValidation>
    <dataValidation type="decimal" operator="greaterThan" allowBlank="1" showInputMessage="1" showErrorMessage="1" sqref="E4476">
      <formula1>0</formula1>
    </dataValidation>
    <dataValidation type="whole" operator="greaterThan" allowBlank="1" showInputMessage="1" showErrorMessage="1" sqref="A4477">
      <formula1>0</formula1>
    </dataValidation>
    <dataValidation type="list" allowBlank="1" showInputMessage="1" showErrorMessage="1" sqref="C4477">
      <formula1>UnidadesList</formula1>
    </dataValidation>
    <dataValidation type="decimal" operator="greaterThan" allowBlank="1" showInputMessage="1" showErrorMessage="1" sqref="D4477">
      <formula1>0</formula1>
    </dataValidation>
    <dataValidation type="decimal" operator="greaterThan" allowBlank="1" showInputMessage="1" showErrorMessage="1" sqref="E4477">
      <formula1>0</formula1>
    </dataValidation>
    <dataValidation type="whole" operator="greaterThan" allowBlank="1" showInputMessage="1" showErrorMessage="1" sqref="A4478">
      <formula1>0</formula1>
    </dataValidation>
    <dataValidation type="list" allowBlank="1" showInputMessage="1" showErrorMessage="1" sqref="C4478">
      <formula1>UnidadesList</formula1>
    </dataValidation>
    <dataValidation type="decimal" operator="greaterThan" allowBlank="1" showInputMessage="1" showErrorMessage="1" sqref="D4478">
      <formula1>0</formula1>
    </dataValidation>
    <dataValidation type="decimal" operator="greaterThan" allowBlank="1" showInputMessage="1" showErrorMessage="1" sqref="E4478">
      <formula1>0</formula1>
    </dataValidation>
    <dataValidation type="whole" operator="greaterThan" allowBlank="1" showInputMessage="1" showErrorMessage="1" sqref="A4479">
      <formula1>0</formula1>
    </dataValidation>
    <dataValidation type="list" allowBlank="1" showInputMessage="1" showErrorMessage="1" sqref="C4479">
      <formula1>UnidadesList</formula1>
    </dataValidation>
    <dataValidation type="decimal" operator="greaterThan" allowBlank="1" showInputMessage="1" showErrorMessage="1" sqref="D4479">
      <formula1>0</formula1>
    </dataValidation>
    <dataValidation type="decimal" operator="greaterThan" allowBlank="1" showInputMessage="1" showErrorMessage="1" sqref="E4479">
      <formula1>0</formula1>
    </dataValidation>
    <dataValidation type="whole" operator="greaterThan" allowBlank="1" showInputMessage="1" showErrorMessage="1" sqref="A4480">
      <formula1>0</formula1>
    </dataValidation>
    <dataValidation type="list" allowBlank="1" showInputMessage="1" showErrorMessage="1" sqref="C4480">
      <formula1>UnidadesList</formula1>
    </dataValidation>
    <dataValidation type="decimal" operator="greaterThan" allowBlank="1" showInputMessage="1" showErrorMessage="1" sqref="D4480">
      <formula1>0</formula1>
    </dataValidation>
    <dataValidation type="decimal" operator="greaterThan" allowBlank="1" showInputMessage="1" showErrorMessage="1" sqref="E4480">
      <formula1>0</formula1>
    </dataValidation>
    <dataValidation type="whole" operator="greaterThan" allowBlank="1" showInputMessage="1" showErrorMessage="1" sqref="A4481">
      <formula1>0</formula1>
    </dataValidation>
    <dataValidation type="list" allowBlank="1" showInputMessage="1" showErrorMessage="1" sqref="C4481">
      <formula1>UnidadesList</formula1>
    </dataValidation>
    <dataValidation type="decimal" operator="greaterThan" allowBlank="1" showInputMessage="1" showErrorMessage="1" sqref="D4481">
      <formula1>0</formula1>
    </dataValidation>
    <dataValidation type="decimal" operator="greaterThan" allowBlank="1" showInputMessage="1" showErrorMessage="1" sqref="E4481">
      <formula1>0</formula1>
    </dataValidation>
    <dataValidation type="whole" operator="greaterThan" allowBlank="1" showInputMessage="1" showErrorMessage="1" sqref="A4482">
      <formula1>0</formula1>
    </dataValidation>
    <dataValidation type="list" allowBlank="1" showInputMessage="1" showErrorMessage="1" sqref="C4482">
      <formula1>UnidadesList</formula1>
    </dataValidation>
    <dataValidation type="decimal" operator="greaterThan" allowBlank="1" showInputMessage="1" showErrorMessage="1" sqref="D4482">
      <formula1>0</formula1>
    </dataValidation>
    <dataValidation type="decimal" operator="greaterThan" allowBlank="1" showInputMessage="1" showErrorMessage="1" sqref="E4482">
      <formula1>0</formula1>
    </dataValidation>
    <dataValidation type="whole" operator="greaterThan" allowBlank="1" showInputMessage="1" showErrorMessage="1" sqref="A4483">
      <formula1>0</formula1>
    </dataValidation>
    <dataValidation type="list" allowBlank="1" showInputMessage="1" showErrorMessage="1" sqref="C4483">
      <formula1>UnidadesList</formula1>
    </dataValidation>
    <dataValidation type="decimal" operator="greaterThan" allowBlank="1" showInputMessage="1" showErrorMessage="1" sqref="D4483">
      <formula1>0</formula1>
    </dataValidation>
    <dataValidation type="decimal" operator="greaterThan" allowBlank="1" showInputMessage="1" showErrorMessage="1" sqref="E4483">
      <formula1>0</formula1>
    </dataValidation>
    <dataValidation type="whole" operator="greaterThan" allowBlank="1" showInputMessage="1" showErrorMessage="1" sqref="A4484">
      <formula1>0</formula1>
    </dataValidation>
    <dataValidation type="list" allowBlank="1" showInputMessage="1" showErrorMessage="1" sqref="C4484">
      <formula1>UnidadesList</formula1>
    </dataValidation>
    <dataValidation type="decimal" operator="greaterThan" allowBlank="1" showInputMessage="1" showErrorMessage="1" sqref="D4484">
      <formula1>0</formula1>
    </dataValidation>
    <dataValidation type="decimal" operator="greaterThan" allowBlank="1" showInputMessage="1" showErrorMessage="1" sqref="E4484">
      <formula1>0</formula1>
    </dataValidation>
    <dataValidation type="whole" operator="greaterThan" allowBlank="1" showInputMessage="1" showErrorMessage="1" sqref="A4485">
      <formula1>0</formula1>
    </dataValidation>
    <dataValidation type="list" allowBlank="1" showInputMessage="1" showErrorMessage="1" sqref="C4485">
      <formula1>UnidadesList</formula1>
    </dataValidation>
    <dataValidation type="decimal" operator="greaterThan" allowBlank="1" showInputMessage="1" showErrorMessage="1" sqref="D4485">
      <formula1>0</formula1>
    </dataValidation>
    <dataValidation type="decimal" operator="greaterThan" allowBlank="1" showInputMessage="1" showErrorMessage="1" sqref="E4485">
      <formula1>0</formula1>
    </dataValidation>
    <dataValidation type="whole" operator="greaterThan" allowBlank="1" showInputMessage="1" showErrorMessage="1" sqref="A4486">
      <formula1>0</formula1>
    </dataValidation>
    <dataValidation type="list" allowBlank="1" showInputMessage="1" showErrorMessage="1" sqref="C4486">
      <formula1>UnidadesList</formula1>
    </dataValidation>
    <dataValidation type="decimal" operator="greaterThan" allowBlank="1" showInputMessage="1" showErrorMessage="1" sqref="D4486">
      <formula1>0</formula1>
    </dataValidation>
    <dataValidation type="decimal" operator="greaterThan" allowBlank="1" showInputMessage="1" showErrorMessage="1" sqref="E4486">
      <formula1>0</formula1>
    </dataValidation>
    <dataValidation type="whole" operator="greaterThan" allowBlank="1" showInputMessage="1" showErrorMessage="1" sqref="A4487">
      <formula1>0</formula1>
    </dataValidation>
    <dataValidation type="list" allowBlank="1" showInputMessage="1" showErrorMessage="1" sqref="C4487">
      <formula1>UnidadesList</formula1>
    </dataValidation>
    <dataValidation type="decimal" operator="greaterThan" allowBlank="1" showInputMessage="1" showErrorMessage="1" sqref="D4487">
      <formula1>0</formula1>
    </dataValidation>
    <dataValidation type="decimal" operator="greaterThan" allowBlank="1" showInputMessage="1" showErrorMessage="1" sqref="E4487">
      <formula1>0</formula1>
    </dataValidation>
    <dataValidation type="whole" operator="greaterThan" allowBlank="1" showInputMessage="1" showErrorMessage="1" sqref="A4488">
      <formula1>0</formula1>
    </dataValidation>
    <dataValidation type="list" allowBlank="1" showInputMessage="1" showErrorMessage="1" sqref="C4488">
      <formula1>UnidadesList</formula1>
    </dataValidation>
    <dataValidation type="decimal" operator="greaterThan" allowBlank="1" showInputMessage="1" showErrorMessage="1" sqref="D4488">
      <formula1>0</formula1>
    </dataValidation>
    <dataValidation type="decimal" operator="greaterThan" allowBlank="1" showInputMessage="1" showErrorMessage="1" sqref="E4488">
      <formula1>0</formula1>
    </dataValidation>
    <dataValidation type="whole" operator="greaterThan" allowBlank="1" showInputMessage="1" showErrorMessage="1" sqref="A4489">
      <formula1>0</formula1>
    </dataValidation>
    <dataValidation type="list" allowBlank="1" showInputMessage="1" showErrorMessage="1" sqref="C4489">
      <formula1>UnidadesList</formula1>
    </dataValidation>
    <dataValidation type="decimal" operator="greaterThan" allowBlank="1" showInputMessage="1" showErrorMessage="1" sqref="D4489">
      <formula1>0</formula1>
    </dataValidation>
    <dataValidation type="decimal" operator="greaterThan" allowBlank="1" showInputMessage="1" showErrorMessage="1" sqref="E4489">
      <formula1>0</formula1>
    </dataValidation>
    <dataValidation type="whole" operator="greaterThan" allowBlank="1" showInputMessage="1" showErrorMessage="1" sqref="A4490">
      <formula1>0</formula1>
    </dataValidation>
    <dataValidation type="list" allowBlank="1" showInputMessage="1" showErrorMessage="1" sqref="C4490">
      <formula1>UnidadesList</formula1>
    </dataValidation>
    <dataValidation type="decimal" operator="greaterThan" allowBlank="1" showInputMessage="1" showErrorMessage="1" sqref="D4490">
      <formula1>0</formula1>
    </dataValidation>
    <dataValidation type="decimal" operator="greaterThan" allowBlank="1" showInputMessage="1" showErrorMessage="1" sqref="E4490">
      <formula1>0</formula1>
    </dataValidation>
    <dataValidation type="whole" operator="greaterThan" allowBlank="1" showInputMessage="1" showErrorMessage="1" sqref="A4491">
      <formula1>0</formula1>
    </dataValidation>
    <dataValidation type="list" allowBlank="1" showInputMessage="1" showErrorMessage="1" sqref="C4491">
      <formula1>UnidadesList</formula1>
    </dataValidation>
    <dataValidation type="decimal" operator="greaterThan" allowBlank="1" showInputMessage="1" showErrorMessage="1" sqref="D4491">
      <formula1>0</formula1>
    </dataValidation>
    <dataValidation type="decimal" operator="greaterThan" allowBlank="1" showInputMessage="1" showErrorMessage="1" sqref="E4491">
      <formula1>0</formula1>
    </dataValidation>
    <dataValidation type="whole" operator="greaterThan" allowBlank="1" showInputMessage="1" showErrorMessage="1" sqref="A4492">
      <formula1>0</formula1>
    </dataValidation>
    <dataValidation type="list" allowBlank="1" showInputMessage="1" showErrorMessage="1" sqref="C4492">
      <formula1>UnidadesList</formula1>
    </dataValidation>
    <dataValidation type="decimal" operator="greaterThan" allowBlank="1" showInputMessage="1" showErrorMessage="1" sqref="D4492">
      <formula1>0</formula1>
    </dataValidation>
    <dataValidation type="decimal" operator="greaterThan" allowBlank="1" showInputMessage="1" showErrorMessage="1" sqref="E4492">
      <formula1>0</formula1>
    </dataValidation>
    <dataValidation type="whole" operator="greaterThan" allowBlank="1" showInputMessage="1" showErrorMessage="1" sqref="A4493">
      <formula1>0</formula1>
    </dataValidation>
    <dataValidation type="list" allowBlank="1" showInputMessage="1" showErrorMessage="1" sqref="C4493">
      <formula1>UnidadesList</formula1>
    </dataValidation>
    <dataValidation type="decimal" operator="greaterThan" allowBlank="1" showInputMessage="1" showErrorMessage="1" sqref="D4493">
      <formula1>0</formula1>
    </dataValidation>
    <dataValidation type="decimal" operator="greaterThan" allowBlank="1" showInputMessage="1" showErrorMessage="1" sqref="E4493">
      <formula1>0</formula1>
    </dataValidation>
    <dataValidation type="whole" operator="greaterThan" allowBlank="1" showInputMessage="1" showErrorMessage="1" sqref="A4494">
      <formula1>0</formula1>
    </dataValidation>
    <dataValidation type="list" allowBlank="1" showInputMessage="1" showErrorMessage="1" sqref="C4494">
      <formula1>UnidadesList</formula1>
    </dataValidation>
    <dataValidation type="decimal" operator="greaterThan" allowBlank="1" showInputMessage="1" showErrorMessage="1" sqref="D4494">
      <formula1>0</formula1>
    </dataValidation>
    <dataValidation type="decimal" operator="greaterThan" allowBlank="1" showInputMessage="1" showErrorMessage="1" sqref="E4494">
      <formula1>0</formula1>
    </dataValidation>
    <dataValidation type="whole" operator="greaterThan" allowBlank="1" showInputMessage="1" showErrorMessage="1" sqref="A4495">
      <formula1>0</formula1>
    </dataValidation>
    <dataValidation type="list" allowBlank="1" showInputMessage="1" showErrorMessage="1" sqref="C4495">
      <formula1>UnidadesList</formula1>
    </dataValidation>
    <dataValidation type="decimal" operator="greaterThan" allowBlank="1" showInputMessage="1" showErrorMessage="1" sqref="D4495">
      <formula1>0</formula1>
    </dataValidation>
    <dataValidation type="decimal" operator="greaterThan" allowBlank="1" showInputMessage="1" showErrorMessage="1" sqref="E4495">
      <formula1>0</formula1>
    </dataValidation>
    <dataValidation type="whole" operator="greaterThan" allowBlank="1" showInputMessage="1" showErrorMessage="1" sqref="A4496">
      <formula1>0</formula1>
    </dataValidation>
    <dataValidation type="list" allowBlank="1" showInputMessage="1" showErrorMessage="1" sqref="C4496">
      <formula1>UnidadesList</formula1>
    </dataValidation>
    <dataValidation type="decimal" operator="greaterThan" allowBlank="1" showInputMessage="1" showErrorMessage="1" sqref="D4496">
      <formula1>0</formula1>
    </dataValidation>
    <dataValidation type="decimal" operator="greaterThan" allowBlank="1" showInputMessage="1" showErrorMessage="1" sqref="E4496">
      <formula1>0</formula1>
    </dataValidation>
    <dataValidation type="whole" operator="greaterThan" allowBlank="1" showInputMessage="1" showErrorMessage="1" sqref="A4497">
      <formula1>0</formula1>
    </dataValidation>
    <dataValidation type="list" allowBlank="1" showInputMessage="1" showErrorMessage="1" sqref="C4497">
      <formula1>UnidadesList</formula1>
    </dataValidation>
    <dataValidation type="decimal" operator="greaterThan" allowBlank="1" showInputMessage="1" showErrorMessage="1" sqref="D4497">
      <formula1>0</formula1>
    </dataValidation>
    <dataValidation type="decimal" operator="greaterThan" allowBlank="1" showInputMessage="1" showErrorMessage="1" sqref="E4497">
      <formula1>0</formula1>
    </dataValidation>
    <dataValidation type="whole" operator="greaterThan" allowBlank="1" showInputMessage="1" showErrorMessage="1" sqref="A4498">
      <formula1>0</formula1>
    </dataValidation>
    <dataValidation type="list" allowBlank="1" showInputMessage="1" showErrorMessage="1" sqref="C4498">
      <formula1>UnidadesList</formula1>
    </dataValidation>
    <dataValidation type="decimal" operator="greaterThan" allowBlank="1" showInputMessage="1" showErrorMessage="1" sqref="D4498">
      <formula1>0</formula1>
    </dataValidation>
    <dataValidation type="decimal" operator="greaterThan" allowBlank="1" showInputMessage="1" showErrorMessage="1" sqref="E4498">
      <formula1>0</formula1>
    </dataValidation>
    <dataValidation type="whole" operator="greaterThan" allowBlank="1" showInputMessage="1" showErrorMessage="1" sqref="A4499">
      <formula1>0</formula1>
    </dataValidation>
    <dataValidation type="list" allowBlank="1" showInputMessage="1" showErrorMessage="1" sqref="C4499">
      <formula1>UnidadesList</formula1>
    </dataValidation>
    <dataValidation type="decimal" operator="greaterThan" allowBlank="1" showInputMessage="1" showErrorMessage="1" sqref="D4499">
      <formula1>0</formula1>
    </dataValidation>
    <dataValidation type="decimal" operator="greaterThan" allowBlank="1" showInputMessage="1" showErrorMessage="1" sqref="E4499">
      <formula1>0</formula1>
    </dataValidation>
    <dataValidation type="whole" operator="greaterThan" allowBlank="1" showInputMessage="1" showErrorMessage="1" sqref="A4500">
      <formula1>0</formula1>
    </dataValidation>
    <dataValidation type="list" allowBlank="1" showInputMessage="1" showErrorMessage="1" sqref="C4500">
      <formula1>UnidadesList</formula1>
    </dataValidation>
    <dataValidation type="decimal" operator="greaterThan" allowBlank="1" showInputMessage="1" showErrorMessage="1" sqref="D4500">
      <formula1>0</formula1>
    </dataValidation>
    <dataValidation type="decimal" operator="greaterThan" allowBlank="1" showInputMessage="1" showErrorMessage="1" sqref="E4500">
      <formula1>0</formula1>
    </dataValidation>
    <dataValidation type="whole" operator="greaterThan" allowBlank="1" showInputMessage="1" showErrorMessage="1" sqref="A4501">
      <formula1>0</formula1>
    </dataValidation>
    <dataValidation type="list" allowBlank="1" showInputMessage="1" showErrorMessage="1" sqref="C4501">
      <formula1>UnidadesList</formula1>
    </dataValidation>
    <dataValidation type="decimal" operator="greaterThan" allowBlank="1" showInputMessage="1" showErrorMessage="1" sqref="D4501">
      <formula1>0</formula1>
    </dataValidation>
    <dataValidation type="decimal" operator="greaterThan" allowBlank="1" showInputMessage="1" showErrorMessage="1" sqref="E4501">
      <formula1>0</formula1>
    </dataValidation>
    <dataValidation type="whole" operator="greaterThan" allowBlank="1" showInputMessage="1" showErrorMessage="1" sqref="A4502">
      <formula1>0</formula1>
    </dataValidation>
    <dataValidation type="list" allowBlank="1" showInputMessage="1" showErrorMessage="1" sqref="C4502">
      <formula1>UnidadesList</formula1>
    </dataValidation>
    <dataValidation type="decimal" operator="greaterThan" allowBlank="1" showInputMessage="1" showErrorMessage="1" sqref="D4502">
      <formula1>0</formula1>
    </dataValidation>
    <dataValidation type="decimal" operator="greaterThan" allowBlank="1" showInputMessage="1" showErrorMessage="1" sqref="E4502">
      <formula1>0</formula1>
    </dataValidation>
    <dataValidation type="whole" operator="greaterThan" allowBlank="1" showInputMessage="1" showErrorMessage="1" sqref="A4503">
      <formula1>0</formula1>
    </dataValidation>
    <dataValidation type="list" allowBlank="1" showInputMessage="1" showErrorMessage="1" sqref="C4503">
      <formula1>UnidadesList</formula1>
    </dataValidation>
    <dataValidation type="decimal" operator="greaterThan" allowBlank="1" showInputMessage="1" showErrorMessage="1" sqref="D4503">
      <formula1>0</formula1>
    </dataValidation>
    <dataValidation type="decimal" operator="greaterThan" allowBlank="1" showInputMessage="1" showErrorMessage="1" sqref="E4503">
      <formula1>0</formula1>
    </dataValidation>
    <dataValidation type="whole" operator="greaterThan" allowBlank="1" showInputMessage="1" showErrorMessage="1" sqref="A4504">
      <formula1>0</formula1>
    </dataValidation>
    <dataValidation type="list" allowBlank="1" showInputMessage="1" showErrorMessage="1" sqref="C4504">
      <formula1>UnidadesList</formula1>
    </dataValidation>
    <dataValidation type="decimal" operator="greaterThan" allowBlank="1" showInputMessage="1" showErrorMessage="1" sqref="D4504">
      <formula1>0</formula1>
    </dataValidation>
    <dataValidation type="decimal" operator="greaterThan" allowBlank="1" showInputMessage="1" showErrorMessage="1" sqref="E4504">
      <formula1>0</formula1>
    </dataValidation>
    <dataValidation type="whole" operator="greaterThan" allowBlank="1" showInputMessage="1" showErrorMessage="1" sqref="A4505">
      <formula1>0</formula1>
    </dataValidation>
    <dataValidation type="list" allowBlank="1" showInputMessage="1" showErrorMessage="1" sqref="C4505">
      <formula1>UnidadesList</formula1>
    </dataValidation>
    <dataValidation type="decimal" operator="greaterThan" allowBlank="1" showInputMessage="1" showErrorMessage="1" sqref="D4505">
      <formula1>0</formula1>
    </dataValidation>
    <dataValidation type="decimal" operator="greaterThan" allowBlank="1" showInputMessage="1" showErrorMessage="1" sqref="E4505">
      <formula1>0</formula1>
    </dataValidation>
    <dataValidation type="whole" operator="greaterThan" allowBlank="1" showInputMessage="1" showErrorMessage="1" sqref="A4506">
      <formula1>0</formula1>
    </dataValidation>
    <dataValidation type="list" allowBlank="1" showInputMessage="1" showErrorMessage="1" sqref="C4506">
      <formula1>UnidadesList</formula1>
    </dataValidation>
    <dataValidation type="decimal" operator="greaterThan" allowBlank="1" showInputMessage="1" showErrorMessage="1" sqref="D4506">
      <formula1>0</formula1>
    </dataValidation>
    <dataValidation type="decimal" operator="greaterThan" allowBlank="1" showInputMessage="1" showErrorMessage="1" sqref="E4506">
      <formula1>0</formula1>
    </dataValidation>
    <dataValidation type="whole" operator="greaterThan" allowBlank="1" showInputMessage="1" showErrorMessage="1" sqref="A4507">
      <formula1>0</formula1>
    </dataValidation>
    <dataValidation type="list" allowBlank="1" showInputMessage="1" showErrorMessage="1" sqref="C4507">
      <formula1>UnidadesList</formula1>
    </dataValidation>
    <dataValidation type="decimal" operator="greaterThan" allowBlank="1" showInputMessage="1" showErrorMessage="1" sqref="D4507">
      <formula1>0</formula1>
    </dataValidation>
    <dataValidation type="decimal" operator="greaterThan" allowBlank="1" showInputMessage="1" showErrorMessage="1" sqref="E4507">
      <formula1>0</formula1>
    </dataValidation>
    <dataValidation type="whole" operator="greaterThan" allowBlank="1" showInputMessage="1" showErrorMessage="1" sqref="A4508">
      <formula1>0</formula1>
    </dataValidation>
    <dataValidation type="list" allowBlank="1" showInputMessage="1" showErrorMessage="1" sqref="C4508">
      <formula1>UnidadesList</formula1>
    </dataValidation>
    <dataValidation type="decimal" operator="greaterThan" allowBlank="1" showInputMessage="1" showErrorMessage="1" sqref="D4508">
      <formula1>0</formula1>
    </dataValidation>
    <dataValidation type="decimal" operator="greaterThan" allowBlank="1" showInputMessage="1" showErrorMessage="1" sqref="E4508">
      <formula1>0</formula1>
    </dataValidation>
    <dataValidation type="whole" operator="greaterThan" allowBlank="1" showInputMessage="1" showErrorMessage="1" sqref="A4509">
      <formula1>0</formula1>
    </dataValidation>
    <dataValidation type="list" allowBlank="1" showInputMessage="1" showErrorMessage="1" sqref="C4509">
      <formula1>UnidadesList</formula1>
    </dataValidation>
    <dataValidation type="decimal" operator="greaterThan" allowBlank="1" showInputMessage="1" showErrorMessage="1" sqref="D4509">
      <formula1>0</formula1>
    </dataValidation>
    <dataValidation type="decimal" operator="greaterThan" allowBlank="1" showInputMessage="1" showErrorMessage="1" sqref="E4509">
      <formula1>0</formula1>
    </dataValidation>
    <dataValidation type="whole" operator="greaterThan" allowBlank="1" showInputMessage="1" showErrorMessage="1" sqref="A4510">
      <formula1>0</formula1>
    </dataValidation>
    <dataValidation type="list" allowBlank="1" showInputMessage="1" showErrorMessage="1" sqref="C4510">
      <formula1>UnidadesList</formula1>
    </dataValidation>
    <dataValidation type="decimal" operator="greaterThan" allowBlank="1" showInputMessage="1" showErrorMessage="1" sqref="D4510">
      <formula1>0</formula1>
    </dataValidation>
    <dataValidation type="decimal" operator="greaterThan" allowBlank="1" showInputMessage="1" showErrorMessage="1" sqref="E4510">
      <formula1>0</formula1>
    </dataValidation>
    <dataValidation type="whole" operator="greaterThan" allowBlank="1" showInputMessage="1" showErrorMessage="1" sqref="A4511">
      <formula1>0</formula1>
    </dataValidation>
    <dataValidation type="list" allowBlank="1" showInputMessage="1" showErrorMessage="1" sqref="C4511">
      <formula1>UnidadesList</formula1>
    </dataValidation>
    <dataValidation type="decimal" operator="greaterThan" allowBlank="1" showInputMessage="1" showErrorMessage="1" sqref="D4511">
      <formula1>0</formula1>
    </dataValidation>
    <dataValidation type="decimal" operator="greaterThan" allowBlank="1" showInputMessage="1" showErrorMessage="1" sqref="E4511">
      <formula1>0</formula1>
    </dataValidation>
    <dataValidation type="whole" operator="greaterThan" allowBlank="1" showInputMessage="1" showErrorMessage="1" sqref="A4512">
      <formula1>0</formula1>
    </dataValidation>
    <dataValidation type="list" allowBlank="1" showInputMessage="1" showErrorMessage="1" sqref="C4512">
      <formula1>UnidadesList</formula1>
    </dataValidation>
    <dataValidation type="decimal" operator="greaterThan" allowBlank="1" showInputMessage="1" showErrorMessage="1" sqref="D4512">
      <formula1>0</formula1>
    </dataValidation>
    <dataValidation type="decimal" operator="greaterThan" allowBlank="1" showInputMessage="1" showErrorMessage="1" sqref="E4512">
      <formula1>0</formula1>
    </dataValidation>
    <dataValidation type="whole" operator="greaterThan" allowBlank="1" showInputMessage="1" showErrorMessage="1" sqref="A4513">
      <formula1>0</formula1>
    </dataValidation>
    <dataValidation type="list" allowBlank="1" showInputMessage="1" showErrorMessage="1" sqref="C4513">
      <formula1>UnidadesList</formula1>
    </dataValidation>
    <dataValidation type="decimal" operator="greaterThan" allowBlank="1" showInputMessage="1" showErrorMessage="1" sqref="D4513">
      <formula1>0</formula1>
    </dataValidation>
    <dataValidation type="decimal" operator="greaterThan" allowBlank="1" showInputMessage="1" showErrorMessage="1" sqref="E4513">
      <formula1>0</formula1>
    </dataValidation>
    <dataValidation type="whole" operator="greaterThan" allowBlank="1" showInputMessage="1" showErrorMessage="1" sqref="A4514">
      <formula1>0</formula1>
    </dataValidation>
    <dataValidation type="list" allowBlank="1" showInputMessage="1" showErrorMessage="1" sqref="C4514">
      <formula1>UnidadesList</formula1>
    </dataValidation>
    <dataValidation type="decimal" operator="greaterThan" allowBlank="1" showInputMessage="1" showErrorMessage="1" sqref="D4514">
      <formula1>0</formula1>
    </dataValidation>
    <dataValidation type="decimal" operator="greaterThan" allowBlank="1" showInputMessage="1" showErrorMessage="1" sqref="E4514">
      <formula1>0</formula1>
    </dataValidation>
    <dataValidation type="whole" operator="greaterThan" allowBlank="1" showInputMessage="1" showErrorMessage="1" sqref="A4515">
      <formula1>0</formula1>
    </dataValidation>
    <dataValidation type="list" allowBlank="1" showInputMessage="1" showErrorMessage="1" sqref="C4515">
      <formula1>UnidadesList</formula1>
    </dataValidation>
    <dataValidation type="decimal" operator="greaterThan" allowBlank="1" showInputMessage="1" showErrorMessage="1" sqref="D4515">
      <formula1>0</formula1>
    </dataValidation>
    <dataValidation type="decimal" operator="greaterThan" allowBlank="1" showInputMessage="1" showErrorMessage="1" sqref="E4515">
      <formula1>0</formula1>
    </dataValidation>
    <dataValidation type="whole" operator="greaterThan" allowBlank="1" showInputMessage="1" showErrorMessage="1" sqref="A4516">
      <formula1>0</formula1>
    </dataValidation>
    <dataValidation type="list" allowBlank="1" showInputMessage="1" showErrorMessage="1" sqref="C4516">
      <formula1>UnidadesList</formula1>
    </dataValidation>
    <dataValidation type="decimal" operator="greaterThan" allowBlank="1" showInputMessage="1" showErrorMessage="1" sqref="D4516">
      <formula1>0</formula1>
    </dataValidation>
    <dataValidation type="decimal" operator="greaterThan" allowBlank="1" showInputMessage="1" showErrorMessage="1" sqref="E4516">
      <formula1>0</formula1>
    </dataValidation>
    <dataValidation type="whole" operator="greaterThan" allowBlank="1" showInputMessage="1" showErrorMessage="1" sqref="A4517">
      <formula1>0</formula1>
    </dataValidation>
    <dataValidation type="list" allowBlank="1" showInputMessage="1" showErrorMessage="1" sqref="C4517">
      <formula1>UnidadesList</formula1>
    </dataValidation>
    <dataValidation type="decimal" operator="greaterThan" allowBlank="1" showInputMessage="1" showErrorMessage="1" sqref="D4517">
      <formula1>0</formula1>
    </dataValidation>
    <dataValidation type="decimal" operator="greaterThan" allowBlank="1" showInputMessage="1" showErrorMessage="1" sqref="E4517">
      <formula1>0</formula1>
    </dataValidation>
    <dataValidation type="whole" operator="greaterThan" allowBlank="1" showInputMessage="1" showErrorMessage="1" sqref="A4518">
      <formula1>0</formula1>
    </dataValidation>
    <dataValidation type="list" allowBlank="1" showInputMessage="1" showErrorMessage="1" sqref="C4518">
      <formula1>UnidadesList</formula1>
    </dataValidation>
    <dataValidation type="decimal" operator="greaterThan" allowBlank="1" showInputMessage="1" showErrorMessage="1" sqref="D4518">
      <formula1>0</formula1>
    </dataValidation>
    <dataValidation type="decimal" operator="greaterThan" allowBlank="1" showInputMessage="1" showErrorMessage="1" sqref="E4518">
      <formula1>0</formula1>
    </dataValidation>
    <dataValidation type="whole" operator="greaterThan" allowBlank="1" showInputMessage="1" showErrorMessage="1" sqref="A4519">
      <formula1>0</formula1>
    </dataValidation>
    <dataValidation type="list" allowBlank="1" showInputMessage="1" showErrorMessage="1" sqref="C4519">
      <formula1>UnidadesList</formula1>
    </dataValidation>
    <dataValidation type="decimal" operator="greaterThan" allowBlank="1" showInputMessage="1" showErrorMessage="1" sqref="D4519">
      <formula1>0</formula1>
    </dataValidation>
    <dataValidation type="decimal" operator="greaterThan" allowBlank="1" showInputMessage="1" showErrorMessage="1" sqref="E4519">
      <formula1>0</formula1>
    </dataValidation>
    <dataValidation type="whole" operator="greaterThan" allowBlank="1" showInputMessage="1" showErrorMessage="1" sqref="A4520">
      <formula1>0</formula1>
    </dataValidation>
    <dataValidation type="list" allowBlank="1" showInputMessage="1" showErrorMessage="1" sqref="C4520">
      <formula1>UnidadesList</formula1>
    </dataValidation>
    <dataValidation type="decimal" operator="greaterThan" allowBlank="1" showInputMessage="1" showErrorMessage="1" sqref="D4520">
      <formula1>0</formula1>
    </dataValidation>
    <dataValidation type="decimal" operator="greaterThan" allowBlank="1" showInputMessage="1" showErrorMessage="1" sqref="E4520">
      <formula1>0</formula1>
    </dataValidation>
    <dataValidation type="whole" operator="greaterThan" allowBlank="1" showInputMessage="1" showErrorMessage="1" sqref="A4521">
      <formula1>0</formula1>
    </dataValidation>
    <dataValidation type="list" allowBlank="1" showInputMessage="1" showErrorMessage="1" sqref="C4521">
      <formula1>UnidadesList</formula1>
    </dataValidation>
    <dataValidation type="decimal" operator="greaterThan" allowBlank="1" showInputMessage="1" showErrorMessage="1" sqref="D4521">
      <formula1>0</formula1>
    </dataValidation>
    <dataValidation type="decimal" operator="greaterThan" allowBlank="1" showInputMessage="1" showErrorMessage="1" sqref="E4521">
      <formula1>0</formula1>
    </dataValidation>
    <dataValidation type="whole" operator="greaterThan" allowBlank="1" showInputMessage="1" showErrorMessage="1" sqref="A4522">
      <formula1>0</formula1>
    </dataValidation>
    <dataValidation type="list" allowBlank="1" showInputMessage="1" showErrorMessage="1" sqref="C4522">
      <formula1>UnidadesList</formula1>
    </dataValidation>
    <dataValidation type="decimal" operator="greaterThan" allowBlank="1" showInputMessage="1" showErrorMessage="1" sqref="D4522">
      <formula1>0</formula1>
    </dataValidation>
    <dataValidation type="decimal" operator="greaterThan" allowBlank="1" showInputMessage="1" showErrorMessage="1" sqref="E4522">
      <formula1>0</formula1>
    </dataValidation>
    <dataValidation type="whole" operator="greaterThan" allowBlank="1" showInputMessage="1" showErrorMessage="1" sqref="A4523">
      <formula1>0</formula1>
    </dataValidation>
    <dataValidation type="list" allowBlank="1" showInputMessage="1" showErrorMessage="1" sqref="C4523">
      <formula1>UnidadesList</formula1>
    </dataValidation>
    <dataValidation type="decimal" operator="greaterThan" allowBlank="1" showInputMessage="1" showErrorMessage="1" sqref="D4523">
      <formula1>0</formula1>
    </dataValidation>
    <dataValidation type="decimal" operator="greaterThan" allowBlank="1" showInputMessage="1" showErrorMessage="1" sqref="E4523">
      <formula1>0</formula1>
    </dataValidation>
    <dataValidation type="whole" operator="greaterThan" allowBlank="1" showInputMessage="1" showErrorMessage="1" sqref="A4524">
      <formula1>0</formula1>
    </dataValidation>
    <dataValidation type="list" allowBlank="1" showInputMessage="1" showErrorMessage="1" sqref="C4524">
      <formula1>UnidadesList</formula1>
    </dataValidation>
    <dataValidation type="decimal" operator="greaterThan" allowBlank="1" showInputMessage="1" showErrorMessage="1" sqref="D4524">
      <formula1>0</formula1>
    </dataValidation>
    <dataValidation type="decimal" operator="greaterThan" allowBlank="1" showInputMessage="1" showErrorMessage="1" sqref="E4524">
      <formula1>0</formula1>
    </dataValidation>
    <dataValidation type="whole" operator="greaterThan" allowBlank="1" showInputMessage="1" showErrorMessage="1" sqref="A4525">
      <formula1>0</formula1>
    </dataValidation>
    <dataValidation type="list" allowBlank="1" showInputMessage="1" showErrorMessage="1" sqref="C4525">
      <formula1>UnidadesList</formula1>
    </dataValidation>
    <dataValidation type="decimal" operator="greaterThan" allowBlank="1" showInputMessage="1" showErrorMessage="1" sqref="D4525">
      <formula1>0</formula1>
    </dataValidation>
    <dataValidation type="decimal" operator="greaterThan" allowBlank="1" showInputMessage="1" showErrorMessage="1" sqref="E4525">
      <formula1>0</formula1>
    </dataValidation>
    <dataValidation type="whole" operator="greaterThan" allowBlank="1" showInputMessage="1" showErrorMessage="1" sqref="A4526">
      <formula1>0</formula1>
    </dataValidation>
    <dataValidation type="list" allowBlank="1" showInputMessage="1" showErrorMessage="1" sqref="C4526">
      <formula1>UnidadesList</formula1>
    </dataValidation>
    <dataValidation type="decimal" operator="greaterThan" allowBlank="1" showInputMessage="1" showErrorMessage="1" sqref="D4526">
      <formula1>0</formula1>
    </dataValidation>
    <dataValidation type="decimal" operator="greaterThan" allowBlank="1" showInputMessage="1" showErrorMessage="1" sqref="E4526">
      <formula1>0</formula1>
    </dataValidation>
    <dataValidation type="whole" operator="greaterThan" allowBlank="1" showInputMessage="1" showErrorMessage="1" sqref="A4527">
      <formula1>0</formula1>
    </dataValidation>
    <dataValidation type="list" allowBlank="1" showInputMessage="1" showErrorMessage="1" sqref="C4527">
      <formula1>UnidadesList</formula1>
    </dataValidation>
    <dataValidation type="decimal" operator="greaterThan" allowBlank="1" showInputMessage="1" showErrorMessage="1" sqref="D4527">
      <formula1>0</formula1>
    </dataValidation>
    <dataValidation type="decimal" operator="greaterThan" allowBlank="1" showInputMessage="1" showErrorMessage="1" sqref="E4527">
      <formula1>0</formula1>
    </dataValidation>
    <dataValidation type="whole" operator="greaterThan" allowBlank="1" showInputMessage="1" showErrorMessage="1" sqref="A4528">
      <formula1>0</formula1>
    </dataValidation>
    <dataValidation type="list" allowBlank="1" showInputMessage="1" showErrorMessage="1" sqref="C4528">
      <formula1>UnidadesList</formula1>
    </dataValidation>
    <dataValidation type="decimal" operator="greaterThan" allowBlank="1" showInputMessage="1" showErrorMessage="1" sqref="D4528">
      <formula1>0</formula1>
    </dataValidation>
    <dataValidation type="decimal" operator="greaterThan" allowBlank="1" showInputMessage="1" showErrorMessage="1" sqref="E4528">
      <formula1>0</formula1>
    </dataValidation>
    <dataValidation type="whole" operator="greaterThan" allowBlank="1" showInputMessage="1" showErrorMessage="1" sqref="A4529">
      <formula1>0</formula1>
    </dataValidation>
    <dataValidation type="list" allowBlank="1" showInputMessage="1" showErrorMessage="1" sqref="C4529">
      <formula1>UnidadesList</formula1>
    </dataValidation>
    <dataValidation type="decimal" operator="greaterThan" allowBlank="1" showInputMessage="1" showErrorMessage="1" sqref="D4529">
      <formula1>0</formula1>
    </dataValidation>
    <dataValidation type="decimal" operator="greaterThan" allowBlank="1" showInputMessage="1" showErrorMessage="1" sqref="E4529">
      <formula1>0</formula1>
    </dataValidation>
    <dataValidation type="whole" operator="greaterThan" allowBlank="1" showInputMessage="1" showErrorMessage="1" sqref="A4530">
      <formula1>0</formula1>
    </dataValidation>
    <dataValidation type="list" allowBlank="1" showInputMessage="1" showErrorMessage="1" sqref="C4530">
      <formula1>UnidadesList</formula1>
    </dataValidation>
    <dataValidation type="decimal" operator="greaterThan" allowBlank="1" showInputMessage="1" showErrorMessage="1" sqref="D4530">
      <formula1>0</formula1>
    </dataValidation>
    <dataValidation type="decimal" operator="greaterThan" allowBlank="1" showInputMessage="1" showErrorMessage="1" sqref="E4530">
      <formula1>0</formula1>
    </dataValidation>
    <dataValidation type="whole" operator="greaterThan" allowBlank="1" showInputMessage="1" showErrorMessage="1" sqref="A4531">
      <formula1>0</formula1>
    </dataValidation>
    <dataValidation type="list" allowBlank="1" showInputMessage="1" showErrorMessage="1" sqref="C4531">
      <formula1>UnidadesList</formula1>
    </dataValidation>
    <dataValidation type="decimal" operator="greaterThan" allowBlank="1" showInputMessage="1" showErrorMessage="1" sqref="D4531">
      <formula1>0</formula1>
    </dataValidation>
    <dataValidation type="decimal" operator="greaterThan" allowBlank="1" showInputMessage="1" showErrorMessage="1" sqref="E4531">
      <formula1>0</formula1>
    </dataValidation>
    <dataValidation type="whole" operator="greaterThan" allowBlank="1" showInputMessage="1" showErrorMessage="1" sqref="A4532">
      <formula1>0</formula1>
    </dataValidation>
    <dataValidation type="list" allowBlank="1" showInputMessage="1" showErrorMessage="1" sqref="C4532">
      <formula1>UnidadesList</formula1>
    </dataValidation>
    <dataValidation type="decimal" operator="greaterThan" allowBlank="1" showInputMessage="1" showErrorMessage="1" sqref="D4532">
      <formula1>0</formula1>
    </dataValidation>
    <dataValidation type="decimal" operator="greaterThan" allowBlank="1" showInputMessage="1" showErrorMessage="1" sqref="E4532">
      <formula1>0</formula1>
    </dataValidation>
    <dataValidation type="whole" operator="greaterThan" allowBlank="1" showInputMessage="1" showErrorMessage="1" sqref="A4533">
      <formula1>0</formula1>
    </dataValidation>
    <dataValidation type="list" allowBlank="1" showInputMessage="1" showErrorMessage="1" sqref="C4533">
      <formula1>UnidadesList</formula1>
    </dataValidation>
    <dataValidation type="decimal" operator="greaterThan" allowBlank="1" showInputMessage="1" showErrorMessage="1" sqref="D4533">
      <formula1>0</formula1>
    </dataValidation>
    <dataValidation type="decimal" operator="greaterThan" allowBlank="1" showInputMessage="1" showErrorMessage="1" sqref="E4533">
      <formula1>0</formula1>
    </dataValidation>
    <dataValidation type="whole" operator="greaterThan" allowBlank="1" showInputMessage="1" showErrorMessage="1" sqref="A4534">
      <formula1>0</formula1>
    </dataValidation>
    <dataValidation type="list" allowBlank="1" showInputMessage="1" showErrorMessage="1" sqref="C4534">
      <formula1>UnidadesList</formula1>
    </dataValidation>
    <dataValidation type="decimal" operator="greaterThan" allowBlank="1" showInputMessage="1" showErrorMessage="1" sqref="D4534">
      <formula1>0</formula1>
    </dataValidation>
    <dataValidation type="decimal" operator="greaterThan" allowBlank="1" showInputMessage="1" showErrorMessage="1" sqref="E4534">
      <formula1>0</formula1>
    </dataValidation>
    <dataValidation type="whole" operator="greaterThan" allowBlank="1" showInputMessage="1" showErrorMessage="1" sqref="A4535">
      <formula1>0</formula1>
    </dataValidation>
    <dataValidation type="list" allowBlank="1" showInputMessage="1" showErrorMessage="1" sqref="C4535">
      <formula1>UnidadesList</formula1>
    </dataValidation>
    <dataValidation type="decimal" operator="greaterThan" allowBlank="1" showInputMessage="1" showErrorMessage="1" sqref="D4535">
      <formula1>0</formula1>
    </dataValidation>
    <dataValidation type="decimal" operator="greaterThan" allowBlank="1" showInputMessage="1" showErrorMessage="1" sqref="E4535">
      <formula1>0</formula1>
    </dataValidation>
    <dataValidation type="whole" operator="greaterThan" allowBlank="1" showInputMessage="1" showErrorMessage="1" sqref="A4536">
      <formula1>0</formula1>
    </dataValidation>
    <dataValidation type="list" allowBlank="1" showInputMessage="1" showErrorMessage="1" sqref="C4536">
      <formula1>UnidadesList</formula1>
    </dataValidation>
    <dataValidation type="decimal" operator="greaterThan" allowBlank="1" showInputMessage="1" showErrorMessage="1" sqref="D4536">
      <formula1>0</formula1>
    </dataValidation>
    <dataValidation type="decimal" operator="greaterThan" allowBlank="1" showInputMessage="1" showErrorMessage="1" sqref="E4536">
      <formula1>0</formula1>
    </dataValidation>
    <dataValidation type="whole" operator="greaterThan" allowBlank="1" showInputMessage="1" showErrorMessage="1" sqref="A4537">
      <formula1>0</formula1>
    </dataValidation>
    <dataValidation type="list" allowBlank="1" showInputMessage="1" showErrorMessage="1" sqref="C4537">
      <formula1>UnidadesList</formula1>
    </dataValidation>
    <dataValidation type="decimal" operator="greaterThan" allowBlank="1" showInputMessage="1" showErrorMessage="1" sqref="D4537">
      <formula1>0</formula1>
    </dataValidation>
    <dataValidation type="decimal" operator="greaterThan" allowBlank="1" showInputMessage="1" showErrorMessage="1" sqref="E4537">
      <formula1>0</formula1>
    </dataValidation>
    <dataValidation type="whole" operator="greaterThan" allowBlank="1" showInputMessage="1" showErrorMessage="1" sqref="A4538">
      <formula1>0</formula1>
    </dataValidation>
    <dataValidation type="list" allowBlank="1" showInputMessage="1" showErrorMessage="1" sqref="C4538">
      <formula1>UnidadesList</formula1>
    </dataValidation>
    <dataValidation type="decimal" operator="greaterThan" allowBlank="1" showInputMessage="1" showErrorMessage="1" sqref="D4538">
      <formula1>0</formula1>
    </dataValidation>
    <dataValidation type="decimal" operator="greaterThan" allowBlank="1" showInputMessage="1" showErrorMessage="1" sqref="E4538">
      <formula1>0</formula1>
    </dataValidation>
    <dataValidation type="whole" operator="greaterThan" allowBlank="1" showInputMessage="1" showErrorMessage="1" sqref="A4539">
      <formula1>0</formula1>
    </dataValidation>
    <dataValidation type="list" allowBlank="1" showInputMessage="1" showErrorMessage="1" sqref="C4539">
      <formula1>UnidadesList</formula1>
    </dataValidation>
    <dataValidation type="decimal" operator="greaterThan" allowBlank="1" showInputMessage="1" showErrorMessage="1" sqref="D4539">
      <formula1>0</formula1>
    </dataValidation>
    <dataValidation type="decimal" operator="greaterThan" allowBlank="1" showInputMessage="1" showErrorMessage="1" sqref="E4539">
      <formula1>0</formula1>
    </dataValidation>
    <dataValidation type="whole" operator="greaterThan" allowBlank="1" showInputMessage="1" showErrorMessage="1" sqref="A4540">
      <formula1>0</formula1>
    </dataValidation>
    <dataValidation type="list" allowBlank="1" showInputMessage="1" showErrorMessage="1" sqref="C4540">
      <formula1>UnidadesList</formula1>
    </dataValidation>
    <dataValidation type="decimal" operator="greaterThan" allowBlank="1" showInputMessage="1" showErrorMessage="1" sqref="D4540">
      <formula1>0</formula1>
    </dataValidation>
    <dataValidation type="decimal" operator="greaterThan" allowBlank="1" showInputMessage="1" showErrorMessage="1" sqref="E4540">
      <formula1>0</formula1>
    </dataValidation>
    <dataValidation type="whole" operator="greaterThan" allowBlank="1" showInputMessage="1" showErrorMessage="1" sqref="A4541">
      <formula1>0</formula1>
    </dataValidation>
    <dataValidation type="list" allowBlank="1" showInputMessage="1" showErrorMessage="1" sqref="C4541">
      <formula1>UnidadesList</formula1>
    </dataValidation>
    <dataValidation type="decimal" operator="greaterThan" allowBlank="1" showInputMessage="1" showErrorMessage="1" sqref="D4541">
      <formula1>0</formula1>
    </dataValidation>
    <dataValidation type="decimal" operator="greaterThan" allowBlank="1" showInputMessage="1" showErrorMessage="1" sqref="E4541">
      <formula1>0</formula1>
    </dataValidation>
    <dataValidation type="whole" operator="greaterThan" allowBlank="1" showInputMessage="1" showErrorMessage="1" sqref="A4542">
      <formula1>0</formula1>
    </dataValidation>
    <dataValidation type="list" allowBlank="1" showInputMessage="1" showErrorMessage="1" sqref="C4542">
      <formula1>UnidadesList</formula1>
    </dataValidation>
    <dataValidation type="decimal" operator="greaterThan" allowBlank="1" showInputMessage="1" showErrorMessage="1" sqref="D4542">
      <formula1>0</formula1>
    </dataValidation>
    <dataValidation type="decimal" operator="greaterThan" allowBlank="1" showInputMessage="1" showErrorMessage="1" sqref="E4542">
      <formula1>0</formula1>
    </dataValidation>
    <dataValidation type="whole" operator="greaterThan" allowBlank="1" showInputMessage="1" showErrorMessage="1" sqref="A4543">
      <formula1>0</formula1>
    </dataValidation>
    <dataValidation type="list" allowBlank="1" showInputMessage="1" showErrorMessage="1" sqref="C4543">
      <formula1>UnidadesList</formula1>
    </dataValidation>
    <dataValidation type="decimal" operator="greaterThan" allowBlank="1" showInputMessage="1" showErrorMessage="1" sqref="D4543">
      <formula1>0</formula1>
    </dataValidation>
    <dataValidation type="decimal" operator="greaterThan" allowBlank="1" showInputMessage="1" showErrorMessage="1" sqref="E4543">
      <formula1>0</formula1>
    </dataValidation>
    <dataValidation type="whole" operator="greaterThan" allowBlank="1" showInputMessage="1" showErrorMessage="1" sqref="A4544">
      <formula1>0</formula1>
    </dataValidation>
    <dataValidation type="list" allowBlank="1" showInputMessage="1" showErrorMessage="1" sqref="C4544">
      <formula1>UnidadesList</formula1>
    </dataValidation>
    <dataValidation type="decimal" operator="greaterThan" allowBlank="1" showInputMessage="1" showErrorMessage="1" sqref="D4544">
      <formula1>0</formula1>
    </dataValidation>
    <dataValidation type="decimal" operator="greaterThan" allowBlank="1" showInputMessage="1" showErrorMessage="1" sqref="E4544">
      <formula1>0</formula1>
    </dataValidation>
    <dataValidation type="whole" operator="greaterThan" allowBlank="1" showInputMessage="1" showErrorMessage="1" sqref="A4545">
      <formula1>0</formula1>
    </dataValidation>
    <dataValidation type="list" allowBlank="1" showInputMessage="1" showErrorMessage="1" sqref="C4545">
      <formula1>UnidadesList</formula1>
    </dataValidation>
    <dataValidation type="decimal" operator="greaterThan" allowBlank="1" showInputMessage="1" showErrorMessage="1" sqref="D4545">
      <formula1>0</formula1>
    </dataValidation>
    <dataValidation type="decimal" operator="greaterThan" allowBlank="1" showInputMessage="1" showErrorMessage="1" sqref="E4545">
      <formula1>0</formula1>
    </dataValidation>
    <dataValidation type="whole" operator="greaterThan" allowBlank="1" showInputMessage="1" showErrorMessage="1" sqref="A4546">
      <formula1>0</formula1>
    </dataValidation>
    <dataValidation type="list" allowBlank="1" showInputMessage="1" showErrorMessage="1" sqref="C4546">
      <formula1>UnidadesList</formula1>
    </dataValidation>
    <dataValidation type="decimal" operator="greaterThan" allowBlank="1" showInputMessage="1" showErrorMessage="1" sqref="D4546">
      <formula1>0</formula1>
    </dataValidation>
    <dataValidation type="decimal" operator="greaterThan" allowBlank="1" showInputMessage="1" showErrorMessage="1" sqref="E4546">
      <formula1>0</formula1>
    </dataValidation>
    <dataValidation type="whole" operator="greaterThan" allowBlank="1" showInputMessage="1" showErrorMessage="1" sqref="A4547">
      <formula1>0</formula1>
    </dataValidation>
    <dataValidation type="list" allowBlank="1" showInputMessage="1" showErrorMessage="1" sqref="C4547">
      <formula1>UnidadesList</formula1>
    </dataValidation>
    <dataValidation type="decimal" operator="greaterThan" allowBlank="1" showInputMessage="1" showErrorMessage="1" sqref="D4547">
      <formula1>0</formula1>
    </dataValidation>
    <dataValidation type="decimal" operator="greaterThan" allowBlank="1" showInputMessage="1" showErrorMessage="1" sqref="E4547">
      <formula1>0</formula1>
    </dataValidation>
    <dataValidation type="whole" operator="greaterThan" allowBlank="1" showInputMessage="1" showErrorMessage="1" sqref="A4548">
      <formula1>0</formula1>
    </dataValidation>
    <dataValidation type="list" allowBlank="1" showInputMessage="1" showErrorMessage="1" sqref="C4548">
      <formula1>UnidadesList</formula1>
    </dataValidation>
    <dataValidation type="decimal" operator="greaterThan" allowBlank="1" showInputMessage="1" showErrorMessage="1" sqref="D4548">
      <formula1>0</formula1>
    </dataValidation>
    <dataValidation type="decimal" operator="greaterThan" allowBlank="1" showInputMessage="1" showErrorMessage="1" sqref="E4548">
      <formula1>0</formula1>
    </dataValidation>
    <dataValidation type="whole" operator="greaterThan" allowBlank="1" showInputMessage="1" showErrorMessage="1" sqref="A4549">
      <formula1>0</formula1>
    </dataValidation>
    <dataValidation type="list" allowBlank="1" showInputMessage="1" showErrorMessage="1" sqref="C4549">
      <formula1>UnidadesList</formula1>
    </dataValidation>
    <dataValidation type="decimal" operator="greaterThan" allowBlank="1" showInputMessage="1" showErrorMessage="1" sqref="D4549">
      <formula1>0</formula1>
    </dataValidation>
    <dataValidation type="decimal" operator="greaterThan" allowBlank="1" showInputMessage="1" showErrorMessage="1" sqref="E4549">
      <formula1>0</formula1>
    </dataValidation>
    <dataValidation type="whole" operator="greaterThan" allowBlank="1" showInputMessage="1" showErrorMessage="1" sqref="A4550">
      <formula1>0</formula1>
    </dataValidation>
    <dataValidation type="list" allowBlank="1" showInputMessage="1" showErrorMessage="1" sqref="C4550">
      <formula1>UnidadesList</formula1>
    </dataValidation>
    <dataValidation type="decimal" operator="greaterThan" allowBlank="1" showInputMessage="1" showErrorMessage="1" sqref="D4550">
      <formula1>0</formula1>
    </dataValidation>
    <dataValidation type="decimal" operator="greaterThan" allowBlank="1" showInputMessage="1" showErrorMessage="1" sqref="E4550">
      <formula1>0</formula1>
    </dataValidation>
    <dataValidation type="whole" operator="greaterThan" allowBlank="1" showInputMessage="1" showErrorMessage="1" sqref="A4551">
      <formula1>0</formula1>
    </dataValidation>
    <dataValidation type="list" allowBlank="1" showInputMessage="1" showErrorMessage="1" sqref="C4551">
      <formula1>UnidadesList</formula1>
    </dataValidation>
    <dataValidation type="decimal" operator="greaterThan" allowBlank="1" showInputMessage="1" showErrorMessage="1" sqref="D4551">
      <formula1>0</formula1>
    </dataValidation>
    <dataValidation type="decimal" operator="greaterThan" allowBlank="1" showInputMessage="1" showErrorMessage="1" sqref="E4551">
      <formula1>0</formula1>
    </dataValidation>
    <dataValidation type="whole" operator="greaterThan" allowBlank="1" showInputMessage="1" showErrorMessage="1" sqref="A4552">
      <formula1>0</formula1>
    </dataValidation>
    <dataValidation type="list" allowBlank="1" showInputMessage="1" showErrorMessage="1" sqref="C4552">
      <formula1>UnidadesList</formula1>
    </dataValidation>
    <dataValidation type="decimal" operator="greaterThan" allowBlank="1" showInputMessage="1" showErrorMessage="1" sqref="D4552">
      <formula1>0</formula1>
    </dataValidation>
    <dataValidation type="decimal" operator="greaterThan" allowBlank="1" showInputMessage="1" showErrorMessage="1" sqref="E4552">
      <formula1>0</formula1>
    </dataValidation>
    <dataValidation type="whole" operator="greaterThan" allowBlank="1" showInputMessage="1" showErrorMessage="1" sqref="A4553">
      <formula1>0</formula1>
    </dataValidation>
    <dataValidation type="list" allowBlank="1" showInputMessage="1" showErrorMessage="1" sqref="C4553">
      <formula1>UnidadesList</formula1>
    </dataValidation>
    <dataValidation type="decimal" operator="greaterThan" allowBlank="1" showInputMessage="1" showErrorMessage="1" sqref="D4553">
      <formula1>0</formula1>
    </dataValidation>
    <dataValidation type="decimal" operator="greaterThan" allowBlank="1" showInputMessage="1" showErrorMessage="1" sqref="E4553">
      <formula1>0</formula1>
    </dataValidation>
    <dataValidation type="whole" operator="greaterThan" allowBlank="1" showInputMessage="1" showErrorMessage="1" sqref="A4554">
      <formula1>0</formula1>
    </dataValidation>
    <dataValidation type="list" allowBlank="1" showInputMessage="1" showErrorMessage="1" sqref="C4554">
      <formula1>UnidadesList</formula1>
    </dataValidation>
    <dataValidation type="decimal" operator="greaterThan" allowBlank="1" showInputMessage="1" showErrorMessage="1" sqref="D4554">
      <formula1>0</formula1>
    </dataValidation>
    <dataValidation type="decimal" operator="greaterThan" allowBlank="1" showInputMessage="1" showErrorMessage="1" sqref="E4554">
      <formula1>0</formula1>
    </dataValidation>
    <dataValidation type="whole" operator="greaterThan" allowBlank="1" showInputMessage="1" showErrorMessage="1" sqref="A4555">
      <formula1>0</formula1>
    </dataValidation>
    <dataValidation type="list" allowBlank="1" showInputMessage="1" showErrorMessage="1" sqref="C4555">
      <formula1>UnidadesList</formula1>
    </dataValidation>
    <dataValidation type="decimal" operator="greaterThan" allowBlank="1" showInputMessage="1" showErrorMessage="1" sqref="D4555">
      <formula1>0</formula1>
    </dataValidation>
    <dataValidation type="decimal" operator="greaterThan" allowBlank="1" showInputMessage="1" showErrorMessage="1" sqref="E4555">
      <formula1>0</formula1>
    </dataValidation>
    <dataValidation type="whole" operator="greaterThan" allowBlank="1" showInputMessage="1" showErrorMessage="1" sqref="A4556">
      <formula1>0</formula1>
    </dataValidation>
    <dataValidation type="list" allowBlank="1" showInputMessage="1" showErrorMessage="1" sqref="C4556">
      <formula1>UnidadesList</formula1>
    </dataValidation>
    <dataValidation type="decimal" operator="greaterThan" allowBlank="1" showInputMessage="1" showErrorMessage="1" sqref="D4556">
      <formula1>0</formula1>
    </dataValidation>
    <dataValidation type="decimal" operator="greaterThan" allowBlank="1" showInputMessage="1" showErrorMessage="1" sqref="E4556">
      <formula1>0</formula1>
    </dataValidation>
    <dataValidation type="whole" operator="greaterThan" allowBlank="1" showInputMessage="1" showErrorMessage="1" sqref="A4557">
      <formula1>0</formula1>
    </dataValidation>
    <dataValidation type="list" allowBlank="1" showInputMessage="1" showErrorMessage="1" sqref="C4557">
      <formula1>UnidadesList</formula1>
    </dataValidation>
    <dataValidation type="decimal" operator="greaterThan" allowBlank="1" showInputMessage="1" showErrorMessage="1" sqref="D4557">
      <formula1>0</formula1>
    </dataValidation>
    <dataValidation type="decimal" operator="greaterThan" allowBlank="1" showInputMessage="1" showErrorMessage="1" sqref="E4557">
      <formula1>0</formula1>
    </dataValidation>
    <dataValidation type="whole" operator="greaterThan" allowBlank="1" showInputMessage="1" showErrorMessage="1" sqref="A4558">
      <formula1>0</formula1>
    </dataValidation>
    <dataValidation type="list" allowBlank="1" showInputMessage="1" showErrorMessage="1" sqref="C4558">
      <formula1>UnidadesList</formula1>
    </dataValidation>
    <dataValidation type="decimal" operator="greaterThan" allowBlank="1" showInputMessage="1" showErrorMessage="1" sqref="D4558">
      <formula1>0</formula1>
    </dataValidation>
    <dataValidation type="decimal" operator="greaterThan" allowBlank="1" showInputMessage="1" showErrorMessage="1" sqref="E4558">
      <formula1>0</formula1>
    </dataValidation>
    <dataValidation type="whole" operator="greaterThan" allowBlank="1" showInputMessage="1" showErrorMessage="1" sqref="A4559">
      <formula1>0</formula1>
    </dataValidation>
    <dataValidation type="list" allowBlank="1" showInputMessage="1" showErrorMessage="1" sqref="C4559">
      <formula1>UnidadesList</formula1>
    </dataValidation>
    <dataValidation type="decimal" operator="greaterThan" allowBlank="1" showInputMessage="1" showErrorMessage="1" sqref="D4559">
      <formula1>0</formula1>
    </dataValidation>
    <dataValidation type="decimal" operator="greaterThan" allowBlank="1" showInputMessage="1" showErrorMessage="1" sqref="E4559">
      <formula1>0</formula1>
    </dataValidation>
    <dataValidation type="whole" operator="greaterThan" allowBlank="1" showInputMessage="1" showErrorMessage="1" sqref="A4560">
      <formula1>0</formula1>
    </dataValidation>
    <dataValidation type="list" allowBlank="1" showInputMessage="1" showErrorMessage="1" sqref="C4560">
      <formula1>UnidadesList</formula1>
    </dataValidation>
    <dataValidation type="decimal" operator="greaterThan" allowBlank="1" showInputMessage="1" showErrorMessage="1" sqref="D4560">
      <formula1>0</formula1>
    </dataValidation>
    <dataValidation type="decimal" operator="greaterThan" allowBlank="1" showInputMessage="1" showErrorMessage="1" sqref="E4560">
      <formula1>0</formula1>
    </dataValidation>
    <dataValidation type="whole" operator="greaterThan" allowBlank="1" showInputMessage="1" showErrorMessage="1" sqref="A4561">
      <formula1>0</formula1>
    </dataValidation>
    <dataValidation type="list" allowBlank="1" showInputMessage="1" showErrorMessage="1" sqref="C4561">
      <formula1>UnidadesList</formula1>
    </dataValidation>
    <dataValidation type="decimal" operator="greaterThan" allowBlank="1" showInputMessage="1" showErrorMessage="1" sqref="D4561">
      <formula1>0</formula1>
    </dataValidation>
    <dataValidation type="decimal" operator="greaterThan" allowBlank="1" showInputMessage="1" showErrorMessage="1" sqref="E4561">
      <formula1>0</formula1>
    </dataValidation>
    <dataValidation type="whole" operator="greaterThan" allowBlank="1" showInputMessage="1" showErrorMessage="1" sqref="A4562">
      <formula1>0</formula1>
    </dataValidation>
    <dataValidation type="list" allowBlank="1" showInputMessage="1" showErrorMessage="1" sqref="C4562">
      <formula1>UnidadesList</formula1>
    </dataValidation>
    <dataValidation type="decimal" operator="greaterThan" allowBlank="1" showInputMessage="1" showErrorMessage="1" sqref="D4562">
      <formula1>0</formula1>
    </dataValidation>
    <dataValidation type="decimal" operator="greaterThan" allowBlank="1" showInputMessage="1" showErrorMessage="1" sqref="E4562">
      <formula1>0</formula1>
    </dataValidation>
    <dataValidation type="whole" operator="greaterThan" allowBlank="1" showInputMessage="1" showErrorMessage="1" sqref="A4563">
      <formula1>0</formula1>
    </dataValidation>
    <dataValidation type="list" allowBlank="1" showInputMessage="1" showErrorMessage="1" sqref="C4563">
      <formula1>UnidadesList</formula1>
    </dataValidation>
    <dataValidation type="decimal" operator="greaterThan" allowBlank="1" showInputMessage="1" showErrorMessage="1" sqref="D4563">
      <formula1>0</formula1>
    </dataValidation>
    <dataValidation type="decimal" operator="greaterThan" allowBlank="1" showInputMessage="1" showErrorMessage="1" sqref="E4563">
      <formula1>0</formula1>
    </dataValidation>
    <dataValidation type="whole" operator="greaterThan" allowBlank="1" showInputMessage="1" showErrorMessage="1" sqref="A4564">
      <formula1>0</formula1>
    </dataValidation>
    <dataValidation type="list" allowBlank="1" showInputMessage="1" showErrorMessage="1" sqref="C4564">
      <formula1>UnidadesList</formula1>
    </dataValidation>
    <dataValidation type="decimal" operator="greaterThan" allowBlank="1" showInputMessage="1" showErrorMessage="1" sqref="D4564">
      <formula1>0</formula1>
    </dataValidation>
    <dataValidation type="decimal" operator="greaterThan" allowBlank="1" showInputMessage="1" showErrorMessage="1" sqref="E4564">
      <formula1>0</formula1>
    </dataValidation>
    <dataValidation type="whole" operator="greaterThan" allowBlank="1" showInputMessage="1" showErrorMessage="1" sqref="A4565">
      <formula1>0</formula1>
    </dataValidation>
    <dataValidation type="list" allowBlank="1" showInputMessage="1" showErrorMessage="1" sqref="C4565">
      <formula1>UnidadesList</formula1>
    </dataValidation>
    <dataValidation type="decimal" operator="greaterThan" allowBlank="1" showInputMessage="1" showErrorMessage="1" sqref="D4565">
      <formula1>0</formula1>
    </dataValidation>
    <dataValidation type="decimal" operator="greaterThan" allowBlank="1" showInputMessage="1" showErrorMessage="1" sqref="E4565">
      <formula1>0</formula1>
    </dataValidation>
    <dataValidation type="whole" operator="greaterThan" allowBlank="1" showInputMessage="1" showErrorMessage="1" sqref="A4566">
      <formula1>0</formula1>
    </dataValidation>
    <dataValidation type="list" allowBlank="1" showInputMessage="1" showErrorMessage="1" sqref="C4566">
      <formula1>UnidadesList</formula1>
    </dataValidation>
    <dataValidation type="decimal" operator="greaterThan" allowBlank="1" showInputMessage="1" showErrorMessage="1" sqref="D4566">
      <formula1>0</formula1>
    </dataValidation>
    <dataValidation type="decimal" operator="greaterThan" allowBlank="1" showInputMessage="1" showErrorMessage="1" sqref="E4566">
      <formula1>0</formula1>
    </dataValidation>
    <dataValidation type="whole" operator="greaterThan" allowBlank="1" showInputMessage="1" showErrorMessage="1" sqref="A4567">
      <formula1>0</formula1>
    </dataValidation>
    <dataValidation type="list" allowBlank="1" showInputMessage="1" showErrorMessage="1" sqref="C4567">
      <formula1>UnidadesList</formula1>
    </dataValidation>
    <dataValidation type="decimal" operator="greaterThan" allowBlank="1" showInputMessage="1" showErrorMessage="1" sqref="D4567">
      <formula1>0</formula1>
    </dataValidation>
    <dataValidation type="decimal" operator="greaterThan" allowBlank="1" showInputMessage="1" showErrorMessage="1" sqref="E4567">
      <formula1>0</formula1>
    </dataValidation>
    <dataValidation type="whole" operator="greaterThan" allowBlank="1" showInputMessage="1" showErrorMessage="1" sqref="A4568">
      <formula1>0</formula1>
    </dataValidation>
    <dataValidation type="list" allowBlank="1" showInputMessage="1" showErrorMessage="1" sqref="C4568">
      <formula1>UnidadesList</formula1>
    </dataValidation>
    <dataValidation type="decimal" operator="greaterThan" allowBlank="1" showInputMessage="1" showErrorMessage="1" sqref="D4568">
      <formula1>0</formula1>
    </dataValidation>
    <dataValidation type="decimal" operator="greaterThan" allowBlank="1" showInputMessage="1" showErrorMessage="1" sqref="E4568">
      <formula1>0</formula1>
    </dataValidation>
    <dataValidation type="whole" operator="greaterThan" allowBlank="1" showInputMessage="1" showErrorMessage="1" sqref="A4569">
      <formula1>0</formula1>
    </dataValidation>
    <dataValidation type="list" allowBlank="1" showInputMessage="1" showErrorMessage="1" sqref="C4569">
      <formula1>UnidadesList</formula1>
    </dataValidation>
    <dataValidation type="decimal" operator="greaterThan" allowBlank="1" showInputMessage="1" showErrorMessage="1" sqref="D4569">
      <formula1>0</formula1>
    </dataValidation>
    <dataValidation type="decimal" operator="greaterThan" allowBlank="1" showInputMessage="1" showErrorMessage="1" sqref="E4569">
      <formula1>0</formula1>
    </dataValidation>
    <dataValidation type="whole" operator="greaterThan" allowBlank="1" showInputMessage="1" showErrorMessage="1" sqref="A4570">
      <formula1>0</formula1>
    </dataValidation>
    <dataValidation type="list" allowBlank="1" showInputMessage="1" showErrorMessage="1" sqref="C4570">
      <formula1>UnidadesList</formula1>
    </dataValidation>
    <dataValidation type="decimal" operator="greaterThan" allowBlank="1" showInputMessage="1" showErrorMessage="1" sqref="D4570">
      <formula1>0</formula1>
    </dataValidation>
    <dataValidation type="decimal" operator="greaterThan" allowBlank="1" showInputMessage="1" showErrorMessage="1" sqref="E4570">
      <formula1>0</formula1>
    </dataValidation>
    <dataValidation type="whole" operator="greaterThan" allowBlank="1" showInputMessage="1" showErrorMessage="1" sqref="A4571">
      <formula1>0</formula1>
    </dataValidation>
    <dataValidation type="list" allowBlank="1" showInputMessage="1" showErrorMessage="1" sqref="C4571">
      <formula1>UnidadesList</formula1>
    </dataValidation>
    <dataValidation type="decimal" operator="greaterThan" allowBlank="1" showInputMessage="1" showErrorMessage="1" sqref="D4571">
      <formula1>0</formula1>
    </dataValidation>
    <dataValidation type="decimal" operator="greaterThan" allowBlank="1" showInputMessage="1" showErrorMessage="1" sqref="E4571">
      <formula1>0</formula1>
    </dataValidation>
    <dataValidation type="whole" operator="greaterThan" allowBlank="1" showInputMessage="1" showErrorMessage="1" sqref="A4572">
      <formula1>0</formula1>
    </dataValidation>
    <dataValidation type="list" allowBlank="1" showInputMessage="1" showErrorMessage="1" sqref="C4572">
      <formula1>UnidadesList</formula1>
    </dataValidation>
    <dataValidation type="decimal" operator="greaterThan" allowBlank="1" showInputMessage="1" showErrorMessage="1" sqref="D4572">
      <formula1>0</formula1>
    </dataValidation>
    <dataValidation type="decimal" operator="greaterThan" allowBlank="1" showInputMessage="1" showErrorMessage="1" sqref="E4572">
      <formula1>0</formula1>
    </dataValidation>
    <dataValidation type="whole" operator="greaterThan" allowBlank="1" showInputMessage="1" showErrorMessage="1" sqref="A4573">
      <formula1>0</formula1>
    </dataValidation>
    <dataValidation type="list" allowBlank="1" showInputMessage="1" showErrorMessage="1" sqref="C4573">
      <formula1>UnidadesList</formula1>
    </dataValidation>
    <dataValidation type="decimal" operator="greaterThan" allowBlank="1" showInputMessage="1" showErrorMessage="1" sqref="D4573">
      <formula1>0</formula1>
    </dataValidation>
    <dataValidation type="decimal" operator="greaterThan" allowBlank="1" showInputMessage="1" showErrorMessage="1" sqref="E4573">
      <formula1>0</formula1>
    </dataValidation>
    <dataValidation type="whole" operator="greaterThan" allowBlank="1" showInputMessage="1" showErrorMessage="1" sqref="A4574">
      <formula1>0</formula1>
    </dataValidation>
    <dataValidation type="list" allowBlank="1" showInputMessage="1" showErrorMessage="1" sqref="C4574">
      <formula1>UnidadesList</formula1>
    </dataValidation>
    <dataValidation type="decimal" operator="greaterThan" allowBlank="1" showInputMessage="1" showErrorMessage="1" sqref="D4574">
      <formula1>0</formula1>
    </dataValidation>
    <dataValidation type="decimal" operator="greaterThan" allowBlank="1" showInputMessage="1" showErrorMessage="1" sqref="E4574">
      <formula1>0</formula1>
    </dataValidation>
    <dataValidation type="whole" operator="greaterThan" allowBlank="1" showInputMessage="1" showErrorMessage="1" sqref="A4575">
      <formula1>0</formula1>
    </dataValidation>
    <dataValidation type="list" allowBlank="1" showInputMessage="1" showErrorMessage="1" sqref="C4575">
      <formula1>UnidadesList</formula1>
    </dataValidation>
    <dataValidation type="decimal" operator="greaterThan" allowBlank="1" showInputMessage="1" showErrorMessage="1" sqref="D4575">
      <formula1>0</formula1>
    </dataValidation>
    <dataValidation type="decimal" operator="greaterThan" allowBlank="1" showInputMessage="1" showErrorMessage="1" sqref="E4575">
      <formula1>0</formula1>
    </dataValidation>
    <dataValidation type="whole" operator="greaterThan" allowBlank="1" showInputMessage="1" showErrorMessage="1" sqref="A4576">
      <formula1>0</formula1>
    </dataValidation>
    <dataValidation type="list" allowBlank="1" showInputMessage="1" showErrorMessage="1" sqref="C4576">
      <formula1>UnidadesList</formula1>
    </dataValidation>
    <dataValidation type="decimal" operator="greaterThan" allowBlank="1" showInputMessage="1" showErrorMessage="1" sqref="D4576">
      <formula1>0</formula1>
    </dataValidation>
    <dataValidation type="decimal" operator="greaterThan" allowBlank="1" showInputMessage="1" showErrorMessage="1" sqref="E4576">
      <formula1>0</formula1>
    </dataValidation>
    <dataValidation type="whole" operator="greaterThan" allowBlank="1" showInputMessage="1" showErrorMessage="1" sqref="A4577">
      <formula1>0</formula1>
    </dataValidation>
    <dataValidation type="list" allowBlank="1" showInputMessage="1" showErrorMessage="1" sqref="C4577">
      <formula1>UnidadesList</formula1>
    </dataValidation>
    <dataValidation type="decimal" operator="greaterThan" allowBlank="1" showInputMessage="1" showErrorMessage="1" sqref="D4577">
      <formula1>0</formula1>
    </dataValidation>
    <dataValidation type="decimal" operator="greaterThan" allowBlank="1" showInputMessage="1" showErrorMessage="1" sqref="E4577">
      <formula1>0</formula1>
    </dataValidation>
    <dataValidation type="whole" operator="greaterThan" allowBlank="1" showInputMessage="1" showErrorMessage="1" sqref="A4578">
      <formula1>0</formula1>
    </dataValidation>
    <dataValidation type="list" allowBlank="1" showInputMessage="1" showErrorMessage="1" sqref="C4578">
      <formula1>UnidadesList</formula1>
    </dataValidation>
    <dataValidation type="decimal" operator="greaterThan" allowBlank="1" showInputMessage="1" showErrorMessage="1" sqref="D4578">
      <formula1>0</formula1>
    </dataValidation>
    <dataValidation type="decimal" operator="greaterThan" allowBlank="1" showInputMessage="1" showErrorMessage="1" sqref="E4578">
      <formula1>0</formula1>
    </dataValidation>
    <dataValidation type="whole" operator="greaterThan" allowBlank="1" showInputMessage="1" showErrorMessage="1" sqref="A4579">
      <formula1>0</formula1>
    </dataValidation>
    <dataValidation type="list" allowBlank="1" showInputMessage="1" showErrorMessage="1" sqref="C4579">
      <formula1>UnidadesList</formula1>
    </dataValidation>
    <dataValidation type="decimal" operator="greaterThan" allowBlank="1" showInputMessage="1" showErrorMessage="1" sqref="D4579">
      <formula1>0</formula1>
    </dataValidation>
    <dataValidation type="decimal" operator="greaterThan" allowBlank="1" showInputMessage="1" showErrorMessage="1" sqref="E4579">
      <formula1>0</formula1>
    </dataValidation>
    <dataValidation type="whole" operator="greaterThan" allowBlank="1" showInputMessage="1" showErrorMessage="1" sqref="A4580">
      <formula1>0</formula1>
    </dataValidation>
    <dataValidation type="list" allowBlank="1" showInputMessage="1" showErrorMessage="1" sqref="C4580">
      <formula1>UnidadesList</formula1>
    </dataValidation>
    <dataValidation type="decimal" operator="greaterThan" allowBlank="1" showInputMessage="1" showErrorMessage="1" sqref="D4580">
      <formula1>0</formula1>
    </dataValidation>
    <dataValidation type="decimal" operator="greaterThan" allowBlank="1" showInputMessage="1" showErrorMessage="1" sqref="E4580">
      <formula1>0</formula1>
    </dataValidation>
    <dataValidation type="whole" operator="greaterThan" allowBlank="1" showInputMessage="1" showErrorMessage="1" sqref="A4581">
      <formula1>0</formula1>
    </dataValidation>
    <dataValidation type="list" allowBlank="1" showInputMessage="1" showErrorMessage="1" sqref="C4581">
      <formula1>UnidadesList</formula1>
    </dataValidation>
    <dataValidation type="decimal" operator="greaterThan" allowBlank="1" showInputMessage="1" showErrorMessage="1" sqref="D4581">
      <formula1>0</formula1>
    </dataValidation>
    <dataValidation type="decimal" operator="greaterThan" allowBlank="1" showInputMessage="1" showErrorMessage="1" sqref="E4581">
      <formula1>0</formula1>
    </dataValidation>
    <dataValidation type="whole" operator="greaterThan" allowBlank="1" showInputMessage="1" showErrorMessage="1" sqref="A4582">
      <formula1>0</formula1>
    </dataValidation>
    <dataValidation type="list" allowBlank="1" showInputMessage="1" showErrorMessage="1" sqref="C4582">
      <formula1>UnidadesList</formula1>
    </dataValidation>
    <dataValidation type="decimal" operator="greaterThan" allowBlank="1" showInputMessage="1" showErrorMessage="1" sqref="D4582">
      <formula1>0</formula1>
    </dataValidation>
    <dataValidation type="decimal" operator="greaterThan" allowBlank="1" showInputMessage="1" showErrorMessage="1" sqref="E4582">
      <formula1>0</formula1>
    </dataValidation>
    <dataValidation type="whole" operator="greaterThan" allowBlank="1" showInputMessage="1" showErrorMessage="1" sqref="A4583">
      <formula1>0</formula1>
    </dataValidation>
    <dataValidation type="list" allowBlank="1" showInputMessage="1" showErrorMessage="1" sqref="C4583">
      <formula1>UnidadesList</formula1>
    </dataValidation>
    <dataValidation type="decimal" operator="greaterThan" allowBlank="1" showInputMessage="1" showErrorMessage="1" sqref="D4583">
      <formula1>0</formula1>
    </dataValidation>
    <dataValidation type="decimal" operator="greaterThan" allowBlank="1" showInputMessage="1" showErrorMessage="1" sqref="E4583">
      <formula1>0</formula1>
    </dataValidation>
    <dataValidation type="whole" operator="greaterThan" allowBlank="1" showInputMessage="1" showErrorMessage="1" sqref="A4584">
      <formula1>0</formula1>
    </dataValidation>
    <dataValidation type="list" allowBlank="1" showInputMessage="1" showErrorMessage="1" sqref="C4584">
      <formula1>UnidadesList</formula1>
    </dataValidation>
    <dataValidation type="decimal" operator="greaterThan" allowBlank="1" showInputMessage="1" showErrorMessage="1" sqref="D4584">
      <formula1>0</formula1>
    </dataValidation>
    <dataValidation type="decimal" operator="greaterThan" allowBlank="1" showInputMessage="1" showErrorMessage="1" sqref="E4584">
      <formula1>0</formula1>
    </dataValidation>
    <dataValidation type="whole" operator="greaterThan" allowBlank="1" showInputMessage="1" showErrorMessage="1" sqref="A4585">
      <formula1>0</formula1>
    </dataValidation>
    <dataValidation type="list" allowBlank="1" showInputMessage="1" showErrorMessage="1" sqref="C4585">
      <formula1>UnidadesList</formula1>
    </dataValidation>
    <dataValidation type="decimal" operator="greaterThan" allowBlank="1" showInputMessage="1" showErrorMessage="1" sqref="D4585">
      <formula1>0</formula1>
    </dataValidation>
    <dataValidation type="decimal" operator="greaterThan" allowBlank="1" showInputMessage="1" showErrorMessage="1" sqref="E4585">
      <formula1>0</formula1>
    </dataValidation>
    <dataValidation type="date" operator="lessThanOrEqual" allowBlank="1" showInputMessage="1" showErrorMessage="1" sqref="C4590">
      <formula1>C4592</formula1>
    </dataValidation>
    <dataValidation type="date" operator="greaterThanOrEqual" allowBlank="1" showInputMessage="1" showErrorMessage="1" sqref="C4592">
      <formula1>C4590</formula1>
    </dataValidation>
    <dataValidation type="list" allowBlank="1" showInputMessage="1" showErrorMessage="1" sqref="F45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5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5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5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596">
      <formula1>0</formula1>
    </dataValidation>
    <dataValidation type="list" allowBlank="1" showInputMessage="1" showErrorMessage="1" sqref="C4596">
      <formula1>UnidadesList</formula1>
    </dataValidation>
    <dataValidation type="decimal" operator="greaterThan" allowBlank="1" showInputMessage="1" showErrorMessage="1" sqref="D4596">
      <formula1>0</formula1>
    </dataValidation>
    <dataValidation type="decimal" operator="greaterThan" allowBlank="1" showInputMessage="1" showErrorMessage="1" sqref="E4596">
      <formula1>0</formula1>
    </dataValidation>
    <dataValidation type="whole" operator="greaterThan" allowBlank="1" showInputMessage="1" showErrorMessage="1" sqref="A4597">
      <formula1>0</formula1>
    </dataValidation>
    <dataValidation type="list" allowBlank="1" showInputMessage="1" showErrorMessage="1" sqref="C4597">
      <formula1>UnidadesList</formula1>
    </dataValidation>
    <dataValidation type="decimal" operator="greaterThan" allowBlank="1" showInputMessage="1" showErrorMessage="1" sqref="D4597">
      <formula1>0</formula1>
    </dataValidation>
    <dataValidation type="decimal" operator="greaterThan" allowBlank="1" showInputMessage="1" showErrorMessage="1" sqref="E4597">
      <formula1>0</formula1>
    </dataValidation>
    <dataValidation type="whole" operator="greaterThan" allowBlank="1" showInputMessage="1" showErrorMessage="1" sqref="A4598">
      <formula1>0</formula1>
    </dataValidation>
    <dataValidation type="list" allowBlank="1" showInputMessage="1" showErrorMessage="1" sqref="C4598">
      <formula1>UnidadesList</formula1>
    </dataValidation>
    <dataValidation type="decimal" operator="greaterThan" allowBlank="1" showInputMessage="1" showErrorMessage="1" sqref="D4598">
      <formula1>0</formula1>
    </dataValidation>
    <dataValidation type="decimal" operator="greaterThan" allowBlank="1" showInputMessage="1" showErrorMessage="1" sqref="E4598">
      <formula1>0</formula1>
    </dataValidation>
    <dataValidation type="whole" operator="greaterThan" allowBlank="1" showInputMessage="1" showErrorMessage="1" sqref="A4599">
      <formula1>0</formula1>
    </dataValidation>
    <dataValidation type="list" allowBlank="1" showInputMessage="1" showErrorMessage="1" sqref="C4599">
      <formula1>UnidadesList</formula1>
    </dataValidation>
    <dataValidation type="decimal" operator="greaterThan" allowBlank="1" showInputMessage="1" showErrorMessage="1" sqref="D4599">
      <formula1>0</formula1>
    </dataValidation>
    <dataValidation type="decimal" operator="greaterThan" allowBlank="1" showInputMessage="1" showErrorMessage="1" sqref="E4599">
      <formula1>0</formula1>
    </dataValidation>
    <dataValidation type="whole" operator="greaterThan" allowBlank="1" showInputMessage="1" showErrorMessage="1" sqref="A4600">
      <formula1>0</formula1>
    </dataValidation>
    <dataValidation type="list" allowBlank="1" showInputMessage="1" showErrorMessage="1" sqref="C4600">
      <formula1>UnidadesList</formula1>
    </dataValidation>
    <dataValidation type="decimal" operator="greaterThan" allowBlank="1" showInputMessage="1" showErrorMessage="1" sqref="D4600">
      <formula1>0</formula1>
    </dataValidation>
    <dataValidation type="decimal" operator="greaterThan" allowBlank="1" showInputMessage="1" showErrorMessage="1" sqref="E4600">
      <formula1>0</formula1>
    </dataValidation>
    <dataValidation type="whole" operator="greaterThan" allowBlank="1" showInputMessage="1" showErrorMessage="1" sqref="A4601">
      <formula1>0</formula1>
    </dataValidation>
    <dataValidation type="list" allowBlank="1" showInputMessage="1" showErrorMessage="1" sqref="C4601">
      <formula1>UnidadesList</formula1>
    </dataValidation>
    <dataValidation type="decimal" operator="greaterThan" allowBlank="1" showInputMessage="1" showErrorMessage="1" sqref="D4601">
      <formula1>0</formula1>
    </dataValidation>
    <dataValidation type="decimal" operator="greaterThan" allowBlank="1" showInputMessage="1" showErrorMessage="1" sqref="E4601">
      <formula1>0</formula1>
    </dataValidation>
    <dataValidation type="whole" operator="greaterThan" allowBlank="1" showInputMessage="1" showErrorMessage="1" sqref="A4602">
      <formula1>0</formula1>
    </dataValidation>
    <dataValidation type="list" allowBlank="1" showInputMessage="1" showErrorMessage="1" sqref="C4602">
      <formula1>UnidadesList</formula1>
    </dataValidation>
    <dataValidation type="decimal" operator="greaterThan" allowBlank="1" showInputMessage="1" showErrorMessage="1" sqref="D4602">
      <formula1>0</formula1>
    </dataValidation>
    <dataValidation type="decimal" operator="greaterThan" allowBlank="1" showInputMessage="1" showErrorMessage="1" sqref="E4602">
      <formula1>0</formula1>
    </dataValidation>
    <dataValidation type="whole" operator="greaterThan" allowBlank="1" showInputMessage="1" showErrorMessage="1" sqref="A4603">
      <formula1>0</formula1>
    </dataValidation>
    <dataValidation type="list" allowBlank="1" showInputMessage="1" showErrorMessage="1" sqref="C4603">
      <formula1>UnidadesList</formula1>
    </dataValidation>
    <dataValidation type="decimal" operator="greaterThan" allowBlank="1" showInputMessage="1" showErrorMessage="1" sqref="D4603">
      <formula1>0</formula1>
    </dataValidation>
    <dataValidation type="decimal" operator="greaterThan" allowBlank="1" showInputMessage="1" showErrorMessage="1" sqref="E4603">
      <formula1>0</formula1>
    </dataValidation>
    <dataValidation type="whole" operator="greaterThan" allowBlank="1" showInputMessage="1" showErrorMessage="1" sqref="A4604">
      <formula1>0</formula1>
    </dataValidation>
    <dataValidation type="list" allowBlank="1" showInputMessage="1" showErrorMessage="1" sqref="C4604">
      <formula1>UnidadesList</formula1>
    </dataValidation>
    <dataValidation type="decimal" operator="greaterThan" allowBlank="1" showInputMessage="1" showErrorMessage="1" sqref="D4604">
      <formula1>0</formula1>
    </dataValidation>
    <dataValidation type="decimal" operator="greaterThan" allowBlank="1" showInputMessage="1" showErrorMessage="1" sqref="E4604">
      <formula1>0</formula1>
    </dataValidation>
    <dataValidation type="whole" operator="greaterThan" allowBlank="1" showInputMessage="1" showErrorMessage="1" sqref="A4605">
      <formula1>0</formula1>
    </dataValidation>
    <dataValidation type="list" allowBlank="1" showInputMessage="1" showErrorMessage="1" sqref="C4605">
      <formula1>UnidadesList</formula1>
    </dataValidation>
    <dataValidation type="decimal" operator="greaterThan" allowBlank="1" showInputMessage="1" showErrorMessage="1" sqref="D4605">
      <formula1>0</formula1>
    </dataValidation>
    <dataValidation type="decimal" operator="greaterThan" allowBlank="1" showInputMessage="1" showErrorMessage="1" sqref="E4605">
      <formula1>0</formula1>
    </dataValidation>
    <dataValidation type="whole" operator="greaterThan" allowBlank="1" showInputMessage="1" showErrorMessage="1" sqref="A4606">
      <formula1>0</formula1>
    </dataValidation>
    <dataValidation type="list" allowBlank="1" showInputMessage="1" showErrorMessage="1" sqref="C4606">
      <formula1>UnidadesList</formula1>
    </dataValidation>
    <dataValidation type="decimal" operator="greaterThan" allowBlank="1" showInputMessage="1" showErrorMessage="1" sqref="D4606">
      <formula1>0</formula1>
    </dataValidation>
    <dataValidation type="decimal" operator="greaterThan" allowBlank="1" showInputMessage="1" showErrorMessage="1" sqref="E4606">
      <formula1>0</formula1>
    </dataValidation>
    <dataValidation type="whole" operator="greaterThan" allowBlank="1" showInputMessage="1" showErrorMessage="1" sqref="A4607">
      <formula1>0</formula1>
    </dataValidation>
    <dataValidation type="list" allowBlank="1" showInputMessage="1" showErrorMessage="1" sqref="C4607">
      <formula1>UnidadesList</formula1>
    </dataValidation>
    <dataValidation type="decimal" operator="greaterThan" allowBlank="1" showInputMessage="1" showErrorMessage="1" sqref="D4607">
      <formula1>0</formula1>
    </dataValidation>
    <dataValidation type="decimal" operator="greaterThan" allowBlank="1" showInputMessage="1" showErrorMessage="1" sqref="E4607">
      <formula1>0</formula1>
    </dataValidation>
    <dataValidation type="whole" operator="greaterThan" allowBlank="1" showInputMessage="1" showErrorMessage="1" sqref="A4608">
      <formula1>0</formula1>
    </dataValidation>
    <dataValidation type="list" allowBlank="1" showInputMessage="1" showErrorMessage="1" sqref="C4608">
      <formula1>UnidadesList</formula1>
    </dataValidation>
    <dataValidation type="decimal" operator="greaterThan" allowBlank="1" showInputMessage="1" showErrorMessage="1" sqref="D4608">
      <formula1>0</formula1>
    </dataValidation>
    <dataValidation type="decimal" operator="greaterThan" allowBlank="1" showInputMessage="1" showErrorMessage="1" sqref="E4608">
      <formula1>0</formula1>
    </dataValidation>
    <dataValidation type="whole" operator="greaterThan" allowBlank="1" showInputMessage="1" showErrorMessage="1" sqref="A4609">
      <formula1>0</formula1>
    </dataValidation>
    <dataValidation type="list" allowBlank="1" showInputMessage="1" showErrorMessage="1" sqref="C4609">
      <formula1>UnidadesList</formula1>
    </dataValidation>
    <dataValidation type="decimal" operator="greaterThan" allowBlank="1" showInputMessage="1" showErrorMessage="1" sqref="D4609">
      <formula1>0</formula1>
    </dataValidation>
    <dataValidation type="decimal" operator="greaterThan" allowBlank="1" showInputMessage="1" showErrorMessage="1" sqref="E4609">
      <formula1>0</formula1>
    </dataValidation>
    <dataValidation type="whole" operator="greaterThan" allowBlank="1" showInputMessage="1" showErrorMessage="1" sqref="A4610">
      <formula1>0</formula1>
    </dataValidation>
    <dataValidation type="list" allowBlank="1" showInputMessage="1" showErrorMessage="1" sqref="C4610">
      <formula1>UnidadesList</formula1>
    </dataValidation>
    <dataValidation type="decimal" operator="greaterThan" allowBlank="1" showInputMessage="1" showErrorMessage="1" sqref="D4610">
      <formula1>0</formula1>
    </dataValidation>
    <dataValidation type="decimal" operator="greaterThan" allowBlank="1" showInputMessage="1" showErrorMessage="1" sqref="E4610">
      <formula1>0</formula1>
    </dataValidation>
    <dataValidation type="whole" operator="greaterThan" allowBlank="1" showInputMessage="1" showErrorMessage="1" sqref="A4611">
      <formula1>0</formula1>
    </dataValidation>
    <dataValidation type="list" allowBlank="1" showInputMessage="1" showErrorMessage="1" sqref="C4611">
      <formula1>UnidadesList</formula1>
    </dataValidation>
    <dataValidation type="decimal" operator="greaterThan" allowBlank="1" showInputMessage="1" showErrorMessage="1" sqref="D4611">
      <formula1>0</formula1>
    </dataValidation>
    <dataValidation type="decimal" operator="greaterThan" allowBlank="1" showInputMessage="1" showErrorMessage="1" sqref="E4611">
      <formula1>0</formula1>
    </dataValidation>
    <dataValidation type="whole" operator="greaterThan" allowBlank="1" showInputMessage="1" showErrorMessage="1" sqref="A4612">
      <formula1>0</formula1>
    </dataValidation>
    <dataValidation type="list" allowBlank="1" showInputMessage="1" showErrorMessage="1" sqref="C4612">
      <formula1>UnidadesList</formula1>
    </dataValidation>
    <dataValidation type="decimal" operator="greaterThan" allowBlank="1" showInputMessage="1" showErrorMessage="1" sqref="D4612">
      <formula1>0</formula1>
    </dataValidation>
    <dataValidation type="decimal" operator="greaterThan" allowBlank="1" showInputMessage="1" showErrorMessage="1" sqref="E4612">
      <formula1>0</formula1>
    </dataValidation>
    <dataValidation type="whole" operator="greaterThan" allowBlank="1" showInputMessage="1" showErrorMessage="1" sqref="A4613">
      <formula1>0</formula1>
    </dataValidation>
    <dataValidation type="list" allowBlank="1" showInputMessage="1" showErrorMessage="1" sqref="C4613">
      <formula1>UnidadesList</formula1>
    </dataValidation>
    <dataValidation type="decimal" operator="greaterThan" allowBlank="1" showInputMessage="1" showErrorMessage="1" sqref="D4613">
      <formula1>0</formula1>
    </dataValidation>
    <dataValidation type="decimal" operator="greaterThan" allowBlank="1" showInputMessage="1" showErrorMessage="1" sqref="E4613">
      <formula1>0</formula1>
    </dataValidation>
    <dataValidation type="whole" operator="greaterThan" allowBlank="1" showInputMessage="1" showErrorMessage="1" sqref="A4614">
      <formula1>0</formula1>
    </dataValidation>
    <dataValidation type="list" allowBlank="1" showInputMessage="1" showErrorMessage="1" sqref="C4614">
      <formula1>UnidadesList</formula1>
    </dataValidation>
    <dataValidation type="decimal" operator="greaterThan" allowBlank="1" showInputMessage="1" showErrorMessage="1" sqref="D4614">
      <formula1>0</formula1>
    </dataValidation>
    <dataValidation type="decimal" operator="greaterThan" allowBlank="1" showInputMessage="1" showErrorMessage="1" sqref="E4614">
      <formula1>0</formula1>
    </dataValidation>
    <dataValidation type="whole" operator="greaterThan" allowBlank="1" showInputMessage="1" showErrorMessage="1" sqref="A4615">
      <formula1>0</formula1>
    </dataValidation>
    <dataValidation type="list" allowBlank="1" showInputMessage="1" showErrorMessage="1" sqref="C4615">
      <formula1>UnidadesList</formula1>
    </dataValidation>
    <dataValidation type="decimal" operator="greaterThan" allowBlank="1" showInputMessage="1" showErrorMessage="1" sqref="D4615">
      <formula1>0</formula1>
    </dataValidation>
    <dataValidation type="decimal" operator="greaterThan" allowBlank="1" showInputMessage="1" showErrorMessage="1" sqref="E4615">
      <formula1>0</formula1>
    </dataValidation>
    <dataValidation type="whole" operator="greaterThan" allowBlank="1" showInputMessage="1" showErrorMessage="1" sqref="A4616">
      <formula1>0</formula1>
    </dataValidation>
    <dataValidation type="list" allowBlank="1" showInputMessage="1" showErrorMessage="1" sqref="C4616">
      <formula1>UnidadesList</formula1>
    </dataValidation>
    <dataValidation type="decimal" operator="greaterThan" allowBlank="1" showInputMessage="1" showErrorMessage="1" sqref="D4616">
      <formula1>0</formula1>
    </dataValidation>
    <dataValidation type="decimal" operator="greaterThan" allowBlank="1" showInputMessage="1" showErrorMessage="1" sqref="E4616">
      <formula1>0</formula1>
    </dataValidation>
    <dataValidation type="whole" operator="greaterThan" allowBlank="1" showInputMessage="1" showErrorMessage="1" sqref="A4617">
      <formula1>0</formula1>
    </dataValidation>
    <dataValidation type="list" allowBlank="1" showInputMessage="1" showErrorMessage="1" sqref="C4617">
      <formula1>UnidadesList</formula1>
    </dataValidation>
    <dataValidation type="decimal" operator="greaterThan" allowBlank="1" showInputMessage="1" showErrorMessage="1" sqref="D4617">
      <formula1>0</formula1>
    </dataValidation>
    <dataValidation type="decimal" operator="greaterThan" allowBlank="1" showInputMessage="1" showErrorMessage="1" sqref="E4617">
      <formula1>0</formula1>
    </dataValidation>
    <dataValidation type="whole" operator="greaterThan" allowBlank="1" showInputMessage="1" showErrorMessage="1" sqref="A4618">
      <formula1>0</formula1>
    </dataValidation>
    <dataValidation type="list" allowBlank="1" showInputMessage="1" showErrorMessage="1" sqref="C4618">
      <formula1>UnidadesList</formula1>
    </dataValidation>
    <dataValidation type="decimal" operator="greaterThan" allowBlank="1" showInputMessage="1" showErrorMessage="1" sqref="D4618">
      <formula1>0</formula1>
    </dataValidation>
    <dataValidation type="decimal" operator="greaterThan" allowBlank="1" showInputMessage="1" showErrorMessage="1" sqref="E4618">
      <formula1>0</formula1>
    </dataValidation>
    <dataValidation type="whole" operator="greaterThan" allowBlank="1" showInputMessage="1" showErrorMessage="1" sqref="A4619">
      <formula1>0</formula1>
    </dataValidation>
    <dataValidation type="list" allowBlank="1" showInputMessage="1" showErrorMessage="1" sqref="C4619">
      <formula1>UnidadesList</formula1>
    </dataValidation>
    <dataValidation type="decimal" operator="greaterThan" allowBlank="1" showInputMessage="1" showErrorMessage="1" sqref="D4619">
      <formula1>0</formula1>
    </dataValidation>
    <dataValidation type="decimal" operator="greaterThan" allowBlank="1" showInputMessage="1" showErrorMessage="1" sqref="E4619">
      <formula1>0</formula1>
    </dataValidation>
    <dataValidation type="whole" operator="greaterThan" allowBlank="1" showInputMessage="1" showErrorMessage="1" sqref="A4620">
      <formula1>0</formula1>
    </dataValidation>
    <dataValidation type="list" allowBlank="1" showInputMessage="1" showErrorMessage="1" sqref="C4620">
      <formula1>UnidadesList</formula1>
    </dataValidation>
    <dataValidation type="decimal" operator="greaterThan" allowBlank="1" showInputMessage="1" showErrorMessage="1" sqref="D4620">
      <formula1>0</formula1>
    </dataValidation>
    <dataValidation type="decimal" operator="greaterThan" allowBlank="1" showInputMessage="1" showErrorMessage="1" sqref="E4620">
      <formula1>0</formula1>
    </dataValidation>
    <dataValidation type="whole" operator="greaterThan" allowBlank="1" showInputMessage="1" showErrorMessage="1" sqref="A4621">
      <formula1>0</formula1>
    </dataValidation>
    <dataValidation type="list" allowBlank="1" showInputMessage="1" showErrorMessage="1" sqref="C4621">
      <formula1>UnidadesList</formula1>
    </dataValidation>
    <dataValidation type="decimal" operator="greaterThan" allowBlank="1" showInputMessage="1" showErrorMessage="1" sqref="D4621">
      <formula1>0</formula1>
    </dataValidation>
    <dataValidation type="decimal" operator="greaterThan" allowBlank="1" showInputMessage="1" showErrorMessage="1" sqref="E4621">
      <formula1>0</formula1>
    </dataValidation>
    <dataValidation type="whole" operator="greaterThan" allowBlank="1" showInputMessage="1" showErrorMessage="1" sqref="A4622">
      <formula1>0</formula1>
    </dataValidation>
    <dataValidation type="list" allowBlank="1" showInputMessage="1" showErrorMessage="1" sqref="C4622">
      <formula1>UnidadesList</formula1>
    </dataValidation>
    <dataValidation type="decimal" operator="greaterThan" allowBlank="1" showInputMessage="1" showErrorMessage="1" sqref="D4622">
      <formula1>0</formula1>
    </dataValidation>
    <dataValidation type="decimal" operator="greaterThan" allowBlank="1" showInputMessage="1" showErrorMessage="1" sqref="E4622">
      <formula1>0</formula1>
    </dataValidation>
    <dataValidation type="whole" operator="greaterThan" allowBlank="1" showInputMessage="1" showErrorMessage="1" sqref="A4623">
      <formula1>0</formula1>
    </dataValidation>
    <dataValidation type="list" allowBlank="1" showInputMessage="1" showErrorMessage="1" sqref="C4623">
      <formula1>UnidadesList</formula1>
    </dataValidation>
    <dataValidation type="decimal" operator="greaterThan" allowBlank="1" showInputMessage="1" showErrorMessage="1" sqref="D4623">
      <formula1>0</formula1>
    </dataValidation>
    <dataValidation type="decimal" operator="greaterThan" allowBlank="1" showInputMessage="1" showErrorMessage="1" sqref="E4623">
      <formula1>0</formula1>
    </dataValidation>
    <dataValidation type="whole" operator="greaterThan" allowBlank="1" showInputMessage="1" showErrorMessage="1" sqref="A4624">
      <formula1>0</formula1>
    </dataValidation>
    <dataValidation type="list" allowBlank="1" showInputMessage="1" showErrorMessage="1" sqref="C4624">
      <formula1>UnidadesList</formula1>
    </dataValidation>
    <dataValidation type="decimal" operator="greaterThan" allowBlank="1" showInputMessage="1" showErrorMessage="1" sqref="D4624">
      <formula1>0</formula1>
    </dataValidation>
    <dataValidation type="decimal" operator="greaterThan" allowBlank="1" showInputMessage="1" showErrorMessage="1" sqref="E4624">
      <formula1>0</formula1>
    </dataValidation>
    <dataValidation type="whole" operator="greaterThan" allowBlank="1" showInputMessage="1" showErrorMessage="1" sqref="A4625">
      <formula1>0</formula1>
    </dataValidation>
    <dataValidation type="list" allowBlank="1" showInputMessage="1" showErrorMessage="1" sqref="C4625">
      <formula1>UnidadesList</formula1>
    </dataValidation>
    <dataValidation type="decimal" operator="greaterThan" allowBlank="1" showInputMessage="1" showErrorMessage="1" sqref="D4625">
      <formula1>0</formula1>
    </dataValidation>
    <dataValidation type="decimal" operator="greaterThan" allowBlank="1" showInputMessage="1" showErrorMessage="1" sqref="E4625">
      <formula1>0</formula1>
    </dataValidation>
    <dataValidation type="whole" operator="greaterThan" allowBlank="1" showInputMessage="1" showErrorMessage="1" sqref="A4626">
      <formula1>0</formula1>
    </dataValidation>
    <dataValidation type="list" allowBlank="1" showInputMessage="1" showErrorMessage="1" sqref="C4626">
      <formula1>UnidadesList</formula1>
    </dataValidation>
    <dataValidation type="decimal" operator="greaterThan" allowBlank="1" showInputMessage="1" showErrorMessage="1" sqref="D4626">
      <formula1>0</formula1>
    </dataValidation>
    <dataValidation type="decimal" operator="greaterThan" allowBlank="1" showInputMessage="1" showErrorMessage="1" sqref="E4626">
      <formula1>0</formula1>
    </dataValidation>
    <dataValidation type="whole" operator="greaterThan" allowBlank="1" showInputMessage="1" showErrorMessage="1" sqref="A4627">
      <formula1>0</formula1>
    </dataValidation>
    <dataValidation type="list" allowBlank="1" showInputMessage="1" showErrorMessage="1" sqref="C4627">
      <formula1>UnidadesList</formula1>
    </dataValidation>
    <dataValidation type="decimal" operator="greaterThan" allowBlank="1" showInputMessage="1" showErrorMessage="1" sqref="D4627">
      <formula1>0</formula1>
    </dataValidation>
    <dataValidation type="decimal" operator="greaterThan" allowBlank="1" showInputMessage="1" showErrorMessage="1" sqref="E4627">
      <formula1>0</formula1>
    </dataValidation>
    <dataValidation type="whole" operator="greaterThan" allowBlank="1" showInputMessage="1" showErrorMessage="1" sqref="A4628">
      <formula1>0</formula1>
    </dataValidation>
    <dataValidation type="list" allowBlank="1" showInputMessage="1" showErrorMessage="1" sqref="C4628">
      <formula1>UnidadesList</formula1>
    </dataValidation>
    <dataValidation type="decimal" operator="greaterThan" allowBlank="1" showInputMessage="1" showErrorMessage="1" sqref="D4628">
      <formula1>0</formula1>
    </dataValidation>
    <dataValidation type="decimal" operator="greaterThan" allowBlank="1" showInputMessage="1" showErrorMessage="1" sqref="E4628">
      <formula1>0</formula1>
    </dataValidation>
    <dataValidation type="whole" operator="greaterThan" allowBlank="1" showInputMessage="1" showErrorMessage="1" sqref="A4629">
      <formula1>0</formula1>
    </dataValidation>
    <dataValidation type="list" allowBlank="1" showInputMessage="1" showErrorMessage="1" sqref="C4629">
      <formula1>UnidadesList</formula1>
    </dataValidation>
    <dataValidation type="decimal" operator="greaterThan" allowBlank="1" showInputMessage="1" showErrorMessage="1" sqref="D4629">
      <formula1>0</formula1>
    </dataValidation>
    <dataValidation type="decimal" operator="greaterThan" allowBlank="1" showInputMessage="1" showErrorMessage="1" sqref="E4629">
      <formula1>0</formula1>
    </dataValidation>
    <dataValidation type="whole" operator="greaterThan" allowBlank="1" showInputMessage="1" showErrorMessage="1" sqref="A4630">
      <formula1>0</formula1>
    </dataValidation>
    <dataValidation type="list" allowBlank="1" showInputMessage="1" showErrorMessage="1" sqref="C4630">
      <formula1>UnidadesList</formula1>
    </dataValidation>
    <dataValidation type="decimal" operator="greaterThan" allowBlank="1" showInputMessage="1" showErrorMessage="1" sqref="D4630">
      <formula1>0</formula1>
    </dataValidation>
    <dataValidation type="decimal" operator="greaterThan" allowBlank="1" showInputMessage="1" showErrorMessage="1" sqref="E4630">
      <formula1>0</formula1>
    </dataValidation>
    <dataValidation type="whole" operator="greaterThan" allowBlank="1" showInputMessage="1" showErrorMessage="1" sqref="A4631">
      <formula1>0</formula1>
    </dataValidation>
    <dataValidation type="list" allowBlank="1" showInputMessage="1" showErrorMessage="1" sqref="C4631">
      <formula1>UnidadesList</formula1>
    </dataValidation>
    <dataValidation type="decimal" operator="greaterThan" allowBlank="1" showInputMessage="1" showErrorMessage="1" sqref="D4631">
      <formula1>0</formula1>
    </dataValidation>
    <dataValidation type="decimal" operator="greaterThan" allowBlank="1" showInputMessage="1" showErrorMessage="1" sqref="E4631">
      <formula1>0</formula1>
    </dataValidation>
    <dataValidation type="whole" operator="greaterThan" allowBlank="1" showInputMessage="1" showErrorMessage="1" sqref="A4632">
      <formula1>0</formula1>
    </dataValidation>
    <dataValidation type="list" allowBlank="1" showInputMessage="1" showErrorMessage="1" sqref="C4632">
      <formula1>UnidadesList</formula1>
    </dataValidation>
    <dataValidation type="decimal" operator="greaterThan" allowBlank="1" showInputMessage="1" showErrorMessage="1" sqref="D4632">
      <formula1>0</formula1>
    </dataValidation>
    <dataValidation type="decimal" operator="greaterThan" allowBlank="1" showInputMessage="1" showErrorMessage="1" sqref="E4632">
      <formula1>0</formula1>
    </dataValidation>
    <dataValidation type="whole" operator="greaterThan" allowBlank="1" showInputMessage="1" showErrorMessage="1" sqref="A4633">
      <formula1>0</formula1>
    </dataValidation>
    <dataValidation type="list" allowBlank="1" showInputMessage="1" showErrorMessage="1" sqref="C4633">
      <formula1>UnidadesList</formula1>
    </dataValidation>
    <dataValidation type="decimal" operator="greaterThan" allowBlank="1" showInputMessage="1" showErrorMessage="1" sqref="D4633">
      <formula1>0</formula1>
    </dataValidation>
    <dataValidation type="decimal" operator="greaterThan" allowBlank="1" showInputMessage="1" showErrorMessage="1" sqref="E4633">
      <formula1>0</formula1>
    </dataValidation>
    <dataValidation type="whole" operator="greaterThan" allowBlank="1" showInputMessage="1" showErrorMessage="1" sqref="A4634">
      <formula1>0</formula1>
    </dataValidation>
    <dataValidation type="list" allowBlank="1" showInputMessage="1" showErrorMessage="1" sqref="C4634">
      <formula1>UnidadesList</formula1>
    </dataValidation>
    <dataValidation type="decimal" operator="greaterThan" allowBlank="1" showInputMessage="1" showErrorMessage="1" sqref="D4634">
      <formula1>0</formula1>
    </dataValidation>
    <dataValidation type="decimal" operator="greaterThan" allowBlank="1" showInputMessage="1" showErrorMessage="1" sqref="E4634">
      <formula1>0</formula1>
    </dataValidation>
    <dataValidation type="whole" operator="greaterThan" allowBlank="1" showInputMessage="1" showErrorMessage="1" sqref="A4635">
      <formula1>0</formula1>
    </dataValidation>
    <dataValidation type="list" allowBlank="1" showInputMessage="1" showErrorMessage="1" sqref="C4635">
      <formula1>UnidadesList</formula1>
    </dataValidation>
    <dataValidation type="decimal" operator="greaterThan" allowBlank="1" showInputMessage="1" showErrorMessage="1" sqref="D4635">
      <formula1>0</formula1>
    </dataValidation>
    <dataValidation type="decimal" operator="greaterThan" allowBlank="1" showInputMessage="1" showErrorMessage="1" sqref="E4635">
      <formula1>0</formula1>
    </dataValidation>
    <dataValidation type="whole" operator="greaterThan" allowBlank="1" showInputMessage="1" showErrorMessage="1" sqref="A4636">
      <formula1>0</formula1>
    </dataValidation>
    <dataValidation type="list" allowBlank="1" showInputMessage="1" showErrorMessage="1" sqref="C4636">
      <formula1>UnidadesList</formula1>
    </dataValidation>
    <dataValidation type="decimal" operator="greaterThan" allowBlank="1" showInputMessage="1" showErrorMessage="1" sqref="D4636">
      <formula1>0</formula1>
    </dataValidation>
    <dataValidation type="decimal" operator="greaterThan" allowBlank="1" showInputMessage="1" showErrorMessage="1" sqref="E4636">
      <formula1>0</formula1>
    </dataValidation>
    <dataValidation type="whole" operator="greaterThan" allowBlank="1" showInputMessage="1" showErrorMessage="1" sqref="A4637">
      <formula1>0</formula1>
    </dataValidation>
    <dataValidation type="list" allowBlank="1" showInputMessage="1" showErrorMessage="1" sqref="C4637">
      <formula1>UnidadesList</formula1>
    </dataValidation>
    <dataValidation type="decimal" operator="greaterThan" allowBlank="1" showInputMessage="1" showErrorMessage="1" sqref="D4637">
      <formula1>0</formula1>
    </dataValidation>
    <dataValidation type="decimal" operator="greaterThan" allowBlank="1" showInputMessage="1" showErrorMessage="1" sqref="E4637">
      <formula1>0</formula1>
    </dataValidation>
    <dataValidation type="whole" operator="greaterThan" allowBlank="1" showInputMessage="1" showErrorMessage="1" sqref="A4638">
      <formula1>0</formula1>
    </dataValidation>
    <dataValidation type="list" allowBlank="1" showInputMessage="1" showErrorMessage="1" sqref="C4638">
      <formula1>UnidadesList</formula1>
    </dataValidation>
    <dataValidation type="decimal" operator="greaterThan" allowBlank="1" showInputMessage="1" showErrorMessage="1" sqref="D4638">
      <formula1>0</formula1>
    </dataValidation>
    <dataValidation type="decimal" operator="greaterThan" allowBlank="1" showInputMessage="1" showErrorMessage="1" sqref="E4638">
      <formula1>0</formula1>
    </dataValidation>
    <dataValidation type="whole" operator="greaterThan" allowBlank="1" showInputMessage="1" showErrorMessage="1" sqref="A4639">
      <formula1>0</formula1>
    </dataValidation>
    <dataValidation type="list" allowBlank="1" showInputMessage="1" showErrorMessage="1" sqref="C4639">
      <formula1>UnidadesList</formula1>
    </dataValidation>
    <dataValidation type="decimal" operator="greaterThan" allowBlank="1" showInputMessage="1" showErrorMessage="1" sqref="D4639">
      <formula1>0</formula1>
    </dataValidation>
    <dataValidation type="decimal" operator="greaterThan" allowBlank="1" showInputMessage="1" showErrorMessage="1" sqref="E4639">
      <formula1>0</formula1>
    </dataValidation>
    <dataValidation type="whole" operator="greaterThan" allowBlank="1" showInputMessage="1" showErrorMessage="1" sqref="A4640">
      <formula1>0</formula1>
    </dataValidation>
    <dataValidation type="list" allowBlank="1" showInputMessage="1" showErrorMessage="1" sqref="C4640">
      <formula1>UnidadesList</formula1>
    </dataValidation>
    <dataValidation type="decimal" operator="greaterThan" allowBlank="1" showInputMessage="1" showErrorMessage="1" sqref="D4640">
      <formula1>0</formula1>
    </dataValidation>
    <dataValidation type="decimal" operator="greaterThan" allowBlank="1" showInputMessage="1" showErrorMessage="1" sqref="E4640">
      <formula1>0</formula1>
    </dataValidation>
    <dataValidation type="whole" operator="greaterThan" allowBlank="1" showInputMessage="1" showErrorMessage="1" sqref="A4641">
      <formula1>0</formula1>
    </dataValidation>
    <dataValidation type="list" allowBlank="1" showInputMessage="1" showErrorMessage="1" sqref="C4641">
      <formula1>UnidadesList</formula1>
    </dataValidation>
    <dataValidation type="decimal" operator="greaterThan" allowBlank="1" showInputMessage="1" showErrorMessage="1" sqref="D4641">
      <formula1>0</formula1>
    </dataValidation>
    <dataValidation type="decimal" operator="greaterThan" allowBlank="1" showInputMessage="1" showErrorMessage="1" sqref="E4641">
      <formula1>0</formula1>
    </dataValidation>
    <dataValidation type="whole" operator="greaterThan" allowBlank="1" showInputMessage="1" showErrorMessage="1" sqref="A4642">
      <formula1>0</formula1>
    </dataValidation>
    <dataValidation type="list" allowBlank="1" showInputMessage="1" showErrorMessage="1" sqref="C4642">
      <formula1>UnidadesList</formula1>
    </dataValidation>
    <dataValidation type="decimal" operator="greaterThan" allowBlank="1" showInputMessage="1" showErrorMessage="1" sqref="D4642">
      <formula1>0</formula1>
    </dataValidation>
    <dataValidation type="decimal" operator="greaterThan" allowBlank="1" showInputMessage="1" showErrorMessage="1" sqref="E4642">
      <formula1>0</formula1>
    </dataValidation>
    <dataValidation type="whole" operator="greaterThan" allowBlank="1" showInputMessage="1" showErrorMessage="1" sqref="A4643">
      <formula1>0</formula1>
    </dataValidation>
    <dataValidation type="list" allowBlank="1" showInputMessage="1" showErrorMessage="1" sqref="C4643">
      <formula1>UnidadesList</formula1>
    </dataValidation>
    <dataValidation type="decimal" operator="greaterThan" allowBlank="1" showInputMessage="1" showErrorMessage="1" sqref="D4643">
      <formula1>0</formula1>
    </dataValidation>
    <dataValidation type="decimal" operator="greaterThan" allowBlank="1" showInputMessage="1" showErrorMessage="1" sqref="E4643">
      <formula1>0</formula1>
    </dataValidation>
    <dataValidation type="whole" operator="greaterThan" allowBlank="1" showInputMessage="1" showErrorMessage="1" sqref="A4644">
      <formula1>0</formula1>
    </dataValidation>
    <dataValidation type="list" allowBlank="1" showInputMessage="1" showErrorMessage="1" sqref="C4644">
      <formula1>UnidadesList</formula1>
    </dataValidation>
    <dataValidation type="decimal" operator="greaterThan" allowBlank="1" showInputMessage="1" showErrorMessage="1" sqref="D4644">
      <formula1>0</formula1>
    </dataValidation>
    <dataValidation type="decimal" operator="greaterThan" allowBlank="1" showInputMessage="1" showErrorMessage="1" sqref="E4644">
      <formula1>0</formula1>
    </dataValidation>
    <dataValidation type="whole" operator="greaterThan" allowBlank="1" showInputMessage="1" showErrorMessage="1" sqref="A4645">
      <formula1>0</formula1>
    </dataValidation>
    <dataValidation type="list" allowBlank="1" showInputMessage="1" showErrorMessage="1" sqref="C4645">
      <formula1>UnidadesList</formula1>
    </dataValidation>
    <dataValidation type="decimal" operator="greaterThan" allowBlank="1" showInputMessage="1" showErrorMessage="1" sqref="D4645">
      <formula1>0</formula1>
    </dataValidation>
    <dataValidation type="decimal" operator="greaterThan" allowBlank="1" showInputMessage="1" showErrorMessage="1" sqref="E4645">
      <formula1>0</formula1>
    </dataValidation>
    <dataValidation type="whole" operator="greaterThan" allowBlank="1" showInputMessage="1" showErrorMessage="1" sqref="A4646">
      <formula1>0</formula1>
    </dataValidation>
    <dataValidation type="list" allowBlank="1" showInputMessage="1" showErrorMessage="1" sqref="C4646">
      <formula1>UnidadesList</formula1>
    </dataValidation>
    <dataValidation type="decimal" operator="greaterThan" allowBlank="1" showInputMessage="1" showErrorMessage="1" sqref="D4646">
      <formula1>0</formula1>
    </dataValidation>
    <dataValidation type="decimal" operator="greaterThan" allowBlank="1" showInputMessage="1" showErrorMessage="1" sqref="E4646">
      <formula1>0</formula1>
    </dataValidation>
    <dataValidation type="whole" operator="greaterThan" allowBlank="1" showInputMessage="1" showErrorMessage="1" sqref="A4647">
      <formula1>0</formula1>
    </dataValidation>
    <dataValidation type="list" allowBlank="1" showInputMessage="1" showErrorMessage="1" sqref="C4647">
      <formula1>UnidadesList</formula1>
    </dataValidation>
    <dataValidation type="decimal" operator="greaterThan" allowBlank="1" showInputMessage="1" showErrorMessage="1" sqref="D4647">
      <formula1>0</formula1>
    </dataValidation>
    <dataValidation type="decimal" operator="greaterThan" allowBlank="1" showInputMessage="1" showErrorMessage="1" sqref="E4647">
      <formula1>0</formula1>
    </dataValidation>
    <dataValidation type="whole" operator="greaterThan" allowBlank="1" showInputMessage="1" showErrorMessage="1" sqref="A4648">
      <formula1>0</formula1>
    </dataValidation>
    <dataValidation type="list" allowBlank="1" showInputMessage="1" showErrorMessage="1" sqref="C4648">
      <formula1>UnidadesList</formula1>
    </dataValidation>
    <dataValidation type="decimal" operator="greaterThan" allowBlank="1" showInputMessage="1" showErrorMessage="1" sqref="D4648">
      <formula1>0</formula1>
    </dataValidation>
    <dataValidation type="decimal" operator="greaterThan" allowBlank="1" showInputMessage="1" showErrorMessage="1" sqref="E4648">
      <formula1>0</formula1>
    </dataValidation>
    <dataValidation type="whole" operator="greaterThan" allowBlank="1" showInputMessage="1" showErrorMessage="1" sqref="A4649">
      <formula1>0</formula1>
    </dataValidation>
    <dataValidation type="list" allowBlank="1" showInputMessage="1" showErrorMessage="1" sqref="C4649">
      <formula1>UnidadesList</formula1>
    </dataValidation>
    <dataValidation type="decimal" operator="greaterThan" allowBlank="1" showInputMessage="1" showErrorMessage="1" sqref="D4649">
      <formula1>0</formula1>
    </dataValidation>
    <dataValidation type="decimal" operator="greaterThan" allowBlank="1" showInputMessage="1" showErrorMessage="1" sqref="E4649">
      <formula1>0</formula1>
    </dataValidation>
    <dataValidation type="whole" operator="greaterThan" allowBlank="1" showInputMessage="1" showErrorMessage="1" sqref="A4650">
      <formula1>0</formula1>
    </dataValidation>
    <dataValidation type="list" allowBlank="1" showInputMessage="1" showErrorMessage="1" sqref="C4650">
      <formula1>UnidadesList</formula1>
    </dataValidation>
    <dataValidation type="decimal" operator="greaterThan" allowBlank="1" showInputMessage="1" showErrorMessage="1" sqref="D4650">
      <formula1>0</formula1>
    </dataValidation>
    <dataValidation type="decimal" operator="greaterThan" allowBlank="1" showInputMessage="1" showErrorMessage="1" sqref="E4650">
      <formula1>0</formula1>
    </dataValidation>
    <dataValidation type="whole" operator="greaterThan" allowBlank="1" showInputMessage="1" showErrorMessage="1" sqref="A4651">
      <formula1>0</formula1>
    </dataValidation>
    <dataValidation type="list" allowBlank="1" showInputMessage="1" showErrorMessage="1" sqref="C4651">
      <formula1>UnidadesList</formula1>
    </dataValidation>
    <dataValidation type="decimal" operator="greaterThan" allowBlank="1" showInputMessage="1" showErrorMessage="1" sqref="D4651">
      <formula1>0</formula1>
    </dataValidation>
    <dataValidation type="decimal" operator="greaterThan" allowBlank="1" showInputMessage="1" showErrorMessage="1" sqref="E4651">
      <formula1>0</formula1>
    </dataValidation>
    <dataValidation type="whole" operator="greaterThan" allowBlank="1" showInputMessage="1" showErrorMessage="1" sqref="A4652">
      <formula1>0</formula1>
    </dataValidation>
    <dataValidation type="list" allowBlank="1" showInputMessage="1" showErrorMessage="1" sqref="C4652">
      <formula1>UnidadesList</formula1>
    </dataValidation>
    <dataValidation type="decimal" operator="greaterThan" allowBlank="1" showInputMessage="1" showErrorMessage="1" sqref="D4652">
      <formula1>0</formula1>
    </dataValidation>
    <dataValidation type="decimal" operator="greaterThan" allowBlank="1" showInputMessage="1" showErrorMessage="1" sqref="E4652">
      <formula1>0</formula1>
    </dataValidation>
    <dataValidation type="whole" operator="greaterThan" allowBlank="1" showInputMessage="1" showErrorMessage="1" sqref="A4653">
      <formula1>0</formula1>
    </dataValidation>
    <dataValidation type="list" allowBlank="1" showInputMessage="1" showErrorMessage="1" sqref="C4653">
      <formula1>UnidadesList</formula1>
    </dataValidation>
    <dataValidation type="decimal" operator="greaterThan" allowBlank="1" showInputMessage="1" showErrorMessage="1" sqref="D4653">
      <formula1>0</formula1>
    </dataValidation>
    <dataValidation type="decimal" operator="greaterThan" allowBlank="1" showInputMessage="1" showErrorMessage="1" sqref="E4653">
      <formula1>0</formula1>
    </dataValidation>
    <dataValidation type="whole" operator="greaterThan" allowBlank="1" showInputMessage="1" showErrorMessage="1" sqref="A4654">
      <formula1>0</formula1>
    </dataValidation>
    <dataValidation type="list" allowBlank="1" showInputMessage="1" showErrorMessage="1" sqref="C4654">
      <formula1>UnidadesList</formula1>
    </dataValidation>
    <dataValidation type="decimal" operator="greaterThan" allowBlank="1" showInputMessage="1" showErrorMessage="1" sqref="D4654">
      <formula1>0</formula1>
    </dataValidation>
    <dataValidation type="decimal" operator="greaterThan" allowBlank="1" showInputMessage="1" showErrorMessage="1" sqref="E4654">
      <formula1>0</formula1>
    </dataValidation>
    <dataValidation type="whole" operator="greaterThan" allowBlank="1" showInputMessage="1" showErrorMessage="1" sqref="A4655">
      <formula1>0</formula1>
    </dataValidation>
    <dataValidation type="list" allowBlank="1" showInputMessage="1" showErrorMessage="1" sqref="C4655">
      <formula1>UnidadesList</formula1>
    </dataValidation>
    <dataValidation type="decimal" operator="greaterThan" allowBlank="1" showInputMessage="1" showErrorMessage="1" sqref="D4655">
      <formula1>0</formula1>
    </dataValidation>
    <dataValidation type="decimal" operator="greaterThan" allowBlank="1" showInputMessage="1" showErrorMessage="1" sqref="E4655">
      <formula1>0</formula1>
    </dataValidation>
    <dataValidation type="whole" operator="greaterThan" allowBlank="1" showInputMessage="1" showErrorMessage="1" sqref="A4656">
      <formula1>0</formula1>
    </dataValidation>
    <dataValidation type="list" allowBlank="1" showInputMessage="1" showErrorMessage="1" sqref="C4656">
      <formula1>UnidadesList</formula1>
    </dataValidation>
    <dataValidation type="decimal" operator="greaterThan" allowBlank="1" showInputMessage="1" showErrorMessage="1" sqref="D4656">
      <formula1>0</formula1>
    </dataValidation>
    <dataValidation type="decimal" operator="greaterThan" allowBlank="1" showInputMessage="1" showErrorMessage="1" sqref="E4656">
      <formula1>0</formula1>
    </dataValidation>
    <dataValidation type="whole" operator="greaterThan" allowBlank="1" showInputMessage="1" showErrorMessage="1" sqref="A4657">
      <formula1>0</formula1>
    </dataValidation>
    <dataValidation type="list" allowBlank="1" showInputMessage="1" showErrorMessage="1" sqref="C4657">
      <formula1>UnidadesList</formula1>
    </dataValidation>
    <dataValidation type="decimal" operator="greaterThan" allowBlank="1" showInputMessage="1" showErrorMessage="1" sqref="D4657">
      <formula1>0</formula1>
    </dataValidation>
    <dataValidation type="decimal" operator="greaterThan" allowBlank="1" showInputMessage="1" showErrorMessage="1" sqref="E4657">
      <formula1>0</formula1>
    </dataValidation>
    <dataValidation type="whole" operator="greaterThan" allowBlank="1" showInputMessage="1" showErrorMessage="1" sqref="A4658">
      <formula1>0</formula1>
    </dataValidation>
    <dataValidation type="list" allowBlank="1" showInputMessage="1" showErrorMessage="1" sqref="C4658">
      <formula1>UnidadesList</formula1>
    </dataValidation>
    <dataValidation type="decimal" operator="greaterThan" allowBlank="1" showInputMessage="1" showErrorMessage="1" sqref="D4658">
      <formula1>0</formula1>
    </dataValidation>
    <dataValidation type="decimal" operator="greaterThan" allowBlank="1" showInputMessage="1" showErrorMessage="1" sqref="E4658">
      <formula1>0</formula1>
    </dataValidation>
    <dataValidation type="whole" operator="greaterThan" allowBlank="1" showInputMessage="1" showErrorMessage="1" sqref="A4659">
      <formula1>0</formula1>
    </dataValidation>
    <dataValidation type="list" allowBlank="1" showInputMessage="1" showErrorMessage="1" sqref="C4659">
      <formula1>UnidadesList</formula1>
    </dataValidation>
    <dataValidation type="decimal" operator="greaterThan" allowBlank="1" showInputMessage="1" showErrorMessage="1" sqref="D4659">
      <formula1>0</formula1>
    </dataValidation>
    <dataValidation type="decimal" operator="greaterThan" allowBlank="1" showInputMessage="1" showErrorMessage="1" sqref="E4659">
      <formula1>0</formula1>
    </dataValidation>
    <dataValidation type="whole" operator="greaterThan" allowBlank="1" showInputMessage="1" showErrorMessage="1" sqref="A4660">
      <formula1>0</formula1>
    </dataValidation>
    <dataValidation type="list" allowBlank="1" showInputMessage="1" showErrorMessage="1" sqref="C4660">
      <formula1>UnidadesList</formula1>
    </dataValidation>
    <dataValidation type="decimal" operator="greaterThan" allowBlank="1" showInputMessage="1" showErrorMessage="1" sqref="D4660">
      <formula1>0</formula1>
    </dataValidation>
    <dataValidation type="decimal" operator="greaterThan" allowBlank="1" showInputMessage="1" showErrorMessage="1" sqref="E4660">
      <formula1>0</formula1>
    </dataValidation>
    <dataValidation type="whole" operator="greaterThan" allowBlank="1" showInputMessage="1" showErrorMessage="1" sqref="A4661">
      <formula1>0</formula1>
    </dataValidation>
    <dataValidation type="list" allowBlank="1" showInputMessage="1" showErrorMessage="1" sqref="C4661">
      <formula1>UnidadesList</formula1>
    </dataValidation>
    <dataValidation type="decimal" operator="greaterThan" allowBlank="1" showInputMessage="1" showErrorMessage="1" sqref="D4661">
      <formula1>0</formula1>
    </dataValidation>
    <dataValidation type="decimal" operator="greaterThan" allowBlank="1" showInputMessage="1" showErrorMessage="1" sqref="E4661">
      <formula1>0</formula1>
    </dataValidation>
    <dataValidation type="whole" operator="greaterThan" allowBlank="1" showInputMessage="1" showErrorMessage="1" sqref="A4662">
      <formula1>0</formula1>
    </dataValidation>
    <dataValidation type="list" allowBlank="1" showInputMessage="1" showErrorMessage="1" sqref="C4662">
      <formula1>UnidadesList</formula1>
    </dataValidation>
    <dataValidation type="decimal" operator="greaterThan" allowBlank="1" showInputMessage="1" showErrorMessage="1" sqref="D4662">
      <formula1>0</formula1>
    </dataValidation>
    <dataValidation type="decimal" operator="greaterThan" allowBlank="1" showInputMessage="1" showErrorMessage="1" sqref="E4662">
      <formula1>0</formula1>
    </dataValidation>
    <dataValidation type="whole" operator="greaterThan" allowBlank="1" showInputMessage="1" showErrorMessage="1" sqref="A4663">
      <formula1>0</formula1>
    </dataValidation>
    <dataValidation type="list" allowBlank="1" showInputMessage="1" showErrorMessage="1" sqref="C4663">
      <formula1>UnidadesList</formula1>
    </dataValidation>
    <dataValidation type="decimal" operator="greaterThan" allowBlank="1" showInputMessage="1" showErrorMessage="1" sqref="D4663">
      <formula1>0</formula1>
    </dataValidation>
    <dataValidation type="decimal" operator="greaterThan" allowBlank="1" showInputMessage="1" showErrorMessage="1" sqref="E4663">
      <formula1>0</formula1>
    </dataValidation>
    <dataValidation type="whole" operator="greaterThan" allowBlank="1" showInputMessage="1" showErrorMessage="1" sqref="A4664">
      <formula1>0</formula1>
    </dataValidation>
    <dataValidation type="list" allowBlank="1" showInputMessage="1" showErrorMessage="1" sqref="C4664">
      <formula1>UnidadesList</formula1>
    </dataValidation>
    <dataValidation type="decimal" operator="greaterThan" allowBlank="1" showInputMessage="1" showErrorMessage="1" sqref="D4664">
      <formula1>0</formula1>
    </dataValidation>
    <dataValidation type="decimal" operator="greaterThan" allowBlank="1" showInputMessage="1" showErrorMessage="1" sqref="E4664">
      <formula1>0</formula1>
    </dataValidation>
    <dataValidation type="whole" operator="greaterThan" allowBlank="1" showInputMessage="1" showErrorMessage="1" sqref="A4665">
      <formula1>0</formula1>
    </dataValidation>
    <dataValidation type="list" allowBlank="1" showInputMessage="1" showErrorMessage="1" sqref="C4665">
      <formula1>UnidadesList</formula1>
    </dataValidation>
    <dataValidation type="decimal" operator="greaterThan" allowBlank="1" showInputMessage="1" showErrorMessage="1" sqref="D4665">
      <formula1>0</formula1>
    </dataValidation>
    <dataValidation type="decimal" operator="greaterThan" allowBlank="1" showInputMessage="1" showErrorMessage="1" sqref="E4665">
      <formula1>0</formula1>
    </dataValidation>
    <dataValidation type="whole" operator="greaterThan" allowBlank="1" showInputMessage="1" showErrorMessage="1" sqref="A4666">
      <formula1>0</formula1>
    </dataValidation>
    <dataValidation type="list" allowBlank="1" showInputMessage="1" showErrorMessage="1" sqref="C4666">
      <formula1>UnidadesList</formula1>
    </dataValidation>
    <dataValidation type="decimal" operator="greaterThan" allowBlank="1" showInputMessage="1" showErrorMessage="1" sqref="D4666">
      <formula1>0</formula1>
    </dataValidation>
    <dataValidation type="decimal" operator="greaterThan" allowBlank="1" showInputMessage="1" showErrorMessage="1" sqref="E4666">
      <formula1>0</formula1>
    </dataValidation>
    <dataValidation type="whole" operator="greaterThan" allowBlank="1" showInputMessage="1" showErrorMessage="1" sqref="A4667">
      <formula1>0</formula1>
    </dataValidation>
    <dataValidation type="list" allowBlank="1" showInputMessage="1" showErrorMessage="1" sqref="C4667">
      <formula1>UnidadesList</formula1>
    </dataValidation>
    <dataValidation type="decimal" operator="greaterThan" allowBlank="1" showInputMessage="1" showErrorMessage="1" sqref="D4667">
      <formula1>0</formula1>
    </dataValidation>
    <dataValidation type="decimal" operator="greaterThan" allowBlank="1" showInputMessage="1" showErrorMessage="1" sqref="E4667">
      <formula1>0</formula1>
    </dataValidation>
    <dataValidation type="whole" operator="greaterThan" allowBlank="1" showInputMessage="1" showErrorMessage="1" sqref="A4668">
      <formula1>0</formula1>
    </dataValidation>
    <dataValidation type="list" allowBlank="1" showInputMessage="1" showErrorMessage="1" sqref="C4668">
      <formula1>UnidadesList</formula1>
    </dataValidation>
    <dataValidation type="decimal" operator="greaterThan" allowBlank="1" showInputMessage="1" showErrorMessage="1" sqref="D4668">
      <formula1>0</formula1>
    </dataValidation>
    <dataValidation type="decimal" operator="greaterThan" allowBlank="1" showInputMessage="1" showErrorMessage="1" sqref="E4668">
      <formula1>0</formula1>
    </dataValidation>
    <dataValidation type="whole" operator="greaterThan" allowBlank="1" showInputMessage="1" showErrorMessage="1" sqref="A4669">
      <formula1>0</formula1>
    </dataValidation>
    <dataValidation type="list" allowBlank="1" showInputMessage="1" showErrorMessage="1" sqref="C4669">
      <formula1>UnidadesList</formula1>
    </dataValidation>
    <dataValidation type="decimal" operator="greaterThan" allowBlank="1" showInputMessage="1" showErrorMessage="1" sqref="D4669">
      <formula1>0</formula1>
    </dataValidation>
    <dataValidation type="decimal" operator="greaterThan" allowBlank="1" showInputMessage="1" showErrorMessage="1" sqref="E4669">
      <formula1>0</formula1>
    </dataValidation>
    <dataValidation type="whole" operator="greaterThan" allowBlank="1" showInputMessage="1" showErrorMessage="1" sqref="A4670">
      <formula1>0</formula1>
    </dataValidation>
    <dataValidation type="list" allowBlank="1" showInputMessage="1" showErrorMessage="1" sqref="C4670">
      <formula1>UnidadesList</formula1>
    </dataValidation>
    <dataValidation type="decimal" operator="greaterThan" allowBlank="1" showInputMessage="1" showErrorMessage="1" sqref="D4670">
      <formula1>0</formula1>
    </dataValidation>
    <dataValidation type="decimal" operator="greaterThan" allowBlank="1" showInputMessage="1" showErrorMessage="1" sqref="E4670">
      <formula1>0</formula1>
    </dataValidation>
    <dataValidation type="whole" operator="greaterThan" allowBlank="1" showInputMessage="1" showErrorMessage="1" sqref="A4671">
      <formula1>0</formula1>
    </dataValidation>
    <dataValidation type="list" allowBlank="1" showInputMessage="1" showErrorMessage="1" sqref="C4671">
      <formula1>UnidadesList</formula1>
    </dataValidation>
    <dataValidation type="decimal" operator="greaterThan" allowBlank="1" showInputMessage="1" showErrorMessage="1" sqref="D4671">
      <formula1>0</formula1>
    </dataValidation>
    <dataValidation type="decimal" operator="greaterThan" allowBlank="1" showInputMessage="1" showErrorMessage="1" sqref="E4671">
      <formula1>0</formula1>
    </dataValidation>
    <dataValidation type="whole" operator="greaterThan" allowBlank="1" showInputMessage="1" showErrorMessage="1" sqref="A4672">
      <formula1>0</formula1>
    </dataValidation>
    <dataValidation type="list" allowBlank="1" showInputMessage="1" showErrorMessage="1" sqref="C4672">
      <formula1>UnidadesList</formula1>
    </dataValidation>
    <dataValidation type="decimal" operator="greaterThan" allowBlank="1" showInputMessage="1" showErrorMessage="1" sqref="D4672">
      <formula1>0</formula1>
    </dataValidation>
    <dataValidation type="decimal" operator="greaterThan" allowBlank="1" showInputMessage="1" showErrorMessage="1" sqref="E4672">
      <formula1>0</formula1>
    </dataValidation>
    <dataValidation type="whole" operator="greaterThan" allowBlank="1" showInputMessage="1" showErrorMessage="1" sqref="A4673">
      <formula1>0</formula1>
    </dataValidation>
    <dataValidation type="list" allowBlank="1" showInputMessage="1" showErrorMessage="1" sqref="C4673">
      <formula1>UnidadesList</formula1>
    </dataValidation>
    <dataValidation type="decimal" operator="greaterThan" allowBlank="1" showInputMessage="1" showErrorMessage="1" sqref="D4673">
      <formula1>0</formula1>
    </dataValidation>
    <dataValidation type="decimal" operator="greaterThan" allowBlank="1" showInputMessage="1" showErrorMessage="1" sqref="E4673">
      <formula1>0</formula1>
    </dataValidation>
    <dataValidation type="whole" operator="greaterThan" allowBlank="1" showInputMessage="1" showErrorMessage="1" sqref="A4674">
      <formula1>0</formula1>
    </dataValidation>
    <dataValidation type="list" allowBlank="1" showInputMessage="1" showErrorMessage="1" sqref="C4674">
      <formula1>UnidadesList</formula1>
    </dataValidation>
    <dataValidation type="decimal" operator="greaterThan" allowBlank="1" showInputMessage="1" showErrorMessage="1" sqref="D4674">
      <formula1>0</formula1>
    </dataValidation>
    <dataValidation type="decimal" operator="greaterThan" allowBlank="1" showInputMessage="1" showErrorMessage="1" sqref="E4674">
      <formula1>0</formula1>
    </dataValidation>
    <dataValidation type="whole" operator="greaterThan" allowBlank="1" showInputMessage="1" showErrorMessage="1" sqref="A4675">
      <formula1>0</formula1>
    </dataValidation>
    <dataValidation type="list" allowBlank="1" showInputMessage="1" showErrorMessage="1" sqref="C4675">
      <formula1>UnidadesList</formula1>
    </dataValidation>
    <dataValidation type="decimal" operator="greaterThan" allowBlank="1" showInputMessage="1" showErrorMessage="1" sqref="D4675">
      <formula1>0</formula1>
    </dataValidation>
    <dataValidation type="decimal" operator="greaterThan" allowBlank="1" showInputMessage="1" showErrorMessage="1" sqref="E4675">
      <formula1>0</formula1>
    </dataValidation>
    <dataValidation type="whole" operator="greaterThan" allowBlank="1" showInputMessage="1" showErrorMessage="1" sqref="A4676">
      <formula1>0</formula1>
    </dataValidation>
    <dataValidation type="list" allowBlank="1" showInputMessage="1" showErrorMessage="1" sqref="C4676">
      <formula1>UnidadesList</formula1>
    </dataValidation>
    <dataValidation type="decimal" operator="greaterThan" allowBlank="1" showInputMessage="1" showErrorMessage="1" sqref="D4676">
      <formula1>0</formula1>
    </dataValidation>
    <dataValidation type="decimal" operator="greaterThan" allowBlank="1" showInputMessage="1" showErrorMessage="1" sqref="E4676">
      <formula1>0</formula1>
    </dataValidation>
    <dataValidation type="whole" operator="greaterThan" allowBlank="1" showInputMessage="1" showErrorMessage="1" sqref="A4677">
      <formula1>0</formula1>
    </dataValidation>
    <dataValidation type="list" allowBlank="1" showInputMessage="1" showErrorMessage="1" sqref="C4677">
      <formula1>UnidadesList</formula1>
    </dataValidation>
    <dataValidation type="decimal" operator="greaterThan" allowBlank="1" showInputMessage="1" showErrorMessage="1" sqref="D4677">
      <formula1>0</formula1>
    </dataValidation>
    <dataValidation type="decimal" operator="greaterThan" allowBlank="1" showInputMessage="1" showErrorMessage="1" sqref="E4677">
      <formula1>0</formula1>
    </dataValidation>
    <dataValidation type="whole" operator="greaterThan" allowBlank="1" showInputMessage="1" showErrorMessage="1" sqref="A4678">
      <formula1>0</formula1>
    </dataValidation>
    <dataValidation type="list" allowBlank="1" showInputMessage="1" showErrorMessage="1" sqref="C4678">
      <formula1>UnidadesList</formula1>
    </dataValidation>
    <dataValidation type="decimal" operator="greaterThan" allowBlank="1" showInputMessage="1" showErrorMessage="1" sqref="D4678">
      <formula1>0</formula1>
    </dataValidation>
    <dataValidation type="decimal" operator="greaterThan" allowBlank="1" showInputMessage="1" showErrorMessage="1" sqref="E4678">
      <formula1>0</formula1>
    </dataValidation>
    <dataValidation type="whole" operator="greaterThan" allowBlank="1" showInputMessage="1" showErrorMessage="1" sqref="A4679">
      <formula1>0</formula1>
    </dataValidation>
    <dataValidation type="list" allowBlank="1" showInputMessage="1" showErrorMessage="1" sqref="C4679">
      <formula1>UnidadesList</formula1>
    </dataValidation>
    <dataValidation type="decimal" operator="greaterThan" allowBlank="1" showInputMessage="1" showErrorMessage="1" sqref="D4679">
      <formula1>0</formula1>
    </dataValidation>
    <dataValidation type="decimal" operator="greaterThan" allowBlank="1" showInputMessage="1" showErrorMessage="1" sqref="E4679">
      <formula1>0</formula1>
    </dataValidation>
    <dataValidation type="whole" operator="greaterThan" allowBlank="1" showInputMessage="1" showErrorMessage="1" sqref="A4680">
      <formula1>0</formula1>
    </dataValidation>
    <dataValidation type="list" allowBlank="1" showInputMessage="1" showErrorMessage="1" sqref="C4680">
      <formula1>UnidadesList</formula1>
    </dataValidation>
    <dataValidation type="decimal" operator="greaterThan" allowBlank="1" showInputMessage="1" showErrorMessage="1" sqref="D4680">
      <formula1>0</formula1>
    </dataValidation>
    <dataValidation type="decimal" operator="greaterThan" allowBlank="1" showInputMessage="1" showErrorMessage="1" sqref="E4680">
      <formula1>0</formula1>
    </dataValidation>
    <dataValidation type="whole" operator="greaterThan" allowBlank="1" showInputMessage="1" showErrorMessage="1" sqref="A4681">
      <formula1>0</formula1>
    </dataValidation>
    <dataValidation type="list" allowBlank="1" showInputMessage="1" showErrorMessage="1" sqref="C4681">
      <formula1>UnidadesList</formula1>
    </dataValidation>
    <dataValidation type="decimal" operator="greaterThan" allowBlank="1" showInputMessage="1" showErrorMessage="1" sqref="D4681">
      <formula1>0</formula1>
    </dataValidation>
    <dataValidation type="decimal" operator="greaterThan" allowBlank="1" showInputMessage="1" showErrorMessage="1" sqref="E4681">
      <formula1>0</formula1>
    </dataValidation>
    <dataValidation type="whole" operator="greaterThan" allowBlank="1" showInputMessage="1" showErrorMessage="1" sqref="A4682">
      <formula1>0</formula1>
    </dataValidation>
    <dataValidation type="list" allowBlank="1" showInputMessage="1" showErrorMessage="1" sqref="C4682">
      <formula1>UnidadesList</formula1>
    </dataValidation>
    <dataValidation type="decimal" operator="greaterThan" allowBlank="1" showInputMessage="1" showErrorMessage="1" sqref="D4682">
      <formula1>0</formula1>
    </dataValidation>
    <dataValidation type="decimal" operator="greaterThan" allowBlank="1" showInputMessage="1" showErrorMessage="1" sqref="E4682">
      <formula1>0</formula1>
    </dataValidation>
    <dataValidation type="whole" operator="greaterThan" allowBlank="1" showInputMessage="1" showErrorMessage="1" sqref="A4683">
      <formula1>0</formula1>
    </dataValidation>
    <dataValidation type="list" allowBlank="1" showInputMessage="1" showErrorMessage="1" sqref="C4683">
      <formula1>UnidadesList</formula1>
    </dataValidation>
    <dataValidation type="decimal" operator="greaterThan" allowBlank="1" showInputMessage="1" showErrorMessage="1" sqref="D4683">
      <formula1>0</formula1>
    </dataValidation>
    <dataValidation type="decimal" operator="greaterThan" allowBlank="1" showInputMessage="1" showErrorMessage="1" sqref="E4683">
      <formula1>0</formula1>
    </dataValidation>
    <dataValidation type="whole" operator="greaterThan" allowBlank="1" showInputMessage="1" showErrorMessage="1" sqref="A4684">
      <formula1>0</formula1>
    </dataValidation>
    <dataValidation type="list" allowBlank="1" showInputMessage="1" showErrorMessage="1" sqref="C4684">
      <formula1>UnidadesList</formula1>
    </dataValidation>
    <dataValidation type="decimal" operator="greaterThan" allowBlank="1" showInputMessage="1" showErrorMessage="1" sqref="D4684">
      <formula1>0</formula1>
    </dataValidation>
    <dataValidation type="decimal" operator="greaterThan" allowBlank="1" showInputMessage="1" showErrorMessage="1" sqref="E4684">
      <formula1>0</formula1>
    </dataValidation>
    <dataValidation type="whole" operator="greaterThan" allowBlank="1" showInputMessage="1" showErrorMessage="1" sqref="A4685">
      <formula1>0</formula1>
    </dataValidation>
    <dataValidation type="list" allowBlank="1" showInputMessage="1" showErrorMessage="1" sqref="C4685">
      <formula1>UnidadesList</formula1>
    </dataValidation>
    <dataValidation type="decimal" operator="greaterThan" allowBlank="1" showInputMessage="1" showErrorMessage="1" sqref="D4685">
      <formula1>0</formula1>
    </dataValidation>
    <dataValidation type="decimal" operator="greaterThan" allowBlank="1" showInputMessage="1" showErrorMessage="1" sqref="E4685">
      <formula1>0</formula1>
    </dataValidation>
    <dataValidation type="whole" operator="greaterThan" allowBlank="1" showInputMessage="1" showErrorMessage="1" sqref="A4686">
      <formula1>0</formula1>
    </dataValidation>
    <dataValidation type="list" allowBlank="1" showInputMessage="1" showErrorMessage="1" sqref="C4686">
      <formula1>UnidadesList</formula1>
    </dataValidation>
    <dataValidation type="decimal" operator="greaterThan" allowBlank="1" showInputMessage="1" showErrorMessage="1" sqref="D4686">
      <formula1>0</formula1>
    </dataValidation>
    <dataValidation type="decimal" operator="greaterThan" allowBlank="1" showInputMessage="1" showErrorMessage="1" sqref="E4686">
      <formula1>0</formula1>
    </dataValidation>
    <dataValidation type="whole" operator="greaterThan" allowBlank="1" showInputMessage="1" showErrorMessage="1" sqref="A4687">
      <formula1>0</formula1>
    </dataValidation>
    <dataValidation type="list" allowBlank="1" showInputMessage="1" showErrorMessage="1" sqref="C4687">
      <formula1>UnidadesList</formula1>
    </dataValidation>
    <dataValidation type="decimal" operator="greaterThan" allowBlank="1" showInputMessage="1" showErrorMessage="1" sqref="D4687">
      <formula1>0</formula1>
    </dataValidation>
    <dataValidation type="decimal" operator="greaterThan" allowBlank="1" showInputMessage="1" showErrorMessage="1" sqref="E4687">
      <formula1>0</formula1>
    </dataValidation>
    <dataValidation type="whole" operator="greaterThan" allowBlank="1" showInputMessage="1" showErrorMessage="1" sqref="A4688">
      <formula1>0</formula1>
    </dataValidation>
    <dataValidation type="list" allowBlank="1" showInputMessage="1" showErrorMessage="1" sqref="C4688">
      <formula1>UnidadesList</formula1>
    </dataValidation>
    <dataValidation type="decimal" operator="greaterThan" allowBlank="1" showInputMessage="1" showErrorMessage="1" sqref="D4688">
      <formula1>0</formula1>
    </dataValidation>
    <dataValidation type="decimal" operator="greaterThan" allowBlank="1" showInputMessage="1" showErrorMessage="1" sqref="E4688">
      <formula1>0</formula1>
    </dataValidation>
    <dataValidation type="whole" operator="greaterThan" allowBlank="1" showInputMessage="1" showErrorMessage="1" sqref="A4689">
      <formula1>0</formula1>
    </dataValidation>
    <dataValidation type="list" allowBlank="1" showInputMessage="1" showErrorMessage="1" sqref="C4689">
      <formula1>UnidadesList</formula1>
    </dataValidation>
    <dataValidation type="decimal" operator="greaterThan" allowBlank="1" showInputMessage="1" showErrorMessage="1" sqref="D4689">
      <formula1>0</formula1>
    </dataValidation>
    <dataValidation type="decimal" operator="greaterThan" allowBlank="1" showInputMessage="1" showErrorMessage="1" sqref="E4689">
      <formula1>0</formula1>
    </dataValidation>
    <dataValidation type="whole" operator="greaterThan" allowBlank="1" showInputMessage="1" showErrorMessage="1" sqref="A4690">
      <formula1>0</formula1>
    </dataValidation>
    <dataValidation type="list" allowBlank="1" showInputMessage="1" showErrorMessage="1" sqref="C4690">
      <formula1>UnidadesList</formula1>
    </dataValidation>
    <dataValidation type="decimal" operator="greaterThan" allowBlank="1" showInputMessage="1" showErrorMessage="1" sqref="D4690">
      <formula1>0</formula1>
    </dataValidation>
    <dataValidation type="decimal" operator="greaterThan" allowBlank="1" showInputMessage="1" showErrorMessage="1" sqref="E4690">
      <formula1>0</formula1>
    </dataValidation>
    <dataValidation type="whole" operator="greaterThan" allowBlank="1" showInputMessage="1" showErrorMessage="1" sqref="A4691">
      <formula1>0</formula1>
    </dataValidation>
    <dataValidation type="list" allowBlank="1" showInputMessage="1" showErrorMessage="1" sqref="C4691">
      <formula1>UnidadesList</formula1>
    </dataValidation>
    <dataValidation type="decimal" operator="greaterThan" allowBlank="1" showInputMessage="1" showErrorMessage="1" sqref="D4691">
      <formula1>0</formula1>
    </dataValidation>
    <dataValidation type="decimal" operator="greaterThan" allowBlank="1" showInputMessage="1" showErrorMessage="1" sqref="E4691">
      <formula1>0</formula1>
    </dataValidation>
    <dataValidation type="whole" operator="greaterThan" allowBlank="1" showInputMessage="1" showErrorMessage="1" sqref="A4692">
      <formula1>0</formula1>
    </dataValidation>
    <dataValidation type="list" allowBlank="1" showInputMessage="1" showErrorMessage="1" sqref="C4692">
      <formula1>UnidadesList</formula1>
    </dataValidation>
    <dataValidation type="decimal" operator="greaterThan" allowBlank="1" showInputMessage="1" showErrorMessage="1" sqref="D4692">
      <formula1>0</formula1>
    </dataValidation>
    <dataValidation type="decimal" operator="greaterThan" allowBlank="1" showInputMessage="1" showErrorMessage="1" sqref="E4692">
      <formula1>0</formula1>
    </dataValidation>
    <dataValidation type="whole" operator="greaterThan" allowBlank="1" showInputMessage="1" showErrorMessage="1" sqref="A4693">
      <formula1>0</formula1>
    </dataValidation>
    <dataValidation type="list" allowBlank="1" showInputMessage="1" showErrorMessage="1" sqref="C4693">
      <formula1>UnidadesList</formula1>
    </dataValidation>
    <dataValidation type="decimal" operator="greaterThan" allowBlank="1" showInputMessage="1" showErrorMessage="1" sqref="D4693">
      <formula1>0</formula1>
    </dataValidation>
    <dataValidation type="decimal" operator="greaterThan" allowBlank="1" showInputMessage="1" showErrorMessage="1" sqref="E4693">
      <formula1>0</formula1>
    </dataValidation>
    <dataValidation type="whole" operator="greaterThan" allowBlank="1" showInputMessage="1" showErrorMessage="1" sqref="A4694">
      <formula1>0</formula1>
    </dataValidation>
    <dataValidation type="list" allowBlank="1" showInputMessage="1" showErrorMessage="1" sqref="C4694">
      <formula1>UnidadesList</formula1>
    </dataValidation>
    <dataValidation type="decimal" operator="greaterThan" allowBlank="1" showInputMessage="1" showErrorMessage="1" sqref="D4694">
      <formula1>0</formula1>
    </dataValidation>
    <dataValidation type="decimal" operator="greaterThan" allowBlank="1" showInputMessage="1" showErrorMessage="1" sqref="E4694">
      <formula1>0</formula1>
    </dataValidation>
    <dataValidation type="whole" operator="greaterThan" allowBlank="1" showInputMessage="1" showErrorMessage="1" sqref="A4695">
      <formula1>0</formula1>
    </dataValidation>
    <dataValidation type="list" allowBlank="1" showInputMessage="1" showErrorMessage="1" sqref="C4695">
      <formula1>UnidadesList</formula1>
    </dataValidation>
    <dataValidation type="decimal" operator="greaterThan" allowBlank="1" showInputMessage="1" showErrorMessage="1" sqref="D4695">
      <formula1>0</formula1>
    </dataValidation>
    <dataValidation type="decimal" operator="greaterThan" allowBlank="1" showInputMessage="1" showErrorMessage="1" sqref="E4695">
      <formula1>0</formula1>
    </dataValidation>
    <dataValidation type="whole" operator="greaterThan" allowBlank="1" showInputMessage="1" showErrorMessage="1" sqref="A4696">
      <formula1>0</formula1>
    </dataValidation>
    <dataValidation type="list" allowBlank="1" showInputMessage="1" showErrorMessage="1" sqref="C4696">
      <formula1>UnidadesList</formula1>
    </dataValidation>
    <dataValidation type="decimal" operator="greaterThan" allowBlank="1" showInputMessage="1" showErrorMessage="1" sqref="D4696">
      <formula1>0</formula1>
    </dataValidation>
    <dataValidation type="decimal" operator="greaterThan" allowBlank="1" showInputMessage="1" showErrorMessage="1" sqref="E4696">
      <formula1>0</formula1>
    </dataValidation>
    <dataValidation type="whole" operator="greaterThan" allowBlank="1" showInputMessage="1" showErrorMessage="1" sqref="A4697">
      <formula1>0</formula1>
    </dataValidation>
    <dataValidation type="list" allowBlank="1" showInputMessage="1" showErrorMessage="1" sqref="C4697">
      <formula1>UnidadesList</formula1>
    </dataValidation>
    <dataValidation type="decimal" operator="greaterThan" allowBlank="1" showInputMessage="1" showErrorMessage="1" sqref="D4697">
      <formula1>0</formula1>
    </dataValidation>
    <dataValidation type="decimal" operator="greaterThan" allowBlank="1" showInputMessage="1" showErrorMessage="1" sqref="E4697">
      <formula1>0</formula1>
    </dataValidation>
    <dataValidation type="whole" operator="greaterThan" allowBlank="1" showInputMessage="1" showErrorMessage="1" sqref="A4698">
      <formula1>0</formula1>
    </dataValidation>
    <dataValidation type="list" allowBlank="1" showInputMessage="1" showErrorMessage="1" sqref="C4698">
      <formula1>UnidadesList</formula1>
    </dataValidation>
    <dataValidation type="decimal" operator="greaterThan" allowBlank="1" showInputMessage="1" showErrorMessage="1" sqref="D4698">
      <formula1>0</formula1>
    </dataValidation>
    <dataValidation type="decimal" operator="greaterThan" allowBlank="1" showInputMessage="1" showErrorMessage="1" sqref="E4698">
      <formula1>0</formula1>
    </dataValidation>
    <dataValidation type="whole" operator="greaterThan" allowBlank="1" showInputMessage="1" showErrorMessage="1" sqref="A4699">
      <formula1>0</formula1>
    </dataValidation>
    <dataValidation type="list" allowBlank="1" showInputMessage="1" showErrorMessage="1" sqref="C4699">
      <formula1>UnidadesList</formula1>
    </dataValidation>
    <dataValidation type="decimal" operator="greaterThan" allowBlank="1" showInputMessage="1" showErrorMessage="1" sqref="D4699">
      <formula1>0</formula1>
    </dataValidation>
    <dataValidation type="decimal" operator="greaterThan" allowBlank="1" showInputMessage="1" showErrorMessage="1" sqref="E4699">
      <formula1>0</formula1>
    </dataValidation>
    <dataValidation type="whole" operator="greaterThan" allowBlank="1" showInputMessage="1" showErrorMessage="1" sqref="A4700">
      <formula1>0</formula1>
    </dataValidation>
    <dataValidation type="list" allowBlank="1" showInputMessage="1" showErrorMessage="1" sqref="C4700">
      <formula1>UnidadesList</formula1>
    </dataValidation>
    <dataValidation type="decimal" operator="greaterThan" allowBlank="1" showInputMessage="1" showErrorMessage="1" sqref="D4700">
      <formula1>0</formula1>
    </dataValidation>
    <dataValidation type="decimal" operator="greaterThan" allowBlank="1" showInputMessage="1" showErrorMessage="1" sqref="E4700">
      <formula1>0</formula1>
    </dataValidation>
    <dataValidation type="whole" operator="greaterThan" allowBlank="1" showInputMessage="1" showErrorMessage="1" sqref="A4701">
      <formula1>0</formula1>
    </dataValidation>
    <dataValidation type="list" allowBlank="1" showInputMessage="1" showErrorMessage="1" sqref="C4701">
      <formula1>UnidadesList</formula1>
    </dataValidation>
    <dataValidation type="decimal" operator="greaterThan" allowBlank="1" showInputMessage="1" showErrorMessage="1" sqref="D4701">
      <formula1>0</formula1>
    </dataValidation>
    <dataValidation type="decimal" operator="greaterThan" allowBlank="1" showInputMessage="1" showErrorMessage="1" sqref="E4701">
      <formula1>0</formula1>
    </dataValidation>
    <dataValidation type="whole" operator="greaterThan" allowBlank="1" showInputMessage="1" showErrorMessage="1" sqref="A4702">
      <formula1>0</formula1>
    </dataValidation>
    <dataValidation type="list" allowBlank="1" showInputMessage="1" showErrorMessage="1" sqref="C4702">
      <formula1>UnidadesList</formula1>
    </dataValidation>
    <dataValidation type="decimal" operator="greaterThan" allowBlank="1" showInputMessage="1" showErrorMessage="1" sqref="D4702">
      <formula1>0</formula1>
    </dataValidation>
    <dataValidation type="decimal" operator="greaterThan" allowBlank="1" showInputMessage="1" showErrorMessage="1" sqref="E4702">
      <formula1>0</formula1>
    </dataValidation>
    <dataValidation type="whole" operator="greaterThan" allowBlank="1" showInputMessage="1" showErrorMessage="1" sqref="A4703">
      <formula1>0</formula1>
    </dataValidation>
    <dataValidation type="list" allowBlank="1" showInputMessage="1" showErrorMessage="1" sqref="C4703">
      <formula1>UnidadesList</formula1>
    </dataValidation>
    <dataValidation type="decimal" operator="greaterThan" allowBlank="1" showInputMessage="1" showErrorMessage="1" sqref="D4703">
      <formula1>0</formula1>
    </dataValidation>
    <dataValidation type="decimal" operator="greaterThan" allowBlank="1" showInputMessage="1" showErrorMessage="1" sqref="E4703">
      <formula1>0</formula1>
    </dataValidation>
    <dataValidation type="whole" operator="greaterThan" allowBlank="1" showInputMessage="1" showErrorMessage="1" sqref="A4704">
      <formula1>0</formula1>
    </dataValidation>
    <dataValidation type="list" allowBlank="1" showInputMessage="1" showErrorMessage="1" sqref="C4704">
      <formula1>UnidadesList</formula1>
    </dataValidation>
    <dataValidation type="decimal" operator="greaterThan" allowBlank="1" showInputMessage="1" showErrorMessage="1" sqref="D4704">
      <formula1>0</formula1>
    </dataValidation>
    <dataValidation type="decimal" operator="greaterThan" allowBlank="1" showInputMessage="1" showErrorMessage="1" sqref="E4704">
      <formula1>0</formula1>
    </dataValidation>
    <dataValidation type="whole" operator="greaterThan" allowBlank="1" showInputMessage="1" showErrorMessage="1" sqref="A4705">
      <formula1>0</formula1>
    </dataValidation>
    <dataValidation type="list" allowBlank="1" showInputMessage="1" showErrorMessage="1" sqref="C4705">
      <formula1>UnidadesList</formula1>
    </dataValidation>
    <dataValidation type="decimal" operator="greaterThan" allowBlank="1" showInputMessage="1" showErrorMessage="1" sqref="D4705">
      <formula1>0</formula1>
    </dataValidation>
    <dataValidation type="decimal" operator="greaterThan" allowBlank="1" showInputMessage="1" showErrorMessage="1" sqref="E4705">
      <formula1>0</formula1>
    </dataValidation>
    <dataValidation type="whole" operator="greaterThan" allowBlank="1" showInputMessage="1" showErrorMessage="1" sqref="A4706">
      <formula1>0</formula1>
    </dataValidation>
    <dataValidation type="list" allowBlank="1" showInputMessage="1" showErrorMessage="1" sqref="C4706">
      <formula1>UnidadesList</formula1>
    </dataValidation>
    <dataValidation type="decimal" operator="greaterThan" allowBlank="1" showInputMessage="1" showErrorMessage="1" sqref="D4706">
      <formula1>0</formula1>
    </dataValidation>
    <dataValidation type="decimal" operator="greaterThan" allowBlank="1" showInputMessage="1" showErrorMessage="1" sqref="E4706">
      <formula1>0</formula1>
    </dataValidation>
    <dataValidation type="whole" operator="greaterThan" allowBlank="1" showInputMessage="1" showErrorMessage="1" sqref="A4707">
      <formula1>0</formula1>
    </dataValidation>
    <dataValidation type="list" allowBlank="1" showInputMessage="1" showErrorMessage="1" sqref="C4707">
      <formula1>UnidadesList</formula1>
    </dataValidation>
    <dataValidation type="decimal" operator="greaterThan" allowBlank="1" showInputMessage="1" showErrorMessage="1" sqref="D4707">
      <formula1>0</formula1>
    </dataValidation>
    <dataValidation type="decimal" operator="greaterThan" allowBlank="1" showInputMessage="1" showErrorMessage="1" sqref="E4707">
      <formula1>0</formula1>
    </dataValidation>
    <dataValidation type="whole" operator="greaterThan" allowBlank="1" showInputMessage="1" showErrorMessage="1" sqref="A4708">
      <formula1>0</formula1>
    </dataValidation>
    <dataValidation type="list" allowBlank="1" showInputMessage="1" showErrorMessage="1" sqref="C4708">
      <formula1>UnidadesList</formula1>
    </dataValidation>
    <dataValidation type="decimal" operator="greaterThan" allowBlank="1" showInputMessage="1" showErrorMessage="1" sqref="D4708">
      <formula1>0</formula1>
    </dataValidation>
    <dataValidation type="decimal" operator="greaterThan" allowBlank="1" showInputMessage="1" showErrorMessage="1" sqref="E4708">
      <formula1>0</formula1>
    </dataValidation>
    <dataValidation type="whole" operator="greaterThan" allowBlank="1" showInputMessage="1" showErrorMessage="1" sqref="A4709">
      <formula1>0</formula1>
    </dataValidation>
    <dataValidation type="list" allowBlank="1" showInputMessage="1" showErrorMessage="1" sqref="C4709">
      <formula1>UnidadesList</formula1>
    </dataValidation>
    <dataValidation type="decimal" operator="greaterThan" allowBlank="1" showInputMessage="1" showErrorMessage="1" sqref="D4709">
      <formula1>0</formula1>
    </dataValidation>
    <dataValidation type="decimal" operator="greaterThan" allowBlank="1" showInputMessage="1" showErrorMessage="1" sqref="E4709">
      <formula1>0</formula1>
    </dataValidation>
    <dataValidation type="whole" operator="greaterThan" allowBlank="1" showInputMessage="1" showErrorMessage="1" sqref="A4710">
      <formula1>0</formula1>
    </dataValidation>
    <dataValidation type="list" allowBlank="1" showInputMessage="1" showErrorMessage="1" sqref="C4710">
      <formula1>UnidadesList</formula1>
    </dataValidation>
    <dataValidation type="decimal" operator="greaterThan" allowBlank="1" showInputMessage="1" showErrorMessage="1" sqref="D4710">
      <formula1>0</formula1>
    </dataValidation>
    <dataValidation type="decimal" operator="greaterThan" allowBlank="1" showInputMessage="1" showErrorMessage="1" sqref="E4710">
      <formula1>0</formula1>
    </dataValidation>
    <dataValidation type="whole" operator="greaterThan" allowBlank="1" showInputMessage="1" showErrorMessage="1" sqref="A4711">
      <formula1>0</formula1>
    </dataValidation>
    <dataValidation type="list" allowBlank="1" showInputMessage="1" showErrorMessage="1" sqref="C4711">
      <formula1>UnidadesList</formula1>
    </dataValidation>
    <dataValidation type="decimal" operator="greaterThan" allowBlank="1" showInputMessage="1" showErrorMessage="1" sqref="D4711">
      <formula1>0</formula1>
    </dataValidation>
    <dataValidation type="decimal" operator="greaterThan" allowBlank="1" showInputMessage="1" showErrorMessage="1" sqref="E4711">
      <formula1>0</formula1>
    </dataValidation>
    <dataValidation type="whole" operator="greaterThan" allowBlank="1" showInputMessage="1" showErrorMessage="1" sqref="A4712">
      <formula1>0</formula1>
    </dataValidation>
    <dataValidation type="list" allowBlank="1" showInputMessage="1" showErrorMessage="1" sqref="C4712">
      <formula1>UnidadesList</formula1>
    </dataValidation>
    <dataValidation type="decimal" operator="greaterThan" allowBlank="1" showInputMessage="1" showErrorMessage="1" sqref="D4712">
      <formula1>0</formula1>
    </dataValidation>
    <dataValidation type="decimal" operator="greaterThan" allowBlank="1" showInputMessage="1" showErrorMessage="1" sqref="E4712">
      <formula1>0</formula1>
    </dataValidation>
    <dataValidation type="whole" operator="greaterThan" allowBlank="1" showInputMessage="1" showErrorMessage="1" sqref="A4713">
      <formula1>0</formula1>
    </dataValidation>
    <dataValidation type="list" allowBlank="1" showInputMessage="1" showErrorMessage="1" sqref="C4713">
      <formula1>UnidadesList</formula1>
    </dataValidation>
    <dataValidation type="decimal" operator="greaterThan" allowBlank="1" showInputMessage="1" showErrorMessage="1" sqref="D4713">
      <formula1>0</formula1>
    </dataValidation>
    <dataValidation type="decimal" operator="greaterThan" allowBlank="1" showInputMessage="1" showErrorMessage="1" sqref="E4713">
      <formula1>0</formula1>
    </dataValidation>
    <dataValidation type="whole" operator="greaterThan" allowBlank="1" showInputMessage="1" showErrorMessage="1" sqref="A4714">
      <formula1>0</formula1>
    </dataValidation>
    <dataValidation type="list" allowBlank="1" showInputMessage="1" showErrorMessage="1" sqref="C4714">
      <formula1>UnidadesList</formula1>
    </dataValidation>
    <dataValidation type="decimal" operator="greaterThan" allowBlank="1" showInputMessage="1" showErrorMessage="1" sqref="D4714">
      <formula1>0</formula1>
    </dataValidation>
    <dataValidation type="decimal" operator="greaterThan" allowBlank="1" showInputMessage="1" showErrorMessage="1" sqref="E4714">
      <formula1>0</formula1>
    </dataValidation>
    <dataValidation type="whole" operator="greaterThan" allowBlank="1" showInputMessage="1" showErrorMessage="1" sqref="A4715">
      <formula1>0</formula1>
    </dataValidation>
    <dataValidation type="list" allowBlank="1" showInputMessage="1" showErrorMessage="1" sqref="C4715">
      <formula1>UnidadesList</formula1>
    </dataValidation>
    <dataValidation type="decimal" operator="greaterThan" allowBlank="1" showInputMessage="1" showErrorMessage="1" sqref="D4715">
      <formula1>0</formula1>
    </dataValidation>
    <dataValidation type="decimal" operator="greaterThan" allowBlank="1" showInputMessage="1" showErrorMessage="1" sqref="E4715">
      <formula1>0</formula1>
    </dataValidation>
    <dataValidation type="whole" operator="greaterThan" allowBlank="1" showInputMessage="1" showErrorMessage="1" sqref="A4716">
      <formula1>0</formula1>
    </dataValidation>
    <dataValidation type="list" allowBlank="1" showInputMessage="1" showErrorMessage="1" sqref="C4716">
      <formula1>UnidadesList</formula1>
    </dataValidation>
    <dataValidation type="decimal" operator="greaterThan" allowBlank="1" showInputMessage="1" showErrorMessage="1" sqref="D4716">
      <formula1>0</formula1>
    </dataValidation>
    <dataValidation type="decimal" operator="greaterThan" allowBlank="1" showInputMessage="1" showErrorMessage="1" sqref="E4716">
      <formula1>0</formula1>
    </dataValidation>
    <dataValidation type="whole" operator="greaterThan" allowBlank="1" showInputMessage="1" showErrorMessage="1" sqref="A4717">
      <formula1>0</formula1>
    </dataValidation>
    <dataValidation type="list" allowBlank="1" showInputMessage="1" showErrorMessage="1" sqref="C4717">
      <formula1>UnidadesList</formula1>
    </dataValidation>
    <dataValidation type="decimal" operator="greaterThan" allowBlank="1" showInputMessage="1" showErrorMessage="1" sqref="D4717">
      <formula1>0</formula1>
    </dataValidation>
    <dataValidation type="decimal" operator="greaterThan" allowBlank="1" showInputMessage="1" showErrorMessage="1" sqref="E4717">
      <formula1>0</formula1>
    </dataValidation>
    <dataValidation type="whole" operator="greaterThan" allowBlank="1" showInputMessage="1" showErrorMessage="1" sqref="A4718">
      <formula1>0</formula1>
    </dataValidation>
    <dataValidation type="list" allowBlank="1" showInputMessage="1" showErrorMessage="1" sqref="C4718">
      <formula1>UnidadesList</formula1>
    </dataValidation>
    <dataValidation type="decimal" operator="greaterThan" allowBlank="1" showInputMessage="1" showErrorMessage="1" sqref="D4718">
      <formula1>0</formula1>
    </dataValidation>
    <dataValidation type="decimal" operator="greaterThan" allowBlank="1" showInputMessage="1" showErrorMessage="1" sqref="E4718">
      <formula1>0</formula1>
    </dataValidation>
    <dataValidation type="whole" operator="greaterThan" allowBlank="1" showInputMessage="1" showErrorMessage="1" sqref="A4719">
      <formula1>0</formula1>
    </dataValidation>
    <dataValidation type="list" allowBlank="1" showInputMessage="1" showErrorMessage="1" sqref="C4719">
      <formula1>UnidadesList</formula1>
    </dataValidation>
    <dataValidation type="decimal" operator="greaterThan" allowBlank="1" showInputMessage="1" showErrorMessage="1" sqref="D4719">
      <formula1>0</formula1>
    </dataValidation>
    <dataValidation type="decimal" operator="greaterThan" allowBlank="1" showInputMessage="1" showErrorMessage="1" sqref="E4719">
      <formula1>0</formula1>
    </dataValidation>
    <dataValidation type="whole" operator="greaterThan" allowBlank="1" showInputMessage="1" showErrorMessage="1" sqref="A4720">
      <formula1>0</formula1>
    </dataValidation>
    <dataValidation type="list" allowBlank="1" showInputMessage="1" showErrorMessage="1" sqref="C4720">
      <formula1>UnidadesList</formula1>
    </dataValidation>
    <dataValidation type="decimal" operator="greaterThan" allowBlank="1" showInputMessage="1" showErrorMessage="1" sqref="D4720">
      <formula1>0</formula1>
    </dataValidation>
    <dataValidation type="decimal" operator="greaterThan" allowBlank="1" showInputMessage="1" showErrorMessage="1" sqref="E4720">
      <formula1>0</formula1>
    </dataValidation>
    <dataValidation type="whole" operator="greaterThan" allowBlank="1" showInputMessage="1" showErrorMessage="1" sqref="A4721">
      <formula1>0</formula1>
    </dataValidation>
    <dataValidation type="list" allowBlank="1" showInputMessage="1" showErrorMessage="1" sqref="C4721">
      <formula1>UnidadesList</formula1>
    </dataValidation>
    <dataValidation type="decimal" operator="greaterThan" allowBlank="1" showInputMessage="1" showErrorMessage="1" sqref="D4721">
      <formula1>0</formula1>
    </dataValidation>
    <dataValidation type="decimal" operator="greaterThan" allowBlank="1" showInputMessage="1" showErrorMessage="1" sqref="E4721">
      <formula1>0</formula1>
    </dataValidation>
    <dataValidation type="whole" operator="greaterThan" allowBlank="1" showInputMessage="1" showErrorMessage="1" sqref="A4722">
      <formula1>0</formula1>
    </dataValidation>
    <dataValidation type="list" allowBlank="1" showInputMessage="1" showErrorMessage="1" sqref="C4722">
      <formula1>UnidadesList</formula1>
    </dataValidation>
    <dataValidation type="decimal" operator="greaterThan" allowBlank="1" showInputMessage="1" showErrorMessage="1" sqref="D4722">
      <formula1>0</formula1>
    </dataValidation>
    <dataValidation type="decimal" operator="greaterThan" allowBlank="1" showInputMessage="1" showErrorMessage="1" sqref="E4722">
      <formula1>0</formula1>
    </dataValidation>
    <dataValidation type="whole" operator="greaterThan" allowBlank="1" showInputMessage="1" showErrorMessage="1" sqref="A4723">
      <formula1>0</formula1>
    </dataValidation>
    <dataValidation type="list" allowBlank="1" showInputMessage="1" showErrorMessage="1" sqref="C4723">
      <formula1>UnidadesList</formula1>
    </dataValidation>
    <dataValidation type="decimal" operator="greaterThan" allowBlank="1" showInputMessage="1" showErrorMessage="1" sqref="D4723">
      <formula1>0</formula1>
    </dataValidation>
    <dataValidation type="decimal" operator="greaterThan" allowBlank="1" showInputMessage="1" showErrorMessage="1" sqref="E4723">
      <formula1>0</formula1>
    </dataValidation>
    <dataValidation type="whole" operator="greaterThan" allowBlank="1" showInputMessage="1" showErrorMessage="1" sqref="A4724">
      <formula1>0</formula1>
    </dataValidation>
    <dataValidation type="list" allowBlank="1" showInputMessage="1" showErrorMessage="1" sqref="C4724">
      <formula1>UnidadesList</formula1>
    </dataValidation>
    <dataValidation type="decimal" operator="greaterThan" allowBlank="1" showInputMessage="1" showErrorMessage="1" sqref="D4724">
      <formula1>0</formula1>
    </dataValidation>
    <dataValidation type="decimal" operator="greaterThan" allowBlank="1" showInputMessage="1" showErrorMessage="1" sqref="E4724">
      <formula1>0</formula1>
    </dataValidation>
    <dataValidation type="whole" operator="greaterThan" allowBlank="1" showInputMessage="1" showErrorMessage="1" sqref="A4725">
      <formula1>0</formula1>
    </dataValidation>
    <dataValidation type="list" allowBlank="1" showInputMessage="1" showErrorMessage="1" sqref="C4725">
      <formula1>UnidadesList</formula1>
    </dataValidation>
    <dataValidation type="decimal" operator="greaterThan" allowBlank="1" showInputMessage="1" showErrorMessage="1" sqref="D4725">
      <formula1>0</formula1>
    </dataValidation>
    <dataValidation type="decimal" operator="greaterThan" allowBlank="1" showInputMessage="1" showErrorMessage="1" sqref="E4725">
      <formula1>0</formula1>
    </dataValidation>
    <dataValidation type="whole" operator="greaterThan" allowBlank="1" showInputMessage="1" showErrorMessage="1" sqref="A4726">
      <formula1>0</formula1>
    </dataValidation>
    <dataValidation type="list" allowBlank="1" showInputMessage="1" showErrorMessage="1" sqref="C4726">
      <formula1>UnidadesList</formula1>
    </dataValidation>
    <dataValidation type="decimal" operator="greaterThan" allowBlank="1" showInputMessage="1" showErrorMessage="1" sqref="D4726">
      <formula1>0</formula1>
    </dataValidation>
    <dataValidation type="decimal" operator="greaterThan" allowBlank="1" showInputMessage="1" showErrorMessage="1" sqref="E4726">
      <formula1>0</formula1>
    </dataValidation>
    <dataValidation type="whole" operator="greaterThan" allowBlank="1" showInputMessage="1" showErrorMessage="1" sqref="A4727">
      <formula1>0</formula1>
    </dataValidation>
    <dataValidation type="list" allowBlank="1" showInputMessage="1" showErrorMessage="1" sqref="C4727">
      <formula1>UnidadesList</formula1>
    </dataValidation>
    <dataValidation type="decimal" operator="greaterThan" allowBlank="1" showInputMessage="1" showErrorMessage="1" sqref="D4727">
      <formula1>0</formula1>
    </dataValidation>
    <dataValidation type="decimal" operator="greaterThan" allowBlank="1" showInputMessage="1" showErrorMessage="1" sqref="E4727">
      <formula1>0</formula1>
    </dataValidation>
    <dataValidation type="whole" operator="greaterThan" allowBlank="1" showInputMessage="1" showErrorMessage="1" sqref="A4728">
      <formula1>0</formula1>
    </dataValidation>
    <dataValidation type="list" allowBlank="1" showInputMessage="1" showErrorMessage="1" sqref="C4728">
      <formula1>UnidadesList</formula1>
    </dataValidation>
    <dataValidation type="decimal" operator="greaterThan" allowBlank="1" showInputMessage="1" showErrorMessage="1" sqref="D4728">
      <formula1>0</formula1>
    </dataValidation>
    <dataValidation type="decimal" operator="greaterThan" allowBlank="1" showInputMessage="1" showErrorMessage="1" sqref="E4728">
      <formula1>0</formula1>
    </dataValidation>
    <dataValidation type="whole" operator="greaterThan" allowBlank="1" showInputMessage="1" showErrorMessage="1" sqref="A4729">
      <formula1>0</formula1>
    </dataValidation>
    <dataValidation type="list" allowBlank="1" showInputMessage="1" showErrorMessage="1" sqref="C4729">
      <formula1>UnidadesList</formula1>
    </dataValidation>
    <dataValidation type="decimal" operator="greaterThan" allowBlank="1" showInputMessage="1" showErrorMessage="1" sqref="D4729">
      <formula1>0</formula1>
    </dataValidation>
    <dataValidation type="decimal" operator="greaterThan" allowBlank="1" showInputMessage="1" showErrorMessage="1" sqref="E4729">
      <formula1>0</formula1>
    </dataValidation>
    <dataValidation type="whole" operator="greaterThan" allowBlank="1" showInputMessage="1" showErrorMessage="1" sqref="A4730">
      <formula1>0</formula1>
    </dataValidation>
    <dataValidation type="list" allowBlank="1" showInputMessage="1" showErrorMessage="1" sqref="C4730">
      <formula1>UnidadesList</formula1>
    </dataValidation>
    <dataValidation type="decimal" operator="greaterThan" allowBlank="1" showInputMessage="1" showErrorMessage="1" sqref="D4730">
      <formula1>0</formula1>
    </dataValidation>
    <dataValidation type="decimal" operator="greaterThan" allowBlank="1" showInputMessage="1" showErrorMessage="1" sqref="E4730">
      <formula1>0</formula1>
    </dataValidation>
    <dataValidation type="date" operator="lessThanOrEqual" allowBlank="1" showInputMessage="1" showErrorMessage="1" sqref="C4735">
      <formula1>C4737</formula1>
    </dataValidation>
    <dataValidation type="date" operator="greaterThanOrEqual" allowBlank="1" showInputMessage="1" showErrorMessage="1" sqref="C4737">
      <formula1>C4735</formula1>
    </dataValidation>
    <dataValidation type="list" allowBlank="1" showInputMessage="1" showErrorMessage="1" sqref="F473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3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3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3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41">
      <formula1>0</formula1>
    </dataValidation>
    <dataValidation type="list" allowBlank="1" showInputMessage="1" showErrorMessage="1" sqref="C4741">
      <formula1>UnidadesList</formula1>
    </dataValidation>
    <dataValidation type="decimal" operator="greaterThan" allowBlank="1" showInputMessage="1" showErrorMessage="1" sqref="D4741">
      <formula1>0</formula1>
    </dataValidation>
    <dataValidation type="decimal" operator="greaterThan" allowBlank="1" showInputMessage="1" showErrorMessage="1" sqref="E4741">
      <formula1>0</formula1>
    </dataValidation>
    <dataValidation type="whole" operator="greaterThan" allowBlank="1" showInputMessage="1" showErrorMessage="1" sqref="A4742">
      <formula1>0</formula1>
    </dataValidation>
    <dataValidation type="list" allowBlank="1" showInputMessage="1" showErrorMessage="1" sqref="C4742">
      <formula1>UnidadesList</formula1>
    </dataValidation>
    <dataValidation type="decimal" operator="greaterThan" allowBlank="1" showInputMessage="1" showErrorMessage="1" sqref="D4742">
      <formula1>0</formula1>
    </dataValidation>
    <dataValidation type="decimal" operator="greaterThan" allowBlank="1" showInputMessage="1" showErrorMessage="1" sqref="E4742">
      <formula1>0</formula1>
    </dataValidation>
    <dataValidation type="whole" operator="greaterThan" allowBlank="1" showInputMessage="1" showErrorMessage="1" sqref="A4743">
      <formula1>0</formula1>
    </dataValidation>
    <dataValidation type="list" allowBlank="1" showInputMessage="1" showErrorMessage="1" sqref="C4743">
      <formula1>UnidadesList</formula1>
    </dataValidation>
    <dataValidation type="decimal" operator="greaterThan" allowBlank="1" showInputMessage="1" showErrorMessage="1" sqref="D4743">
      <formula1>0</formula1>
    </dataValidation>
    <dataValidation type="decimal" operator="greaterThan" allowBlank="1" showInputMessage="1" showErrorMessage="1" sqref="E4743">
      <formula1>0</formula1>
    </dataValidation>
    <dataValidation type="whole" operator="greaterThan" allowBlank="1" showInputMessage="1" showErrorMessage="1" sqref="A4744">
      <formula1>0</formula1>
    </dataValidation>
    <dataValidation type="list" allowBlank="1" showInputMessage="1" showErrorMessage="1" sqref="C4744">
      <formula1>UnidadesList</formula1>
    </dataValidation>
    <dataValidation type="decimal" operator="greaterThan" allowBlank="1" showInputMessage="1" showErrorMessage="1" sqref="D4744">
      <formula1>0</formula1>
    </dataValidation>
    <dataValidation type="decimal" operator="greaterThan" allowBlank="1" showInputMessage="1" showErrorMessage="1" sqref="E4744">
      <formula1>0</formula1>
    </dataValidation>
    <dataValidation type="whole" operator="greaterThan" allowBlank="1" showInputMessage="1" showErrorMessage="1" sqref="A4745">
      <formula1>0</formula1>
    </dataValidation>
    <dataValidation type="list" allowBlank="1" showInputMessage="1" showErrorMessage="1" sqref="C4745">
      <formula1>UnidadesList</formula1>
    </dataValidation>
    <dataValidation type="decimal" operator="greaterThan" allowBlank="1" showInputMessage="1" showErrorMessage="1" sqref="D4745">
      <formula1>0</formula1>
    </dataValidation>
    <dataValidation type="decimal" operator="greaterThan" allowBlank="1" showInputMessage="1" showErrorMessage="1" sqref="E4745">
      <formula1>0</formula1>
    </dataValidation>
    <dataValidation type="whole" operator="greaterThan" allowBlank="1" showInputMessage="1" showErrorMessage="1" sqref="A4746">
      <formula1>0</formula1>
    </dataValidation>
    <dataValidation type="list" allowBlank="1" showInputMessage="1" showErrorMessage="1" sqref="C4746">
      <formula1>UnidadesList</formula1>
    </dataValidation>
    <dataValidation type="decimal" operator="greaterThan" allowBlank="1" showInputMessage="1" showErrorMessage="1" sqref="D4746">
      <formula1>0</formula1>
    </dataValidation>
    <dataValidation type="decimal" operator="greaterThan" allowBlank="1" showInputMessage="1" showErrorMessage="1" sqref="E4746">
      <formula1>0</formula1>
    </dataValidation>
    <dataValidation type="whole" operator="greaterThan" allowBlank="1" showInputMessage="1" showErrorMessage="1" sqref="A4747">
      <formula1>0</formula1>
    </dataValidation>
    <dataValidation type="list" allowBlank="1" showInputMessage="1" showErrorMessage="1" sqref="C4747">
      <formula1>UnidadesList</formula1>
    </dataValidation>
    <dataValidation type="decimal" operator="greaterThan" allowBlank="1" showInputMessage="1" showErrorMessage="1" sqref="D4747">
      <formula1>0</formula1>
    </dataValidation>
    <dataValidation type="decimal" operator="greaterThan" allowBlank="1" showInputMessage="1" showErrorMessage="1" sqref="E4747">
      <formula1>0</formula1>
    </dataValidation>
    <dataValidation type="whole" operator="greaterThan" allowBlank="1" showInputMessage="1" showErrorMessage="1" sqref="A4748">
      <formula1>0</formula1>
    </dataValidation>
    <dataValidation type="list" allowBlank="1" showInputMessage="1" showErrorMessage="1" sqref="C4748">
      <formula1>UnidadesList</formula1>
    </dataValidation>
    <dataValidation type="decimal" operator="greaterThan" allowBlank="1" showInputMessage="1" showErrorMessage="1" sqref="D4748">
      <formula1>0</formula1>
    </dataValidation>
    <dataValidation type="decimal" operator="greaterThan" allowBlank="1" showInputMessage="1" showErrorMessage="1" sqref="E4748">
      <formula1>0</formula1>
    </dataValidation>
    <dataValidation type="whole" operator="greaterThan" allowBlank="1" showInputMessage="1" showErrorMessage="1" sqref="A4749">
      <formula1>0</formula1>
    </dataValidation>
    <dataValidation type="list" allowBlank="1" showInputMessage="1" showErrorMessage="1" sqref="C4749">
      <formula1>UnidadesList</formula1>
    </dataValidation>
    <dataValidation type="decimal" operator="greaterThan" allowBlank="1" showInputMessage="1" showErrorMessage="1" sqref="D4749">
      <formula1>0</formula1>
    </dataValidation>
    <dataValidation type="decimal" operator="greaterThan" allowBlank="1" showInputMessage="1" showErrorMessage="1" sqref="E4749">
      <formula1>0</formula1>
    </dataValidation>
    <dataValidation type="whole" operator="greaterThan" allowBlank="1" showInputMessage="1" showErrorMessage="1" sqref="A4750">
      <formula1>0</formula1>
    </dataValidation>
    <dataValidation type="list" allowBlank="1" showInputMessage="1" showErrorMessage="1" sqref="C4750">
      <formula1>UnidadesList</formula1>
    </dataValidation>
    <dataValidation type="decimal" operator="greaterThan" allowBlank="1" showInputMessage="1" showErrorMessage="1" sqref="D4750">
      <formula1>0</formula1>
    </dataValidation>
    <dataValidation type="decimal" operator="greaterThan" allowBlank="1" showInputMessage="1" showErrorMessage="1" sqref="E4750">
      <formula1>0</formula1>
    </dataValidation>
    <dataValidation type="whole" operator="greaterThan" allowBlank="1" showInputMessage="1" showErrorMessage="1" sqref="A4751">
      <formula1>0</formula1>
    </dataValidation>
    <dataValidation type="list" allowBlank="1" showInputMessage="1" showErrorMessage="1" sqref="C4751">
      <formula1>UnidadesList</formula1>
    </dataValidation>
    <dataValidation type="decimal" operator="greaterThan" allowBlank="1" showInputMessage="1" showErrorMessage="1" sqref="D4751">
      <formula1>0</formula1>
    </dataValidation>
    <dataValidation type="decimal" operator="greaterThan" allowBlank="1" showInputMessage="1" showErrorMessage="1" sqref="E4751">
      <formula1>0</formula1>
    </dataValidation>
    <dataValidation type="whole" operator="greaterThan" allowBlank="1" showInputMessage="1" showErrorMessage="1" sqref="A4752">
      <formula1>0</formula1>
    </dataValidation>
    <dataValidation type="list" allowBlank="1" showInputMessage="1" showErrorMessage="1" sqref="C4752">
      <formula1>UnidadesList</formula1>
    </dataValidation>
    <dataValidation type="decimal" operator="greaterThan" allowBlank="1" showInputMessage="1" showErrorMessage="1" sqref="D4752">
      <formula1>0</formula1>
    </dataValidation>
    <dataValidation type="decimal" operator="greaterThan" allowBlank="1" showInputMessage="1" showErrorMessage="1" sqref="E4752">
      <formula1>0</formula1>
    </dataValidation>
    <dataValidation type="whole" operator="greaterThan" allowBlank="1" showInputMessage="1" showErrorMessage="1" sqref="A4753">
      <formula1>0</formula1>
    </dataValidation>
    <dataValidation type="list" allowBlank="1" showInputMessage="1" showErrorMessage="1" sqref="C4753">
      <formula1>UnidadesList</formula1>
    </dataValidation>
    <dataValidation type="decimal" operator="greaterThan" allowBlank="1" showInputMessage="1" showErrorMessage="1" sqref="D4753">
      <formula1>0</formula1>
    </dataValidation>
    <dataValidation type="decimal" operator="greaterThan" allowBlank="1" showInputMessage="1" showErrorMessage="1" sqref="E4753">
      <formula1>0</formula1>
    </dataValidation>
    <dataValidation type="whole" operator="greaterThan" allowBlank="1" showInputMessage="1" showErrorMessage="1" sqref="A4754">
      <formula1>0</formula1>
    </dataValidation>
    <dataValidation type="list" allowBlank="1" showInputMessage="1" showErrorMessage="1" sqref="C4754">
      <formula1>UnidadesList</formula1>
    </dataValidation>
    <dataValidation type="decimal" operator="greaterThan" allowBlank="1" showInputMessage="1" showErrorMessage="1" sqref="D4754">
      <formula1>0</formula1>
    </dataValidation>
    <dataValidation type="decimal" operator="greaterThan" allowBlank="1" showInputMessage="1" showErrorMessage="1" sqref="E4754">
      <formula1>0</formula1>
    </dataValidation>
    <dataValidation type="whole" operator="greaterThan" allowBlank="1" showInputMessage="1" showErrorMessage="1" sqref="A4755">
      <formula1>0</formula1>
    </dataValidation>
    <dataValidation type="list" allowBlank="1" showInputMessage="1" showErrorMessage="1" sqref="C4755">
      <formula1>UnidadesList</formula1>
    </dataValidation>
    <dataValidation type="decimal" operator="greaterThan" allowBlank="1" showInputMessage="1" showErrorMessage="1" sqref="D4755">
      <formula1>0</formula1>
    </dataValidation>
    <dataValidation type="decimal" operator="greaterThan" allowBlank="1" showInputMessage="1" showErrorMessage="1" sqref="E4755">
      <formula1>0</formula1>
    </dataValidation>
    <dataValidation type="whole" operator="greaterThan" allowBlank="1" showInputMessage="1" showErrorMessage="1" sqref="A4756">
      <formula1>0</formula1>
    </dataValidation>
    <dataValidation type="list" allowBlank="1" showInputMessage="1" showErrorMessage="1" sqref="C4756">
      <formula1>UnidadesList</formula1>
    </dataValidation>
    <dataValidation type="decimal" operator="greaterThan" allowBlank="1" showInputMessage="1" showErrorMessage="1" sqref="D4756">
      <formula1>0</formula1>
    </dataValidation>
    <dataValidation type="decimal" operator="greaterThan" allowBlank="1" showInputMessage="1" showErrorMessage="1" sqref="E4756">
      <formula1>0</formula1>
    </dataValidation>
    <dataValidation type="whole" operator="greaterThan" allowBlank="1" showInputMessage="1" showErrorMessage="1" sqref="A4757">
      <formula1>0</formula1>
    </dataValidation>
    <dataValidation type="list" allowBlank="1" showInputMessage="1" showErrorMessage="1" sqref="C4757">
      <formula1>UnidadesList</formula1>
    </dataValidation>
    <dataValidation type="decimal" operator="greaterThan" allowBlank="1" showInputMessage="1" showErrorMessage="1" sqref="D4757">
      <formula1>0</formula1>
    </dataValidation>
    <dataValidation type="decimal" operator="greaterThan" allowBlank="1" showInputMessage="1" showErrorMessage="1" sqref="E4757">
      <formula1>0</formula1>
    </dataValidation>
    <dataValidation type="whole" operator="greaterThan" allowBlank="1" showInputMessage="1" showErrorMessage="1" sqref="A4758">
      <formula1>0</formula1>
    </dataValidation>
    <dataValidation type="list" allowBlank="1" showInputMessage="1" showErrorMessage="1" sqref="C4758">
      <formula1>UnidadesList</formula1>
    </dataValidation>
    <dataValidation type="decimal" operator="greaterThan" allowBlank="1" showInputMessage="1" showErrorMessage="1" sqref="D4758">
      <formula1>0</formula1>
    </dataValidation>
    <dataValidation type="decimal" operator="greaterThan" allowBlank="1" showInputMessage="1" showErrorMessage="1" sqref="E4758">
      <formula1>0</formula1>
    </dataValidation>
    <dataValidation type="whole" operator="greaterThan" allowBlank="1" showInputMessage="1" showErrorMessage="1" sqref="A4759">
      <formula1>0</formula1>
    </dataValidation>
    <dataValidation type="list" allowBlank="1" showInputMessage="1" showErrorMessage="1" sqref="C4759">
      <formula1>UnidadesList</formula1>
    </dataValidation>
    <dataValidation type="decimal" operator="greaterThan" allowBlank="1" showInputMessage="1" showErrorMessage="1" sqref="D4759">
      <formula1>0</formula1>
    </dataValidation>
    <dataValidation type="decimal" operator="greaterThan" allowBlank="1" showInputMessage="1" showErrorMessage="1" sqref="E4759">
      <formula1>0</formula1>
    </dataValidation>
    <dataValidation type="whole" operator="greaterThan" allowBlank="1" showInputMessage="1" showErrorMessage="1" sqref="A4760">
      <formula1>0</formula1>
    </dataValidation>
    <dataValidation type="list" allowBlank="1" showInputMessage="1" showErrorMessage="1" sqref="C4760">
      <formula1>UnidadesList</formula1>
    </dataValidation>
    <dataValidation type="decimal" operator="greaterThan" allowBlank="1" showInputMessage="1" showErrorMessage="1" sqref="D4760">
      <formula1>0</formula1>
    </dataValidation>
    <dataValidation type="decimal" operator="greaterThan" allowBlank="1" showInputMessage="1" showErrorMessage="1" sqref="E4760">
      <formula1>0</formula1>
    </dataValidation>
    <dataValidation type="whole" operator="greaterThan" allowBlank="1" showInputMessage="1" showErrorMessage="1" sqref="A4761">
      <formula1>0</formula1>
    </dataValidation>
    <dataValidation type="list" allowBlank="1" showInputMessage="1" showErrorMessage="1" sqref="C4761">
      <formula1>UnidadesList</formula1>
    </dataValidation>
    <dataValidation type="decimal" operator="greaterThan" allowBlank="1" showInputMessage="1" showErrorMessage="1" sqref="D4761">
      <formula1>0</formula1>
    </dataValidation>
    <dataValidation type="decimal" operator="greaterThan" allowBlank="1" showInputMessage="1" showErrorMessage="1" sqref="E4761">
      <formula1>0</formula1>
    </dataValidation>
    <dataValidation type="whole" operator="greaterThan" allowBlank="1" showInputMessage="1" showErrorMessage="1" sqref="A4762">
      <formula1>0</formula1>
    </dataValidation>
    <dataValidation type="list" allowBlank="1" showInputMessage="1" showErrorMessage="1" sqref="C4762">
      <formula1>UnidadesList</formula1>
    </dataValidation>
    <dataValidation type="decimal" operator="greaterThan" allowBlank="1" showInputMessage="1" showErrorMessage="1" sqref="D4762">
      <formula1>0</formula1>
    </dataValidation>
    <dataValidation type="decimal" operator="greaterThan" allowBlank="1" showInputMessage="1" showErrorMessage="1" sqref="E4762">
      <formula1>0</formula1>
    </dataValidation>
    <dataValidation type="whole" operator="greaterThan" allowBlank="1" showInputMessage="1" showErrorMessage="1" sqref="A4763">
      <formula1>0</formula1>
    </dataValidation>
    <dataValidation type="list" allowBlank="1" showInputMessage="1" showErrorMessage="1" sqref="C4763">
      <formula1>UnidadesList</formula1>
    </dataValidation>
    <dataValidation type="decimal" operator="greaterThan" allowBlank="1" showInputMessage="1" showErrorMessage="1" sqref="D4763">
      <formula1>0</formula1>
    </dataValidation>
    <dataValidation type="decimal" operator="greaterThan" allowBlank="1" showInputMessage="1" showErrorMessage="1" sqref="E4763">
      <formula1>0</formula1>
    </dataValidation>
    <dataValidation type="whole" operator="greaterThan" allowBlank="1" showInputMessage="1" showErrorMessage="1" sqref="A4764">
      <formula1>0</formula1>
    </dataValidation>
    <dataValidation type="list" allowBlank="1" showInputMessage="1" showErrorMessage="1" sqref="C4764">
      <formula1>UnidadesList</formula1>
    </dataValidation>
    <dataValidation type="decimal" operator="greaterThan" allowBlank="1" showInputMessage="1" showErrorMessage="1" sqref="D4764">
      <formula1>0</formula1>
    </dataValidation>
    <dataValidation type="decimal" operator="greaterThan" allowBlank="1" showInputMessage="1" showErrorMessage="1" sqref="E4764">
      <formula1>0</formula1>
    </dataValidation>
    <dataValidation type="whole" operator="greaterThan" allowBlank="1" showInputMessage="1" showErrorMessage="1" sqref="A4765">
      <formula1>0</formula1>
    </dataValidation>
    <dataValidation type="list" allowBlank="1" showInputMessage="1" showErrorMessage="1" sqref="C4765">
      <formula1>UnidadesList</formula1>
    </dataValidation>
    <dataValidation type="decimal" operator="greaterThan" allowBlank="1" showInputMessage="1" showErrorMessage="1" sqref="D4765">
      <formula1>0</formula1>
    </dataValidation>
    <dataValidation type="decimal" operator="greaterThan" allowBlank="1" showInputMessage="1" showErrorMessage="1" sqref="E4765">
      <formula1>0</formula1>
    </dataValidation>
    <dataValidation type="whole" operator="greaterThan" allowBlank="1" showInputMessage="1" showErrorMessage="1" sqref="A4766">
      <formula1>0</formula1>
    </dataValidation>
    <dataValidation type="list" allowBlank="1" showInputMessage="1" showErrorMessage="1" sqref="C4766">
      <formula1>UnidadesList</formula1>
    </dataValidation>
    <dataValidation type="decimal" operator="greaterThan" allowBlank="1" showInputMessage="1" showErrorMessage="1" sqref="D4766">
      <formula1>0</formula1>
    </dataValidation>
    <dataValidation type="decimal" operator="greaterThan" allowBlank="1" showInputMessage="1" showErrorMessage="1" sqref="E4766">
      <formula1>0</formula1>
    </dataValidation>
    <dataValidation type="whole" operator="greaterThan" allowBlank="1" showInputMessage="1" showErrorMessage="1" sqref="A4767">
      <formula1>0</formula1>
    </dataValidation>
    <dataValidation type="list" allowBlank="1" showInputMessage="1" showErrorMessage="1" sqref="C4767">
      <formula1>UnidadesList</formula1>
    </dataValidation>
    <dataValidation type="decimal" operator="greaterThan" allowBlank="1" showInputMessage="1" showErrorMessage="1" sqref="D4767">
      <formula1>0</formula1>
    </dataValidation>
    <dataValidation type="decimal" operator="greaterThan" allowBlank="1" showInputMessage="1" showErrorMessage="1" sqref="E4767">
      <formula1>0</formula1>
    </dataValidation>
    <dataValidation type="whole" operator="greaterThan" allowBlank="1" showInputMessage="1" showErrorMessage="1" sqref="A4768">
      <formula1>0</formula1>
    </dataValidation>
    <dataValidation type="list" allowBlank="1" showInputMessage="1" showErrorMessage="1" sqref="C4768">
      <formula1>UnidadesList</formula1>
    </dataValidation>
    <dataValidation type="decimal" operator="greaterThan" allowBlank="1" showInputMessage="1" showErrorMessage="1" sqref="D4768">
      <formula1>0</formula1>
    </dataValidation>
    <dataValidation type="decimal" operator="greaterThan" allowBlank="1" showInputMessage="1" showErrorMessage="1" sqref="E4768">
      <formula1>0</formula1>
    </dataValidation>
    <dataValidation type="whole" operator="greaterThan" allowBlank="1" showInputMessage="1" showErrorMessage="1" sqref="A4769">
      <formula1>0</formula1>
    </dataValidation>
    <dataValidation type="list" allowBlank="1" showInputMessage="1" showErrorMessage="1" sqref="C4769">
      <formula1>UnidadesList</formula1>
    </dataValidation>
    <dataValidation type="decimal" operator="greaterThan" allowBlank="1" showInputMessage="1" showErrorMessage="1" sqref="D4769">
      <formula1>0</formula1>
    </dataValidation>
    <dataValidation type="decimal" operator="greaterThan" allowBlank="1" showInputMessage="1" showErrorMessage="1" sqref="E4769">
      <formula1>0</formula1>
    </dataValidation>
    <dataValidation type="whole" operator="greaterThan" allowBlank="1" showInputMessage="1" showErrorMessage="1" sqref="A4770">
      <formula1>0</formula1>
    </dataValidation>
    <dataValidation type="list" allowBlank="1" showInputMessage="1" showErrorMessage="1" sqref="C4770">
      <formula1>UnidadesList</formula1>
    </dataValidation>
    <dataValidation type="decimal" operator="greaterThan" allowBlank="1" showInputMessage="1" showErrorMessage="1" sqref="D4770">
      <formula1>0</formula1>
    </dataValidation>
    <dataValidation type="decimal" operator="greaterThan" allowBlank="1" showInputMessage="1" showErrorMessage="1" sqref="E4770">
      <formula1>0</formula1>
    </dataValidation>
    <dataValidation type="whole" operator="greaterThan" allowBlank="1" showInputMessage="1" showErrorMessage="1" sqref="A4771">
      <formula1>0</formula1>
    </dataValidation>
    <dataValidation type="list" allowBlank="1" showInputMessage="1" showErrorMessage="1" sqref="C4771">
      <formula1>UnidadesList</formula1>
    </dataValidation>
    <dataValidation type="decimal" operator="greaterThan" allowBlank="1" showInputMessage="1" showErrorMessage="1" sqref="D4771">
      <formula1>0</formula1>
    </dataValidation>
    <dataValidation type="decimal" operator="greaterThan" allowBlank="1" showInputMessage="1" showErrorMessage="1" sqref="E4771">
      <formula1>0</formula1>
    </dataValidation>
    <dataValidation type="whole" operator="greaterThan" allowBlank="1" showInputMessage="1" showErrorMessage="1" sqref="A4772">
      <formula1>0</formula1>
    </dataValidation>
    <dataValidation type="list" allowBlank="1" showInputMessage="1" showErrorMessage="1" sqref="C4772">
      <formula1>UnidadesList</formula1>
    </dataValidation>
    <dataValidation type="decimal" operator="greaterThan" allowBlank="1" showInputMessage="1" showErrorMessage="1" sqref="D4772">
      <formula1>0</formula1>
    </dataValidation>
    <dataValidation type="decimal" operator="greaterThan" allowBlank="1" showInputMessage="1" showErrorMessage="1" sqref="E4772">
      <formula1>0</formula1>
    </dataValidation>
    <dataValidation type="whole" operator="greaterThan" allowBlank="1" showInputMessage="1" showErrorMessage="1" sqref="A4773">
      <formula1>0</formula1>
    </dataValidation>
    <dataValidation type="list" allowBlank="1" showInputMessage="1" showErrorMessage="1" sqref="C4773">
      <formula1>UnidadesList</formula1>
    </dataValidation>
    <dataValidation type="decimal" operator="greaterThan" allowBlank="1" showInputMessage="1" showErrorMessage="1" sqref="D4773">
      <formula1>0</formula1>
    </dataValidation>
    <dataValidation type="decimal" operator="greaterThan" allowBlank="1" showInputMessage="1" showErrorMessage="1" sqref="E4773">
      <formula1>0</formula1>
    </dataValidation>
    <dataValidation type="whole" operator="greaterThan" allowBlank="1" showInputMessage="1" showErrorMessage="1" sqref="A4774">
      <formula1>0</formula1>
    </dataValidation>
    <dataValidation type="list" allowBlank="1" showInputMessage="1" showErrorMessage="1" sqref="C4774">
      <formula1>UnidadesList</formula1>
    </dataValidation>
    <dataValidation type="decimal" operator="greaterThan" allowBlank="1" showInputMessage="1" showErrorMessage="1" sqref="D4774">
      <formula1>0</formula1>
    </dataValidation>
    <dataValidation type="decimal" operator="greaterThan" allowBlank="1" showInputMessage="1" showErrorMessage="1" sqref="E4774">
      <formula1>0</formula1>
    </dataValidation>
    <dataValidation type="whole" operator="greaterThan" allowBlank="1" showInputMessage="1" showErrorMessage="1" sqref="A4775">
      <formula1>0</formula1>
    </dataValidation>
    <dataValidation type="list" allowBlank="1" showInputMessage="1" showErrorMessage="1" sqref="C4775">
      <formula1>UnidadesList</formula1>
    </dataValidation>
    <dataValidation type="decimal" operator="greaterThan" allowBlank="1" showInputMessage="1" showErrorMessage="1" sqref="D4775">
      <formula1>0</formula1>
    </dataValidation>
    <dataValidation type="decimal" operator="greaterThan" allowBlank="1" showInputMessage="1" showErrorMessage="1" sqref="E4775">
      <formula1>0</formula1>
    </dataValidation>
    <dataValidation type="whole" operator="greaterThan" allowBlank="1" showInputMessage="1" showErrorMessage="1" sqref="A4776">
      <formula1>0</formula1>
    </dataValidation>
    <dataValidation type="list" allowBlank="1" showInputMessage="1" showErrorMessage="1" sqref="C4776">
      <formula1>UnidadesList</formula1>
    </dataValidation>
    <dataValidation type="decimal" operator="greaterThan" allowBlank="1" showInputMessage="1" showErrorMessage="1" sqref="D4776">
      <formula1>0</formula1>
    </dataValidation>
    <dataValidation type="decimal" operator="greaterThan" allowBlank="1" showInputMessage="1" showErrorMessage="1" sqref="E4776">
      <formula1>0</formula1>
    </dataValidation>
    <dataValidation type="whole" operator="greaterThan" allowBlank="1" showInputMessage="1" showErrorMessage="1" sqref="A4777">
      <formula1>0</formula1>
    </dataValidation>
    <dataValidation type="list" allowBlank="1" showInputMessage="1" showErrorMessage="1" sqref="C4777">
      <formula1>UnidadesList</formula1>
    </dataValidation>
    <dataValidation type="decimal" operator="greaterThan" allowBlank="1" showInputMessage="1" showErrorMessage="1" sqref="D4777">
      <formula1>0</formula1>
    </dataValidation>
    <dataValidation type="decimal" operator="greaterThan" allowBlank="1" showInputMessage="1" showErrorMessage="1" sqref="E4777">
      <formula1>0</formula1>
    </dataValidation>
    <dataValidation type="whole" operator="greaterThan" allowBlank="1" showInputMessage="1" showErrorMessage="1" sqref="A4778">
      <formula1>0</formula1>
    </dataValidation>
    <dataValidation type="list" allowBlank="1" showInputMessage="1" showErrorMessage="1" sqref="C4778">
      <formula1>UnidadesList</formula1>
    </dataValidation>
    <dataValidation type="decimal" operator="greaterThan" allowBlank="1" showInputMessage="1" showErrorMessage="1" sqref="D4778">
      <formula1>0</formula1>
    </dataValidation>
    <dataValidation type="decimal" operator="greaterThan" allowBlank="1" showInputMessage="1" showErrorMessage="1" sqref="E4778">
      <formula1>0</formula1>
    </dataValidation>
    <dataValidation type="whole" operator="greaterThan" allowBlank="1" showInputMessage="1" showErrorMessage="1" sqref="A4779">
      <formula1>0</formula1>
    </dataValidation>
    <dataValidation type="list" allowBlank="1" showInputMessage="1" showErrorMessage="1" sqref="C4779">
      <formula1>UnidadesList</formula1>
    </dataValidation>
    <dataValidation type="decimal" operator="greaterThan" allowBlank="1" showInputMessage="1" showErrorMessage="1" sqref="D4779">
      <formula1>0</formula1>
    </dataValidation>
    <dataValidation type="decimal" operator="greaterThan" allowBlank="1" showInputMessage="1" showErrorMessage="1" sqref="E4779">
      <formula1>0</formula1>
    </dataValidation>
    <dataValidation type="whole" operator="greaterThan" allowBlank="1" showInputMessage="1" showErrorMessage="1" sqref="A4780">
      <formula1>0</formula1>
    </dataValidation>
    <dataValidation type="list" allowBlank="1" showInputMessage="1" showErrorMessage="1" sqref="C4780">
      <formula1>UnidadesList</formula1>
    </dataValidation>
    <dataValidation type="decimal" operator="greaterThan" allowBlank="1" showInputMessage="1" showErrorMessage="1" sqref="D4780">
      <formula1>0</formula1>
    </dataValidation>
    <dataValidation type="decimal" operator="greaterThan" allowBlank="1" showInputMessage="1" showErrorMessage="1" sqref="E4780">
      <formula1>0</formula1>
    </dataValidation>
    <dataValidation type="date" operator="lessThanOrEqual" allowBlank="1" showInputMessage="1" showErrorMessage="1" sqref="C4785">
      <formula1>C4787</formula1>
    </dataValidation>
    <dataValidation type="date" operator="greaterThanOrEqual" allowBlank="1" showInputMessage="1" showErrorMessage="1" sqref="C4787">
      <formula1>C4785</formula1>
    </dataValidation>
    <dataValidation type="list" allowBlank="1" showInputMessage="1" showErrorMessage="1" sqref="F478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8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8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78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91">
      <formula1>0</formula1>
    </dataValidation>
    <dataValidation type="list" allowBlank="1" showInputMessage="1" showErrorMessage="1" sqref="C4791">
      <formula1>UnidadesList</formula1>
    </dataValidation>
    <dataValidation type="decimal" operator="greaterThan" allowBlank="1" showInputMessage="1" showErrorMessage="1" sqref="D4791">
      <formula1>0</formula1>
    </dataValidation>
    <dataValidation type="decimal" operator="greaterThan" allowBlank="1" showInputMessage="1" showErrorMessage="1" sqref="E4791">
      <formula1>0</formula1>
    </dataValidation>
    <dataValidation type="whole" operator="greaterThan" allowBlank="1" showInputMessage="1" showErrorMessage="1" sqref="A4792">
      <formula1>0</formula1>
    </dataValidation>
    <dataValidation type="list" allowBlank="1" showInputMessage="1" showErrorMessage="1" sqref="C4792">
      <formula1>UnidadesList</formula1>
    </dataValidation>
    <dataValidation type="decimal" operator="greaterThan" allowBlank="1" showInputMessage="1" showErrorMessage="1" sqref="D4792">
      <formula1>0</formula1>
    </dataValidation>
    <dataValidation type="decimal" operator="greaterThan" allowBlank="1" showInputMessage="1" showErrorMessage="1" sqref="E4792">
      <formula1>0</formula1>
    </dataValidation>
    <dataValidation type="date" operator="lessThanOrEqual" allowBlank="1" showInputMessage="1" showErrorMessage="1" sqref="C4797">
      <formula1>C4799</formula1>
    </dataValidation>
    <dataValidation type="date" operator="greaterThanOrEqual" allowBlank="1" showInputMessage="1" showErrorMessage="1" sqref="C4799">
      <formula1>C4797</formula1>
    </dataValidation>
    <dataValidation type="list" allowBlank="1" showInputMessage="1" showErrorMessage="1" sqref="F479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79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79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0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03">
      <formula1>0</formula1>
    </dataValidation>
    <dataValidation type="list" allowBlank="1" showInputMessage="1" showErrorMessage="1" sqref="C4803">
      <formula1>UnidadesList</formula1>
    </dataValidation>
    <dataValidation type="decimal" operator="greaterThan" allowBlank="1" showInputMessage="1" showErrorMessage="1" sqref="D4803">
      <formula1>0</formula1>
    </dataValidation>
    <dataValidation type="decimal" operator="greaterThan" allowBlank="1" showInputMessage="1" showErrorMessage="1" sqref="E4803">
      <formula1>0</formula1>
    </dataValidation>
    <dataValidation type="whole" operator="greaterThan" allowBlank="1" showInputMessage="1" showErrorMessage="1" sqref="A4804">
      <formula1>0</formula1>
    </dataValidation>
    <dataValidation type="list" allowBlank="1" showInputMessage="1" showErrorMessage="1" sqref="C4804">
      <formula1>UnidadesList</formula1>
    </dataValidation>
    <dataValidation type="decimal" operator="greaterThan" allowBlank="1" showInputMessage="1" showErrorMessage="1" sqref="D4804">
      <formula1>0</formula1>
    </dataValidation>
    <dataValidation type="decimal" operator="greaterThan" allowBlank="1" showInputMessage="1" showErrorMessage="1" sqref="E4804">
      <formula1>0</formula1>
    </dataValidation>
    <dataValidation type="whole" operator="greaterThan" allowBlank="1" showInputMessage="1" showErrorMessage="1" sqref="A4805">
      <formula1>0</formula1>
    </dataValidation>
    <dataValidation type="list" allowBlank="1" showInputMessage="1" showErrorMessage="1" sqref="C4805">
      <formula1>UnidadesList</formula1>
    </dataValidation>
    <dataValidation type="decimal" operator="greaterThan" allowBlank="1" showInputMessage="1" showErrorMessage="1" sqref="D4805">
      <formula1>0</formula1>
    </dataValidation>
    <dataValidation type="decimal" operator="greaterThan" allowBlank="1" showInputMessage="1" showErrorMessage="1" sqref="E4805">
      <formula1>0</formula1>
    </dataValidation>
    <dataValidation type="whole" operator="greaterThan" allowBlank="1" showInputMessage="1" showErrorMessage="1" sqref="A4806">
      <formula1>0</formula1>
    </dataValidation>
    <dataValidation type="list" allowBlank="1" showInputMessage="1" showErrorMessage="1" sqref="C4806">
      <formula1>UnidadesList</formula1>
    </dataValidation>
    <dataValidation type="decimal" operator="greaterThan" allowBlank="1" showInputMessage="1" showErrorMessage="1" sqref="D4806">
      <formula1>0</formula1>
    </dataValidation>
    <dataValidation type="decimal" operator="greaterThan" allowBlank="1" showInputMessage="1" showErrorMessage="1" sqref="E4806">
      <formula1>0</formula1>
    </dataValidation>
    <dataValidation type="whole" operator="greaterThan" allowBlank="1" showInputMessage="1" showErrorMessage="1" sqref="A4807">
      <formula1>0</formula1>
    </dataValidation>
    <dataValidation type="list" allowBlank="1" showInputMessage="1" showErrorMessage="1" sqref="C4807">
      <formula1>UnidadesList</formula1>
    </dataValidation>
    <dataValidation type="decimal" operator="greaterThan" allowBlank="1" showInputMessage="1" showErrorMessage="1" sqref="D4807">
      <formula1>0</formula1>
    </dataValidation>
    <dataValidation type="decimal" operator="greaterThan" allowBlank="1" showInputMessage="1" showErrorMessage="1" sqref="E4807">
      <formula1>0</formula1>
    </dataValidation>
    <dataValidation type="whole" operator="greaterThan" allowBlank="1" showInputMessage="1" showErrorMessage="1" sqref="A4808">
      <formula1>0</formula1>
    </dataValidation>
    <dataValidation type="list" allowBlank="1" showInputMessage="1" showErrorMessage="1" sqref="C4808">
      <formula1>UnidadesList</formula1>
    </dataValidation>
    <dataValidation type="decimal" operator="greaterThan" allowBlank="1" showInputMessage="1" showErrorMessage="1" sqref="D4808">
      <formula1>0</formula1>
    </dataValidation>
    <dataValidation type="decimal" operator="greaterThan" allowBlank="1" showInputMessage="1" showErrorMessage="1" sqref="E4808">
      <formula1>0</formula1>
    </dataValidation>
    <dataValidation type="whole" operator="greaterThan" allowBlank="1" showInputMessage="1" showErrorMessage="1" sqref="A4809">
      <formula1>0</formula1>
    </dataValidation>
    <dataValidation type="list" allowBlank="1" showInputMessage="1" showErrorMessage="1" sqref="C4809">
      <formula1>UnidadesList</formula1>
    </dataValidation>
    <dataValidation type="decimal" operator="greaterThan" allowBlank="1" showInputMessage="1" showErrorMessage="1" sqref="D4809">
      <formula1>0</formula1>
    </dataValidation>
    <dataValidation type="decimal" operator="greaterThan" allowBlank="1" showInputMessage="1" showErrorMessage="1" sqref="E4809">
      <formula1>0</formula1>
    </dataValidation>
    <dataValidation type="whole" operator="greaterThan" allowBlank="1" showInputMessage="1" showErrorMessage="1" sqref="A4810">
      <formula1>0</formula1>
    </dataValidation>
    <dataValidation type="list" allowBlank="1" showInputMessage="1" showErrorMessage="1" sqref="C4810">
      <formula1>UnidadesList</formula1>
    </dataValidation>
    <dataValidation type="decimal" operator="greaterThan" allowBlank="1" showInputMessage="1" showErrorMessage="1" sqref="D4810">
      <formula1>0</formula1>
    </dataValidation>
    <dataValidation type="decimal" operator="greaterThan" allowBlank="1" showInputMessage="1" showErrorMessage="1" sqref="E4810">
      <formula1>0</formula1>
    </dataValidation>
    <dataValidation type="whole" operator="greaterThan" allowBlank="1" showInputMessage="1" showErrorMessage="1" sqref="A4811">
      <formula1>0</formula1>
    </dataValidation>
    <dataValidation type="list" allowBlank="1" showInputMessage="1" showErrorMessage="1" sqref="C4811">
      <formula1>UnidadesList</formula1>
    </dataValidation>
    <dataValidation type="decimal" operator="greaterThan" allowBlank="1" showInputMessage="1" showErrorMessage="1" sqref="D4811">
      <formula1>0</formula1>
    </dataValidation>
    <dataValidation type="decimal" operator="greaterThan" allowBlank="1" showInputMessage="1" showErrorMessage="1" sqref="E4811">
      <formula1>0</formula1>
    </dataValidation>
    <dataValidation type="whole" operator="greaterThan" allowBlank="1" showInputMessage="1" showErrorMessage="1" sqref="A4812">
      <formula1>0</formula1>
    </dataValidation>
    <dataValidation type="list" allowBlank="1" showInputMessage="1" showErrorMessage="1" sqref="C4812">
      <formula1>UnidadesList</formula1>
    </dataValidation>
    <dataValidation type="decimal" operator="greaterThan" allowBlank="1" showInputMessage="1" showErrorMessage="1" sqref="D4812">
      <formula1>0</formula1>
    </dataValidation>
    <dataValidation type="decimal" operator="greaterThan" allowBlank="1" showInputMessage="1" showErrorMessage="1" sqref="E4812">
      <formula1>0</formula1>
    </dataValidation>
    <dataValidation type="whole" operator="greaterThan" allowBlank="1" showInputMessage="1" showErrorMessage="1" sqref="A4813">
      <formula1>0</formula1>
    </dataValidation>
    <dataValidation type="list" allowBlank="1" showInputMessage="1" showErrorMessage="1" sqref="C4813">
      <formula1>UnidadesList</formula1>
    </dataValidation>
    <dataValidation type="decimal" operator="greaterThan" allowBlank="1" showInputMessage="1" showErrorMessage="1" sqref="D4813">
      <formula1>0</formula1>
    </dataValidation>
    <dataValidation type="decimal" operator="greaterThan" allowBlank="1" showInputMessage="1" showErrorMessage="1" sqref="E4813">
      <formula1>0</formula1>
    </dataValidation>
    <dataValidation type="whole" operator="greaterThan" allowBlank="1" showInputMessage="1" showErrorMessage="1" sqref="A4814">
      <formula1>0</formula1>
    </dataValidation>
    <dataValidation type="list" allowBlank="1" showInputMessage="1" showErrorMessage="1" sqref="C4814">
      <formula1>UnidadesList</formula1>
    </dataValidation>
    <dataValidation type="decimal" operator="greaterThan" allowBlank="1" showInputMessage="1" showErrorMessage="1" sqref="D4814">
      <formula1>0</formula1>
    </dataValidation>
    <dataValidation type="decimal" operator="greaterThan" allowBlank="1" showInputMessage="1" showErrorMessage="1" sqref="E4814">
      <formula1>0</formula1>
    </dataValidation>
    <dataValidation type="whole" operator="greaterThan" allowBlank="1" showInputMessage="1" showErrorMessage="1" sqref="A4815">
      <formula1>0</formula1>
    </dataValidation>
    <dataValidation type="list" allowBlank="1" showInputMessage="1" showErrorMessage="1" sqref="C4815">
      <formula1>UnidadesList</formula1>
    </dataValidation>
    <dataValidation type="decimal" operator="greaterThan" allowBlank="1" showInputMessage="1" showErrorMessage="1" sqref="D4815">
      <formula1>0</formula1>
    </dataValidation>
    <dataValidation type="decimal" operator="greaterThan" allowBlank="1" showInputMessage="1" showErrorMessage="1" sqref="E4815">
      <formula1>0</formula1>
    </dataValidation>
    <dataValidation type="whole" operator="greaterThan" allowBlank="1" showInputMessage="1" showErrorMessage="1" sqref="A4816">
      <formula1>0</formula1>
    </dataValidation>
    <dataValidation type="list" allowBlank="1" showInputMessage="1" showErrorMessage="1" sqref="C4816">
      <formula1>UnidadesList</formula1>
    </dataValidation>
    <dataValidation type="decimal" operator="greaterThan" allowBlank="1" showInputMessage="1" showErrorMessage="1" sqref="D4816">
      <formula1>0</formula1>
    </dataValidation>
    <dataValidation type="decimal" operator="greaterThan" allowBlank="1" showInputMessage="1" showErrorMessage="1" sqref="E4816">
      <formula1>0</formula1>
    </dataValidation>
    <dataValidation type="whole" operator="greaterThan" allowBlank="1" showInputMessage="1" showErrorMessage="1" sqref="A4817">
      <formula1>0</formula1>
    </dataValidation>
    <dataValidation type="list" allowBlank="1" showInputMessage="1" showErrorMessage="1" sqref="C4817">
      <formula1>UnidadesList</formula1>
    </dataValidation>
    <dataValidation type="decimal" operator="greaterThan" allowBlank="1" showInputMessage="1" showErrorMessage="1" sqref="D4817">
      <formula1>0</formula1>
    </dataValidation>
    <dataValidation type="decimal" operator="greaterThan" allowBlank="1" showInputMessage="1" showErrorMessage="1" sqref="E4817">
      <formula1>0</formula1>
    </dataValidation>
    <dataValidation type="whole" operator="greaterThan" allowBlank="1" showInputMessage="1" showErrorMessage="1" sqref="A4818">
      <formula1>0</formula1>
    </dataValidation>
    <dataValidation type="list" allowBlank="1" showInputMessage="1" showErrorMessage="1" sqref="C4818">
      <formula1>UnidadesList</formula1>
    </dataValidation>
    <dataValidation type="decimal" operator="greaterThan" allowBlank="1" showInputMessage="1" showErrorMessage="1" sqref="D4818">
      <formula1>0</formula1>
    </dataValidation>
    <dataValidation type="decimal" operator="greaterThan" allowBlank="1" showInputMessage="1" showErrorMessage="1" sqref="E4818">
      <formula1>0</formula1>
    </dataValidation>
    <dataValidation type="whole" operator="greaterThan" allowBlank="1" showInputMessage="1" showErrorMessage="1" sqref="A4819">
      <formula1>0</formula1>
    </dataValidation>
    <dataValidation type="list" allowBlank="1" showInputMessage="1" showErrorMessage="1" sqref="C4819">
      <formula1>UnidadesList</formula1>
    </dataValidation>
    <dataValidation type="decimal" operator="greaterThan" allowBlank="1" showInputMessage="1" showErrorMessage="1" sqref="D4819">
      <formula1>0</formula1>
    </dataValidation>
    <dataValidation type="decimal" operator="greaterThan" allowBlank="1" showInputMessage="1" showErrorMessage="1" sqref="E4819">
      <formula1>0</formula1>
    </dataValidation>
    <dataValidation type="whole" operator="greaterThan" allowBlank="1" showInputMessage="1" showErrorMessage="1" sqref="A4820">
      <formula1>0</formula1>
    </dataValidation>
    <dataValidation type="list" allowBlank="1" showInputMessage="1" showErrorMessage="1" sqref="C4820">
      <formula1>UnidadesList</formula1>
    </dataValidation>
    <dataValidation type="decimal" operator="greaterThan" allowBlank="1" showInputMessage="1" showErrorMessage="1" sqref="D4820">
      <formula1>0</formula1>
    </dataValidation>
    <dataValidation type="decimal" operator="greaterThan" allowBlank="1" showInputMessage="1" showErrorMessage="1" sqref="E4820">
      <formula1>0</formula1>
    </dataValidation>
    <dataValidation type="whole" operator="greaterThan" allowBlank="1" showInputMessage="1" showErrorMessage="1" sqref="A4821">
      <formula1>0</formula1>
    </dataValidation>
    <dataValidation type="list" allowBlank="1" showInputMessage="1" showErrorMessage="1" sqref="C4821">
      <formula1>UnidadesList</formula1>
    </dataValidation>
    <dataValidation type="decimal" operator="greaterThan" allowBlank="1" showInputMessage="1" showErrorMessage="1" sqref="D4821">
      <formula1>0</formula1>
    </dataValidation>
    <dataValidation type="decimal" operator="greaterThan" allowBlank="1" showInputMessage="1" showErrorMessage="1" sqref="E4821">
      <formula1>0</formula1>
    </dataValidation>
    <dataValidation type="date" operator="lessThanOrEqual" allowBlank="1" showInputMessage="1" showErrorMessage="1" sqref="C4826">
      <formula1>C4828</formula1>
    </dataValidation>
    <dataValidation type="date" operator="greaterThanOrEqual" allowBlank="1" showInputMessage="1" showErrorMessage="1" sqref="C4828">
      <formula1>C4826</formula1>
    </dataValidation>
    <dataValidation type="list" allowBlank="1" showInputMessage="1" showErrorMessage="1" sqref="F482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2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2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2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32">
      <formula1>0</formula1>
    </dataValidation>
    <dataValidation type="list" allowBlank="1" showInputMessage="1" showErrorMessage="1" sqref="C4832">
      <formula1>UnidadesList</formula1>
    </dataValidation>
    <dataValidation type="decimal" operator="greaterThan" allowBlank="1" showInputMessage="1" showErrorMessage="1" sqref="D4832">
      <formula1>0</formula1>
    </dataValidation>
    <dataValidation type="decimal" operator="greaterThan" allowBlank="1" showInputMessage="1" showErrorMessage="1" sqref="E4832">
      <formula1>0</formula1>
    </dataValidation>
    <dataValidation type="whole" operator="greaterThan" allowBlank="1" showInputMessage="1" showErrorMessage="1" sqref="A4833">
      <formula1>0</formula1>
    </dataValidation>
    <dataValidation type="list" allowBlank="1" showInputMessage="1" showErrorMessage="1" sqref="C4833">
      <formula1>UnidadesList</formula1>
    </dataValidation>
    <dataValidation type="decimal" operator="greaterThan" allowBlank="1" showInputMessage="1" showErrorMessage="1" sqref="D4833">
      <formula1>0</formula1>
    </dataValidation>
    <dataValidation type="decimal" operator="greaterThan" allowBlank="1" showInputMessage="1" showErrorMessage="1" sqref="E4833">
      <formula1>0</formula1>
    </dataValidation>
    <dataValidation type="whole" operator="greaterThan" allowBlank="1" showInputMessage="1" showErrorMessage="1" sqref="A4834">
      <formula1>0</formula1>
    </dataValidation>
    <dataValidation type="list" allowBlank="1" showInputMessage="1" showErrorMessage="1" sqref="C4834">
      <formula1>UnidadesList</formula1>
    </dataValidation>
    <dataValidation type="decimal" operator="greaterThan" allowBlank="1" showInputMessage="1" showErrorMessage="1" sqref="D4834">
      <formula1>0</formula1>
    </dataValidation>
    <dataValidation type="decimal" operator="greaterThan" allowBlank="1" showInputMessage="1" showErrorMessage="1" sqref="E4834">
      <formula1>0</formula1>
    </dataValidation>
    <dataValidation type="whole" operator="greaterThan" allowBlank="1" showInputMessage="1" showErrorMessage="1" sqref="A4835">
      <formula1>0</formula1>
    </dataValidation>
    <dataValidation type="list" allowBlank="1" showInputMessage="1" showErrorMessage="1" sqref="C4835">
      <formula1>UnidadesList</formula1>
    </dataValidation>
    <dataValidation type="decimal" operator="greaterThan" allowBlank="1" showInputMessage="1" showErrorMessage="1" sqref="D4835">
      <formula1>0</formula1>
    </dataValidation>
    <dataValidation type="decimal" operator="greaterThan" allowBlank="1" showInputMessage="1" showErrorMessage="1" sqref="E4835">
      <formula1>0</formula1>
    </dataValidation>
    <dataValidation type="whole" operator="greaterThan" allowBlank="1" showInputMessage="1" showErrorMessage="1" sqref="A4836">
      <formula1>0</formula1>
    </dataValidation>
    <dataValidation type="list" allowBlank="1" showInputMessage="1" showErrorMessage="1" sqref="C4836">
      <formula1>UnidadesList</formula1>
    </dataValidation>
    <dataValidation type="decimal" operator="greaterThan" allowBlank="1" showInputMessage="1" showErrorMessage="1" sqref="D4836">
      <formula1>0</formula1>
    </dataValidation>
    <dataValidation type="decimal" operator="greaterThan" allowBlank="1" showInputMessage="1" showErrorMessage="1" sqref="E4836">
      <formula1>0</formula1>
    </dataValidation>
    <dataValidation type="whole" operator="greaterThan" allowBlank="1" showInputMessage="1" showErrorMessage="1" sqref="A4837">
      <formula1>0</formula1>
    </dataValidation>
    <dataValidation type="list" allowBlank="1" showInputMessage="1" showErrorMessage="1" sqref="C4837">
      <formula1>UnidadesList</formula1>
    </dataValidation>
    <dataValidation type="decimal" operator="greaterThan" allowBlank="1" showInputMessage="1" showErrorMessage="1" sqref="D4837">
      <formula1>0</formula1>
    </dataValidation>
    <dataValidation type="decimal" operator="greaterThan" allowBlank="1" showInputMessage="1" showErrorMessage="1" sqref="E4837">
      <formula1>0</formula1>
    </dataValidation>
    <dataValidation type="whole" operator="greaterThan" allowBlank="1" showInputMessage="1" showErrorMessage="1" sqref="A4838">
      <formula1>0</formula1>
    </dataValidation>
    <dataValidation type="list" allowBlank="1" showInputMessage="1" showErrorMessage="1" sqref="C4838">
      <formula1>UnidadesList</formula1>
    </dataValidation>
    <dataValidation type="decimal" operator="greaterThan" allowBlank="1" showInputMessage="1" showErrorMessage="1" sqref="D4838">
      <formula1>0</formula1>
    </dataValidation>
    <dataValidation type="decimal" operator="greaterThan" allowBlank="1" showInputMessage="1" showErrorMessage="1" sqref="E4838">
      <formula1>0</formula1>
    </dataValidation>
    <dataValidation type="whole" operator="greaterThan" allowBlank="1" showInputMessage="1" showErrorMessage="1" sqref="A4839">
      <formula1>0</formula1>
    </dataValidation>
    <dataValidation type="list" allowBlank="1" showInputMessage="1" showErrorMessage="1" sqref="C4839">
      <formula1>UnidadesList</formula1>
    </dataValidation>
    <dataValidation type="decimal" operator="greaterThan" allowBlank="1" showInputMessage="1" showErrorMessage="1" sqref="D4839">
      <formula1>0</formula1>
    </dataValidation>
    <dataValidation type="decimal" operator="greaterThan" allowBlank="1" showInputMessage="1" showErrorMessage="1" sqref="E4839">
      <formula1>0</formula1>
    </dataValidation>
    <dataValidation type="whole" operator="greaterThan" allowBlank="1" showInputMessage="1" showErrorMessage="1" sqref="A4840">
      <formula1>0</formula1>
    </dataValidation>
    <dataValidation type="list" allowBlank="1" showInputMessage="1" showErrorMessage="1" sqref="C4840">
      <formula1>UnidadesList</formula1>
    </dataValidation>
    <dataValidation type="decimal" operator="greaterThan" allowBlank="1" showInputMessage="1" showErrorMessage="1" sqref="D4840">
      <formula1>0</formula1>
    </dataValidation>
    <dataValidation type="decimal" operator="greaterThan" allowBlank="1" showInputMessage="1" showErrorMessage="1" sqref="E4840">
      <formula1>0</formula1>
    </dataValidation>
    <dataValidation type="whole" operator="greaterThan" allowBlank="1" showInputMessage="1" showErrorMessage="1" sqref="A4841">
      <formula1>0</formula1>
    </dataValidation>
    <dataValidation type="list" allowBlank="1" showInputMessage="1" showErrorMessage="1" sqref="C4841">
      <formula1>UnidadesList</formula1>
    </dataValidation>
    <dataValidation type="decimal" operator="greaterThan" allowBlank="1" showInputMessage="1" showErrorMessage="1" sqref="D4841">
      <formula1>0</formula1>
    </dataValidation>
    <dataValidation type="decimal" operator="greaterThan" allowBlank="1" showInputMessage="1" showErrorMessage="1" sqref="E4841">
      <formula1>0</formula1>
    </dataValidation>
    <dataValidation type="whole" operator="greaterThan" allowBlank="1" showInputMessage="1" showErrorMessage="1" sqref="A4842">
      <formula1>0</formula1>
    </dataValidation>
    <dataValidation type="list" allowBlank="1" showInputMessage="1" showErrorMessage="1" sqref="C4842">
      <formula1>UnidadesList</formula1>
    </dataValidation>
    <dataValidation type="decimal" operator="greaterThan" allowBlank="1" showInputMessage="1" showErrorMessage="1" sqref="D4842">
      <formula1>0</formula1>
    </dataValidation>
    <dataValidation type="decimal" operator="greaterThan" allowBlank="1" showInputMessage="1" showErrorMessage="1" sqref="E4842">
      <formula1>0</formula1>
    </dataValidation>
    <dataValidation type="date" operator="lessThanOrEqual" allowBlank="1" showInputMessage="1" showErrorMessage="1" sqref="C4847">
      <formula1>C4849</formula1>
    </dataValidation>
    <dataValidation type="date" operator="greaterThanOrEqual" allowBlank="1" showInputMessage="1" showErrorMessage="1" sqref="C4849">
      <formula1>C4847</formula1>
    </dataValidation>
    <dataValidation type="list" allowBlank="1" showInputMessage="1" showErrorMessage="1" sqref="F484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4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84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85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853">
      <formula1>0</formula1>
    </dataValidation>
    <dataValidation type="list" allowBlank="1" showInputMessage="1" showErrorMessage="1" sqref="C4853">
      <formula1>UnidadesList</formula1>
    </dataValidation>
    <dataValidation type="decimal" operator="greaterThan" allowBlank="1" showInputMessage="1" showErrorMessage="1" sqref="D4853">
      <formula1>0</formula1>
    </dataValidation>
    <dataValidation type="decimal" operator="greaterThan" allowBlank="1" showInputMessage="1" showErrorMessage="1" sqref="E4853">
      <formula1>0</formula1>
    </dataValidation>
    <dataValidation type="whole" operator="greaterThan" allowBlank="1" showInputMessage="1" showErrorMessage="1" sqref="A4854">
      <formula1>0</formula1>
    </dataValidation>
    <dataValidation type="list" allowBlank="1" showInputMessage="1" showErrorMessage="1" sqref="C4854">
      <formula1>UnidadesList</formula1>
    </dataValidation>
    <dataValidation type="decimal" operator="greaterThan" allowBlank="1" showInputMessage="1" showErrorMessage="1" sqref="D4854">
      <formula1>0</formula1>
    </dataValidation>
    <dataValidation type="decimal" operator="greaterThan" allowBlank="1" showInputMessage="1" showErrorMessage="1" sqref="E4854">
      <formula1>0</formula1>
    </dataValidation>
    <dataValidation type="whole" operator="greaterThan" allowBlank="1" showInputMessage="1" showErrorMessage="1" sqref="A4855">
      <formula1>0</formula1>
    </dataValidation>
    <dataValidation type="list" allowBlank="1" showInputMessage="1" showErrorMessage="1" sqref="C4855">
      <formula1>UnidadesList</formula1>
    </dataValidation>
    <dataValidation type="decimal" operator="greaterThan" allowBlank="1" showInputMessage="1" showErrorMessage="1" sqref="D4855">
      <formula1>0</formula1>
    </dataValidation>
    <dataValidation type="decimal" operator="greaterThan" allowBlank="1" showInputMessage="1" showErrorMessage="1" sqref="E4855">
      <formula1>0</formula1>
    </dataValidation>
    <dataValidation type="whole" operator="greaterThan" allowBlank="1" showInputMessage="1" showErrorMessage="1" sqref="A4856">
      <formula1>0</formula1>
    </dataValidation>
    <dataValidation type="list" allowBlank="1" showInputMessage="1" showErrorMessage="1" sqref="C4856">
      <formula1>UnidadesList</formula1>
    </dataValidation>
    <dataValidation type="decimal" operator="greaterThan" allowBlank="1" showInputMessage="1" showErrorMessage="1" sqref="D4856">
      <formula1>0</formula1>
    </dataValidation>
    <dataValidation type="decimal" operator="greaterThan" allowBlank="1" showInputMessage="1" showErrorMessage="1" sqref="E4856">
      <formula1>0</formula1>
    </dataValidation>
    <dataValidation type="whole" operator="greaterThan" allowBlank="1" showInputMessage="1" showErrorMessage="1" sqref="A4857">
      <formula1>0</formula1>
    </dataValidation>
    <dataValidation type="list" allowBlank="1" showInputMessage="1" showErrorMessage="1" sqref="C4857">
      <formula1>UnidadesList</formula1>
    </dataValidation>
    <dataValidation type="decimal" operator="greaterThan" allowBlank="1" showInputMessage="1" showErrorMessage="1" sqref="D4857">
      <formula1>0</formula1>
    </dataValidation>
    <dataValidation type="decimal" operator="greaterThan" allowBlank="1" showInputMessage="1" showErrorMessage="1" sqref="E4857">
      <formula1>0</formula1>
    </dataValidation>
    <dataValidation type="whole" operator="greaterThan" allowBlank="1" showInputMessage="1" showErrorMessage="1" sqref="A4858">
      <formula1>0</formula1>
    </dataValidation>
    <dataValidation type="list" allowBlank="1" showInputMessage="1" showErrorMessage="1" sqref="C4858">
      <formula1>UnidadesList</formula1>
    </dataValidation>
    <dataValidation type="decimal" operator="greaterThan" allowBlank="1" showInputMessage="1" showErrorMessage="1" sqref="D4858">
      <formula1>0</formula1>
    </dataValidation>
    <dataValidation type="decimal" operator="greaterThan" allowBlank="1" showInputMessage="1" showErrorMessage="1" sqref="E4858">
      <formula1>0</formula1>
    </dataValidation>
    <dataValidation type="whole" operator="greaterThan" allowBlank="1" showInputMessage="1" showErrorMessage="1" sqref="A4859">
      <formula1>0</formula1>
    </dataValidation>
    <dataValidation type="list" allowBlank="1" showInputMessage="1" showErrorMessage="1" sqref="C4859">
      <formula1>UnidadesList</formula1>
    </dataValidation>
    <dataValidation type="decimal" operator="greaterThan" allowBlank="1" showInputMessage="1" showErrorMessage="1" sqref="D4859">
      <formula1>0</formula1>
    </dataValidation>
    <dataValidation type="decimal" operator="greaterThan" allowBlank="1" showInputMessage="1" showErrorMessage="1" sqref="E4859">
      <formula1>0</formula1>
    </dataValidation>
    <dataValidation type="whole" operator="greaterThan" allowBlank="1" showInputMessage="1" showErrorMessage="1" sqref="A4860">
      <formula1>0</formula1>
    </dataValidation>
    <dataValidation type="list" allowBlank="1" showInputMessage="1" showErrorMessage="1" sqref="C4860">
      <formula1>UnidadesList</formula1>
    </dataValidation>
    <dataValidation type="decimal" operator="greaterThan" allowBlank="1" showInputMessage="1" showErrorMessage="1" sqref="D4860">
      <formula1>0</formula1>
    </dataValidation>
    <dataValidation type="decimal" operator="greaterThan" allowBlank="1" showInputMessage="1" showErrorMessage="1" sqref="E4860">
      <formula1>0</formula1>
    </dataValidation>
    <dataValidation type="whole" operator="greaterThan" allowBlank="1" showInputMessage="1" showErrorMessage="1" sqref="A4861">
      <formula1>0</formula1>
    </dataValidation>
    <dataValidation type="list" allowBlank="1" showInputMessage="1" showErrorMessage="1" sqref="C4861">
      <formula1>UnidadesList</formula1>
    </dataValidation>
    <dataValidation type="decimal" operator="greaterThan" allowBlank="1" showInputMessage="1" showErrorMessage="1" sqref="D4861">
      <formula1>0</formula1>
    </dataValidation>
    <dataValidation type="decimal" operator="greaterThan" allowBlank="1" showInputMessage="1" showErrorMessage="1" sqref="E4861">
      <formula1>0</formula1>
    </dataValidation>
    <dataValidation type="whole" operator="greaterThan" allowBlank="1" showInputMessage="1" showErrorMessage="1" sqref="A4862">
      <formula1>0</formula1>
    </dataValidation>
    <dataValidation type="list" allowBlank="1" showInputMessage="1" showErrorMessage="1" sqref="C4862">
      <formula1>UnidadesList</formula1>
    </dataValidation>
    <dataValidation type="decimal" operator="greaterThan" allowBlank="1" showInputMessage="1" showErrorMessage="1" sqref="D4862">
      <formula1>0</formula1>
    </dataValidation>
    <dataValidation type="decimal" operator="greaterThan" allowBlank="1" showInputMessage="1" showErrorMessage="1" sqref="E4862">
      <formula1>0</formula1>
    </dataValidation>
    <dataValidation type="whole" operator="greaterThan" allowBlank="1" showInputMessage="1" showErrorMessage="1" sqref="A4863">
      <formula1>0</formula1>
    </dataValidation>
    <dataValidation type="list" allowBlank="1" showInputMessage="1" showErrorMessage="1" sqref="C4863">
      <formula1>UnidadesList</formula1>
    </dataValidation>
    <dataValidation type="decimal" operator="greaterThan" allowBlank="1" showInputMessage="1" showErrorMessage="1" sqref="D4863">
      <formula1>0</formula1>
    </dataValidation>
    <dataValidation type="decimal" operator="greaterThan" allowBlank="1" showInputMessage="1" showErrorMessage="1" sqref="E4863">
      <formula1>0</formula1>
    </dataValidation>
    <dataValidation type="whole" operator="greaterThan" allowBlank="1" showInputMessage="1" showErrorMessage="1" sqref="A4864">
      <formula1>0</formula1>
    </dataValidation>
    <dataValidation type="list" allowBlank="1" showInputMessage="1" showErrorMessage="1" sqref="C4864">
      <formula1>UnidadesList</formula1>
    </dataValidation>
    <dataValidation type="decimal" operator="greaterThan" allowBlank="1" showInputMessage="1" showErrorMessage="1" sqref="D4864">
      <formula1>0</formula1>
    </dataValidation>
    <dataValidation type="decimal" operator="greaterThan" allowBlank="1" showInputMessage="1" showErrorMessage="1" sqref="E4864">
      <formula1>0</formula1>
    </dataValidation>
    <dataValidation type="whole" operator="greaterThan" allowBlank="1" showInputMessage="1" showErrorMessage="1" sqref="A4865">
      <formula1>0</formula1>
    </dataValidation>
    <dataValidation type="list" allowBlank="1" showInputMessage="1" showErrorMessage="1" sqref="C4865">
      <formula1>UnidadesList</formula1>
    </dataValidation>
    <dataValidation type="decimal" operator="greaterThan" allowBlank="1" showInputMessage="1" showErrorMessage="1" sqref="D4865">
      <formula1>0</formula1>
    </dataValidation>
    <dataValidation type="decimal" operator="greaterThan" allowBlank="1" showInputMessage="1" showErrorMessage="1" sqref="E4865">
      <formula1>0</formula1>
    </dataValidation>
    <dataValidation type="whole" operator="greaterThan" allowBlank="1" showInputMessage="1" showErrorMessage="1" sqref="A4866">
      <formula1>0</formula1>
    </dataValidation>
    <dataValidation type="list" allowBlank="1" showInputMessage="1" showErrorMessage="1" sqref="C4866">
      <formula1>UnidadesList</formula1>
    </dataValidation>
    <dataValidation type="decimal" operator="greaterThan" allowBlank="1" showInputMessage="1" showErrorMessage="1" sqref="D4866">
      <formula1>0</formula1>
    </dataValidation>
    <dataValidation type="decimal" operator="greaterThan" allowBlank="1" showInputMessage="1" showErrorMessage="1" sqref="E4866">
      <formula1>0</formula1>
    </dataValidation>
    <dataValidation type="whole" operator="greaterThan" allowBlank="1" showInputMessage="1" showErrorMessage="1" sqref="A4867">
      <formula1>0</formula1>
    </dataValidation>
    <dataValidation type="list" allowBlank="1" showInputMessage="1" showErrorMessage="1" sqref="C4867">
      <formula1>UnidadesList</formula1>
    </dataValidation>
    <dataValidation type="decimal" operator="greaterThan" allowBlank="1" showInputMessage="1" showErrorMessage="1" sqref="D4867">
      <formula1>0</formula1>
    </dataValidation>
    <dataValidation type="decimal" operator="greaterThan" allowBlank="1" showInputMessage="1" showErrorMessage="1" sqref="E4867">
      <formula1>0</formula1>
    </dataValidation>
    <dataValidation type="whole" operator="greaterThan" allowBlank="1" showInputMessage="1" showErrorMessage="1" sqref="A4868">
      <formula1>0</formula1>
    </dataValidation>
    <dataValidation type="list" allowBlank="1" showInputMessage="1" showErrorMessage="1" sqref="C4868">
      <formula1>UnidadesList</formula1>
    </dataValidation>
    <dataValidation type="decimal" operator="greaterThan" allowBlank="1" showInputMessage="1" showErrorMessage="1" sqref="D4868">
      <formula1>0</formula1>
    </dataValidation>
    <dataValidation type="decimal" operator="greaterThan" allowBlank="1" showInputMessage="1" showErrorMessage="1" sqref="E4868">
      <formula1>0</formula1>
    </dataValidation>
    <dataValidation type="whole" operator="greaterThan" allowBlank="1" showInputMessage="1" showErrorMessage="1" sqref="A4869">
      <formula1>0</formula1>
    </dataValidation>
    <dataValidation type="list" allowBlank="1" showInputMessage="1" showErrorMessage="1" sqref="C4869">
      <formula1>UnidadesList</formula1>
    </dataValidation>
    <dataValidation type="decimal" operator="greaterThan" allowBlank="1" showInputMessage="1" showErrorMessage="1" sqref="D4869">
      <formula1>0</formula1>
    </dataValidation>
    <dataValidation type="decimal" operator="greaterThan" allowBlank="1" showInputMessage="1" showErrorMessage="1" sqref="E4869">
      <formula1>0</formula1>
    </dataValidation>
    <dataValidation type="whole" operator="greaterThan" allowBlank="1" showInputMessage="1" showErrorMessage="1" sqref="A4870">
      <formula1>0</formula1>
    </dataValidation>
    <dataValidation type="list" allowBlank="1" showInputMessage="1" showErrorMessage="1" sqref="C4870">
      <formula1>UnidadesList</formula1>
    </dataValidation>
    <dataValidation type="decimal" operator="greaterThan" allowBlank="1" showInputMessage="1" showErrorMessage="1" sqref="D4870">
      <formula1>0</formula1>
    </dataValidation>
    <dataValidation type="decimal" operator="greaterThan" allowBlank="1" showInputMessage="1" showErrorMessage="1" sqref="E4870">
      <formula1>0</formula1>
    </dataValidation>
    <dataValidation type="whole" operator="greaterThan" allowBlank="1" showInputMessage="1" showErrorMessage="1" sqref="A4871">
      <formula1>0</formula1>
    </dataValidation>
    <dataValidation type="list" allowBlank="1" showInputMessage="1" showErrorMessage="1" sqref="C4871">
      <formula1>UnidadesList</formula1>
    </dataValidation>
    <dataValidation type="decimal" operator="greaterThan" allowBlank="1" showInputMessage="1" showErrorMessage="1" sqref="D4871">
      <formula1>0</formula1>
    </dataValidation>
    <dataValidation type="decimal" operator="greaterThan" allowBlank="1" showInputMessage="1" showErrorMessage="1" sqref="E4871">
      <formula1>0</formula1>
    </dataValidation>
    <dataValidation type="whole" operator="greaterThan" allowBlank="1" showInputMessage="1" showErrorMessage="1" sqref="A4872">
      <formula1>0</formula1>
    </dataValidation>
    <dataValidation type="list" allowBlank="1" showInputMessage="1" showErrorMessage="1" sqref="C4872">
      <formula1>UnidadesList</formula1>
    </dataValidation>
    <dataValidation type="decimal" operator="greaterThan" allowBlank="1" showInputMessage="1" showErrorMessage="1" sqref="D4872">
      <formula1>0</formula1>
    </dataValidation>
    <dataValidation type="decimal" operator="greaterThan" allowBlank="1" showInputMessage="1" showErrorMessage="1" sqref="E4872">
      <formula1>0</formula1>
    </dataValidation>
    <dataValidation type="whole" operator="greaterThan" allowBlank="1" showInputMessage="1" showErrorMessage="1" sqref="A4873">
      <formula1>0</formula1>
    </dataValidation>
    <dataValidation type="list" allowBlank="1" showInputMessage="1" showErrorMessage="1" sqref="C4873">
      <formula1>UnidadesList</formula1>
    </dataValidation>
    <dataValidation type="decimal" operator="greaterThan" allowBlank="1" showInputMessage="1" showErrorMessage="1" sqref="D4873">
      <formula1>0</formula1>
    </dataValidation>
    <dataValidation type="decimal" operator="greaterThan" allowBlank="1" showInputMessage="1" showErrorMessage="1" sqref="E4873">
      <formula1>0</formula1>
    </dataValidation>
    <dataValidation type="whole" operator="greaterThan" allowBlank="1" showInputMessage="1" showErrorMessage="1" sqref="A4874">
      <formula1>0</formula1>
    </dataValidation>
    <dataValidation type="list" allowBlank="1" showInputMessage="1" showErrorMessage="1" sqref="C4874">
      <formula1>UnidadesList</formula1>
    </dataValidation>
    <dataValidation type="decimal" operator="greaterThan" allowBlank="1" showInputMessage="1" showErrorMessage="1" sqref="D4874">
      <formula1>0</formula1>
    </dataValidation>
    <dataValidation type="decimal" operator="greaterThan" allowBlank="1" showInputMessage="1" showErrorMessage="1" sqref="E4874">
      <formula1>0</formula1>
    </dataValidation>
    <dataValidation type="whole" operator="greaterThan" allowBlank="1" showInputMessage="1" showErrorMessage="1" sqref="A4875">
      <formula1>0</formula1>
    </dataValidation>
    <dataValidation type="list" allowBlank="1" showInputMessage="1" showErrorMessage="1" sqref="C4875">
      <formula1>UnidadesList</formula1>
    </dataValidation>
    <dataValidation type="decimal" operator="greaterThan" allowBlank="1" showInputMessage="1" showErrorMessage="1" sqref="D4875">
      <formula1>0</formula1>
    </dataValidation>
    <dataValidation type="decimal" operator="greaterThan" allowBlank="1" showInputMessage="1" showErrorMessage="1" sqref="E4875">
      <formula1>0</formula1>
    </dataValidation>
    <dataValidation type="whole" operator="greaterThan" allowBlank="1" showInputMessage="1" showErrorMessage="1" sqref="A4876">
      <formula1>0</formula1>
    </dataValidation>
    <dataValidation type="list" allowBlank="1" showInputMessage="1" showErrorMessage="1" sqref="C4876">
      <formula1>UnidadesList</formula1>
    </dataValidation>
    <dataValidation type="decimal" operator="greaterThan" allowBlank="1" showInputMessage="1" showErrorMessage="1" sqref="D4876">
      <formula1>0</formula1>
    </dataValidation>
    <dataValidation type="decimal" operator="greaterThan" allowBlank="1" showInputMessage="1" showErrorMessage="1" sqref="E4876">
      <formula1>0</formula1>
    </dataValidation>
    <dataValidation type="whole" operator="greaterThan" allowBlank="1" showInputMessage="1" showErrorMessage="1" sqref="A4877">
      <formula1>0</formula1>
    </dataValidation>
    <dataValidation type="list" allowBlank="1" showInputMessage="1" showErrorMessage="1" sqref="C4877">
      <formula1>UnidadesList</formula1>
    </dataValidation>
    <dataValidation type="decimal" operator="greaterThan" allowBlank="1" showInputMessage="1" showErrorMessage="1" sqref="D4877">
      <formula1>0</formula1>
    </dataValidation>
    <dataValidation type="decimal" operator="greaterThan" allowBlank="1" showInputMessage="1" showErrorMessage="1" sqref="E4877">
      <formula1>0</formula1>
    </dataValidation>
    <dataValidation type="whole" operator="greaterThan" allowBlank="1" showInputMessage="1" showErrorMessage="1" sqref="A4878">
      <formula1>0</formula1>
    </dataValidation>
    <dataValidation type="list" allowBlank="1" showInputMessage="1" showErrorMessage="1" sqref="C4878">
      <formula1>UnidadesList</formula1>
    </dataValidation>
    <dataValidation type="decimal" operator="greaterThan" allowBlank="1" showInputMessage="1" showErrorMessage="1" sqref="D4878">
      <formula1>0</formula1>
    </dataValidation>
    <dataValidation type="decimal" operator="greaterThan" allowBlank="1" showInputMessage="1" showErrorMessage="1" sqref="E4878">
      <formula1>0</formula1>
    </dataValidation>
    <dataValidation type="whole" operator="greaterThan" allowBlank="1" showInputMessage="1" showErrorMessage="1" sqref="A4879">
      <formula1>0</formula1>
    </dataValidation>
    <dataValidation type="list" allowBlank="1" showInputMessage="1" showErrorMessage="1" sqref="C4879">
      <formula1>UnidadesList</formula1>
    </dataValidation>
    <dataValidation type="decimal" operator="greaterThan" allowBlank="1" showInputMessage="1" showErrorMessage="1" sqref="D4879">
      <formula1>0</formula1>
    </dataValidation>
    <dataValidation type="decimal" operator="greaterThan" allowBlank="1" showInputMessage="1" showErrorMessage="1" sqref="E4879">
      <formula1>0</formula1>
    </dataValidation>
    <dataValidation type="whole" operator="greaterThan" allowBlank="1" showInputMessage="1" showErrorMessage="1" sqref="A4880">
      <formula1>0</formula1>
    </dataValidation>
    <dataValidation type="list" allowBlank="1" showInputMessage="1" showErrorMessage="1" sqref="C4880">
      <formula1>UnidadesList</formula1>
    </dataValidation>
    <dataValidation type="decimal" operator="greaterThan" allowBlank="1" showInputMessage="1" showErrorMessage="1" sqref="D4880">
      <formula1>0</formula1>
    </dataValidation>
    <dataValidation type="decimal" operator="greaterThan" allowBlank="1" showInputMessage="1" showErrorMessage="1" sqref="E4880">
      <formula1>0</formula1>
    </dataValidation>
    <dataValidation type="whole" operator="greaterThan" allowBlank="1" showInputMessage="1" showErrorMessage="1" sqref="A4881">
      <formula1>0</formula1>
    </dataValidation>
    <dataValidation type="list" allowBlank="1" showInputMessage="1" showErrorMessage="1" sqref="C4881">
      <formula1>UnidadesList</formula1>
    </dataValidation>
    <dataValidation type="decimal" operator="greaterThan" allowBlank="1" showInputMessage="1" showErrorMessage="1" sqref="D4881">
      <formula1>0</formula1>
    </dataValidation>
    <dataValidation type="decimal" operator="greaterThan" allowBlank="1" showInputMessage="1" showErrorMessage="1" sqref="E4881">
      <formula1>0</formula1>
    </dataValidation>
    <dataValidation type="whole" operator="greaterThan" allowBlank="1" showInputMessage="1" showErrorMessage="1" sqref="A4882">
      <formula1>0</formula1>
    </dataValidation>
    <dataValidation type="list" allowBlank="1" showInputMessage="1" showErrorMessage="1" sqref="C4882">
      <formula1>UnidadesList</formula1>
    </dataValidation>
    <dataValidation type="decimal" operator="greaterThan" allowBlank="1" showInputMessage="1" showErrorMessage="1" sqref="D4882">
      <formula1>0</formula1>
    </dataValidation>
    <dataValidation type="decimal" operator="greaterThan" allowBlank="1" showInputMessage="1" showErrorMessage="1" sqref="E4882">
      <formula1>0</formula1>
    </dataValidation>
    <dataValidation type="whole" operator="greaterThan" allowBlank="1" showInputMessage="1" showErrorMessage="1" sqref="A4883">
      <formula1>0</formula1>
    </dataValidation>
    <dataValidation type="list" allowBlank="1" showInputMessage="1" showErrorMessage="1" sqref="C4883">
      <formula1>UnidadesList</formula1>
    </dataValidation>
    <dataValidation type="decimal" operator="greaterThan" allowBlank="1" showInputMessage="1" showErrorMessage="1" sqref="D4883">
      <formula1>0</formula1>
    </dataValidation>
    <dataValidation type="decimal" operator="greaterThan" allowBlank="1" showInputMessage="1" showErrorMessage="1" sqref="E4883">
      <formula1>0</formula1>
    </dataValidation>
    <dataValidation type="whole" operator="greaterThan" allowBlank="1" showInputMessage="1" showErrorMessage="1" sqref="A4884">
      <formula1>0</formula1>
    </dataValidation>
    <dataValidation type="list" allowBlank="1" showInputMessage="1" showErrorMessage="1" sqref="C4884">
      <formula1>UnidadesList</formula1>
    </dataValidation>
    <dataValidation type="decimal" operator="greaterThan" allowBlank="1" showInputMessage="1" showErrorMessage="1" sqref="D4884">
      <formula1>0</formula1>
    </dataValidation>
    <dataValidation type="decimal" operator="greaterThan" allowBlank="1" showInputMessage="1" showErrorMessage="1" sqref="E4884">
      <formula1>0</formula1>
    </dataValidation>
    <dataValidation type="whole" operator="greaterThan" allowBlank="1" showInputMessage="1" showErrorMessage="1" sqref="A4885">
      <formula1>0</formula1>
    </dataValidation>
    <dataValidation type="list" allowBlank="1" showInputMessage="1" showErrorMessage="1" sqref="C4885">
      <formula1>UnidadesList</formula1>
    </dataValidation>
    <dataValidation type="decimal" operator="greaterThan" allowBlank="1" showInputMessage="1" showErrorMessage="1" sqref="D4885">
      <formula1>0</formula1>
    </dataValidation>
    <dataValidation type="decimal" operator="greaterThan" allowBlank="1" showInputMessage="1" showErrorMessage="1" sqref="E4885">
      <formula1>0</formula1>
    </dataValidation>
    <dataValidation type="whole" operator="greaterThan" allowBlank="1" showInputMessage="1" showErrorMessage="1" sqref="A4886">
      <formula1>0</formula1>
    </dataValidation>
    <dataValidation type="list" allowBlank="1" showInputMessage="1" showErrorMessage="1" sqref="C4886">
      <formula1>UnidadesList</formula1>
    </dataValidation>
    <dataValidation type="decimal" operator="greaterThan" allowBlank="1" showInputMessage="1" showErrorMessage="1" sqref="D4886">
      <formula1>0</formula1>
    </dataValidation>
    <dataValidation type="decimal" operator="greaterThan" allowBlank="1" showInputMessage="1" showErrorMessage="1" sqref="E4886">
      <formula1>0</formula1>
    </dataValidation>
    <dataValidation type="whole" operator="greaterThan" allowBlank="1" showInputMessage="1" showErrorMessage="1" sqref="A4887">
      <formula1>0</formula1>
    </dataValidation>
    <dataValidation type="list" allowBlank="1" showInputMessage="1" showErrorMessage="1" sqref="C4887">
      <formula1>UnidadesList</formula1>
    </dataValidation>
    <dataValidation type="decimal" operator="greaterThan" allowBlank="1" showInputMessage="1" showErrorMessage="1" sqref="D4887">
      <formula1>0</formula1>
    </dataValidation>
    <dataValidation type="decimal" operator="greaterThan" allowBlank="1" showInputMessage="1" showErrorMessage="1" sqref="E4887">
      <formula1>0</formula1>
    </dataValidation>
    <dataValidation type="whole" operator="greaterThan" allowBlank="1" showInputMessage="1" showErrorMessage="1" sqref="A4888">
      <formula1>0</formula1>
    </dataValidation>
    <dataValidation type="list" allowBlank="1" showInputMessage="1" showErrorMessage="1" sqref="C4888">
      <formula1>UnidadesList</formula1>
    </dataValidation>
    <dataValidation type="decimal" operator="greaterThan" allowBlank="1" showInputMessage="1" showErrorMessage="1" sqref="D4888">
      <formula1>0</formula1>
    </dataValidation>
    <dataValidation type="decimal" operator="greaterThan" allowBlank="1" showInputMessage="1" showErrorMessage="1" sqref="E4888">
      <formula1>0</formula1>
    </dataValidation>
    <dataValidation type="whole" operator="greaterThan" allowBlank="1" showInputMessage="1" showErrorMessage="1" sqref="A4889">
      <formula1>0</formula1>
    </dataValidation>
    <dataValidation type="list" allowBlank="1" showInputMessage="1" showErrorMessage="1" sqref="C4889">
      <formula1>UnidadesList</formula1>
    </dataValidation>
    <dataValidation type="decimal" operator="greaterThan" allowBlank="1" showInputMessage="1" showErrorMessage="1" sqref="D4889">
      <formula1>0</formula1>
    </dataValidation>
    <dataValidation type="decimal" operator="greaterThan" allowBlank="1" showInputMessage="1" showErrorMessage="1" sqref="E4889">
      <formula1>0</formula1>
    </dataValidation>
    <dataValidation type="whole" operator="greaterThan" allowBlank="1" showInputMessage="1" showErrorMessage="1" sqref="A4890">
      <formula1>0</formula1>
    </dataValidation>
    <dataValidation type="list" allowBlank="1" showInputMessage="1" showErrorMessage="1" sqref="C4890">
      <formula1>UnidadesList</formula1>
    </dataValidation>
    <dataValidation type="decimal" operator="greaterThan" allowBlank="1" showInputMessage="1" showErrorMessage="1" sqref="D4890">
      <formula1>0</formula1>
    </dataValidation>
    <dataValidation type="decimal" operator="greaterThan" allowBlank="1" showInputMessage="1" showErrorMessage="1" sqref="E4890">
      <formula1>0</formula1>
    </dataValidation>
    <dataValidation type="whole" operator="greaterThan" allowBlank="1" showInputMessage="1" showErrorMessage="1" sqref="A4891">
      <formula1>0</formula1>
    </dataValidation>
    <dataValidation type="list" allowBlank="1" showInputMessage="1" showErrorMessage="1" sqref="C4891">
      <formula1>UnidadesList</formula1>
    </dataValidation>
    <dataValidation type="decimal" operator="greaterThan" allowBlank="1" showInputMessage="1" showErrorMessage="1" sqref="D4891">
      <formula1>0</formula1>
    </dataValidation>
    <dataValidation type="decimal" operator="greaterThan" allowBlank="1" showInputMessage="1" showErrorMessage="1" sqref="E4891">
      <formula1>0</formula1>
    </dataValidation>
    <dataValidation type="whole" operator="greaterThan" allowBlank="1" showInputMessage="1" showErrorMessage="1" sqref="A4892">
      <formula1>0</formula1>
    </dataValidation>
    <dataValidation type="list" allowBlank="1" showInputMessage="1" showErrorMessage="1" sqref="C4892">
      <formula1>UnidadesList</formula1>
    </dataValidation>
    <dataValidation type="decimal" operator="greaterThan" allowBlank="1" showInputMessage="1" showErrorMessage="1" sqref="D4892">
      <formula1>0</formula1>
    </dataValidation>
    <dataValidation type="decimal" operator="greaterThan" allowBlank="1" showInputMessage="1" showErrorMessage="1" sqref="E4892">
      <formula1>0</formula1>
    </dataValidation>
    <dataValidation type="whole" operator="greaterThan" allowBlank="1" showInputMessage="1" showErrorMessage="1" sqref="A4893">
      <formula1>0</formula1>
    </dataValidation>
    <dataValidation type="list" allowBlank="1" showInputMessage="1" showErrorMessage="1" sqref="C4893">
      <formula1>UnidadesList</formula1>
    </dataValidation>
    <dataValidation type="decimal" operator="greaterThan" allowBlank="1" showInputMessage="1" showErrorMessage="1" sqref="D4893">
      <formula1>0</formula1>
    </dataValidation>
    <dataValidation type="decimal" operator="greaterThan" allowBlank="1" showInputMessage="1" showErrorMessage="1" sqref="E4893">
      <formula1>0</formula1>
    </dataValidation>
    <dataValidation type="whole" operator="greaterThan" allowBlank="1" showInputMessage="1" showErrorMessage="1" sqref="A4894">
      <formula1>0</formula1>
    </dataValidation>
    <dataValidation type="list" allowBlank="1" showInputMessage="1" showErrorMessage="1" sqref="C4894">
      <formula1>UnidadesList</formula1>
    </dataValidation>
    <dataValidation type="decimal" operator="greaterThan" allowBlank="1" showInputMessage="1" showErrorMessage="1" sqref="D4894">
      <formula1>0</formula1>
    </dataValidation>
    <dataValidation type="decimal" operator="greaterThan" allowBlank="1" showInputMessage="1" showErrorMessage="1" sqref="E4894">
      <formula1>0</formula1>
    </dataValidation>
    <dataValidation type="whole" operator="greaterThan" allowBlank="1" showInputMessage="1" showErrorMessage="1" sqref="A4895">
      <formula1>0</formula1>
    </dataValidation>
    <dataValidation type="list" allowBlank="1" showInputMessage="1" showErrorMessage="1" sqref="C4895">
      <formula1>UnidadesList</formula1>
    </dataValidation>
    <dataValidation type="decimal" operator="greaterThan" allowBlank="1" showInputMessage="1" showErrorMessage="1" sqref="D4895">
      <formula1>0</formula1>
    </dataValidation>
    <dataValidation type="decimal" operator="greaterThan" allowBlank="1" showInputMessage="1" showErrorMessage="1" sqref="E4895">
      <formula1>0</formula1>
    </dataValidation>
    <dataValidation type="whole" operator="greaterThan" allowBlank="1" showInputMessage="1" showErrorMessage="1" sqref="A4896">
      <formula1>0</formula1>
    </dataValidation>
    <dataValidation type="list" allowBlank="1" showInputMessage="1" showErrorMessage="1" sqref="C4896">
      <formula1>UnidadesList</formula1>
    </dataValidation>
    <dataValidation type="decimal" operator="greaterThan" allowBlank="1" showInputMessage="1" showErrorMessage="1" sqref="D4896">
      <formula1>0</formula1>
    </dataValidation>
    <dataValidation type="decimal" operator="greaterThan" allowBlank="1" showInputMessage="1" showErrorMessage="1" sqref="E4896">
      <formula1>0</formula1>
    </dataValidation>
    <dataValidation type="whole" operator="greaterThan" allowBlank="1" showInputMessage="1" showErrorMessage="1" sqref="A4897">
      <formula1>0</formula1>
    </dataValidation>
    <dataValidation type="list" allowBlank="1" showInputMessage="1" showErrorMessage="1" sqref="C4897">
      <formula1>UnidadesList</formula1>
    </dataValidation>
    <dataValidation type="decimal" operator="greaterThan" allowBlank="1" showInputMessage="1" showErrorMessage="1" sqref="D4897">
      <formula1>0</formula1>
    </dataValidation>
    <dataValidation type="decimal" operator="greaterThan" allowBlank="1" showInputMessage="1" showErrorMessage="1" sqref="E4897">
      <formula1>0</formula1>
    </dataValidation>
    <dataValidation type="whole" operator="greaterThan" allowBlank="1" showInputMessage="1" showErrorMessage="1" sqref="A4898">
      <formula1>0</formula1>
    </dataValidation>
    <dataValidation type="list" allowBlank="1" showInputMessage="1" showErrorMessage="1" sqref="C4898">
      <formula1>UnidadesList</formula1>
    </dataValidation>
    <dataValidation type="decimal" operator="greaterThan" allowBlank="1" showInputMessage="1" showErrorMessage="1" sqref="D4898">
      <formula1>0</formula1>
    </dataValidation>
    <dataValidation type="decimal" operator="greaterThan" allowBlank="1" showInputMessage="1" showErrorMessage="1" sqref="E4898">
      <formula1>0</formula1>
    </dataValidation>
    <dataValidation type="whole" operator="greaterThan" allowBlank="1" showInputMessage="1" showErrorMessage="1" sqref="A4899">
      <formula1>0</formula1>
    </dataValidation>
    <dataValidation type="list" allowBlank="1" showInputMessage="1" showErrorMessage="1" sqref="C4899">
      <formula1>UnidadesList</formula1>
    </dataValidation>
    <dataValidation type="decimal" operator="greaterThan" allowBlank="1" showInputMessage="1" showErrorMessage="1" sqref="D4899">
      <formula1>0</formula1>
    </dataValidation>
    <dataValidation type="decimal" operator="greaterThan" allowBlank="1" showInputMessage="1" showErrorMessage="1" sqref="E4899">
      <formula1>0</formula1>
    </dataValidation>
    <dataValidation type="whole" operator="greaterThan" allowBlank="1" showInputMessage="1" showErrorMessage="1" sqref="A4900">
      <formula1>0</formula1>
    </dataValidation>
    <dataValidation type="list" allowBlank="1" showInputMessage="1" showErrorMessage="1" sqref="C4900">
      <formula1>UnidadesList</formula1>
    </dataValidation>
    <dataValidation type="decimal" operator="greaterThan" allowBlank="1" showInputMessage="1" showErrorMessage="1" sqref="D4900">
      <formula1>0</formula1>
    </dataValidation>
    <dataValidation type="decimal" operator="greaterThan" allowBlank="1" showInputMessage="1" showErrorMessage="1" sqref="E4900">
      <formula1>0</formula1>
    </dataValidation>
    <dataValidation type="whole" operator="greaterThan" allowBlank="1" showInputMessage="1" showErrorMessage="1" sqref="A4901">
      <formula1>0</formula1>
    </dataValidation>
    <dataValidation type="list" allowBlank="1" showInputMessage="1" showErrorMessage="1" sqref="C4901">
      <formula1>UnidadesList</formula1>
    </dataValidation>
    <dataValidation type="decimal" operator="greaterThan" allowBlank="1" showInputMessage="1" showErrorMessage="1" sqref="D4901">
      <formula1>0</formula1>
    </dataValidation>
    <dataValidation type="decimal" operator="greaterThan" allowBlank="1" showInputMessage="1" showErrorMessage="1" sqref="E4901">
      <formula1>0</formula1>
    </dataValidation>
    <dataValidation type="whole" operator="greaterThan" allowBlank="1" showInputMessage="1" showErrorMessage="1" sqref="A4902">
      <formula1>0</formula1>
    </dataValidation>
    <dataValidation type="list" allowBlank="1" showInputMessage="1" showErrorMessage="1" sqref="C4902">
      <formula1>UnidadesList</formula1>
    </dataValidation>
    <dataValidation type="decimal" operator="greaterThan" allowBlank="1" showInputMessage="1" showErrorMessage="1" sqref="D4902">
      <formula1>0</formula1>
    </dataValidation>
    <dataValidation type="decimal" operator="greaterThan" allowBlank="1" showInputMessage="1" showErrorMessage="1" sqref="E4902">
      <formula1>0</formula1>
    </dataValidation>
    <dataValidation type="whole" operator="greaterThan" allowBlank="1" showInputMessage="1" showErrorMessage="1" sqref="A4903">
      <formula1>0</formula1>
    </dataValidation>
    <dataValidation type="list" allowBlank="1" showInputMessage="1" showErrorMessage="1" sqref="C4903">
      <formula1>UnidadesList</formula1>
    </dataValidation>
    <dataValidation type="decimal" operator="greaterThan" allowBlank="1" showInputMessage="1" showErrorMessage="1" sqref="D4903">
      <formula1>0</formula1>
    </dataValidation>
    <dataValidation type="decimal" operator="greaterThan" allowBlank="1" showInputMessage="1" showErrorMessage="1" sqref="E4903">
      <formula1>0</formula1>
    </dataValidation>
    <dataValidation type="whole" operator="greaterThan" allowBlank="1" showInputMessage="1" showErrorMessage="1" sqref="A4904">
      <formula1>0</formula1>
    </dataValidation>
    <dataValidation type="list" allowBlank="1" showInputMessage="1" showErrorMessage="1" sqref="C4904">
      <formula1>UnidadesList</formula1>
    </dataValidation>
    <dataValidation type="decimal" operator="greaterThan" allowBlank="1" showInputMessage="1" showErrorMessage="1" sqref="D4904">
      <formula1>0</formula1>
    </dataValidation>
    <dataValidation type="decimal" operator="greaterThan" allowBlank="1" showInputMessage="1" showErrorMessage="1" sqref="E4904">
      <formula1>0</formula1>
    </dataValidation>
    <dataValidation type="whole" operator="greaterThan" allowBlank="1" showInputMessage="1" showErrorMessage="1" sqref="A4905">
      <formula1>0</formula1>
    </dataValidation>
    <dataValidation type="list" allowBlank="1" showInputMessage="1" showErrorMessage="1" sqref="C4905">
      <formula1>UnidadesList</formula1>
    </dataValidation>
    <dataValidation type="decimal" operator="greaterThan" allowBlank="1" showInputMessage="1" showErrorMessage="1" sqref="D4905">
      <formula1>0</formula1>
    </dataValidation>
    <dataValidation type="decimal" operator="greaterThan" allowBlank="1" showInputMessage="1" showErrorMessage="1" sqref="E4905">
      <formula1>0</formula1>
    </dataValidation>
    <dataValidation type="whole" operator="greaterThan" allowBlank="1" showInputMessage="1" showErrorMessage="1" sqref="A4906">
      <formula1>0</formula1>
    </dataValidation>
    <dataValidation type="list" allowBlank="1" showInputMessage="1" showErrorMessage="1" sqref="C4906">
      <formula1>UnidadesList</formula1>
    </dataValidation>
    <dataValidation type="decimal" operator="greaterThan" allowBlank="1" showInputMessage="1" showErrorMessage="1" sqref="D4906">
      <formula1>0</formula1>
    </dataValidation>
    <dataValidation type="decimal" operator="greaterThan" allowBlank="1" showInputMessage="1" showErrorMessage="1" sqref="E4906">
      <formula1>0</formula1>
    </dataValidation>
    <dataValidation type="whole" operator="greaterThan" allowBlank="1" showInputMessage="1" showErrorMessage="1" sqref="A4907">
      <formula1>0</formula1>
    </dataValidation>
    <dataValidation type="list" allowBlank="1" showInputMessage="1" showErrorMessage="1" sqref="C4907">
      <formula1>UnidadesList</formula1>
    </dataValidation>
    <dataValidation type="decimal" operator="greaterThan" allowBlank="1" showInputMessage="1" showErrorMessage="1" sqref="D4907">
      <formula1>0</formula1>
    </dataValidation>
    <dataValidation type="decimal" operator="greaterThan" allowBlank="1" showInputMessage="1" showErrorMessage="1" sqref="E4907">
      <formula1>0</formula1>
    </dataValidation>
    <dataValidation type="whole" operator="greaterThan" allowBlank="1" showInputMessage="1" showErrorMessage="1" sqref="A4908">
      <formula1>0</formula1>
    </dataValidation>
    <dataValidation type="list" allowBlank="1" showInputMessage="1" showErrorMessage="1" sqref="C4908">
      <formula1>UnidadesList</formula1>
    </dataValidation>
    <dataValidation type="decimal" operator="greaterThan" allowBlank="1" showInputMessage="1" showErrorMessage="1" sqref="D4908">
      <formula1>0</formula1>
    </dataValidation>
    <dataValidation type="decimal" operator="greaterThan" allowBlank="1" showInputMessage="1" showErrorMessage="1" sqref="E4908">
      <formula1>0</formula1>
    </dataValidation>
    <dataValidation type="whole" operator="greaterThan" allowBlank="1" showInputMessage="1" showErrorMessage="1" sqref="A4909">
      <formula1>0</formula1>
    </dataValidation>
    <dataValidation type="list" allowBlank="1" showInputMessage="1" showErrorMessage="1" sqref="C4909">
      <formula1>UnidadesList</formula1>
    </dataValidation>
    <dataValidation type="decimal" operator="greaterThan" allowBlank="1" showInputMessage="1" showErrorMessage="1" sqref="D4909">
      <formula1>0</formula1>
    </dataValidation>
    <dataValidation type="decimal" operator="greaterThan" allowBlank="1" showInputMessage="1" showErrorMessage="1" sqref="E4909">
      <formula1>0</formula1>
    </dataValidation>
    <dataValidation type="whole" operator="greaterThan" allowBlank="1" showInputMessage="1" showErrorMessage="1" sqref="A4910">
      <formula1>0</formula1>
    </dataValidation>
    <dataValidation type="list" allowBlank="1" showInputMessage="1" showErrorMessage="1" sqref="C4910">
      <formula1>UnidadesList</formula1>
    </dataValidation>
    <dataValidation type="decimal" operator="greaterThan" allowBlank="1" showInputMessage="1" showErrorMessage="1" sqref="D4910">
      <formula1>0</formula1>
    </dataValidation>
    <dataValidation type="decimal" operator="greaterThan" allowBlank="1" showInputMessage="1" showErrorMessage="1" sqref="E4910">
      <formula1>0</formula1>
    </dataValidation>
    <dataValidation type="whole" operator="greaterThan" allowBlank="1" showInputMessage="1" showErrorMessage="1" sqref="A4911">
      <formula1>0</formula1>
    </dataValidation>
    <dataValidation type="list" allowBlank="1" showInputMessage="1" showErrorMessage="1" sqref="C4911">
      <formula1>UnidadesList</formula1>
    </dataValidation>
    <dataValidation type="decimal" operator="greaterThan" allowBlank="1" showInputMessage="1" showErrorMessage="1" sqref="D4911">
      <formula1>0</formula1>
    </dataValidation>
    <dataValidation type="decimal" operator="greaterThan" allowBlank="1" showInputMessage="1" showErrorMessage="1" sqref="E4911">
      <formula1>0</formula1>
    </dataValidation>
    <dataValidation type="whole" operator="greaterThan" allowBlank="1" showInputMessage="1" showErrorMessage="1" sqref="A4912">
      <formula1>0</formula1>
    </dataValidation>
    <dataValidation type="list" allowBlank="1" showInputMessage="1" showErrorMessage="1" sqref="C4912">
      <formula1>UnidadesList</formula1>
    </dataValidation>
    <dataValidation type="decimal" operator="greaterThan" allowBlank="1" showInputMessage="1" showErrorMessage="1" sqref="D4912">
      <formula1>0</formula1>
    </dataValidation>
    <dataValidation type="decimal" operator="greaterThan" allowBlank="1" showInputMessage="1" showErrorMessage="1" sqref="E4912">
      <formula1>0</formula1>
    </dataValidation>
    <dataValidation type="whole" operator="greaterThan" allowBlank="1" showInputMessage="1" showErrorMessage="1" sqref="A4913">
      <formula1>0</formula1>
    </dataValidation>
    <dataValidation type="list" allowBlank="1" showInputMessage="1" showErrorMessage="1" sqref="C4913">
      <formula1>UnidadesList</formula1>
    </dataValidation>
    <dataValidation type="decimal" operator="greaterThan" allowBlank="1" showInputMessage="1" showErrorMessage="1" sqref="D4913">
      <formula1>0</formula1>
    </dataValidation>
    <dataValidation type="decimal" operator="greaterThan" allowBlank="1" showInputMessage="1" showErrorMessage="1" sqref="E4913">
      <formula1>0</formula1>
    </dataValidation>
    <dataValidation type="whole" operator="greaterThan" allowBlank="1" showInputMessage="1" showErrorMessage="1" sqref="A4914">
      <formula1>0</formula1>
    </dataValidation>
    <dataValidation type="list" allowBlank="1" showInputMessage="1" showErrorMessage="1" sqref="C4914">
      <formula1>UnidadesList</formula1>
    </dataValidation>
    <dataValidation type="decimal" operator="greaterThan" allowBlank="1" showInputMessage="1" showErrorMessage="1" sqref="D4914">
      <formula1>0</formula1>
    </dataValidation>
    <dataValidation type="decimal" operator="greaterThan" allowBlank="1" showInputMessage="1" showErrorMessage="1" sqref="E4914">
      <formula1>0</formula1>
    </dataValidation>
    <dataValidation type="whole" operator="greaterThan" allowBlank="1" showInputMessage="1" showErrorMessage="1" sqref="A4915">
      <formula1>0</formula1>
    </dataValidation>
    <dataValidation type="list" allowBlank="1" showInputMessage="1" showErrorMessage="1" sqref="C4915">
      <formula1>UnidadesList</formula1>
    </dataValidation>
    <dataValidation type="decimal" operator="greaterThan" allowBlank="1" showInputMessage="1" showErrorMessage="1" sqref="D4915">
      <formula1>0</formula1>
    </dataValidation>
    <dataValidation type="decimal" operator="greaterThan" allowBlank="1" showInputMessage="1" showErrorMessage="1" sqref="E4915">
      <formula1>0</formula1>
    </dataValidation>
    <dataValidation type="whole" operator="greaterThan" allowBlank="1" showInputMessage="1" showErrorMessage="1" sqref="A4916">
      <formula1>0</formula1>
    </dataValidation>
    <dataValidation type="list" allowBlank="1" showInputMessage="1" showErrorMessage="1" sqref="C4916">
      <formula1>UnidadesList</formula1>
    </dataValidation>
    <dataValidation type="decimal" operator="greaterThan" allowBlank="1" showInputMessage="1" showErrorMessage="1" sqref="D4916">
      <formula1>0</formula1>
    </dataValidation>
    <dataValidation type="decimal" operator="greaterThan" allowBlank="1" showInputMessage="1" showErrorMessage="1" sqref="E4916">
      <formula1>0</formula1>
    </dataValidation>
    <dataValidation type="whole" operator="greaterThan" allowBlank="1" showInputMessage="1" showErrorMessage="1" sqref="A4917">
      <formula1>0</formula1>
    </dataValidation>
    <dataValidation type="list" allowBlank="1" showInputMessage="1" showErrorMessage="1" sqref="C4917">
      <formula1>UnidadesList</formula1>
    </dataValidation>
    <dataValidation type="decimal" operator="greaterThan" allowBlank="1" showInputMessage="1" showErrorMessage="1" sqref="D4917">
      <formula1>0</formula1>
    </dataValidation>
    <dataValidation type="decimal" operator="greaterThan" allowBlank="1" showInputMessage="1" showErrorMessage="1" sqref="E4917">
      <formula1>0</formula1>
    </dataValidation>
    <dataValidation type="whole" operator="greaterThan" allowBlank="1" showInputMessage="1" showErrorMessage="1" sqref="A4918">
      <formula1>0</formula1>
    </dataValidation>
    <dataValidation type="list" allowBlank="1" showInputMessage="1" showErrorMessage="1" sqref="C4918">
      <formula1>UnidadesList</formula1>
    </dataValidation>
    <dataValidation type="decimal" operator="greaterThan" allowBlank="1" showInputMessage="1" showErrorMessage="1" sqref="D4918">
      <formula1>0</formula1>
    </dataValidation>
    <dataValidation type="decimal" operator="greaterThan" allowBlank="1" showInputMessage="1" showErrorMessage="1" sqref="E4918">
      <formula1>0</formula1>
    </dataValidation>
    <dataValidation type="whole" operator="greaterThan" allowBlank="1" showInputMessage="1" showErrorMessage="1" sqref="A4919">
      <formula1>0</formula1>
    </dataValidation>
    <dataValidation type="list" allowBlank="1" showInputMessage="1" showErrorMessage="1" sqref="C4919">
      <formula1>UnidadesList</formula1>
    </dataValidation>
    <dataValidation type="decimal" operator="greaterThan" allowBlank="1" showInputMessage="1" showErrorMessage="1" sqref="D4919">
      <formula1>0</formula1>
    </dataValidation>
    <dataValidation type="decimal" operator="greaterThan" allowBlank="1" showInputMessage="1" showErrorMessage="1" sqref="E4919">
      <formula1>0</formula1>
    </dataValidation>
    <dataValidation type="whole" operator="greaterThan" allowBlank="1" showInputMessage="1" showErrorMessage="1" sqref="A4920">
      <formula1>0</formula1>
    </dataValidation>
    <dataValidation type="list" allowBlank="1" showInputMessage="1" showErrorMessage="1" sqref="C4920">
      <formula1>UnidadesList</formula1>
    </dataValidation>
    <dataValidation type="decimal" operator="greaterThan" allowBlank="1" showInputMessage="1" showErrorMessage="1" sqref="D4920">
      <formula1>0</formula1>
    </dataValidation>
    <dataValidation type="decimal" operator="greaterThan" allowBlank="1" showInputMessage="1" showErrorMessage="1" sqref="E4920">
      <formula1>0</formula1>
    </dataValidation>
    <dataValidation type="whole" operator="greaterThan" allowBlank="1" showInputMessage="1" showErrorMessage="1" sqref="A4921">
      <formula1>0</formula1>
    </dataValidation>
    <dataValidation type="list" allowBlank="1" showInputMessage="1" showErrorMessage="1" sqref="C4921">
      <formula1>UnidadesList</formula1>
    </dataValidation>
    <dataValidation type="decimal" operator="greaterThan" allowBlank="1" showInputMessage="1" showErrorMessage="1" sqref="D4921">
      <formula1>0</formula1>
    </dataValidation>
    <dataValidation type="decimal" operator="greaterThan" allowBlank="1" showInputMessage="1" showErrorMessage="1" sqref="E4921">
      <formula1>0</formula1>
    </dataValidation>
    <dataValidation type="whole" operator="greaterThan" allowBlank="1" showInputMessage="1" showErrorMessage="1" sqref="A4922">
      <formula1>0</formula1>
    </dataValidation>
    <dataValidation type="list" allowBlank="1" showInputMessage="1" showErrorMessage="1" sqref="C4922">
      <formula1>UnidadesList</formula1>
    </dataValidation>
    <dataValidation type="decimal" operator="greaterThan" allowBlank="1" showInputMessage="1" showErrorMessage="1" sqref="D4922">
      <formula1>0</formula1>
    </dataValidation>
    <dataValidation type="decimal" operator="greaterThan" allowBlank="1" showInputMessage="1" showErrorMessage="1" sqref="E4922">
      <formula1>0</formula1>
    </dataValidation>
    <dataValidation type="whole" operator="greaterThan" allowBlank="1" showInputMessage="1" showErrorMessage="1" sqref="A4923">
      <formula1>0</formula1>
    </dataValidation>
    <dataValidation type="list" allowBlank="1" showInputMessage="1" showErrorMessage="1" sqref="C4923">
      <formula1>UnidadesList</formula1>
    </dataValidation>
    <dataValidation type="decimal" operator="greaterThan" allowBlank="1" showInputMessage="1" showErrorMessage="1" sqref="D4923">
      <formula1>0</formula1>
    </dataValidation>
    <dataValidation type="decimal" operator="greaterThan" allowBlank="1" showInputMessage="1" showErrorMessage="1" sqref="E4923">
      <formula1>0</formula1>
    </dataValidation>
    <dataValidation type="whole" operator="greaterThan" allowBlank="1" showInputMessage="1" showErrorMessage="1" sqref="A4924">
      <formula1>0</formula1>
    </dataValidation>
    <dataValidation type="list" allowBlank="1" showInputMessage="1" showErrorMessage="1" sqref="C4924">
      <formula1>UnidadesList</formula1>
    </dataValidation>
    <dataValidation type="decimal" operator="greaterThan" allowBlank="1" showInputMessage="1" showErrorMessage="1" sqref="D4924">
      <formula1>0</formula1>
    </dataValidation>
    <dataValidation type="decimal" operator="greaterThan" allowBlank="1" showInputMessage="1" showErrorMessage="1" sqref="E4924">
      <formula1>0</formula1>
    </dataValidation>
    <dataValidation type="whole" operator="greaterThan" allowBlank="1" showInputMessage="1" showErrorMessage="1" sqref="A4925">
      <formula1>0</formula1>
    </dataValidation>
    <dataValidation type="list" allowBlank="1" showInputMessage="1" showErrorMessage="1" sqref="C4925">
      <formula1>UnidadesList</formula1>
    </dataValidation>
    <dataValidation type="decimal" operator="greaterThan" allowBlank="1" showInputMessage="1" showErrorMessage="1" sqref="D4925">
      <formula1>0</formula1>
    </dataValidation>
    <dataValidation type="decimal" operator="greaterThan" allowBlank="1" showInputMessage="1" showErrorMessage="1" sqref="E4925">
      <formula1>0</formula1>
    </dataValidation>
    <dataValidation type="whole" operator="greaterThan" allowBlank="1" showInputMessage="1" showErrorMessage="1" sqref="A4926">
      <formula1>0</formula1>
    </dataValidation>
    <dataValidation type="list" allowBlank="1" showInputMessage="1" showErrorMessage="1" sqref="C4926">
      <formula1>UnidadesList</formula1>
    </dataValidation>
    <dataValidation type="decimal" operator="greaterThan" allowBlank="1" showInputMessage="1" showErrorMessage="1" sqref="D4926">
      <formula1>0</formula1>
    </dataValidation>
    <dataValidation type="decimal" operator="greaterThan" allowBlank="1" showInputMessage="1" showErrorMessage="1" sqref="E4926">
      <formula1>0</formula1>
    </dataValidation>
    <dataValidation type="whole" operator="greaterThan" allowBlank="1" showInputMessage="1" showErrorMessage="1" sqref="A4927">
      <formula1>0</formula1>
    </dataValidation>
    <dataValidation type="list" allowBlank="1" showInputMessage="1" showErrorMessage="1" sqref="C4927">
      <formula1>UnidadesList</formula1>
    </dataValidation>
    <dataValidation type="decimal" operator="greaterThan" allowBlank="1" showInputMessage="1" showErrorMessage="1" sqref="D4927">
      <formula1>0</formula1>
    </dataValidation>
    <dataValidation type="decimal" operator="greaterThan" allowBlank="1" showInputMessage="1" showErrorMessage="1" sqref="E4927">
      <formula1>0</formula1>
    </dataValidation>
    <dataValidation type="whole" operator="greaterThan" allowBlank="1" showInputMessage="1" showErrorMessage="1" sqref="A4928">
      <formula1>0</formula1>
    </dataValidation>
    <dataValidation type="list" allowBlank="1" showInputMessage="1" showErrorMessage="1" sqref="C4928">
      <formula1>UnidadesList</formula1>
    </dataValidation>
    <dataValidation type="decimal" operator="greaterThan" allowBlank="1" showInputMessage="1" showErrorMessage="1" sqref="D4928">
      <formula1>0</formula1>
    </dataValidation>
    <dataValidation type="decimal" operator="greaterThan" allowBlank="1" showInputMessage="1" showErrorMessage="1" sqref="E4928">
      <formula1>0</formula1>
    </dataValidation>
    <dataValidation type="whole" operator="greaterThan" allowBlank="1" showInputMessage="1" showErrorMessage="1" sqref="A4929">
      <formula1>0</formula1>
    </dataValidation>
    <dataValidation type="list" allowBlank="1" showInputMessage="1" showErrorMessage="1" sqref="C4929">
      <formula1>UnidadesList</formula1>
    </dataValidation>
    <dataValidation type="decimal" operator="greaterThan" allowBlank="1" showInputMessage="1" showErrorMessage="1" sqref="D4929">
      <formula1>0</formula1>
    </dataValidation>
    <dataValidation type="decimal" operator="greaterThan" allowBlank="1" showInputMessage="1" showErrorMessage="1" sqref="E4929">
      <formula1>0</formula1>
    </dataValidation>
    <dataValidation type="whole" operator="greaterThan" allowBlank="1" showInputMessage="1" showErrorMessage="1" sqref="A4930">
      <formula1>0</formula1>
    </dataValidation>
    <dataValidation type="list" allowBlank="1" showInputMessage="1" showErrorMessage="1" sqref="C4930">
      <formula1>UnidadesList</formula1>
    </dataValidation>
    <dataValidation type="decimal" operator="greaterThan" allowBlank="1" showInputMessage="1" showErrorMessage="1" sqref="D4930">
      <formula1>0</formula1>
    </dataValidation>
    <dataValidation type="decimal" operator="greaterThan" allowBlank="1" showInputMessage="1" showErrorMessage="1" sqref="E4930">
      <formula1>0</formula1>
    </dataValidation>
    <dataValidation type="whole" operator="greaterThan" allowBlank="1" showInputMessage="1" showErrorMessage="1" sqref="A4931">
      <formula1>0</formula1>
    </dataValidation>
    <dataValidation type="list" allowBlank="1" showInputMessage="1" showErrorMessage="1" sqref="C4931">
      <formula1>UnidadesList</formula1>
    </dataValidation>
    <dataValidation type="decimal" operator="greaterThan" allowBlank="1" showInputMessage="1" showErrorMessage="1" sqref="D4931">
      <formula1>0</formula1>
    </dataValidation>
    <dataValidation type="decimal" operator="greaterThan" allowBlank="1" showInputMessage="1" showErrorMessage="1" sqref="E4931">
      <formula1>0</formula1>
    </dataValidation>
    <dataValidation type="whole" operator="greaterThan" allowBlank="1" showInputMessage="1" showErrorMessage="1" sqref="A4932">
      <formula1>0</formula1>
    </dataValidation>
    <dataValidation type="list" allowBlank="1" showInputMessage="1" showErrorMessage="1" sqref="C4932">
      <formula1>UnidadesList</formula1>
    </dataValidation>
    <dataValidation type="decimal" operator="greaterThan" allowBlank="1" showInputMessage="1" showErrorMessage="1" sqref="D4932">
      <formula1>0</formula1>
    </dataValidation>
    <dataValidation type="decimal" operator="greaterThan" allowBlank="1" showInputMessage="1" showErrorMessage="1" sqref="E4932">
      <formula1>0</formula1>
    </dataValidation>
    <dataValidation type="whole" operator="greaterThan" allowBlank="1" showInputMessage="1" showErrorMessage="1" sqref="A4933">
      <formula1>0</formula1>
    </dataValidation>
    <dataValidation type="list" allowBlank="1" showInputMessage="1" showErrorMessage="1" sqref="C4933">
      <formula1>UnidadesList</formula1>
    </dataValidation>
    <dataValidation type="decimal" operator="greaterThan" allowBlank="1" showInputMessage="1" showErrorMessage="1" sqref="D4933">
      <formula1>0</formula1>
    </dataValidation>
    <dataValidation type="decimal" operator="greaterThan" allowBlank="1" showInputMessage="1" showErrorMessage="1" sqref="E4933">
      <formula1>0</formula1>
    </dataValidation>
    <dataValidation type="whole" operator="greaterThan" allowBlank="1" showInputMessage="1" showErrorMessage="1" sqref="A4934">
      <formula1>0</formula1>
    </dataValidation>
    <dataValidation type="list" allowBlank="1" showInputMessage="1" showErrorMessage="1" sqref="C4934">
      <formula1>UnidadesList</formula1>
    </dataValidation>
    <dataValidation type="decimal" operator="greaterThan" allowBlank="1" showInputMessage="1" showErrorMessage="1" sqref="D4934">
      <formula1>0</formula1>
    </dataValidation>
    <dataValidation type="decimal" operator="greaterThan" allowBlank="1" showInputMessage="1" showErrorMessage="1" sqref="E4934">
      <formula1>0</formula1>
    </dataValidation>
    <dataValidation type="whole" operator="greaterThan" allowBlank="1" showInputMessage="1" showErrorMessage="1" sqref="A4935">
      <formula1>0</formula1>
    </dataValidation>
    <dataValidation type="list" allowBlank="1" showInputMessage="1" showErrorMessage="1" sqref="C4935">
      <formula1>UnidadesList</formula1>
    </dataValidation>
    <dataValidation type="decimal" operator="greaterThan" allowBlank="1" showInputMessage="1" showErrorMessage="1" sqref="D4935">
      <formula1>0</formula1>
    </dataValidation>
    <dataValidation type="decimal" operator="greaterThan" allowBlank="1" showInputMessage="1" showErrorMessage="1" sqref="E4935">
      <formula1>0</formula1>
    </dataValidation>
    <dataValidation type="whole" operator="greaterThan" allowBlank="1" showInputMessage="1" showErrorMessage="1" sqref="A4936">
      <formula1>0</formula1>
    </dataValidation>
    <dataValidation type="list" allowBlank="1" showInputMessage="1" showErrorMessage="1" sqref="C4936">
      <formula1>UnidadesList</formula1>
    </dataValidation>
    <dataValidation type="decimal" operator="greaterThan" allowBlank="1" showInputMessage="1" showErrorMessage="1" sqref="D4936">
      <formula1>0</formula1>
    </dataValidation>
    <dataValidation type="decimal" operator="greaterThan" allowBlank="1" showInputMessage="1" showErrorMessage="1" sqref="E4936">
      <formula1>0</formula1>
    </dataValidation>
    <dataValidation type="whole" operator="greaterThan" allowBlank="1" showInputMessage="1" showErrorMessage="1" sqref="A4937">
      <formula1>0</formula1>
    </dataValidation>
    <dataValidation type="list" allowBlank="1" showInputMessage="1" showErrorMessage="1" sqref="C4937">
      <formula1>UnidadesList</formula1>
    </dataValidation>
    <dataValidation type="decimal" operator="greaterThan" allowBlank="1" showInputMessage="1" showErrorMessage="1" sqref="D4937">
      <formula1>0</formula1>
    </dataValidation>
    <dataValidation type="decimal" operator="greaterThan" allowBlank="1" showInputMessage="1" showErrorMessage="1" sqref="E4937">
      <formula1>0</formula1>
    </dataValidation>
    <dataValidation type="whole" operator="greaterThan" allowBlank="1" showInputMessage="1" showErrorMessage="1" sqref="A4938">
      <formula1>0</formula1>
    </dataValidation>
    <dataValidation type="list" allowBlank="1" showInputMessage="1" showErrorMessage="1" sqref="C4938">
      <formula1>UnidadesList</formula1>
    </dataValidation>
    <dataValidation type="decimal" operator="greaterThan" allowBlank="1" showInputMessage="1" showErrorMessage="1" sqref="D4938">
      <formula1>0</formula1>
    </dataValidation>
    <dataValidation type="decimal" operator="greaterThan" allowBlank="1" showInputMessage="1" showErrorMessage="1" sqref="E4938">
      <formula1>0</formula1>
    </dataValidation>
    <dataValidation type="whole" operator="greaterThan" allowBlank="1" showInputMessage="1" showErrorMessage="1" sqref="A4939">
      <formula1>0</formula1>
    </dataValidation>
    <dataValidation type="list" allowBlank="1" showInputMessage="1" showErrorMessage="1" sqref="C4939">
      <formula1>UnidadesList</formula1>
    </dataValidation>
    <dataValidation type="decimal" operator="greaterThan" allowBlank="1" showInputMessage="1" showErrorMessage="1" sqref="D4939">
      <formula1>0</formula1>
    </dataValidation>
    <dataValidation type="decimal" operator="greaterThan" allowBlank="1" showInputMessage="1" showErrorMessage="1" sqref="E4939">
      <formula1>0</formula1>
    </dataValidation>
    <dataValidation type="whole" operator="greaterThan" allowBlank="1" showInputMessage="1" showErrorMessage="1" sqref="A4940">
      <formula1>0</formula1>
    </dataValidation>
    <dataValidation type="list" allowBlank="1" showInputMessage="1" showErrorMessage="1" sqref="C4940">
      <formula1>UnidadesList</formula1>
    </dataValidation>
    <dataValidation type="decimal" operator="greaterThan" allowBlank="1" showInputMessage="1" showErrorMessage="1" sqref="D4940">
      <formula1>0</formula1>
    </dataValidation>
    <dataValidation type="decimal" operator="greaterThan" allowBlank="1" showInputMessage="1" showErrorMessage="1" sqref="E4940">
      <formula1>0</formula1>
    </dataValidation>
    <dataValidation type="whole" operator="greaterThan" allowBlank="1" showInputMessage="1" showErrorMessage="1" sqref="A4941">
      <formula1>0</formula1>
    </dataValidation>
    <dataValidation type="list" allowBlank="1" showInputMessage="1" showErrorMessage="1" sqref="C4941">
      <formula1>UnidadesList</formula1>
    </dataValidation>
    <dataValidation type="decimal" operator="greaterThan" allowBlank="1" showInputMessage="1" showErrorMessage="1" sqref="D4941">
      <formula1>0</formula1>
    </dataValidation>
    <dataValidation type="decimal" operator="greaterThan" allowBlank="1" showInputMessage="1" showErrorMessage="1" sqref="E4941">
      <formula1>0</formula1>
    </dataValidation>
    <dataValidation type="whole" operator="greaterThan" allowBlank="1" showInputMessage="1" showErrorMessage="1" sqref="A4942">
      <formula1>0</formula1>
    </dataValidation>
    <dataValidation type="list" allowBlank="1" showInputMessage="1" showErrorMessage="1" sqref="C4942">
      <formula1>UnidadesList</formula1>
    </dataValidation>
    <dataValidation type="decimal" operator="greaterThan" allowBlank="1" showInputMessage="1" showErrorMessage="1" sqref="D4942">
      <formula1>0</formula1>
    </dataValidation>
    <dataValidation type="decimal" operator="greaterThan" allowBlank="1" showInputMessage="1" showErrorMessage="1" sqref="E4942">
      <formula1>0</formula1>
    </dataValidation>
    <dataValidation type="whole" operator="greaterThan" allowBlank="1" showInputMessage="1" showErrorMessage="1" sqref="A4943">
      <formula1>0</formula1>
    </dataValidation>
    <dataValidation type="list" allowBlank="1" showInputMessage="1" showErrorMessage="1" sqref="C4943">
      <formula1>UnidadesList</formula1>
    </dataValidation>
    <dataValidation type="decimal" operator="greaterThan" allowBlank="1" showInputMessage="1" showErrorMessage="1" sqref="D4943">
      <formula1>0</formula1>
    </dataValidation>
    <dataValidation type="decimal" operator="greaterThan" allowBlank="1" showInputMessage="1" showErrorMessage="1" sqref="E4943">
      <formula1>0</formula1>
    </dataValidation>
    <dataValidation type="whole" operator="greaterThan" allowBlank="1" showInputMessage="1" showErrorMessage="1" sqref="A4944">
      <formula1>0</formula1>
    </dataValidation>
    <dataValidation type="list" allowBlank="1" showInputMessage="1" showErrorMessage="1" sqref="C4944">
      <formula1>UnidadesList</formula1>
    </dataValidation>
    <dataValidation type="decimal" operator="greaterThan" allowBlank="1" showInputMessage="1" showErrorMessage="1" sqref="D4944">
      <formula1>0</formula1>
    </dataValidation>
    <dataValidation type="decimal" operator="greaterThan" allowBlank="1" showInputMessage="1" showErrorMessage="1" sqref="E4944">
      <formula1>0</formula1>
    </dataValidation>
    <dataValidation type="whole" operator="greaterThan" allowBlank="1" showInputMessage="1" showErrorMessage="1" sqref="A4945">
      <formula1>0</formula1>
    </dataValidation>
    <dataValidation type="list" allowBlank="1" showInputMessage="1" showErrorMessage="1" sqref="C4945">
      <formula1>UnidadesList</formula1>
    </dataValidation>
    <dataValidation type="decimal" operator="greaterThan" allowBlank="1" showInputMessage="1" showErrorMessage="1" sqref="D4945">
      <formula1>0</formula1>
    </dataValidation>
    <dataValidation type="decimal" operator="greaterThan" allowBlank="1" showInputMessage="1" showErrorMessage="1" sqref="E4945">
      <formula1>0</formula1>
    </dataValidation>
    <dataValidation type="whole" operator="greaterThan" allowBlank="1" showInputMessage="1" showErrorMessage="1" sqref="A4946">
      <formula1>0</formula1>
    </dataValidation>
    <dataValidation type="list" allowBlank="1" showInputMessage="1" showErrorMessage="1" sqref="C4946">
      <formula1>UnidadesList</formula1>
    </dataValidation>
    <dataValidation type="decimal" operator="greaterThan" allowBlank="1" showInputMessage="1" showErrorMessage="1" sqref="D4946">
      <formula1>0</formula1>
    </dataValidation>
    <dataValidation type="decimal" operator="greaterThan" allowBlank="1" showInputMessage="1" showErrorMessage="1" sqref="E4946">
      <formula1>0</formula1>
    </dataValidation>
    <dataValidation type="whole" operator="greaterThan" allowBlank="1" showInputMessage="1" showErrorMessage="1" sqref="A4947">
      <formula1>0</formula1>
    </dataValidation>
    <dataValidation type="list" allowBlank="1" showInputMessage="1" showErrorMessage="1" sqref="C4947">
      <formula1>UnidadesList</formula1>
    </dataValidation>
    <dataValidation type="decimal" operator="greaterThan" allowBlank="1" showInputMessage="1" showErrorMessage="1" sqref="D4947">
      <formula1>0</formula1>
    </dataValidation>
    <dataValidation type="decimal" operator="greaterThan" allowBlank="1" showInputMessage="1" showErrorMessage="1" sqref="E4947">
      <formula1>0</formula1>
    </dataValidation>
    <dataValidation type="whole" operator="greaterThan" allowBlank="1" showInputMessage="1" showErrorMessage="1" sqref="A4948">
      <formula1>0</formula1>
    </dataValidation>
    <dataValidation type="list" allowBlank="1" showInputMessage="1" showErrorMessage="1" sqref="C4948">
      <formula1>UnidadesList</formula1>
    </dataValidation>
    <dataValidation type="decimal" operator="greaterThan" allowBlank="1" showInputMessage="1" showErrorMessage="1" sqref="D4948">
      <formula1>0</formula1>
    </dataValidation>
    <dataValidation type="decimal" operator="greaterThan" allowBlank="1" showInputMessage="1" showErrorMessage="1" sqref="E4948">
      <formula1>0</formula1>
    </dataValidation>
    <dataValidation type="whole" operator="greaterThan" allowBlank="1" showInputMessage="1" showErrorMessage="1" sqref="A4949">
      <formula1>0</formula1>
    </dataValidation>
    <dataValidation type="list" allowBlank="1" showInputMessage="1" showErrorMessage="1" sqref="C4949">
      <formula1>UnidadesList</formula1>
    </dataValidation>
    <dataValidation type="decimal" operator="greaterThan" allowBlank="1" showInputMessage="1" showErrorMessage="1" sqref="D4949">
      <formula1>0</formula1>
    </dataValidation>
    <dataValidation type="decimal" operator="greaterThan" allowBlank="1" showInputMessage="1" showErrorMessage="1" sqref="E4949">
      <formula1>0</formula1>
    </dataValidation>
    <dataValidation type="whole" operator="greaterThan" allowBlank="1" showInputMessage="1" showErrorMessage="1" sqref="A4950">
      <formula1>0</formula1>
    </dataValidation>
    <dataValidation type="list" allowBlank="1" showInputMessage="1" showErrorMessage="1" sqref="C4950">
      <formula1>UnidadesList</formula1>
    </dataValidation>
    <dataValidation type="decimal" operator="greaterThan" allowBlank="1" showInputMessage="1" showErrorMessage="1" sqref="D4950">
      <formula1>0</formula1>
    </dataValidation>
    <dataValidation type="decimal" operator="greaterThan" allowBlank="1" showInputMessage="1" showErrorMessage="1" sqref="E4950">
      <formula1>0</formula1>
    </dataValidation>
    <dataValidation type="whole" operator="greaterThan" allowBlank="1" showInputMessage="1" showErrorMessage="1" sqref="A4951">
      <formula1>0</formula1>
    </dataValidation>
    <dataValidation type="list" allowBlank="1" showInputMessage="1" showErrorMessage="1" sqref="C4951">
      <formula1>UnidadesList</formula1>
    </dataValidation>
    <dataValidation type="decimal" operator="greaterThan" allowBlank="1" showInputMessage="1" showErrorMessage="1" sqref="D4951">
      <formula1>0</formula1>
    </dataValidation>
    <dataValidation type="decimal" operator="greaterThan" allowBlank="1" showInputMessage="1" showErrorMessage="1" sqref="E4951">
      <formula1>0</formula1>
    </dataValidation>
    <dataValidation type="whole" operator="greaterThan" allowBlank="1" showInputMessage="1" showErrorMessage="1" sqref="A4952">
      <formula1>0</formula1>
    </dataValidation>
    <dataValidation type="list" allowBlank="1" showInputMessage="1" showErrorMessage="1" sqref="C4952">
      <formula1>UnidadesList</formula1>
    </dataValidation>
    <dataValidation type="decimal" operator="greaterThan" allowBlank="1" showInputMessage="1" showErrorMessage="1" sqref="D4952">
      <formula1>0</formula1>
    </dataValidation>
    <dataValidation type="decimal" operator="greaterThan" allowBlank="1" showInputMessage="1" showErrorMessage="1" sqref="E4952">
      <formula1>0</formula1>
    </dataValidation>
    <dataValidation type="whole" operator="greaterThan" allowBlank="1" showInputMessage="1" showErrorMessage="1" sqref="A4953">
      <formula1>0</formula1>
    </dataValidation>
    <dataValidation type="list" allowBlank="1" showInputMessage="1" showErrorMessage="1" sqref="C4953">
      <formula1>UnidadesList</formula1>
    </dataValidation>
    <dataValidation type="decimal" operator="greaterThan" allowBlank="1" showInputMessage="1" showErrorMessage="1" sqref="D4953">
      <formula1>0</formula1>
    </dataValidation>
    <dataValidation type="decimal" operator="greaterThan" allowBlank="1" showInputMessage="1" showErrorMessage="1" sqref="E4953">
      <formula1>0</formula1>
    </dataValidation>
    <dataValidation type="whole" operator="greaterThan" allowBlank="1" showInputMessage="1" showErrorMessage="1" sqref="A4954">
      <formula1>0</formula1>
    </dataValidation>
    <dataValidation type="list" allowBlank="1" showInputMessage="1" showErrorMessage="1" sqref="C4954">
      <formula1>UnidadesList</formula1>
    </dataValidation>
    <dataValidation type="decimal" operator="greaterThan" allowBlank="1" showInputMessage="1" showErrorMessage="1" sqref="D4954">
      <formula1>0</formula1>
    </dataValidation>
    <dataValidation type="decimal" operator="greaterThan" allowBlank="1" showInputMessage="1" showErrorMessage="1" sqref="E4954">
      <formula1>0</formula1>
    </dataValidation>
    <dataValidation type="whole" operator="greaterThan" allowBlank="1" showInputMessage="1" showErrorMessage="1" sqref="A4955">
      <formula1>0</formula1>
    </dataValidation>
    <dataValidation type="list" allowBlank="1" showInputMessage="1" showErrorMessage="1" sqref="C4955">
      <formula1>UnidadesList</formula1>
    </dataValidation>
    <dataValidation type="decimal" operator="greaterThan" allowBlank="1" showInputMessage="1" showErrorMessage="1" sqref="D4955">
      <formula1>0</formula1>
    </dataValidation>
    <dataValidation type="decimal" operator="greaterThan" allowBlank="1" showInputMessage="1" showErrorMessage="1" sqref="E4955">
      <formula1>0</formula1>
    </dataValidation>
    <dataValidation type="whole" operator="greaterThan" allowBlank="1" showInputMessage="1" showErrorMessage="1" sqref="A4956">
      <formula1>0</formula1>
    </dataValidation>
    <dataValidation type="list" allowBlank="1" showInputMessage="1" showErrorMessage="1" sqref="C4956">
      <formula1>UnidadesList</formula1>
    </dataValidation>
    <dataValidation type="decimal" operator="greaterThan" allowBlank="1" showInputMessage="1" showErrorMessage="1" sqref="D4956">
      <formula1>0</formula1>
    </dataValidation>
    <dataValidation type="decimal" operator="greaterThan" allowBlank="1" showInputMessage="1" showErrorMessage="1" sqref="E4956">
      <formula1>0</formula1>
    </dataValidation>
    <dataValidation type="whole" operator="greaterThan" allowBlank="1" showInputMessage="1" showErrorMessage="1" sqref="A4957">
      <formula1>0</formula1>
    </dataValidation>
    <dataValidation type="list" allowBlank="1" showInputMessage="1" showErrorMessage="1" sqref="C4957">
      <formula1>UnidadesList</formula1>
    </dataValidation>
    <dataValidation type="decimal" operator="greaterThan" allowBlank="1" showInputMessage="1" showErrorMessage="1" sqref="D4957">
      <formula1>0</formula1>
    </dataValidation>
    <dataValidation type="decimal" operator="greaterThan" allowBlank="1" showInputMessage="1" showErrorMessage="1" sqref="E4957">
      <formula1>0</formula1>
    </dataValidation>
    <dataValidation type="whole" operator="greaterThan" allowBlank="1" showInputMessage="1" showErrorMessage="1" sqref="A4958">
      <formula1>0</formula1>
    </dataValidation>
    <dataValidation type="list" allowBlank="1" showInputMessage="1" showErrorMessage="1" sqref="C4958">
      <formula1>UnidadesList</formula1>
    </dataValidation>
    <dataValidation type="decimal" operator="greaterThan" allowBlank="1" showInputMessage="1" showErrorMessage="1" sqref="D4958">
      <formula1>0</formula1>
    </dataValidation>
    <dataValidation type="decimal" operator="greaterThan" allowBlank="1" showInputMessage="1" showErrorMessage="1" sqref="E4958">
      <formula1>0</formula1>
    </dataValidation>
    <dataValidation type="whole" operator="greaterThan" allowBlank="1" showInputMessage="1" showErrorMessage="1" sqref="A4959">
      <formula1>0</formula1>
    </dataValidation>
    <dataValidation type="list" allowBlank="1" showInputMessage="1" showErrorMessage="1" sqref="C4959">
      <formula1>UnidadesList</formula1>
    </dataValidation>
    <dataValidation type="decimal" operator="greaterThan" allowBlank="1" showInputMessage="1" showErrorMessage="1" sqref="D4959">
      <formula1>0</formula1>
    </dataValidation>
    <dataValidation type="decimal" operator="greaterThan" allowBlank="1" showInputMessage="1" showErrorMessage="1" sqref="E4959">
      <formula1>0</formula1>
    </dataValidation>
    <dataValidation type="whole" operator="greaterThan" allowBlank="1" showInputMessage="1" showErrorMessage="1" sqref="A4960">
      <formula1>0</formula1>
    </dataValidation>
    <dataValidation type="list" allowBlank="1" showInputMessage="1" showErrorMessage="1" sqref="C4960">
      <formula1>UnidadesList</formula1>
    </dataValidation>
    <dataValidation type="decimal" operator="greaterThan" allowBlank="1" showInputMessage="1" showErrorMessage="1" sqref="D4960">
      <formula1>0</formula1>
    </dataValidation>
    <dataValidation type="decimal" operator="greaterThan" allowBlank="1" showInputMessage="1" showErrorMessage="1" sqref="E4960">
      <formula1>0</formula1>
    </dataValidation>
    <dataValidation type="whole" operator="greaterThan" allowBlank="1" showInputMessage="1" showErrorMessage="1" sqref="A4961">
      <formula1>0</formula1>
    </dataValidation>
    <dataValidation type="list" allowBlank="1" showInputMessage="1" showErrorMessage="1" sqref="C4961">
      <formula1>UnidadesList</formula1>
    </dataValidation>
    <dataValidation type="decimal" operator="greaterThan" allowBlank="1" showInputMessage="1" showErrorMessage="1" sqref="D4961">
      <formula1>0</formula1>
    </dataValidation>
    <dataValidation type="decimal" operator="greaterThan" allowBlank="1" showInputMessage="1" showErrorMessage="1" sqref="E4961">
      <formula1>0</formula1>
    </dataValidation>
    <dataValidation type="whole" operator="greaterThan" allowBlank="1" showInputMessage="1" showErrorMessage="1" sqref="A4962">
      <formula1>0</formula1>
    </dataValidation>
    <dataValidation type="list" allowBlank="1" showInputMessage="1" showErrorMessage="1" sqref="C4962">
      <formula1>UnidadesList</formula1>
    </dataValidation>
    <dataValidation type="decimal" operator="greaterThan" allowBlank="1" showInputMessage="1" showErrorMessage="1" sqref="D4962">
      <formula1>0</formula1>
    </dataValidation>
    <dataValidation type="decimal" operator="greaterThan" allowBlank="1" showInputMessage="1" showErrorMessage="1" sqref="E4962">
      <formula1>0</formula1>
    </dataValidation>
    <dataValidation type="whole" operator="greaterThan" allowBlank="1" showInputMessage="1" showErrorMessage="1" sqref="A4963">
      <formula1>0</formula1>
    </dataValidation>
    <dataValidation type="list" allowBlank="1" showInputMessage="1" showErrorMessage="1" sqref="C4963">
      <formula1>UnidadesList</formula1>
    </dataValidation>
    <dataValidation type="decimal" operator="greaterThan" allowBlank="1" showInputMessage="1" showErrorMessage="1" sqref="D4963">
      <formula1>0</formula1>
    </dataValidation>
    <dataValidation type="decimal" operator="greaterThan" allowBlank="1" showInputMessage="1" showErrorMessage="1" sqref="E4963">
      <formula1>0</formula1>
    </dataValidation>
    <dataValidation type="whole" operator="greaterThan" allowBlank="1" showInputMessage="1" showErrorMessage="1" sqref="A4964">
      <formula1>0</formula1>
    </dataValidation>
    <dataValidation type="list" allowBlank="1" showInputMessage="1" showErrorMessage="1" sqref="C4964">
      <formula1>UnidadesList</formula1>
    </dataValidation>
    <dataValidation type="decimal" operator="greaterThan" allowBlank="1" showInputMessage="1" showErrorMessage="1" sqref="D4964">
      <formula1>0</formula1>
    </dataValidation>
    <dataValidation type="decimal" operator="greaterThan" allowBlank="1" showInputMessage="1" showErrorMessage="1" sqref="E4964">
      <formula1>0</formula1>
    </dataValidation>
    <dataValidation type="whole" operator="greaterThan" allowBlank="1" showInputMessage="1" showErrorMessage="1" sqref="A4965">
      <formula1>0</formula1>
    </dataValidation>
    <dataValidation type="list" allowBlank="1" showInputMessage="1" showErrorMessage="1" sqref="C4965">
      <formula1>UnidadesList</formula1>
    </dataValidation>
    <dataValidation type="decimal" operator="greaterThan" allowBlank="1" showInputMessage="1" showErrorMessage="1" sqref="D4965">
      <formula1>0</formula1>
    </dataValidation>
    <dataValidation type="decimal" operator="greaterThan" allowBlank="1" showInputMessage="1" showErrorMessage="1" sqref="E4965">
      <formula1>0</formula1>
    </dataValidation>
    <dataValidation type="whole" operator="greaterThan" allowBlank="1" showInputMessage="1" showErrorMessage="1" sqref="A4966">
      <formula1>0</formula1>
    </dataValidation>
    <dataValidation type="list" allowBlank="1" showInputMessage="1" showErrorMessage="1" sqref="C4966">
      <formula1>UnidadesList</formula1>
    </dataValidation>
    <dataValidation type="decimal" operator="greaterThan" allowBlank="1" showInputMessage="1" showErrorMessage="1" sqref="D4966">
      <formula1>0</formula1>
    </dataValidation>
    <dataValidation type="decimal" operator="greaterThan" allowBlank="1" showInputMessage="1" showErrorMessage="1" sqref="E4966">
      <formula1>0</formula1>
    </dataValidation>
    <dataValidation type="whole" operator="greaterThan" allowBlank="1" showInputMessage="1" showErrorMessage="1" sqref="A4967">
      <formula1>0</formula1>
    </dataValidation>
    <dataValidation type="list" allowBlank="1" showInputMessage="1" showErrorMessage="1" sqref="C4967">
      <formula1>UnidadesList</formula1>
    </dataValidation>
    <dataValidation type="decimal" operator="greaterThan" allowBlank="1" showInputMessage="1" showErrorMessage="1" sqref="D4967">
      <formula1>0</formula1>
    </dataValidation>
    <dataValidation type="decimal" operator="greaterThan" allowBlank="1" showInputMessage="1" showErrorMessage="1" sqref="E4967">
      <formula1>0</formula1>
    </dataValidation>
    <dataValidation type="whole" operator="greaterThan" allowBlank="1" showInputMessage="1" showErrorMessage="1" sqref="A4968">
      <formula1>0</formula1>
    </dataValidation>
    <dataValidation type="list" allowBlank="1" showInputMessage="1" showErrorMessage="1" sqref="C4968">
      <formula1>UnidadesList</formula1>
    </dataValidation>
    <dataValidation type="decimal" operator="greaterThan" allowBlank="1" showInputMessage="1" showErrorMessage="1" sqref="D4968">
      <formula1>0</formula1>
    </dataValidation>
    <dataValidation type="decimal" operator="greaterThan" allowBlank="1" showInputMessage="1" showErrorMessage="1" sqref="E4968">
      <formula1>0</formula1>
    </dataValidation>
    <dataValidation type="whole" operator="greaterThan" allowBlank="1" showInputMessage="1" showErrorMessage="1" sqref="A4969">
      <formula1>0</formula1>
    </dataValidation>
    <dataValidation type="list" allowBlank="1" showInputMessage="1" showErrorMessage="1" sqref="C4969">
      <formula1>UnidadesList</formula1>
    </dataValidation>
    <dataValidation type="decimal" operator="greaterThan" allowBlank="1" showInputMessage="1" showErrorMessage="1" sqref="D4969">
      <formula1>0</formula1>
    </dataValidation>
    <dataValidation type="decimal" operator="greaterThan" allowBlank="1" showInputMessage="1" showErrorMessage="1" sqref="E4969">
      <formula1>0</formula1>
    </dataValidation>
    <dataValidation type="whole" operator="greaterThan" allowBlank="1" showInputMessage="1" showErrorMessage="1" sqref="A4970">
      <formula1>0</formula1>
    </dataValidation>
    <dataValidation type="list" allowBlank="1" showInputMessage="1" showErrorMessage="1" sqref="C4970">
      <formula1>UnidadesList</formula1>
    </dataValidation>
    <dataValidation type="decimal" operator="greaterThan" allowBlank="1" showInputMessage="1" showErrorMessage="1" sqref="D4970">
      <formula1>0</formula1>
    </dataValidation>
    <dataValidation type="decimal" operator="greaterThan" allowBlank="1" showInputMessage="1" showErrorMessage="1" sqref="E4970">
      <formula1>0</formula1>
    </dataValidation>
    <dataValidation type="whole" operator="greaterThan" allowBlank="1" showInputMessage="1" showErrorMessage="1" sqref="A4971">
      <formula1>0</formula1>
    </dataValidation>
    <dataValidation type="list" allowBlank="1" showInputMessage="1" showErrorMessage="1" sqref="C4971">
      <formula1>UnidadesList</formula1>
    </dataValidation>
    <dataValidation type="decimal" operator="greaterThan" allowBlank="1" showInputMessage="1" showErrorMessage="1" sqref="D4971">
      <formula1>0</formula1>
    </dataValidation>
    <dataValidation type="decimal" operator="greaterThan" allowBlank="1" showInputMessage="1" showErrorMessage="1" sqref="E4971">
      <formula1>0</formula1>
    </dataValidation>
    <dataValidation type="whole" operator="greaterThan" allowBlank="1" showInputMessage="1" showErrorMessage="1" sqref="A4972">
      <formula1>0</formula1>
    </dataValidation>
    <dataValidation type="list" allowBlank="1" showInputMessage="1" showErrorMessage="1" sqref="C4972">
      <formula1>UnidadesList</formula1>
    </dataValidation>
    <dataValidation type="decimal" operator="greaterThan" allowBlank="1" showInputMessage="1" showErrorMessage="1" sqref="D4972">
      <formula1>0</formula1>
    </dataValidation>
    <dataValidation type="decimal" operator="greaterThan" allowBlank="1" showInputMessage="1" showErrorMessage="1" sqref="E4972">
      <formula1>0</formula1>
    </dataValidation>
    <dataValidation type="whole" operator="greaterThan" allowBlank="1" showInputMessage="1" showErrorMessage="1" sqref="A4973">
      <formula1>0</formula1>
    </dataValidation>
    <dataValidation type="list" allowBlank="1" showInputMessage="1" showErrorMessage="1" sqref="C4973">
      <formula1>UnidadesList</formula1>
    </dataValidation>
    <dataValidation type="decimal" operator="greaterThan" allowBlank="1" showInputMessage="1" showErrorMessage="1" sqref="D4973">
      <formula1>0</formula1>
    </dataValidation>
    <dataValidation type="decimal" operator="greaterThan" allowBlank="1" showInputMessage="1" showErrorMessage="1" sqref="E4973">
      <formula1>0</formula1>
    </dataValidation>
    <dataValidation type="whole" operator="greaterThan" allowBlank="1" showInputMessage="1" showErrorMessage="1" sqref="A4974">
      <formula1>0</formula1>
    </dataValidation>
    <dataValidation type="list" allowBlank="1" showInputMessage="1" showErrorMessage="1" sqref="C4974">
      <formula1>UnidadesList</formula1>
    </dataValidation>
    <dataValidation type="decimal" operator="greaterThan" allowBlank="1" showInputMessage="1" showErrorMessage="1" sqref="D4974">
      <formula1>0</formula1>
    </dataValidation>
    <dataValidation type="decimal" operator="greaterThan" allowBlank="1" showInputMessage="1" showErrorMessage="1" sqref="E4974">
      <formula1>0</formula1>
    </dataValidation>
    <dataValidation type="whole" operator="greaterThan" allowBlank="1" showInputMessage="1" showErrorMessage="1" sqref="A4975">
      <formula1>0</formula1>
    </dataValidation>
    <dataValidation type="list" allowBlank="1" showInputMessage="1" showErrorMessage="1" sqref="C4975">
      <formula1>UnidadesList</formula1>
    </dataValidation>
    <dataValidation type="decimal" operator="greaterThan" allowBlank="1" showInputMessage="1" showErrorMessage="1" sqref="D4975">
      <formula1>0</formula1>
    </dataValidation>
    <dataValidation type="decimal" operator="greaterThan" allowBlank="1" showInputMessage="1" showErrorMessage="1" sqref="E4975">
      <formula1>0</formula1>
    </dataValidation>
    <dataValidation type="whole" operator="greaterThan" allowBlank="1" showInputMessage="1" showErrorMessage="1" sqref="A4976">
      <formula1>0</formula1>
    </dataValidation>
    <dataValidation type="list" allowBlank="1" showInputMessage="1" showErrorMessage="1" sqref="C4976">
      <formula1>UnidadesList</formula1>
    </dataValidation>
    <dataValidation type="decimal" operator="greaterThan" allowBlank="1" showInputMessage="1" showErrorMessage="1" sqref="D4976">
      <formula1>0</formula1>
    </dataValidation>
    <dataValidation type="decimal" operator="greaterThan" allowBlank="1" showInputMessage="1" showErrorMessage="1" sqref="E4976">
      <formula1>0</formula1>
    </dataValidation>
    <dataValidation type="whole" operator="greaterThan" allowBlank="1" showInputMessage="1" showErrorMessage="1" sqref="A4977">
      <formula1>0</formula1>
    </dataValidation>
    <dataValidation type="list" allowBlank="1" showInputMessage="1" showErrorMessage="1" sqref="C4977">
      <formula1>UnidadesList</formula1>
    </dataValidation>
    <dataValidation type="decimal" operator="greaterThan" allowBlank="1" showInputMessage="1" showErrorMessage="1" sqref="D4977">
      <formula1>0</formula1>
    </dataValidation>
    <dataValidation type="decimal" operator="greaterThan" allowBlank="1" showInputMessage="1" showErrorMessage="1" sqref="E4977">
      <formula1>0</formula1>
    </dataValidation>
    <dataValidation type="whole" operator="greaterThan" allowBlank="1" showInputMessage="1" showErrorMessage="1" sqref="A4978">
      <formula1>0</formula1>
    </dataValidation>
    <dataValidation type="list" allowBlank="1" showInputMessage="1" showErrorMessage="1" sqref="C4978">
      <formula1>UnidadesList</formula1>
    </dataValidation>
    <dataValidation type="decimal" operator="greaterThan" allowBlank="1" showInputMessage="1" showErrorMessage="1" sqref="D4978">
      <formula1>0</formula1>
    </dataValidation>
    <dataValidation type="decimal" operator="greaterThan" allowBlank="1" showInputMessage="1" showErrorMessage="1" sqref="E4978">
      <formula1>0</formula1>
    </dataValidation>
    <dataValidation type="whole" operator="greaterThan" allowBlank="1" showInputMessage="1" showErrorMessage="1" sqref="A4979">
      <formula1>0</formula1>
    </dataValidation>
    <dataValidation type="list" allowBlank="1" showInputMessage="1" showErrorMessage="1" sqref="C4979">
      <formula1>UnidadesList</formula1>
    </dataValidation>
    <dataValidation type="decimal" operator="greaterThan" allowBlank="1" showInputMessage="1" showErrorMessage="1" sqref="D4979">
      <formula1>0</formula1>
    </dataValidation>
    <dataValidation type="decimal" operator="greaterThan" allowBlank="1" showInputMessage="1" showErrorMessage="1" sqref="E4979">
      <formula1>0</formula1>
    </dataValidation>
    <dataValidation type="whole" operator="greaterThan" allowBlank="1" showInputMessage="1" showErrorMessage="1" sqref="A4980">
      <formula1>0</formula1>
    </dataValidation>
    <dataValidation type="list" allowBlank="1" showInputMessage="1" showErrorMessage="1" sqref="C4980">
      <formula1>UnidadesList</formula1>
    </dataValidation>
    <dataValidation type="decimal" operator="greaterThan" allowBlank="1" showInputMessage="1" showErrorMessage="1" sqref="D4980">
      <formula1>0</formula1>
    </dataValidation>
    <dataValidation type="decimal" operator="greaterThan" allowBlank="1" showInputMessage="1" showErrorMessage="1" sqref="E4980">
      <formula1>0</formula1>
    </dataValidation>
    <dataValidation type="whole" operator="greaterThan" allowBlank="1" showInputMessage="1" showErrorMessage="1" sqref="A4981">
      <formula1>0</formula1>
    </dataValidation>
    <dataValidation type="list" allowBlank="1" showInputMessage="1" showErrorMessage="1" sqref="C4981">
      <formula1>UnidadesList</formula1>
    </dataValidation>
    <dataValidation type="decimal" operator="greaterThan" allowBlank="1" showInputMessage="1" showErrorMessage="1" sqref="D4981">
      <formula1>0</formula1>
    </dataValidation>
    <dataValidation type="decimal" operator="greaterThan" allowBlank="1" showInputMessage="1" showErrorMessage="1" sqref="E4981">
      <formula1>0</formula1>
    </dataValidation>
    <dataValidation type="whole" operator="greaterThan" allowBlank="1" showInputMessage="1" showErrorMessage="1" sqref="A4982">
      <formula1>0</formula1>
    </dataValidation>
    <dataValidation type="list" allowBlank="1" showInputMessage="1" showErrorMessage="1" sqref="C4982">
      <formula1>UnidadesList</formula1>
    </dataValidation>
    <dataValidation type="decimal" operator="greaterThan" allowBlank="1" showInputMessage="1" showErrorMessage="1" sqref="D4982">
      <formula1>0</formula1>
    </dataValidation>
    <dataValidation type="decimal" operator="greaterThan" allowBlank="1" showInputMessage="1" showErrorMessage="1" sqref="E4982">
      <formula1>0</formula1>
    </dataValidation>
    <dataValidation type="whole" operator="greaterThan" allowBlank="1" showInputMessage="1" showErrorMessage="1" sqref="A4983">
      <formula1>0</formula1>
    </dataValidation>
    <dataValidation type="list" allowBlank="1" showInputMessage="1" showErrorMessage="1" sqref="C4983">
      <formula1>UnidadesList</formula1>
    </dataValidation>
    <dataValidation type="decimal" operator="greaterThan" allowBlank="1" showInputMessage="1" showErrorMessage="1" sqref="D4983">
      <formula1>0</formula1>
    </dataValidation>
    <dataValidation type="decimal" operator="greaterThan" allowBlank="1" showInputMessage="1" showErrorMessage="1" sqref="E4983">
      <formula1>0</formula1>
    </dataValidation>
    <dataValidation type="whole" operator="greaterThan" allowBlank="1" showInputMessage="1" showErrorMessage="1" sqref="A4984">
      <formula1>0</formula1>
    </dataValidation>
    <dataValidation type="list" allowBlank="1" showInputMessage="1" showErrorMessage="1" sqref="C4984">
      <formula1>UnidadesList</formula1>
    </dataValidation>
    <dataValidation type="decimal" operator="greaterThan" allowBlank="1" showInputMessage="1" showErrorMessage="1" sqref="D4984">
      <formula1>0</formula1>
    </dataValidation>
    <dataValidation type="decimal" operator="greaterThan" allowBlank="1" showInputMessage="1" showErrorMessage="1" sqref="E4984">
      <formula1>0</formula1>
    </dataValidation>
    <dataValidation type="whole" operator="greaterThan" allowBlank="1" showInputMessage="1" showErrorMessage="1" sqref="A4985">
      <formula1>0</formula1>
    </dataValidation>
    <dataValidation type="list" allowBlank="1" showInputMessage="1" showErrorMessage="1" sqref="C4985">
      <formula1>UnidadesList</formula1>
    </dataValidation>
    <dataValidation type="decimal" operator="greaterThan" allowBlank="1" showInputMessage="1" showErrorMessage="1" sqref="D4985">
      <formula1>0</formula1>
    </dataValidation>
    <dataValidation type="decimal" operator="greaterThan" allowBlank="1" showInputMessage="1" showErrorMessage="1" sqref="E4985">
      <formula1>0</formula1>
    </dataValidation>
    <dataValidation type="whole" operator="greaterThan" allowBlank="1" showInputMessage="1" showErrorMessage="1" sqref="A4986">
      <formula1>0</formula1>
    </dataValidation>
    <dataValidation type="list" allowBlank="1" showInputMessage="1" showErrorMessage="1" sqref="C4986">
      <formula1>UnidadesList</formula1>
    </dataValidation>
    <dataValidation type="decimal" operator="greaterThan" allowBlank="1" showInputMessage="1" showErrorMessage="1" sqref="D4986">
      <formula1>0</formula1>
    </dataValidation>
    <dataValidation type="decimal" operator="greaterThan" allowBlank="1" showInputMessage="1" showErrorMessage="1" sqref="E4986">
      <formula1>0</formula1>
    </dataValidation>
    <dataValidation type="whole" operator="greaterThan" allowBlank="1" showInputMessage="1" showErrorMessage="1" sqref="A4987">
      <formula1>0</formula1>
    </dataValidation>
    <dataValidation type="list" allowBlank="1" showInputMessage="1" showErrorMessage="1" sqref="C4987">
      <formula1>UnidadesList</formula1>
    </dataValidation>
    <dataValidation type="decimal" operator="greaterThan" allowBlank="1" showInputMessage="1" showErrorMessage="1" sqref="D4987">
      <formula1>0</formula1>
    </dataValidation>
    <dataValidation type="decimal" operator="greaterThan" allowBlank="1" showInputMessage="1" showErrorMessage="1" sqref="E4987">
      <formula1>0</formula1>
    </dataValidation>
    <dataValidation type="whole" operator="greaterThan" allowBlank="1" showInputMessage="1" showErrorMessage="1" sqref="A4988">
      <formula1>0</formula1>
    </dataValidation>
    <dataValidation type="list" allowBlank="1" showInputMessage="1" showErrorMessage="1" sqref="C4988">
      <formula1>UnidadesList</formula1>
    </dataValidation>
    <dataValidation type="decimal" operator="greaterThan" allowBlank="1" showInputMessage="1" showErrorMessage="1" sqref="D4988">
      <formula1>0</formula1>
    </dataValidation>
    <dataValidation type="decimal" operator="greaterThan" allowBlank="1" showInputMessage="1" showErrorMessage="1" sqref="E4988">
      <formula1>0</formula1>
    </dataValidation>
    <dataValidation type="whole" operator="greaterThan" allowBlank="1" showInputMessage="1" showErrorMessage="1" sqref="A4989">
      <formula1>0</formula1>
    </dataValidation>
    <dataValidation type="list" allowBlank="1" showInputMessage="1" showErrorMessage="1" sqref="C4989">
      <formula1>UnidadesList</formula1>
    </dataValidation>
    <dataValidation type="decimal" operator="greaterThan" allowBlank="1" showInputMessage="1" showErrorMessage="1" sqref="D4989">
      <formula1>0</formula1>
    </dataValidation>
    <dataValidation type="decimal" operator="greaterThan" allowBlank="1" showInputMessage="1" showErrorMessage="1" sqref="E4989">
      <formula1>0</formula1>
    </dataValidation>
    <dataValidation type="date" operator="lessThanOrEqual" allowBlank="1" showInputMessage="1" showErrorMessage="1" sqref="C4994">
      <formula1>C4996</formula1>
    </dataValidation>
    <dataValidation type="date" operator="greaterThanOrEqual" allowBlank="1" showInputMessage="1" showErrorMessage="1" sqref="C4996">
      <formula1>C4994</formula1>
    </dataValidation>
    <dataValidation type="list" allowBlank="1" showInputMessage="1" showErrorMessage="1" sqref="F49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000">
      <formula1>0</formula1>
    </dataValidation>
    <dataValidation type="list" allowBlank="1" showInputMessage="1" showErrorMessage="1" sqref="C5000">
      <formula1>UnidadesList</formula1>
    </dataValidation>
    <dataValidation type="decimal" operator="greaterThan" allowBlank="1" showInputMessage="1" showErrorMessage="1" sqref="D5000">
      <formula1>0</formula1>
    </dataValidation>
    <dataValidation type="decimal" operator="greaterThan" allowBlank="1" showInputMessage="1" showErrorMessage="1" sqref="E5000">
      <formula1>0</formula1>
    </dataValidation>
    <dataValidation type="whole" operator="greaterThan" allowBlank="1" showInputMessage="1" showErrorMessage="1" sqref="A5001">
      <formula1>0</formula1>
    </dataValidation>
    <dataValidation type="list" allowBlank="1" showInputMessage="1" showErrorMessage="1" sqref="C5001">
      <formula1>UnidadesList</formula1>
    </dataValidation>
    <dataValidation type="decimal" operator="greaterThan" allowBlank="1" showInputMessage="1" showErrorMessage="1" sqref="D5001">
      <formula1>0</formula1>
    </dataValidation>
    <dataValidation type="decimal" operator="greaterThan" allowBlank="1" showInputMessage="1" showErrorMessage="1" sqref="E5001">
      <formula1>0</formula1>
    </dataValidation>
    <dataValidation type="whole" operator="greaterThan" allowBlank="1" showInputMessage="1" showErrorMessage="1" sqref="A5002">
      <formula1>0</formula1>
    </dataValidation>
    <dataValidation type="list" allowBlank="1" showInputMessage="1" showErrorMessage="1" sqref="C5002">
      <formula1>UnidadesList</formula1>
    </dataValidation>
    <dataValidation type="decimal" operator="greaterThan" allowBlank="1" showInputMessage="1" showErrorMessage="1" sqref="D5002">
      <formula1>0</formula1>
    </dataValidation>
    <dataValidation type="decimal" operator="greaterThan" allowBlank="1" showInputMessage="1" showErrorMessage="1" sqref="E5002">
      <formula1>0</formula1>
    </dataValidation>
    <dataValidation type="whole" operator="greaterThan" allowBlank="1" showInputMessage="1" showErrorMessage="1" sqref="A5003">
      <formula1>0</formula1>
    </dataValidation>
    <dataValidation type="list" allowBlank="1" showInputMessage="1" showErrorMessage="1" sqref="C5003">
      <formula1>UnidadesList</formula1>
    </dataValidation>
    <dataValidation type="decimal" operator="greaterThan" allowBlank="1" showInputMessage="1" showErrorMessage="1" sqref="D5003">
      <formula1>0</formula1>
    </dataValidation>
    <dataValidation type="decimal" operator="greaterThan" allowBlank="1" showInputMessage="1" showErrorMessage="1" sqref="E5003">
      <formula1>0</formula1>
    </dataValidation>
    <dataValidation type="whole" operator="greaterThan" allowBlank="1" showInputMessage="1" showErrorMessage="1" sqref="A5004">
      <formula1>0</formula1>
    </dataValidation>
    <dataValidation type="list" allowBlank="1" showInputMessage="1" showErrorMessage="1" sqref="C5004">
      <formula1>UnidadesList</formula1>
    </dataValidation>
    <dataValidation type="decimal" operator="greaterThan" allowBlank="1" showInputMessage="1" showErrorMessage="1" sqref="D5004">
      <formula1>0</formula1>
    </dataValidation>
    <dataValidation type="decimal" operator="greaterThan" allowBlank="1" showInputMessage="1" showErrorMessage="1" sqref="E5004">
      <formula1>0</formula1>
    </dataValidation>
    <dataValidation type="whole" operator="greaterThan" allowBlank="1" showInputMessage="1" showErrorMessage="1" sqref="A5005">
      <formula1>0</formula1>
    </dataValidation>
    <dataValidation type="list" allowBlank="1" showInputMessage="1" showErrorMessage="1" sqref="C5005">
      <formula1>UnidadesList</formula1>
    </dataValidation>
    <dataValidation type="decimal" operator="greaterThan" allowBlank="1" showInputMessage="1" showErrorMessage="1" sqref="D5005">
      <formula1>0</formula1>
    </dataValidation>
    <dataValidation type="decimal" operator="greaterThan" allowBlank="1" showInputMessage="1" showErrorMessage="1" sqref="E5005">
      <formula1>0</formula1>
    </dataValidation>
    <dataValidation type="whole" operator="greaterThan" allowBlank="1" showInputMessage="1" showErrorMessage="1" sqref="A5006">
      <formula1>0</formula1>
    </dataValidation>
    <dataValidation type="list" allowBlank="1" showInputMessage="1" showErrorMessage="1" sqref="C5006">
      <formula1>UnidadesList</formula1>
    </dataValidation>
    <dataValidation type="decimal" operator="greaterThan" allowBlank="1" showInputMessage="1" showErrorMessage="1" sqref="D5006">
      <formula1>0</formula1>
    </dataValidation>
    <dataValidation type="decimal" operator="greaterThan" allowBlank="1" showInputMessage="1" showErrorMessage="1" sqref="E5006">
      <formula1>0</formula1>
    </dataValidation>
    <dataValidation type="whole" operator="greaterThan" allowBlank="1" showInputMessage="1" showErrorMessage="1" sqref="A5007">
      <formula1>0</formula1>
    </dataValidation>
    <dataValidation type="list" allowBlank="1" showInputMessage="1" showErrorMessage="1" sqref="C5007">
      <formula1>UnidadesList</formula1>
    </dataValidation>
    <dataValidation type="decimal" operator="greaterThan" allowBlank="1" showInputMessage="1" showErrorMessage="1" sqref="D5007">
      <formula1>0</formula1>
    </dataValidation>
    <dataValidation type="decimal" operator="greaterThan" allowBlank="1" showInputMessage="1" showErrorMessage="1" sqref="E5007">
      <formula1>0</formula1>
    </dataValidation>
    <dataValidation type="whole" operator="greaterThan" allowBlank="1" showInputMessage="1" showErrorMessage="1" sqref="A5008">
      <formula1>0</formula1>
    </dataValidation>
    <dataValidation type="list" allowBlank="1" showInputMessage="1" showErrorMessage="1" sqref="C5008">
      <formula1>UnidadesList</formula1>
    </dataValidation>
    <dataValidation type="decimal" operator="greaterThan" allowBlank="1" showInputMessage="1" showErrorMessage="1" sqref="D5008">
      <formula1>0</formula1>
    </dataValidation>
    <dataValidation type="decimal" operator="greaterThan" allowBlank="1" showInputMessage="1" showErrorMessage="1" sqref="E5008">
      <formula1>0</formula1>
    </dataValidation>
    <dataValidation type="whole" operator="greaterThan" allowBlank="1" showInputMessage="1" showErrorMessage="1" sqref="A5009">
      <formula1>0</formula1>
    </dataValidation>
    <dataValidation type="list" allowBlank="1" showInputMessage="1" showErrorMessage="1" sqref="C5009">
      <formula1>UnidadesList</formula1>
    </dataValidation>
    <dataValidation type="decimal" operator="greaterThan" allowBlank="1" showInputMessage="1" showErrorMessage="1" sqref="D5009">
      <formula1>0</formula1>
    </dataValidation>
    <dataValidation type="decimal" operator="greaterThan" allowBlank="1" showInputMessage="1" showErrorMessage="1" sqref="E5009">
      <formula1>0</formula1>
    </dataValidation>
    <dataValidation type="whole" operator="greaterThan" allowBlank="1" showInputMessage="1" showErrorMessage="1" sqref="A5010">
      <formula1>0</formula1>
    </dataValidation>
    <dataValidation type="list" allowBlank="1" showInputMessage="1" showErrorMessage="1" sqref="C5010">
      <formula1>UnidadesList</formula1>
    </dataValidation>
    <dataValidation type="decimal" operator="greaterThan" allowBlank="1" showInputMessage="1" showErrorMessage="1" sqref="D5010">
      <formula1>0</formula1>
    </dataValidation>
    <dataValidation type="decimal" operator="greaterThan" allowBlank="1" showInputMessage="1" showErrorMessage="1" sqref="E5010">
      <formula1>0</formula1>
    </dataValidation>
    <dataValidation type="whole" operator="greaterThan" allowBlank="1" showInputMessage="1" showErrorMessage="1" sqref="A5011">
      <formula1>0</formula1>
    </dataValidation>
    <dataValidation type="list" allowBlank="1" showInputMessage="1" showErrorMessage="1" sqref="C5011">
      <formula1>UnidadesList</formula1>
    </dataValidation>
    <dataValidation type="decimal" operator="greaterThan" allowBlank="1" showInputMessage="1" showErrorMessage="1" sqref="D5011">
      <formula1>0</formula1>
    </dataValidation>
    <dataValidation type="decimal" operator="greaterThan" allowBlank="1" showInputMessage="1" showErrorMessage="1" sqref="E5011">
      <formula1>0</formula1>
    </dataValidation>
    <dataValidation type="whole" operator="greaterThan" allowBlank="1" showInputMessage="1" showErrorMessage="1" sqref="A5012">
      <formula1>0</formula1>
    </dataValidation>
    <dataValidation type="list" allowBlank="1" showInputMessage="1" showErrorMessage="1" sqref="C5012">
      <formula1>UnidadesList</formula1>
    </dataValidation>
    <dataValidation type="decimal" operator="greaterThan" allowBlank="1" showInputMessage="1" showErrorMessage="1" sqref="D5012">
      <formula1>0</formula1>
    </dataValidation>
    <dataValidation type="decimal" operator="greaterThan" allowBlank="1" showInputMessage="1" showErrorMessage="1" sqref="E5012">
      <formula1>0</formula1>
    </dataValidation>
    <dataValidation type="whole" operator="greaterThan" allowBlank="1" showInputMessage="1" showErrorMessage="1" sqref="A5013">
      <formula1>0</formula1>
    </dataValidation>
    <dataValidation type="list" allowBlank="1" showInputMessage="1" showErrorMessage="1" sqref="C5013">
      <formula1>UnidadesList</formula1>
    </dataValidation>
    <dataValidation type="decimal" operator="greaterThan" allowBlank="1" showInputMessage="1" showErrorMessage="1" sqref="D5013">
      <formula1>0</formula1>
    </dataValidation>
    <dataValidation type="decimal" operator="greaterThan" allowBlank="1" showInputMessage="1" showErrorMessage="1" sqref="E5013">
      <formula1>0</formula1>
    </dataValidation>
    <dataValidation type="whole" operator="greaterThan" allowBlank="1" showInputMessage="1" showErrorMessage="1" sqref="A5014">
      <formula1>0</formula1>
    </dataValidation>
    <dataValidation type="list" allowBlank="1" showInputMessage="1" showErrorMessage="1" sqref="C5014">
      <formula1>UnidadesList</formula1>
    </dataValidation>
    <dataValidation type="decimal" operator="greaterThan" allowBlank="1" showInputMessage="1" showErrorMessage="1" sqref="D5014">
      <formula1>0</formula1>
    </dataValidation>
    <dataValidation type="decimal" operator="greaterThan" allowBlank="1" showInputMessage="1" showErrorMessage="1" sqref="E5014">
      <formula1>0</formula1>
    </dataValidation>
    <dataValidation type="whole" operator="greaterThan" allowBlank="1" showInputMessage="1" showErrorMessage="1" sqref="A5015">
      <formula1>0</formula1>
    </dataValidation>
    <dataValidation type="list" allowBlank="1" showInputMessage="1" showErrorMessage="1" sqref="C5015">
      <formula1>UnidadesList</formula1>
    </dataValidation>
    <dataValidation type="decimal" operator="greaterThan" allowBlank="1" showInputMessage="1" showErrorMessage="1" sqref="D5015">
      <formula1>0</formula1>
    </dataValidation>
    <dataValidation type="decimal" operator="greaterThan" allowBlank="1" showInputMessage="1" showErrorMessage="1" sqref="E5015">
      <formula1>0</formula1>
    </dataValidation>
    <dataValidation type="whole" operator="greaterThan" allowBlank="1" showInputMessage="1" showErrorMessage="1" sqref="A5016">
      <formula1>0</formula1>
    </dataValidation>
    <dataValidation type="list" allowBlank="1" showInputMessage="1" showErrorMessage="1" sqref="C5016">
      <formula1>UnidadesList</formula1>
    </dataValidation>
    <dataValidation type="decimal" operator="greaterThan" allowBlank="1" showInputMessage="1" showErrorMessage="1" sqref="D5016">
      <formula1>0</formula1>
    </dataValidation>
    <dataValidation type="decimal" operator="greaterThan" allowBlank="1" showInputMessage="1" showErrorMessage="1" sqref="E5016">
      <formula1>0</formula1>
    </dataValidation>
    <dataValidation type="whole" operator="greaterThan" allowBlank="1" showInputMessage="1" showErrorMessage="1" sqref="A5017">
      <formula1>0</formula1>
    </dataValidation>
    <dataValidation type="list" allowBlank="1" showInputMessage="1" showErrorMessage="1" sqref="C5017">
      <formula1>UnidadesList</formula1>
    </dataValidation>
    <dataValidation type="decimal" operator="greaterThan" allowBlank="1" showInputMessage="1" showErrorMessage="1" sqref="D5017">
      <formula1>0</formula1>
    </dataValidation>
    <dataValidation type="decimal" operator="greaterThan" allowBlank="1" showInputMessage="1" showErrorMessage="1" sqref="E5017">
      <formula1>0</formula1>
    </dataValidation>
    <dataValidation type="whole" operator="greaterThan" allowBlank="1" showInputMessage="1" showErrorMessage="1" sqref="A5018">
      <formula1>0</formula1>
    </dataValidation>
    <dataValidation type="list" allowBlank="1" showInputMessage="1" showErrorMessage="1" sqref="C5018">
      <formula1>UnidadesList</formula1>
    </dataValidation>
    <dataValidation type="decimal" operator="greaterThan" allowBlank="1" showInputMessage="1" showErrorMessage="1" sqref="D5018">
      <formula1>0</formula1>
    </dataValidation>
    <dataValidation type="decimal" operator="greaterThan" allowBlank="1" showInputMessage="1" showErrorMessage="1" sqref="E5018">
      <formula1>0</formula1>
    </dataValidation>
    <dataValidation type="whole" operator="greaterThan" allowBlank="1" showInputMessage="1" showErrorMessage="1" sqref="A5019">
      <formula1>0</formula1>
    </dataValidation>
    <dataValidation type="list" allowBlank="1" showInputMessage="1" showErrorMessage="1" sqref="C5019">
      <formula1>UnidadesList</formula1>
    </dataValidation>
    <dataValidation type="decimal" operator="greaterThan" allowBlank="1" showInputMessage="1" showErrorMessage="1" sqref="D5019">
      <formula1>0</formula1>
    </dataValidation>
    <dataValidation type="decimal" operator="greaterThan" allowBlank="1" showInputMessage="1" showErrorMessage="1" sqref="E5019">
      <formula1>0</formula1>
    </dataValidation>
    <dataValidation type="whole" operator="greaterThan" allowBlank="1" showInputMessage="1" showErrorMessage="1" sqref="A5020">
      <formula1>0</formula1>
    </dataValidation>
    <dataValidation type="list" allowBlank="1" showInputMessage="1" showErrorMessage="1" sqref="C5020">
      <formula1>UnidadesList</formula1>
    </dataValidation>
    <dataValidation type="decimal" operator="greaterThan" allowBlank="1" showInputMessage="1" showErrorMessage="1" sqref="D5020">
      <formula1>0</formula1>
    </dataValidation>
    <dataValidation type="decimal" operator="greaterThan" allowBlank="1" showInputMessage="1" showErrorMessage="1" sqref="E5020">
      <formula1>0</formula1>
    </dataValidation>
    <dataValidation type="whole" operator="greaterThan" allowBlank="1" showInputMessage="1" showErrorMessage="1" sqref="A5021">
      <formula1>0</formula1>
    </dataValidation>
    <dataValidation type="list" allowBlank="1" showInputMessage="1" showErrorMessage="1" sqref="C5021">
      <formula1>UnidadesList</formula1>
    </dataValidation>
    <dataValidation type="decimal" operator="greaterThan" allowBlank="1" showInputMessage="1" showErrorMessage="1" sqref="D5021">
      <formula1>0</formula1>
    </dataValidation>
    <dataValidation type="decimal" operator="greaterThan" allowBlank="1" showInputMessage="1" showErrorMessage="1" sqref="E5021">
      <formula1>0</formula1>
    </dataValidation>
    <dataValidation type="whole" operator="greaterThan" allowBlank="1" showInputMessage="1" showErrorMessage="1" sqref="A5022">
      <formula1>0</formula1>
    </dataValidation>
    <dataValidation type="list" allowBlank="1" showInputMessage="1" showErrorMessage="1" sqref="C5022">
      <formula1>UnidadesList</formula1>
    </dataValidation>
    <dataValidation type="decimal" operator="greaterThan" allowBlank="1" showInputMessage="1" showErrorMessage="1" sqref="D5022">
      <formula1>0</formula1>
    </dataValidation>
    <dataValidation type="decimal" operator="greaterThan" allowBlank="1" showInputMessage="1" showErrorMessage="1" sqref="E5022">
      <formula1>0</formula1>
    </dataValidation>
    <dataValidation type="whole" operator="greaterThan" allowBlank="1" showInputMessage="1" showErrorMessage="1" sqref="A5023">
      <formula1>0</formula1>
    </dataValidation>
    <dataValidation type="list" allowBlank="1" showInputMessage="1" showErrorMessage="1" sqref="C5023">
      <formula1>UnidadesList</formula1>
    </dataValidation>
    <dataValidation type="decimal" operator="greaterThan" allowBlank="1" showInputMessage="1" showErrorMessage="1" sqref="D5023">
      <formula1>0</formula1>
    </dataValidation>
    <dataValidation type="decimal" operator="greaterThan" allowBlank="1" showInputMessage="1" showErrorMessage="1" sqref="E5023">
      <formula1>0</formula1>
    </dataValidation>
    <dataValidation type="whole" operator="greaterThan" allowBlank="1" showInputMessage="1" showErrorMessage="1" sqref="A5024">
      <formula1>0</formula1>
    </dataValidation>
    <dataValidation type="list" allowBlank="1" showInputMessage="1" showErrorMessage="1" sqref="C5024">
      <formula1>UnidadesList</formula1>
    </dataValidation>
    <dataValidation type="decimal" operator="greaterThan" allowBlank="1" showInputMessage="1" showErrorMessage="1" sqref="D5024">
      <formula1>0</formula1>
    </dataValidation>
    <dataValidation type="decimal" operator="greaterThan" allowBlank="1" showInputMessage="1" showErrorMessage="1" sqref="E5024">
      <formula1>0</formula1>
    </dataValidation>
    <dataValidation type="whole" operator="greaterThan" allowBlank="1" showInputMessage="1" showErrorMessage="1" sqref="A5025">
      <formula1>0</formula1>
    </dataValidation>
    <dataValidation type="list" allowBlank="1" showInputMessage="1" showErrorMessage="1" sqref="C5025">
      <formula1>UnidadesList</formula1>
    </dataValidation>
    <dataValidation type="decimal" operator="greaterThan" allowBlank="1" showInputMessage="1" showErrorMessage="1" sqref="D5025">
      <formula1>0</formula1>
    </dataValidation>
    <dataValidation type="decimal" operator="greaterThan" allowBlank="1" showInputMessage="1" showErrorMessage="1" sqref="E5025">
      <formula1>0</formula1>
    </dataValidation>
    <dataValidation type="whole" operator="greaterThan" allowBlank="1" showInputMessage="1" showErrorMessage="1" sqref="A5026">
      <formula1>0</formula1>
    </dataValidation>
    <dataValidation type="list" allowBlank="1" showInputMessage="1" showErrorMessage="1" sqref="C5026">
      <formula1>UnidadesList</formula1>
    </dataValidation>
    <dataValidation type="decimal" operator="greaterThan" allowBlank="1" showInputMessage="1" showErrorMessage="1" sqref="D5026">
      <formula1>0</formula1>
    </dataValidation>
    <dataValidation type="decimal" operator="greaterThan" allowBlank="1" showInputMessage="1" showErrorMessage="1" sqref="E5026">
      <formula1>0</formula1>
    </dataValidation>
    <dataValidation type="whole" operator="greaterThan" allowBlank="1" showInputMessage="1" showErrorMessage="1" sqref="A5027">
      <formula1>0</formula1>
    </dataValidation>
    <dataValidation type="list" allowBlank="1" showInputMessage="1" showErrorMessage="1" sqref="C5027">
      <formula1>UnidadesList</formula1>
    </dataValidation>
    <dataValidation type="decimal" operator="greaterThan" allowBlank="1" showInputMessage="1" showErrorMessage="1" sqref="D5027">
      <formula1>0</formula1>
    </dataValidation>
    <dataValidation type="decimal" operator="greaterThan" allowBlank="1" showInputMessage="1" showErrorMessage="1" sqref="E5027">
      <formula1>0</formula1>
    </dataValidation>
    <dataValidation type="whole" operator="greaterThan" allowBlank="1" showInputMessage="1" showErrorMessage="1" sqref="A5028">
      <formula1>0</formula1>
    </dataValidation>
    <dataValidation type="list" allowBlank="1" showInputMessage="1" showErrorMessage="1" sqref="C5028">
      <formula1>UnidadesList</formula1>
    </dataValidation>
    <dataValidation type="decimal" operator="greaterThan" allowBlank="1" showInputMessage="1" showErrorMessage="1" sqref="D5028">
      <formula1>0</formula1>
    </dataValidation>
    <dataValidation type="decimal" operator="greaterThan" allowBlank="1" showInputMessage="1" showErrorMessage="1" sqref="E5028">
      <formula1>0</formula1>
    </dataValidation>
    <dataValidation type="whole" operator="greaterThan" allowBlank="1" showInputMessage="1" showErrorMessage="1" sqref="A5029">
      <formula1>0</formula1>
    </dataValidation>
    <dataValidation type="list" allowBlank="1" showInputMessage="1" showErrorMessage="1" sqref="C5029">
      <formula1>UnidadesList</formula1>
    </dataValidation>
    <dataValidation type="decimal" operator="greaterThan" allowBlank="1" showInputMessage="1" showErrorMessage="1" sqref="D5029">
      <formula1>0</formula1>
    </dataValidation>
    <dataValidation type="decimal" operator="greaterThan" allowBlank="1" showInputMessage="1" showErrorMessage="1" sqref="E5029">
      <formula1>0</formula1>
    </dataValidation>
    <dataValidation type="whole" operator="greaterThan" allowBlank="1" showInputMessage="1" showErrorMessage="1" sqref="A5030">
      <formula1>0</formula1>
    </dataValidation>
    <dataValidation type="list" allowBlank="1" showInputMessage="1" showErrorMessage="1" sqref="C5030">
      <formula1>UnidadesList</formula1>
    </dataValidation>
    <dataValidation type="decimal" operator="greaterThan" allowBlank="1" showInputMessage="1" showErrorMessage="1" sqref="D5030">
      <formula1>0</formula1>
    </dataValidation>
    <dataValidation type="decimal" operator="greaterThan" allowBlank="1" showInputMessage="1" showErrorMessage="1" sqref="E5030">
      <formula1>0</formula1>
    </dataValidation>
    <dataValidation type="whole" operator="greaterThan" allowBlank="1" showInputMessage="1" showErrorMessage="1" sqref="A5031">
      <formula1>0</formula1>
    </dataValidation>
    <dataValidation type="list" allowBlank="1" showInputMessage="1" showErrorMessage="1" sqref="C5031">
      <formula1>UnidadesList</formula1>
    </dataValidation>
    <dataValidation type="decimal" operator="greaterThan" allowBlank="1" showInputMessage="1" showErrorMessage="1" sqref="D5031">
      <formula1>0</formula1>
    </dataValidation>
    <dataValidation type="decimal" operator="greaterThan" allowBlank="1" showInputMessage="1" showErrorMessage="1" sqref="E5031">
      <formula1>0</formula1>
    </dataValidation>
    <dataValidation type="whole" operator="greaterThan" allowBlank="1" showInputMessage="1" showErrorMessage="1" sqref="A5032">
      <formula1>0</formula1>
    </dataValidation>
    <dataValidation type="list" allowBlank="1" showInputMessage="1" showErrorMessage="1" sqref="C5032">
      <formula1>UnidadesList</formula1>
    </dataValidation>
    <dataValidation type="decimal" operator="greaterThan" allowBlank="1" showInputMessage="1" showErrorMessage="1" sqref="D5032">
      <formula1>0</formula1>
    </dataValidation>
    <dataValidation type="decimal" operator="greaterThan" allowBlank="1" showInputMessage="1" showErrorMessage="1" sqref="E5032">
      <formula1>0</formula1>
    </dataValidation>
    <dataValidation type="whole" operator="greaterThan" allowBlank="1" showInputMessage="1" showErrorMessage="1" sqref="A5033">
      <formula1>0</formula1>
    </dataValidation>
    <dataValidation type="list" allowBlank="1" showInputMessage="1" showErrorMessage="1" sqref="C5033">
      <formula1>UnidadesList</formula1>
    </dataValidation>
    <dataValidation type="decimal" operator="greaterThan" allowBlank="1" showInputMessage="1" showErrorMessage="1" sqref="D5033">
      <formula1>0</formula1>
    </dataValidation>
    <dataValidation type="decimal" operator="greaterThan" allowBlank="1" showInputMessage="1" showErrorMessage="1" sqref="E5033">
      <formula1>0</formula1>
    </dataValidation>
    <dataValidation type="whole" operator="greaterThan" allowBlank="1" showInputMessage="1" showErrorMessage="1" sqref="A5034">
      <formula1>0</formula1>
    </dataValidation>
    <dataValidation type="list" allowBlank="1" showInputMessage="1" showErrorMessage="1" sqref="C5034">
      <formula1>UnidadesList</formula1>
    </dataValidation>
    <dataValidation type="decimal" operator="greaterThan" allowBlank="1" showInputMessage="1" showErrorMessage="1" sqref="D5034">
      <formula1>0</formula1>
    </dataValidation>
    <dataValidation type="decimal" operator="greaterThan" allowBlank="1" showInputMessage="1" showErrorMessage="1" sqref="E5034">
      <formula1>0</formula1>
    </dataValidation>
    <dataValidation type="whole" operator="greaterThan" allowBlank="1" showInputMessage="1" showErrorMessage="1" sqref="A5035">
      <formula1>0</formula1>
    </dataValidation>
    <dataValidation type="list" allowBlank="1" showInputMessage="1" showErrorMessage="1" sqref="C5035">
      <formula1>UnidadesList</formula1>
    </dataValidation>
    <dataValidation type="decimal" operator="greaterThan" allowBlank="1" showInputMessage="1" showErrorMessage="1" sqref="D5035">
      <formula1>0</formula1>
    </dataValidation>
    <dataValidation type="decimal" operator="greaterThan" allowBlank="1" showInputMessage="1" showErrorMessage="1" sqref="E5035">
      <formula1>0</formula1>
    </dataValidation>
    <dataValidation type="whole" operator="greaterThan" allowBlank="1" showInputMessage="1" showErrorMessage="1" sqref="A5036">
      <formula1>0</formula1>
    </dataValidation>
    <dataValidation type="list" allowBlank="1" showInputMessage="1" showErrorMessage="1" sqref="C5036">
      <formula1>UnidadesList</formula1>
    </dataValidation>
    <dataValidation type="decimal" operator="greaterThan" allowBlank="1" showInputMessage="1" showErrorMessage="1" sqref="D5036">
      <formula1>0</formula1>
    </dataValidation>
    <dataValidation type="decimal" operator="greaterThan" allowBlank="1" showInputMessage="1" showErrorMessage="1" sqref="E5036">
      <formula1>0</formula1>
    </dataValidation>
    <dataValidation type="whole" operator="greaterThan" allowBlank="1" showInputMessage="1" showErrorMessage="1" sqref="A5037">
      <formula1>0</formula1>
    </dataValidation>
    <dataValidation type="list" allowBlank="1" showInputMessage="1" showErrorMessage="1" sqref="C5037">
      <formula1>UnidadesList</formula1>
    </dataValidation>
    <dataValidation type="decimal" operator="greaterThan" allowBlank="1" showInputMessage="1" showErrorMessage="1" sqref="D5037">
      <formula1>0</formula1>
    </dataValidation>
    <dataValidation type="decimal" operator="greaterThan" allowBlank="1" showInputMessage="1" showErrorMessage="1" sqref="E5037">
      <formula1>0</formula1>
    </dataValidation>
    <dataValidation type="whole" operator="greaterThan" allowBlank="1" showInputMessage="1" showErrorMessage="1" sqref="A5038">
      <formula1>0</formula1>
    </dataValidation>
    <dataValidation type="list" allowBlank="1" showInputMessage="1" showErrorMessage="1" sqref="C5038">
      <formula1>UnidadesList</formula1>
    </dataValidation>
    <dataValidation type="decimal" operator="greaterThan" allowBlank="1" showInputMessage="1" showErrorMessage="1" sqref="D5038">
      <formula1>0</formula1>
    </dataValidation>
    <dataValidation type="decimal" operator="greaterThan" allowBlank="1" showInputMessage="1" showErrorMessage="1" sqref="E5038">
      <formula1>0</formula1>
    </dataValidation>
    <dataValidation type="whole" operator="greaterThan" allowBlank="1" showInputMessage="1" showErrorMessage="1" sqref="A5039">
      <formula1>0</formula1>
    </dataValidation>
    <dataValidation type="list" allowBlank="1" showInputMessage="1" showErrorMessage="1" sqref="C5039">
      <formula1>UnidadesList</formula1>
    </dataValidation>
    <dataValidation type="decimal" operator="greaterThan" allowBlank="1" showInputMessage="1" showErrorMessage="1" sqref="D5039">
      <formula1>0</formula1>
    </dataValidation>
    <dataValidation type="decimal" operator="greaterThan" allowBlank="1" showInputMessage="1" showErrorMessage="1" sqref="E5039">
      <formula1>0</formula1>
    </dataValidation>
    <dataValidation type="whole" operator="greaterThan" allowBlank="1" showInputMessage="1" showErrorMessage="1" sqref="A5040">
      <formula1>0</formula1>
    </dataValidation>
    <dataValidation type="list" allowBlank="1" showInputMessage="1" showErrorMessage="1" sqref="C5040">
      <formula1>UnidadesList</formula1>
    </dataValidation>
    <dataValidation type="decimal" operator="greaterThan" allowBlank="1" showInputMessage="1" showErrorMessage="1" sqref="D5040">
      <formula1>0</formula1>
    </dataValidation>
    <dataValidation type="decimal" operator="greaterThan" allowBlank="1" showInputMessage="1" showErrorMessage="1" sqref="E5040">
      <formula1>0</formula1>
    </dataValidation>
    <dataValidation type="whole" operator="greaterThan" allowBlank="1" showInputMessage="1" showErrorMessage="1" sqref="A5041">
      <formula1>0</formula1>
    </dataValidation>
    <dataValidation type="list" allowBlank="1" showInputMessage="1" showErrorMessage="1" sqref="C5041">
      <formula1>UnidadesList</formula1>
    </dataValidation>
    <dataValidation type="decimal" operator="greaterThan" allowBlank="1" showInputMessage="1" showErrorMessage="1" sqref="D5041">
      <formula1>0</formula1>
    </dataValidation>
    <dataValidation type="decimal" operator="greaterThan" allowBlank="1" showInputMessage="1" showErrorMessage="1" sqref="E5041">
      <formula1>0</formula1>
    </dataValidation>
    <dataValidation type="whole" operator="greaterThan" allowBlank="1" showInputMessage="1" showErrorMessage="1" sqref="A5042">
      <formula1>0</formula1>
    </dataValidation>
    <dataValidation type="list" allowBlank="1" showInputMessage="1" showErrorMessage="1" sqref="C5042">
      <formula1>UnidadesList</formula1>
    </dataValidation>
    <dataValidation type="decimal" operator="greaterThan" allowBlank="1" showInputMessage="1" showErrorMessage="1" sqref="D5042">
      <formula1>0</formula1>
    </dataValidation>
    <dataValidation type="decimal" operator="greaterThan" allowBlank="1" showInputMessage="1" showErrorMessage="1" sqref="E5042">
      <formula1>0</formula1>
    </dataValidation>
    <dataValidation type="whole" operator="greaterThan" allowBlank="1" showInputMessage="1" showErrorMessage="1" sqref="A5043">
      <formula1>0</formula1>
    </dataValidation>
    <dataValidation type="list" allowBlank="1" showInputMessage="1" showErrorMessage="1" sqref="C5043">
      <formula1>UnidadesList</formula1>
    </dataValidation>
    <dataValidation type="decimal" operator="greaterThan" allowBlank="1" showInputMessage="1" showErrorMessage="1" sqref="D5043">
      <formula1>0</formula1>
    </dataValidation>
    <dataValidation type="decimal" operator="greaterThan" allowBlank="1" showInputMessage="1" showErrorMessage="1" sqref="E5043">
      <formula1>0</formula1>
    </dataValidation>
    <dataValidation type="whole" operator="greaterThan" allowBlank="1" showInputMessage="1" showErrorMessage="1" sqref="A5044">
      <formula1>0</formula1>
    </dataValidation>
    <dataValidation type="list" allowBlank="1" showInputMessage="1" showErrorMessage="1" sqref="C5044">
      <formula1>UnidadesList</formula1>
    </dataValidation>
    <dataValidation type="decimal" operator="greaterThan" allowBlank="1" showInputMessage="1" showErrorMessage="1" sqref="D5044">
      <formula1>0</formula1>
    </dataValidation>
    <dataValidation type="decimal" operator="greaterThan" allowBlank="1" showInputMessage="1" showErrorMessage="1" sqref="E5044">
      <formula1>0</formula1>
    </dataValidation>
    <dataValidation type="whole" operator="greaterThan" allowBlank="1" showInputMessage="1" showErrorMessage="1" sqref="A5045">
      <formula1>0</formula1>
    </dataValidation>
    <dataValidation type="list" allowBlank="1" showInputMessage="1" showErrorMessage="1" sqref="C5045">
      <formula1>UnidadesList</formula1>
    </dataValidation>
    <dataValidation type="decimal" operator="greaterThan" allowBlank="1" showInputMessage="1" showErrorMessage="1" sqref="D5045">
      <formula1>0</formula1>
    </dataValidation>
    <dataValidation type="decimal" operator="greaterThan" allowBlank="1" showInputMessage="1" showErrorMessage="1" sqref="E5045">
      <formula1>0</formula1>
    </dataValidation>
    <dataValidation type="whole" operator="greaterThan" allowBlank="1" showInputMessage="1" showErrorMessage="1" sqref="A5046">
      <formula1>0</formula1>
    </dataValidation>
    <dataValidation type="list" allowBlank="1" showInputMessage="1" showErrorMessage="1" sqref="C5046">
      <formula1>UnidadesList</formula1>
    </dataValidation>
    <dataValidation type="decimal" operator="greaterThan" allowBlank="1" showInputMessage="1" showErrorMessage="1" sqref="D5046">
      <formula1>0</formula1>
    </dataValidation>
    <dataValidation type="decimal" operator="greaterThan" allowBlank="1" showInputMessage="1" showErrorMessage="1" sqref="E5046">
      <formula1>0</formula1>
    </dataValidation>
    <dataValidation type="whole" operator="greaterThan" allowBlank="1" showInputMessage="1" showErrorMessage="1" sqref="A5047">
      <formula1>0</formula1>
    </dataValidation>
    <dataValidation type="list" allowBlank="1" showInputMessage="1" showErrorMessage="1" sqref="C5047">
      <formula1>UnidadesList</formula1>
    </dataValidation>
    <dataValidation type="decimal" operator="greaterThan" allowBlank="1" showInputMessage="1" showErrorMessage="1" sqref="D5047">
      <formula1>0</formula1>
    </dataValidation>
    <dataValidation type="decimal" operator="greaterThan" allowBlank="1" showInputMessage="1" showErrorMessage="1" sqref="E5047">
      <formula1>0</formula1>
    </dataValidation>
    <dataValidation type="whole" operator="greaterThan" allowBlank="1" showInputMessage="1" showErrorMessage="1" sqref="A5048">
      <formula1>0</formula1>
    </dataValidation>
    <dataValidation type="list" allowBlank="1" showInputMessage="1" showErrorMessage="1" sqref="C5048">
      <formula1>UnidadesList</formula1>
    </dataValidation>
    <dataValidation type="decimal" operator="greaterThan" allowBlank="1" showInputMessage="1" showErrorMessage="1" sqref="D5048">
      <formula1>0</formula1>
    </dataValidation>
    <dataValidation type="decimal" operator="greaterThan" allowBlank="1" showInputMessage="1" showErrorMessage="1" sqref="E5048">
      <formula1>0</formula1>
    </dataValidation>
    <dataValidation type="whole" operator="greaterThan" allowBlank="1" showInputMessage="1" showErrorMessage="1" sqref="A5049">
      <formula1>0</formula1>
    </dataValidation>
    <dataValidation type="list" allowBlank="1" showInputMessage="1" showErrorMessage="1" sqref="C5049">
      <formula1>UnidadesList</formula1>
    </dataValidation>
    <dataValidation type="decimal" operator="greaterThan" allowBlank="1" showInputMessage="1" showErrorMessage="1" sqref="D5049">
      <formula1>0</formula1>
    </dataValidation>
    <dataValidation type="decimal" operator="greaterThan" allowBlank="1" showInputMessage="1" showErrorMessage="1" sqref="E5049">
      <formula1>0</formula1>
    </dataValidation>
    <dataValidation type="whole" operator="greaterThan" allowBlank="1" showInputMessage="1" showErrorMessage="1" sqref="A5050">
      <formula1>0</formula1>
    </dataValidation>
    <dataValidation type="list" allowBlank="1" showInputMessage="1" showErrorMessage="1" sqref="C5050">
      <formula1>UnidadesList</formula1>
    </dataValidation>
    <dataValidation type="decimal" operator="greaterThan" allowBlank="1" showInputMessage="1" showErrorMessage="1" sqref="D5050">
      <formula1>0</formula1>
    </dataValidation>
    <dataValidation type="decimal" operator="greaterThan" allowBlank="1" showInputMessage="1" showErrorMessage="1" sqref="E5050">
      <formula1>0</formula1>
    </dataValidation>
    <dataValidation type="whole" operator="greaterThan" allowBlank="1" showInputMessage="1" showErrorMessage="1" sqref="A5051">
      <formula1>0</formula1>
    </dataValidation>
    <dataValidation type="list" allowBlank="1" showInputMessage="1" showErrorMessage="1" sqref="C5051">
      <formula1>UnidadesList</formula1>
    </dataValidation>
    <dataValidation type="decimal" operator="greaterThan" allowBlank="1" showInputMessage="1" showErrorMessage="1" sqref="D5051">
      <formula1>0</formula1>
    </dataValidation>
    <dataValidation type="decimal" operator="greaterThan" allowBlank="1" showInputMessage="1" showErrorMessage="1" sqref="E5051">
      <formula1>0</formula1>
    </dataValidation>
    <dataValidation type="whole" operator="greaterThan" allowBlank="1" showInputMessage="1" showErrorMessage="1" sqref="A5052">
      <formula1>0</formula1>
    </dataValidation>
    <dataValidation type="list" allowBlank="1" showInputMessage="1" showErrorMessage="1" sqref="C5052">
      <formula1>UnidadesList</formula1>
    </dataValidation>
    <dataValidation type="decimal" operator="greaterThan" allowBlank="1" showInputMessage="1" showErrorMessage="1" sqref="D5052">
      <formula1>0</formula1>
    </dataValidation>
    <dataValidation type="decimal" operator="greaterThan" allowBlank="1" showInputMessage="1" showErrorMessage="1" sqref="E5052">
      <formula1>0</formula1>
    </dataValidation>
    <dataValidation type="whole" operator="greaterThan" allowBlank="1" showInputMessage="1" showErrorMessage="1" sqref="A5053">
      <formula1>0</formula1>
    </dataValidation>
    <dataValidation type="list" allowBlank="1" showInputMessage="1" showErrorMessage="1" sqref="C5053">
      <formula1>UnidadesList</formula1>
    </dataValidation>
    <dataValidation type="decimal" operator="greaterThan" allowBlank="1" showInputMessage="1" showErrorMessage="1" sqref="D5053">
      <formula1>0</formula1>
    </dataValidation>
    <dataValidation type="decimal" operator="greaterThan" allowBlank="1" showInputMessage="1" showErrorMessage="1" sqref="E5053">
      <formula1>0</formula1>
    </dataValidation>
    <dataValidation type="whole" operator="greaterThan" allowBlank="1" showInputMessage="1" showErrorMessage="1" sqref="A5054">
      <formula1>0</formula1>
    </dataValidation>
    <dataValidation type="list" allowBlank="1" showInputMessage="1" showErrorMessage="1" sqref="C5054">
      <formula1>UnidadesList</formula1>
    </dataValidation>
    <dataValidation type="decimal" operator="greaterThan" allowBlank="1" showInputMessage="1" showErrorMessage="1" sqref="D5054">
      <formula1>0</formula1>
    </dataValidation>
    <dataValidation type="decimal" operator="greaterThan" allowBlank="1" showInputMessage="1" showErrorMessage="1" sqref="E5054">
      <formula1>0</formula1>
    </dataValidation>
    <dataValidation type="whole" operator="greaterThan" allowBlank="1" showInputMessage="1" showErrorMessage="1" sqref="A5055">
      <formula1>0</formula1>
    </dataValidation>
    <dataValidation type="list" allowBlank="1" showInputMessage="1" showErrorMessage="1" sqref="C5055">
      <formula1>UnidadesList</formula1>
    </dataValidation>
    <dataValidation type="decimal" operator="greaterThan" allowBlank="1" showInputMessage="1" showErrorMessage="1" sqref="D5055">
      <formula1>0</formula1>
    </dataValidation>
    <dataValidation type="decimal" operator="greaterThan" allowBlank="1" showInputMessage="1" showErrorMessage="1" sqref="E5055">
      <formula1>0</formula1>
    </dataValidation>
    <dataValidation type="whole" operator="greaterThan" allowBlank="1" showInputMessage="1" showErrorMessage="1" sqref="A5056">
      <formula1>0</formula1>
    </dataValidation>
    <dataValidation type="list" allowBlank="1" showInputMessage="1" showErrorMessage="1" sqref="C5056">
      <formula1>UnidadesList</formula1>
    </dataValidation>
    <dataValidation type="decimal" operator="greaterThan" allowBlank="1" showInputMessage="1" showErrorMessage="1" sqref="D5056">
      <formula1>0</formula1>
    </dataValidation>
    <dataValidation type="decimal" operator="greaterThan" allowBlank="1" showInputMessage="1" showErrorMessage="1" sqref="E5056">
      <formula1>0</formula1>
    </dataValidation>
    <dataValidation type="whole" operator="greaterThan" allowBlank="1" showInputMessage="1" showErrorMessage="1" sqref="A5057">
      <formula1>0</formula1>
    </dataValidation>
    <dataValidation type="list" allowBlank="1" showInputMessage="1" showErrorMessage="1" sqref="C5057">
      <formula1>UnidadesList</formula1>
    </dataValidation>
    <dataValidation type="decimal" operator="greaterThan" allowBlank="1" showInputMessage="1" showErrorMessage="1" sqref="D5057">
      <formula1>0</formula1>
    </dataValidation>
    <dataValidation type="decimal" operator="greaterThan" allowBlank="1" showInputMessage="1" showErrorMessage="1" sqref="E5057">
      <formula1>0</formula1>
    </dataValidation>
    <dataValidation type="whole" operator="greaterThan" allowBlank="1" showInputMessage="1" showErrorMessage="1" sqref="A5058">
      <formula1>0</formula1>
    </dataValidation>
    <dataValidation type="list" allowBlank="1" showInputMessage="1" showErrorMessage="1" sqref="C5058">
      <formula1>UnidadesList</formula1>
    </dataValidation>
    <dataValidation type="decimal" operator="greaterThan" allowBlank="1" showInputMessage="1" showErrorMessage="1" sqref="D5058">
      <formula1>0</formula1>
    </dataValidation>
    <dataValidation type="decimal" operator="greaterThan" allowBlank="1" showInputMessage="1" showErrorMessage="1" sqref="E5058">
      <formula1>0</formula1>
    </dataValidation>
    <dataValidation type="whole" operator="greaterThan" allowBlank="1" showInputMessage="1" showErrorMessage="1" sqref="A5059">
      <formula1>0</formula1>
    </dataValidation>
    <dataValidation type="list" allowBlank="1" showInputMessage="1" showErrorMessage="1" sqref="C5059">
      <formula1>UnidadesList</formula1>
    </dataValidation>
    <dataValidation type="decimal" operator="greaterThan" allowBlank="1" showInputMessage="1" showErrorMessage="1" sqref="D5059">
      <formula1>0</formula1>
    </dataValidation>
    <dataValidation type="decimal" operator="greaterThan" allowBlank="1" showInputMessage="1" showErrorMessage="1" sqref="E5059">
      <formula1>0</formula1>
    </dataValidation>
    <dataValidation type="whole" operator="greaterThan" allowBlank="1" showInputMessage="1" showErrorMessage="1" sqref="A5060">
      <formula1>0</formula1>
    </dataValidation>
    <dataValidation type="list" allowBlank="1" showInputMessage="1" showErrorMessage="1" sqref="C5060">
      <formula1>UnidadesList</formula1>
    </dataValidation>
    <dataValidation type="decimal" operator="greaterThan" allowBlank="1" showInputMessage="1" showErrorMessage="1" sqref="D5060">
      <formula1>0</formula1>
    </dataValidation>
    <dataValidation type="decimal" operator="greaterThan" allowBlank="1" showInputMessage="1" showErrorMessage="1" sqref="E5060">
      <formula1>0</formula1>
    </dataValidation>
    <dataValidation type="whole" operator="greaterThan" allowBlank="1" showInputMessage="1" showErrorMessage="1" sqref="A5061">
      <formula1>0</formula1>
    </dataValidation>
    <dataValidation type="list" allowBlank="1" showInputMessage="1" showErrorMessage="1" sqref="C5061">
      <formula1>UnidadesList</formula1>
    </dataValidation>
    <dataValidation type="decimal" operator="greaterThan" allowBlank="1" showInputMessage="1" showErrorMessage="1" sqref="D5061">
      <formula1>0</formula1>
    </dataValidation>
    <dataValidation type="decimal" operator="greaterThan" allowBlank="1" showInputMessage="1" showErrorMessage="1" sqref="E5061">
      <formula1>0</formula1>
    </dataValidation>
    <dataValidation type="whole" operator="greaterThan" allowBlank="1" showInputMessage="1" showErrorMessage="1" sqref="A5062">
      <formula1>0</formula1>
    </dataValidation>
    <dataValidation type="list" allowBlank="1" showInputMessage="1" showErrorMessage="1" sqref="C5062">
      <formula1>UnidadesList</formula1>
    </dataValidation>
    <dataValidation type="decimal" operator="greaterThan" allowBlank="1" showInputMessage="1" showErrorMessage="1" sqref="D5062">
      <formula1>0</formula1>
    </dataValidation>
    <dataValidation type="decimal" operator="greaterThan" allowBlank="1" showInputMessage="1" showErrorMessage="1" sqref="E5062">
      <formula1>0</formula1>
    </dataValidation>
    <dataValidation type="whole" operator="greaterThan" allowBlank="1" showInputMessage="1" showErrorMessage="1" sqref="A5063">
      <formula1>0</formula1>
    </dataValidation>
    <dataValidation type="list" allowBlank="1" showInputMessage="1" showErrorMessage="1" sqref="C5063">
      <formula1>UnidadesList</formula1>
    </dataValidation>
    <dataValidation type="decimal" operator="greaterThan" allowBlank="1" showInputMessage="1" showErrorMessage="1" sqref="D5063">
      <formula1>0</formula1>
    </dataValidation>
    <dataValidation type="decimal" operator="greaterThan" allowBlank="1" showInputMessage="1" showErrorMessage="1" sqref="E5063">
      <formula1>0</formula1>
    </dataValidation>
    <dataValidation type="whole" operator="greaterThan" allowBlank="1" showInputMessage="1" showErrorMessage="1" sqref="A5064">
      <formula1>0</formula1>
    </dataValidation>
    <dataValidation type="list" allowBlank="1" showInputMessage="1" showErrorMessage="1" sqref="C5064">
      <formula1>UnidadesList</formula1>
    </dataValidation>
    <dataValidation type="decimal" operator="greaterThan" allowBlank="1" showInputMessage="1" showErrorMessage="1" sqref="D5064">
      <formula1>0</formula1>
    </dataValidation>
    <dataValidation type="decimal" operator="greaterThan" allowBlank="1" showInputMessage="1" showErrorMessage="1" sqref="E5064">
      <formula1>0</formula1>
    </dataValidation>
    <dataValidation type="whole" operator="greaterThan" allowBlank="1" showInputMessage="1" showErrorMessage="1" sqref="A5065">
      <formula1>0</formula1>
    </dataValidation>
    <dataValidation type="list" allowBlank="1" showInputMessage="1" showErrorMessage="1" sqref="C5065">
      <formula1>UnidadesList</formula1>
    </dataValidation>
    <dataValidation type="decimal" operator="greaterThan" allowBlank="1" showInputMessage="1" showErrorMessage="1" sqref="D5065">
      <formula1>0</formula1>
    </dataValidation>
    <dataValidation type="decimal" operator="greaterThan" allowBlank="1" showInputMessage="1" showErrorMessage="1" sqref="E5065">
      <formula1>0</formula1>
    </dataValidation>
    <dataValidation type="whole" operator="greaterThan" allowBlank="1" showInputMessage="1" showErrorMessage="1" sqref="A5066">
      <formula1>0</formula1>
    </dataValidation>
    <dataValidation type="list" allowBlank="1" showInputMessage="1" showErrorMessage="1" sqref="C5066">
      <formula1>UnidadesList</formula1>
    </dataValidation>
    <dataValidation type="decimal" operator="greaterThan" allowBlank="1" showInputMessage="1" showErrorMessage="1" sqref="D5066">
      <formula1>0</formula1>
    </dataValidation>
    <dataValidation type="decimal" operator="greaterThan" allowBlank="1" showInputMessage="1" showErrorMessage="1" sqref="E5066">
      <formula1>0</formula1>
    </dataValidation>
    <dataValidation type="whole" operator="greaterThan" allowBlank="1" showInputMessage="1" showErrorMessage="1" sqref="A5067">
      <formula1>0</formula1>
    </dataValidation>
    <dataValidation type="list" allowBlank="1" showInputMessage="1" showErrorMessage="1" sqref="C5067">
      <formula1>UnidadesList</formula1>
    </dataValidation>
    <dataValidation type="decimal" operator="greaterThan" allowBlank="1" showInputMessage="1" showErrorMessage="1" sqref="D5067">
      <formula1>0</formula1>
    </dataValidation>
    <dataValidation type="decimal" operator="greaterThan" allowBlank="1" showInputMessage="1" showErrorMessage="1" sqref="E5067">
      <formula1>0</formula1>
    </dataValidation>
    <dataValidation type="whole" operator="greaterThan" allowBlank="1" showInputMessage="1" showErrorMessage="1" sqref="A5068">
      <formula1>0</formula1>
    </dataValidation>
    <dataValidation type="list" allowBlank="1" showInputMessage="1" showErrorMessage="1" sqref="C5068">
      <formula1>UnidadesList</formula1>
    </dataValidation>
    <dataValidation type="decimal" operator="greaterThan" allowBlank="1" showInputMessage="1" showErrorMessage="1" sqref="D5068">
      <formula1>0</formula1>
    </dataValidation>
    <dataValidation type="decimal" operator="greaterThan" allowBlank="1" showInputMessage="1" showErrorMessage="1" sqref="E5068">
      <formula1>0</formula1>
    </dataValidation>
    <dataValidation type="whole" operator="greaterThan" allowBlank="1" showInputMessage="1" showErrorMessage="1" sqref="A5069">
      <formula1>0</formula1>
    </dataValidation>
    <dataValidation type="list" allowBlank="1" showInputMessage="1" showErrorMessage="1" sqref="C5069">
      <formula1>UnidadesList</formula1>
    </dataValidation>
    <dataValidation type="decimal" operator="greaterThan" allowBlank="1" showInputMessage="1" showErrorMessage="1" sqref="D5069">
      <formula1>0</formula1>
    </dataValidation>
    <dataValidation type="decimal" operator="greaterThan" allowBlank="1" showInputMessage="1" showErrorMessage="1" sqref="E5069">
      <formula1>0</formula1>
    </dataValidation>
    <dataValidation type="whole" operator="greaterThan" allowBlank="1" showInputMessage="1" showErrorMessage="1" sqref="A5070">
      <formula1>0</formula1>
    </dataValidation>
    <dataValidation type="list" allowBlank="1" showInputMessage="1" showErrorMessage="1" sqref="C5070">
      <formula1>UnidadesList</formula1>
    </dataValidation>
    <dataValidation type="decimal" operator="greaterThan" allowBlank="1" showInputMessage="1" showErrorMessage="1" sqref="D5070">
      <formula1>0</formula1>
    </dataValidation>
    <dataValidation type="decimal" operator="greaterThan" allowBlank="1" showInputMessage="1" showErrorMessage="1" sqref="E5070">
      <formula1>0</formula1>
    </dataValidation>
    <dataValidation type="whole" operator="greaterThan" allowBlank="1" showInputMessage="1" showErrorMessage="1" sqref="A5071">
      <formula1>0</formula1>
    </dataValidation>
    <dataValidation type="list" allowBlank="1" showInputMessage="1" showErrorMessage="1" sqref="C5071">
      <formula1>UnidadesList</formula1>
    </dataValidation>
    <dataValidation type="decimal" operator="greaterThan" allowBlank="1" showInputMessage="1" showErrorMessage="1" sqref="D5071">
      <formula1>0</formula1>
    </dataValidation>
    <dataValidation type="decimal" operator="greaterThan" allowBlank="1" showInputMessage="1" showErrorMessage="1" sqref="E5071">
      <formula1>0</formula1>
    </dataValidation>
    <dataValidation type="whole" operator="greaterThan" allowBlank="1" showInputMessage="1" showErrorMessage="1" sqref="A5072">
      <formula1>0</formula1>
    </dataValidation>
    <dataValidation type="list" allowBlank="1" showInputMessage="1" showErrorMessage="1" sqref="C5072">
      <formula1>UnidadesList</formula1>
    </dataValidation>
    <dataValidation type="decimal" operator="greaterThan" allowBlank="1" showInputMessage="1" showErrorMessage="1" sqref="D5072">
      <formula1>0</formula1>
    </dataValidation>
    <dataValidation type="decimal" operator="greaterThan" allowBlank="1" showInputMessage="1" showErrorMessage="1" sqref="E5072">
      <formula1>0</formula1>
    </dataValidation>
    <dataValidation type="whole" operator="greaterThan" allowBlank="1" showInputMessage="1" showErrorMessage="1" sqref="A5073">
      <formula1>0</formula1>
    </dataValidation>
    <dataValidation type="list" allowBlank="1" showInputMessage="1" showErrorMessage="1" sqref="C5073">
      <formula1>UnidadesList</formula1>
    </dataValidation>
    <dataValidation type="decimal" operator="greaterThan" allowBlank="1" showInputMessage="1" showErrorMessage="1" sqref="D5073">
      <formula1>0</formula1>
    </dataValidation>
    <dataValidation type="decimal" operator="greaterThan" allowBlank="1" showInputMessage="1" showErrorMessage="1" sqref="E5073">
      <formula1>0</formula1>
    </dataValidation>
    <dataValidation type="whole" operator="greaterThan" allowBlank="1" showInputMessage="1" showErrorMessage="1" sqref="A5074">
      <formula1>0</formula1>
    </dataValidation>
    <dataValidation type="list" allowBlank="1" showInputMessage="1" showErrorMessage="1" sqref="C5074">
      <formula1>UnidadesList</formula1>
    </dataValidation>
    <dataValidation type="decimal" operator="greaterThan" allowBlank="1" showInputMessage="1" showErrorMessage="1" sqref="D5074">
      <formula1>0</formula1>
    </dataValidation>
    <dataValidation type="decimal" operator="greaterThan" allowBlank="1" showInputMessage="1" showErrorMessage="1" sqref="E5074">
      <formula1>0</formula1>
    </dataValidation>
    <dataValidation type="whole" operator="greaterThan" allowBlank="1" showInputMessage="1" showErrorMessage="1" sqref="A5075">
      <formula1>0</formula1>
    </dataValidation>
    <dataValidation type="list" allowBlank="1" showInputMessage="1" showErrorMessage="1" sqref="C5075">
      <formula1>UnidadesList</formula1>
    </dataValidation>
    <dataValidation type="decimal" operator="greaterThan" allowBlank="1" showInputMessage="1" showErrorMessage="1" sqref="D5075">
      <formula1>0</formula1>
    </dataValidation>
    <dataValidation type="decimal" operator="greaterThan" allowBlank="1" showInputMessage="1" showErrorMessage="1" sqref="E5075">
      <formula1>0</formula1>
    </dataValidation>
    <dataValidation type="whole" operator="greaterThan" allowBlank="1" showInputMessage="1" showErrorMessage="1" sqref="A5076">
      <formula1>0</formula1>
    </dataValidation>
    <dataValidation type="list" allowBlank="1" showInputMessage="1" showErrorMessage="1" sqref="C5076">
      <formula1>UnidadesList</formula1>
    </dataValidation>
    <dataValidation type="decimal" operator="greaterThan" allowBlank="1" showInputMessage="1" showErrorMessage="1" sqref="D5076">
      <formula1>0</formula1>
    </dataValidation>
    <dataValidation type="decimal" operator="greaterThan" allowBlank="1" showInputMessage="1" showErrorMessage="1" sqref="E5076">
      <formula1>0</formula1>
    </dataValidation>
    <dataValidation type="whole" operator="greaterThan" allowBlank="1" showInputMessage="1" showErrorMessage="1" sqref="A5077">
      <formula1>0</formula1>
    </dataValidation>
    <dataValidation type="list" allowBlank="1" showInputMessage="1" showErrorMessage="1" sqref="C5077">
      <formula1>UnidadesList</formula1>
    </dataValidation>
    <dataValidation type="decimal" operator="greaterThan" allowBlank="1" showInputMessage="1" showErrorMessage="1" sqref="D5077">
      <formula1>0</formula1>
    </dataValidation>
    <dataValidation type="decimal" operator="greaterThan" allowBlank="1" showInputMessage="1" showErrorMessage="1" sqref="E5077">
      <formula1>0</formula1>
    </dataValidation>
    <dataValidation type="whole" operator="greaterThan" allowBlank="1" showInputMessage="1" showErrorMessage="1" sqref="A5078">
      <formula1>0</formula1>
    </dataValidation>
    <dataValidation type="list" allowBlank="1" showInputMessage="1" showErrorMessage="1" sqref="C5078">
      <formula1>UnidadesList</formula1>
    </dataValidation>
    <dataValidation type="decimal" operator="greaterThan" allowBlank="1" showInputMessage="1" showErrorMessage="1" sqref="D5078">
      <formula1>0</formula1>
    </dataValidation>
    <dataValidation type="decimal" operator="greaterThan" allowBlank="1" showInputMessage="1" showErrorMessage="1" sqref="E5078">
      <formula1>0</formula1>
    </dataValidation>
    <dataValidation type="whole" operator="greaterThan" allowBlank="1" showInputMessage="1" showErrorMessage="1" sqref="A5079">
      <formula1>0</formula1>
    </dataValidation>
    <dataValidation type="list" allowBlank="1" showInputMessage="1" showErrorMessage="1" sqref="C5079">
      <formula1>UnidadesList</formula1>
    </dataValidation>
    <dataValidation type="decimal" operator="greaterThan" allowBlank="1" showInputMessage="1" showErrorMessage="1" sqref="D5079">
      <formula1>0</formula1>
    </dataValidation>
    <dataValidation type="decimal" operator="greaterThan" allowBlank="1" showInputMessage="1" showErrorMessage="1" sqref="E5079">
      <formula1>0</formula1>
    </dataValidation>
    <dataValidation type="whole" operator="greaterThan" allowBlank="1" showInputMessage="1" showErrorMessage="1" sqref="A5080">
      <formula1>0</formula1>
    </dataValidation>
    <dataValidation type="list" allowBlank="1" showInputMessage="1" showErrorMessage="1" sqref="C5080">
      <formula1>UnidadesList</formula1>
    </dataValidation>
    <dataValidation type="decimal" operator="greaterThan" allowBlank="1" showInputMessage="1" showErrorMessage="1" sqref="D5080">
      <formula1>0</formula1>
    </dataValidation>
    <dataValidation type="decimal" operator="greaterThan" allowBlank="1" showInputMessage="1" showErrorMessage="1" sqref="E5080">
      <formula1>0</formula1>
    </dataValidation>
    <dataValidation type="whole" operator="greaterThan" allowBlank="1" showInputMessage="1" showErrorMessage="1" sqref="A5081">
      <formula1>0</formula1>
    </dataValidation>
    <dataValidation type="list" allowBlank="1" showInputMessage="1" showErrorMessage="1" sqref="C5081">
      <formula1>UnidadesList</formula1>
    </dataValidation>
    <dataValidation type="decimal" operator="greaterThan" allowBlank="1" showInputMessage="1" showErrorMessage="1" sqref="D5081">
      <formula1>0</formula1>
    </dataValidation>
    <dataValidation type="decimal" operator="greaterThan" allowBlank="1" showInputMessage="1" showErrorMessage="1" sqref="E5081">
      <formula1>0</formula1>
    </dataValidation>
    <dataValidation type="whole" operator="greaterThan" allowBlank="1" showInputMessage="1" showErrorMessage="1" sqref="A5082">
      <formula1>0</formula1>
    </dataValidation>
    <dataValidation type="list" allowBlank="1" showInputMessage="1" showErrorMessage="1" sqref="C5082">
      <formula1>UnidadesList</formula1>
    </dataValidation>
    <dataValidation type="decimal" operator="greaterThan" allowBlank="1" showInputMessage="1" showErrorMessage="1" sqref="D5082">
      <formula1>0</formula1>
    </dataValidation>
    <dataValidation type="decimal" operator="greaterThan" allowBlank="1" showInputMessage="1" showErrorMessage="1" sqref="E5082">
      <formula1>0</formula1>
    </dataValidation>
    <dataValidation type="whole" operator="greaterThan" allowBlank="1" showInputMessage="1" showErrorMessage="1" sqref="A5083">
      <formula1>0</formula1>
    </dataValidation>
    <dataValidation type="list" allowBlank="1" showInputMessage="1" showErrorMessage="1" sqref="C5083">
      <formula1>UnidadesList</formula1>
    </dataValidation>
    <dataValidation type="decimal" operator="greaterThan" allowBlank="1" showInputMessage="1" showErrorMessage="1" sqref="D5083">
      <formula1>0</formula1>
    </dataValidation>
    <dataValidation type="decimal" operator="greaterThan" allowBlank="1" showInputMessage="1" showErrorMessage="1" sqref="E5083">
      <formula1>0</formula1>
    </dataValidation>
    <dataValidation type="whole" operator="greaterThan" allowBlank="1" showInputMessage="1" showErrorMessage="1" sqref="A5084">
      <formula1>0</formula1>
    </dataValidation>
    <dataValidation type="list" allowBlank="1" showInputMessage="1" showErrorMessage="1" sqref="C5084">
      <formula1>UnidadesList</formula1>
    </dataValidation>
    <dataValidation type="decimal" operator="greaterThan" allowBlank="1" showInputMessage="1" showErrorMessage="1" sqref="D5084">
      <formula1>0</formula1>
    </dataValidation>
    <dataValidation type="decimal" operator="greaterThan" allowBlank="1" showInputMessage="1" showErrorMessage="1" sqref="E5084">
      <formula1>0</formula1>
    </dataValidation>
    <dataValidation type="whole" operator="greaterThan" allowBlank="1" showInputMessage="1" showErrorMessage="1" sqref="A5085">
      <formula1>0</formula1>
    </dataValidation>
    <dataValidation type="list" allowBlank="1" showInputMessage="1" showErrorMessage="1" sqref="C5085">
      <formula1>UnidadesList</formula1>
    </dataValidation>
    <dataValidation type="decimal" operator="greaterThan" allowBlank="1" showInputMessage="1" showErrorMessage="1" sqref="D5085">
      <formula1>0</formula1>
    </dataValidation>
    <dataValidation type="decimal" operator="greaterThan" allowBlank="1" showInputMessage="1" showErrorMessage="1" sqref="E5085">
      <formula1>0</formula1>
    </dataValidation>
    <dataValidation type="whole" operator="greaterThan" allowBlank="1" showInputMessage="1" showErrorMessage="1" sqref="A5086">
      <formula1>0</formula1>
    </dataValidation>
    <dataValidation type="list" allowBlank="1" showInputMessage="1" showErrorMessage="1" sqref="C5086">
      <formula1>UnidadesList</formula1>
    </dataValidation>
    <dataValidation type="decimal" operator="greaterThan" allowBlank="1" showInputMessage="1" showErrorMessage="1" sqref="D5086">
      <formula1>0</formula1>
    </dataValidation>
    <dataValidation type="decimal" operator="greaterThan" allowBlank="1" showInputMessage="1" showErrorMessage="1" sqref="E5086">
      <formula1>0</formula1>
    </dataValidation>
    <dataValidation type="whole" operator="greaterThan" allowBlank="1" showInputMessage="1" showErrorMessage="1" sqref="A5087">
      <formula1>0</formula1>
    </dataValidation>
    <dataValidation type="list" allowBlank="1" showInputMessage="1" showErrorMessage="1" sqref="C5087">
      <formula1>UnidadesList</formula1>
    </dataValidation>
    <dataValidation type="decimal" operator="greaterThan" allowBlank="1" showInputMessage="1" showErrorMessage="1" sqref="D5087">
      <formula1>0</formula1>
    </dataValidation>
    <dataValidation type="decimal" operator="greaterThan" allowBlank="1" showInputMessage="1" showErrorMessage="1" sqref="E5087">
      <formula1>0</formula1>
    </dataValidation>
    <dataValidation type="whole" operator="greaterThan" allowBlank="1" showInputMessage="1" showErrorMessage="1" sqref="A5088">
      <formula1>0</formula1>
    </dataValidation>
    <dataValidation type="list" allowBlank="1" showInputMessage="1" showErrorMessage="1" sqref="C5088">
      <formula1>UnidadesList</formula1>
    </dataValidation>
    <dataValidation type="decimal" operator="greaterThan" allowBlank="1" showInputMessage="1" showErrorMessage="1" sqref="D5088">
      <formula1>0</formula1>
    </dataValidation>
    <dataValidation type="decimal" operator="greaterThan" allowBlank="1" showInputMessage="1" showErrorMessage="1" sqref="E5088">
      <formula1>0</formula1>
    </dataValidation>
    <dataValidation type="whole" operator="greaterThan" allowBlank="1" showInputMessage="1" showErrorMessage="1" sqref="A5089">
      <formula1>0</formula1>
    </dataValidation>
    <dataValidation type="list" allowBlank="1" showInputMessage="1" showErrorMessage="1" sqref="C5089">
      <formula1>UnidadesList</formula1>
    </dataValidation>
    <dataValidation type="decimal" operator="greaterThan" allowBlank="1" showInputMessage="1" showErrorMessage="1" sqref="D5089">
      <formula1>0</formula1>
    </dataValidation>
    <dataValidation type="decimal" operator="greaterThan" allowBlank="1" showInputMessage="1" showErrorMessage="1" sqref="E5089">
      <formula1>0</formula1>
    </dataValidation>
    <dataValidation type="whole" operator="greaterThan" allowBlank="1" showInputMessage="1" showErrorMessage="1" sqref="A5090">
      <formula1>0</formula1>
    </dataValidation>
    <dataValidation type="list" allowBlank="1" showInputMessage="1" showErrorMessage="1" sqref="C5090">
      <formula1>UnidadesList</formula1>
    </dataValidation>
    <dataValidation type="decimal" operator="greaterThan" allowBlank="1" showInputMessage="1" showErrorMessage="1" sqref="D5090">
      <formula1>0</formula1>
    </dataValidation>
    <dataValidation type="decimal" operator="greaterThan" allowBlank="1" showInputMessage="1" showErrorMessage="1" sqref="E5090">
      <formula1>0</formula1>
    </dataValidation>
    <dataValidation type="whole" operator="greaterThan" allowBlank="1" showInputMessage="1" showErrorMessage="1" sqref="A5091">
      <formula1>0</formula1>
    </dataValidation>
    <dataValidation type="list" allowBlank="1" showInputMessage="1" showErrorMessage="1" sqref="C5091">
      <formula1>UnidadesList</formula1>
    </dataValidation>
    <dataValidation type="decimal" operator="greaterThan" allowBlank="1" showInputMessage="1" showErrorMessage="1" sqref="D5091">
      <formula1>0</formula1>
    </dataValidation>
    <dataValidation type="decimal" operator="greaterThan" allowBlank="1" showInputMessage="1" showErrorMessage="1" sqref="E5091">
      <formula1>0</formula1>
    </dataValidation>
    <dataValidation type="whole" operator="greaterThan" allowBlank="1" showInputMessage="1" showErrorMessage="1" sqref="A5092">
      <formula1>0</formula1>
    </dataValidation>
    <dataValidation type="list" allowBlank="1" showInputMessage="1" showErrorMessage="1" sqref="C5092">
      <formula1>UnidadesList</formula1>
    </dataValidation>
    <dataValidation type="decimal" operator="greaterThan" allowBlank="1" showInputMessage="1" showErrorMessage="1" sqref="D5092">
      <formula1>0</formula1>
    </dataValidation>
    <dataValidation type="decimal" operator="greaterThan" allowBlank="1" showInputMessage="1" showErrorMessage="1" sqref="E5092">
      <formula1>0</formula1>
    </dataValidation>
    <dataValidation type="whole" operator="greaterThan" allowBlank="1" showInputMessage="1" showErrorMessage="1" sqref="A5093">
      <formula1>0</formula1>
    </dataValidation>
    <dataValidation type="list" allowBlank="1" showInputMessage="1" showErrorMessage="1" sqref="C5093">
      <formula1>UnidadesList</formula1>
    </dataValidation>
    <dataValidation type="decimal" operator="greaterThan" allowBlank="1" showInputMessage="1" showErrorMessage="1" sqref="D5093">
      <formula1>0</formula1>
    </dataValidation>
    <dataValidation type="decimal" operator="greaterThan" allowBlank="1" showInputMessage="1" showErrorMessage="1" sqref="E5093">
      <formula1>0</formula1>
    </dataValidation>
    <dataValidation type="whole" operator="greaterThan" allowBlank="1" showInputMessage="1" showErrorMessage="1" sqref="A5094">
      <formula1>0</formula1>
    </dataValidation>
    <dataValidation type="list" allowBlank="1" showInputMessage="1" showErrorMessage="1" sqref="C5094">
      <formula1>UnidadesList</formula1>
    </dataValidation>
    <dataValidation type="decimal" operator="greaterThan" allowBlank="1" showInputMessage="1" showErrorMessage="1" sqref="D5094">
      <formula1>0</formula1>
    </dataValidation>
    <dataValidation type="decimal" operator="greaterThan" allowBlank="1" showInputMessage="1" showErrorMessage="1" sqref="E5094">
      <formula1>0</formula1>
    </dataValidation>
    <dataValidation type="whole" operator="greaterThan" allowBlank="1" showInputMessage="1" showErrorMessage="1" sqref="A5095">
      <formula1>0</formula1>
    </dataValidation>
    <dataValidation type="list" allowBlank="1" showInputMessage="1" showErrorMessage="1" sqref="C5095">
      <formula1>UnidadesList</formula1>
    </dataValidation>
    <dataValidation type="decimal" operator="greaterThan" allowBlank="1" showInputMessage="1" showErrorMessage="1" sqref="D5095">
      <formula1>0</formula1>
    </dataValidation>
    <dataValidation type="decimal" operator="greaterThan" allowBlank="1" showInputMessage="1" showErrorMessage="1" sqref="E5095">
      <formula1>0</formula1>
    </dataValidation>
    <dataValidation type="whole" operator="greaterThan" allowBlank="1" showInputMessage="1" showErrorMessage="1" sqref="A5096">
      <formula1>0</formula1>
    </dataValidation>
    <dataValidation type="list" allowBlank="1" showInputMessage="1" showErrorMessage="1" sqref="C5096">
      <formula1>UnidadesList</formula1>
    </dataValidation>
    <dataValidation type="decimal" operator="greaterThan" allowBlank="1" showInputMessage="1" showErrorMessage="1" sqref="D5096">
      <formula1>0</formula1>
    </dataValidation>
    <dataValidation type="decimal" operator="greaterThan" allowBlank="1" showInputMessage="1" showErrorMessage="1" sqref="E5096">
      <formula1>0</formula1>
    </dataValidation>
    <dataValidation type="whole" operator="greaterThan" allowBlank="1" showInputMessage="1" showErrorMessage="1" sqref="A5097">
      <formula1>0</formula1>
    </dataValidation>
    <dataValidation type="list" allowBlank="1" showInputMessage="1" showErrorMessage="1" sqref="C5097">
      <formula1>UnidadesList</formula1>
    </dataValidation>
    <dataValidation type="decimal" operator="greaterThan" allowBlank="1" showInputMessage="1" showErrorMessage="1" sqref="D5097">
      <formula1>0</formula1>
    </dataValidation>
    <dataValidation type="decimal" operator="greaterThan" allowBlank="1" showInputMessage="1" showErrorMessage="1" sqref="E5097">
      <formula1>0</formula1>
    </dataValidation>
    <dataValidation type="whole" operator="greaterThan" allowBlank="1" showInputMessage="1" showErrorMessage="1" sqref="A5098">
      <formula1>0</formula1>
    </dataValidation>
    <dataValidation type="list" allowBlank="1" showInputMessage="1" showErrorMessage="1" sqref="C5098">
      <formula1>UnidadesList</formula1>
    </dataValidation>
    <dataValidation type="decimal" operator="greaterThan" allowBlank="1" showInputMessage="1" showErrorMessage="1" sqref="D5098">
      <formula1>0</formula1>
    </dataValidation>
    <dataValidation type="decimal" operator="greaterThan" allowBlank="1" showInputMessage="1" showErrorMessage="1" sqref="E5098">
      <formula1>0</formula1>
    </dataValidation>
    <dataValidation type="whole" operator="greaterThan" allowBlank="1" showInputMessage="1" showErrorMessage="1" sqref="A5099">
      <formula1>0</formula1>
    </dataValidation>
    <dataValidation type="list" allowBlank="1" showInputMessage="1" showErrorMessage="1" sqref="C5099">
      <formula1>UnidadesList</formula1>
    </dataValidation>
    <dataValidation type="decimal" operator="greaterThan" allowBlank="1" showInputMessage="1" showErrorMessage="1" sqref="D5099">
      <formula1>0</formula1>
    </dataValidation>
    <dataValidation type="decimal" operator="greaterThan" allowBlank="1" showInputMessage="1" showErrorMessage="1" sqref="E5099">
      <formula1>0</formula1>
    </dataValidation>
    <dataValidation type="whole" operator="greaterThan" allowBlank="1" showInputMessage="1" showErrorMessage="1" sqref="A5100">
      <formula1>0</formula1>
    </dataValidation>
    <dataValidation type="list" allowBlank="1" showInputMessage="1" showErrorMessage="1" sqref="C5100">
      <formula1>UnidadesList</formula1>
    </dataValidation>
    <dataValidation type="decimal" operator="greaterThan" allowBlank="1" showInputMessage="1" showErrorMessage="1" sqref="D5100">
      <formula1>0</formula1>
    </dataValidation>
    <dataValidation type="decimal" operator="greaterThan" allowBlank="1" showInputMessage="1" showErrorMessage="1" sqref="E5100">
      <formula1>0</formula1>
    </dataValidation>
    <dataValidation type="whole" operator="greaterThan" allowBlank="1" showInputMessage="1" showErrorMessage="1" sqref="A5101">
      <formula1>0</formula1>
    </dataValidation>
    <dataValidation type="list" allowBlank="1" showInputMessage="1" showErrorMessage="1" sqref="C5101">
      <formula1>UnidadesList</formula1>
    </dataValidation>
    <dataValidation type="decimal" operator="greaterThan" allowBlank="1" showInputMessage="1" showErrorMessage="1" sqref="D5101">
      <formula1>0</formula1>
    </dataValidation>
    <dataValidation type="decimal" operator="greaterThan" allowBlank="1" showInputMessage="1" showErrorMessage="1" sqref="E5101">
      <formula1>0</formula1>
    </dataValidation>
    <dataValidation type="whole" operator="greaterThan" allowBlank="1" showInputMessage="1" showErrorMessage="1" sqref="A5102">
      <formula1>0</formula1>
    </dataValidation>
    <dataValidation type="list" allowBlank="1" showInputMessage="1" showErrorMessage="1" sqref="C5102">
      <formula1>UnidadesList</formula1>
    </dataValidation>
    <dataValidation type="decimal" operator="greaterThan" allowBlank="1" showInputMessage="1" showErrorMessage="1" sqref="D5102">
      <formula1>0</formula1>
    </dataValidation>
    <dataValidation type="decimal" operator="greaterThan" allowBlank="1" showInputMessage="1" showErrorMessage="1" sqref="E5102">
      <formula1>0</formula1>
    </dataValidation>
    <dataValidation type="whole" operator="greaterThan" allowBlank="1" showInputMessage="1" showErrorMessage="1" sqref="A5103">
      <formula1>0</formula1>
    </dataValidation>
    <dataValidation type="list" allowBlank="1" showInputMessage="1" showErrorMessage="1" sqref="C5103">
      <formula1>UnidadesList</formula1>
    </dataValidation>
    <dataValidation type="decimal" operator="greaterThan" allowBlank="1" showInputMessage="1" showErrorMessage="1" sqref="D5103">
      <formula1>0</formula1>
    </dataValidation>
    <dataValidation type="decimal" operator="greaterThan" allowBlank="1" showInputMessage="1" showErrorMessage="1" sqref="E5103">
      <formula1>0</formula1>
    </dataValidation>
    <dataValidation type="whole" operator="greaterThan" allowBlank="1" showInputMessage="1" showErrorMessage="1" sqref="A5104">
      <formula1>0</formula1>
    </dataValidation>
    <dataValidation type="list" allowBlank="1" showInputMessage="1" showErrorMessage="1" sqref="C5104">
      <formula1>UnidadesList</formula1>
    </dataValidation>
    <dataValidation type="decimal" operator="greaterThan" allowBlank="1" showInputMessage="1" showErrorMessage="1" sqref="D5104">
      <formula1>0</formula1>
    </dataValidation>
    <dataValidation type="decimal" operator="greaterThan" allowBlank="1" showInputMessage="1" showErrorMessage="1" sqref="E5104">
      <formula1>0</formula1>
    </dataValidation>
    <dataValidation type="whole" operator="greaterThan" allowBlank="1" showInputMessage="1" showErrorMessage="1" sqref="A5105">
      <formula1>0</formula1>
    </dataValidation>
    <dataValidation type="list" allowBlank="1" showInputMessage="1" showErrorMessage="1" sqref="C5105">
      <formula1>UnidadesList</formula1>
    </dataValidation>
    <dataValidation type="decimal" operator="greaterThan" allowBlank="1" showInputMessage="1" showErrorMessage="1" sqref="D5105">
      <formula1>0</formula1>
    </dataValidation>
    <dataValidation type="decimal" operator="greaterThan" allowBlank="1" showInputMessage="1" showErrorMessage="1" sqref="E5105">
      <formula1>0</formula1>
    </dataValidation>
    <dataValidation type="whole" operator="greaterThan" allowBlank="1" showInputMessage="1" showErrorMessage="1" sqref="A5106">
      <formula1>0</formula1>
    </dataValidation>
    <dataValidation type="list" allowBlank="1" showInputMessage="1" showErrorMessage="1" sqref="C5106">
      <formula1>UnidadesList</formula1>
    </dataValidation>
    <dataValidation type="decimal" operator="greaterThan" allowBlank="1" showInputMessage="1" showErrorMessage="1" sqref="D5106">
      <formula1>0</formula1>
    </dataValidation>
    <dataValidation type="decimal" operator="greaterThan" allowBlank="1" showInputMessage="1" showErrorMessage="1" sqref="E5106">
      <formula1>0</formula1>
    </dataValidation>
    <dataValidation type="whole" operator="greaterThan" allowBlank="1" showInputMessage="1" showErrorMessage="1" sqref="A5107">
      <formula1>0</formula1>
    </dataValidation>
    <dataValidation type="list" allowBlank="1" showInputMessage="1" showErrorMessage="1" sqref="C5107">
      <formula1>UnidadesList</formula1>
    </dataValidation>
    <dataValidation type="decimal" operator="greaterThan" allowBlank="1" showInputMessage="1" showErrorMessage="1" sqref="D5107">
      <formula1>0</formula1>
    </dataValidation>
    <dataValidation type="decimal" operator="greaterThan" allowBlank="1" showInputMessage="1" showErrorMessage="1" sqref="E5107">
      <formula1>0</formula1>
    </dataValidation>
    <dataValidation type="whole" operator="greaterThan" allowBlank="1" showInputMessage="1" showErrorMessage="1" sqref="A5108">
      <formula1>0</formula1>
    </dataValidation>
    <dataValidation type="list" allowBlank="1" showInputMessage="1" showErrorMessage="1" sqref="C5108">
      <formula1>UnidadesList</formula1>
    </dataValidation>
    <dataValidation type="decimal" operator="greaterThan" allowBlank="1" showInputMessage="1" showErrorMessage="1" sqref="D5108">
      <formula1>0</formula1>
    </dataValidation>
    <dataValidation type="decimal" operator="greaterThan" allowBlank="1" showInputMessage="1" showErrorMessage="1" sqref="E5108">
      <formula1>0</formula1>
    </dataValidation>
    <dataValidation type="whole" operator="greaterThan" allowBlank="1" showInputMessage="1" showErrorMessage="1" sqref="A5109">
      <formula1>0</formula1>
    </dataValidation>
    <dataValidation type="list" allowBlank="1" showInputMessage="1" showErrorMessage="1" sqref="C5109">
      <formula1>UnidadesList</formula1>
    </dataValidation>
    <dataValidation type="decimal" operator="greaterThan" allowBlank="1" showInputMessage="1" showErrorMessage="1" sqref="D5109">
      <formula1>0</formula1>
    </dataValidation>
    <dataValidation type="decimal" operator="greaterThan" allowBlank="1" showInputMessage="1" showErrorMessage="1" sqref="E5109">
      <formula1>0</formula1>
    </dataValidation>
    <dataValidation type="whole" operator="greaterThan" allowBlank="1" showInputMessage="1" showErrorMessage="1" sqref="A5110">
      <formula1>0</formula1>
    </dataValidation>
    <dataValidation type="list" allowBlank="1" showInputMessage="1" showErrorMessage="1" sqref="C5110">
      <formula1>UnidadesList</formula1>
    </dataValidation>
    <dataValidation type="decimal" operator="greaterThan" allowBlank="1" showInputMessage="1" showErrorMessage="1" sqref="D5110">
      <formula1>0</formula1>
    </dataValidation>
    <dataValidation type="decimal" operator="greaterThan" allowBlank="1" showInputMessage="1" showErrorMessage="1" sqref="E5110">
      <formula1>0</formula1>
    </dataValidation>
    <dataValidation type="whole" operator="greaterThan" allowBlank="1" showInputMessage="1" showErrorMessage="1" sqref="A5111">
      <formula1>0</formula1>
    </dataValidation>
    <dataValidation type="list" allowBlank="1" showInputMessage="1" showErrorMessage="1" sqref="C5111">
      <formula1>UnidadesList</formula1>
    </dataValidation>
    <dataValidation type="decimal" operator="greaterThan" allowBlank="1" showInputMessage="1" showErrorMessage="1" sqref="D5111">
      <formula1>0</formula1>
    </dataValidation>
    <dataValidation type="decimal" operator="greaterThan" allowBlank="1" showInputMessage="1" showErrorMessage="1" sqref="E5111">
      <formula1>0</formula1>
    </dataValidation>
    <dataValidation type="whole" operator="greaterThan" allowBlank="1" showInputMessage="1" showErrorMessage="1" sqref="A5112">
      <formula1>0</formula1>
    </dataValidation>
    <dataValidation type="list" allowBlank="1" showInputMessage="1" showErrorMessage="1" sqref="C5112">
      <formula1>UnidadesList</formula1>
    </dataValidation>
    <dataValidation type="decimal" operator="greaterThan" allowBlank="1" showInputMessage="1" showErrorMessage="1" sqref="D5112">
      <formula1>0</formula1>
    </dataValidation>
    <dataValidation type="decimal" operator="greaterThan" allowBlank="1" showInputMessage="1" showErrorMessage="1" sqref="E5112">
      <formula1>0</formula1>
    </dataValidation>
    <dataValidation type="whole" operator="greaterThan" allowBlank="1" showInputMessage="1" showErrorMessage="1" sqref="A5113">
      <formula1>0</formula1>
    </dataValidation>
    <dataValidation type="list" allowBlank="1" showInputMessage="1" showErrorMessage="1" sqref="C5113">
      <formula1>UnidadesList</formula1>
    </dataValidation>
    <dataValidation type="decimal" operator="greaterThan" allowBlank="1" showInputMessage="1" showErrorMessage="1" sqref="D5113">
      <formula1>0</formula1>
    </dataValidation>
    <dataValidation type="decimal" operator="greaterThan" allowBlank="1" showInputMessage="1" showErrorMessage="1" sqref="E5113">
      <formula1>0</formula1>
    </dataValidation>
    <dataValidation type="whole" operator="greaterThan" allowBlank="1" showInputMessage="1" showErrorMessage="1" sqref="A5114">
      <formula1>0</formula1>
    </dataValidation>
    <dataValidation type="list" allowBlank="1" showInputMessage="1" showErrorMessage="1" sqref="C5114">
      <formula1>UnidadesList</formula1>
    </dataValidation>
    <dataValidation type="decimal" operator="greaterThan" allowBlank="1" showInputMessage="1" showErrorMessage="1" sqref="D5114">
      <formula1>0</formula1>
    </dataValidation>
    <dataValidation type="decimal" operator="greaterThan" allowBlank="1" showInputMessage="1" showErrorMessage="1" sqref="E5114">
      <formula1>0</formula1>
    </dataValidation>
    <dataValidation type="whole" operator="greaterThan" allowBlank="1" showInputMessage="1" showErrorMessage="1" sqref="A5115">
      <formula1>0</formula1>
    </dataValidation>
    <dataValidation type="list" allowBlank="1" showInputMessage="1" showErrorMessage="1" sqref="C5115">
      <formula1>UnidadesList</formula1>
    </dataValidation>
    <dataValidation type="decimal" operator="greaterThan" allowBlank="1" showInputMessage="1" showErrorMessage="1" sqref="D5115">
      <formula1>0</formula1>
    </dataValidation>
    <dataValidation type="decimal" operator="greaterThan" allowBlank="1" showInputMessage="1" showErrorMessage="1" sqref="E5115">
      <formula1>0</formula1>
    </dataValidation>
    <dataValidation type="whole" operator="greaterThan" allowBlank="1" showInputMessage="1" showErrorMessage="1" sqref="A5116">
      <formula1>0</formula1>
    </dataValidation>
    <dataValidation type="list" allowBlank="1" showInputMessage="1" showErrorMessage="1" sqref="C5116">
      <formula1>UnidadesList</formula1>
    </dataValidation>
    <dataValidation type="decimal" operator="greaterThan" allowBlank="1" showInputMessage="1" showErrorMessage="1" sqref="D5116">
      <formula1>0</formula1>
    </dataValidation>
    <dataValidation type="decimal" operator="greaterThan" allowBlank="1" showInputMessage="1" showErrorMessage="1" sqref="E5116">
      <formula1>0</formula1>
    </dataValidation>
    <dataValidation type="whole" operator="greaterThan" allowBlank="1" showInputMessage="1" showErrorMessage="1" sqref="A5117">
      <formula1>0</formula1>
    </dataValidation>
    <dataValidation type="list" allowBlank="1" showInputMessage="1" showErrorMessage="1" sqref="C5117">
      <formula1>UnidadesList</formula1>
    </dataValidation>
    <dataValidation type="decimal" operator="greaterThan" allowBlank="1" showInputMessage="1" showErrorMessage="1" sqref="D5117">
      <formula1>0</formula1>
    </dataValidation>
    <dataValidation type="decimal" operator="greaterThan" allowBlank="1" showInputMessage="1" showErrorMessage="1" sqref="E5117">
      <formula1>0</formula1>
    </dataValidation>
    <dataValidation type="whole" operator="greaterThan" allowBlank="1" showInputMessage="1" showErrorMessage="1" sqref="A5118">
      <formula1>0</formula1>
    </dataValidation>
    <dataValidation type="list" allowBlank="1" showInputMessage="1" showErrorMessage="1" sqref="C5118">
      <formula1>UnidadesList</formula1>
    </dataValidation>
    <dataValidation type="decimal" operator="greaterThan" allowBlank="1" showInputMessage="1" showErrorMessage="1" sqref="D5118">
      <formula1>0</formula1>
    </dataValidation>
    <dataValidation type="decimal" operator="greaterThan" allowBlank="1" showInputMessage="1" showErrorMessage="1" sqref="E5118">
      <formula1>0</formula1>
    </dataValidation>
    <dataValidation type="whole" operator="greaterThan" allowBlank="1" showInputMessage="1" showErrorMessage="1" sqref="A5119">
      <formula1>0</formula1>
    </dataValidation>
    <dataValidation type="list" allowBlank="1" showInputMessage="1" showErrorMessage="1" sqref="C5119">
      <formula1>UnidadesList</formula1>
    </dataValidation>
    <dataValidation type="decimal" operator="greaterThan" allowBlank="1" showInputMessage="1" showErrorMessage="1" sqref="D5119">
      <formula1>0</formula1>
    </dataValidation>
    <dataValidation type="decimal" operator="greaterThan" allowBlank="1" showInputMessage="1" showErrorMessage="1" sqref="E5119">
      <formula1>0</formula1>
    </dataValidation>
    <dataValidation type="whole" operator="greaterThan" allowBlank="1" showInputMessage="1" showErrorMessage="1" sqref="A5120">
      <formula1>0</formula1>
    </dataValidation>
    <dataValidation type="list" allowBlank="1" showInputMessage="1" showErrorMessage="1" sqref="C5120">
      <formula1>UnidadesList</formula1>
    </dataValidation>
    <dataValidation type="decimal" operator="greaterThan" allowBlank="1" showInputMessage="1" showErrorMessage="1" sqref="D5120">
      <formula1>0</formula1>
    </dataValidation>
    <dataValidation type="decimal" operator="greaterThan" allowBlank="1" showInputMessage="1" showErrorMessage="1" sqref="E5120">
      <formula1>0</formula1>
    </dataValidation>
    <dataValidation type="whole" operator="greaterThan" allowBlank="1" showInputMessage="1" showErrorMessage="1" sqref="A5121">
      <formula1>0</formula1>
    </dataValidation>
    <dataValidation type="list" allowBlank="1" showInputMessage="1" showErrorMessage="1" sqref="C5121">
      <formula1>UnidadesList</formula1>
    </dataValidation>
    <dataValidation type="decimal" operator="greaterThan" allowBlank="1" showInputMessage="1" showErrorMessage="1" sqref="D5121">
      <formula1>0</formula1>
    </dataValidation>
    <dataValidation type="decimal" operator="greaterThan" allowBlank="1" showInputMessage="1" showErrorMessage="1" sqref="E5121">
      <formula1>0</formula1>
    </dataValidation>
    <dataValidation type="whole" operator="greaterThan" allowBlank="1" showInputMessage="1" showErrorMessage="1" sqref="A5122">
      <formula1>0</formula1>
    </dataValidation>
    <dataValidation type="list" allowBlank="1" showInputMessage="1" showErrorMessage="1" sqref="C5122">
      <formula1>UnidadesList</formula1>
    </dataValidation>
    <dataValidation type="decimal" operator="greaterThan" allowBlank="1" showInputMessage="1" showErrorMessage="1" sqref="D5122">
      <formula1>0</formula1>
    </dataValidation>
    <dataValidation type="decimal" operator="greaterThan" allowBlank="1" showInputMessage="1" showErrorMessage="1" sqref="E5122">
      <formula1>0</formula1>
    </dataValidation>
    <dataValidation type="whole" operator="greaterThan" allowBlank="1" showInputMessage="1" showErrorMessage="1" sqref="A5123">
      <formula1>0</formula1>
    </dataValidation>
    <dataValidation type="list" allowBlank="1" showInputMessage="1" showErrorMessage="1" sqref="C5123">
      <formula1>UnidadesList</formula1>
    </dataValidation>
    <dataValidation type="decimal" operator="greaterThan" allowBlank="1" showInputMessage="1" showErrorMessage="1" sqref="D5123">
      <formula1>0</formula1>
    </dataValidation>
    <dataValidation type="decimal" operator="greaterThan" allowBlank="1" showInputMessage="1" showErrorMessage="1" sqref="E5123">
      <formula1>0</formula1>
    </dataValidation>
    <dataValidation type="whole" operator="greaterThan" allowBlank="1" showInputMessage="1" showErrorMessage="1" sqref="A5124">
      <formula1>0</formula1>
    </dataValidation>
    <dataValidation type="list" allowBlank="1" showInputMessage="1" showErrorMessage="1" sqref="C5124">
      <formula1>UnidadesList</formula1>
    </dataValidation>
    <dataValidation type="decimal" operator="greaterThan" allowBlank="1" showInputMessage="1" showErrorMessage="1" sqref="D5124">
      <formula1>0</formula1>
    </dataValidation>
    <dataValidation type="decimal" operator="greaterThan" allowBlank="1" showInputMessage="1" showErrorMessage="1" sqref="E5124">
      <formula1>0</formula1>
    </dataValidation>
    <dataValidation type="date" operator="lessThanOrEqual" allowBlank="1" showInputMessage="1" showErrorMessage="1" sqref="C5129">
      <formula1>C5131</formula1>
    </dataValidation>
    <dataValidation type="date" operator="greaterThanOrEqual" allowBlank="1" showInputMessage="1" showErrorMessage="1" sqref="C5131">
      <formula1>C5129</formula1>
    </dataValidation>
    <dataValidation type="list" allowBlank="1" showInputMessage="1" showErrorMessage="1" sqref="F512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3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3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3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35">
      <formula1>0</formula1>
    </dataValidation>
    <dataValidation type="list" allowBlank="1" showInputMessage="1" showErrorMessage="1" sqref="C5135">
      <formula1>UnidadesList</formula1>
    </dataValidation>
    <dataValidation type="decimal" operator="greaterThan" allowBlank="1" showInputMessage="1" showErrorMessage="1" sqref="D5135">
      <formula1>0</formula1>
    </dataValidation>
    <dataValidation type="decimal" operator="greaterThan" allowBlank="1" showInputMessage="1" showErrorMessage="1" sqref="E5135">
      <formula1>0</formula1>
    </dataValidation>
    <dataValidation type="whole" operator="greaterThan" allowBlank="1" showInputMessage="1" showErrorMessage="1" sqref="A5136">
      <formula1>0</formula1>
    </dataValidation>
    <dataValidation type="list" allowBlank="1" showInputMessage="1" showErrorMessage="1" sqref="C5136">
      <formula1>UnidadesList</formula1>
    </dataValidation>
    <dataValidation type="decimal" operator="greaterThan" allowBlank="1" showInputMessage="1" showErrorMessage="1" sqref="D5136">
      <formula1>0</formula1>
    </dataValidation>
    <dataValidation type="decimal" operator="greaterThan" allowBlank="1" showInputMessage="1" showErrorMessage="1" sqref="E5136">
      <formula1>0</formula1>
    </dataValidation>
    <dataValidation type="whole" operator="greaterThan" allowBlank="1" showInputMessage="1" showErrorMessage="1" sqref="A5137">
      <formula1>0</formula1>
    </dataValidation>
    <dataValidation type="list" allowBlank="1" showInputMessage="1" showErrorMessage="1" sqref="C5137">
      <formula1>UnidadesList</formula1>
    </dataValidation>
    <dataValidation type="decimal" operator="greaterThan" allowBlank="1" showInputMessage="1" showErrorMessage="1" sqref="D5137">
      <formula1>0</formula1>
    </dataValidation>
    <dataValidation type="decimal" operator="greaterThan" allowBlank="1" showInputMessage="1" showErrorMessage="1" sqref="E5137">
      <formula1>0</formula1>
    </dataValidation>
    <dataValidation type="whole" operator="greaterThan" allowBlank="1" showInputMessage="1" showErrorMessage="1" sqref="A5138">
      <formula1>0</formula1>
    </dataValidation>
    <dataValidation type="list" allowBlank="1" showInputMessage="1" showErrorMessage="1" sqref="C5138">
      <formula1>UnidadesList</formula1>
    </dataValidation>
    <dataValidation type="decimal" operator="greaterThan" allowBlank="1" showInputMessage="1" showErrorMessage="1" sqref="D5138">
      <formula1>0</formula1>
    </dataValidation>
    <dataValidation type="decimal" operator="greaterThan" allowBlank="1" showInputMessage="1" showErrorMessage="1" sqref="E5138">
      <formula1>0</formula1>
    </dataValidation>
    <dataValidation type="whole" operator="greaterThan" allowBlank="1" showInputMessage="1" showErrorMessage="1" sqref="A5139">
      <formula1>0</formula1>
    </dataValidation>
    <dataValidation type="list" allowBlank="1" showInputMessage="1" showErrorMessage="1" sqref="C5139">
      <formula1>UnidadesList</formula1>
    </dataValidation>
    <dataValidation type="decimal" operator="greaterThan" allowBlank="1" showInputMessage="1" showErrorMessage="1" sqref="D5139">
      <formula1>0</formula1>
    </dataValidation>
    <dataValidation type="decimal" operator="greaterThan" allowBlank="1" showInputMessage="1" showErrorMessage="1" sqref="E5139">
      <formula1>0</formula1>
    </dataValidation>
    <dataValidation type="whole" operator="greaterThan" allowBlank="1" showInputMessage="1" showErrorMessage="1" sqref="A5140">
      <formula1>0</formula1>
    </dataValidation>
    <dataValidation type="list" allowBlank="1" showInputMessage="1" showErrorMessage="1" sqref="C5140">
      <formula1>UnidadesList</formula1>
    </dataValidation>
    <dataValidation type="decimal" operator="greaterThan" allowBlank="1" showInputMessage="1" showErrorMessage="1" sqref="D5140">
      <formula1>0</formula1>
    </dataValidation>
    <dataValidation type="decimal" operator="greaterThan" allowBlank="1" showInputMessage="1" showErrorMessage="1" sqref="E5140">
      <formula1>0</formula1>
    </dataValidation>
    <dataValidation type="whole" operator="greaterThan" allowBlank="1" showInputMessage="1" showErrorMessage="1" sqref="A5141">
      <formula1>0</formula1>
    </dataValidation>
    <dataValidation type="list" allowBlank="1" showInputMessage="1" showErrorMessage="1" sqref="C5141">
      <formula1>UnidadesList</formula1>
    </dataValidation>
    <dataValidation type="decimal" operator="greaterThan" allowBlank="1" showInputMessage="1" showErrorMessage="1" sqref="D5141">
      <formula1>0</formula1>
    </dataValidation>
    <dataValidation type="decimal" operator="greaterThan" allowBlank="1" showInputMessage="1" showErrorMessage="1" sqref="E5141">
      <formula1>0</formula1>
    </dataValidation>
    <dataValidation type="whole" operator="greaterThan" allowBlank="1" showInputMessage="1" showErrorMessage="1" sqref="A5142">
      <formula1>0</formula1>
    </dataValidation>
    <dataValidation type="list" allowBlank="1" showInputMessage="1" showErrorMessage="1" sqref="C5142">
      <formula1>UnidadesList</formula1>
    </dataValidation>
    <dataValidation type="decimal" operator="greaterThan" allowBlank="1" showInputMessage="1" showErrorMessage="1" sqref="D5142">
      <formula1>0</formula1>
    </dataValidation>
    <dataValidation type="decimal" operator="greaterThan" allowBlank="1" showInputMessage="1" showErrorMessage="1" sqref="E5142">
      <formula1>0</formula1>
    </dataValidation>
    <dataValidation type="whole" operator="greaterThan" allowBlank="1" showInputMessage="1" showErrorMessage="1" sqref="A5143">
      <formula1>0</formula1>
    </dataValidation>
    <dataValidation type="list" allowBlank="1" showInputMessage="1" showErrorMessage="1" sqref="C5143">
      <formula1>UnidadesList</formula1>
    </dataValidation>
    <dataValidation type="decimal" operator="greaterThan" allowBlank="1" showInputMessage="1" showErrorMessage="1" sqref="D5143">
      <formula1>0</formula1>
    </dataValidation>
    <dataValidation type="decimal" operator="greaterThan" allowBlank="1" showInputMessage="1" showErrorMessage="1" sqref="E5143">
      <formula1>0</formula1>
    </dataValidation>
    <dataValidation type="whole" operator="greaterThan" allowBlank="1" showInputMessage="1" showErrorMessage="1" sqref="A5144">
      <formula1>0</formula1>
    </dataValidation>
    <dataValidation type="list" allowBlank="1" showInputMessage="1" showErrorMessage="1" sqref="C5144">
      <formula1>UnidadesList</formula1>
    </dataValidation>
    <dataValidation type="decimal" operator="greaterThan" allowBlank="1" showInputMessage="1" showErrorMessage="1" sqref="D5144">
      <formula1>0</formula1>
    </dataValidation>
    <dataValidation type="decimal" operator="greaterThan" allowBlank="1" showInputMessage="1" showErrorMessage="1" sqref="E5144">
      <formula1>0</formula1>
    </dataValidation>
    <dataValidation type="whole" operator="greaterThan" allowBlank="1" showInputMessage="1" showErrorMessage="1" sqref="A5145">
      <formula1>0</formula1>
    </dataValidation>
    <dataValidation type="list" allowBlank="1" showInputMessage="1" showErrorMessage="1" sqref="C5145">
      <formula1>UnidadesList</formula1>
    </dataValidation>
    <dataValidation type="decimal" operator="greaterThan" allowBlank="1" showInputMessage="1" showErrorMessage="1" sqref="D5145">
      <formula1>0</formula1>
    </dataValidation>
    <dataValidation type="decimal" operator="greaterThan" allowBlank="1" showInputMessage="1" showErrorMessage="1" sqref="E5145">
      <formula1>0</formula1>
    </dataValidation>
    <dataValidation type="whole" operator="greaterThan" allowBlank="1" showInputMessage="1" showErrorMessage="1" sqref="A5146">
      <formula1>0</formula1>
    </dataValidation>
    <dataValidation type="list" allowBlank="1" showInputMessage="1" showErrorMessage="1" sqref="C5146">
      <formula1>UnidadesList</formula1>
    </dataValidation>
    <dataValidation type="decimal" operator="greaterThan" allowBlank="1" showInputMessage="1" showErrorMessage="1" sqref="D5146">
      <formula1>0</formula1>
    </dataValidation>
    <dataValidation type="decimal" operator="greaterThan" allowBlank="1" showInputMessage="1" showErrorMessage="1" sqref="E5146">
      <formula1>0</formula1>
    </dataValidation>
    <dataValidation type="whole" operator="greaterThan" allowBlank="1" showInputMessage="1" showErrorMessage="1" sqref="A5147">
      <formula1>0</formula1>
    </dataValidation>
    <dataValidation type="list" allowBlank="1" showInputMessage="1" showErrorMessage="1" sqref="C5147">
      <formula1>UnidadesList</formula1>
    </dataValidation>
    <dataValidation type="decimal" operator="greaterThan" allowBlank="1" showInputMessage="1" showErrorMessage="1" sqref="D5147">
      <formula1>0</formula1>
    </dataValidation>
    <dataValidation type="decimal" operator="greaterThan" allowBlank="1" showInputMessage="1" showErrorMessage="1" sqref="E5147">
      <formula1>0</formula1>
    </dataValidation>
    <dataValidation type="whole" operator="greaterThan" allowBlank="1" showInputMessage="1" showErrorMessage="1" sqref="A5148">
      <formula1>0</formula1>
    </dataValidation>
    <dataValidation type="list" allowBlank="1" showInputMessage="1" showErrorMessage="1" sqref="C5148">
      <formula1>UnidadesList</formula1>
    </dataValidation>
    <dataValidation type="decimal" operator="greaterThan" allowBlank="1" showInputMessage="1" showErrorMessage="1" sqref="D5148">
      <formula1>0</formula1>
    </dataValidation>
    <dataValidation type="decimal" operator="greaterThan" allowBlank="1" showInputMessage="1" showErrorMessage="1" sqref="E5148">
      <formula1>0</formula1>
    </dataValidation>
    <dataValidation type="whole" operator="greaterThan" allowBlank="1" showInputMessage="1" showErrorMessage="1" sqref="A5149">
      <formula1>0</formula1>
    </dataValidation>
    <dataValidation type="list" allowBlank="1" showInputMessage="1" showErrorMessage="1" sqref="C5149">
      <formula1>UnidadesList</formula1>
    </dataValidation>
    <dataValidation type="decimal" operator="greaterThan" allowBlank="1" showInputMessage="1" showErrorMessage="1" sqref="D5149">
      <formula1>0</formula1>
    </dataValidation>
    <dataValidation type="decimal" operator="greaterThan" allowBlank="1" showInputMessage="1" showErrorMessage="1" sqref="E5149">
      <formula1>0</formula1>
    </dataValidation>
    <dataValidation type="whole" operator="greaterThan" allowBlank="1" showInputMessage="1" showErrorMessage="1" sqref="A5150">
      <formula1>0</formula1>
    </dataValidation>
    <dataValidation type="list" allowBlank="1" showInputMessage="1" showErrorMessage="1" sqref="C5150">
      <formula1>UnidadesList</formula1>
    </dataValidation>
    <dataValidation type="decimal" operator="greaterThan" allowBlank="1" showInputMessage="1" showErrorMessage="1" sqref="D5150">
      <formula1>0</formula1>
    </dataValidation>
    <dataValidation type="decimal" operator="greaterThan" allowBlank="1" showInputMessage="1" showErrorMessage="1" sqref="E5150">
      <formula1>0</formula1>
    </dataValidation>
    <dataValidation type="whole" operator="greaterThan" allowBlank="1" showInputMessage="1" showErrorMessage="1" sqref="A5151">
      <formula1>0</formula1>
    </dataValidation>
    <dataValidation type="list" allowBlank="1" showInputMessage="1" showErrorMessage="1" sqref="C5151">
      <formula1>UnidadesList</formula1>
    </dataValidation>
    <dataValidation type="decimal" operator="greaterThan" allowBlank="1" showInputMessage="1" showErrorMessage="1" sqref="D5151">
      <formula1>0</formula1>
    </dataValidation>
    <dataValidation type="decimal" operator="greaterThan" allowBlank="1" showInputMessage="1" showErrorMessage="1" sqref="E5151">
      <formula1>0</formula1>
    </dataValidation>
    <dataValidation type="whole" operator="greaterThan" allowBlank="1" showInputMessage="1" showErrorMessage="1" sqref="A5152">
      <formula1>0</formula1>
    </dataValidation>
    <dataValidation type="list" allowBlank="1" showInputMessage="1" showErrorMessage="1" sqref="C5152">
      <formula1>UnidadesList</formula1>
    </dataValidation>
    <dataValidation type="decimal" operator="greaterThan" allowBlank="1" showInputMessage="1" showErrorMessage="1" sqref="D5152">
      <formula1>0</formula1>
    </dataValidation>
    <dataValidation type="decimal" operator="greaterThan" allowBlank="1" showInputMessage="1" showErrorMessage="1" sqref="E5152">
      <formula1>0</formula1>
    </dataValidation>
    <dataValidation type="whole" operator="greaterThan" allowBlank="1" showInputMessage="1" showErrorMessage="1" sqref="A5153">
      <formula1>0</formula1>
    </dataValidation>
    <dataValidation type="list" allowBlank="1" showInputMessage="1" showErrorMessage="1" sqref="C5153">
      <formula1>UnidadesList</formula1>
    </dataValidation>
    <dataValidation type="decimal" operator="greaterThan" allowBlank="1" showInputMessage="1" showErrorMessage="1" sqref="D5153">
      <formula1>0</formula1>
    </dataValidation>
    <dataValidation type="decimal" operator="greaterThan" allowBlank="1" showInputMessage="1" showErrorMessage="1" sqref="E5153">
      <formula1>0</formula1>
    </dataValidation>
    <dataValidation type="whole" operator="greaterThan" allowBlank="1" showInputMessage="1" showErrorMessage="1" sqref="A5154">
      <formula1>0</formula1>
    </dataValidation>
    <dataValidation type="list" allowBlank="1" showInputMessage="1" showErrorMessage="1" sqref="C5154">
      <formula1>UnidadesList</formula1>
    </dataValidation>
    <dataValidation type="decimal" operator="greaterThan" allowBlank="1" showInputMessage="1" showErrorMessage="1" sqref="D5154">
      <formula1>0</formula1>
    </dataValidation>
    <dataValidation type="decimal" operator="greaterThan" allowBlank="1" showInputMessage="1" showErrorMessage="1" sqref="E5154">
      <formula1>0</formula1>
    </dataValidation>
    <dataValidation type="whole" operator="greaterThan" allowBlank="1" showInputMessage="1" showErrorMessage="1" sqref="A5155">
      <formula1>0</formula1>
    </dataValidation>
    <dataValidation type="list" allowBlank="1" showInputMessage="1" showErrorMessage="1" sqref="C5155">
      <formula1>UnidadesList</formula1>
    </dataValidation>
    <dataValidation type="decimal" operator="greaterThan" allowBlank="1" showInputMessage="1" showErrorMessage="1" sqref="D5155">
      <formula1>0</formula1>
    </dataValidation>
    <dataValidation type="decimal" operator="greaterThan" allowBlank="1" showInputMessage="1" showErrorMessage="1" sqref="E5155">
      <formula1>0</formula1>
    </dataValidation>
    <dataValidation type="whole" operator="greaterThan" allowBlank="1" showInputMessage="1" showErrorMessage="1" sqref="A5156">
      <formula1>0</formula1>
    </dataValidation>
    <dataValidation type="list" allowBlank="1" showInputMessage="1" showErrorMessage="1" sqref="C5156">
      <formula1>UnidadesList</formula1>
    </dataValidation>
    <dataValidation type="decimal" operator="greaterThan" allowBlank="1" showInputMessage="1" showErrorMessage="1" sqref="D5156">
      <formula1>0</formula1>
    </dataValidation>
    <dataValidation type="decimal" operator="greaterThan" allowBlank="1" showInputMessage="1" showErrorMessage="1" sqref="E5156">
      <formula1>0</formula1>
    </dataValidation>
    <dataValidation type="whole" operator="greaterThan" allowBlank="1" showInputMessage="1" showErrorMessage="1" sqref="A5157">
      <formula1>0</formula1>
    </dataValidation>
    <dataValidation type="list" allowBlank="1" showInputMessage="1" showErrorMessage="1" sqref="C5157">
      <formula1>UnidadesList</formula1>
    </dataValidation>
    <dataValidation type="decimal" operator="greaterThan" allowBlank="1" showInputMessage="1" showErrorMessage="1" sqref="D5157">
      <formula1>0</formula1>
    </dataValidation>
    <dataValidation type="decimal" operator="greaterThan" allowBlank="1" showInputMessage="1" showErrorMessage="1" sqref="E5157">
      <formula1>0</formula1>
    </dataValidation>
    <dataValidation type="whole" operator="greaterThan" allowBlank="1" showInputMessage="1" showErrorMessage="1" sqref="A5158">
      <formula1>0</formula1>
    </dataValidation>
    <dataValidation type="list" allowBlank="1" showInputMessage="1" showErrorMessage="1" sqref="C5158">
      <formula1>UnidadesList</formula1>
    </dataValidation>
    <dataValidation type="decimal" operator="greaterThan" allowBlank="1" showInputMessage="1" showErrorMessage="1" sqref="D5158">
      <formula1>0</formula1>
    </dataValidation>
    <dataValidation type="decimal" operator="greaterThan" allowBlank="1" showInputMessage="1" showErrorMessage="1" sqref="E5158">
      <formula1>0</formula1>
    </dataValidation>
    <dataValidation type="whole" operator="greaterThan" allowBlank="1" showInputMessage="1" showErrorMessage="1" sqref="A5159">
      <formula1>0</formula1>
    </dataValidation>
    <dataValidation type="list" allowBlank="1" showInputMessage="1" showErrorMessage="1" sqref="C5159">
      <formula1>UnidadesList</formula1>
    </dataValidation>
    <dataValidation type="decimal" operator="greaterThan" allowBlank="1" showInputMessage="1" showErrorMessage="1" sqref="D5159">
      <formula1>0</formula1>
    </dataValidation>
    <dataValidation type="decimal" operator="greaterThan" allowBlank="1" showInputMessage="1" showErrorMessage="1" sqref="E5159">
      <formula1>0</formula1>
    </dataValidation>
    <dataValidation type="whole" operator="greaterThan" allowBlank="1" showInputMessage="1" showErrorMessage="1" sqref="A5160">
      <formula1>0</formula1>
    </dataValidation>
    <dataValidation type="list" allowBlank="1" showInputMessage="1" showErrorMessage="1" sqref="C5160">
      <formula1>UnidadesList</formula1>
    </dataValidation>
    <dataValidation type="decimal" operator="greaterThan" allowBlank="1" showInputMessage="1" showErrorMessage="1" sqref="D5160">
      <formula1>0</formula1>
    </dataValidation>
    <dataValidation type="decimal" operator="greaterThan" allowBlank="1" showInputMessage="1" showErrorMessage="1" sqref="E5160">
      <formula1>0</formula1>
    </dataValidation>
    <dataValidation type="whole" operator="greaterThan" allowBlank="1" showInputMessage="1" showErrorMessage="1" sqref="A5161">
      <formula1>0</formula1>
    </dataValidation>
    <dataValidation type="list" allowBlank="1" showInputMessage="1" showErrorMessage="1" sqref="C5161">
      <formula1>UnidadesList</formula1>
    </dataValidation>
    <dataValidation type="decimal" operator="greaterThan" allowBlank="1" showInputMessage="1" showErrorMessage="1" sqref="D5161">
      <formula1>0</formula1>
    </dataValidation>
    <dataValidation type="decimal" operator="greaterThan" allowBlank="1" showInputMessage="1" showErrorMessage="1" sqref="E5161">
      <formula1>0</formula1>
    </dataValidation>
    <dataValidation type="whole" operator="greaterThan" allowBlank="1" showInputMessage="1" showErrorMessage="1" sqref="A5162">
      <formula1>0</formula1>
    </dataValidation>
    <dataValidation type="list" allowBlank="1" showInputMessage="1" showErrorMessage="1" sqref="C5162">
      <formula1>UnidadesList</formula1>
    </dataValidation>
    <dataValidation type="decimal" operator="greaterThan" allowBlank="1" showInputMessage="1" showErrorMessage="1" sqref="D5162">
      <formula1>0</formula1>
    </dataValidation>
    <dataValidation type="decimal" operator="greaterThan" allowBlank="1" showInputMessage="1" showErrorMessage="1" sqref="E5162">
      <formula1>0</formula1>
    </dataValidation>
    <dataValidation type="whole" operator="greaterThan" allowBlank="1" showInputMessage="1" showErrorMessage="1" sqref="A5163">
      <formula1>0</formula1>
    </dataValidation>
    <dataValidation type="list" allowBlank="1" showInputMessage="1" showErrorMessage="1" sqref="C5163">
      <formula1>UnidadesList</formula1>
    </dataValidation>
    <dataValidation type="decimal" operator="greaterThan" allowBlank="1" showInputMessage="1" showErrorMessage="1" sqref="D5163">
      <formula1>0</formula1>
    </dataValidation>
    <dataValidation type="decimal" operator="greaterThan" allowBlank="1" showInputMessage="1" showErrorMessage="1" sqref="E5163">
      <formula1>0</formula1>
    </dataValidation>
    <dataValidation type="whole" operator="greaterThan" allowBlank="1" showInputMessage="1" showErrorMessage="1" sqref="A5164">
      <formula1>0</formula1>
    </dataValidation>
    <dataValidation type="list" allowBlank="1" showInputMessage="1" showErrorMessage="1" sqref="C5164">
      <formula1>UnidadesList</formula1>
    </dataValidation>
    <dataValidation type="decimal" operator="greaterThan" allowBlank="1" showInputMessage="1" showErrorMessage="1" sqref="D5164">
      <formula1>0</formula1>
    </dataValidation>
    <dataValidation type="decimal" operator="greaterThan" allowBlank="1" showInputMessage="1" showErrorMessage="1" sqref="E5164">
      <formula1>0</formula1>
    </dataValidation>
    <dataValidation type="whole" operator="greaterThan" allowBlank="1" showInputMessage="1" showErrorMessage="1" sqref="A5165">
      <formula1>0</formula1>
    </dataValidation>
    <dataValidation type="list" allowBlank="1" showInputMessage="1" showErrorMessage="1" sqref="C5165">
      <formula1>UnidadesList</formula1>
    </dataValidation>
    <dataValidation type="decimal" operator="greaterThan" allowBlank="1" showInputMessage="1" showErrorMessage="1" sqref="D5165">
      <formula1>0</formula1>
    </dataValidation>
    <dataValidation type="decimal" operator="greaterThan" allowBlank="1" showInputMessage="1" showErrorMessage="1" sqref="E5165">
      <formula1>0</formula1>
    </dataValidation>
    <dataValidation type="whole" operator="greaterThan" allowBlank="1" showInputMessage="1" showErrorMessage="1" sqref="A5166">
      <formula1>0</formula1>
    </dataValidation>
    <dataValidation type="list" allowBlank="1" showInputMessage="1" showErrorMessage="1" sqref="C5166">
      <formula1>UnidadesList</formula1>
    </dataValidation>
    <dataValidation type="decimal" operator="greaterThan" allowBlank="1" showInputMessage="1" showErrorMessage="1" sqref="D5166">
      <formula1>0</formula1>
    </dataValidation>
    <dataValidation type="decimal" operator="greaterThan" allowBlank="1" showInputMessage="1" showErrorMessage="1" sqref="E5166">
      <formula1>0</formula1>
    </dataValidation>
    <dataValidation type="whole" operator="greaterThan" allowBlank="1" showInputMessage="1" showErrorMessage="1" sqref="A5167">
      <formula1>0</formula1>
    </dataValidation>
    <dataValidation type="list" allowBlank="1" showInputMessage="1" showErrorMessage="1" sqref="C5167">
      <formula1>UnidadesList</formula1>
    </dataValidation>
    <dataValidation type="decimal" operator="greaterThan" allowBlank="1" showInputMessage="1" showErrorMessage="1" sqref="D5167">
      <formula1>0</formula1>
    </dataValidation>
    <dataValidation type="decimal" operator="greaterThan" allowBlank="1" showInputMessage="1" showErrorMessage="1" sqref="E5167">
      <formula1>0</formula1>
    </dataValidation>
    <dataValidation type="whole" operator="greaterThan" allowBlank="1" showInputMessage="1" showErrorMessage="1" sqref="A5168">
      <formula1>0</formula1>
    </dataValidation>
    <dataValidation type="list" allowBlank="1" showInputMessage="1" showErrorMessage="1" sqref="C5168">
      <formula1>UnidadesList</formula1>
    </dataValidation>
    <dataValidation type="decimal" operator="greaterThan" allowBlank="1" showInputMessage="1" showErrorMessage="1" sqref="D5168">
      <formula1>0</formula1>
    </dataValidation>
    <dataValidation type="decimal" operator="greaterThan" allowBlank="1" showInputMessage="1" showErrorMessage="1" sqref="E5168">
      <formula1>0</formula1>
    </dataValidation>
    <dataValidation type="whole" operator="greaterThan" allowBlank="1" showInputMessage="1" showErrorMessage="1" sqref="A5169">
      <formula1>0</formula1>
    </dataValidation>
    <dataValidation type="list" allowBlank="1" showInputMessage="1" showErrorMessage="1" sqref="C5169">
      <formula1>UnidadesList</formula1>
    </dataValidation>
    <dataValidation type="decimal" operator="greaterThan" allowBlank="1" showInputMessage="1" showErrorMessage="1" sqref="D5169">
      <formula1>0</formula1>
    </dataValidation>
    <dataValidation type="decimal" operator="greaterThan" allowBlank="1" showInputMessage="1" showErrorMessage="1" sqref="E5169">
      <formula1>0</formula1>
    </dataValidation>
    <dataValidation type="whole" operator="greaterThan" allowBlank="1" showInputMessage="1" showErrorMessage="1" sqref="A5170">
      <formula1>0</formula1>
    </dataValidation>
    <dataValidation type="list" allowBlank="1" showInputMessage="1" showErrorMessage="1" sqref="C5170">
      <formula1>UnidadesList</formula1>
    </dataValidation>
    <dataValidation type="decimal" operator="greaterThan" allowBlank="1" showInputMessage="1" showErrorMessage="1" sqref="D5170">
      <formula1>0</formula1>
    </dataValidation>
    <dataValidation type="decimal" operator="greaterThan" allowBlank="1" showInputMessage="1" showErrorMessage="1" sqref="E5170">
      <formula1>0</formula1>
    </dataValidation>
    <dataValidation type="date" operator="lessThanOrEqual" allowBlank="1" showInputMessage="1" showErrorMessage="1" sqref="C5175">
      <formula1>C5177</formula1>
    </dataValidation>
    <dataValidation type="date" operator="greaterThanOrEqual" allowBlank="1" showInputMessage="1" showErrorMessage="1" sqref="C5177">
      <formula1>C5175</formula1>
    </dataValidation>
    <dataValidation type="list" allowBlank="1" showInputMessage="1" showErrorMessage="1" sqref="F51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81">
      <formula1>0</formula1>
    </dataValidation>
    <dataValidation type="list" allowBlank="1" showInputMessage="1" showErrorMessage="1" sqref="C5181">
      <formula1>UnidadesList</formula1>
    </dataValidation>
    <dataValidation type="decimal" operator="greaterThan" allowBlank="1" showInputMessage="1" showErrorMessage="1" sqref="D5181">
      <formula1>0</formula1>
    </dataValidation>
    <dataValidation type="decimal" operator="greaterThan" allowBlank="1" showInputMessage="1" showErrorMessage="1" sqref="E5181">
      <formula1>0</formula1>
    </dataValidation>
    <dataValidation type="whole" operator="greaterThan" allowBlank="1" showInputMessage="1" showErrorMessage="1" sqref="A5182">
      <formula1>0</formula1>
    </dataValidation>
    <dataValidation type="list" allowBlank="1" showInputMessage="1" showErrorMessage="1" sqref="C5182">
      <formula1>UnidadesList</formula1>
    </dataValidation>
    <dataValidation type="decimal" operator="greaterThan" allowBlank="1" showInputMessage="1" showErrorMessage="1" sqref="D5182">
      <formula1>0</formula1>
    </dataValidation>
    <dataValidation type="decimal" operator="greaterThan" allowBlank="1" showInputMessage="1" showErrorMessage="1" sqref="E5182">
      <formula1>0</formula1>
    </dataValidation>
    <dataValidation type="whole" operator="greaterThan" allowBlank="1" showInputMessage="1" showErrorMessage="1" sqref="A5183">
      <formula1>0</formula1>
    </dataValidation>
    <dataValidation type="list" allowBlank="1" showInputMessage="1" showErrorMessage="1" sqref="C5183">
      <formula1>UnidadesList</formula1>
    </dataValidation>
    <dataValidation type="decimal" operator="greaterThan" allowBlank="1" showInputMessage="1" showErrorMessage="1" sqref="D5183">
      <formula1>0</formula1>
    </dataValidation>
    <dataValidation type="decimal" operator="greaterThan" allowBlank="1" showInputMessage="1" showErrorMessage="1" sqref="E5183">
      <formula1>0</formula1>
    </dataValidation>
    <dataValidation type="whole" operator="greaterThan" allowBlank="1" showInputMessage="1" showErrorMessage="1" sqref="A5184">
      <formula1>0</formula1>
    </dataValidation>
    <dataValidation type="list" allowBlank="1" showInputMessage="1" showErrorMessage="1" sqref="C5184">
      <formula1>UnidadesList</formula1>
    </dataValidation>
    <dataValidation type="decimal" operator="greaterThan" allowBlank="1" showInputMessage="1" showErrorMessage="1" sqref="D5184">
      <formula1>0</formula1>
    </dataValidation>
    <dataValidation type="decimal" operator="greaterThan" allowBlank="1" showInputMessage="1" showErrorMessage="1" sqref="E5184">
      <formula1>0</formula1>
    </dataValidation>
    <dataValidation type="whole" operator="greaterThan" allowBlank="1" showInputMessage="1" showErrorMessage="1" sqref="A5185">
      <formula1>0</formula1>
    </dataValidation>
    <dataValidation type="list" allowBlank="1" showInputMessage="1" showErrorMessage="1" sqref="C5185">
      <formula1>UnidadesList</formula1>
    </dataValidation>
    <dataValidation type="decimal" operator="greaterThan" allowBlank="1" showInputMessage="1" showErrorMessage="1" sqref="D5185">
      <formula1>0</formula1>
    </dataValidation>
    <dataValidation type="decimal" operator="greaterThan" allowBlank="1" showInputMessage="1" showErrorMessage="1" sqref="E5185">
      <formula1>0</formula1>
    </dataValidation>
    <dataValidation type="whole" operator="greaterThan" allowBlank="1" showInputMessage="1" showErrorMessage="1" sqref="A5186">
      <formula1>0</formula1>
    </dataValidation>
    <dataValidation type="list" allowBlank="1" showInputMessage="1" showErrorMessage="1" sqref="C5186">
      <formula1>UnidadesList</formula1>
    </dataValidation>
    <dataValidation type="decimal" operator="greaterThan" allowBlank="1" showInputMessage="1" showErrorMessage="1" sqref="D5186">
      <formula1>0</formula1>
    </dataValidation>
    <dataValidation type="decimal" operator="greaterThan" allowBlank="1" showInputMessage="1" showErrorMessage="1" sqref="E5186">
      <formula1>0</formula1>
    </dataValidation>
    <dataValidation type="whole" operator="greaterThan" allowBlank="1" showInputMessage="1" showErrorMessage="1" sqref="A5187">
      <formula1>0</formula1>
    </dataValidation>
    <dataValidation type="list" allowBlank="1" showInputMessage="1" showErrorMessage="1" sqref="C5187">
      <formula1>UnidadesList</formula1>
    </dataValidation>
    <dataValidation type="decimal" operator="greaterThan" allowBlank="1" showInputMessage="1" showErrorMessage="1" sqref="D5187">
      <formula1>0</formula1>
    </dataValidation>
    <dataValidation type="decimal" operator="greaterThan" allowBlank="1" showInputMessage="1" showErrorMessage="1" sqref="E5187">
      <formula1>0</formula1>
    </dataValidation>
    <dataValidation type="whole" operator="greaterThan" allowBlank="1" showInputMessage="1" showErrorMessage="1" sqref="A5188">
      <formula1>0</formula1>
    </dataValidation>
    <dataValidation type="list" allowBlank="1" showInputMessage="1" showErrorMessage="1" sqref="C5188">
      <formula1>UnidadesList</formula1>
    </dataValidation>
    <dataValidation type="decimal" operator="greaterThan" allowBlank="1" showInputMessage="1" showErrorMessage="1" sqref="D5188">
      <formula1>0</formula1>
    </dataValidation>
    <dataValidation type="decimal" operator="greaterThan" allowBlank="1" showInputMessage="1" showErrorMessage="1" sqref="E5188">
      <formula1>0</formula1>
    </dataValidation>
    <dataValidation type="whole" operator="greaterThan" allowBlank="1" showInputMessage="1" showErrorMessage="1" sqref="A5189">
      <formula1>0</formula1>
    </dataValidation>
    <dataValidation type="list" allowBlank="1" showInputMessage="1" showErrorMessage="1" sqref="C5189">
      <formula1>UnidadesList</formula1>
    </dataValidation>
    <dataValidation type="decimal" operator="greaterThan" allowBlank="1" showInputMessage="1" showErrorMessage="1" sqref="D5189">
      <formula1>0</formula1>
    </dataValidation>
    <dataValidation type="decimal" operator="greaterThan" allowBlank="1" showInputMessage="1" showErrorMessage="1" sqref="E5189">
      <formula1>0</formula1>
    </dataValidation>
    <dataValidation type="whole" operator="greaterThan" allowBlank="1" showInputMessage="1" showErrorMessage="1" sqref="A5190">
      <formula1>0</formula1>
    </dataValidation>
    <dataValidation type="list" allowBlank="1" showInputMessage="1" showErrorMessage="1" sqref="C5190">
      <formula1>UnidadesList</formula1>
    </dataValidation>
    <dataValidation type="decimal" operator="greaterThan" allowBlank="1" showInputMessage="1" showErrorMessage="1" sqref="D5190">
      <formula1>0</formula1>
    </dataValidation>
    <dataValidation type="decimal" operator="greaterThan" allowBlank="1" showInputMessage="1" showErrorMessage="1" sqref="E5190">
      <formula1>0</formula1>
    </dataValidation>
    <dataValidation type="whole" operator="greaterThan" allowBlank="1" showInputMessage="1" showErrorMessage="1" sqref="A5191">
      <formula1>0</formula1>
    </dataValidation>
    <dataValidation type="list" allowBlank="1" showInputMessage="1" showErrorMessage="1" sqref="C5191">
      <formula1>UnidadesList</formula1>
    </dataValidation>
    <dataValidation type="decimal" operator="greaterThan" allowBlank="1" showInputMessage="1" showErrorMessage="1" sqref="D5191">
      <formula1>0</formula1>
    </dataValidation>
    <dataValidation type="decimal" operator="greaterThan" allowBlank="1" showInputMessage="1" showErrorMessage="1" sqref="E5191">
      <formula1>0</formula1>
    </dataValidation>
    <dataValidation type="whole" operator="greaterThan" allowBlank="1" showInputMessage="1" showErrorMessage="1" sqref="A5192">
      <formula1>0</formula1>
    </dataValidation>
    <dataValidation type="list" allowBlank="1" showInputMessage="1" showErrorMessage="1" sqref="C5192">
      <formula1>UnidadesList</formula1>
    </dataValidation>
    <dataValidation type="decimal" operator="greaterThan" allowBlank="1" showInputMessage="1" showErrorMessage="1" sqref="D5192">
      <formula1>0</formula1>
    </dataValidation>
    <dataValidation type="decimal" operator="greaterThan" allowBlank="1" showInputMessage="1" showErrorMessage="1" sqref="E5192">
      <formula1>0</formula1>
    </dataValidation>
    <dataValidation type="whole" operator="greaterThan" allowBlank="1" showInputMessage="1" showErrorMessage="1" sqref="A5193">
      <formula1>0</formula1>
    </dataValidation>
    <dataValidation type="list" allowBlank="1" showInputMessage="1" showErrorMessage="1" sqref="C5193">
      <formula1>UnidadesList</formula1>
    </dataValidation>
    <dataValidation type="decimal" operator="greaterThan" allowBlank="1" showInputMessage="1" showErrorMessage="1" sqref="D5193">
      <formula1>0</formula1>
    </dataValidation>
    <dataValidation type="decimal" operator="greaterThan" allowBlank="1" showInputMessage="1" showErrorMessage="1" sqref="E5193">
      <formula1>0</formula1>
    </dataValidation>
    <dataValidation type="whole" operator="greaterThan" allowBlank="1" showInputMessage="1" showErrorMessage="1" sqref="A5194">
      <formula1>0</formula1>
    </dataValidation>
    <dataValidation type="list" allowBlank="1" showInputMessage="1" showErrorMessage="1" sqref="C5194">
      <formula1>UnidadesList</formula1>
    </dataValidation>
    <dataValidation type="decimal" operator="greaterThan" allowBlank="1" showInputMessage="1" showErrorMessage="1" sqref="D5194">
      <formula1>0</formula1>
    </dataValidation>
    <dataValidation type="decimal" operator="greaterThan" allowBlank="1" showInputMessage="1" showErrorMessage="1" sqref="E5194">
      <formula1>0</formula1>
    </dataValidation>
    <dataValidation type="whole" operator="greaterThan" allowBlank="1" showInputMessage="1" showErrorMessage="1" sqref="A5195">
      <formula1>0</formula1>
    </dataValidation>
    <dataValidation type="list" allowBlank="1" showInputMessage="1" showErrorMessage="1" sqref="C5195">
      <formula1>UnidadesList</formula1>
    </dataValidation>
    <dataValidation type="decimal" operator="greaterThan" allowBlank="1" showInputMessage="1" showErrorMessage="1" sqref="D5195">
      <formula1>0</formula1>
    </dataValidation>
    <dataValidation type="decimal" operator="greaterThan" allowBlank="1" showInputMessage="1" showErrorMessage="1" sqref="E5195">
      <formula1>0</formula1>
    </dataValidation>
    <dataValidation type="whole" operator="greaterThan" allowBlank="1" showInputMessage="1" showErrorMessage="1" sqref="A5196">
      <formula1>0</formula1>
    </dataValidation>
    <dataValidation type="list" allowBlank="1" showInputMessage="1" showErrorMessage="1" sqref="C5196">
      <formula1>UnidadesList</formula1>
    </dataValidation>
    <dataValidation type="decimal" operator="greaterThan" allowBlank="1" showInputMessage="1" showErrorMessage="1" sqref="D5196">
      <formula1>0</formula1>
    </dataValidation>
    <dataValidation type="decimal" operator="greaterThan" allowBlank="1" showInputMessage="1" showErrorMessage="1" sqref="E5196">
      <formula1>0</formula1>
    </dataValidation>
    <dataValidation type="whole" operator="greaterThan" allowBlank="1" showInputMessage="1" showErrorMessage="1" sqref="A5197">
      <formula1>0</formula1>
    </dataValidation>
    <dataValidation type="list" allowBlank="1" showInputMessage="1" showErrorMessage="1" sqref="C5197">
      <formula1>UnidadesList</formula1>
    </dataValidation>
    <dataValidation type="decimal" operator="greaterThan" allowBlank="1" showInputMessage="1" showErrorMessage="1" sqref="D5197">
      <formula1>0</formula1>
    </dataValidation>
    <dataValidation type="decimal" operator="greaterThan" allowBlank="1" showInputMessage="1" showErrorMessage="1" sqref="E5197">
      <formula1>0</formula1>
    </dataValidation>
    <dataValidation type="whole" operator="greaterThan" allowBlank="1" showInputMessage="1" showErrorMessage="1" sqref="A5198">
      <formula1>0</formula1>
    </dataValidation>
    <dataValidation type="list" allowBlank="1" showInputMessage="1" showErrorMessage="1" sqref="C5198">
      <formula1>UnidadesList</formula1>
    </dataValidation>
    <dataValidation type="decimal" operator="greaterThan" allowBlank="1" showInputMessage="1" showErrorMessage="1" sqref="D5198">
      <formula1>0</formula1>
    </dataValidation>
    <dataValidation type="decimal" operator="greaterThan" allowBlank="1" showInputMessage="1" showErrorMessage="1" sqref="E5198">
      <formula1>0</formula1>
    </dataValidation>
    <dataValidation type="whole" operator="greaterThan" allowBlank="1" showInputMessage="1" showErrorMessage="1" sqref="A5199">
      <formula1>0</formula1>
    </dataValidation>
    <dataValidation type="list" allowBlank="1" showInputMessage="1" showErrorMessage="1" sqref="C5199">
      <formula1>UnidadesList</formula1>
    </dataValidation>
    <dataValidation type="decimal" operator="greaterThan" allowBlank="1" showInputMessage="1" showErrorMessage="1" sqref="D5199">
      <formula1>0</formula1>
    </dataValidation>
    <dataValidation type="decimal" operator="greaterThan" allowBlank="1" showInputMessage="1" showErrorMessage="1" sqref="E5199">
      <formula1>0</formula1>
    </dataValidation>
    <dataValidation type="whole" operator="greaterThan" allowBlank="1" showInputMessage="1" showErrorMessage="1" sqref="A5200">
      <formula1>0</formula1>
    </dataValidation>
    <dataValidation type="list" allowBlank="1" showInputMessage="1" showErrorMessage="1" sqref="C5200">
      <formula1>UnidadesList</formula1>
    </dataValidation>
    <dataValidation type="decimal" operator="greaterThan" allowBlank="1" showInputMessage="1" showErrorMessage="1" sqref="D5200">
      <formula1>0</formula1>
    </dataValidation>
    <dataValidation type="decimal" operator="greaterThan" allowBlank="1" showInputMessage="1" showErrorMessage="1" sqref="E5200">
      <formula1>0</formula1>
    </dataValidation>
    <dataValidation type="whole" operator="greaterThan" allowBlank="1" showInputMessage="1" showErrorMessage="1" sqref="A5201">
      <formula1>0</formula1>
    </dataValidation>
    <dataValidation type="list" allowBlank="1" showInputMessage="1" showErrorMessage="1" sqref="C5201">
      <formula1>UnidadesList</formula1>
    </dataValidation>
    <dataValidation type="decimal" operator="greaterThan" allowBlank="1" showInputMessage="1" showErrorMessage="1" sqref="D5201">
      <formula1>0</formula1>
    </dataValidation>
    <dataValidation type="decimal" operator="greaterThan" allowBlank="1" showInputMessage="1" showErrorMessage="1" sqref="E5201">
      <formula1>0</formula1>
    </dataValidation>
    <dataValidation type="whole" operator="greaterThan" allowBlank="1" showInputMessage="1" showErrorMessage="1" sqref="A5202">
      <formula1>0</formula1>
    </dataValidation>
    <dataValidation type="list" allowBlank="1" showInputMessage="1" showErrorMessage="1" sqref="C5202">
      <formula1>UnidadesList</formula1>
    </dataValidation>
    <dataValidation type="decimal" operator="greaterThan" allowBlank="1" showInputMessage="1" showErrorMessage="1" sqref="D5202">
      <formula1>0</formula1>
    </dataValidation>
    <dataValidation type="decimal" operator="greaterThan" allowBlank="1" showInputMessage="1" showErrorMessage="1" sqref="E5202">
      <formula1>0</formula1>
    </dataValidation>
    <dataValidation type="whole" operator="greaterThan" allowBlank="1" showInputMessage="1" showErrorMessage="1" sqref="A5203">
      <formula1>0</formula1>
    </dataValidation>
    <dataValidation type="list" allowBlank="1" showInputMessage="1" showErrorMessage="1" sqref="C5203">
      <formula1>UnidadesList</formula1>
    </dataValidation>
    <dataValidation type="decimal" operator="greaterThan" allowBlank="1" showInputMessage="1" showErrorMessage="1" sqref="D5203">
      <formula1>0</formula1>
    </dataValidation>
    <dataValidation type="decimal" operator="greaterThan" allowBlank="1" showInputMessage="1" showErrorMessage="1" sqref="E5203">
      <formula1>0</formula1>
    </dataValidation>
    <dataValidation type="whole" operator="greaterThan" allowBlank="1" showInputMessage="1" showErrorMessage="1" sqref="A5204">
      <formula1>0</formula1>
    </dataValidation>
    <dataValidation type="list" allowBlank="1" showInputMessage="1" showErrorMessage="1" sqref="C5204">
      <formula1>UnidadesList</formula1>
    </dataValidation>
    <dataValidation type="decimal" operator="greaterThan" allowBlank="1" showInputMessage="1" showErrorMessage="1" sqref="D5204">
      <formula1>0</formula1>
    </dataValidation>
    <dataValidation type="decimal" operator="greaterThan" allowBlank="1" showInputMessage="1" showErrorMessage="1" sqref="E5204">
      <formula1>0</formula1>
    </dataValidation>
    <dataValidation type="whole" operator="greaterThan" allowBlank="1" showInputMessage="1" showErrorMessage="1" sqref="A5205">
      <formula1>0</formula1>
    </dataValidation>
    <dataValidation type="list" allowBlank="1" showInputMessage="1" showErrorMessage="1" sqref="C5205">
      <formula1>UnidadesList</formula1>
    </dataValidation>
    <dataValidation type="decimal" operator="greaterThan" allowBlank="1" showInputMessage="1" showErrorMessage="1" sqref="D5205">
      <formula1>0</formula1>
    </dataValidation>
    <dataValidation type="decimal" operator="greaterThan" allowBlank="1" showInputMessage="1" showErrorMessage="1" sqref="E5205">
      <formula1>0</formula1>
    </dataValidation>
    <dataValidation type="whole" operator="greaterThan" allowBlank="1" showInputMessage="1" showErrorMessage="1" sqref="A5206">
      <formula1>0</formula1>
    </dataValidation>
    <dataValidation type="list" allowBlank="1" showInputMessage="1" showErrorMessage="1" sqref="C5206">
      <formula1>UnidadesList</formula1>
    </dataValidation>
    <dataValidation type="decimal" operator="greaterThan" allowBlank="1" showInputMessage="1" showErrorMessage="1" sqref="D5206">
      <formula1>0</formula1>
    </dataValidation>
    <dataValidation type="decimal" operator="greaterThan" allowBlank="1" showInputMessage="1" showErrorMessage="1" sqref="E5206">
      <formula1>0</formula1>
    </dataValidation>
    <dataValidation type="whole" operator="greaterThan" allowBlank="1" showInputMessage="1" showErrorMessage="1" sqref="A5207">
      <formula1>0</formula1>
    </dataValidation>
    <dataValidation type="list" allowBlank="1" showInputMessage="1" showErrorMessage="1" sqref="C5207">
      <formula1>UnidadesList</formula1>
    </dataValidation>
    <dataValidation type="decimal" operator="greaterThan" allowBlank="1" showInputMessage="1" showErrorMessage="1" sqref="D5207">
      <formula1>0</formula1>
    </dataValidation>
    <dataValidation type="decimal" operator="greaterThan" allowBlank="1" showInputMessage="1" showErrorMessage="1" sqref="E5207">
      <formula1>0</formula1>
    </dataValidation>
    <dataValidation type="whole" operator="greaterThan" allowBlank="1" showInputMessage="1" showErrorMessage="1" sqref="A5208">
      <formula1>0</formula1>
    </dataValidation>
    <dataValidation type="list" allowBlank="1" showInputMessage="1" showErrorMessage="1" sqref="C5208">
      <formula1>UnidadesList</formula1>
    </dataValidation>
    <dataValidation type="decimal" operator="greaterThan" allowBlank="1" showInputMessage="1" showErrorMessage="1" sqref="D5208">
      <formula1>0</formula1>
    </dataValidation>
    <dataValidation type="decimal" operator="greaterThan" allowBlank="1" showInputMessage="1" showErrorMessage="1" sqref="E5208">
      <formula1>0</formula1>
    </dataValidation>
    <dataValidation type="whole" operator="greaterThan" allowBlank="1" showInputMessage="1" showErrorMessage="1" sqref="A5209">
      <formula1>0</formula1>
    </dataValidation>
    <dataValidation type="list" allowBlank="1" showInputMessage="1" showErrorMessage="1" sqref="C5209">
      <formula1>UnidadesList</formula1>
    </dataValidation>
    <dataValidation type="decimal" operator="greaterThan" allowBlank="1" showInputMessage="1" showErrorMessage="1" sqref="D5209">
      <formula1>0</formula1>
    </dataValidation>
    <dataValidation type="decimal" operator="greaterThan" allowBlank="1" showInputMessage="1" showErrorMessage="1" sqref="E5209">
      <formula1>0</formula1>
    </dataValidation>
    <dataValidation type="whole" operator="greaterThan" allowBlank="1" showInputMessage="1" showErrorMessage="1" sqref="A5210">
      <formula1>0</formula1>
    </dataValidation>
    <dataValidation type="list" allowBlank="1" showInputMessage="1" showErrorMessage="1" sqref="C5210">
      <formula1>UnidadesList</formula1>
    </dataValidation>
    <dataValidation type="decimal" operator="greaterThan" allowBlank="1" showInputMessage="1" showErrorMessage="1" sqref="D5210">
      <formula1>0</formula1>
    </dataValidation>
    <dataValidation type="decimal" operator="greaterThan" allowBlank="1" showInputMessage="1" showErrorMessage="1" sqref="E5210">
      <formula1>0</formula1>
    </dataValidation>
    <dataValidation type="whole" operator="greaterThan" allowBlank="1" showInputMessage="1" showErrorMessage="1" sqref="A5211">
      <formula1>0</formula1>
    </dataValidation>
    <dataValidation type="list" allowBlank="1" showInputMessage="1" showErrorMessage="1" sqref="C5211">
      <formula1>UnidadesList</formula1>
    </dataValidation>
    <dataValidation type="decimal" operator="greaterThan" allowBlank="1" showInputMessage="1" showErrorMessage="1" sqref="D5211">
      <formula1>0</formula1>
    </dataValidation>
    <dataValidation type="decimal" operator="greaterThan" allowBlank="1" showInputMessage="1" showErrorMessage="1" sqref="E5211">
      <formula1>0</formula1>
    </dataValidation>
    <dataValidation type="whole" operator="greaterThan" allowBlank="1" showInputMessage="1" showErrorMessage="1" sqref="A5212">
      <formula1>0</formula1>
    </dataValidation>
    <dataValidation type="list" allowBlank="1" showInputMessage="1" showErrorMessage="1" sqref="C5212">
      <formula1>UnidadesList</formula1>
    </dataValidation>
    <dataValidation type="decimal" operator="greaterThan" allowBlank="1" showInputMessage="1" showErrorMessage="1" sqref="D5212">
      <formula1>0</formula1>
    </dataValidation>
    <dataValidation type="decimal" operator="greaterThan" allowBlank="1" showInputMessage="1" showErrorMessage="1" sqref="E5212">
      <formula1>0</formula1>
    </dataValidation>
    <dataValidation type="whole" operator="greaterThan" allowBlank="1" showInputMessage="1" showErrorMessage="1" sqref="A5213">
      <formula1>0</formula1>
    </dataValidation>
    <dataValidation type="list" allowBlank="1" showInputMessage="1" showErrorMessage="1" sqref="C5213">
      <formula1>UnidadesList</formula1>
    </dataValidation>
    <dataValidation type="decimal" operator="greaterThan" allowBlank="1" showInputMessage="1" showErrorMessage="1" sqref="D5213">
      <formula1>0</formula1>
    </dataValidation>
    <dataValidation type="decimal" operator="greaterThan" allowBlank="1" showInputMessage="1" showErrorMessage="1" sqref="E5213">
      <formula1>0</formula1>
    </dataValidation>
    <dataValidation type="whole" operator="greaterThan" allowBlank="1" showInputMessage="1" showErrorMessage="1" sqref="A5214">
      <formula1>0</formula1>
    </dataValidation>
    <dataValidation type="list" allowBlank="1" showInputMessage="1" showErrorMessage="1" sqref="C5214">
      <formula1>UnidadesList</formula1>
    </dataValidation>
    <dataValidation type="decimal" operator="greaterThan" allowBlank="1" showInputMessage="1" showErrorMessage="1" sqref="D5214">
      <formula1>0</formula1>
    </dataValidation>
    <dataValidation type="decimal" operator="greaterThan" allowBlank="1" showInputMessage="1" showErrorMessage="1" sqref="E5214">
      <formula1>0</formula1>
    </dataValidation>
    <dataValidation type="whole" operator="greaterThan" allowBlank="1" showInputMessage="1" showErrorMessage="1" sqref="A5215">
      <formula1>0</formula1>
    </dataValidation>
    <dataValidation type="list" allowBlank="1" showInputMessage="1" showErrorMessage="1" sqref="C5215">
      <formula1>UnidadesList</formula1>
    </dataValidation>
    <dataValidation type="decimal" operator="greaterThan" allowBlank="1" showInputMessage="1" showErrorMessage="1" sqref="D5215">
      <formula1>0</formula1>
    </dataValidation>
    <dataValidation type="decimal" operator="greaterThan" allowBlank="1" showInputMessage="1" showErrorMessage="1" sqref="E5215">
      <formula1>0</formula1>
    </dataValidation>
    <dataValidation type="whole" operator="greaterThan" allowBlank="1" showInputMessage="1" showErrorMessage="1" sqref="A5216">
      <formula1>0</formula1>
    </dataValidation>
    <dataValidation type="list" allowBlank="1" showInputMessage="1" showErrorMessage="1" sqref="C5216">
      <formula1>UnidadesList</formula1>
    </dataValidation>
    <dataValidation type="decimal" operator="greaterThan" allowBlank="1" showInputMessage="1" showErrorMessage="1" sqref="D5216">
      <formula1>0</formula1>
    </dataValidation>
    <dataValidation type="decimal" operator="greaterThan" allowBlank="1" showInputMessage="1" showErrorMessage="1" sqref="E5216">
      <formula1>0</formula1>
    </dataValidation>
    <dataValidation type="whole" operator="greaterThan" allowBlank="1" showInputMessage="1" showErrorMessage="1" sqref="A5217">
      <formula1>0</formula1>
    </dataValidation>
    <dataValidation type="list" allowBlank="1" showInputMessage="1" showErrorMessage="1" sqref="C5217">
      <formula1>UnidadesList</formula1>
    </dataValidation>
    <dataValidation type="decimal" operator="greaterThan" allowBlank="1" showInputMessage="1" showErrorMessage="1" sqref="D5217">
      <formula1>0</formula1>
    </dataValidation>
    <dataValidation type="decimal" operator="greaterThan" allowBlank="1" showInputMessage="1" showErrorMessage="1" sqref="E5217">
      <formula1>0</formula1>
    </dataValidation>
    <dataValidation type="whole" operator="greaterThan" allowBlank="1" showInputMessage="1" showErrorMessage="1" sqref="A5218">
      <formula1>0</formula1>
    </dataValidation>
    <dataValidation type="list" allowBlank="1" showInputMessage="1" showErrorMessage="1" sqref="C5218">
      <formula1>UnidadesList</formula1>
    </dataValidation>
    <dataValidation type="decimal" operator="greaterThan" allowBlank="1" showInputMessage="1" showErrorMessage="1" sqref="D5218">
      <formula1>0</formula1>
    </dataValidation>
    <dataValidation type="decimal" operator="greaterThan" allowBlank="1" showInputMessage="1" showErrorMessage="1" sqref="E5218">
      <formula1>0</formula1>
    </dataValidation>
    <dataValidation type="whole" operator="greaterThan" allowBlank="1" showInputMessage="1" showErrorMessage="1" sqref="A5219">
      <formula1>0</formula1>
    </dataValidation>
    <dataValidation type="list" allowBlank="1" showInputMessage="1" showErrorMessage="1" sqref="C5219">
      <formula1>UnidadesList</formula1>
    </dataValidation>
    <dataValidation type="decimal" operator="greaterThan" allowBlank="1" showInputMessage="1" showErrorMessage="1" sqref="D5219">
      <formula1>0</formula1>
    </dataValidation>
    <dataValidation type="decimal" operator="greaterThan" allowBlank="1" showInputMessage="1" showErrorMessage="1" sqref="E5219">
      <formula1>0</formula1>
    </dataValidation>
    <dataValidation type="whole" operator="greaterThan" allowBlank="1" showInputMessage="1" showErrorMessage="1" sqref="A5220">
      <formula1>0</formula1>
    </dataValidation>
    <dataValidation type="list" allowBlank="1" showInputMessage="1" showErrorMessage="1" sqref="C5220">
      <formula1>UnidadesList</formula1>
    </dataValidation>
    <dataValidation type="decimal" operator="greaterThan" allowBlank="1" showInputMessage="1" showErrorMessage="1" sqref="D5220">
      <formula1>0</formula1>
    </dataValidation>
    <dataValidation type="decimal" operator="greaterThan" allowBlank="1" showInputMessage="1" showErrorMessage="1" sqref="E5220">
      <formula1>0</formula1>
    </dataValidation>
    <dataValidation type="whole" operator="greaterThan" allowBlank="1" showInputMessage="1" showErrorMessage="1" sqref="A5221">
      <formula1>0</formula1>
    </dataValidation>
    <dataValidation type="list" allowBlank="1" showInputMessage="1" showErrorMessage="1" sqref="C5221">
      <formula1>UnidadesList</formula1>
    </dataValidation>
    <dataValidation type="decimal" operator="greaterThan" allowBlank="1" showInputMessage="1" showErrorMessage="1" sqref="D5221">
      <formula1>0</formula1>
    </dataValidation>
    <dataValidation type="decimal" operator="greaterThan" allowBlank="1" showInputMessage="1" showErrorMessage="1" sqref="E5221">
      <formula1>0</formula1>
    </dataValidation>
    <dataValidation type="whole" operator="greaterThan" allowBlank="1" showInputMessage="1" showErrorMessage="1" sqref="A5222">
      <formula1>0</formula1>
    </dataValidation>
    <dataValidation type="list" allowBlank="1" showInputMessage="1" showErrorMessage="1" sqref="C5222">
      <formula1>UnidadesList</formula1>
    </dataValidation>
    <dataValidation type="decimal" operator="greaterThan" allowBlank="1" showInputMessage="1" showErrorMessage="1" sqref="D5222">
      <formula1>0</formula1>
    </dataValidation>
    <dataValidation type="decimal" operator="greaterThan" allowBlank="1" showInputMessage="1" showErrorMessage="1" sqref="E5222">
      <formula1>0</formula1>
    </dataValidation>
    <dataValidation type="whole" operator="greaterThan" allowBlank="1" showInputMessage="1" showErrorMessage="1" sqref="A5223">
      <formula1>0</formula1>
    </dataValidation>
    <dataValidation type="list" allowBlank="1" showInputMessage="1" showErrorMessage="1" sqref="C5223">
      <formula1>UnidadesList</formula1>
    </dataValidation>
    <dataValidation type="decimal" operator="greaterThan" allowBlank="1" showInputMessage="1" showErrorMessage="1" sqref="D5223">
      <formula1>0</formula1>
    </dataValidation>
    <dataValidation type="decimal" operator="greaterThan" allowBlank="1" showInputMessage="1" showErrorMessage="1" sqref="E5223">
      <formula1>0</formula1>
    </dataValidation>
    <dataValidation type="whole" operator="greaterThan" allowBlank="1" showInputMessage="1" showErrorMessage="1" sqref="A5224">
      <formula1>0</formula1>
    </dataValidation>
    <dataValidation type="list" allowBlank="1" showInputMessage="1" showErrorMessage="1" sqref="C5224">
      <formula1>UnidadesList</formula1>
    </dataValidation>
    <dataValidation type="decimal" operator="greaterThan" allowBlank="1" showInputMessage="1" showErrorMessage="1" sqref="D5224">
      <formula1>0</formula1>
    </dataValidation>
    <dataValidation type="decimal" operator="greaterThan" allowBlank="1" showInputMessage="1" showErrorMessage="1" sqref="E5224">
      <formula1>0</formula1>
    </dataValidation>
    <dataValidation type="whole" operator="greaterThan" allowBlank="1" showInputMessage="1" showErrorMessage="1" sqref="A5225">
      <formula1>0</formula1>
    </dataValidation>
    <dataValidation type="list" allowBlank="1" showInputMessage="1" showErrorMessage="1" sqref="C5225">
      <formula1>UnidadesList</formula1>
    </dataValidation>
    <dataValidation type="decimal" operator="greaterThan" allowBlank="1" showInputMessage="1" showErrorMessage="1" sqref="D5225">
      <formula1>0</formula1>
    </dataValidation>
    <dataValidation type="decimal" operator="greaterThan" allowBlank="1" showInputMessage="1" showErrorMessage="1" sqref="E5225">
      <formula1>0</formula1>
    </dataValidation>
    <dataValidation type="whole" operator="greaterThan" allowBlank="1" showInputMessage="1" showErrorMessage="1" sqref="A5226">
      <formula1>0</formula1>
    </dataValidation>
    <dataValidation type="list" allowBlank="1" showInputMessage="1" showErrorMessage="1" sqref="C5226">
      <formula1>UnidadesList</formula1>
    </dataValidation>
    <dataValidation type="decimal" operator="greaterThan" allowBlank="1" showInputMessage="1" showErrorMessage="1" sqref="D5226">
      <formula1>0</formula1>
    </dataValidation>
    <dataValidation type="decimal" operator="greaterThan" allowBlank="1" showInputMessage="1" showErrorMessage="1" sqref="E5226">
      <formula1>0</formula1>
    </dataValidation>
    <dataValidation type="whole" operator="greaterThan" allowBlank="1" showInputMessage="1" showErrorMessage="1" sqref="A5227">
      <formula1>0</formula1>
    </dataValidation>
    <dataValidation type="list" allowBlank="1" showInputMessage="1" showErrorMessage="1" sqref="C5227">
      <formula1>UnidadesList</formula1>
    </dataValidation>
    <dataValidation type="decimal" operator="greaterThan" allowBlank="1" showInputMessage="1" showErrorMessage="1" sqref="D5227">
      <formula1>0</formula1>
    </dataValidation>
    <dataValidation type="decimal" operator="greaterThan" allowBlank="1" showInputMessage="1" showErrorMessage="1" sqref="E5227">
      <formula1>0</formula1>
    </dataValidation>
    <dataValidation type="whole" operator="greaterThan" allowBlank="1" showInputMessage="1" showErrorMessage="1" sqref="A5228">
      <formula1>0</formula1>
    </dataValidation>
    <dataValidation type="list" allowBlank="1" showInputMessage="1" showErrorMessage="1" sqref="C5228">
      <formula1>UnidadesList</formula1>
    </dataValidation>
    <dataValidation type="decimal" operator="greaterThan" allowBlank="1" showInputMessage="1" showErrorMessage="1" sqref="D5228">
      <formula1>0</formula1>
    </dataValidation>
    <dataValidation type="decimal" operator="greaterThan" allowBlank="1" showInputMessage="1" showErrorMessage="1" sqref="E5228">
      <formula1>0</formula1>
    </dataValidation>
    <dataValidation type="whole" operator="greaterThan" allowBlank="1" showInputMessage="1" showErrorMessage="1" sqref="A5229">
      <formula1>0</formula1>
    </dataValidation>
    <dataValidation type="list" allowBlank="1" showInputMessage="1" showErrorMessage="1" sqref="C5229">
      <formula1>UnidadesList</formula1>
    </dataValidation>
    <dataValidation type="decimal" operator="greaterThan" allowBlank="1" showInputMessage="1" showErrorMessage="1" sqref="D5229">
      <formula1>0</formula1>
    </dataValidation>
    <dataValidation type="decimal" operator="greaterThan" allowBlank="1" showInputMessage="1" showErrorMessage="1" sqref="E5229">
      <formula1>0</formula1>
    </dataValidation>
    <dataValidation type="whole" operator="greaterThan" allowBlank="1" showInputMessage="1" showErrorMessage="1" sqref="A5230">
      <formula1>0</formula1>
    </dataValidation>
    <dataValidation type="list" allowBlank="1" showInputMessage="1" showErrorMessage="1" sqref="C5230">
      <formula1>UnidadesList</formula1>
    </dataValidation>
    <dataValidation type="decimal" operator="greaterThan" allowBlank="1" showInputMessage="1" showErrorMessage="1" sqref="D5230">
      <formula1>0</formula1>
    </dataValidation>
    <dataValidation type="decimal" operator="greaterThan" allowBlank="1" showInputMessage="1" showErrorMessage="1" sqref="E5230">
      <formula1>0</formula1>
    </dataValidation>
    <dataValidation type="whole" operator="greaterThan" allowBlank="1" showInputMessage="1" showErrorMessage="1" sqref="A5231">
      <formula1>0</formula1>
    </dataValidation>
    <dataValidation type="list" allowBlank="1" showInputMessage="1" showErrorMessage="1" sqref="C5231">
      <formula1>UnidadesList</formula1>
    </dataValidation>
    <dataValidation type="decimal" operator="greaterThan" allowBlank="1" showInputMessage="1" showErrorMessage="1" sqref="D5231">
      <formula1>0</formula1>
    </dataValidation>
    <dataValidation type="decimal" operator="greaterThan" allowBlank="1" showInputMessage="1" showErrorMessage="1" sqref="E5231">
      <formula1>0</formula1>
    </dataValidation>
    <dataValidation type="whole" operator="greaterThan" allowBlank="1" showInputMessage="1" showErrorMessage="1" sqref="A5232">
      <formula1>0</formula1>
    </dataValidation>
    <dataValidation type="list" allowBlank="1" showInputMessage="1" showErrorMessage="1" sqref="C5232">
      <formula1>UnidadesList</formula1>
    </dataValidation>
    <dataValidation type="decimal" operator="greaterThan" allowBlank="1" showInputMessage="1" showErrorMessage="1" sqref="D5232">
      <formula1>0</formula1>
    </dataValidation>
    <dataValidation type="decimal" operator="greaterThan" allowBlank="1" showInputMessage="1" showErrorMessage="1" sqref="E5232">
      <formula1>0</formula1>
    </dataValidation>
    <dataValidation type="whole" operator="greaterThan" allowBlank="1" showInputMessage="1" showErrorMessage="1" sqref="A5233">
      <formula1>0</formula1>
    </dataValidation>
    <dataValidation type="list" allowBlank="1" showInputMessage="1" showErrorMessage="1" sqref="C5233">
      <formula1>UnidadesList</formula1>
    </dataValidation>
    <dataValidation type="decimal" operator="greaterThan" allowBlank="1" showInputMessage="1" showErrorMessage="1" sqref="D5233">
      <formula1>0</formula1>
    </dataValidation>
    <dataValidation type="decimal" operator="greaterThan" allowBlank="1" showInputMessage="1" showErrorMessage="1" sqref="E5233">
      <formula1>0</formula1>
    </dataValidation>
    <dataValidation type="whole" operator="greaterThan" allowBlank="1" showInputMessage="1" showErrorMessage="1" sqref="A5234">
      <formula1>0</formula1>
    </dataValidation>
    <dataValidation type="list" allowBlank="1" showInputMessage="1" showErrorMessage="1" sqref="C5234">
      <formula1>UnidadesList</formula1>
    </dataValidation>
    <dataValidation type="decimal" operator="greaterThan" allowBlank="1" showInputMessage="1" showErrorMessage="1" sqref="D5234">
      <formula1>0</formula1>
    </dataValidation>
    <dataValidation type="decimal" operator="greaterThan" allowBlank="1" showInputMessage="1" showErrorMessage="1" sqref="E5234">
      <formula1>0</formula1>
    </dataValidation>
    <dataValidation type="whole" operator="greaterThan" allowBlank="1" showInputMessage="1" showErrorMessage="1" sqref="A5235">
      <formula1>0</formula1>
    </dataValidation>
    <dataValidation type="list" allowBlank="1" showInputMessage="1" showErrorMessage="1" sqref="C5235">
      <formula1>UnidadesList</formula1>
    </dataValidation>
    <dataValidation type="decimal" operator="greaterThan" allowBlank="1" showInputMessage="1" showErrorMessage="1" sqref="D5235">
      <formula1>0</formula1>
    </dataValidation>
    <dataValidation type="decimal" operator="greaterThan" allowBlank="1" showInputMessage="1" showErrorMessage="1" sqref="E5235">
      <formula1>0</formula1>
    </dataValidation>
    <dataValidation type="whole" operator="greaterThan" allowBlank="1" showInputMessage="1" showErrorMessage="1" sqref="A5236">
      <formula1>0</formula1>
    </dataValidation>
    <dataValidation type="list" allowBlank="1" showInputMessage="1" showErrorMessage="1" sqref="C5236">
      <formula1>UnidadesList</formula1>
    </dataValidation>
    <dataValidation type="decimal" operator="greaterThan" allowBlank="1" showInputMessage="1" showErrorMessage="1" sqref="D5236">
      <formula1>0</formula1>
    </dataValidation>
    <dataValidation type="decimal" operator="greaterThan" allowBlank="1" showInputMessage="1" showErrorMessage="1" sqref="E5236">
      <formula1>0</formula1>
    </dataValidation>
    <dataValidation type="whole" operator="greaterThan" allowBlank="1" showInputMessage="1" showErrorMessage="1" sqref="A5237">
      <formula1>0</formula1>
    </dataValidation>
    <dataValidation type="list" allowBlank="1" showInputMessage="1" showErrorMessage="1" sqref="C5237">
      <formula1>UnidadesList</formula1>
    </dataValidation>
    <dataValidation type="decimal" operator="greaterThan" allowBlank="1" showInputMessage="1" showErrorMessage="1" sqref="D5237">
      <formula1>0</formula1>
    </dataValidation>
    <dataValidation type="decimal" operator="greaterThan" allowBlank="1" showInputMessage="1" showErrorMessage="1" sqref="E5237">
      <formula1>0</formula1>
    </dataValidation>
    <dataValidation type="whole" operator="greaterThan" allowBlank="1" showInputMessage="1" showErrorMessage="1" sqref="A5238">
      <formula1>0</formula1>
    </dataValidation>
    <dataValidation type="list" allowBlank="1" showInputMessage="1" showErrorMessage="1" sqref="C5238">
      <formula1>UnidadesList</formula1>
    </dataValidation>
    <dataValidation type="decimal" operator="greaterThan" allowBlank="1" showInputMessage="1" showErrorMessage="1" sqref="D5238">
      <formula1>0</formula1>
    </dataValidation>
    <dataValidation type="decimal" operator="greaterThan" allowBlank="1" showInputMessage="1" showErrorMessage="1" sqref="E5238">
      <formula1>0</formula1>
    </dataValidation>
    <dataValidation type="whole" operator="greaterThan" allowBlank="1" showInputMessage="1" showErrorMessage="1" sqref="A5239">
      <formula1>0</formula1>
    </dataValidation>
    <dataValidation type="list" allowBlank="1" showInputMessage="1" showErrorMessage="1" sqref="C5239">
      <formula1>UnidadesList</formula1>
    </dataValidation>
    <dataValidation type="decimal" operator="greaterThan" allowBlank="1" showInputMessage="1" showErrorMessage="1" sqref="D5239">
      <formula1>0</formula1>
    </dataValidation>
    <dataValidation type="decimal" operator="greaterThan" allowBlank="1" showInputMessage="1" showErrorMessage="1" sqref="E5239">
      <formula1>0</formula1>
    </dataValidation>
    <dataValidation type="whole" operator="greaterThan" allowBlank="1" showInputMessage="1" showErrorMessage="1" sqref="A5240">
      <formula1>0</formula1>
    </dataValidation>
    <dataValidation type="list" allowBlank="1" showInputMessage="1" showErrorMessage="1" sqref="C5240">
      <formula1>UnidadesList</formula1>
    </dataValidation>
    <dataValidation type="decimal" operator="greaterThan" allowBlank="1" showInputMessage="1" showErrorMessage="1" sqref="D5240">
      <formula1>0</formula1>
    </dataValidation>
    <dataValidation type="decimal" operator="greaterThan" allowBlank="1" showInputMessage="1" showErrorMessage="1" sqref="E5240">
      <formula1>0</formula1>
    </dataValidation>
    <dataValidation type="whole" operator="greaterThan" allowBlank="1" showInputMessage="1" showErrorMessage="1" sqref="A5241">
      <formula1>0</formula1>
    </dataValidation>
    <dataValidation type="list" allowBlank="1" showInputMessage="1" showErrorMessage="1" sqref="C5241">
      <formula1>UnidadesList</formula1>
    </dataValidation>
    <dataValidation type="decimal" operator="greaterThan" allowBlank="1" showInputMessage="1" showErrorMessage="1" sqref="D5241">
      <formula1>0</formula1>
    </dataValidation>
    <dataValidation type="decimal" operator="greaterThan" allowBlank="1" showInputMessage="1" showErrorMessage="1" sqref="E5241">
      <formula1>0</formula1>
    </dataValidation>
    <dataValidation type="whole" operator="greaterThan" allowBlank="1" showInputMessage="1" showErrorMessage="1" sqref="A5242">
      <formula1>0</formula1>
    </dataValidation>
    <dataValidation type="list" allowBlank="1" showInputMessage="1" showErrorMessage="1" sqref="C5242">
      <formula1>UnidadesList</formula1>
    </dataValidation>
    <dataValidation type="decimal" operator="greaterThan" allowBlank="1" showInputMessage="1" showErrorMessage="1" sqref="D5242">
      <formula1>0</formula1>
    </dataValidation>
    <dataValidation type="decimal" operator="greaterThan" allowBlank="1" showInputMessage="1" showErrorMessage="1" sqref="E5242">
      <formula1>0</formula1>
    </dataValidation>
    <dataValidation type="whole" operator="greaterThan" allowBlank="1" showInputMessage="1" showErrorMessage="1" sqref="A5243">
      <formula1>0</formula1>
    </dataValidation>
    <dataValidation type="list" allowBlank="1" showInputMessage="1" showErrorMessage="1" sqref="C5243">
      <formula1>UnidadesList</formula1>
    </dataValidation>
    <dataValidation type="decimal" operator="greaterThan" allowBlank="1" showInputMessage="1" showErrorMessage="1" sqref="D5243">
      <formula1>0</formula1>
    </dataValidation>
    <dataValidation type="decimal" operator="greaterThan" allowBlank="1" showInputMessage="1" showErrorMessage="1" sqref="E5243">
      <formula1>0</formula1>
    </dataValidation>
    <dataValidation type="whole" operator="greaterThan" allowBlank="1" showInputMessage="1" showErrorMessage="1" sqref="A5244">
      <formula1>0</formula1>
    </dataValidation>
    <dataValidation type="list" allowBlank="1" showInputMessage="1" showErrorMessage="1" sqref="C5244">
      <formula1>UnidadesList</formula1>
    </dataValidation>
    <dataValidation type="decimal" operator="greaterThan" allowBlank="1" showInputMessage="1" showErrorMessage="1" sqref="D5244">
      <formula1>0</formula1>
    </dataValidation>
    <dataValidation type="decimal" operator="greaterThan" allowBlank="1" showInputMessage="1" showErrorMessage="1" sqref="E5244">
      <formula1>0</formula1>
    </dataValidation>
    <dataValidation type="whole" operator="greaterThan" allowBlank="1" showInputMessage="1" showErrorMessage="1" sqref="A5245">
      <formula1>0</formula1>
    </dataValidation>
    <dataValidation type="list" allowBlank="1" showInputMessage="1" showErrorMessage="1" sqref="C5245">
      <formula1>UnidadesList</formula1>
    </dataValidation>
    <dataValidation type="decimal" operator="greaterThan" allowBlank="1" showInputMessage="1" showErrorMessage="1" sqref="D5245">
      <formula1>0</formula1>
    </dataValidation>
    <dataValidation type="decimal" operator="greaterThan" allowBlank="1" showInputMessage="1" showErrorMessage="1" sqref="E5245">
      <formula1>0</formula1>
    </dataValidation>
    <dataValidation type="whole" operator="greaterThan" allowBlank="1" showInputMessage="1" showErrorMessage="1" sqref="A5246">
      <formula1>0</formula1>
    </dataValidation>
    <dataValidation type="list" allowBlank="1" showInputMessage="1" showErrorMessage="1" sqref="C5246">
      <formula1>UnidadesList</formula1>
    </dataValidation>
    <dataValidation type="decimal" operator="greaterThan" allowBlank="1" showInputMessage="1" showErrorMessage="1" sqref="D5246">
      <formula1>0</formula1>
    </dataValidation>
    <dataValidation type="decimal" operator="greaterThan" allowBlank="1" showInputMessage="1" showErrorMessage="1" sqref="E5246">
      <formula1>0</formula1>
    </dataValidation>
    <dataValidation type="whole" operator="greaterThan" allowBlank="1" showInputMessage="1" showErrorMessage="1" sqref="A5247">
      <formula1>0</formula1>
    </dataValidation>
    <dataValidation type="list" allowBlank="1" showInputMessage="1" showErrorMessage="1" sqref="C5247">
      <formula1>UnidadesList</formula1>
    </dataValidation>
    <dataValidation type="decimal" operator="greaterThan" allowBlank="1" showInputMessage="1" showErrorMessage="1" sqref="D5247">
      <formula1>0</formula1>
    </dataValidation>
    <dataValidation type="decimal" operator="greaterThan" allowBlank="1" showInputMessage="1" showErrorMessage="1" sqref="E5247">
      <formula1>0</formula1>
    </dataValidation>
    <dataValidation type="whole" operator="greaterThan" allowBlank="1" showInputMessage="1" showErrorMessage="1" sqref="A5248">
      <formula1>0</formula1>
    </dataValidation>
    <dataValidation type="list" allowBlank="1" showInputMessage="1" showErrorMessage="1" sqref="C5248">
      <formula1>UnidadesList</formula1>
    </dataValidation>
    <dataValidation type="decimal" operator="greaterThan" allowBlank="1" showInputMessage="1" showErrorMessage="1" sqref="D5248">
      <formula1>0</formula1>
    </dataValidation>
    <dataValidation type="decimal" operator="greaterThan" allowBlank="1" showInputMessage="1" showErrorMessage="1" sqref="E5248">
      <formula1>0</formula1>
    </dataValidation>
    <dataValidation type="whole" operator="greaterThan" allowBlank="1" showInputMessage="1" showErrorMessage="1" sqref="A5249">
      <formula1>0</formula1>
    </dataValidation>
    <dataValidation type="list" allowBlank="1" showInputMessage="1" showErrorMessage="1" sqref="C5249">
      <formula1>UnidadesList</formula1>
    </dataValidation>
    <dataValidation type="decimal" operator="greaterThan" allowBlank="1" showInputMessage="1" showErrorMessage="1" sqref="D5249">
      <formula1>0</formula1>
    </dataValidation>
    <dataValidation type="decimal" operator="greaterThan" allowBlank="1" showInputMessage="1" showErrorMessage="1" sqref="E5249">
      <formula1>0</formula1>
    </dataValidation>
    <dataValidation type="whole" operator="greaterThan" allowBlank="1" showInputMessage="1" showErrorMessage="1" sqref="A5250">
      <formula1>0</formula1>
    </dataValidation>
    <dataValidation type="list" allowBlank="1" showInputMessage="1" showErrorMessage="1" sqref="C5250">
      <formula1>UnidadesList</formula1>
    </dataValidation>
    <dataValidation type="decimal" operator="greaterThan" allowBlank="1" showInputMessage="1" showErrorMessage="1" sqref="D5250">
      <formula1>0</formula1>
    </dataValidation>
    <dataValidation type="decimal" operator="greaterThan" allowBlank="1" showInputMessage="1" showErrorMessage="1" sqref="E5250">
      <formula1>0</formula1>
    </dataValidation>
    <dataValidation type="whole" operator="greaterThan" allowBlank="1" showInputMessage="1" showErrorMessage="1" sqref="A5251">
      <formula1>0</formula1>
    </dataValidation>
    <dataValidation type="list" allowBlank="1" showInputMessage="1" showErrorMessage="1" sqref="C5251">
      <formula1>UnidadesList</formula1>
    </dataValidation>
    <dataValidation type="decimal" operator="greaterThan" allowBlank="1" showInputMessage="1" showErrorMessage="1" sqref="D5251">
      <formula1>0</formula1>
    </dataValidation>
    <dataValidation type="decimal" operator="greaterThan" allowBlank="1" showInputMessage="1" showErrorMessage="1" sqref="E5251">
      <formula1>0</formula1>
    </dataValidation>
    <dataValidation type="whole" operator="greaterThan" allowBlank="1" showInputMessage="1" showErrorMessage="1" sqref="A5252">
      <formula1>0</formula1>
    </dataValidation>
    <dataValidation type="list" allowBlank="1" showInputMessage="1" showErrorMessage="1" sqref="C5252">
      <formula1>UnidadesList</formula1>
    </dataValidation>
    <dataValidation type="decimal" operator="greaterThan" allowBlank="1" showInputMessage="1" showErrorMessage="1" sqref="D5252">
      <formula1>0</formula1>
    </dataValidation>
    <dataValidation type="decimal" operator="greaterThan" allowBlank="1" showInputMessage="1" showErrorMessage="1" sqref="E5252">
      <formula1>0</formula1>
    </dataValidation>
    <dataValidation type="whole" operator="greaterThan" allowBlank="1" showInputMessage="1" showErrorMessage="1" sqref="A5253">
      <formula1>0</formula1>
    </dataValidation>
    <dataValidation type="list" allowBlank="1" showInputMessage="1" showErrorMessage="1" sqref="C5253">
      <formula1>UnidadesList</formula1>
    </dataValidation>
    <dataValidation type="decimal" operator="greaterThan" allowBlank="1" showInputMessage="1" showErrorMessage="1" sqref="D5253">
      <formula1>0</formula1>
    </dataValidation>
    <dataValidation type="decimal" operator="greaterThan" allowBlank="1" showInputMessage="1" showErrorMessage="1" sqref="E5253">
      <formula1>0</formula1>
    </dataValidation>
    <dataValidation type="whole" operator="greaterThan" allowBlank="1" showInputMessage="1" showErrorMessage="1" sqref="A5254">
      <formula1>0</formula1>
    </dataValidation>
    <dataValidation type="list" allowBlank="1" showInputMessage="1" showErrorMessage="1" sqref="C5254">
      <formula1>UnidadesList</formula1>
    </dataValidation>
    <dataValidation type="decimal" operator="greaterThan" allowBlank="1" showInputMessage="1" showErrorMessage="1" sqref="D5254">
      <formula1>0</formula1>
    </dataValidation>
    <dataValidation type="decimal" operator="greaterThan" allowBlank="1" showInputMessage="1" showErrorMessage="1" sqref="E5254">
      <formula1>0</formula1>
    </dataValidation>
    <dataValidation type="whole" operator="greaterThan" allowBlank="1" showInputMessage="1" showErrorMessage="1" sqref="A5255">
      <formula1>0</formula1>
    </dataValidation>
    <dataValidation type="list" allowBlank="1" showInputMessage="1" showErrorMessage="1" sqref="C5255">
      <formula1>UnidadesList</formula1>
    </dataValidation>
    <dataValidation type="decimal" operator="greaterThan" allowBlank="1" showInputMessage="1" showErrorMessage="1" sqref="D5255">
      <formula1>0</formula1>
    </dataValidation>
    <dataValidation type="decimal" operator="greaterThan" allowBlank="1" showInputMessage="1" showErrorMessage="1" sqref="E5255">
      <formula1>0</formula1>
    </dataValidation>
    <dataValidation type="whole" operator="greaterThan" allowBlank="1" showInputMessage="1" showErrorMessage="1" sqref="A5256">
      <formula1>0</formula1>
    </dataValidation>
    <dataValidation type="list" allowBlank="1" showInputMessage="1" showErrorMessage="1" sqref="C5256">
      <formula1>UnidadesList</formula1>
    </dataValidation>
    <dataValidation type="decimal" operator="greaterThan" allowBlank="1" showInputMessage="1" showErrorMessage="1" sqref="D5256">
      <formula1>0</formula1>
    </dataValidation>
    <dataValidation type="decimal" operator="greaterThan" allowBlank="1" showInputMessage="1" showErrorMessage="1" sqref="E5256">
      <formula1>0</formula1>
    </dataValidation>
    <dataValidation type="whole" operator="greaterThan" allowBlank="1" showInputMessage="1" showErrorMessage="1" sqref="A5257">
      <formula1>0</formula1>
    </dataValidation>
    <dataValidation type="list" allowBlank="1" showInputMessage="1" showErrorMessage="1" sqref="C5257">
      <formula1>UnidadesList</formula1>
    </dataValidation>
    <dataValidation type="decimal" operator="greaterThan" allowBlank="1" showInputMessage="1" showErrorMessage="1" sqref="D5257">
      <formula1>0</formula1>
    </dataValidation>
    <dataValidation type="decimal" operator="greaterThan" allowBlank="1" showInputMessage="1" showErrorMessage="1" sqref="E5257">
      <formula1>0</formula1>
    </dataValidation>
    <dataValidation type="whole" operator="greaterThan" allowBlank="1" showInputMessage="1" showErrorMessage="1" sqref="A5258">
      <formula1>0</formula1>
    </dataValidation>
    <dataValidation type="list" allowBlank="1" showInputMessage="1" showErrorMessage="1" sqref="C5258">
      <formula1>UnidadesList</formula1>
    </dataValidation>
    <dataValidation type="decimal" operator="greaterThan" allowBlank="1" showInputMessage="1" showErrorMessage="1" sqref="D5258">
      <formula1>0</formula1>
    </dataValidation>
    <dataValidation type="decimal" operator="greaterThan" allowBlank="1" showInputMessage="1" showErrorMessage="1" sqref="E5258">
      <formula1>0</formula1>
    </dataValidation>
    <dataValidation type="whole" operator="greaterThan" allowBlank="1" showInputMessage="1" showErrorMessage="1" sqref="A5259">
      <formula1>0</formula1>
    </dataValidation>
    <dataValidation type="list" allowBlank="1" showInputMessage="1" showErrorMessage="1" sqref="C5259">
      <formula1>UnidadesList</formula1>
    </dataValidation>
    <dataValidation type="decimal" operator="greaterThan" allowBlank="1" showInputMessage="1" showErrorMessage="1" sqref="D5259">
      <formula1>0</formula1>
    </dataValidation>
    <dataValidation type="decimal" operator="greaterThan" allowBlank="1" showInputMessage="1" showErrorMessage="1" sqref="E5259">
      <formula1>0</formula1>
    </dataValidation>
    <dataValidation type="whole" operator="greaterThan" allowBlank="1" showInputMessage="1" showErrorMessage="1" sqref="A5260">
      <formula1>0</formula1>
    </dataValidation>
    <dataValidation type="list" allowBlank="1" showInputMessage="1" showErrorMessage="1" sqref="C5260">
      <formula1>UnidadesList</formula1>
    </dataValidation>
    <dataValidation type="decimal" operator="greaterThan" allowBlank="1" showInputMessage="1" showErrorMessage="1" sqref="D5260">
      <formula1>0</formula1>
    </dataValidation>
    <dataValidation type="decimal" operator="greaterThan" allowBlank="1" showInputMessage="1" showErrorMessage="1" sqref="E5260">
      <formula1>0</formula1>
    </dataValidation>
    <dataValidation type="whole" operator="greaterThan" allowBlank="1" showInputMessage="1" showErrorMessage="1" sqref="A5261">
      <formula1>0</formula1>
    </dataValidation>
    <dataValidation type="list" allowBlank="1" showInputMessage="1" showErrorMessage="1" sqref="C5261">
      <formula1>UnidadesList</formula1>
    </dataValidation>
    <dataValidation type="decimal" operator="greaterThan" allowBlank="1" showInputMessage="1" showErrorMessage="1" sqref="D5261">
      <formula1>0</formula1>
    </dataValidation>
    <dataValidation type="decimal" operator="greaterThan" allowBlank="1" showInputMessage="1" showErrorMessage="1" sqref="E5261">
      <formula1>0</formula1>
    </dataValidation>
    <dataValidation type="whole" operator="greaterThan" allowBlank="1" showInputMessage="1" showErrorMessage="1" sqref="A5262">
      <formula1>0</formula1>
    </dataValidation>
    <dataValidation type="list" allowBlank="1" showInputMessage="1" showErrorMessage="1" sqref="C5262">
      <formula1>UnidadesList</formula1>
    </dataValidation>
    <dataValidation type="decimal" operator="greaterThan" allowBlank="1" showInputMessage="1" showErrorMessage="1" sqref="D5262">
      <formula1>0</formula1>
    </dataValidation>
    <dataValidation type="decimal" operator="greaterThan" allowBlank="1" showInputMessage="1" showErrorMessage="1" sqref="E5262">
      <formula1>0</formula1>
    </dataValidation>
    <dataValidation type="whole" operator="greaterThan" allowBlank="1" showInputMessage="1" showErrorMessage="1" sqref="A5263">
      <formula1>0</formula1>
    </dataValidation>
    <dataValidation type="list" allowBlank="1" showInputMessage="1" showErrorMessage="1" sqref="C5263">
      <formula1>UnidadesList</formula1>
    </dataValidation>
    <dataValidation type="decimal" operator="greaterThan" allowBlank="1" showInputMessage="1" showErrorMessage="1" sqref="D5263">
      <formula1>0</formula1>
    </dataValidation>
    <dataValidation type="decimal" operator="greaterThan" allowBlank="1" showInputMessage="1" showErrorMessage="1" sqref="E5263">
      <formula1>0</formula1>
    </dataValidation>
    <dataValidation type="whole" operator="greaterThan" allowBlank="1" showInputMessage="1" showErrorMessage="1" sqref="A5264">
      <formula1>0</formula1>
    </dataValidation>
    <dataValidation type="list" allowBlank="1" showInputMessage="1" showErrorMessage="1" sqref="C5264">
      <formula1>UnidadesList</formula1>
    </dataValidation>
    <dataValidation type="decimal" operator="greaterThan" allowBlank="1" showInputMessage="1" showErrorMessage="1" sqref="D5264">
      <formula1>0</formula1>
    </dataValidation>
    <dataValidation type="decimal" operator="greaterThan" allowBlank="1" showInputMessage="1" showErrorMessage="1" sqref="E5264">
      <formula1>0</formula1>
    </dataValidation>
    <dataValidation type="whole" operator="greaterThan" allowBlank="1" showInputMessage="1" showErrorMessage="1" sqref="A5265">
      <formula1>0</formula1>
    </dataValidation>
    <dataValidation type="list" allowBlank="1" showInputMessage="1" showErrorMessage="1" sqref="C5265">
      <formula1>UnidadesList</formula1>
    </dataValidation>
    <dataValidation type="decimal" operator="greaterThan" allowBlank="1" showInputMessage="1" showErrorMessage="1" sqref="D5265">
      <formula1>0</formula1>
    </dataValidation>
    <dataValidation type="decimal" operator="greaterThan" allowBlank="1" showInputMessage="1" showErrorMessage="1" sqref="E5265">
      <formula1>0</formula1>
    </dataValidation>
    <dataValidation type="whole" operator="greaterThan" allowBlank="1" showInputMessage="1" showErrorMessage="1" sqref="A5266">
      <formula1>0</formula1>
    </dataValidation>
    <dataValidation type="list" allowBlank="1" showInputMessage="1" showErrorMessage="1" sqref="C5266">
      <formula1>UnidadesList</formula1>
    </dataValidation>
    <dataValidation type="decimal" operator="greaterThan" allowBlank="1" showInputMessage="1" showErrorMessage="1" sqref="D5266">
      <formula1>0</formula1>
    </dataValidation>
    <dataValidation type="decimal" operator="greaterThan" allowBlank="1" showInputMessage="1" showErrorMessage="1" sqref="E5266">
      <formula1>0</formula1>
    </dataValidation>
    <dataValidation type="whole" operator="greaterThan" allowBlank="1" showInputMessage="1" showErrorMessage="1" sqref="A5267">
      <formula1>0</formula1>
    </dataValidation>
    <dataValidation type="list" allowBlank="1" showInputMessage="1" showErrorMessage="1" sqref="C5267">
      <formula1>UnidadesList</formula1>
    </dataValidation>
    <dataValidation type="decimal" operator="greaterThan" allowBlank="1" showInputMessage="1" showErrorMessage="1" sqref="D5267">
      <formula1>0</formula1>
    </dataValidation>
    <dataValidation type="decimal" operator="greaterThan" allowBlank="1" showInputMessage="1" showErrorMessage="1" sqref="E5267">
      <formula1>0</formula1>
    </dataValidation>
    <dataValidation type="whole" operator="greaterThan" allowBlank="1" showInputMessage="1" showErrorMessage="1" sqref="A5268">
      <formula1>0</formula1>
    </dataValidation>
    <dataValidation type="list" allowBlank="1" showInputMessage="1" showErrorMessage="1" sqref="C5268">
      <formula1>UnidadesList</formula1>
    </dataValidation>
    <dataValidation type="decimal" operator="greaterThan" allowBlank="1" showInputMessage="1" showErrorMessage="1" sqref="D5268">
      <formula1>0</formula1>
    </dataValidation>
    <dataValidation type="decimal" operator="greaterThan" allowBlank="1" showInputMessage="1" showErrorMessage="1" sqref="E5268">
      <formula1>0</formula1>
    </dataValidation>
    <dataValidation type="whole" operator="greaterThan" allowBlank="1" showInputMessage="1" showErrorMessage="1" sqref="A5269">
      <formula1>0</formula1>
    </dataValidation>
    <dataValidation type="list" allowBlank="1" showInputMessage="1" showErrorMessage="1" sqref="C5269">
      <formula1>UnidadesList</formula1>
    </dataValidation>
    <dataValidation type="decimal" operator="greaterThan" allowBlank="1" showInputMessage="1" showErrorMessage="1" sqref="D5269">
      <formula1>0</formula1>
    </dataValidation>
    <dataValidation type="decimal" operator="greaterThan" allowBlank="1" showInputMessage="1" showErrorMessage="1" sqref="E5269">
      <formula1>0</formula1>
    </dataValidation>
    <dataValidation type="whole" operator="greaterThan" allowBlank="1" showInputMessage="1" showErrorMessage="1" sqref="A5270">
      <formula1>0</formula1>
    </dataValidation>
    <dataValidation type="list" allowBlank="1" showInputMessage="1" showErrorMessage="1" sqref="C5270">
      <formula1>UnidadesList</formula1>
    </dataValidation>
    <dataValidation type="decimal" operator="greaterThan" allowBlank="1" showInputMessage="1" showErrorMessage="1" sqref="D5270">
      <formula1>0</formula1>
    </dataValidation>
    <dataValidation type="decimal" operator="greaterThan" allowBlank="1" showInputMessage="1" showErrorMessage="1" sqref="E5270">
      <formula1>0</formula1>
    </dataValidation>
    <dataValidation type="whole" operator="greaterThan" allowBlank="1" showInputMessage="1" showErrorMessage="1" sqref="A5271">
      <formula1>0</formula1>
    </dataValidation>
    <dataValidation type="list" allowBlank="1" showInputMessage="1" showErrorMessage="1" sqref="C5271">
      <formula1>UnidadesList</formula1>
    </dataValidation>
    <dataValidation type="decimal" operator="greaterThan" allowBlank="1" showInputMessage="1" showErrorMessage="1" sqref="D5271">
      <formula1>0</formula1>
    </dataValidation>
    <dataValidation type="decimal" operator="greaterThan" allowBlank="1" showInputMessage="1" showErrorMessage="1" sqref="E5271">
      <formula1>0</formula1>
    </dataValidation>
    <dataValidation type="whole" operator="greaterThan" allowBlank="1" showInputMessage="1" showErrorMessage="1" sqref="A5272">
      <formula1>0</formula1>
    </dataValidation>
    <dataValidation type="list" allowBlank="1" showInputMessage="1" showErrorMessage="1" sqref="C5272">
      <formula1>UnidadesList</formula1>
    </dataValidation>
    <dataValidation type="decimal" operator="greaterThan" allowBlank="1" showInputMessage="1" showErrorMessage="1" sqref="D5272">
      <formula1>0</formula1>
    </dataValidation>
    <dataValidation type="decimal" operator="greaterThan" allowBlank="1" showInputMessage="1" showErrorMessage="1" sqref="E5272">
      <formula1>0</formula1>
    </dataValidation>
    <dataValidation type="whole" operator="greaterThan" allowBlank="1" showInputMessage="1" showErrorMessage="1" sqref="A5273">
      <formula1>0</formula1>
    </dataValidation>
    <dataValidation type="list" allowBlank="1" showInputMessage="1" showErrorMessage="1" sqref="C5273">
      <formula1>UnidadesList</formula1>
    </dataValidation>
    <dataValidation type="decimal" operator="greaterThan" allowBlank="1" showInputMessage="1" showErrorMessage="1" sqref="D5273">
      <formula1>0</formula1>
    </dataValidation>
    <dataValidation type="decimal" operator="greaterThan" allowBlank="1" showInputMessage="1" showErrorMessage="1" sqref="E5273">
      <formula1>0</formula1>
    </dataValidation>
    <dataValidation type="whole" operator="greaterThan" allowBlank="1" showInputMessage="1" showErrorMessage="1" sqref="A5274">
      <formula1>0</formula1>
    </dataValidation>
    <dataValidation type="list" allowBlank="1" showInputMessage="1" showErrorMessage="1" sqref="C5274">
      <formula1>UnidadesList</formula1>
    </dataValidation>
    <dataValidation type="decimal" operator="greaterThan" allowBlank="1" showInputMessage="1" showErrorMessage="1" sqref="D5274">
      <formula1>0</formula1>
    </dataValidation>
    <dataValidation type="decimal" operator="greaterThan" allowBlank="1" showInputMessage="1" showErrorMessage="1" sqref="E5274">
      <formula1>0</formula1>
    </dataValidation>
    <dataValidation type="whole" operator="greaterThan" allowBlank="1" showInputMessage="1" showErrorMessage="1" sqref="A5275">
      <formula1>0</formula1>
    </dataValidation>
    <dataValidation type="list" allowBlank="1" showInputMessage="1" showErrorMessage="1" sqref="C5275">
      <formula1>UnidadesList</formula1>
    </dataValidation>
    <dataValidation type="decimal" operator="greaterThan" allowBlank="1" showInputMessage="1" showErrorMessage="1" sqref="D5275">
      <formula1>0</formula1>
    </dataValidation>
    <dataValidation type="decimal" operator="greaterThan" allowBlank="1" showInputMessage="1" showErrorMessage="1" sqref="E5275">
      <formula1>0</formula1>
    </dataValidation>
    <dataValidation type="whole" operator="greaterThan" allowBlank="1" showInputMessage="1" showErrorMessage="1" sqref="A5276">
      <formula1>0</formula1>
    </dataValidation>
    <dataValidation type="list" allowBlank="1" showInputMessage="1" showErrorMessage="1" sqref="C5276">
      <formula1>UnidadesList</formula1>
    </dataValidation>
    <dataValidation type="decimal" operator="greaterThan" allowBlank="1" showInputMessage="1" showErrorMessage="1" sqref="D5276">
      <formula1>0</formula1>
    </dataValidation>
    <dataValidation type="decimal" operator="greaterThan" allowBlank="1" showInputMessage="1" showErrorMessage="1" sqref="E5276">
      <formula1>0</formula1>
    </dataValidation>
    <dataValidation type="whole" operator="greaterThan" allowBlank="1" showInputMessage="1" showErrorMessage="1" sqref="A5277">
      <formula1>0</formula1>
    </dataValidation>
    <dataValidation type="list" allowBlank="1" showInputMessage="1" showErrorMessage="1" sqref="C5277">
      <formula1>UnidadesList</formula1>
    </dataValidation>
    <dataValidation type="decimal" operator="greaterThan" allowBlank="1" showInputMessage="1" showErrorMessage="1" sqref="D5277">
      <formula1>0</formula1>
    </dataValidation>
    <dataValidation type="decimal" operator="greaterThan" allowBlank="1" showInputMessage="1" showErrorMessage="1" sqref="E5277">
      <formula1>0</formula1>
    </dataValidation>
    <dataValidation type="whole" operator="greaterThan" allowBlank="1" showInputMessage="1" showErrorMessage="1" sqref="A5278">
      <formula1>0</formula1>
    </dataValidation>
    <dataValidation type="list" allowBlank="1" showInputMessage="1" showErrorMessage="1" sqref="C5278">
      <formula1>UnidadesList</formula1>
    </dataValidation>
    <dataValidation type="decimal" operator="greaterThan" allowBlank="1" showInputMessage="1" showErrorMessage="1" sqref="D5278">
      <formula1>0</formula1>
    </dataValidation>
    <dataValidation type="decimal" operator="greaterThan" allowBlank="1" showInputMessage="1" showErrorMessage="1" sqref="E5278">
      <formula1>0</formula1>
    </dataValidation>
    <dataValidation type="date" operator="lessThanOrEqual" allowBlank="1" showInputMessage="1" showErrorMessage="1" sqref="C5283">
      <formula1>C5285</formula1>
    </dataValidation>
    <dataValidation type="date" operator="greaterThanOrEqual" allowBlank="1" showInputMessage="1" showErrorMessage="1" sqref="C5285">
      <formula1>C5283</formula1>
    </dataValidation>
    <dataValidation type="list" allowBlank="1" showInputMessage="1" showErrorMessage="1" sqref="F52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2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2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2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289">
      <formula1>0</formula1>
    </dataValidation>
    <dataValidation type="list" allowBlank="1" showInputMessage="1" showErrorMessage="1" sqref="C5289">
      <formula1>UnidadesList</formula1>
    </dataValidation>
    <dataValidation type="decimal" operator="greaterThan" allowBlank="1" showInputMessage="1" showErrorMessage="1" sqref="D5289">
      <formula1>0</formula1>
    </dataValidation>
    <dataValidation type="decimal" operator="greaterThan" allowBlank="1" showInputMessage="1" showErrorMessage="1" sqref="E5289">
      <formula1>0</formula1>
    </dataValidation>
    <dataValidation type="whole" operator="greaterThan" allowBlank="1" showInputMessage="1" showErrorMessage="1" sqref="A5290">
      <formula1>0</formula1>
    </dataValidation>
    <dataValidation type="list" allowBlank="1" showInputMessage="1" showErrorMessage="1" sqref="C5290">
      <formula1>UnidadesList</formula1>
    </dataValidation>
    <dataValidation type="decimal" operator="greaterThan" allowBlank="1" showInputMessage="1" showErrorMessage="1" sqref="D5290">
      <formula1>0</formula1>
    </dataValidation>
    <dataValidation type="decimal" operator="greaterThan" allowBlank="1" showInputMessage="1" showErrorMessage="1" sqref="E5290">
      <formula1>0</formula1>
    </dataValidation>
    <dataValidation type="whole" operator="greaterThan" allowBlank="1" showInputMessage="1" showErrorMessage="1" sqref="A5291">
      <formula1>0</formula1>
    </dataValidation>
    <dataValidation type="list" allowBlank="1" showInputMessage="1" showErrorMessage="1" sqref="C5291">
      <formula1>UnidadesList</formula1>
    </dataValidation>
    <dataValidation type="decimal" operator="greaterThan" allowBlank="1" showInputMessage="1" showErrorMessage="1" sqref="D5291">
      <formula1>0</formula1>
    </dataValidation>
    <dataValidation type="decimal" operator="greaterThan" allowBlank="1" showInputMessage="1" showErrorMessage="1" sqref="E5291">
      <formula1>0</formula1>
    </dataValidation>
    <dataValidation type="whole" operator="greaterThan" allowBlank="1" showInputMessage="1" showErrorMessage="1" sqref="A5292">
      <formula1>0</formula1>
    </dataValidation>
    <dataValidation type="list" allowBlank="1" showInputMessage="1" showErrorMessage="1" sqref="C5292">
      <formula1>UnidadesList</formula1>
    </dataValidation>
    <dataValidation type="decimal" operator="greaterThan" allowBlank="1" showInputMessage="1" showErrorMessage="1" sqref="D5292">
      <formula1>0</formula1>
    </dataValidation>
    <dataValidation type="decimal" operator="greaterThan" allowBlank="1" showInputMessage="1" showErrorMessage="1" sqref="E5292">
      <formula1>0</formula1>
    </dataValidation>
    <dataValidation type="whole" operator="greaterThan" allowBlank="1" showInputMessage="1" showErrorMessage="1" sqref="A5293">
      <formula1>0</formula1>
    </dataValidation>
    <dataValidation type="list" allowBlank="1" showInputMessage="1" showErrorMessage="1" sqref="C5293">
      <formula1>UnidadesList</formula1>
    </dataValidation>
    <dataValidation type="decimal" operator="greaterThan" allowBlank="1" showInputMessage="1" showErrorMessage="1" sqref="D5293">
      <formula1>0</formula1>
    </dataValidation>
    <dataValidation type="decimal" operator="greaterThan" allowBlank="1" showInputMessage="1" showErrorMessage="1" sqref="E5293">
      <formula1>0</formula1>
    </dataValidation>
    <dataValidation type="whole" operator="greaterThan" allowBlank="1" showInputMessage="1" showErrorMessage="1" sqref="A5294">
      <formula1>0</formula1>
    </dataValidation>
    <dataValidation type="list" allowBlank="1" showInputMessage="1" showErrorMessage="1" sqref="C5294">
      <formula1>UnidadesList</formula1>
    </dataValidation>
    <dataValidation type="decimal" operator="greaterThan" allowBlank="1" showInputMessage="1" showErrorMessage="1" sqref="D5294">
      <formula1>0</formula1>
    </dataValidation>
    <dataValidation type="decimal" operator="greaterThan" allowBlank="1" showInputMessage="1" showErrorMessage="1" sqref="E5294">
      <formula1>0</formula1>
    </dataValidation>
    <dataValidation type="whole" operator="greaterThan" allowBlank="1" showInputMessage="1" showErrorMessage="1" sqref="A5295">
      <formula1>0</formula1>
    </dataValidation>
    <dataValidation type="list" allowBlank="1" showInputMessage="1" showErrorMessage="1" sqref="C5295">
      <formula1>UnidadesList</formula1>
    </dataValidation>
    <dataValidation type="decimal" operator="greaterThan" allowBlank="1" showInputMessage="1" showErrorMessage="1" sqref="D5295">
      <formula1>0</formula1>
    </dataValidation>
    <dataValidation type="decimal" operator="greaterThan" allowBlank="1" showInputMessage="1" showErrorMessage="1" sqref="E5295">
      <formula1>0</formula1>
    </dataValidation>
    <dataValidation type="whole" operator="greaterThan" allowBlank="1" showInputMessage="1" showErrorMessage="1" sqref="A5296">
      <formula1>0</formula1>
    </dataValidation>
    <dataValidation type="list" allowBlank="1" showInputMessage="1" showErrorMessage="1" sqref="C5296">
      <formula1>UnidadesList</formula1>
    </dataValidation>
    <dataValidation type="decimal" operator="greaterThan" allowBlank="1" showInputMessage="1" showErrorMessage="1" sqref="D5296">
      <formula1>0</formula1>
    </dataValidation>
    <dataValidation type="decimal" operator="greaterThan" allowBlank="1" showInputMessage="1" showErrorMessage="1" sqref="E5296">
      <formula1>0</formula1>
    </dataValidation>
    <dataValidation type="whole" operator="greaterThan" allowBlank="1" showInputMessage="1" showErrorMessage="1" sqref="A5297">
      <formula1>0</formula1>
    </dataValidation>
    <dataValidation type="list" allowBlank="1" showInputMessage="1" showErrorMessage="1" sqref="C5297">
      <formula1>UnidadesList</formula1>
    </dataValidation>
    <dataValidation type="decimal" operator="greaterThan" allowBlank="1" showInputMessage="1" showErrorMessage="1" sqref="D5297">
      <formula1>0</formula1>
    </dataValidation>
    <dataValidation type="decimal" operator="greaterThan" allowBlank="1" showInputMessage="1" showErrorMessage="1" sqref="E5297">
      <formula1>0</formula1>
    </dataValidation>
    <dataValidation type="whole" operator="greaterThan" allowBlank="1" showInputMessage="1" showErrorMessage="1" sqref="A5298">
      <formula1>0</formula1>
    </dataValidation>
    <dataValidation type="list" allowBlank="1" showInputMessage="1" showErrorMessage="1" sqref="C5298">
      <formula1>UnidadesList</formula1>
    </dataValidation>
    <dataValidation type="decimal" operator="greaterThan" allowBlank="1" showInputMessage="1" showErrorMessage="1" sqref="D5298">
      <formula1>0</formula1>
    </dataValidation>
    <dataValidation type="decimal" operator="greaterThan" allowBlank="1" showInputMessage="1" showErrorMessage="1" sqref="E5298">
      <formula1>0</formula1>
    </dataValidation>
    <dataValidation type="whole" operator="greaterThan" allowBlank="1" showInputMessage="1" showErrorMessage="1" sqref="A5299">
      <formula1>0</formula1>
    </dataValidation>
    <dataValidation type="list" allowBlank="1" showInputMessage="1" showErrorMessage="1" sqref="C5299">
      <formula1>UnidadesList</formula1>
    </dataValidation>
    <dataValidation type="decimal" operator="greaterThan" allowBlank="1" showInputMessage="1" showErrorMessage="1" sqref="D5299">
      <formula1>0</formula1>
    </dataValidation>
    <dataValidation type="decimal" operator="greaterThan" allowBlank="1" showInputMessage="1" showErrorMessage="1" sqref="E5299">
      <formula1>0</formula1>
    </dataValidation>
    <dataValidation type="whole" operator="greaterThan" allowBlank="1" showInputMessage="1" showErrorMessage="1" sqref="A5300">
      <formula1>0</formula1>
    </dataValidation>
    <dataValidation type="list" allowBlank="1" showInputMessage="1" showErrorMessage="1" sqref="C5300">
      <formula1>UnidadesList</formula1>
    </dataValidation>
    <dataValidation type="decimal" operator="greaterThan" allowBlank="1" showInputMessage="1" showErrorMessage="1" sqref="D5300">
      <formula1>0</formula1>
    </dataValidation>
    <dataValidation type="decimal" operator="greaterThan" allowBlank="1" showInputMessage="1" showErrorMessage="1" sqref="E5300">
      <formula1>0</formula1>
    </dataValidation>
    <dataValidation type="whole" operator="greaterThan" allowBlank="1" showInputMessage="1" showErrorMessage="1" sqref="A5301">
      <formula1>0</formula1>
    </dataValidation>
    <dataValidation type="list" allowBlank="1" showInputMessage="1" showErrorMessage="1" sqref="C5301">
      <formula1>UnidadesList</formula1>
    </dataValidation>
    <dataValidation type="decimal" operator="greaterThan" allowBlank="1" showInputMessage="1" showErrorMessage="1" sqref="D5301">
      <formula1>0</formula1>
    </dataValidation>
    <dataValidation type="decimal" operator="greaterThan" allowBlank="1" showInputMessage="1" showErrorMessage="1" sqref="E5301">
      <formula1>0</formula1>
    </dataValidation>
    <dataValidation type="date" operator="lessThanOrEqual" allowBlank="1" showInputMessage="1" showErrorMessage="1" sqref="C5306">
      <formula1>C5308</formula1>
    </dataValidation>
    <dataValidation type="date" operator="greaterThanOrEqual" allowBlank="1" showInputMessage="1" showErrorMessage="1" sqref="C5308">
      <formula1>C5306</formula1>
    </dataValidation>
    <dataValidation type="list" allowBlank="1" showInputMessage="1" showErrorMessage="1" sqref="F530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0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30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30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312">
      <formula1>0</formula1>
    </dataValidation>
    <dataValidation type="list" allowBlank="1" showInputMessage="1" showErrorMessage="1" sqref="C5312">
      <formula1>UnidadesList</formula1>
    </dataValidation>
    <dataValidation type="decimal" operator="greaterThan" allowBlank="1" showInputMessage="1" showErrorMessage="1" sqref="D5312">
      <formula1>0</formula1>
    </dataValidation>
    <dataValidation type="decimal" operator="greaterThan" allowBlank="1" showInputMessage="1" showErrorMessage="1" sqref="E5312">
      <formula1>0</formula1>
    </dataValidation>
    <dataValidation type="whole" operator="greaterThan" allowBlank="1" showInputMessage="1" showErrorMessage="1" sqref="A5313">
      <formula1>0</formula1>
    </dataValidation>
    <dataValidation type="list" allowBlank="1" showInputMessage="1" showErrorMessage="1" sqref="C5313">
      <formula1>UnidadesList</formula1>
    </dataValidation>
    <dataValidation type="decimal" operator="greaterThan" allowBlank="1" showInputMessage="1" showErrorMessage="1" sqref="D5313">
      <formula1>0</formula1>
    </dataValidation>
    <dataValidation type="decimal" operator="greaterThan" allowBlank="1" showInputMessage="1" showErrorMessage="1" sqref="E5313">
      <formula1>0</formula1>
    </dataValidation>
    <dataValidation type="whole" operator="greaterThan" allowBlank="1" showInputMessage="1" showErrorMessage="1" sqref="A5314">
      <formula1>0</formula1>
    </dataValidation>
    <dataValidation type="list" allowBlank="1" showInputMessage="1" showErrorMessage="1" sqref="C5314">
      <formula1>UnidadesList</formula1>
    </dataValidation>
    <dataValidation type="decimal" operator="greaterThan" allowBlank="1" showInputMessage="1" showErrorMessage="1" sqref="D5314">
      <formula1>0</formula1>
    </dataValidation>
    <dataValidation type="decimal" operator="greaterThan" allowBlank="1" showInputMessage="1" showErrorMessage="1" sqref="E5314">
      <formula1>0</formula1>
    </dataValidation>
    <dataValidation type="whole" operator="greaterThan" allowBlank="1" showInputMessage="1" showErrorMessage="1" sqref="A5315">
      <formula1>0</formula1>
    </dataValidation>
    <dataValidation type="list" allowBlank="1" showInputMessage="1" showErrorMessage="1" sqref="C5315">
      <formula1>UnidadesList</formula1>
    </dataValidation>
    <dataValidation type="decimal" operator="greaterThan" allowBlank="1" showInputMessage="1" showErrorMessage="1" sqref="D5315">
      <formula1>0</formula1>
    </dataValidation>
    <dataValidation type="decimal" operator="greaterThan" allowBlank="1" showInputMessage="1" showErrorMessage="1" sqref="E5315">
      <formula1>0</formula1>
    </dataValidation>
    <dataValidation type="whole" operator="greaterThan" allowBlank="1" showInputMessage="1" showErrorMessage="1" sqref="A5316">
      <formula1>0</formula1>
    </dataValidation>
    <dataValidation type="list" allowBlank="1" showInputMessage="1" showErrorMessage="1" sqref="C5316">
      <formula1>UnidadesList</formula1>
    </dataValidation>
    <dataValidation type="decimal" operator="greaterThan" allowBlank="1" showInputMessage="1" showErrorMessage="1" sqref="D5316">
      <formula1>0</formula1>
    </dataValidation>
    <dataValidation type="decimal" operator="greaterThan" allowBlank="1" showInputMessage="1" showErrorMessage="1" sqref="E5316">
      <formula1>0</formula1>
    </dataValidation>
    <dataValidation type="whole" operator="greaterThan" allowBlank="1" showInputMessage="1" showErrorMessage="1" sqref="A5317">
      <formula1>0</formula1>
    </dataValidation>
    <dataValidation type="list" allowBlank="1" showInputMessage="1" showErrorMessage="1" sqref="C5317">
      <formula1>UnidadesList</formula1>
    </dataValidation>
    <dataValidation type="decimal" operator="greaterThan" allowBlank="1" showInputMessage="1" showErrorMessage="1" sqref="D5317">
      <formula1>0</formula1>
    </dataValidation>
    <dataValidation type="decimal" operator="greaterThan" allowBlank="1" showInputMessage="1" showErrorMessage="1" sqref="E5317">
      <formula1>0</formula1>
    </dataValidation>
    <dataValidation type="date" operator="lessThanOrEqual" allowBlank="1" showInputMessage="1" showErrorMessage="1" sqref="C5322">
      <formula1>C5324</formula1>
    </dataValidation>
    <dataValidation type="date" operator="greaterThanOrEqual" allowBlank="1" showInputMessage="1" showErrorMessage="1" sqref="C5324">
      <formula1>C5322</formula1>
    </dataValidation>
    <dataValidation type="list" allowBlank="1" showInputMessage="1" showErrorMessage="1" sqref="F532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2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32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32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328">
      <formula1>0</formula1>
    </dataValidation>
    <dataValidation type="list" allowBlank="1" showInputMessage="1" showErrorMessage="1" sqref="C5328">
      <formula1>UnidadesList</formula1>
    </dataValidation>
    <dataValidation type="decimal" operator="greaterThan" allowBlank="1" showInputMessage="1" showErrorMessage="1" sqref="D5328">
      <formula1>0</formula1>
    </dataValidation>
    <dataValidation type="decimal" operator="greaterThan" allowBlank="1" showInputMessage="1" showErrorMessage="1" sqref="E5328">
      <formula1>0</formula1>
    </dataValidation>
    <dataValidation type="whole" operator="greaterThan" allowBlank="1" showInputMessage="1" showErrorMessage="1" sqref="A5329">
      <formula1>0</formula1>
    </dataValidation>
    <dataValidation type="list" allowBlank="1" showInputMessage="1" showErrorMessage="1" sqref="C5329">
      <formula1>UnidadesList</formula1>
    </dataValidation>
    <dataValidation type="decimal" operator="greaterThan" allowBlank="1" showInputMessage="1" showErrorMessage="1" sqref="D5329">
      <formula1>0</formula1>
    </dataValidation>
    <dataValidation type="decimal" operator="greaterThan" allowBlank="1" showInputMessage="1" showErrorMessage="1" sqref="E5329">
      <formula1>0</formula1>
    </dataValidation>
    <dataValidation type="whole" operator="greaterThan" allowBlank="1" showInputMessage="1" showErrorMessage="1" sqref="A5330">
      <formula1>0</formula1>
    </dataValidation>
    <dataValidation type="list" allowBlank="1" showInputMessage="1" showErrorMessage="1" sqref="C5330">
      <formula1>UnidadesList</formula1>
    </dataValidation>
    <dataValidation type="decimal" operator="greaterThan" allowBlank="1" showInputMessage="1" showErrorMessage="1" sqref="D5330">
      <formula1>0</formula1>
    </dataValidation>
    <dataValidation type="decimal" operator="greaterThan" allowBlank="1" showInputMessage="1" showErrorMessage="1" sqref="E5330">
      <formula1>0</formula1>
    </dataValidation>
    <dataValidation type="whole" operator="greaterThan" allowBlank="1" showInputMessage="1" showErrorMessage="1" sqref="A5331">
      <formula1>0</formula1>
    </dataValidation>
    <dataValidation type="list" allowBlank="1" showInputMessage="1" showErrorMessage="1" sqref="C5331">
      <formula1>UnidadesList</formula1>
    </dataValidation>
    <dataValidation type="decimal" operator="greaterThan" allowBlank="1" showInputMessage="1" showErrorMessage="1" sqref="D5331">
      <formula1>0</formula1>
    </dataValidation>
    <dataValidation type="decimal" operator="greaterThan" allowBlank="1" showInputMessage="1" showErrorMessage="1" sqref="E5331">
      <formula1>0</formula1>
    </dataValidation>
    <dataValidation type="whole" operator="greaterThan" allowBlank="1" showInputMessage="1" showErrorMessage="1" sqref="A5332">
      <formula1>0</formula1>
    </dataValidation>
    <dataValidation type="list" allowBlank="1" showInputMessage="1" showErrorMessage="1" sqref="C5332">
      <formula1>UnidadesList</formula1>
    </dataValidation>
    <dataValidation type="decimal" operator="greaterThan" allowBlank="1" showInputMessage="1" showErrorMessage="1" sqref="D5332">
      <formula1>0</formula1>
    </dataValidation>
    <dataValidation type="decimal" operator="greaterThan" allowBlank="1" showInputMessage="1" showErrorMessage="1" sqref="E5332">
      <formula1>0</formula1>
    </dataValidation>
    <dataValidation type="whole" operator="greaterThan" allowBlank="1" showInputMessage="1" showErrorMessage="1" sqref="A5333">
      <formula1>0</formula1>
    </dataValidation>
    <dataValidation type="list" allowBlank="1" showInputMessage="1" showErrorMessage="1" sqref="C5333">
      <formula1>UnidadesList</formula1>
    </dataValidation>
    <dataValidation type="decimal" operator="greaterThan" allowBlank="1" showInputMessage="1" showErrorMessage="1" sqref="D5333">
      <formula1>0</formula1>
    </dataValidation>
    <dataValidation type="decimal" operator="greaterThan" allowBlank="1" showInputMessage="1" showErrorMessage="1" sqref="E5333">
      <formula1>0</formula1>
    </dataValidation>
    <dataValidation type="whole" operator="greaterThan" allowBlank="1" showInputMessage="1" showErrorMessage="1" sqref="A5334">
      <formula1>0</formula1>
    </dataValidation>
    <dataValidation type="list" allowBlank="1" showInputMessage="1" showErrorMessage="1" sqref="C5334">
      <formula1>UnidadesList</formula1>
    </dataValidation>
    <dataValidation type="decimal" operator="greaterThan" allowBlank="1" showInputMessage="1" showErrorMessage="1" sqref="D5334">
      <formula1>0</formula1>
    </dataValidation>
    <dataValidation type="decimal" operator="greaterThan" allowBlank="1" showInputMessage="1" showErrorMessage="1" sqref="E5334">
      <formula1>0</formula1>
    </dataValidation>
    <dataValidation type="whole" operator="greaterThan" allowBlank="1" showInputMessage="1" showErrorMessage="1" sqref="A5335">
      <formula1>0</formula1>
    </dataValidation>
    <dataValidation type="list" allowBlank="1" showInputMessage="1" showErrorMessage="1" sqref="C5335">
      <formula1>UnidadesList</formula1>
    </dataValidation>
    <dataValidation type="decimal" operator="greaterThan" allowBlank="1" showInputMessage="1" showErrorMessage="1" sqref="D5335">
      <formula1>0</formula1>
    </dataValidation>
    <dataValidation type="decimal" operator="greaterThan" allowBlank="1" showInputMessage="1" showErrorMessage="1" sqref="E5335">
      <formula1>0</formula1>
    </dataValidation>
    <dataValidation type="whole" operator="greaterThan" allowBlank="1" showInputMessage="1" showErrorMessage="1" sqref="A5336">
      <formula1>0</formula1>
    </dataValidation>
    <dataValidation type="list" allowBlank="1" showInputMessage="1" showErrorMessage="1" sqref="C5336">
      <formula1>UnidadesList</formula1>
    </dataValidation>
    <dataValidation type="decimal" operator="greaterThan" allowBlank="1" showInputMessage="1" showErrorMessage="1" sqref="D5336">
      <formula1>0</formula1>
    </dataValidation>
    <dataValidation type="decimal" operator="greaterThan" allowBlank="1" showInputMessage="1" showErrorMessage="1" sqref="E5336">
      <formula1>0</formula1>
    </dataValidation>
    <dataValidation type="date" operator="lessThanOrEqual" allowBlank="1" showInputMessage="1" showErrorMessage="1" sqref="C5341">
      <formula1>C5343</formula1>
    </dataValidation>
    <dataValidation type="date" operator="greaterThanOrEqual" allowBlank="1" showInputMessage="1" showErrorMessage="1" sqref="C5343">
      <formula1>C5341</formula1>
    </dataValidation>
    <dataValidation type="list" allowBlank="1" showInputMessage="1" showErrorMessage="1" sqref="F53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3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3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347">
      <formula1>0</formula1>
    </dataValidation>
    <dataValidation type="list" allowBlank="1" showInputMessage="1" showErrorMessage="1" sqref="C5347">
      <formula1>UnidadesList</formula1>
    </dataValidation>
    <dataValidation type="decimal" operator="greaterThan" allowBlank="1" showInputMessage="1" showErrorMessage="1" sqref="D5347">
      <formula1>0</formula1>
    </dataValidation>
    <dataValidation type="decimal" operator="greaterThan" allowBlank="1" showInputMessage="1" showErrorMessage="1" sqref="E5347">
      <formula1>0</formula1>
    </dataValidation>
    <dataValidation type="whole" operator="greaterThan" allowBlank="1" showInputMessage="1" showErrorMessage="1" sqref="A5348">
      <formula1>0</formula1>
    </dataValidation>
    <dataValidation type="list" allowBlank="1" showInputMessage="1" showErrorMessage="1" sqref="C5348">
      <formula1>UnidadesList</formula1>
    </dataValidation>
    <dataValidation type="decimal" operator="greaterThan" allowBlank="1" showInputMessage="1" showErrorMessage="1" sqref="D5348">
      <formula1>0</formula1>
    </dataValidation>
    <dataValidation type="decimal" operator="greaterThan" allowBlank="1" showInputMessage="1" showErrorMessage="1" sqref="E5348">
      <formula1>0</formula1>
    </dataValidation>
    <dataValidation type="whole" operator="greaterThan" allowBlank="1" showInputMessage="1" showErrorMessage="1" sqref="A5349">
      <formula1>0</formula1>
    </dataValidation>
    <dataValidation type="list" allowBlank="1" showInputMessage="1" showErrorMessage="1" sqref="C5349">
      <formula1>UnidadesList</formula1>
    </dataValidation>
    <dataValidation type="decimal" operator="greaterThan" allowBlank="1" showInputMessage="1" showErrorMessage="1" sqref="D5349">
      <formula1>0</formula1>
    </dataValidation>
    <dataValidation type="decimal" operator="greaterThan" allowBlank="1" showInputMessage="1" showErrorMessage="1" sqref="E5349">
      <formula1>0</formula1>
    </dataValidation>
    <dataValidation type="whole" operator="greaterThan" allowBlank="1" showInputMessage="1" showErrorMessage="1" sqref="A5350">
      <formula1>0</formula1>
    </dataValidation>
    <dataValidation type="list" allowBlank="1" showInputMessage="1" showErrorMessage="1" sqref="C5350">
      <formula1>UnidadesList</formula1>
    </dataValidation>
    <dataValidation type="decimal" operator="greaterThan" allowBlank="1" showInputMessage="1" showErrorMessage="1" sqref="D5350">
      <formula1>0</formula1>
    </dataValidation>
    <dataValidation type="decimal" operator="greaterThan" allowBlank="1" showInputMessage="1" showErrorMessage="1" sqref="E5350">
      <formula1>0</formula1>
    </dataValidation>
    <dataValidation type="whole" operator="greaterThan" allowBlank="1" showInputMessage="1" showErrorMessage="1" sqref="A5351">
      <formula1>0</formula1>
    </dataValidation>
    <dataValidation type="list" allowBlank="1" showInputMessage="1" showErrorMessage="1" sqref="C5351">
      <formula1>UnidadesList</formula1>
    </dataValidation>
    <dataValidation type="decimal" operator="greaterThan" allowBlank="1" showInputMessage="1" showErrorMessage="1" sqref="D5351">
      <formula1>0</formula1>
    </dataValidation>
    <dataValidation type="decimal" operator="greaterThan" allowBlank="1" showInputMessage="1" showErrorMessage="1" sqref="E5351">
      <formula1>0</formula1>
    </dataValidation>
    <dataValidation type="whole" operator="greaterThan" allowBlank="1" showInputMessage="1" showErrorMessage="1" sqref="A5352">
      <formula1>0</formula1>
    </dataValidation>
    <dataValidation type="list" allowBlank="1" showInputMessage="1" showErrorMessage="1" sqref="C5352">
      <formula1>UnidadesList</formula1>
    </dataValidation>
    <dataValidation type="decimal" operator="greaterThan" allowBlank="1" showInputMessage="1" showErrorMessage="1" sqref="D5352">
      <formula1>0</formula1>
    </dataValidation>
    <dataValidation type="decimal" operator="greaterThan" allowBlank="1" showInputMessage="1" showErrorMessage="1" sqref="E5352">
      <formula1>0</formula1>
    </dataValidation>
    <dataValidation type="whole" operator="greaterThan" allowBlank="1" showInputMessage="1" showErrorMessage="1" sqref="A5353">
      <formula1>0</formula1>
    </dataValidation>
    <dataValidation type="list" allowBlank="1" showInputMessage="1" showErrorMessage="1" sqref="C5353">
      <formula1>UnidadesList</formula1>
    </dataValidation>
    <dataValidation type="decimal" operator="greaterThan" allowBlank="1" showInputMessage="1" showErrorMessage="1" sqref="D5353">
      <formula1>0</formula1>
    </dataValidation>
    <dataValidation type="decimal" operator="greaterThan" allowBlank="1" showInputMessage="1" showErrorMessage="1" sqref="E5353">
      <formula1>0</formula1>
    </dataValidation>
    <dataValidation type="whole" operator="greaterThan" allowBlank="1" showInputMessage="1" showErrorMessage="1" sqref="A5354">
      <formula1>0</formula1>
    </dataValidation>
    <dataValidation type="list" allowBlank="1" showInputMessage="1" showErrorMessage="1" sqref="C5354">
      <formula1>UnidadesList</formula1>
    </dataValidation>
    <dataValidation type="decimal" operator="greaterThan" allowBlank="1" showInputMessage="1" showErrorMessage="1" sqref="D5354">
      <formula1>0</formula1>
    </dataValidation>
    <dataValidation type="decimal" operator="greaterThan" allowBlank="1" showInputMessage="1" showErrorMessage="1" sqref="E5354">
      <formula1>0</formula1>
    </dataValidation>
    <dataValidation type="whole" operator="greaterThan" allowBlank="1" showInputMessage="1" showErrorMessage="1" sqref="A5355">
      <formula1>0</formula1>
    </dataValidation>
    <dataValidation type="list" allowBlank="1" showInputMessage="1" showErrorMessage="1" sqref="C5355">
      <formula1>UnidadesList</formula1>
    </dataValidation>
    <dataValidation type="decimal" operator="greaterThan" allowBlank="1" showInputMessage="1" showErrorMessage="1" sqref="D5355">
      <formula1>0</formula1>
    </dataValidation>
    <dataValidation type="decimal" operator="greaterThan" allowBlank="1" showInputMessage="1" showErrorMessage="1" sqref="E5355">
      <formula1>0</formula1>
    </dataValidation>
    <dataValidation type="date" operator="lessThanOrEqual" allowBlank="1" showInputMessage="1" showErrorMessage="1" sqref="C5360">
      <formula1>C5362</formula1>
    </dataValidation>
    <dataValidation type="date" operator="greaterThanOrEqual" allowBlank="1" showInputMessage="1" showErrorMessage="1" sqref="C5362">
      <formula1>C5360</formula1>
    </dataValidation>
    <dataValidation type="list" allowBlank="1" showInputMessage="1" showErrorMessage="1" sqref="F53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3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3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366">
      <formula1>0</formula1>
    </dataValidation>
    <dataValidation type="list" allowBlank="1" showInputMessage="1" showErrorMessage="1" sqref="C5366">
      <formula1>UnidadesList</formula1>
    </dataValidation>
    <dataValidation type="decimal" operator="greaterThan" allowBlank="1" showInputMessage="1" showErrorMessage="1" sqref="D5366">
      <formula1>0</formula1>
    </dataValidation>
    <dataValidation type="decimal" operator="greaterThan" allowBlank="1" showInputMessage="1" showErrorMessage="1" sqref="E5366">
      <formula1>0</formula1>
    </dataValidation>
    <dataValidation type="whole" operator="greaterThan" allowBlank="1" showInputMessage="1" showErrorMessage="1" sqref="A5367">
      <formula1>0</formula1>
    </dataValidation>
    <dataValidation type="list" allowBlank="1" showInputMessage="1" showErrorMessage="1" sqref="C5367">
      <formula1>UnidadesList</formula1>
    </dataValidation>
    <dataValidation type="decimal" operator="greaterThan" allowBlank="1" showInputMessage="1" showErrorMessage="1" sqref="D5367">
      <formula1>0</formula1>
    </dataValidation>
    <dataValidation type="decimal" operator="greaterThan" allowBlank="1" showInputMessage="1" showErrorMessage="1" sqref="E5367">
      <formula1>0</formula1>
    </dataValidation>
    <dataValidation type="whole" operator="greaterThan" allowBlank="1" showInputMessage="1" showErrorMessage="1" sqref="A5368">
      <formula1>0</formula1>
    </dataValidation>
    <dataValidation type="list" allowBlank="1" showInputMessage="1" showErrorMessage="1" sqref="C5368">
      <formula1>UnidadesList</formula1>
    </dataValidation>
    <dataValidation type="decimal" operator="greaterThan" allowBlank="1" showInputMessage="1" showErrorMessage="1" sqref="D5368">
      <formula1>0</formula1>
    </dataValidation>
    <dataValidation type="decimal" operator="greaterThan" allowBlank="1" showInputMessage="1" showErrorMessage="1" sqref="E5368">
      <formula1>0</formula1>
    </dataValidation>
    <dataValidation type="whole" operator="greaterThan" allowBlank="1" showInputMessage="1" showErrorMessage="1" sqref="A5369">
      <formula1>0</formula1>
    </dataValidation>
    <dataValidation type="list" allowBlank="1" showInputMessage="1" showErrorMessage="1" sqref="C5369">
      <formula1>UnidadesList</formula1>
    </dataValidation>
    <dataValidation type="decimal" operator="greaterThan" allowBlank="1" showInputMessage="1" showErrorMessage="1" sqref="D5369">
      <formula1>0</formula1>
    </dataValidation>
    <dataValidation type="decimal" operator="greaterThan" allowBlank="1" showInputMessage="1" showErrorMessage="1" sqref="E5369">
      <formula1>0</formula1>
    </dataValidation>
    <dataValidation type="whole" operator="greaterThan" allowBlank="1" showInputMessage="1" showErrorMessage="1" sqref="A5370">
      <formula1>0</formula1>
    </dataValidation>
    <dataValidation type="list" allowBlank="1" showInputMessage="1" showErrorMessage="1" sqref="C5370">
      <formula1>UnidadesList</formula1>
    </dataValidation>
    <dataValidation type="decimal" operator="greaterThan" allowBlank="1" showInputMessage="1" showErrorMessage="1" sqref="D5370">
      <formula1>0</formula1>
    </dataValidation>
    <dataValidation type="decimal" operator="greaterThan" allowBlank="1" showInputMessage="1" showErrorMessage="1" sqref="E5370">
      <formula1>0</formula1>
    </dataValidation>
    <dataValidation type="whole" operator="greaterThan" allowBlank="1" showInputMessage="1" showErrorMessage="1" sqref="A5371">
      <formula1>0</formula1>
    </dataValidation>
    <dataValidation type="list" allowBlank="1" showInputMessage="1" showErrorMessage="1" sqref="C5371">
      <formula1>UnidadesList</formula1>
    </dataValidation>
    <dataValidation type="decimal" operator="greaterThan" allowBlank="1" showInputMessage="1" showErrorMessage="1" sqref="D5371">
      <formula1>0</formula1>
    </dataValidation>
    <dataValidation type="decimal" operator="greaterThan" allowBlank="1" showInputMessage="1" showErrorMessage="1" sqref="E5371">
      <formula1>0</formula1>
    </dataValidation>
    <dataValidation type="whole" operator="greaterThan" allowBlank="1" showInputMessage="1" showErrorMessage="1" sqref="A5372">
      <formula1>0</formula1>
    </dataValidation>
    <dataValidation type="list" allowBlank="1" showInputMessage="1" showErrorMessage="1" sqref="C5372">
      <formula1>UnidadesList</formula1>
    </dataValidation>
    <dataValidation type="decimal" operator="greaterThan" allowBlank="1" showInputMessage="1" showErrorMessage="1" sqref="D5372">
      <formula1>0</formula1>
    </dataValidation>
    <dataValidation type="decimal" operator="greaterThan" allowBlank="1" showInputMessage="1" showErrorMessage="1" sqref="E5372">
      <formula1>0</formula1>
    </dataValidation>
    <dataValidation type="whole" operator="greaterThan" allowBlank="1" showInputMessage="1" showErrorMessage="1" sqref="A5373">
      <formula1>0</formula1>
    </dataValidation>
    <dataValidation type="list" allowBlank="1" showInputMessage="1" showErrorMessage="1" sqref="C5373">
      <formula1>UnidadesList</formula1>
    </dataValidation>
    <dataValidation type="decimal" operator="greaterThan" allowBlank="1" showInputMessage="1" showErrorMessage="1" sqref="D5373">
      <formula1>0</formula1>
    </dataValidation>
    <dataValidation type="decimal" operator="greaterThan" allowBlank="1" showInputMessage="1" showErrorMessage="1" sqref="E5373">
      <formula1>0</formula1>
    </dataValidation>
    <dataValidation type="whole" operator="greaterThan" allowBlank="1" showInputMessage="1" showErrorMessage="1" sqref="A5374">
      <formula1>0</formula1>
    </dataValidation>
    <dataValidation type="list" allowBlank="1" showInputMessage="1" showErrorMessage="1" sqref="C5374">
      <formula1>UnidadesList</formula1>
    </dataValidation>
    <dataValidation type="decimal" operator="greaterThan" allowBlank="1" showInputMessage="1" showErrorMessage="1" sqref="D5374">
      <formula1>0</formula1>
    </dataValidation>
    <dataValidation type="decimal" operator="greaterThan" allowBlank="1" showInputMessage="1" showErrorMessage="1" sqref="E5374">
      <formula1>0</formula1>
    </dataValidation>
    <dataValidation type="whole" operator="greaterThan" allowBlank="1" showInputMessage="1" showErrorMessage="1" sqref="A5375">
      <formula1>0</formula1>
    </dataValidation>
    <dataValidation type="list" allowBlank="1" showInputMessage="1" showErrorMessage="1" sqref="C5375">
      <formula1>UnidadesList</formula1>
    </dataValidation>
    <dataValidation type="decimal" operator="greaterThan" allowBlank="1" showInputMessage="1" showErrorMessage="1" sqref="D5375">
      <formula1>0</formula1>
    </dataValidation>
    <dataValidation type="decimal" operator="greaterThan" allowBlank="1" showInputMessage="1" showErrorMessage="1" sqref="E5375">
      <formula1>0</formula1>
    </dataValidation>
    <dataValidation type="whole" operator="greaterThan" allowBlank="1" showInputMessage="1" showErrorMessage="1" sqref="A5376">
      <formula1>0</formula1>
    </dataValidation>
    <dataValidation type="list" allowBlank="1" showInputMessage="1" showErrorMessage="1" sqref="C5376">
      <formula1>UnidadesList</formula1>
    </dataValidation>
    <dataValidation type="decimal" operator="greaterThan" allowBlank="1" showInputMessage="1" showErrorMessage="1" sqref="D5376">
      <formula1>0</formula1>
    </dataValidation>
    <dataValidation type="decimal" operator="greaterThan" allowBlank="1" showInputMessage="1" showErrorMessage="1" sqref="E5376">
      <formula1>0</formula1>
    </dataValidation>
    <dataValidation type="date" operator="lessThanOrEqual" allowBlank="1" showInputMessage="1" showErrorMessage="1" sqref="C5381">
      <formula1>C5383</formula1>
    </dataValidation>
    <dataValidation type="date" operator="greaterThanOrEqual" allowBlank="1" showInputMessage="1" showErrorMessage="1" sqref="C5383">
      <formula1>C5381</formula1>
    </dataValidation>
    <dataValidation type="list" allowBlank="1" showInputMessage="1" showErrorMessage="1" sqref="F538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8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38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38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387">
      <formula1>0</formula1>
    </dataValidation>
    <dataValidation type="list" allowBlank="1" showInputMessage="1" showErrorMessage="1" sqref="C5387">
      <formula1>UnidadesList</formula1>
    </dataValidation>
    <dataValidation type="decimal" operator="greaterThan" allowBlank="1" showInputMessage="1" showErrorMessage="1" sqref="D5387">
      <formula1>0</formula1>
    </dataValidation>
    <dataValidation type="decimal" operator="greaterThan" allowBlank="1" showInputMessage="1" showErrorMessage="1" sqref="E5387">
      <formula1>0</formula1>
    </dataValidation>
    <dataValidation type="whole" operator="greaterThan" allowBlank="1" showInputMessage="1" showErrorMessage="1" sqref="A5388">
      <formula1>0</formula1>
    </dataValidation>
    <dataValidation type="list" allowBlank="1" showInputMessage="1" showErrorMessage="1" sqref="C5388">
      <formula1>UnidadesList</formula1>
    </dataValidation>
    <dataValidation type="decimal" operator="greaterThan" allowBlank="1" showInputMessage="1" showErrorMessage="1" sqref="D5388">
      <formula1>0</formula1>
    </dataValidation>
    <dataValidation type="decimal" operator="greaterThan" allowBlank="1" showInputMessage="1" showErrorMessage="1" sqref="E5388">
      <formula1>0</formula1>
    </dataValidation>
    <dataValidation type="whole" operator="greaterThan" allowBlank="1" showInputMessage="1" showErrorMessage="1" sqref="A5389">
      <formula1>0</formula1>
    </dataValidation>
    <dataValidation type="list" allowBlank="1" showInputMessage="1" showErrorMessage="1" sqref="C5389">
      <formula1>UnidadesList</formula1>
    </dataValidation>
    <dataValidation type="decimal" operator="greaterThan" allowBlank="1" showInputMessage="1" showErrorMessage="1" sqref="D5389">
      <formula1>0</formula1>
    </dataValidation>
    <dataValidation type="decimal" operator="greaterThan" allowBlank="1" showInputMessage="1" showErrorMessage="1" sqref="E5389">
      <formula1>0</formula1>
    </dataValidation>
    <dataValidation type="whole" operator="greaterThan" allowBlank="1" showInputMessage="1" showErrorMessage="1" sqref="A5390">
      <formula1>0</formula1>
    </dataValidation>
    <dataValidation type="list" allowBlank="1" showInputMessage="1" showErrorMessage="1" sqref="C5390">
      <formula1>UnidadesList</formula1>
    </dataValidation>
    <dataValidation type="decimal" operator="greaterThan" allowBlank="1" showInputMessage="1" showErrorMessage="1" sqref="D5390">
      <formula1>0</formula1>
    </dataValidation>
    <dataValidation type="decimal" operator="greaterThan" allowBlank="1" showInputMessage="1" showErrorMessage="1" sqref="E5390">
      <formula1>0</formula1>
    </dataValidation>
    <dataValidation type="whole" operator="greaterThan" allowBlank="1" showInputMessage="1" showErrorMessage="1" sqref="A5391">
      <formula1>0</formula1>
    </dataValidation>
    <dataValidation type="list" allowBlank="1" showInputMessage="1" showErrorMessage="1" sqref="C5391">
      <formula1>UnidadesList</formula1>
    </dataValidation>
    <dataValidation type="decimal" operator="greaterThan" allowBlank="1" showInputMessage="1" showErrorMessage="1" sqref="D5391">
      <formula1>0</formula1>
    </dataValidation>
    <dataValidation type="decimal" operator="greaterThan" allowBlank="1" showInputMessage="1" showErrorMessage="1" sqref="E5391">
      <formula1>0</formula1>
    </dataValidation>
    <dataValidation type="whole" operator="greaterThan" allowBlank="1" showInputMessage="1" showErrorMessage="1" sqref="A5392">
      <formula1>0</formula1>
    </dataValidation>
    <dataValidation type="list" allowBlank="1" showInputMessage="1" showErrorMessage="1" sqref="C5392">
      <formula1>UnidadesList</formula1>
    </dataValidation>
    <dataValidation type="decimal" operator="greaterThan" allowBlank="1" showInputMessage="1" showErrorMessage="1" sqref="D5392">
      <formula1>0</formula1>
    </dataValidation>
    <dataValidation type="decimal" operator="greaterThan" allowBlank="1" showInputMessage="1" showErrorMessage="1" sqref="E5392">
      <formula1>0</formula1>
    </dataValidation>
    <dataValidation type="whole" operator="greaterThan" allowBlank="1" showInputMessage="1" showErrorMessage="1" sqref="A5393">
      <formula1>0</formula1>
    </dataValidation>
    <dataValidation type="list" allowBlank="1" showInputMessage="1" showErrorMessage="1" sqref="C5393">
      <formula1>UnidadesList</formula1>
    </dataValidation>
    <dataValidation type="decimal" operator="greaterThan" allowBlank="1" showInputMessage="1" showErrorMessage="1" sqref="D5393">
      <formula1>0</formula1>
    </dataValidation>
    <dataValidation type="decimal" operator="greaterThan" allowBlank="1" showInputMessage="1" showErrorMessage="1" sqref="E5393">
      <formula1>0</formula1>
    </dataValidation>
    <dataValidation type="whole" operator="greaterThan" allowBlank="1" showInputMessage="1" showErrorMessage="1" sqref="A5394">
      <formula1>0</formula1>
    </dataValidation>
    <dataValidation type="list" allowBlank="1" showInputMessage="1" showErrorMessage="1" sqref="C5394">
      <formula1>UnidadesList</formula1>
    </dataValidation>
    <dataValidation type="decimal" operator="greaterThan" allowBlank="1" showInputMessage="1" showErrorMessage="1" sqref="D5394">
      <formula1>0</formula1>
    </dataValidation>
    <dataValidation type="decimal" operator="greaterThan" allowBlank="1" showInputMessage="1" showErrorMessage="1" sqref="E5394">
      <formula1>0</formula1>
    </dataValidation>
    <dataValidation type="whole" operator="greaterThan" allowBlank="1" showInputMessage="1" showErrorMessage="1" sqref="A5395">
      <formula1>0</formula1>
    </dataValidation>
    <dataValidation type="list" allowBlank="1" showInputMessage="1" showErrorMessage="1" sqref="C5395">
      <formula1>UnidadesList</formula1>
    </dataValidation>
    <dataValidation type="decimal" operator="greaterThan" allowBlank="1" showInputMessage="1" showErrorMessage="1" sqref="D5395">
      <formula1>0</formula1>
    </dataValidation>
    <dataValidation type="decimal" operator="greaterThan" allowBlank="1" showInputMessage="1" showErrorMessage="1" sqref="E5395">
      <formula1>0</formula1>
    </dataValidation>
    <dataValidation type="whole" operator="greaterThan" allowBlank="1" showInputMessage="1" showErrorMessage="1" sqref="A5396">
      <formula1>0</formula1>
    </dataValidation>
    <dataValidation type="list" allowBlank="1" showInputMessage="1" showErrorMessage="1" sqref="C5396">
      <formula1>UnidadesList</formula1>
    </dataValidation>
    <dataValidation type="decimal" operator="greaterThan" allowBlank="1" showInputMessage="1" showErrorMessage="1" sqref="D5396">
      <formula1>0</formula1>
    </dataValidation>
    <dataValidation type="decimal" operator="greaterThan" allowBlank="1" showInputMessage="1" showErrorMessage="1" sqref="E5396">
      <formula1>0</formula1>
    </dataValidation>
    <dataValidation type="whole" operator="greaterThan" allowBlank="1" showInputMessage="1" showErrorMessage="1" sqref="A5397">
      <formula1>0</formula1>
    </dataValidation>
    <dataValidation type="list" allowBlank="1" showInputMessage="1" showErrorMessage="1" sqref="C5397">
      <formula1>UnidadesList</formula1>
    </dataValidation>
    <dataValidation type="decimal" operator="greaterThan" allowBlank="1" showInputMessage="1" showErrorMessage="1" sqref="D5397">
      <formula1>0</formula1>
    </dataValidation>
    <dataValidation type="decimal" operator="greaterThan" allowBlank="1" showInputMessage="1" showErrorMessage="1" sqref="E5397">
      <formula1>0</formula1>
    </dataValidation>
    <dataValidation type="whole" operator="greaterThan" allowBlank="1" showInputMessage="1" showErrorMessage="1" sqref="A5398">
      <formula1>0</formula1>
    </dataValidation>
    <dataValidation type="list" allowBlank="1" showInputMessage="1" showErrorMessage="1" sqref="C5398">
      <formula1>UnidadesList</formula1>
    </dataValidation>
    <dataValidation type="decimal" operator="greaterThan" allowBlank="1" showInputMessage="1" showErrorMessage="1" sqref="D5398">
      <formula1>0</formula1>
    </dataValidation>
    <dataValidation type="decimal" operator="greaterThan" allowBlank="1" showInputMessage="1" showErrorMessage="1" sqref="E5398">
      <formula1>0</formula1>
    </dataValidation>
    <dataValidation type="date" operator="lessThanOrEqual" allowBlank="1" showInputMessage="1" showErrorMessage="1" sqref="C5403">
      <formula1>C5405</formula1>
    </dataValidation>
    <dataValidation type="date" operator="greaterThanOrEqual" allowBlank="1" showInputMessage="1" showErrorMessage="1" sqref="C5405">
      <formula1>C5403</formula1>
    </dataValidation>
    <dataValidation type="list" allowBlank="1" showInputMessage="1" showErrorMessage="1" sqref="F540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40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40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40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409">
      <formula1>0</formula1>
    </dataValidation>
    <dataValidation type="list" allowBlank="1" showInputMessage="1" showErrorMessage="1" sqref="C5409">
      <formula1>UnidadesList</formula1>
    </dataValidation>
    <dataValidation type="decimal" operator="greaterThan" allowBlank="1" showInputMessage="1" showErrorMessage="1" sqref="D5409">
      <formula1>0</formula1>
    </dataValidation>
    <dataValidation type="decimal" operator="greaterThan" allowBlank="1" showInputMessage="1" showErrorMessage="1" sqref="E5409">
      <formula1>0</formula1>
    </dataValidation>
    <dataValidation type="whole" operator="greaterThan" allowBlank="1" showInputMessage="1" showErrorMessage="1" sqref="A5410">
      <formula1>0</formula1>
    </dataValidation>
    <dataValidation type="list" allowBlank="1" showInputMessage="1" showErrorMessage="1" sqref="C5410">
      <formula1>UnidadesList</formula1>
    </dataValidation>
    <dataValidation type="decimal" operator="greaterThan" allowBlank="1" showInputMessage="1" showErrorMessage="1" sqref="D5410">
      <formula1>0</formula1>
    </dataValidation>
    <dataValidation type="decimal" operator="greaterThan" allowBlank="1" showInputMessage="1" showErrorMessage="1" sqref="E5410">
      <formula1>0</formula1>
    </dataValidation>
    <dataValidation type="whole" operator="greaterThan" allowBlank="1" showInputMessage="1" showErrorMessage="1" sqref="A5411">
      <formula1>0</formula1>
    </dataValidation>
    <dataValidation type="list" allowBlank="1" showInputMessage="1" showErrorMessage="1" sqref="C5411">
      <formula1>UnidadesList</formula1>
    </dataValidation>
    <dataValidation type="decimal" operator="greaterThan" allowBlank="1" showInputMessage="1" showErrorMessage="1" sqref="D5411">
      <formula1>0</formula1>
    </dataValidation>
    <dataValidation type="decimal" operator="greaterThan" allowBlank="1" showInputMessage="1" showErrorMessage="1" sqref="E5411">
      <formula1>0</formula1>
    </dataValidation>
    <dataValidation type="whole" operator="greaterThan" allowBlank="1" showInputMessage="1" showErrorMessage="1" sqref="A5412">
      <formula1>0</formula1>
    </dataValidation>
    <dataValidation type="list" allowBlank="1" showInputMessage="1" showErrorMessage="1" sqref="C5412">
      <formula1>UnidadesList</formula1>
    </dataValidation>
    <dataValidation type="decimal" operator="greaterThan" allowBlank="1" showInputMessage="1" showErrorMessage="1" sqref="D5412">
      <formula1>0</formula1>
    </dataValidation>
    <dataValidation type="decimal" operator="greaterThan" allowBlank="1" showInputMessage="1" showErrorMessage="1" sqref="E5412">
      <formula1>0</formula1>
    </dataValidation>
    <dataValidation type="whole" operator="greaterThan" allowBlank="1" showInputMessage="1" showErrorMessage="1" sqref="A5413">
      <formula1>0</formula1>
    </dataValidation>
    <dataValidation type="list" allowBlank="1" showInputMessage="1" showErrorMessage="1" sqref="C5413">
      <formula1>UnidadesList</formula1>
    </dataValidation>
    <dataValidation type="decimal" operator="greaterThan" allowBlank="1" showInputMessage="1" showErrorMessage="1" sqref="D5413">
      <formula1>0</formula1>
    </dataValidation>
    <dataValidation type="decimal" operator="greaterThan" allowBlank="1" showInputMessage="1" showErrorMessage="1" sqref="E5413">
      <formula1>0</formula1>
    </dataValidation>
    <dataValidation type="whole" operator="greaterThan" allowBlank="1" showInputMessage="1" showErrorMessage="1" sqref="A5414">
      <formula1>0</formula1>
    </dataValidation>
    <dataValidation type="list" allowBlank="1" showInputMessage="1" showErrorMessage="1" sqref="C5414">
      <formula1>UnidadesList</formula1>
    </dataValidation>
    <dataValidation type="decimal" operator="greaterThan" allowBlank="1" showInputMessage="1" showErrorMessage="1" sqref="D5414">
      <formula1>0</formula1>
    </dataValidation>
    <dataValidation type="decimal" operator="greaterThan" allowBlank="1" showInputMessage="1" showErrorMessage="1" sqref="E5414">
      <formula1>0</formula1>
    </dataValidation>
    <dataValidation type="whole" operator="greaterThan" allowBlank="1" showInputMessage="1" showErrorMessage="1" sqref="A5415">
      <formula1>0</formula1>
    </dataValidation>
    <dataValidation type="list" allowBlank="1" showInputMessage="1" showErrorMessage="1" sqref="C5415">
      <formula1>UnidadesList</formula1>
    </dataValidation>
    <dataValidation type="decimal" operator="greaterThan" allowBlank="1" showInputMessage="1" showErrorMessage="1" sqref="D5415">
      <formula1>0</formula1>
    </dataValidation>
    <dataValidation type="decimal" operator="greaterThan" allowBlank="1" showInputMessage="1" showErrorMessage="1" sqref="E5415">
      <formula1>0</formula1>
    </dataValidation>
    <dataValidation type="whole" operator="greaterThan" allowBlank="1" showInputMessage="1" showErrorMessage="1" sqref="A5416">
      <formula1>0</formula1>
    </dataValidation>
    <dataValidation type="list" allowBlank="1" showInputMessage="1" showErrorMessage="1" sqref="C5416">
      <formula1>UnidadesList</formula1>
    </dataValidation>
    <dataValidation type="decimal" operator="greaterThan" allowBlank="1" showInputMessage="1" showErrorMessage="1" sqref="D5416">
      <formula1>0</formula1>
    </dataValidation>
    <dataValidation type="decimal" operator="greaterThan" allowBlank="1" showInputMessage="1" showErrorMessage="1" sqref="E5416">
      <formula1>0</formula1>
    </dataValidation>
    <dataValidation type="whole" operator="greaterThan" allowBlank="1" showInputMessage="1" showErrorMessage="1" sqref="A5417">
      <formula1>0</formula1>
    </dataValidation>
    <dataValidation type="list" allowBlank="1" showInputMessage="1" showErrorMessage="1" sqref="C5417">
      <formula1>UnidadesList</formula1>
    </dataValidation>
    <dataValidation type="decimal" operator="greaterThan" allowBlank="1" showInputMessage="1" showErrorMessage="1" sqref="D5417">
      <formula1>0</formula1>
    </dataValidation>
    <dataValidation type="decimal" operator="greaterThan" allowBlank="1" showInputMessage="1" showErrorMessage="1" sqref="E5417">
      <formula1>0</formula1>
    </dataValidation>
    <dataValidation type="whole" operator="greaterThan" allowBlank="1" showInputMessage="1" showErrorMessage="1" sqref="A5418">
      <formula1>0</formula1>
    </dataValidation>
    <dataValidation type="list" allowBlank="1" showInputMessage="1" showErrorMessage="1" sqref="C5418">
      <formula1>UnidadesList</formula1>
    </dataValidation>
    <dataValidation type="decimal" operator="greaterThan" allowBlank="1" showInputMessage="1" showErrorMessage="1" sqref="D5418">
      <formula1>0</formula1>
    </dataValidation>
    <dataValidation type="decimal" operator="greaterThan" allowBlank="1" showInputMessage="1" showErrorMessage="1" sqref="E5418">
      <formula1>0</formula1>
    </dataValidation>
    <dataValidation type="whole" operator="greaterThan" allowBlank="1" showInputMessage="1" showErrorMessage="1" sqref="A5419">
      <formula1>0</formula1>
    </dataValidation>
    <dataValidation type="list" allowBlank="1" showInputMessage="1" showErrorMessage="1" sqref="C5419">
      <formula1>UnidadesList</formula1>
    </dataValidation>
    <dataValidation type="decimal" operator="greaterThan" allowBlank="1" showInputMessage="1" showErrorMessage="1" sqref="D5419">
      <formula1>0</formula1>
    </dataValidation>
    <dataValidation type="decimal" operator="greaterThan" allowBlank="1" showInputMessage="1" showErrorMessage="1" sqref="E5419">
      <formula1>0</formula1>
    </dataValidation>
    <dataValidation type="whole" operator="greaterThan" allowBlank="1" showInputMessage="1" showErrorMessage="1" sqref="A5420">
      <formula1>0</formula1>
    </dataValidation>
    <dataValidation type="list" allowBlank="1" showInputMessage="1" showErrorMessage="1" sqref="C5420">
      <formula1>UnidadesList</formula1>
    </dataValidation>
    <dataValidation type="decimal" operator="greaterThan" allowBlank="1" showInputMessage="1" showErrorMessage="1" sqref="D5420">
      <formula1>0</formula1>
    </dataValidation>
    <dataValidation type="decimal" operator="greaterThan" allowBlank="1" showInputMessage="1" showErrorMessage="1" sqref="E5420">
      <formula1>0</formula1>
    </dataValidation>
    <dataValidation type="date" operator="lessThanOrEqual" allowBlank="1" showInputMessage="1" showErrorMessage="1" sqref="C5425">
      <formula1>C5427</formula1>
    </dataValidation>
    <dataValidation type="date" operator="greaterThanOrEqual" allowBlank="1" showInputMessage="1" showErrorMessage="1" sqref="C5427">
      <formula1>C5425</formula1>
    </dataValidation>
    <dataValidation type="list" allowBlank="1" showInputMessage="1" showErrorMessage="1" sqref="F542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42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42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42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431">
      <formula1>0</formula1>
    </dataValidation>
    <dataValidation type="list" allowBlank="1" showInputMessage="1" showErrorMessage="1" sqref="C5431">
      <formula1>UnidadesList</formula1>
    </dataValidation>
    <dataValidation type="decimal" operator="greaterThan" allowBlank="1" showInputMessage="1" showErrorMessage="1" sqref="D5431">
      <formula1>0</formula1>
    </dataValidation>
    <dataValidation type="decimal" operator="greaterThan" allowBlank="1" showInputMessage="1" showErrorMessage="1" sqref="E5431">
      <formula1>0</formula1>
    </dataValidation>
    <dataValidation type="whole" operator="greaterThan" allowBlank="1" showInputMessage="1" showErrorMessage="1" sqref="A5432">
      <formula1>0</formula1>
    </dataValidation>
    <dataValidation type="list" allowBlank="1" showInputMessage="1" showErrorMessage="1" sqref="C5432">
      <formula1>UnidadesList</formula1>
    </dataValidation>
    <dataValidation type="decimal" operator="greaterThan" allowBlank="1" showInputMessage="1" showErrorMessage="1" sqref="D5432">
      <formula1>0</formula1>
    </dataValidation>
    <dataValidation type="decimal" operator="greaterThan" allowBlank="1" showInputMessage="1" showErrorMessage="1" sqref="E5432">
      <formula1>0</formula1>
    </dataValidation>
    <dataValidation type="whole" operator="greaterThan" allowBlank="1" showInputMessage="1" showErrorMessage="1" sqref="A5433">
      <formula1>0</formula1>
    </dataValidation>
    <dataValidation type="list" allowBlank="1" showInputMessage="1" showErrorMessage="1" sqref="C5433">
      <formula1>UnidadesList</formula1>
    </dataValidation>
    <dataValidation type="decimal" operator="greaterThan" allowBlank="1" showInputMessage="1" showErrorMessage="1" sqref="D5433">
      <formula1>0</formula1>
    </dataValidation>
    <dataValidation type="decimal" operator="greaterThan" allowBlank="1" showInputMessage="1" showErrorMessage="1" sqref="E5433">
      <formula1>0</formula1>
    </dataValidation>
    <dataValidation type="whole" operator="greaterThan" allowBlank="1" showInputMessage="1" showErrorMessage="1" sqref="A5434">
      <formula1>0</formula1>
    </dataValidation>
    <dataValidation type="list" allowBlank="1" showInputMessage="1" showErrorMessage="1" sqref="C5434">
      <formula1>UnidadesList</formula1>
    </dataValidation>
    <dataValidation type="decimal" operator="greaterThan" allowBlank="1" showInputMessage="1" showErrorMessage="1" sqref="D5434">
      <formula1>0</formula1>
    </dataValidation>
    <dataValidation type="decimal" operator="greaterThan" allowBlank="1" showInputMessage="1" showErrorMessage="1" sqref="E5434">
      <formula1>0</formula1>
    </dataValidation>
    <dataValidation type="whole" operator="greaterThan" allowBlank="1" showInputMessage="1" showErrorMessage="1" sqref="A5435">
      <formula1>0</formula1>
    </dataValidation>
    <dataValidation type="list" allowBlank="1" showInputMessage="1" showErrorMessage="1" sqref="C5435">
      <formula1>UnidadesList</formula1>
    </dataValidation>
    <dataValidation type="decimal" operator="greaterThan" allowBlank="1" showInputMessage="1" showErrorMessage="1" sqref="D5435">
      <formula1>0</formula1>
    </dataValidation>
    <dataValidation type="decimal" operator="greaterThan" allowBlank="1" showInputMessage="1" showErrorMessage="1" sqref="E5435">
      <formula1>0</formula1>
    </dataValidation>
    <dataValidation type="whole" operator="greaterThan" allowBlank="1" showInputMessage="1" showErrorMessage="1" sqref="A5436">
      <formula1>0</formula1>
    </dataValidation>
    <dataValidation type="list" allowBlank="1" showInputMessage="1" showErrorMessage="1" sqref="C5436">
      <formula1>UnidadesList</formula1>
    </dataValidation>
    <dataValidation type="decimal" operator="greaterThan" allowBlank="1" showInputMessage="1" showErrorMessage="1" sqref="D5436">
      <formula1>0</formula1>
    </dataValidation>
    <dataValidation type="decimal" operator="greaterThan" allowBlank="1" showInputMessage="1" showErrorMessage="1" sqref="E5436">
      <formula1>0</formula1>
    </dataValidation>
    <dataValidation type="whole" operator="greaterThan" allowBlank="1" showInputMessage="1" showErrorMessage="1" sqref="A5437">
      <formula1>0</formula1>
    </dataValidation>
    <dataValidation type="list" allowBlank="1" showInputMessage="1" showErrorMessage="1" sqref="C5437">
      <formula1>UnidadesList</formula1>
    </dataValidation>
    <dataValidation type="decimal" operator="greaterThan" allowBlank="1" showInputMessage="1" showErrorMessage="1" sqref="D5437">
      <formula1>0</formula1>
    </dataValidation>
    <dataValidation type="decimal" operator="greaterThan" allowBlank="1" showInputMessage="1" showErrorMessage="1" sqref="E5437">
      <formula1>0</formula1>
    </dataValidation>
    <dataValidation type="whole" operator="greaterThan" allowBlank="1" showInputMessage="1" showErrorMessage="1" sqref="A5438">
      <formula1>0</formula1>
    </dataValidation>
    <dataValidation type="list" allowBlank="1" showInputMessage="1" showErrorMessage="1" sqref="C5438">
      <formula1>UnidadesList</formula1>
    </dataValidation>
    <dataValidation type="decimal" operator="greaterThan" allowBlank="1" showInputMessage="1" showErrorMessage="1" sqref="D5438">
      <formula1>0</formula1>
    </dataValidation>
    <dataValidation type="decimal" operator="greaterThan" allowBlank="1" showInputMessage="1" showErrorMessage="1" sqref="E5438">
      <formula1>0</formula1>
    </dataValidation>
    <dataValidation type="whole" operator="greaterThan" allowBlank="1" showInputMessage="1" showErrorMessage="1" sqref="A5439">
      <formula1>0</formula1>
    </dataValidation>
    <dataValidation type="list" allowBlank="1" showInputMessage="1" showErrorMessage="1" sqref="C5439">
      <formula1>UnidadesList</formula1>
    </dataValidation>
    <dataValidation type="decimal" operator="greaterThan" allowBlank="1" showInputMessage="1" showErrorMessage="1" sqref="D5439">
      <formula1>0</formula1>
    </dataValidation>
    <dataValidation type="decimal" operator="greaterThan" allowBlank="1" showInputMessage="1" showErrorMessage="1" sqref="E5439">
      <formula1>0</formula1>
    </dataValidation>
    <dataValidation type="whole" operator="greaterThan" allowBlank="1" showInputMessage="1" showErrorMessage="1" sqref="A5440">
      <formula1>0</formula1>
    </dataValidation>
    <dataValidation type="list" allowBlank="1" showInputMessage="1" showErrorMessage="1" sqref="C5440">
      <formula1>UnidadesList</formula1>
    </dataValidation>
    <dataValidation type="decimal" operator="greaterThan" allowBlank="1" showInputMessage="1" showErrorMessage="1" sqref="D5440">
      <formula1>0</formula1>
    </dataValidation>
    <dataValidation type="decimal" operator="greaterThan" allowBlank="1" showInputMessage="1" showErrorMessage="1" sqref="E5440">
      <formula1>0</formula1>
    </dataValidation>
    <dataValidation type="whole" operator="greaterThan" allowBlank="1" showInputMessage="1" showErrorMessage="1" sqref="A5441">
      <formula1>0</formula1>
    </dataValidation>
    <dataValidation type="list" allowBlank="1" showInputMessage="1" showErrorMessage="1" sqref="C5441">
      <formula1>UnidadesList</formula1>
    </dataValidation>
    <dataValidation type="decimal" operator="greaterThan" allowBlank="1" showInputMessage="1" showErrorMessage="1" sqref="D5441">
      <formula1>0</formula1>
    </dataValidation>
    <dataValidation type="decimal" operator="greaterThan" allowBlank="1" showInputMessage="1" showErrorMessage="1" sqref="E5441">
      <formula1>0</formula1>
    </dataValidation>
    <dataValidation type="whole" operator="greaterThan" allowBlank="1" showInputMessage="1" showErrorMessage="1" sqref="A5442">
      <formula1>0</formula1>
    </dataValidation>
    <dataValidation type="list" allowBlank="1" showInputMessage="1" showErrorMessage="1" sqref="C5442">
      <formula1>UnidadesList</formula1>
    </dataValidation>
    <dataValidation type="decimal" operator="greaterThan" allowBlank="1" showInputMessage="1" showErrorMessage="1" sqref="D5442">
      <formula1>0</formula1>
    </dataValidation>
    <dataValidation type="decimal" operator="greaterThan" allowBlank="1" showInputMessage="1" showErrorMessage="1" sqref="E5442">
      <formula1>0</formula1>
    </dataValidation>
    <dataValidation type="date" operator="lessThanOrEqual" allowBlank="1" showInputMessage="1" showErrorMessage="1" sqref="C5447">
      <formula1>C5449</formula1>
    </dataValidation>
    <dataValidation type="date" operator="greaterThanOrEqual" allowBlank="1" showInputMessage="1" showErrorMessage="1" sqref="C5449">
      <formula1>C5447</formula1>
    </dataValidation>
    <dataValidation type="list" allowBlank="1" showInputMessage="1" showErrorMessage="1" sqref="F544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44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44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45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453">
      <formula1>0</formula1>
    </dataValidation>
    <dataValidation type="list" allowBlank="1" showInputMessage="1" showErrorMessage="1" sqref="C5453">
      <formula1>UnidadesList</formula1>
    </dataValidation>
    <dataValidation type="decimal" operator="greaterThan" allowBlank="1" showInputMessage="1" showErrorMessage="1" sqref="D5453">
      <formula1>0</formula1>
    </dataValidation>
    <dataValidation type="decimal" operator="greaterThan" allowBlank="1" showInputMessage="1" showErrorMessage="1" sqref="E5453">
      <formula1>0</formula1>
    </dataValidation>
    <dataValidation type="whole" operator="greaterThan" allowBlank="1" showInputMessage="1" showErrorMessage="1" sqref="A5454">
      <formula1>0</formula1>
    </dataValidation>
    <dataValidation type="list" allowBlank="1" showInputMessage="1" showErrorMessage="1" sqref="C5454">
      <formula1>UnidadesList</formula1>
    </dataValidation>
    <dataValidation type="decimal" operator="greaterThan" allowBlank="1" showInputMessage="1" showErrorMessage="1" sqref="D5454">
      <formula1>0</formula1>
    </dataValidation>
    <dataValidation type="decimal" operator="greaterThan" allowBlank="1" showInputMessage="1" showErrorMessage="1" sqref="E5454">
      <formula1>0</formula1>
    </dataValidation>
    <dataValidation type="whole" operator="greaterThan" allowBlank="1" showInputMessage="1" showErrorMessage="1" sqref="A5455">
      <formula1>0</formula1>
    </dataValidation>
    <dataValidation type="list" allowBlank="1" showInputMessage="1" showErrorMessage="1" sqref="C5455">
      <formula1>UnidadesList</formula1>
    </dataValidation>
    <dataValidation type="decimal" operator="greaterThan" allowBlank="1" showInputMessage="1" showErrorMessage="1" sqref="D5455">
      <formula1>0</formula1>
    </dataValidation>
    <dataValidation type="decimal" operator="greaterThan" allowBlank="1" showInputMessage="1" showErrorMessage="1" sqref="E5455">
      <formula1>0</formula1>
    </dataValidation>
    <dataValidation type="whole" operator="greaterThan" allowBlank="1" showInputMessage="1" showErrorMessage="1" sqref="A5456">
      <formula1>0</formula1>
    </dataValidation>
    <dataValidation type="list" allowBlank="1" showInputMessage="1" showErrorMessage="1" sqref="C5456">
      <formula1>UnidadesList</formula1>
    </dataValidation>
    <dataValidation type="decimal" operator="greaterThan" allowBlank="1" showInputMessage="1" showErrorMessage="1" sqref="D5456">
      <formula1>0</formula1>
    </dataValidation>
    <dataValidation type="decimal" operator="greaterThan" allowBlank="1" showInputMessage="1" showErrorMessage="1" sqref="E5456">
      <formula1>0</formula1>
    </dataValidation>
    <dataValidation type="whole" operator="greaterThan" allowBlank="1" showInputMessage="1" showErrorMessage="1" sqref="A5457">
      <formula1>0</formula1>
    </dataValidation>
    <dataValidation type="list" allowBlank="1" showInputMessage="1" showErrorMessage="1" sqref="C5457">
      <formula1>UnidadesList</formula1>
    </dataValidation>
    <dataValidation type="decimal" operator="greaterThan" allowBlank="1" showInputMessage="1" showErrorMessage="1" sqref="D5457">
      <formula1>0</formula1>
    </dataValidation>
    <dataValidation type="decimal" operator="greaterThan" allowBlank="1" showInputMessage="1" showErrorMessage="1" sqref="E5457">
      <formula1>0</formula1>
    </dataValidation>
    <dataValidation type="whole" operator="greaterThan" allowBlank="1" showInputMessage="1" showErrorMessage="1" sqref="A5458">
      <formula1>0</formula1>
    </dataValidation>
    <dataValidation type="list" allowBlank="1" showInputMessage="1" showErrorMessage="1" sqref="C5458">
      <formula1>UnidadesList</formula1>
    </dataValidation>
    <dataValidation type="decimal" operator="greaterThan" allowBlank="1" showInputMessage="1" showErrorMessage="1" sqref="D5458">
      <formula1>0</formula1>
    </dataValidation>
    <dataValidation type="decimal" operator="greaterThan" allowBlank="1" showInputMessage="1" showErrorMessage="1" sqref="E5458">
      <formula1>0</formula1>
    </dataValidation>
    <dataValidation type="whole" operator="greaterThan" allowBlank="1" showInputMessage="1" showErrorMessage="1" sqref="A5459">
      <formula1>0</formula1>
    </dataValidation>
    <dataValidation type="list" allowBlank="1" showInputMessage="1" showErrorMessage="1" sqref="C5459">
      <formula1>UnidadesList</formula1>
    </dataValidation>
    <dataValidation type="decimal" operator="greaterThan" allowBlank="1" showInputMessage="1" showErrorMessage="1" sqref="D5459">
      <formula1>0</formula1>
    </dataValidation>
    <dataValidation type="decimal" operator="greaterThan" allowBlank="1" showInputMessage="1" showErrorMessage="1" sqref="E5459">
      <formula1>0</formula1>
    </dataValidation>
    <dataValidation type="whole" operator="greaterThan" allowBlank="1" showInputMessage="1" showErrorMessage="1" sqref="A5460">
      <formula1>0</formula1>
    </dataValidation>
    <dataValidation type="list" allowBlank="1" showInputMessage="1" showErrorMessage="1" sqref="C5460">
      <formula1>UnidadesList</formula1>
    </dataValidation>
    <dataValidation type="decimal" operator="greaterThan" allowBlank="1" showInputMessage="1" showErrorMessage="1" sqref="D5460">
      <formula1>0</formula1>
    </dataValidation>
    <dataValidation type="decimal" operator="greaterThan" allowBlank="1" showInputMessage="1" showErrorMessage="1" sqref="E5460">
      <formula1>0</formula1>
    </dataValidation>
    <dataValidation type="whole" operator="greaterThan" allowBlank="1" showInputMessage="1" showErrorMessage="1" sqref="A5461">
      <formula1>0</formula1>
    </dataValidation>
    <dataValidation type="list" allowBlank="1" showInputMessage="1" showErrorMessage="1" sqref="C5461">
      <formula1>UnidadesList</formula1>
    </dataValidation>
    <dataValidation type="decimal" operator="greaterThan" allowBlank="1" showInputMessage="1" showErrorMessage="1" sqref="D5461">
      <formula1>0</formula1>
    </dataValidation>
    <dataValidation type="decimal" operator="greaterThan" allowBlank="1" showInputMessage="1" showErrorMessage="1" sqref="E5461">
      <formula1>0</formula1>
    </dataValidation>
    <dataValidation type="whole" operator="greaterThan" allowBlank="1" showInputMessage="1" showErrorMessage="1" sqref="A5462">
      <formula1>0</formula1>
    </dataValidation>
    <dataValidation type="list" allowBlank="1" showInputMessage="1" showErrorMessage="1" sqref="C5462">
      <formula1>UnidadesList</formula1>
    </dataValidation>
    <dataValidation type="decimal" operator="greaterThan" allowBlank="1" showInputMessage="1" showErrorMessage="1" sqref="D5462">
      <formula1>0</formula1>
    </dataValidation>
    <dataValidation type="decimal" operator="greaterThan" allowBlank="1" showInputMessage="1" showErrorMessage="1" sqref="E5462">
      <formula1>0</formula1>
    </dataValidation>
    <dataValidation type="whole" operator="greaterThan" allowBlank="1" showInputMessage="1" showErrorMessage="1" sqref="A5463">
      <formula1>0</formula1>
    </dataValidation>
    <dataValidation type="list" allowBlank="1" showInputMessage="1" showErrorMessage="1" sqref="C5463">
      <formula1>UnidadesList</formula1>
    </dataValidation>
    <dataValidation type="decimal" operator="greaterThan" allowBlank="1" showInputMessage="1" showErrorMessage="1" sqref="D5463">
      <formula1>0</formula1>
    </dataValidation>
    <dataValidation type="decimal" operator="greaterThan" allowBlank="1" showInputMessage="1" showErrorMessage="1" sqref="E5463">
      <formula1>0</formula1>
    </dataValidation>
    <dataValidation type="whole" operator="greaterThan" allowBlank="1" showInputMessage="1" showErrorMessage="1" sqref="A5464">
      <formula1>0</formula1>
    </dataValidation>
    <dataValidation type="list" allowBlank="1" showInputMessage="1" showErrorMessage="1" sqref="C5464">
      <formula1>UnidadesList</formula1>
    </dataValidation>
    <dataValidation type="decimal" operator="greaterThan" allowBlank="1" showInputMessage="1" showErrorMessage="1" sqref="D5464">
      <formula1>0</formula1>
    </dataValidation>
    <dataValidation type="decimal" operator="greaterThan" allowBlank="1" showInputMessage="1" showErrorMessage="1" sqref="E5464">
      <formula1>0</formula1>
    </dataValidation>
    <dataValidation type="date" operator="lessThanOrEqual" allowBlank="1" showInputMessage="1" showErrorMessage="1" sqref="C5469">
      <formula1>C5471</formula1>
    </dataValidation>
    <dataValidation type="date" operator="greaterThanOrEqual" allowBlank="1" showInputMessage="1" showErrorMessage="1" sqref="C5471">
      <formula1>C5469</formula1>
    </dataValidation>
    <dataValidation type="list" allowBlank="1" showInputMessage="1" showErrorMessage="1" sqref="F54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4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4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4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475">
      <formula1>0</formula1>
    </dataValidation>
    <dataValidation type="list" allowBlank="1" showInputMessage="1" showErrorMessage="1" sqref="C5475">
      <formula1>UnidadesList</formula1>
    </dataValidation>
    <dataValidation type="decimal" operator="greaterThan" allowBlank="1" showInputMessage="1" showErrorMessage="1" sqref="D5475">
      <formula1>0</formula1>
    </dataValidation>
    <dataValidation type="decimal" operator="greaterThan" allowBlank="1" showInputMessage="1" showErrorMessage="1" sqref="E5475">
      <formula1>0</formula1>
    </dataValidation>
    <dataValidation type="whole" operator="greaterThan" allowBlank="1" showInputMessage="1" showErrorMessage="1" sqref="A5476">
      <formula1>0</formula1>
    </dataValidation>
    <dataValidation type="list" allowBlank="1" showInputMessage="1" showErrorMessage="1" sqref="C5476">
      <formula1>UnidadesList</formula1>
    </dataValidation>
    <dataValidation type="decimal" operator="greaterThan" allowBlank="1" showInputMessage="1" showErrorMessage="1" sqref="D5476">
      <formula1>0</formula1>
    </dataValidation>
    <dataValidation type="decimal" operator="greaterThan" allowBlank="1" showInputMessage="1" showErrorMessage="1" sqref="E5476">
      <formula1>0</formula1>
    </dataValidation>
    <dataValidation type="whole" operator="greaterThan" allowBlank="1" showInputMessage="1" showErrorMessage="1" sqref="A5477">
      <formula1>0</formula1>
    </dataValidation>
    <dataValidation type="list" allowBlank="1" showInputMessage="1" showErrorMessage="1" sqref="C5477">
      <formula1>UnidadesList</formula1>
    </dataValidation>
    <dataValidation type="decimal" operator="greaterThan" allowBlank="1" showInputMessage="1" showErrorMessage="1" sqref="D5477">
      <formula1>0</formula1>
    </dataValidation>
    <dataValidation type="decimal" operator="greaterThan" allowBlank="1" showInputMessage="1" showErrorMessage="1" sqref="E5477">
      <formula1>0</formula1>
    </dataValidation>
    <dataValidation type="whole" operator="greaterThan" allowBlank="1" showInputMessage="1" showErrorMessage="1" sqref="A5478">
      <formula1>0</formula1>
    </dataValidation>
    <dataValidation type="list" allowBlank="1" showInputMessage="1" showErrorMessage="1" sqref="C5478">
      <formula1>UnidadesList</formula1>
    </dataValidation>
    <dataValidation type="decimal" operator="greaterThan" allowBlank="1" showInputMessage="1" showErrorMessage="1" sqref="D5478">
      <formula1>0</formula1>
    </dataValidation>
    <dataValidation type="decimal" operator="greaterThan" allowBlank="1" showInputMessage="1" showErrorMessage="1" sqref="E5478">
      <formula1>0</formula1>
    </dataValidation>
    <dataValidation type="whole" operator="greaterThan" allowBlank="1" showInputMessage="1" showErrorMessage="1" sqref="A5479">
      <formula1>0</formula1>
    </dataValidation>
    <dataValidation type="list" allowBlank="1" showInputMessage="1" showErrorMessage="1" sqref="C5479">
      <formula1>UnidadesList</formula1>
    </dataValidation>
    <dataValidation type="decimal" operator="greaterThan" allowBlank="1" showInputMessage="1" showErrorMessage="1" sqref="D5479">
      <formula1>0</formula1>
    </dataValidation>
    <dataValidation type="decimal" operator="greaterThan" allowBlank="1" showInputMessage="1" showErrorMessage="1" sqref="E5479">
      <formula1>0</formula1>
    </dataValidation>
    <dataValidation type="whole" operator="greaterThan" allowBlank="1" showInputMessage="1" showErrorMessage="1" sqref="A5480">
      <formula1>0</formula1>
    </dataValidation>
    <dataValidation type="list" allowBlank="1" showInputMessage="1" showErrorMessage="1" sqref="C5480">
      <formula1>UnidadesList</formula1>
    </dataValidation>
    <dataValidation type="decimal" operator="greaterThan" allowBlank="1" showInputMessage="1" showErrorMessage="1" sqref="D5480">
      <formula1>0</formula1>
    </dataValidation>
    <dataValidation type="decimal" operator="greaterThan" allowBlank="1" showInputMessage="1" showErrorMessage="1" sqref="E5480">
      <formula1>0</formula1>
    </dataValidation>
    <dataValidation type="whole" operator="greaterThan" allowBlank="1" showInputMessage="1" showErrorMessage="1" sqref="A5481">
      <formula1>0</formula1>
    </dataValidation>
    <dataValidation type="list" allowBlank="1" showInputMessage="1" showErrorMessage="1" sqref="C5481">
      <formula1>UnidadesList</formula1>
    </dataValidation>
    <dataValidation type="decimal" operator="greaterThan" allowBlank="1" showInputMessage="1" showErrorMessage="1" sqref="D5481">
      <formula1>0</formula1>
    </dataValidation>
    <dataValidation type="decimal" operator="greaterThan" allowBlank="1" showInputMessage="1" showErrorMessage="1" sqref="E5481">
      <formula1>0</formula1>
    </dataValidation>
    <dataValidation type="whole" operator="greaterThan" allowBlank="1" showInputMessage="1" showErrorMessage="1" sqref="A5482">
      <formula1>0</formula1>
    </dataValidation>
    <dataValidation type="list" allowBlank="1" showInputMessage="1" showErrorMessage="1" sqref="C5482">
      <formula1>UnidadesList</formula1>
    </dataValidation>
    <dataValidation type="decimal" operator="greaterThan" allowBlank="1" showInputMessage="1" showErrorMessage="1" sqref="D5482">
      <formula1>0</formula1>
    </dataValidation>
    <dataValidation type="decimal" operator="greaterThan" allowBlank="1" showInputMessage="1" showErrorMessage="1" sqref="E5482">
      <formula1>0</formula1>
    </dataValidation>
    <dataValidation type="whole" operator="greaterThan" allowBlank="1" showInputMessage="1" showErrorMessage="1" sqref="A5483">
      <formula1>0</formula1>
    </dataValidation>
    <dataValidation type="list" allowBlank="1" showInputMessage="1" showErrorMessage="1" sqref="C5483">
      <formula1>UnidadesList</formula1>
    </dataValidation>
    <dataValidation type="decimal" operator="greaterThan" allowBlank="1" showInputMessage="1" showErrorMessage="1" sqref="D5483">
      <formula1>0</formula1>
    </dataValidation>
    <dataValidation type="decimal" operator="greaterThan" allowBlank="1" showInputMessage="1" showErrorMessage="1" sqref="E5483">
      <formula1>0</formula1>
    </dataValidation>
    <dataValidation type="whole" operator="greaterThan" allowBlank="1" showInputMessage="1" showErrorMessage="1" sqref="A5484">
      <formula1>0</formula1>
    </dataValidation>
    <dataValidation type="list" allowBlank="1" showInputMessage="1" showErrorMessage="1" sqref="C5484">
      <formula1>UnidadesList</formula1>
    </dataValidation>
    <dataValidation type="decimal" operator="greaterThan" allowBlank="1" showInputMessage="1" showErrorMessage="1" sqref="D5484">
      <formula1>0</formula1>
    </dataValidation>
    <dataValidation type="decimal" operator="greaterThan" allowBlank="1" showInputMessage="1" showErrorMessage="1" sqref="E5484">
      <formula1>0</formula1>
    </dataValidation>
    <dataValidation type="whole" operator="greaterThan" allowBlank="1" showInputMessage="1" showErrorMessage="1" sqref="A5485">
      <formula1>0</formula1>
    </dataValidation>
    <dataValidation type="list" allowBlank="1" showInputMessage="1" showErrorMessage="1" sqref="C5485">
      <formula1>UnidadesList</formula1>
    </dataValidation>
    <dataValidation type="decimal" operator="greaterThan" allowBlank="1" showInputMessage="1" showErrorMessage="1" sqref="D5485">
      <formula1>0</formula1>
    </dataValidation>
    <dataValidation type="decimal" operator="greaterThan" allowBlank="1" showInputMessage="1" showErrorMessage="1" sqref="E5485">
      <formula1>0</formula1>
    </dataValidation>
    <dataValidation type="whole" operator="greaterThan" allowBlank="1" showInputMessage="1" showErrorMessage="1" sqref="A5486">
      <formula1>0</formula1>
    </dataValidation>
    <dataValidation type="list" allowBlank="1" showInputMessage="1" showErrorMessage="1" sqref="C5486">
      <formula1>UnidadesList</formula1>
    </dataValidation>
    <dataValidation type="decimal" operator="greaterThan" allowBlank="1" showInputMessage="1" showErrorMessage="1" sqref="D5486">
      <formula1>0</formula1>
    </dataValidation>
    <dataValidation type="decimal" operator="greaterThan" allowBlank="1" showInputMessage="1" showErrorMessage="1" sqref="E5486">
      <formula1>0</formula1>
    </dataValidation>
    <dataValidation type="whole" operator="greaterThan" allowBlank="1" showInputMessage="1" showErrorMessage="1" sqref="A5487">
      <formula1>0</formula1>
    </dataValidation>
    <dataValidation type="list" allowBlank="1" showInputMessage="1" showErrorMessage="1" sqref="C5487">
      <formula1>UnidadesList</formula1>
    </dataValidation>
    <dataValidation type="decimal" operator="greaterThan" allowBlank="1" showInputMessage="1" showErrorMessage="1" sqref="D5487">
      <formula1>0</formula1>
    </dataValidation>
    <dataValidation type="decimal" operator="greaterThan" allowBlank="1" showInputMessage="1" showErrorMessage="1" sqref="E5487">
      <formula1>0</formula1>
    </dataValidation>
    <dataValidation type="whole" operator="greaterThan" allowBlank="1" showInputMessage="1" showErrorMessage="1" sqref="A5488">
      <formula1>0</formula1>
    </dataValidation>
    <dataValidation type="list" allowBlank="1" showInputMessage="1" showErrorMessage="1" sqref="C5488">
      <formula1>UnidadesList</formula1>
    </dataValidation>
    <dataValidation type="decimal" operator="greaterThan" allowBlank="1" showInputMessage="1" showErrorMessage="1" sqref="D5488">
      <formula1>0</formula1>
    </dataValidation>
    <dataValidation type="decimal" operator="greaterThan" allowBlank="1" showInputMessage="1" showErrorMessage="1" sqref="E5488">
      <formula1>0</formula1>
    </dataValidation>
    <dataValidation type="whole" operator="greaterThan" allowBlank="1" showInputMessage="1" showErrorMessage="1" sqref="A5489">
      <formula1>0</formula1>
    </dataValidation>
    <dataValidation type="list" allowBlank="1" showInputMessage="1" showErrorMessage="1" sqref="C5489">
      <formula1>UnidadesList</formula1>
    </dataValidation>
    <dataValidation type="decimal" operator="greaterThan" allowBlank="1" showInputMessage="1" showErrorMessage="1" sqref="D5489">
      <formula1>0</formula1>
    </dataValidation>
    <dataValidation type="decimal" operator="greaterThan" allowBlank="1" showInputMessage="1" showErrorMessage="1" sqref="E5489">
      <formula1>0</formula1>
    </dataValidation>
    <dataValidation type="whole" operator="greaterThan" allowBlank="1" showInputMessage="1" showErrorMessage="1" sqref="A5490">
      <formula1>0</formula1>
    </dataValidation>
    <dataValidation type="list" allowBlank="1" showInputMessage="1" showErrorMessage="1" sqref="C5490">
      <formula1>UnidadesList</formula1>
    </dataValidation>
    <dataValidation type="decimal" operator="greaterThan" allowBlank="1" showInputMessage="1" showErrorMessage="1" sqref="D5490">
      <formula1>0</formula1>
    </dataValidation>
    <dataValidation type="decimal" operator="greaterThan" allowBlank="1" showInputMessage="1" showErrorMessage="1" sqref="E5490">
      <formula1>0</formula1>
    </dataValidation>
    <dataValidation type="whole" operator="greaterThan" allowBlank="1" showInputMessage="1" showErrorMessage="1" sqref="A5491">
      <formula1>0</formula1>
    </dataValidation>
    <dataValidation type="list" allowBlank="1" showInputMessage="1" showErrorMessage="1" sqref="C5491">
      <formula1>UnidadesList</formula1>
    </dataValidation>
    <dataValidation type="decimal" operator="greaterThan" allowBlank="1" showInputMessage="1" showErrorMessage="1" sqref="D5491">
      <formula1>0</formula1>
    </dataValidation>
    <dataValidation type="decimal" operator="greaterThan" allowBlank="1" showInputMessage="1" showErrorMessage="1" sqref="E5491">
      <formula1>0</formula1>
    </dataValidation>
    <dataValidation type="whole" operator="greaterThan" allowBlank="1" showInputMessage="1" showErrorMessage="1" sqref="A5492">
      <formula1>0</formula1>
    </dataValidation>
    <dataValidation type="list" allowBlank="1" showInputMessage="1" showErrorMessage="1" sqref="C5492">
      <formula1>UnidadesList</formula1>
    </dataValidation>
    <dataValidation type="decimal" operator="greaterThan" allowBlank="1" showInputMessage="1" showErrorMessage="1" sqref="D5492">
      <formula1>0</formula1>
    </dataValidation>
    <dataValidation type="decimal" operator="greaterThan" allowBlank="1" showInputMessage="1" showErrorMessage="1" sqref="E5492">
      <formula1>0</formula1>
    </dataValidation>
    <dataValidation type="whole" operator="greaterThan" allowBlank="1" showInputMessage="1" showErrorMessage="1" sqref="A5493">
      <formula1>0</formula1>
    </dataValidation>
    <dataValidation type="list" allowBlank="1" showInputMessage="1" showErrorMessage="1" sqref="C5493">
      <formula1>UnidadesList</formula1>
    </dataValidation>
    <dataValidation type="decimal" operator="greaterThan" allowBlank="1" showInputMessage="1" showErrorMessage="1" sqref="D5493">
      <formula1>0</formula1>
    </dataValidation>
    <dataValidation type="decimal" operator="greaterThan" allowBlank="1" showInputMessage="1" showErrorMessage="1" sqref="E5493">
      <formula1>0</formula1>
    </dataValidation>
    <dataValidation type="whole" operator="greaterThan" allowBlank="1" showInputMessage="1" showErrorMessage="1" sqref="A5494">
      <formula1>0</formula1>
    </dataValidation>
    <dataValidation type="list" allowBlank="1" showInputMessage="1" showErrorMessage="1" sqref="C5494">
      <formula1>UnidadesList</formula1>
    </dataValidation>
    <dataValidation type="decimal" operator="greaterThan" allowBlank="1" showInputMessage="1" showErrorMessage="1" sqref="D5494">
      <formula1>0</formula1>
    </dataValidation>
    <dataValidation type="decimal" operator="greaterThan" allowBlank="1" showInputMessage="1" showErrorMessage="1" sqref="E5494">
      <formula1>0</formula1>
    </dataValidation>
    <dataValidation type="whole" operator="greaterThan" allowBlank="1" showInputMessage="1" showErrorMessage="1" sqref="A5495">
      <formula1>0</formula1>
    </dataValidation>
    <dataValidation type="list" allowBlank="1" showInputMessage="1" showErrorMessage="1" sqref="C5495">
      <formula1>UnidadesList</formula1>
    </dataValidation>
    <dataValidation type="decimal" operator="greaterThan" allowBlank="1" showInputMessage="1" showErrorMessage="1" sqref="D5495">
      <formula1>0</formula1>
    </dataValidation>
    <dataValidation type="decimal" operator="greaterThan" allowBlank="1" showInputMessage="1" showErrorMessage="1" sqref="E5495">
      <formula1>0</formula1>
    </dataValidation>
    <dataValidation type="whole" operator="greaterThan" allowBlank="1" showInputMessage="1" showErrorMessage="1" sqref="A5496">
      <formula1>0</formula1>
    </dataValidation>
    <dataValidation type="list" allowBlank="1" showInputMessage="1" showErrorMessage="1" sqref="C5496">
      <formula1>UnidadesList</formula1>
    </dataValidation>
    <dataValidation type="decimal" operator="greaterThan" allowBlank="1" showInputMessage="1" showErrorMessage="1" sqref="D5496">
      <formula1>0</formula1>
    </dataValidation>
    <dataValidation type="decimal" operator="greaterThan" allowBlank="1" showInputMessage="1" showErrorMessage="1" sqref="E5496">
      <formula1>0</formula1>
    </dataValidation>
    <dataValidation type="whole" operator="greaterThan" allowBlank="1" showInputMessage="1" showErrorMessage="1" sqref="A5497">
      <formula1>0</formula1>
    </dataValidation>
    <dataValidation type="list" allowBlank="1" showInputMessage="1" showErrorMessage="1" sqref="C5497">
      <formula1>UnidadesList</formula1>
    </dataValidation>
    <dataValidation type="decimal" operator="greaterThan" allowBlank="1" showInputMessage="1" showErrorMessage="1" sqref="D5497">
      <formula1>0</formula1>
    </dataValidation>
    <dataValidation type="decimal" operator="greaterThan" allowBlank="1" showInputMessage="1" showErrorMessage="1" sqref="E5497">
      <formula1>0</formula1>
    </dataValidation>
    <dataValidation type="whole" operator="greaterThan" allowBlank="1" showInputMessage="1" showErrorMessage="1" sqref="A5498">
      <formula1>0</formula1>
    </dataValidation>
    <dataValidation type="list" allowBlank="1" showInputMessage="1" showErrorMessage="1" sqref="C5498">
      <formula1>UnidadesList</formula1>
    </dataValidation>
    <dataValidation type="decimal" operator="greaterThan" allowBlank="1" showInputMessage="1" showErrorMessage="1" sqref="D5498">
      <formula1>0</formula1>
    </dataValidation>
    <dataValidation type="decimal" operator="greaterThan" allowBlank="1" showInputMessage="1" showErrorMessage="1" sqref="E5498">
      <formula1>0</formula1>
    </dataValidation>
    <dataValidation type="whole" operator="greaterThan" allowBlank="1" showInputMessage="1" showErrorMessage="1" sqref="A5499">
      <formula1>0</formula1>
    </dataValidation>
    <dataValidation type="list" allowBlank="1" showInputMessage="1" showErrorMessage="1" sqref="C5499">
      <formula1>UnidadesList</formula1>
    </dataValidation>
    <dataValidation type="decimal" operator="greaterThan" allowBlank="1" showInputMessage="1" showErrorMessage="1" sqref="D5499">
      <formula1>0</formula1>
    </dataValidation>
    <dataValidation type="decimal" operator="greaterThan" allowBlank="1" showInputMessage="1" showErrorMessage="1" sqref="E5499">
      <formula1>0</formula1>
    </dataValidation>
    <dataValidation type="whole" operator="greaterThan" allowBlank="1" showInputMessage="1" showErrorMessage="1" sqref="A5500">
      <formula1>0</formula1>
    </dataValidation>
    <dataValidation type="list" allowBlank="1" showInputMessage="1" showErrorMessage="1" sqref="C5500">
      <formula1>UnidadesList</formula1>
    </dataValidation>
    <dataValidation type="decimal" operator="greaterThan" allowBlank="1" showInputMessage="1" showErrorMessage="1" sqref="D5500">
      <formula1>0</formula1>
    </dataValidation>
    <dataValidation type="decimal" operator="greaterThan" allowBlank="1" showInputMessage="1" showErrorMessage="1" sqref="E5500">
      <formula1>0</formula1>
    </dataValidation>
    <dataValidation type="whole" operator="greaterThan" allowBlank="1" showInputMessage="1" showErrorMessage="1" sqref="A5501">
      <formula1>0</formula1>
    </dataValidation>
    <dataValidation type="list" allowBlank="1" showInputMessage="1" showErrorMessage="1" sqref="C5501">
      <formula1>UnidadesList</formula1>
    </dataValidation>
    <dataValidation type="decimal" operator="greaterThan" allowBlank="1" showInputMessage="1" showErrorMessage="1" sqref="D5501">
      <formula1>0</formula1>
    </dataValidation>
    <dataValidation type="decimal" operator="greaterThan" allowBlank="1" showInputMessage="1" showErrorMessage="1" sqref="E5501">
      <formula1>0</formula1>
    </dataValidation>
    <dataValidation type="whole" operator="greaterThan" allowBlank="1" showInputMessage="1" showErrorMessage="1" sqref="A5502">
      <formula1>0</formula1>
    </dataValidation>
    <dataValidation type="list" allowBlank="1" showInputMessage="1" showErrorMessage="1" sqref="C5502">
      <formula1>UnidadesList</formula1>
    </dataValidation>
    <dataValidation type="decimal" operator="greaterThan" allowBlank="1" showInputMessage="1" showErrorMessage="1" sqref="D5502">
      <formula1>0</formula1>
    </dataValidation>
    <dataValidation type="decimal" operator="greaterThan" allowBlank="1" showInputMessage="1" showErrorMessage="1" sqref="E5502">
      <formula1>0</formula1>
    </dataValidation>
    <dataValidation type="whole" operator="greaterThan" allowBlank="1" showInputMessage="1" showErrorMessage="1" sqref="A5503">
      <formula1>0</formula1>
    </dataValidation>
    <dataValidation type="list" allowBlank="1" showInputMessage="1" showErrorMessage="1" sqref="C5503">
      <formula1>UnidadesList</formula1>
    </dataValidation>
    <dataValidation type="decimal" operator="greaterThan" allowBlank="1" showInputMessage="1" showErrorMessage="1" sqref="D5503">
      <formula1>0</formula1>
    </dataValidation>
    <dataValidation type="decimal" operator="greaterThan" allowBlank="1" showInputMessage="1" showErrorMessage="1" sqref="E5503">
      <formula1>0</formula1>
    </dataValidation>
    <dataValidation type="whole" operator="greaterThan" allowBlank="1" showInputMessage="1" showErrorMessage="1" sqref="A5504">
      <formula1>0</formula1>
    </dataValidation>
    <dataValidation type="list" allowBlank="1" showInputMessage="1" showErrorMessage="1" sqref="C5504">
      <formula1>UnidadesList</formula1>
    </dataValidation>
    <dataValidation type="decimal" operator="greaterThan" allowBlank="1" showInputMessage="1" showErrorMessage="1" sqref="D5504">
      <formula1>0</formula1>
    </dataValidation>
    <dataValidation type="decimal" operator="greaterThan" allowBlank="1" showInputMessage="1" showErrorMessage="1" sqref="E5504">
      <formula1>0</formula1>
    </dataValidation>
    <dataValidation type="date" operator="lessThanOrEqual" allowBlank="1" showInputMessage="1" showErrorMessage="1" sqref="C5509">
      <formula1>C5511</formula1>
    </dataValidation>
    <dataValidation type="date" operator="greaterThanOrEqual" allowBlank="1" showInputMessage="1" showErrorMessage="1" sqref="C5511">
      <formula1>C5509</formula1>
    </dataValidation>
    <dataValidation type="list" allowBlank="1" showInputMessage="1" showErrorMessage="1" sqref="F550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51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51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51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515">
      <formula1>0</formula1>
    </dataValidation>
    <dataValidation type="list" allowBlank="1" showInputMessage="1" showErrorMessage="1" sqref="C5515">
      <formula1>UnidadesList</formula1>
    </dataValidation>
    <dataValidation type="decimal" operator="greaterThan" allowBlank="1" showInputMessage="1" showErrorMessage="1" sqref="D5515">
      <formula1>0</formula1>
    </dataValidation>
    <dataValidation type="decimal" operator="greaterThan" allowBlank="1" showInputMessage="1" showErrorMessage="1" sqref="E5515">
      <formula1>0</formula1>
    </dataValidation>
    <dataValidation type="whole" operator="greaterThan" allowBlank="1" showInputMessage="1" showErrorMessage="1" sqref="A5516">
      <formula1>0</formula1>
    </dataValidation>
    <dataValidation type="list" allowBlank="1" showInputMessage="1" showErrorMessage="1" sqref="C5516">
      <formula1>UnidadesList</formula1>
    </dataValidation>
    <dataValidation type="decimal" operator="greaterThan" allowBlank="1" showInputMessage="1" showErrorMessage="1" sqref="D5516">
      <formula1>0</formula1>
    </dataValidation>
    <dataValidation type="decimal" operator="greaterThan" allowBlank="1" showInputMessage="1" showErrorMessage="1" sqref="E5516">
      <formula1>0</formula1>
    </dataValidation>
    <dataValidation type="whole" operator="greaterThan" allowBlank="1" showInputMessage="1" showErrorMessage="1" sqref="A5517">
      <formula1>0</formula1>
    </dataValidation>
    <dataValidation type="list" allowBlank="1" showInputMessage="1" showErrorMessage="1" sqref="C5517">
      <formula1>UnidadesList</formula1>
    </dataValidation>
    <dataValidation type="decimal" operator="greaterThan" allowBlank="1" showInputMessage="1" showErrorMessage="1" sqref="D5517">
      <formula1>0</formula1>
    </dataValidation>
    <dataValidation type="decimal" operator="greaterThan" allowBlank="1" showInputMessage="1" showErrorMessage="1" sqref="E5517">
      <formula1>0</formula1>
    </dataValidation>
    <dataValidation type="whole" operator="greaterThan" allowBlank="1" showInputMessage="1" showErrorMessage="1" sqref="A5518">
      <formula1>0</formula1>
    </dataValidation>
    <dataValidation type="list" allowBlank="1" showInputMessage="1" showErrorMessage="1" sqref="C5518">
      <formula1>UnidadesList</formula1>
    </dataValidation>
    <dataValidation type="decimal" operator="greaterThan" allowBlank="1" showInputMessage="1" showErrorMessage="1" sqref="D5518">
      <formula1>0</formula1>
    </dataValidation>
    <dataValidation type="decimal" operator="greaterThan" allowBlank="1" showInputMessage="1" showErrorMessage="1" sqref="E5518">
      <formula1>0</formula1>
    </dataValidation>
    <dataValidation type="whole" operator="greaterThan" allowBlank="1" showInputMessage="1" showErrorMessage="1" sqref="A5519">
      <formula1>0</formula1>
    </dataValidation>
    <dataValidation type="list" allowBlank="1" showInputMessage="1" showErrorMessage="1" sqref="C5519">
      <formula1>UnidadesList</formula1>
    </dataValidation>
    <dataValidation type="decimal" operator="greaterThan" allowBlank="1" showInputMessage="1" showErrorMessage="1" sqref="D5519">
      <formula1>0</formula1>
    </dataValidation>
    <dataValidation type="decimal" operator="greaterThan" allowBlank="1" showInputMessage="1" showErrorMessage="1" sqref="E5519">
      <formula1>0</formula1>
    </dataValidation>
    <dataValidation type="whole" operator="greaterThan" allowBlank="1" showInputMessage="1" showErrorMessage="1" sqref="A5520">
      <formula1>0</formula1>
    </dataValidation>
    <dataValidation type="list" allowBlank="1" showInputMessage="1" showErrorMessage="1" sqref="C5520">
      <formula1>UnidadesList</formula1>
    </dataValidation>
    <dataValidation type="decimal" operator="greaterThan" allowBlank="1" showInputMessage="1" showErrorMessage="1" sqref="D5520">
      <formula1>0</formula1>
    </dataValidation>
    <dataValidation type="decimal" operator="greaterThan" allowBlank="1" showInputMessage="1" showErrorMessage="1" sqref="E5520">
      <formula1>0</formula1>
    </dataValidation>
    <dataValidation type="whole" operator="greaterThan" allowBlank="1" showInputMessage="1" showErrorMessage="1" sqref="A5521">
      <formula1>0</formula1>
    </dataValidation>
    <dataValidation type="list" allowBlank="1" showInputMessage="1" showErrorMessage="1" sqref="C5521">
      <formula1>UnidadesList</formula1>
    </dataValidation>
    <dataValidation type="decimal" operator="greaterThan" allowBlank="1" showInputMessage="1" showErrorMessage="1" sqref="D5521">
      <formula1>0</formula1>
    </dataValidation>
    <dataValidation type="decimal" operator="greaterThan" allowBlank="1" showInputMessage="1" showErrorMessage="1" sqref="E5521">
      <formula1>0</formula1>
    </dataValidation>
    <dataValidation type="whole" operator="greaterThan" allowBlank="1" showInputMessage="1" showErrorMessage="1" sqref="A5522">
      <formula1>0</formula1>
    </dataValidation>
    <dataValidation type="list" allowBlank="1" showInputMessage="1" showErrorMessage="1" sqref="C5522">
      <formula1>UnidadesList</formula1>
    </dataValidation>
    <dataValidation type="decimal" operator="greaterThan" allowBlank="1" showInputMessage="1" showErrorMessage="1" sqref="D5522">
      <formula1>0</formula1>
    </dataValidation>
    <dataValidation type="decimal" operator="greaterThan" allowBlank="1" showInputMessage="1" showErrorMessage="1" sqref="E5522">
      <formula1>0</formula1>
    </dataValidation>
    <dataValidation type="whole" operator="greaterThan" allowBlank="1" showInputMessage="1" showErrorMessage="1" sqref="A5523">
      <formula1>0</formula1>
    </dataValidation>
    <dataValidation type="list" allowBlank="1" showInputMessage="1" showErrorMessage="1" sqref="C5523">
      <formula1>UnidadesList</formula1>
    </dataValidation>
    <dataValidation type="decimal" operator="greaterThan" allowBlank="1" showInputMessage="1" showErrorMessage="1" sqref="D5523">
      <formula1>0</formula1>
    </dataValidation>
    <dataValidation type="decimal" operator="greaterThan" allowBlank="1" showInputMessage="1" showErrorMessage="1" sqref="E5523">
      <formula1>0</formula1>
    </dataValidation>
    <dataValidation type="whole" operator="greaterThan" allowBlank="1" showInputMessage="1" showErrorMessage="1" sqref="A5524">
      <formula1>0</formula1>
    </dataValidation>
    <dataValidation type="list" allowBlank="1" showInputMessage="1" showErrorMessage="1" sqref="C5524">
      <formula1>UnidadesList</formula1>
    </dataValidation>
    <dataValidation type="decimal" operator="greaterThan" allowBlank="1" showInputMessage="1" showErrorMessage="1" sqref="D5524">
      <formula1>0</formula1>
    </dataValidation>
    <dataValidation type="decimal" operator="greaterThan" allowBlank="1" showInputMessage="1" showErrorMessage="1" sqref="E5524">
      <formula1>0</formula1>
    </dataValidation>
    <dataValidation type="whole" operator="greaterThan" allowBlank="1" showInputMessage="1" showErrorMessage="1" sqref="A5525">
      <formula1>0</formula1>
    </dataValidation>
    <dataValidation type="list" allowBlank="1" showInputMessage="1" showErrorMessage="1" sqref="C5525">
      <formula1>UnidadesList</formula1>
    </dataValidation>
    <dataValidation type="decimal" operator="greaterThan" allowBlank="1" showInputMessage="1" showErrorMessage="1" sqref="D5525">
      <formula1>0</formula1>
    </dataValidation>
    <dataValidation type="decimal" operator="greaterThan" allowBlank="1" showInputMessage="1" showErrorMessage="1" sqref="E5525">
      <formula1>0</formula1>
    </dataValidation>
    <dataValidation type="whole" operator="greaterThan" allowBlank="1" showInputMessage="1" showErrorMessage="1" sqref="A5526">
      <formula1>0</formula1>
    </dataValidation>
    <dataValidation type="list" allowBlank="1" showInputMessage="1" showErrorMessage="1" sqref="C5526">
      <formula1>UnidadesList</formula1>
    </dataValidation>
    <dataValidation type="decimal" operator="greaterThan" allowBlank="1" showInputMessage="1" showErrorMessage="1" sqref="D5526">
      <formula1>0</formula1>
    </dataValidation>
    <dataValidation type="decimal" operator="greaterThan" allowBlank="1" showInputMessage="1" showErrorMessage="1" sqref="E5526">
      <formula1>0</formula1>
    </dataValidation>
    <dataValidation type="whole" operator="greaterThan" allowBlank="1" showInputMessage="1" showErrorMessage="1" sqref="A5527">
      <formula1>0</formula1>
    </dataValidation>
    <dataValidation type="list" allowBlank="1" showInputMessage="1" showErrorMessage="1" sqref="C5527">
      <formula1>UnidadesList</formula1>
    </dataValidation>
    <dataValidation type="decimal" operator="greaterThan" allowBlank="1" showInputMessage="1" showErrorMessage="1" sqref="D5527">
      <formula1>0</formula1>
    </dataValidation>
    <dataValidation type="decimal" operator="greaterThan" allowBlank="1" showInputMessage="1" showErrorMessage="1" sqref="E5527">
      <formula1>0</formula1>
    </dataValidation>
    <dataValidation type="whole" operator="greaterThan" allowBlank="1" showInputMessage="1" showErrorMessage="1" sqref="A5528">
      <formula1>0</formula1>
    </dataValidation>
    <dataValidation type="list" allowBlank="1" showInputMessage="1" showErrorMessage="1" sqref="C5528">
      <formula1>UnidadesList</formula1>
    </dataValidation>
    <dataValidation type="decimal" operator="greaterThan" allowBlank="1" showInputMessage="1" showErrorMessage="1" sqref="D5528">
      <formula1>0</formula1>
    </dataValidation>
    <dataValidation type="decimal" operator="greaterThan" allowBlank="1" showInputMessage="1" showErrorMessage="1" sqref="E5528">
      <formula1>0</formula1>
    </dataValidation>
    <dataValidation type="whole" operator="greaterThan" allowBlank="1" showInputMessage="1" showErrorMessage="1" sqref="A5529">
      <formula1>0</formula1>
    </dataValidation>
    <dataValidation type="list" allowBlank="1" showInputMessage="1" showErrorMessage="1" sqref="C5529">
      <formula1>UnidadesList</formula1>
    </dataValidation>
    <dataValidation type="decimal" operator="greaterThan" allowBlank="1" showInputMessage="1" showErrorMessage="1" sqref="D5529">
      <formula1>0</formula1>
    </dataValidation>
    <dataValidation type="decimal" operator="greaterThan" allowBlank="1" showInputMessage="1" showErrorMessage="1" sqref="E5529">
      <formula1>0</formula1>
    </dataValidation>
    <dataValidation type="whole" operator="greaterThan" allowBlank="1" showInputMessage="1" showErrorMessage="1" sqref="A5530">
      <formula1>0</formula1>
    </dataValidation>
    <dataValidation type="list" allowBlank="1" showInputMessage="1" showErrorMessage="1" sqref="C5530">
      <formula1>UnidadesList</formula1>
    </dataValidation>
    <dataValidation type="decimal" operator="greaterThan" allowBlank="1" showInputMessage="1" showErrorMessage="1" sqref="D5530">
      <formula1>0</formula1>
    </dataValidation>
    <dataValidation type="decimal" operator="greaterThan" allowBlank="1" showInputMessage="1" showErrorMessage="1" sqref="E5530">
      <formula1>0</formula1>
    </dataValidation>
    <dataValidation type="whole" operator="greaterThan" allowBlank="1" showInputMessage="1" showErrorMessage="1" sqref="A5531">
      <formula1>0</formula1>
    </dataValidation>
    <dataValidation type="list" allowBlank="1" showInputMessage="1" showErrorMessage="1" sqref="C5531">
      <formula1>UnidadesList</formula1>
    </dataValidation>
    <dataValidation type="decimal" operator="greaterThan" allowBlank="1" showInputMessage="1" showErrorMessage="1" sqref="D5531">
      <formula1>0</formula1>
    </dataValidation>
    <dataValidation type="decimal" operator="greaterThan" allowBlank="1" showInputMessage="1" showErrorMessage="1" sqref="E5531">
      <formula1>0</formula1>
    </dataValidation>
    <dataValidation type="whole" operator="greaterThan" allowBlank="1" showInputMessage="1" showErrorMessage="1" sqref="A5532">
      <formula1>0</formula1>
    </dataValidation>
    <dataValidation type="list" allowBlank="1" showInputMessage="1" showErrorMessage="1" sqref="C5532">
      <formula1>UnidadesList</formula1>
    </dataValidation>
    <dataValidation type="decimal" operator="greaterThan" allowBlank="1" showInputMessage="1" showErrorMessage="1" sqref="D5532">
      <formula1>0</formula1>
    </dataValidation>
    <dataValidation type="decimal" operator="greaterThan" allowBlank="1" showInputMessage="1" showErrorMessage="1" sqref="E5532">
      <formula1>0</formula1>
    </dataValidation>
    <dataValidation type="whole" operator="greaterThan" allowBlank="1" showInputMessage="1" showErrorMessage="1" sqref="A5533">
      <formula1>0</formula1>
    </dataValidation>
    <dataValidation type="list" allowBlank="1" showInputMessage="1" showErrorMessage="1" sqref="C5533">
      <formula1>UnidadesList</formula1>
    </dataValidation>
    <dataValidation type="decimal" operator="greaterThan" allowBlank="1" showInputMessage="1" showErrorMessage="1" sqref="D5533">
      <formula1>0</formula1>
    </dataValidation>
    <dataValidation type="decimal" operator="greaterThan" allowBlank="1" showInputMessage="1" showErrorMessage="1" sqref="E5533">
      <formula1>0</formula1>
    </dataValidation>
    <dataValidation type="whole" operator="greaterThan" allowBlank="1" showInputMessage="1" showErrorMessage="1" sqref="A5534">
      <formula1>0</formula1>
    </dataValidation>
    <dataValidation type="list" allowBlank="1" showInputMessage="1" showErrorMessage="1" sqref="C5534">
      <formula1>UnidadesList</formula1>
    </dataValidation>
    <dataValidation type="decimal" operator="greaterThan" allowBlank="1" showInputMessage="1" showErrorMessage="1" sqref="D5534">
      <formula1>0</formula1>
    </dataValidation>
    <dataValidation type="decimal" operator="greaterThan" allowBlank="1" showInputMessage="1" showErrorMessage="1" sqref="E5534">
      <formula1>0</formula1>
    </dataValidation>
    <dataValidation type="whole" operator="greaterThan" allowBlank="1" showInputMessage="1" showErrorMessage="1" sqref="A5535">
      <formula1>0</formula1>
    </dataValidation>
    <dataValidation type="list" allowBlank="1" showInputMessage="1" showErrorMessage="1" sqref="C5535">
      <formula1>UnidadesList</formula1>
    </dataValidation>
    <dataValidation type="decimal" operator="greaterThan" allowBlank="1" showInputMessage="1" showErrorMessage="1" sqref="D5535">
      <formula1>0</formula1>
    </dataValidation>
    <dataValidation type="decimal" operator="greaterThan" allowBlank="1" showInputMessage="1" showErrorMessage="1" sqref="E5535">
      <formula1>0</formula1>
    </dataValidation>
    <dataValidation type="whole" operator="greaterThan" allowBlank="1" showInputMessage="1" showErrorMessage="1" sqref="A5536">
      <formula1>0</formula1>
    </dataValidation>
    <dataValidation type="list" allowBlank="1" showInputMessage="1" showErrorMessage="1" sqref="C5536">
      <formula1>UnidadesList</formula1>
    </dataValidation>
    <dataValidation type="decimal" operator="greaterThan" allowBlank="1" showInputMessage="1" showErrorMessage="1" sqref="D5536">
      <formula1>0</formula1>
    </dataValidation>
    <dataValidation type="decimal" operator="greaterThan" allowBlank="1" showInputMessage="1" showErrorMessage="1" sqref="E5536">
      <formula1>0</formula1>
    </dataValidation>
    <dataValidation type="whole" operator="greaterThan" allowBlank="1" showInputMessage="1" showErrorMessage="1" sqref="A5537">
      <formula1>0</formula1>
    </dataValidation>
    <dataValidation type="list" allowBlank="1" showInputMessage="1" showErrorMessage="1" sqref="C5537">
      <formula1>UnidadesList</formula1>
    </dataValidation>
    <dataValidation type="decimal" operator="greaterThan" allowBlank="1" showInputMessage="1" showErrorMessage="1" sqref="D5537">
      <formula1>0</formula1>
    </dataValidation>
    <dataValidation type="decimal" operator="greaterThan" allowBlank="1" showInputMessage="1" showErrorMessage="1" sqref="E5537">
      <formula1>0</formula1>
    </dataValidation>
    <dataValidation type="whole" operator="greaterThan" allowBlank="1" showInputMessage="1" showErrorMessage="1" sqref="A5538">
      <formula1>0</formula1>
    </dataValidation>
    <dataValidation type="list" allowBlank="1" showInputMessage="1" showErrorMessage="1" sqref="C5538">
      <formula1>UnidadesList</formula1>
    </dataValidation>
    <dataValidation type="decimal" operator="greaterThan" allowBlank="1" showInputMessage="1" showErrorMessage="1" sqref="D5538">
      <formula1>0</formula1>
    </dataValidation>
    <dataValidation type="decimal" operator="greaterThan" allowBlank="1" showInputMessage="1" showErrorMessage="1" sqref="E5538">
      <formula1>0</formula1>
    </dataValidation>
    <dataValidation type="whole" operator="greaterThan" allowBlank="1" showInputMessage="1" showErrorMessage="1" sqref="A5539">
      <formula1>0</formula1>
    </dataValidation>
    <dataValidation type="list" allowBlank="1" showInputMessage="1" showErrorMessage="1" sqref="C5539">
      <formula1>UnidadesList</formula1>
    </dataValidation>
    <dataValidation type="decimal" operator="greaterThan" allowBlank="1" showInputMessage="1" showErrorMessage="1" sqref="D5539">
      <formula1>0</formula1>
    </dataValidation>
    <dataValidation type="decimal" operator="greaterThan" allowBlank="1" showInputMessage="1" showErrorMessage="1" sqref="E5539">
      <formula1>0</formula1>
    </dataValidation>
    <dataValidation type="whole" operator="greaterThan" allowBlank="1" showInputMessage="1" showErrorMessage="1" sqref="A5540">
      <formula1>0</formula1>
    </dataValidation>
    <dataValidation type="list" allowBlank="1" showInputMessage="1" showErrorMessage="1" sqref="C5540">
      <formula1>UnidadesList</formula1>
    </dataValidation>
    <dataValidation type="decimal" operator="greaterThan" allowBlank="1" showInputMessage="1" showErrorMessage="1" sqref="D5540">
      <formula1>0</formula1>
    </dataValidation>
    <dataValidation type="decimal" operator="greaterThan" allowBlank="1" showInputMessage="1" showErrorMessage="1" sqref="E5540">
      <formula1>0</formula1>
    </dataValidation>
    <dataValidation type="whole" operator="greaterThan" allowBlank="1" showInputMessage="1" showErrorMessage="1" sqref="A5541">
      <formula1>0</formula1>
    </dataValidation>
    <dataValidation type="list" allowBlank="1" showInputMessage="1" showErrorMessage="1" sqref="C5541">
      <formula1>UnidadesList</formula1>
    </dataValidation>
    <dataValidation type="decimal" operator="greaterThan" allowBlank="1" showInputMessage="1" showErrorMessage="1" sqref="D5541">
      <formula1>0</formula1>
    </dataValidation>
    <dataValidation type="decimal" operator="greaterThan" allowBlank="1" showInputMessage="1" showErrorMessage="1" sqref="E5541">
      <formula1>0</formula1>
    </dataValidation>
    <dataValidation type="whole" operator="greaterThan" allowBlank="1" showInputMessage="1" showErrorMessage="1" sqref="A5542">
      <formula1>0</formula1>
    </dataValidation>
    <dataValidation type="list" allowBlank="1" showInputMessage="1" showErrorMessage="1" sqref="C5542">
      <formula1>UnidadesList</formula1>
    </dataValidation>
    <dataValidation type="decimal" operator="greaterThan" allowBlank="1" showInputMessage="1" showErrorMessage="1" sqref="D5542">
      <formula1>0</formula1>
    </dataValidation>
    <dataValidation type="decimal" operator="greaterThan" allowBlank="1" showInputMessage="1" showErrorMessage="1" sqref="E5542">
      <formula1>0</formula1>
    </dataValidation>
    <dataValidation type="whole" operator="greaterThan" allowBlank="1" showInputMessage="1" showErrorMessage="1" sqref="A5543">
      <formula1>0</formula1>
    </dataValidation>
    <dataValidation type="list" allowBlank="1" showInputMessage="1" showErrorMessage="1" sqref="C5543">
      <formula1>UnidadesList</formula1>
    </dataValidation>
    <dataValidation type="decimal" operator="greaterThan" allowBlank="1" showInputMessage="1" showErrorMessage="1" sqref="D5543">
      <formula1>0</formula1>
    </dataValidation>
    <dataValidation type="decimal" operator="greaterThan" allowBlank="1" showInputMessage="1" showErrorMessage="1" sqref="E5543">
      <formula1>0</formula1>
    </dataValidation>
    <dataValidation type="whole" operator="greaterThan" allowBlank="1" showInputMessage="1" showErrorMessage="1" sqref="A5544">
      <formula1>0</formula1>
    </dataValidation>
    <dataValidation type="list" allowBlank="1" showInputMessage="1" showErrorMessage="1" sqref="C5544">
      <formula1>UnidadesList</formula1>
    </dataValidation>
    <dataValidation type="decimal" operator="greaterThan" allowBlank="1" showInputMessage="1" showErrorMessage="1" sqref="D5544">
      <formula1>0</formula1>
    </dataValidation>
    <dataValidation type="decimal" operator="greaterThan" allowBlank="1" showInputMessage="1" showErrorMessage="1" sqref="E5544">
      <formula1>0</formula1>
    </dataValidation>
    <dataValidation type="date" operator="lessThanOrEqual" allowBlank="1" showInputMessage="1" showErrorMessage="1" sqref="C5549">
      <formula1>C5551</formula1>
    </dataValidation>
    <dataValidation type="date" operator="greaterThanOrEqual" allowBlank="1" showInputMessage="1" showErrorMessage="1" sqref="C5551">
      <formula1>C5549</formula1>
    </dataValidation>
    <dataValidation type="list" allowBlank="1" showInputMessage="1" showErrorMessage="1" sqref="F554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55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55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55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555">
      <formula1>0</formula1>
    </dataValidation>
    <dataValidation type="list" allowBlank="1" showInputMessage="1" showErrorMessage="1" sqref="C5555">
      <formula1>UnidadesList</formula1>
    </dataValidation>
    <dataValidation type="decimal" operator="greaterThan" allowBlank="1" showInputMessage="1" showErrorMessage="1" sqref="D5555">
      <formula1>0</formula1>
    </dataValidation>
    <dataValidation type="decimal" operator="greaterThan" allowBlank="1" showInputMessage="1" showErrorMessage="1" sqref="E5555">
      <formula1>0</formula1>
    </dataValidation>
    <dataValidation type="whole" operator="greaterThan" allowBlank="1" showInputMessage="1" showErrorMessage="1" sqref="A5556">
      <formula1>0</formula1>
    </dataValidation>
    <dataValidation type="list" allowBlank="1" showInputMessage="1" showErrorMessage="1" sqref="C5556">
      <formula1>UnidadesList</formula1>
    </dataValidation>
    <dataValidation type="decimal" operator="greaterThan" allowBlank="1" showInputMessage="1" showErrorMessage="1" sqref="D5556">
      <formula1>0</formula1>
    </dataValidation>
    <dataValidation type="decimal" operator="greaterThan" allowBlank="1" showInputMessage="1" showErrorMessage="1" sqref="E5556">
      <formula1>0</formula1>
    </dataValidation>
    <dataValidation type="whole" operator="greaterThan" allowBlank="1" showInputMessage="1" showErrorMessage="1" sqref="A5557">
      <formula1>0</formula1>
    </dataValidation>
    <dataValidation type="list" allowBlank="1" showInputMessage="1" showErrorMessage="1" sqref="C5557">
      <formula1>UnidadesList</formula1>
    </dataValidation>
    <dataValidation type="decimal" operator="greaterThan" allowBlank="1" showInputMessage="1" showErrorMessage="1" sqref="D5557">
      <formula1>0</formula1>
    </dataValidation>
    <dataValidation type="decimal" operator="greaterThan" allowBlank="1" showInputMessage="1" showErrorMessage="1" sqref="E5557">
      <formula1>0</formula1>
    </dataValidation>
    <dataValidation type="whole" operator="greaterThan" allowBlank="1" showInputMessage="1" showErrorMessage="1" sqref="A5558">
      <formula1>0</formula1>
    </dataValidation>
    <dataValidation type="list" allowBlank="1" showInputMessage="1" showErrorMessage="1" sqref="C5558">
      <formula1>UnidadesList</formula1>
    </dataValidation>
    <dataValidation type="decimal" operator="greaterThan" allowBlank="1" showInputMessage="1" showErrorMessage="1" sqref="D5558">
      <formula1>0</formula1>
    </dataValidation>
    <dataValidation type="decimal" operator="greaterThan" allowBlank="1" showInputMessage="1" showErrorMessage="1" sqref="E5558">
      <formula1>0</formula1>
    </dataValidation>
    <dataValidation type="whole" operator="greaterThan" allowBlank="1" showInputMessage="1" showErrorMessage="1" sqref="A5559">
      <formula1>0</formula1>
    </dataValidation>
    <dataValidation type="list" allowBlank="1" showInputMessage="1" showErrorMessage="1" sqref="C5559">
      <formula1>UnidadesList</formula1>
    </dataValidation>
    <dataValidation type="decimal" operator="greaterThan" allowBlank="1" showInputMessage="1" showErrorMessage="1" sqref="D5559">
      <formula1>0</formula1>
    </dataValidation>
    <dataValidation type="decimal" operator="greaterThan" allowBlank="1" showInputMessage="1" showErrorMessage="1" sqref="E5559">
      <formula1>0</formula1>
    </dataValidation>
    <dataValidation type="whole" operator="greaterThan" allowBlank="1" showInputMessage="1" showErrorMessage="1" sqref="A5560">
      <formula1>0</formula1>
    </dataValidation>
    <dataValidation type="list" allowBlank="1" showInputMessage="1" showErrorMessage="1" sqref="C5560">
      <formula1>UnidadesList</formula1>
    </dataValidation>
    <dataValidation type="decimal" operator="greaterThan" allowBlank="1" showInputMessage="1" showErrorMessage="1" sqref="D5560">
      <formula1>0</formula1>
    </dataValidation>
    <dataValidation type="decimal" operator="greaterThan" allowBlank="1" showInputMessage="1" showErrorMessage="1" sqref="E5560">
      <formula1>0</formula1>
    </dataValidation>
    <dataValidation type="whole" operator="greaterThan" allowBlank="1" showInputMessage="1" showErrorMessage="1" sqref="A5561">
      <formula1>0</formula1>
    </dataValidation>
    <dataValidation type="list" allowBlank="1" showInputMessage="1" showErrorMessage="1" sqref="C5561">
      <formula1>UnidadesList</formula1>
    </dataValidation>
    <dataValidation type="decimal" operator="greaterThan" allowBlank="1" showInputMessage="1" showErrorMessage="1" sqref="D5561">
      <formula1>0</formula1>
    </dataValidation>
    <dataValidation type="decimal" operator="greaterThan" allowBlank="1" showInputMessage="1" showErrorMessage="1" sqref="E5561">
      <formula1>0</formula1>
    </dataValidation>
    <dataValidation type="whole" operator="greaterThan" allowBlank="1" showInputMessage="1" showErrorMessage="1" sqref="A5562">
      <formula1>0</formula1>
    </dataValidation>
    <dataValidation type="list" allowBlank="1" showInputMessage="1" showErrorMessage="1" sqref="C5562">
      <formula1>UnidadesList</formula1>
    </dataValidation>
    <dataValidation type="decimal" operator="greaterThan" allowBlank="1" showInputMessage="1" showErrorMessage="1" sqref="D5562">
      <formula1>0</formula1>
    </dataValidation>
    <dataValidation type="decimal" operator="greaterThan" allowBlank="1" showInputMessage="1" showErrorMessage="1" sqref="E5562">
      <formula1>0</formula1>
    </dataValidation>
    <dataValidation type="whole" operator="greaterThan" allowBlank="1" showInputMessage="1" showErrorMessage="1" sqref="A5563">
      <formula1>0</formula1>
    </dataValidation>
    <dataValidation type="list" allowBlank="1" showInputMessage="1" showErrorMessage="1" sqref="C5563">
      <formula1>UnidadesList</formula1>
    </dataValidation>
    <dataValidation type="decimal" operator="greaterThan" allowBlank="1" showInputMessage="1" showErrorMessage="1" sqref="D5563">
      <formula1>0</formula1>
    </dataValidation>
    <dataValidation type="decimal" operator="greaterThan" allowBlank="1" showInputMessage="1" showErrorMessage="1" sqref="E5563">
      <formula1>0</formula1>
    </dataValidation>
    <dataValidation type="whole" operator="greaterThan" allowBlank="1" showInputMessage="1" showErrorMessage="1" sqref="A5564">
      <formula1>0</formula1>
    </dataValidation>
    <dataValidation type="list" allowBlank="1" showInputMessage="1" showErrorMessage="1" sqref="C5564">
      <formula1>UnidadesList</formula1>
    </dataValidation>
    <dataValidation type="decimal" operator="greaterThan" allowBlank="1" showInputMessage="1" showErrorMessage="1" sqref="D5564">
      <formula1>0</formula1>
    </dataValidation>
    <dataValidation type="decimal" operator="greaterThan" allowBlank="1" showInputMessage="1" showErrorMessage="1" sqref="E5564">
      <formula1>0</formula1>
    </dataValidation>
    <dataValidation type="whole" operator="greaterThan" allowBlank="1" showInputMessage="1" showErrorMessage="1" sqref="A5565">
      <formula1>0</formula1>
    </dataValidation>
    <dataValidation type="list" allowBlank="1" showInputMessage="1" showErrorMessage="1" sqref="C5565">
      <formula1>UnidadesList</formula1>
    </dataValidation>
    <dataValidation type="decimal" operator="greaterThan" allowBlank="1" showInputMessage="1" showErrorMessage="1" sqref="D5565">
      <formula1>0</formula1>
    </dataValidation>
    <dataValidation type="decimal" operator="greaterThan" allowBlank="1" showInputMessage="1" showErrorMessage="1" sqref="E5565">
      <formula1>0</formula1>
    </dataValidation>
    <dataValidation type="date" operator="lessThanOrEqual" allowBlank="1" showInputMessage="1" showErrorMessage="1" sqref="C5570">
      <formula1>C5572</formula1>
    </dataValidation>
    <dataValidation type="date" operator="greaterThanOrEqual" allowBlank="1" showInputMessage="1" showErrorMessage="1" sqref="C5572">
      <formula1>C5570</formula1>
    </dataValidation>
    <dataValidation type="list" allowBlank="1" showInputMessage="1" showErrorMessage="1" sqref="F55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5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5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5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576">
      <formula1>0</formula1>
    </dataValidation>
    <dataValidation type="list" allowBlank="1" showInputMessage="1" showErrorMessage="1" sqref="C5576">
      <formula1>UnidadesList</formula1>
    </dataValidation>
    <dataValidation type="decimal" operator="greaterThan" allowBlank="1" showInputMessage="1" showErrorMessage="1" sqref="D5576">
      <formula1>0</formula1>
    </dataValidation>
    <dataValidation type="decimal" operator="greaterThan" allowBlank="1" showInputMessage="1" showErrorMessage="1" sqref="E5576">
      <formula1>0</formula1>
    </dataValidation>
    <dataValidation type="whole" operator="greaterThan" allowBlank="1" showInputMessage="1" showErrorMessage="1" sqref="A5577">
      <formula1>0</formula1>
    </dataValidation>
    <dataValidation type="list" allowBlank="1" showInputMessage="1" showErrorMessage="1" sqref="C5577">
      <formula1>UnidadesList</formula1>
    </dataValidation>
    <dataValidation type="decimal" operator="greaterThan" allowBlank="1" showInputMessage="1" showErrorMessage="1" sqref="D5577">
      <formula1>0</formula1>
    </dataValidation>
    <dataValidation type="decimal" operator="greaterThan" allowBlank="1" showInputMessage="1" showErrorMessage="1" sqref="E5577">
      <formula1>0</formula1>
    </dataValidation>
    <dataValidation type="whole" operator="greaterThan" allowBlank="1" showInputMessage="1" showErrorMessage="1" sqref="A5578">
      <formula1>0</formula1>
    </dataValidation>
    <dataValidation type="list" allowBlank="1" showInputMessage="1" showErrorMessage="1" sqref="C5578">
      <formula1>UnidadesList</formula1>
    </dataValidation>
    <dataValidation type="decimal" operator="greaterThan" allowBlank="1" showInputMessage="1" showErrorMessage="1" sqref="D5578">
      <formula1>0</formula1>
    </dataValidation>
    <dataValidation type="decimal" operator="greaterThan" allowBlank="1" showInputMessage="1" showErrorMessage="1" sqref="E5578">
      <formula1>0</formula1>
    </dataValidation>
    <dataValidation type="whole" operator="greaterThan" allowBlank="1" showInputMessage="1" showErrorMessage="1" sqref="A5579">
      <formula1>0</formula1>
    </dataValidation>
    <dataValidation type="list" allowBlank="1" showInputMessage="1" showErrorMessage="1" sqref="C5579">
      <formula1>UnidadesList</formula1>
    </dataValidation>
    <dataValidation type="decimal" operator="greaterThan" allowBlank="1" showInputMessage="1" showErrorMessage="1" sqref="D5579">
      <formula1>0</formula1>
    </dataValidation>
    <dataValidation type="decimal" operator="greaterThan" allowBlank="1" showInputMessage="1" showErrorMessage="1" sqref="E5579">
      <formula1>0</formula1>
    </dataValidation>
    <dataValidation type="whole" operator="greaterThan" allowBlank="1" showInputMessage="1" showErrorMessage="1" sqref="A5580">
      <formula1>0</formula1>
    </dataValidation>
    <dataValidation type="list" allowBlank="1" showInputMessage="1" showErrorMessage="1" sqref="C5580">
      <formula1>UnidadesList</formula1>
    </dataValidation>
    <dataValidation type="decimal" operator="greaterThan" allowBlank="1" showInputMessage="1" showErrorMessage="1" sqref="D5580">
      <formula1>0</formula1>
    </dataValidation>
    <dataValidation type="decimal" operator="greaterThan" allowBlank="1" showInputMessage="1" showErrorMessage="1" sqref="E5580">
      <formula1>0</formula1>
    </dataValidation>
    <dataValidation type="whole" operator="greaterThan" allowBlank="1" showInputMessage="1" showErrorMessage="1" sqref="A5581">
      <formula1>0</formula1>
    </dataValidation>
    <dataValidation type="list" allowBlank="1" showInputMessage="1" showErrorMessage="1" sqref="C5581">
      <formula1>UnidadesList</formula1>
    </dataValidation>
    <dataValidation type="decimal" operator="greaterThan" allowBlank="1" showInputMessage="1" showErrorMessage="1" sqref="D5581">
      <formula1>0</formula1>
    </dataValidation>
    <dataValidation type="decimal" operator="greaterThan" allowBlank="1" showInputMessage="1" showErrorMessage="1" sqref="E5581">
      <formula1>0</formula1>
    </dataValidation>
    <dataValidation type="whole" operator="greaterThan" allowBlank="1" showInputMessage="1" showErrorMessage="1" sqref="A5582">
      <formula1>0</formula1>
    </dataValidation>
    <dataValidation type="list" allowBlank="1" showInputMessage="1" showErrorMessage="1" sqref="C5582">
      <formula1>UnidadesList</formula1>
    </dataValidation>
    <dataValidation type="decimal" operator="greaterThan" allowBlank="1" showInputMessage="1" showErrorMessage="1" sqref="D5582">
      <formula1>0</formula1>
    </dataValidation>
    <dataValidation type="decimal" operator="greaterThan" allowBlank="1" showInputMessage="1" showErrorMessage="1" sqref="E5582">
      <formula1>0</formula1>
    </dataValidation>
    <dataValidation type="whole" operator="greaterThan" allowBlank="1" showInputMessage="1" showErrorMessage="1" sqref="A5583">
      <formula1>0</formula1>
    </dataValidation>
    <dataValidation type="list" allowBlank="1" showInputMessage="1" showErrorMessage="1" sqref="C5583">
      <formula1>UnidadesList</formula1>
    </dataValidation>
    <dataValidation type="decimal" operator="greaterThan" allowBlank="1" showInputMessage="1" showErrorMessage="1" sqref="D5583">
      <formula1>0</formula1>
    </dataValidation>
    <dataValidation type="decimal" operator="greaterThan" allowBlank="1" showInputMessage="1" showErrorMessage="1" sqref="E5583">
      <formula1>0</formula1>
    </dataValidation>
    <dataValidation type="whole" operator="greaterThan" allowBlank="1" showInputMessage="1" showErrorMessage="1" sqref="A5584">
      <formula1>0</formula1>
    </dataValidation>
    <dataValidation type="list" allowBlank="1" showInputMessage="1" showErrorMessage="1" sqref="C5584">
      <formula1>UnidadesList</formula1>
    </dataValidation>
    <dataValidation type="decimal" operator="greaterThan" allowBlank="1" showInputMessage="1" showErrorMessage="1" sqref="D5584">
      <formula1>0</formula1>
    </dataValidation>
    <dataValidation type="decimal" operator="greaterThan" allowBlank="1" showInputMessage="1" showErrorMessage="1" sqref="E5584">
      <formula1>0</formula1>
    </dataValidation>
    <dataValidation type="whole" operator="greaterThan" allowBlank="1" showInputMessage="1" showErrorMessage="1" sqref="A5585">
      <formula1>0</formula1>
    </dataValidation>
    <dataValidation type="list" allowBlank="1" showInputMessage="1" showErrorMessage="1" sqref="C5585">
      <formula1>UnidadesList</formula1>
    </dataValidation>
    <dataValidation type="decimal" operator="greaterThan" allowBlank="1" showInputMessage="1" showErrorMessage="1" sqref="D5585">
      <formula1>0</formula1>
    </dataValidation>
    <dataValidation type="decimal" operator="greaterThan" allowBlank="1" showInputMessage="1" showErrorMessage="1" sqref="E5585">
      <formula1>0</formula1>
    </dataValidation>
    <dataValidation type="whole" operator="greaterThan" allowBlank="1" showInputMessage="1" showErrorMessage="1" sqref="A5586">
      <formula1>0</formula1>
    </dataValidation>
    <dataValidation type="list" allowBlank="1" showInputMessage="1" showErrorMessage="1" sqref="C5586">
      <formula1>UnidadesList</formula1>
    </dataValidation>
    <dataValidation type="decimal" operator="greaterThan" allowBlank="1" showInputMessage="1" showErrorMessage="1" sqref="D5586">
      <formula1>0</formula1>
    </dataValidation>
    <dataValidation type="decimal" operator="greaterThan" allowBlank="1" showInputMessage="1" showErrorMessage="1" sqref="E5586">
      <formula1>0</formula1>
    </dataValidation>
    <dataValidation type="date" operator="lessThanOrEqual" allowBlank="1" showInputMessage="1" showErrorMessage="1" sqref="C5591">
      <formula1>C5593</formula1>
    </dataValidation>
    <dataValidation type="date" operator="greaterThanOrEqual" allowBlank="1" showInputMessage="1" showErrorMessage="1" sqref="C5593">
      <formula1>C5591</formula1>
    </dataValidation>
    <dataValidation type="list" allowBlank="1" showInputMessage="1" showErrorMessage="1" sqref="F559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59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59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59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597">
      <formula1>0</formula1>
    </dataValidation>
    <dataValidation type="list" allowBlank="1" showInputMessage="1" showErrorMessage="1" sqref="C5597">
      <formula1>UnidadesList</formula1>
    </dataValidation>
    <dataValidation type="decimal" operator="greaterThan" allowBlank="1" showInputMessage="1" showErrorMessage="1" sqref="D5597">
      <formula1>0</formula1>
    </dataValidation>
    <dataValidation type="decimal" operator="greaterThan" allowBlank="1" showInputMessage="1" showErrorMessage="1" sqref="E5597">
      <formula1>0</formula1>
    </dataValidation>
    <dataValidation type="whole" operator="greaterThan" allowBlank="1" showInputMessage="1" showErrorMessage="1" sqref="A5598">
      <formula1>0</formula1>
    </dataValidation>
    <dataValidation type="list" allowBlank="1" showInputMessage="1" showErrorMessage="1" sqref="C5598">
      <formula1>UnidadesList</formula1>
    </dataValidation>
    <dataValidation type="decimal" operator="greaterThan" allowBlank="1" showInputMessage="1" showErrorMessage="1" sqref="D5598">
      <formula1>0</formula1>
    </dataValidation>
    <dataValidation type="decimal" operator="greaterThan" allowBlank="1" showInputMessage="1" showErrorMessage="1" sqref="E5598">
      <formula1>0</formula1>
    </dataValidation>
    <dataValidation type="whole" operator="greaterThan" allowBlank="1" showInputMessage="1" showErrorMessage="1" sqref="A5599">
      <formula1>0</formula1>
    </dataValidation>
    <dataValidation type="list" allowBlank="1" showInputMessage="1" showErrorMessage="1" sqref="C5599">
      <formula1>UnidadesList</formula1>
    </dataValidation>
    <dataValidation type="decimal" operator="greaterThan" allowBlank="1" showInputMessage="1" showErrorMessage="1" sqref="D5599">
      <formula1>0</formula1>
    </dataValidation>
    <dataValidation type="decimal" operator="greaterThan" allowBlank="1" showInputMessage="1" showErrorMessage="1" sqref="E5599">
      <formula1>0</formula1>
    </dataValidation>
    <dataValidation type="whole" operator="greaterThan" allowBlank="1" showInputMessage="1" showErrorMessage="1" sqref="A5600">
      <formula1>0</formula1>
    </dataValidation>
    <dataValidation type="list" allowBlank="1" showInputMessage="1" showErrorMessage="1" sqref="C5600">
      <formula1>UnidadesList</formula1>
    </dataValidation>
    <dataValidation type="decimal" operator="greaterThan" allowBlank="1" showInputMessage="1" showErrorMessage="1" sqref="D5600">
      <formula1>0</formula1>
    </dataValidation>
    <dataValidation type="decimal" operator="greaterThan" allowBlank="1" showInputMessage="1" showErrorMessage="1" sqref="E5600">
      <formula1>0</formula1>
    </dataValidation>
    <dataValidation type="whole" operator="greaterThan" allowBlank="1" showInputMessage="1" showErrorMessage="1" sqref="A5601">
      <formula1>0</formula1>
    </dataValidation>
    <dataValidation type="list" allowBlank="1" showInputMessage="1" showErrorMessage="1" sqref="C5601">
      <formula1>UnidadesList</formula1>
    </dataValidation>
    <dataValidation type="decimal" operator="greaterThan" allowBlank="1" showInputMessage="1" showErrorMessage="1" sqref="D5601">
      <formula1>0</formula1>
    </dataValidation>
    <dataValidation type="decimal" operator="greaterThan" allowBlank="1" showInputMessage="1" showErrorMessage="1" sqref="E5601">
      <formula1>0</formula1>
    </dataValidation>
    <dataValidation type="whole" operator="greaterThan" allowBlank="1" showInputMessage="1" showErrorMessage="1" sqref="A5602">
      <formula1>0</formula1>
    </dataValidation>
    <dataValidation type="list" allowBlank="1" showInputMessage="1" showErrorMessage="1" sqref="C5602">
      <formula1>UnidadesList</formula1>
    </dataValidation>
    <dataValidation type="decimal" operator="greaterThan" allowBlank="1" showInputMessage="1" showErrorMessage="1" sqref="D5602">
      <formula1>0</formula1>
    </dataValidation>
    <dataValidation type="decimal" operator="greaterThan" allowBlank="1" showInputMessage="1" showErrorMessage="1" sqref="E5602">
      <formula1>0</formula1>
    </dataValidation>
    <dataValidation type="whole" operator="greaterThan" allowBlank="1" showInputMessage="1" showErrorMessage="1" sqref="A5603">
      <formula1>0</formula1>
    </dataValidation>
    <dataValidation type="list" allowBlank="1" showInputMessage="1" showErrorMessage="1" sqref="C5603">
      <formula1>UnidadesList</formula1>
    </dataValidation>
    <dataValidation type="decimal" operator="greaterThan" allowBlank="1" showInputMessage="1" showErrorMessage="1" sqref="D5603">
      <formula1>0</formula1>
    </dataValidation>
    <dataValidation type="decimal" operator="greaterThan" allowBlank="1" showInputMessage="1" showErrorMessage="1" sqref="E5603">
      <formula1>0</formula1>
    </dataValidation>
    <dataValidation type="whole" operator="greaterThan" allowBlank="1" showInputMessage="1" showErrorMessage="1" sqref="A5604">
      <formula1>0</formula1>
    </dataValidation>
    <dataValidation type="list" allowBlank="1" showInputMessage="1" showErrorMessage="1" sqref="C5604">
      <formula1>UnidadesList</formula1>
    </dataValidation>
    <dataValidation type="decimal" operator="greaterThan" allowBlank="1" showInputMessage="1" showErrorMessage="1" sqref="D5604">
      <formula1>0</formula1>
    </dataValidation>
    <dataValidation type="decimal" operator="greaterThan" allowBlank="1" showInputMessage="1" showErrorMessage="1" sqref="E5604">
      <formula1>0</formula1>
    </dataValidation>
    <dataValidation type="whole" operator="greaterThan" allowBlank="1" showInputMessage="1" showErrorMessage="1" sqref="A5605">
      <formula1>0</formula1>
    </dataValidation>
    <dataValidation type="list" allowBlank="1" showInputMessage="1" showErrorMessage="1" sqref="C5605">
      <formula1>UnidadesList</formula1>
    </dataValidation>
    <dataValidation type="decimal" operator="greaterThan" allowBlank="1" showInputMessage="1" showErrorMessage="1" sqref="D5605">
      <formula1>0</formula1>
    </dataValidation>
    <dataValidation type="decimal" operator="greaterThan" allowBlank="1" showInputMessage="1" showErrorMessage="1" sqref="E5605">
      <formula1>0</formula1>
    </dataValidation>
    <dataValidation type="whole" operator="greaterThan" allowBlank="1" showInputMessage="1" showErrorMessage="1" sqref="A5606">
      <formula1>0</formula1>
    </dataValidation>
    <dataValidation type="list" allowBlank="1" showInputMessage="1" showErrorMessage="1" sqref="C5606">
      <formula1>UnidadesList</formula1>
    </dataValidation>
    <dataValidation type="decimal" operator="greaterThan" allowBlank="1" showInputMessage="1" showErrorMessage="1" sqref="D5606">
      <formula1>0</formula1>
    </dataValidation>
    <dataValidation type="decimal" operator="greaterThan" allowBlank="1" showInputMessage="1" showErrorMessage="1" sqref="E5606">
      <formula1>0</formula1>
    </dataValidation>
    <dataValidation type="whole" operator="greaterThan" allowBlank="1" showInputMessage="1" showErrorMessage="1" sqref="A5607">
      <formula1>0</formula1>
    </dataValidation>
    <dataValidation type="list" allowBlank="1" showInputMessage="1" showErrorMessage="1" sqref="C5607">
      <formula1>UnidadesList</formula1>
    </dataValidation>
    <dataValidation type="decimal" operator="greaterThan" allowBlank="1" showInputMessage="1" showErrorMessage="1" sqref="D5607">
      <formula1>0</formula1>
    </dataValidation>
    <dataValidation type="decimal" operator="greaterThan" allowBlank="1" showInputMessage="1" showErrorMessage="1" sqref="E5607">
      <formula1>0</formula1>
    </dataValidation>
    <dataValidation type="date" operator="lessThanOrEqual" allowBlank="1" showInputMessage="1" showErrorMessage="1" sqref="C5612">
      <formula1>C5614</formula1>
    </dataValidation>
    <dataValidation type="date" operator="greaterThanOrEqual" allowBlank="1" showInputMessage="1" showErrorMessage="1" sqref="C5614">
      <formula1>C5612</formula1>
    </dataValidation>
    <dataValidation type="list" allowBlank="1" showInputMessage="1" showErrorMessage="1" sqref="F56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6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6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6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618">
      <formula1>0</formula1>
    </dataValidation>
    <dataValidation type="list" allowBlank="1" showInputMessage="1" showErrorMessage="1" sqref="C5618">
      <formula1>UnidadesList</formula1>
    </dataValidation>
    <dataValidation type="decimal" operator="greaterThan" allowBlank="1" showInputMessage="1" showErrorMessage="1" sqref="D5618">
      <formula1>0</formula1>
    </dataValidation>
    <dataValidation type="decimal" operator="greaterThan" allowBlank="1" showInputMessage="1" showErrorMessage="1" sqref="E5618">
      <formula1>0</formula1>
    </dataValidation>
    <dataValidation type="whole" operator="greaterThan" allowBlank="1" showInputMessage="1" showErrorMessage="1" sqref="A5619">
      <formula1>0</formula1>
    </dataValidation>
    <dataValidation type="list" allowBlank="1" showInputMessage="1" showErrorMessage="1" sqref="C5619">
      <formula1>UnidadesList</formula1>
    </dataValidation>
    <dataValidation type="decimal" operator="greaterThan" allowBlank="1" showInputMessage="1" showErrorMessage="1" sqref="D5619">
      <formula1>0</formula1>
    </dataValidation>
    <dataValidation type="decimal" operator="greaterThan" allowBlank="1" showInputMessage="1" showErrorMessage="1" sqref="E5619">
      <formula1>0</formula1>
    </dataValidation>
    <dataValidation type="whole" operator="greaterThan" allowBlank="1" showInputMessage="1" showErrorMessage="1" sqref="A5620">
      <formula1>0</formula1>
    </dataValidation>
    <dataValidation type="list" allowBlank="1" showInputMessage="1" showErrorMessage="1" sqref="C5620">
      <formula1>UnidadesList</formula1>
    </dataValidation>
    <dataValidation type="decimal" operator="greaterThan" allowBlank="1" showInputMessage="1" showErrorMessage="1" sqref="D5620">
      <formula1>0</formula1>
    </dataValidation>
    <dataValidation type="decimal" operator="greaterThan" allowBlank="1" showInputMessage="1" showErrorMessage="1" sqref="E5620">
      <formula1>0</formula1>
    </dataValidation>
    <dataValidation type="whole" operator="greaterThan" allowBlank="1" showInputMessage="1" showErrorMessage="1" sqref="A5621">
      <formula1>0</formula1>
    </dataValidation>
    <dataValidation type="list" allowBlank="1" showInputMessage="1" showErrorMessage="1" sqref="C5621">
      <formula1>UnidadesList</formula1>
    </dataValidation>
    <dataValidation type="decimal" operator="greaterThan" allowBlank="1" showInputMessage="1" showErrorMessage="1" sqref="D5621">
      <formula1>0</formula1>
    </dataValidation>
    <dataValidation type="decimal" operator="greaterThan" allowBlank="1" showInputMessage="1" showErrorMessage="1" sqref="E5621">
      <formula1>0</formula1>
    </dataValidation>
    <dataValidation type="whole" operator="greaterThan" allowBlank="1" showInputMessage="1" showErrorMessage="1" sqref="A5622">
      <formula1>0</formula1>
    </dataValidation>
    <dataValidation type="list" allowBlank="1" showInputMessage="1" showErrorMessage="1" sqref="C5622">
      <formula1>UnidadesList</formula1>
    </dataValidation>
    <dataValidation type="decimal" operator="greaterThan" allowBlank="1" showInputMessage="1" showErrorMessage="1" sqref="D5622">
      <formula1>0</formula1>
    </dataValidation>
    <dataValidation type="decimal" operator="greaterThan" allowBlank="1" showInputMessage="1" showErrorMessage="1" sqref="E5622">
      <formula1>0</formula1>
    </dataValidation>
    <dataValidation type="whole" operator="greaterThan" allowBlank="1" showInputMessage="1" showErrorMessage="1" sqref="A5623">
      <formula1>0</formula1>
    </dataValidation>
    <dataValidation type="list" allowBlank="1" showInputMessage="1" showErrorMessage="1" sqref="C5623">
      <formula1>UnidadesList</formula1>
    </dataValidation>
    <dataValidation type="decimal" operator="greaterThan" allowBlank="1" showInputMessage="1" showErrorMessage="1" sqref="D5623">
      <formula1>0</formula1>
    </dataValidation>
    <dataValidation type="decimal" operator="greaterThan" allowBlank="1" showInputMessage="1" showErrorMessage="1" sqref="E5623">
      <formula1>0</formula1>
    </dataValidation>
    <dataValidation type="whole" operator="greaterThan" allowBlank="1" showInputMessage="1" showErrorMessage="1" sqref="A5624">
      <formula1>0</formula1>
    </dataValidation>
    <dataValidation type="list" allowBlank="1" showInputMessage="1" showErrorMessage="1" sqref="C5624">
      <formula1>UnidadesList</formula1>
    </dataValidation>
    <dataValidation type="decimal" operator="greaterThan" allowBlank="1" showInputMessage="1" showErrorMessage="1" sqref="D5624">
      <formula1>0</formula1>
    </dataValidation>
    <dataValidation type="decimal" operator="greaterThan" allowBlank="1" showInputMessage="1" showErrorMessage="1" sqref="E5624">
      <formula1>0</formula1>
    </dataValidation>
    <dataValidation type="whole" operator="greaterThan" allowBlank="1" showInputMessage="1" showErrorMessage="1" sqref="A5625">
      <formula1>0</formula1>
    </dataValidation>
    <dataValidation type="list" allowBlank="1" showInputMessage="1" showErrorMessage="1" sqref="C5625">
      <formula1>UnidadesList</formula1>
    </dataValidation>
    <dataValidation type="decimal" operator="greaterThan" allowBlank="1" showInputMessage="1" showErrorMessage="1" sqref="D5625">
      <formula1>0</formula1>
    </dataValidation>
    <dataValidation type="decimal" operator="greaterThan" allowBlank="1" showInputMessage="1" showErrorMessage="1" sqref="E5625">
      <formula1>0</formula1>
    </dataValidation>
    <dataValidation type="whole" operator="greaterThan" allowBlank="1" showInputMessage="1" showErrorMessage="1" sqref="A5626">
      <formula1>0</formula1>
    </dataValidation>
    <dataValidation type="list" allowBlank="1" showInputMessage="1" showErrorMessage="1" sqref="C5626">
      <formula1>UnidadesList</formula1>
    </dataValidation>
    <dataValidation type="decimal" operator="greaterThan" allowBlank="1" showInputMessage="1" showErrorMessage="1" sqref="D5626">
      <formula1>0</formula1>
    </dataValidation>
    <dataValidation type="decimal" operator="greaterThan" allowBlank="1" showInputMessage="1" showErrorMessage="1" sqref="E5626">
      <formula1>0</formula1>
    </dataValidation>
    <dataValidation type="whole" operator="greaterThan" allowBlank="1" showInputMessage="1" showErrorMessage="1" sqref="A5627">
      <formula1>0</formula1>
    </dataValidation>
    <dataValidation type="list" allowBlank="1" showInputMessage="1" showErrorMessage="1" sqref="C5627">
      <formula1>UnidadesList</formula1>
    </dataValidation>
    <dataValidation type="decimal" operator="greaterThan" allowBlank="1" showInputMessage="1" showErrorMessage="1" sqref="D5627">
      <formula1>0</formula1>
    </dataValidation>
    <dataValidation type="decimal" operator="greaterThan" allowBlank="1" showInputMessage="1" showErrorMessage="1" sqref="E5627">
      <formula1>0</formula1>
    </dataValidation>
    <dataValidation type="whole" operator="greaterThan" allowBlank="1" showInputMessage="1" showErrorMessage="1" sqref="A5628">
      <formula1>0</formula1>
    </dataValidation>
    <dataValidation type="list" allowBlank="1" showInputMessage="1" showErrorMessage="1" sqref="C5628">
      <formula1>UnidadesList</formula1>
    </dataValidation>
    <dataValidation type="decimal" operator="greaterThan" allowBlank="1" showInputMessage="1" showErrorMessage="1" sqref="D5628">
      <formula1>0</formula1>
    </dataValidation>
    <dataValidation type="decimal" operator="greaterThan" allowBlank="1" showInputMessage="1" showErrorMessage="1" sqref="E5628">
      <formula1>0</formula1>
    </dataValidation>
    <dataValidation type="date" operator="lessThanOrEqual" allowBlank="1" showInputMessage="1" showErrorMessage="1" sqref="C5633">
      <formula1>C5635</formula1>
    </dataValidation>
    <dataValidation type="date" operator="greaterThanOrEqual" allowBlank="1" showInputMessage="1" showErrorMessage="1" sqref="C5635">
      <formula1>C5633</formula1>
    </dataValidation>
    <dataValidation type="list" allowBlank="1" showInputMessage="1" showErrorMessage="1" sqref="F563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63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63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63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639">
      <formula1>0</formula1>
    </dataValidation>
    <dataValidation type="list" allowBlank="1" showInputMessage="1" showErrorMessage="1" sqref="C5639">
      <formula1>UnidadesList</formula1>
    </dataValidation>
    <dataValidation type="decimal" operator="greaterThan" allowBlank="1" showInputMessage="1" showErrorMessage="1" sqref="D5639">
      <formula1>0</formula1>
    </dataValidation>
    <dataValidation type="decimal" operator="greaterThan" allowBlank="1" showInputMessage="1" showErrorMessage="1" sqref="E5639">
      <formula1>0</formula1>
    </dataValidation>
    <dataValidation type="whole" operator="greaterThan" allowBlank="1" showInputMessage="1" showErrorMessage="1" sqref="A5640">
      <formula1>0</formula1>
    </dataValidation>
    <dataValidation type="list" allowBlank="1" showInputMessage="1" showErrorMessage="1" sqref="C5640">
      <formula1>UnidadesList</formula1>
    </dataValidation>
    <dataValidation type="decimal" operator="greaterThan" allowBlank="1" showInputMessage="1" showErrorMessage="1" sqref="D5640">
      <formula1>0</formula1>
    </dataValidation>
    <dataValidation type="decimal" operator="greaterThan" allowBlank="1" showInputMessage="1" showErrorMessage="1" sqref="E5640">
      <formula1>0</formula1>
    </dataValidation>
    <dataValidation type="whole" operator="greaterThan" allowBlank="1" showInputMessage="1" showErrorMessage="1" sqref="A5641">
      <formula1>0</formula1>
    </dataValidation>
    <dataValidation type="list" allowBlank="1" showInputMessage="1" showErrorMessage="1" sqref="C5641">
      <formula1>UnidadesList</formula1>
    </dataValidation>
    <dataValidation type="decimal" operator="greaterThan" allowBlank="1" showInputMessage="1" showErrorMessage="1" sqref="D5641">
      <formula1>0</formula1>
    </dataValidation>
    <dataValidation type="decimal" operator="greaterThan" allowBlank="1" showInputMessage="1" showErrorMessage="1" sqref="E5641">
      <formula1>0</formula1>
    </dataValidation>
    <dataValidation type="whole" operator="greaterThan" allowBlank="1" showInputMessage="1" showErrorMessage="1" sqref="A5642">
      <formula1>0</formula1>
    </dataValidation>
    <dataValidation type="list" allowBlank="1" showInputMessage="1" showErrorMessage="1" sqref="C5642">
      <formula1>UnidadesList</formula1>
    </dataValidation>
    <dataValidation type="decimal" operator="greaterThan" allowBlank="1" showInputMessage="1" showErrorMessage="1" sqref="D5642">
      <formula1>0</formula1>
    </dataValidation>
    <dataValidation type="decimal" operator="greaterThan" allowBlank="1" showInputMessage="1" showErrorMessage="1" sqref="E5642">
      <formula1>0</formula1>
    </dataValidation>
    <dataValidation type="whole" operator="greaterThan" allowBlank="1" showInputMessage="1" showErrorMessage="1" sqref="A5643">
      <formula1>0</formula1>
    </dataValidation>
    <dataValidation type="list" allowBlank="1" showInputMessage="1" showErrorMessage="1" sqref="C5643">
      <formula1>UnidadesList</formula1>
    </dataValidation>
    <dataValidation type="decimal" operator="greaterThan" allowBlank="1" showInputMessage="1" showErrorMessage="1" sqref="D5643">
      <formula1>0</formula1>
    </dataValidation>
    <dataValidation type="decimal" operator="greaterThan" allowBlank="1" showInputMessage="1" showErrorMessage="1" sqref="E5643">
      <formula1>0</formula1>
    </dataValidation>
    <dataValidation type="whole" operator="greaterThan" allowBlank="1" showInputMessage="1" showErrorMessage="1" sqref="A5644">
      <formula1>0</formula1>
    </dataValidation>
    <dataValidation type="list" allowBlank="1" showInputMessage="1" showErrorMessage="1" sqref="C5644">
      <formula1>UnidadesList</formula1>
    </dataValidation>
    <dataValidation type="decimal" operator="greaterThan" allowBlank="1" showInputMessage="1" showErrorMessage="1" sqref="D5644">
      <formula1>0</formula1>
    </dataValidation>
    <dataValidation type="decimal" operator="greaterThan" allowBlank="1" showInputMessage="1" showErrorMessage="1" sqref="E5644">
      <formula1>0</formula1>
    </dataValidation>
    <dataValidation type="whole" operator="greaterThan" allowBlank="1" showInputMessage="1" showErrorMessage="1" sqref="A5645">
      <formula1>0</formula1>
    </dataValidation>
    <dataValidation type="list" allowBlank="1" showInputMessage="1" showErrorMessage="1" sqref="C5645">
      <formula1>UnidadesList</formula1>
    </dataValidation>
    <dataValidation type="decimal" operator="greaterThan" allowBlank="1" showInputMessage="1" showErrorMessage="1" sqref="D5645">
      <formula1>0</formula1>
    </dataValidation>
    <dataValidation type="decimal" operator="greaterThan" allowBlank="1" showInputMessage="1" showErrorMessage="1" sqref="E5645">
      <formula1>0</formula1>
    </dataValidation>
    <dataValidation type="whole" operator="greaterThan" allowBlank="1" showInputMessage="1" showErrorMessage="1" sqref="A5646">
      <formula1>0</formula1>
    </dataValidation>
    <dataValidation type="list" allowBlank="1" showInputMessage="1" showErrorMessage="1" sqref="C5646">
      <formula1>UnidadesList</formula1>
    </dataValidation>
    <dataValidation type="decimal" operator="greaterThan" allowBlank="1" showInputMessage="1" showErrorMessage="1" sqref="D5646">
      <formula1>0</formula1>
    </dataValidation>
    <dataValidation type="decimal" operator="greaterThan" allowBlank="1" showInputMessage="1" showErrorMessage="1" sqref="E5646">
      <formula1>0</formula1>
    </dataValidation>
    <dataValidation type="whole" operator="greaterThan" allowBlank="1" showInputMessage="1" showErrorMessage="1" sqref="A5647">
      <formula1>0</formula1>
    </dataValidation>
    <dataValidation type="list" allowBlank="1" showInputMessage="1" showErrorMessage="1" sqref="C5647">
      <formula1>UnidadesList</formula1>
    </dataValidation>
    <dataValidation type="decimal" operator="greaterThan" allowBlank="1" showInputMessage="1" showErrorMessage="1" sqref="D5647">
      <formula1>0</formula1>
    </dataValidation>
    <dataValidation type="decimal" operator="greaterThan" allowBlank="1" showInputMessage="1" showErrorMessage="1" sqref="E5647">
      <formula1>0</formula1>
    </dataValidation>
    <dataValidation type="whole" operator="greaterThan" allowBlank="1" showInputMessage="1" showErrorMessage="1" sqref="A5648">
      <formula1>0</formula1>
    </dataValidation>
    <dataValidation type="list" allowBlank="1" showInputMessage="1" showErrorMessage="1" sqref="C5648">
      <formula1>UnidadesList</formula1>
    </dataValidation>
    <dataValidation type="decimal" operator="greaterThan" allowBlank="1" showInputMessage="1" showErrorMessage="1" sqref="D5648">
      <formula1>0</formula1>
    </dataValidation>
    <dataValidation type="decimal" operator="greaterThan" allowBlank="1" showInputMessage="1" showErrorMessage="1" sqref="E5648">
      <formula1>0</formula1>
    </dataValidation>
    <dataValidation type="whole" operator="greaterThan" allowBlank="1" showInputMessage="1" showErrorMessage="1" sqref="A5649">
      <formula1>0</formula1>
    </dataValidation>
    <dataValidation type="list" allowBlank="1" showInputMessage="1" showErrorMessage="1" sqref="C5649">
      <formula1>UnidadesList</formula1>
    </dataValidation>
    <dataValidation type="decimal" operator="greaterThan" allowBlank="1" showInputMessage="1" showErrorMessage="1" sqref="D5649">
      <formula1>0</formula1>
    </dataValidation>
    <dataValidation type="decimal" operator="greaterThan" allowBlank="1" showInputMessage="1" showErrorMessage="1" sqref="E5649">
      <formula1>0</formula1>
    </dataValidation>
    <dataValidation type="date" operator="lessThanOrEqual" allowBlank="1" showInputMessage="1" showErrorMessage="1" sqref="C5654">
      <formula1>C5656</formula1>
    </dataValidation>
    <dataValidation type="date" operator="greaterThanOrEqual" allowBlank="1" showInputMessage="1" showErrorMessage="1" sqref="C5656">
      <formula1>C5654</formula1>
    </dataValidation>
    <dataValidation type="list" allowBlank="1" showInputMessage="1" showErrorMessage="1" sqref="F56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6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6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6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660">
      <formula1>0</formula1>
    </dataValidation>
    <dataValidation type="list" allowBlank="1" showInputMessage="1" showErrorMessage="1" sqref="C5660">
      <formula1>UnidadesList</formula1>
    </dataValidation>
    <dataValidation type="decimal" operator="greaterThan" allowBlank="1" showInputMessage="1" showErrorMessage="1" sqref="D5660">
      <formula1>0</formula1>
    </dataValidation>
    <dataValidation type="decimal" operator="greaterThan" allowBlank="1" showInputMessage="1" showErrorMessage="1" sqref="E5660">
      <formula1>0</formula1>
    </dataValidation>
    <dataValidation type="whole" operator="greaterThan" allowBlank="1" showInputMessage="1" showErrorMessage="1" sqref="A5661">
      <formula1>0</formula1>
    </dataValidation>
    <dataValidation type="list" allowBlank="1" showInputMessage="1" showErrorMessage="1" sqref="C5661">
      <formula1>UnidadesList</formula1>
    </dataValidation>
    <dataValidation type="decimal" operator="greaterThan" allowBlank="1" showInputMessage="1" showErrorMessage="1" sqref="D5661">
      <formula1>0</formula1>
    </dataValidation>
    <dataValidation type="decimal" operator="greaterThan" allowBlank="1" showInputMessage="1" showErrorMessage="1" sqref="E5661">
      <formula1>0</formula1>
    </dataValidation>
    <dataValidation type="whole" operator="greaterThan" allowBlank="1" showInputMessage="1" showErrorMessage="1" sqref="A5662">
      <formula1>0</formula1>
    </dataValidation>
    <dataValidation type="list" allowBlank="1" showInputMessage="1" showErrorMessage="1" sqref="C5662">
      <formula1>UnidadesList</formula1>
    </dataValidation>
    <dataValidation type="decimal" operator="greaterThan" allowBlank="1" showInputMessage="1" showErrorMessage="1" sqref="D5662">
      <formula1>0</formula1>
    </dataValidation>
    <dataValidation type="decimal" operator="greaterThan" allowBlank="1" showInputMessage="1" showErrorMessage="1" sqref="E5662">
      <formula1>0</formula1>
    </dataValidation>
    <dataValidation type="whole" operator="greaterThan" allowBlank="1" showInputMessage="1" showErrorMessage="1" sqref="A5663">
      <formula1>0</formula1>
    </dataValidation>
    <dataValidation type="list" allowBlank="1" showInputMessage="1" showErrorMessage="1" sqref="C5663">
      <formula1>UnidadesList</formula1>
    </dataValidation>
    <dataValidation type="decimal" operator="greaterThan" allowBlank="1" showInputMessage="1" showErrorMessage="1" sqref="D5663">
      <formula1>0</formula1>
    </dataValidation>
    <dataValidation type="decimal" operator="greaterThan" allowBlank="1" showInputMessage="1" showErrorMessage="1" sqref="E5663">
      <formula1>0</formula1>
    </dataValidation>
    <dataValidation type="whole" operator="greaterThan" allowBlank="1" showInputMessage="1" showErrorMessage="1" sqref="A5664">
      <formula1>0</formula1>
    </dataValidation>
    <dataValidation type="list" allowBlank="1" showInputMessage="1" showErrorMessage="1" sqref="C5664">
      <formula1>UnidadesList</formula1>
    </dataValidation>
    <dataValidation type="decimal" operator="greaterThan" allowBlank="1" showInputMessage="1" showErrorMessage="1" sqref="D5664">
      <formula1>0</formula1>
    </dataValidation>
    <dataValidation type="decimal" operator="greaterThan" allowBlank="1" showInputMessage="1" showErrorMessage="1" sqref="E5664">
      <formula1>0</formula1>
    </dataValidation>
    <dataValidation type="whole" operator="greaterThan" allowBlank="1" showInputMessage="1" showErrorMessage="1" sqref="A5665">
      <formula1>0</formula1>
    </dataValidation>
    <dataValidation type="list" allowBlank="1" showInputMessage="1" showErrorMessage="1" sqref="C5665">
      <formula1>UnidadesList</formula1>
    </dataValidation>
    <dataValidation type="decimal" operator="greaterThan" allowBlank="1" showInputMessage="1" showErrorMessage="1" sqref="D5665">
      <formula1>0</formula1>
    </dataValidation>
    <dataValidation type="decimal" operator="greaterThan" allowBlank="1" showInputMessage="1" showErrorMessage="1" sqref="E5665">
      <formula1>0</formula1>
    </dataValidation>
    <dataValidation type="whole" operator="greaterThan" allowBlank="1" showInputMessage="1" showErrorMessage="1" sqref="A5666">
      <formula1>0</formula1>
    </dataValidation>
    <dataValidation type="list" allowBlank="1" showInputMessage="1" showErrorMessage="1" sqref="C5666">
      <formula1>UnidadesList</formula1>
    </dataValidation>
    <dataValidation type="decimal" operator="greaterThan" allowBlank="1" showInputMessage="1" showErrorMessage="1" sqref="D5666">
      <formula1>0</formula1>
    </dataValidation>
    <dataValidation type="decimal" operator="greaterThan" allowBlank="1" showInputMessage="1" showErrorMessage="1" sqref="E5666">
      <formula1>0</formula1>
    </dataValidation>
    <dataValidation type="whole" operator="greaterThan" allowBlank="1" showInputMessage="1" showErrorMessage="1" sqref="A5667">
      <formula1>0</formula1>
    </dataValidation>
    <dataValidation type="list" allowBlank="1" showInputMessage="1" showErrorMessage="1" sqref="C5667">
      <formula1>UnidadesList</formula1>
    </dataValidation>
    <dataValidation type="decimal" operator="greaterThan" allowBlank="1" showInputMessage="1" showErrorMessage="1" sqref="D5667">
      <formula1>0</formula1>
    </dataValidation>
    <dataValidation type="decimal" operator="greaterThan" allowBlank="1" showInputMessage="1" showErrorMessage="1" sqref="E5667">
      <formula1>0</formula1>
    </dataValidation>
    <dataValidation type="whole" operator="greaterThan" allowBlank="1" showInputMessage="1" showErrorMessage="1" sqref="A5668">
      <formula1>0</formula1>
    </dataValidation>
    <dataValidation type="list" allowBlank="1" showInputMessage="1" showErrorMessage="1" sqref="C5668">
      <formula1>UnidadesList</formula1>
    </dataValidation>
    <dataValidation type="decimal" operator="greaterThan" allowBlank="1" showInputMessage="1" showErrorMessage="1" sqref="D5668">
      <formula1>0</formula1>
    </dataValidation>
    <dataValidation type="decimal" operator="greaterThan" allowBlank="1" showInputMessage="1" showErrorMessage="1" sqref="E5668">
      <formula1>0</formula1>
    </dataValidation>
    <dataValidation type="whole" operator="greaterThan" allowBlank="1" showInputMessage="1" showErrorMessage="1" sqref="A5669">
      <formula1>0</formula1>
    </dataValidation>
    <dataValidation type="list" allowBlank="1" showInputMessage="1" showErrorMessage="1" sqref="C5669">
      <formula1>UnidadesList</formula1>
    </dataValidation>
    <dataValidation type="decimal" operator="greaterThan" allowBlank="1" showInputMessage="1" showErrorMessage="1" sqref="D5669">
      <formula1>0</formula1>
    </dataValidation>
    <dataValidation type="decimal" operator="greaterThan" allowBlank="1" showInputMessage="1" showErrorMessage="1" sqref="E5669">
      <formula1>0</formula1>
    </dataValidation>
    <dataValidation type="whole" operator="greaterThan" allowBlank="1" showInputMessage="1" showErrorMessage="1" sqref="A5670">
      <formula1>0</formula1>
    </dataValidation>
    <dataValidation type="list" allowBlank="1" showInputMessage="1" showErrorMessage="1" sqref="C5670">
      <formula1>UnidadesList</formula1>
    </dataValidation>
    <dataValidation type="decimal" operator="greaterThan" allowBlank="1" showInputMessage="1" showErrorMessage="1" sqref="D5670">
      <formula1>0</formula1>
    </dataValidation>
    <dataValidation type="decimal" operator="greaterThan" allowBlank="1" showInputMessage="1" showErrorMessage="1" sqref="E5670">
      <formula1>0</formula1>
    </dataValidation>
    <dataValidation type="date" operator="lessThanOrEqual" allowBlank="1" showInputMessage="1" showErrorMessage="1" sqref="C5675">
      <formula1>C5677</formula1>
    </dataValidation>
    <dataValidation type="date" operator="greaterThanOrEqual" allowBlank="1" showInputMessage="1" showErrorMessage="1" sqref="C5677">
      <formula1>C5675</formula1>
    </dataValidation>
    <dataValidation type="list" allowBlank="1" showInputMessage="1" showErrorMessage="1" sqref="F56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6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6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6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681">
      <formula1>0</formula1>
    </dataValidation>
    <dataValidation type="list" allowBlank="1" showInputMessage="1" showErrorMessage="1" sqref="C5681">
      <formula1>UnidadesList</formula1>
    </dataValidation>
    <dataValidation type="decimal" operator="greaterThan" allowBlank="1" showInputMessage="1" showErrorMessage="1" sqref="D5681">
      <formula1>0</formula1>
    </dataValidation>
    <dataValidation type="decimal" operator="greaterThan" allowBlank="1" showInputMessage="1" showErrorMessage="1" sqref="E5681">
      <formula1>0</formula1>
    </dataValidation>
    <dataValidation type="whole" operator="greaterThan" allowBlank="1" showInputMessage="1" showErrorMessage="1" sqref="A5682">
      <formula1>0</formula1>
    </dataValidation>
    <dataValidation type="list" allowBlank="1" showInputMessage="1" showErrorMessage="1" sqref="C5682">
      <formula1>UnidadesList</formula1>
    </dataValidation>
    <dataValidation type="decimal" operator="greaterThan" allowBlank="1" showInputMessage="1" showErrorMessage="1" sqref="D5682">
      <formula1>0</formula1>
    </dataValidation>
    <dataValidation type="decimal" operator="greaterThan" allowBlank="1" showInputMessage="1" showErrorMessage="1" sqref="E5682">
      <formula1>0</formula1>
    </dataValidation>
    <dataValidation type="whole" operator="greaterThan" allowBlank="1" showInputMessage="1" showErrorMessage="1" sqref="A5683">
      <formula1>0</formula1>
    </dataValidation>
    <dataValidation type="list" allowBlank="1" showInputMessage="1" showErrorMessage="1" sqref="C5683">
      <formula1>UnidadesList</formula1>
    </dataValidation>
    <dataValidation type="decimal" operator="greaterThan" allowBlank="1" showInputMessage="1" showErrorMessage="1" sqref="D5683">
      <formula1>0</formula1>
    </dataValidation>
    <dataValidation type="decimal" operator="greaterThan" allowBlank="1" showInputMessage="1" showErrorMessage="1" sqref="E5683">
      <formula1>0</formula1>
    </dataValidation>
    <dataValidation type="whole" operator="greaterThan" allowBlank="1" showInputMessage="1" showErrorMessage="1" sqref="A5684">
      <formula1>0</formula1>
    </dataValidation>
    <dataValidation type="list" allowBlank="1" showInputMessage="1" showErrorMessage="1" sqref="C5684">
      <formula1>UnidadesList</formula1>
    </dataValidation>
    <dataValidation type="decimal" operator="greaterThan" allowBlank="1" showInputMessage="1" showErrorMessage="1" sqref="D5684">
      <formula1>0</formula1>
    </dataValidation>
    <dataValidation type="decimal" operator="greaterThan" allowBlank="1" showInputMessage="1" showErrorMessage="1" sqref="E5684">
      <formula1>0</formula1>
    </dataValidation>
    <dataValidation type="whole" operator="greaterThan" allowBlank="1" showInputMessage="1" showErrorMessage="1" sqref="A5685">
      <formula1>0</formula1>
    </dataValidation>
    <dataValidation type="list" allowBlank="1" showInputMessage="1" showErrorMessage="1" sqref="C5685">
      <formula1>UnidadesList</formula1>
    </dataValidation>
    <dataValidation type="decimal" operator="greaterThan" allowBlank="1" showInputMessage="1" showErrorMessage="1" sqref="D5685">
      <formula1>0</formula1>
    </dataValidation>
    <dataValidation type="decimal" operator="greaterThan" allowBlank="1" showInputMessage="1" showErrorMessage="1" sqref="E5685">
      <formula1>0</formula1>
    </dataValidation>
    <dataValidation type="whole" operator="greaterThan" allowBlank="1" showInputMessage="1" showErrorMessage="1" sqref="A5686">
      <formula1>0</formula1>
    </dataValidation>
    <dataValidation type="list" allowBlank="1" showInputMessage="1" showErrorMessage="1" sqref="C5686">
      <formula1>UnidadesList</formula1>
    </dataValidation>
    <dataValidation type="decimal" operator="greaterThan" allowBlank="1" showInputMessage="1" showErrorMessage="1" sqref="D5686">
      <formula1>0</formula1>
    </dataValidation>
    <dataValidation type="decimal" operator="greaterThan" allowBlank="1" showInputMessage="1" showErrorMessage="1" sqref="E5686">
      <formula1>0</formula1>
    </dataValidation>
    <dataValidation type="whole" operator="greaterThan" allowBlank="1" showInputMessage="1" showErrorMessage="1" sqref="A5687">
      <formula1>0</formula1>
    </dataValidation>
    <dataValidation type="list" allowBlank="1" showInputMessage="1" showErrorMessage="1" sqref="C5687">
      <formula1>UnidadesList</formula1>
    </dataValidation>
    <dataValidation type="decimal" operator="greaterThan" allowBlank="1" showInputMessage="1" showErrorMessage="1" sqref="D5687">
      <formula1>0</formula1>
    </dataValidation>
    <dataValidation type="decimal" operator="greaterThan" allowBlank="1" showInputMessage="1" showErrorMessage="1" sqref="E5687">
      <formula1>0</formula1>
    </dataValidation>
    <dataValidation type="whole" operator="greaterThan" allowBlank="1" showInputMessage="1" showErrorMessage="1" sqref="A5688">
      <formula1>0</formula1>
    </dataValidation>
    <dataValidation type="list" allowBlank="1" showInputMessage="1" showErrorMessage="1" sqref="C5688">
      <formula1>UnidadesList</formula1>
    </dataValidation>
    <dataValidation type="decimal" operator="greaterThan" allowBlank="1" showInputMessage="1" showErrorMessage="1" sqref="D5688">
      <formula1>0</formula1>
    </dataValidation>
    <dataValidation type="decimal" operator="greaterThan" allowBlank="1" showInputMessage="1" showErrorMessage="1" sqref="E5688">
      <formula1>0</formula1>
    </dataValidation>
    <dataValidation type="whole" operator="greaterThan" allowBlank="1" showInputMessage="1" showErrorMessage="1" sqref="A5689">
      <formula1>0</formula1>
    </dataValidation>
    <dataValidation type="list" allowBlank="1" showInputMessage="1" showErrorMessage="1" sqref="C5689">
      <formula1>UnidadesList</formula1>
    </dataValidation>
    <dataValidation type="decimal" operator="greaterThan" allowBlank="1" showInputMessage="1" showErrorMessage="1" sqref="D5689">
      <formula1>0</formula1>
    </dataValidation>
    <dataValidation type="decimal" operator="greaterThan" allowBlank="1" showInputMessage="1" showErrorMessage="1" sqref="E5689">
      <formula1>0</formula1>
    </dataValidation>
    <dataValidation type="whole" operator="greaterThan" allowBlank="1" showInputMessage="1" showErrorMessage="1" sqref="A5690">
      <formula1>0</formula1>
    </dataValidation>
    <dataValidation type="list" allowBlank="1" showInputMessage="1" showErrorMessage="1" sqref="C5690">
      <formula1>UnidadesList</formula1>
    </dataValidation>
    <dataValidation type="decimal" operator="greaterThan" allowBlank="1" showInputMessage="1" showErrorMessage="1" sqref="D5690">
      <formula1>0</formula1>
    </dataValidation>
    <dataValidation type="decimal" operator="greaterThan" allowBlank="1" showInputMessage="1" showErrorMessage="1" sqref="E5690">
      <formula1>0</formula1>
    </dataValidation>
    <dataValidation type="whole" operator="greaterThan" allowBlank="1" showInputMessage="1" showErrorMessage="1" sqref="A5691">
      <formula1>0</formula1>
    </dataValidation>
    <dataValidation type="list" allowBlank="1" showInputMessage="1" showErrorMessage="1" sqref="C5691">
      <formula1>UnidadesList</formula1>
    </dataValidation>
    <dataValidation type="decimal" operator="greaterThan" allowBlank="1" showInputMessage="1" showErrorMessage="1" sqref="D5691">
      <formula1>0</formula1>
    </dataValidation>
    <dataValidation type="decimal" operator="greaterThan" allowBlank="1" showInputMessage="1" showErrorMessage="1" sqref="E5691">
      <formula1>0</formula1>
    </dataValidation>
    <dataValidation type="date" operator="lessThanOrEqual" allowBlank="1" showInputMessage="1" showErrorMessage="1" sqref="C5696">
      <formula1>C5698</formula1>
    </dataValidation>
    <dataValidation type="date" operator="greaterThanOrEqual" allowBlank="1" showInputMessage="1" showErrorMessage="1" sqref="C5698">
      <formula1>C5696</formula1>
    </dataValidation>
    <dataValidation type="list" allowBlank="1" showInputMessage="1" showErrorMessage="1" sqref="F569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69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69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69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702">
      <formula1>0</formula1>
    </dataValidation>
    <dataValidation type="list" allowBlank="1" showInputMessage="1" showErrorMessage="1" sqref="C5702">
      <formula1>UnidadesList</formula1>
    </dataValidation>
    <dataValidation type="decimal" operator="greaterThan" allowBlank="1" showInputMessage="1" showErrorMessage="1" sqref="D5702">
      <formula1>0</formula1>
    </dataValidation>
    <dataValidation type="decimal" operator="greaterThan" allowBlank="1" showInputMessage="1" showErrorMessage="1" sqref="E5702">
      <formula1>0</formula1>
    </dataValidation>
    <dataValidation type="whole" operator="greaterThan" allowBlank="1" showInputMessage="1" showErrorMessage="1" sqref="A5703">
      <formula1>0</formula1>
    </dataValidation>
    <dataValidation type="list" allowBlank="1" showInputMessage="1" showErrorMessage="1" sqref="C5703">
      <formula1>UnidadesList</formula1>
    </dataValidation>
    <dataValidation type="decimal" operator="greaterThan" allowBlank="1" showInputMessage="1" showErrorMessage="1" sqref="D5703">
      <formula1>0</formula1>
    </dataValidation>
    <dataValidation type="decimal" operator="greaterThan" allowBlank="1" showInputMessage="1" showErrorMessage="1" sqref="E5703">
      <formula1>0</formula1>
    </dataValidation>
    <dataValidation type="whole" operator="greaterThan" allowBlank="1" showInputMessage="1" showErrorMessage="1" sqref="A5704">
      <formula1>0</formula1>
    </dataValidation>
    <dataValidation type="list" allowBlank="1" showInputMessage="1" showErrorMessage="1" sqref="C5704">
      <formula1>UnidadesList</formula1>
    </dataValidation>
    <dataValidation type="decimal" operator="greaterThan" allowBlank="1" showInputMessage="1" showErrorMessage="1" sqref="D5704">
      <formula1>0</formula1>
    </dataValidation>
    <dataValidation type="decimal" operator="greaterThan" allowBlank="1" showInputMessage="1" showErrorMessage="1" sqref="E5704">
      <formula1>0</formula1>
    </dataValidation>
    <dataValidation type="date" operator="lessThanOrEqual" allowBlank="1" showInputMessage="1" showErrorMessage="1" sqref="C5709">
      <formula1>C5711</formula1>
    </dataValidation>
    <dataValidation type="date" operator="greaterThanOrEqual" allowBlank="1" showInputMessage="1" showErrorMessage="1" sqref="C5711">
      <formula1>C5709</formula1>
    </dataValidation>
    <dataValidation type="list" allowBlank="1" showInputMessage="1" showErrorMessage="1" sqref="F570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71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71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71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715">
      <formula1>0</formula1>
    </dataValidation>
    <dataValidation type="list" allowBlank="1" showInputMessage="1" showErrorMessage="1" sqref="C5715">
      <formula1>UnidadesList</formula1>
    </dataValidation>
    <dataValidation type="decimal" operator="greaterThan" allowBlank="1" showInputMessage="1" showErrorMessage="1" sqref="D5715">
      <formula1>0</formula1>
    </dataValidation>
    <dataValidation type="decimal" operator="greaterThan" allowBlank="1" showInputMessage="1" showErrorMessage="1" sqref="E5715">
      <formula1>0</formula1>
    </dataValidation>
    <dataValidation type="whole" operator="greaterThan" allowBlank="1" showInputMessage="1" showErrorMessage="1" sqref="A5716">
      <formula1>0</formula1>
    </dataValidation>
    <dataValidation type="list" allowBlank="1" showInputMessage="1" showErrorMessage="1" sqref="C5716">
      <formula1>UnidadesList</formula1>
    </dataValidation>
    <dataValidation type="decimal" operator="greaterThan" allowBlank="1" showInputMessage="1" showErrorMessage="1" sqref="D5716">
      <formula1>0</formula1>
    </dataValidation>
    <dataValidation type="decimal" operator="greaterThan" allowBlank="1" showInputMessage="1" showErrorMessage="1" sqref="E5716">
      <formula1>0</formula1>
    </dataValidation>
    <dataValidation type="whole" operator="greaterThan" allowBlank="1" showInputMessage="1" showErrorMessage="1" sqref="A5717">
      <formula1>0</formula1>
    </dataValidation>
    <dataValidation type="list" allowBlank="1" showInputMessage="1" showErrorMessage="1" sqref="C5717">
      <formula1>UnidadesList</formula1>
    </dataValidation>
    <dataValidation type="decimal" operator="greaterThan" allowBlank="1" showInputMessage="1" showErrorMessage="1" sqref="D5717">
      <formula1>0</formula1>
    </dataValidation>
    <dataValidation type="decimal" operator="greaterThan" allowBlank="1" showInputMessage="1" showErrorMessage="1" sqref="E5717">
      <formula1>0</formula1>
    </dataValidation>
    <dataValidation type="date" operator="lessThanOrEqual" allowBlank="1" showInputMessage="1" showErrorMessage="1" sqref="C5722">
      <formula1>C5724</formula1>
    </dataValidation>
    <dataValidation type="date" operator="greaterThanOrEqual" allowBlank="1" showInputMessage="1" showErrorMessage="1" sqref="C5724">
      <formula1>C5722</formula1>
    </dataValidation>
    <dataValidation type="list" allowBlank="1" showInputMessage="1" showErrorMessage="1" sqref="F572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72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72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72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728">
      <formula1>0</formula1>
    </dataValidation>
    <dataValidation type="list" allowBlank="1" showInputMessage="1" showErrorMessage="1" sqref="C5728">
      <formula1>UnidadesList</formula1>
    </dataValidation>
    <dataValidation type="decimal" operator="greaterThan" allowBlank="1" showInputMessage="1" showErrorMessage="1" sqref="D5728">
      <formula1>0</formula1>
    </dataValidation>
    <dataValidation type="decimal" operator="greaterThan" allowBlank="1" showInputMessage="1" showErrorMessage="1" sqref="E5728">
      <formula1>0</formula1>
    </dataValidation>
    <dataValidation type="whole" operator="greaterThan" allowBlank="1" showInputMessage="1" showErrorMessage="1" sqref="A5729">
      <formula1>0</formula1>
    </dataValidation>
    <dataValidation type="list" allowBlank="1" showInputMessage="1" showErrorMessage="1" sqref="C5729">
      <formula1>UnidadesList</formula1>
    </dataValidation>
    <dataValidation type="decimal" operator="greaterThan" allowBlank="1" showInputMessage="1" showErrorMessage="1" sqref="D5729">
      <formula1>0</formula1>
    </dataValidation>
    <dataValidation type="decimal" operator="greaterThan" allowBlank="1" showInputMessage="1" showErrorMessage="1" sqref="E5729">
      <formula1>0</formula1>
    </dataValidation>
    <dataValidation type="whole" operator="greaterThan" allowBlank="1" showInputMessage="1" showErrorMessage="1" sqref="A5730">
      <formula1>0</formula1>
    </dataValidation>
    <dataValidation type="list" allowBlank="1" showInputMessage="1" showErrorMessage="1" sqref="C5730">
      <formula1>UnidadesList</formula1>
    </dataValidation>
    <dataValidation type="decimal" operator="greaterThan" allowBlank="1" showInputMessage="1" showErrorMessage="1" sqref="D5730">
      <formula1>0</formula1>
    </dataValidation>
    <dataValidation type="decimal" operator="greaterThan" allowBlank="1" showInputMessage="1" showErrorMessage="1" sqref="E5730">
      <formula1>0</formula1>
    </dataValidation>
    <dataValidation type="whole" operator="greaterThan" allowBlank="1" showInputMessage="1" showErrorMessage="1" sqref="A5731">
      <formula1>0</formula1>
    </dataValidation>
    <dataValidation type="list" allowBlank="1" showInputMessage="1" showErrorMessage="1" sqref="C5731">
      <formula1>UnidadesList</formula1>
    </dataValidation>
    <dataValidation type="decimal" operator="greaterThan" allowBlank="1" showInputMessage="1" showErrorMessage="1" sqref="D5731">
      <formula1>0</formula1>
    </dataValidation>
    <dataValidation type="decimal" operator="greaterThan" allowBlank="1" showInputMessage="1" showErrorMessage="1" sqref="E5731">
      <formula1>0</formula1>
    </dataValidation>
    <dataValidation type="whole" operator="greaterThan" allowBlank="1" showInputMessage="1" showErrorMessage="1" sqref="A5732">
      <formula1>0</formula1>
    </dataValidation>
    <dataValidation type="list" allowBlank="1" showInputMessage="1" showErrorMessage="1" sqref="C5732">
      <formula1>UnidadesList</formula1>
    </dataValidation>
    <dataValidation type="decimal" operator="greaterThan" allowBlank="1" showInputMessage="1" showErrorMessage="1" sqref="D5732">
      <formula1>0</formula1>
    </dataValidation>
    <dataValidation type="decimal" operator="greaterThan" allowBlank="1" showInputMessage="1" showErrorMessage="1" sqref="E5732">
      <formula1>0</formula1>
    </dataValidation>
    <dataValidation type="whole" operator="greaterThan" allowBlank="1" showInputMessage="1" showErrorMessage="1" sqref="A5733">
      <formula1>0</formula1>
    </dataValidation>
    <dataValidation type="list" allowBlank="1" showInputMessage="1" showErrorMessage="1" sqref="C5733">
      <formula1>UnidadesList</formula1>
    </dataValidation>
    <dataValidation type="decimal" operator="greaterThan" allowBlank="1" showInputMessage="1" showErrorMessage="1" sqref="D5733">
      <formula1>0</formula1>
    </dataValidation>
    <dataValidation type="decimal" operator="greaterThan" allowBlank="1" showInputMessage="1" showErrorMessage="1" sqref="E5733">
      <formula1>0</formula1>
    </dataValidation>
    <dataValidation type="whole" operator="greaterThan" allowBlank="1" showInputMessage="1" showErrorMessage="1" sqref="A5734">
      <formula1>0</formula1>
    </dataValidation>
    <dataValidation type="list" allowBlank="1" showInputMessage="1" showErrorMessage="1" sqref="C5734">
      <formula1>UnidadesList</formula1>
    </dataValidation>
    <dataValidation type="decimal" operator="greaterThan" allowBlank="1" showInputMessage="1" showErrorMessage="1" sqref="D5734">
      <formula1>0</formula1>
    </dataValidation>
    <dataValidation type="decimal" operator="greaterThan" allowBlank="1" showInputMessage="1" showErrorMessage="1" sqref="E5734">
      <formula1>0</formula1>
    </dataValidation>
    <dataValidation type="whole" operator="greaterThan" allowBlank="1" showInputMessage="1" showErrorMessage="1" sqref="A5735">
      <formula1>0</formula1>
    </dataValidation>
    <dataValidation type="list" allowBlank="1" showInputMessage="1" showErrorMessage="1" sqref="C5735">
      <formula1>UnidadesList</formula1>
    </dataValidation>
    <dataValidation type="decimal" operator="greaterThan" allowBlank="1" showInputMessage="1" showErrorMessage="1" sqref="D5735">
      <formula1>0</formula1>
    </dataValidation>
    <dataValidation type="decimal" operator="greaterThan" allowBlank="1" showInputMessage="1" showErrorMessage="1" sqref="E5735">
      <formula1>0</formula1>
    </dataValidation>
    <dataValidation type="whole" operator="greaterThan" allowBlank="1" showInputMessage="1" showErrorMessage="1" sqref="A5736">
      <formula1>0</formula1>
    </dataValidation>
    <dataValidation type="list" allowBlank="1" showInputMessage="1" showErrorMessage="1" sqref="C5736">
      <formula1>UnidadesList</formula1>
    </dataValidation>
    <dataValidation type="decimal" operator="greaterThan" allowBlank="1" showInputMessage="1" showErrorMessage="1" sqref="D5736">
      <formula1>0</formula1>
    </dataValidation>
    <dataValidation type="decimal" operator="greaterThan" allowBlank="1" showInputMessage="1" showErrorMessage="1" sqref="E5736">
      <formula1>0</formula1>
    </dataValidation>
    <dataValidation type="whole" operator="greaterThan" allowBlank="1" showInputMessage="1" showErrorMessage="1" sqref="A5737">
      <formula1>0</formula1>
    </dataValidation>
    <dataValidation type="list" allowBlank="1" showInputMessage="1" showErrorMessage="1" sqref="C5737">
      <formula1>UnidadesList</formula1>
    </dataValidation>
    <dataValidation type="decimal" operator="greaterThan" allowBlank="1" showInputMessage="1" showErrorMessage="1" sqref="D5737">
      <formula1>0</formula1>
    </dataValidation>
    <dataValidation type="decimal" operator="greaterThan" allowBlank="1" showInputMessage="1" showErrorMessage="1" sqref="E5737">
      <formula1>0</formula1>
    </dataValidation>
    <dataValidation type="whole" operator="greaterThan" allowBlank="1" showInputMessage="1" showErrorMessage="1" sqref="A5738">
      <formula1>0</formula1>
    </dataValidation>
    <dataValidation type="list" allowBlank="1" showInputMessage="1" showErrorMessage="1" sqref="C5738">
      <formula1>UnidadesList</formula1>
    </dataValidation>
    <dataValidation type="decimal" operator="greaterThan" allowBlank="1" showInputMessage="1" showErrorMessage="1" sqref="D5738">
      <formula1>0</formula1>
    </dataValidation>
    <dataValidation type="decimal" operator="greaterThan" allowBlank="1" showInputMessage="1" showErrorMessage="1" sqref="E5738">
      <formula1>0</formula1>
    </dataValidation>
    <dataValidation type="whole" operator="greaterThan" allowBlank="1" showInputMessage="1" showErrorMessage="1" sqref="A5739">
      <formula1>0</formula1>
    </dataValidation>
    <dataValidation type="list" allowBlank="1" showInputMessage="1" showErrorMessage="1" sqref="C5739">
      <formula1>UnidadesList</formula1>
    </dataValidation>
    <dataValidation type="decimal" operator="greaterThan" allowBlank="1" showInputMessage="1" showErrorMessage="1" sqref="D5739">
      <formula1>0</formula1>
    </dataValidation>
    <dataValidation type="decimal" operator="greaterThan" allowBlank="1" showInputMessage="1" showErrorMessage="1" sqref="E5739">
      <formula1>0</formula1>
    </dataValidation>
    <dataValidation type="whole" operator="greaterThan" allowBlank="1" showInputMessage="1" showErrorMessage="1" sqref="A5740">
      <formula1>0</formula1>
    </dataValidation>
    <dataValidation type="list" allowBlank="1" showInputMessage="1" showErrorMessage="1" sqref="C5740">
      <formula1>UnidadesList</formula1>
    </dataValidation>
    <dataValidation type="decimal" operator="greaterThan" allowBlank="1" showInputMessage="1" showErrorMessage="1" sqref="D5740">
      <formula1>0</formula1>
    </dataValidation>
    <dataValidation type="decimal" operator="greaterThan" allowBlank="1" showInputMessage="1" showErrorMessage="1" sqref="E5740">
      <formula1>0</formula1>
    </dataValidation>
    <dataValidation type="whole" operator="greaterThan" allowBlank="1" showInputMessage="1" showErrorMessage="1" sqref="A5741">
      <formula1>0</formula1>
    </dataValidation>
    <dataValidation type="list" allowBlank="1" showInputMessage="1" showErrorMessage="1" sqref="C5741">
      <formula1>UnidadesList</formula1>
    </dataValidation>
    <dataValidation type="decimal" operator="greaterThan" allowBlank="1" showInputMessage="1" showErrorMessage="1" sqref="D5741">
      <formula1>0</formula1>
    </dataValidation>
    <dataValidation type="decimal" operator="greaterThan" allowBlank="1" showInputMessage="1" showErrorMessage="1" sqref="E5741">
      <formula1>0</formula1>
    </dataValidation>
    <dataValidation type="whole" operator="greaterThan" allowBlank="1" showInputMessage="1" showErrorMessage="1" sqref="A5742">
      <formula1>0</formula1>
    </dataValidation>
    <dataValidation type="list" allowBlank="1" showInputMessage="1" showErrorMessage="1" sqref="C5742">
      <formula1>UnidadesList</formula1>
    </dataValidation>
    <dataValidation type="decimal" operator="greaterThan" allowBlank="1" showInputMessage="1" showErrorMessage="1" sqref="D5742">
      <formula1>0</formula1>
    </dataValidation>
    <dataValidation type="decimal" operator="greaterThan" allowBlank="1" showInputMessage="1" showErrorMessage="1" sqref="E5742">
      <formula1>0</formula1>
    </dataValidation>
    <dataValidation type="whole" operator="greaterThan" allowBlank="1" showInputMessage="1" showErrorMessage="1" sqref="A5743">
      <formula1>0</formula1>
    </dataValidation>
    <dataValidation type="list" allowBlank="1" showInputMessage="1" showErrorMessage="1" sqref="C5743">
      <formula1>UnidadesList</formula1>
    </dataValidation>
    <dataValidation type="decimal" operator="greaterThan" allowBlank="1" showInputMessage="1" showErrorMessage="1" sqref="D5743">
      <formula1>0</formula1>
    </dataValidation>
    <dataValidation type="decimal" operator="greaterThan" allowBlank="1" showInputMessage="1" showErrorMessage="1" sqref="E5743">
      <formula1>0</formula1>
    </dataValidation>
    <dataValidation type="whole" operator="greaterThan" allowBlank="1" showInputMessage="1" showErrorMessage="1" sqref="A5744">
      <formula1>0</formula1>
    </dataValidation>
    <dataValidation type="list" allowBlank="1" showInputMessage="1" showErrorMessage="1" sqref="C5744">
      <formula1>UnidadesList</formula1>
    </dataValidation>
    <dataValidation type="decimal" operator="greaterThan" allowBlank="1" showInputMessage="1" showErrorMessage="1" sqref="D5744">
      <formula1>0</formula1>
    </dataValidation>
    <dataValidation type="decimal" operator="greaterThan" allowBlank="1" showInputMessage="1" showErrorMessage="1" sqref="E5744">
      <formula1>0</formula1>
    </dataValidation>
    <dataValidation type="whole" operator="greaterThan" allowBlank="1" showInputMessage="1" showErrorMessage="1" sqref="A5745">
      <formula1>0</formula1>
    </dataValidation>
    <dataValidation type="list" allowBlank="1" showInputMessage="1" showErrorMessage="1" sqref="C5745">
      <formula1>UnidadesList</formula1>
    </dataValidation>
    <dataValidation type="decimal" operator="greaterThan" allowBlank="1" showInputMessage="1" showErrorMessage="1" sqref="D5745">
      <formula1>0</formula1>
    </dataValidation>
    <dataValidation type="decimal" operator="greaterThan" allowBlank="1" showInputMessage="1" showErrorMessage="1" sqref="E5745">
      <formula1>0</formula1>
    </dataValidation>
    <dataValidation type="whole" operator="greaterThan" allowBlank="1" showInputMessage="1" showErrorMessage="1" sqref="A5746">
      <formula1>0</formula1>
    </dataValidation>
    <dataValidation type="list" allowBlank="1" showInputMessage="1" showErrorMessage="1" sqref="C5746">
      <formula1>UnidadesList</formula1>
    </dataValidation>
    <dataValidation type="decimal" operator="greaterThan" allowBlank="1" showInputMessage="1" showErrorMessage="1" sqref="D5746">
      <formula1>0</formula1>
    </dataValidation>
    <dataValidation type="decimal" operator="greaterThan" allowBlank="1" showInputMessage="1" showErrorMessage="1" sqref="E5746">
      <formula1>0</formula1>
    </dataValidation>
    <dataValidation type="whole" operator="greaterThan" allowBlank="1" showInputMessage="1" showErrorMessage="1" sqref="A5747">
      <formula1>0</formula1>
    </dataValidation>
    <dataValidation type="list" allowBlank="1" showInputMessage="1" showErrorMessage="1" sqref="C5747">
      <formula1>UnidadesList</formula1>
    </dataValidation>
    <dataValidation type="decimal" operator="greaterThan" allowBlank="1" showInputMessage="1" showErrorMessage="1" sqref="D5747">
      <formula1>0</formula1>
    </dataValidation>
    <dataValidation type="decimal" operator="greaterThan" allowBlank="1" showInputMessage="1" showErrorMessage="1" sqref="E5747">
      <formula1>0</formula1>
    </dataValidation>
    <dataValidation type="whole" operator="greaterThan" allowBlank="1" showInputMessage="1" showErrorMessage="1" sqref="A5748">
      <formula1>0</formula1>
    </dataValidation>
    <dataValidation type="list" allowBlank="1" showInputMessage="1" showErrorMessage="1" sqref="C5748">
      <formula1>UnidadesList</formula1>
    </dataValidation>
    <dataValidation type="decimal" operator="greaterThan" allowBlank="1" showInputMessage="1" showErrorMessage="1" sqref="D5748">
      <formula1>0</formula1>
    </dataValidation>
    <dataValidation type="decimal" operator="greaterThan" allowBlank="1" showInputMessage="1" showErrorMessage="1" sqref="E5748">
      <formula1>0</formula1>
    </dataValidation>
    <dataValidation type="whole" operator="greaterThan" allowBlank="1" showInputMessage="1" showErrorMessage="1" sqref="A5749">
      <formula1>0</formula1>
    </dataValidation>
    <dataValidation type="list" allowBlank="1" showInputMessage="1" showErrorMessage="1" sqref="C5749">
      <formula1>UnidadesList</formula1>
    </dataValidation>
    <dataValidation type="decimal" operator="greaterThan" allowBlank="1" showInputMessage="1" showErrorMessage="1" sqref="D5749">
      <formula1>0</formula1>
    </dataValidation>
    <dataValidation type="decimal" operator="greaterThan" allowBlank="1" showInputMessage="1" showErrorMessage="1" sqref="E5749">
      <formula1>0</formula1>
    </dataValidation>
    <dataValidation type="whole" operator="greaterThan" allowBlank="1" showInputMessage="1" showErrorMessage="1" sqref="A5750">
      <formula1>0</formula1>
    </dataValidation>
    <dataValidation type="list" allowBlank="1" showInputMessage="1" showErrorMessage="1" sqref="C5750">
      <formula1>UnidadesList</formula1>
    </dataValidation>
    <dataValidation type="decimal" operator="greaterThan" allowBlank="1" showInputMessage="1" showErrorMessage="1" sqref="D5750">
      <formula1>0</formula1>
    </dataValidation>
    <dataValidation type="decimal" operator="greaterThan" allowBlank="1" showInputMessage="1" showErrorMessage="1" sqref="E5750">
      <formula1>0</formula1>
    </dataValidation>
    <dataValidation type="whole" operator="greaterThan" allowBlank="1" showInputMessage="1" showErrorMessage="1" sqref="A5751">
      <formula1>0</formula1>
    </dataValidation>
    <dataValidation type="list" allowBlank="1" showInputMessage="1" showErrorMessage="1" sqref="C5751">
      <formula1>UnidadesList</formula1>
    </dataValidation>
    <dataValidation type="decimal" operator="greaterThan" allowBlank="1" showInputMessage="1" showErrorMessage="1" sqref="D5751">
      <formula1>0</formula1>
    </dataValidation>
    <dataValidation type="decimal" operator="greaterThan" allowBlank="1" showInputMessage="1" showErrorMessage="1" sqref="E5751">
      <formula1>0</formula1>
    </dataValidation>
    <dataValidation type="whole" operator="greaterThan" allowBlank="1" showInputMessage="1" showErrorMessage="1" sqref="A5752">
      <formula1>0</formula1>
    </dataValidation>
    <dataValidation type="list" allowBlank="1" showInputMessage="1" showErrorMessage="1" sqref="C5752">
      <formula1>UnidadesList</formula1>
    </dataValidation>
    <dataValidation type="decimal" operator="greaterThan" allowBlank="1" showInputMessage="1" showErrorMessage="1" sqref="D5752">
      <formula1>0</formula1>
    </dataValidation>
    <dataValidation type="decimal" operator="greaterThan" allowBlank="1" showInputMessage="1" showErrorMessage="1" sqref="E5752">
      <formula1>0</formula1>
    </dataValidation>
    <dataValidation type="whole" operator="greaterThan" allowBlank="1" showInputMessage="1" showErrorMessage="1" sqref="A5753">
      <formula1>0</formula1>
    </dataValidation>
    <dataValidation type="list" allowBlank="1" showInputMessage="1" showErrorMessage="1" sqref="C5753">
      <formula1>UnidadesList</formula1>
    </dataValidation>
    <dataValidation type="decimal" operator="greaterThan" allowBlank="1" showInputMessage="1" showErrorMessage="1" sqref="D5753">
      <formula1>0</formula1>
    </dataValidation>
    <dataValidation type="decimal" operator="greaterThan" allowBlank="1" showInputMessage="1" showErrorMessage="1" sqref="E5753">
      <formula1>0</formula1>
    </dataValidation>
    <dataValidation type="whole" operator="greaterThan" allowBlank="1" showInputMessage="1" showErrorMessage="1" sqref="A5754">
      <formula1>0</formula1>
    </dataValidation>
    <dataValidation type="list" allowBlank="1" showInputMessage="1" showErrorMessage="1" sqref="C5754">
      <formula1>UnidadesList</formula1>
    </dataValidation>
    <dataValidation type="decimal" operator="greaterThan" allowBlank="1" showInputMessage="1" showErrorMessage="1" sqref="D5754">
      <formula1>0</formula1>
    </dataValidation>
    <dataValidation type="decimal" operator="greaterThan" allowBlank="1" showInputMessage="1" showErrorMessage="1" sqref="E5754">
      <formula1>0</formula1>
    </dataValidation>
    <dataValidation type="whole" operator="greaterThan" allowBlank="1" showInputMessage="1" showErrorMessage="1" sqref="A5755">
      <formula1>0</formula1>
    </dataValidation>
    <dataValidation type="list" allowBlank="1" showInputMessage="1" showErrorMessage="1" sqref="C5755">
      <formula1>UnidadesList</formula1>
    </dataValidation>
    <dataValidation type="decimal" operator="greaterThan" allowBlank="1" showInputMessage="1" showErrorMessage="1" sqref="D5755">
      <formula1>0</formula1>
    </dataValidation>
    <dataValidation type="decimal" operator="greaterThan" allowBlank="1" showInputMessage="1" showErrorMessage="1" sqref="E5755">
      <formula1>0</formula1>
    </dataValidation>
    <dataValidation type="whole" operator="greaterThan" allowBlank="1" showInputMessage="1" showErrorMessage="1" sqref="A5756">
      <formula1>0</formula1>
    </dataValidation>
    <dataValidation type="list" allowBlank="1" showInputMessage="1" showErrorMessage="1" sqref="C5756">
      <formula1>UnidadesList</formula1>
    </dataValidation>
    <dataValidation type="decimal" operator="greaterThan" allowBlank="1" showInputMessage="1" showErrorMessage="1" sqref="D5756">
      <formula1>0</formula1>
    </dataValidation>
    <dataValidation type="decimal" operator="greaterThan" allowBlank="1" showInputMessage="1" showErrorMessage="1" sqref="E5756">
      <formula1>0</formula1>
    </dataValidation>
    <dataValidation type="whole" operator="greaterThan" allowBlank="1" showInputMessage="1" showErrorMessage="1" sqref="A5757">
      <formula1>0</formula1>
    </dataValidation>
    <dataValidation type="list" allowBlank="1" showInputMessage="1" showErrorMessage="1" sqref="C5757">
      <formula1>UnidadesList</formula1>
    </dataValidation>
    <dataValidation type="decimal" operator="greaterThan" allowBlank="1" showInputMessage="1" showErrorMessage="1" sqref="D5757">
      <formula1>0</formula1>
    </dataValidation>
    <dataValidation type="decimal" operator="greaterThan" allowBlank="1" showInputMessage="1" showErrorMessage="1" sqref="E5757">
      <formula1>0</formula1>
    </dataValidation>
    <dataValidation type="date" operator="lessThanOrEqual" allowBlank="1" showInputMessage="1" showErrorMessage="1" sqref="C5762">
      <formula1>C5764</formula1>
    </dataValidation>
    <dataValidation type="date" operator="greaterThanOrEqual" allowBlank="1" showInputMessage="1" showErrorMessage="1" sqref="C5764">
      <formula1>C5762</formula1>
    </dataValidation>
    <dataValidation type="list" allowBlank="1" showInputMessage="1" showErrorMessage="1" sqref="F57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7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7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7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768">
      <formula1>0</formula1>
    </dataValidation>
    <dataValidation type="list" allowBlank="1" showInputMessage="1" showErrorMessage="1" sqref="C5768">
      <formula1>UnidadesList</formula1>
    </dataValidation>
    <dataValidation type="decimal" operator="greaterThan" allowBlank="1" showInputMessage="1" showErrorMessage="1" sqref="D5768">
      <formula1>0</formula1>
    </dataValidation>
    <dataValidation type="decimal" operator="greaterThan" allowBlank="1" showInputMessage="1" showErrorMessage="1" sqref="E5768">
      <formula1>0</formula1>
    </dataValidation>
    <dataValidation type="whole" operator="greaterThan" allowBlank="1" showInputMessage="1" showErrorMessage="1" sqref="A5769">
      <formula1>0</formula1>
    </dataValidation>
    <dataValidation type="list" allowBlank="1" showInputMessage="1" showErrorMessage="1" sqref="C5769">
      <formula1>UnidadesList</formula1>
    </dataValidation>
    <dataValidation type="decimal" operator="greaterThan" allowBlank="1" showInputMessage="1" showErrorMessage="1" sqref="D5769">
      <formula1>0</formula1>
    </dataValidation>
    <dataValidation type="decimal" operator="greaterThan" allowBlank="1" showInputMessage="1" showErrorMessage="1" sqref="E5769">
      <formula1>0</formula1>
    </dataValidation>
    <dataValidation type="whole" operator="greaterThan" allowBlank="1" showInputMessage="1" showErrorMessage="1" sqref="A5770">
      <formula1>0</formula1>
    </dataValidation>
    <dataValidation type="list" allowBlank="1" showInputMessage="1" showErrorMessage="1" sqref="C5770">
      <formula1>UnidadesList</formula1>
    </dataValidation>
    <dataValidation type="decimal" operator="greaterThan" allowBlank="1" showInputMessage="1" showErrorMessage="1" sqref="D5770">
      <formula1>0</formula1>
    </dataValidation>
    <dataValidation type="decimal" operator="greaterThan" allowBlank="1" showInputMessage="1" showErrorMessage="1" sqref="E5770">
      <formula1>0</formula1>
    </dataValidation>
    <dataValidation type="whole" operator="greaterThan" allowBlank="1" showInputMessage="1" showErrorMessage="1" sqref="A5771">
      <formula1>0</formula1>
    </dataValidation>
    <dataValidation type="list" allowBlank="1" showInputMessage="1" showErrorMessage="1" sqref="C5771">
      <formula1>UnidadesList</formula1>
    </dataValidation>
    <dataValidation type="decimal" operator="greaterThan" allowBlank="1" showInputMessage="1" showErrorMessage="1" sqref="D5771">
      <formula1>0</formula1>
    </dataValidation>
    <dataValidation type="decimal" operator="greaterThan" allowBlank="1" showInputMessage="1" showErrorMessage="1" sqref="E5771">
      <formula1>0</formula1>
    </dataValidation>
    <dataValidation type="whole" operator="greaterThan" allowBlank="1" showInputMessage="1" showErrorMessage="1" sqref="A5772">
      <formula1>0</formula1>
    </dataValidation>
    <dataValidation type="list" allowBlank="1" showInputMessage="1" showErrorMessage="1" sqref="C5772">
      <formula1>UnidadesList</formula1>
    </dataValidation>
    <dataValidation type="decimal" operator="greaterThan" allowBlank="1" showInputMessage="1" showErrorMessage="1" sqref="D5772">
      <formula1>0</formula1>
    </dataValidation>
    <dataValidation type="decimal" operator="greaterThan" allowBlank="1" showInputMessage="1" showErrorMessage="1" sqref="E5772">
      <formula1>0</formula1>
    </dataValidation>
    <dataValidation type="whole" operator="greaterThan" allowBlank="1" showInputMessage="1" showErrorMessage="1" sqref="A5773">
      <formula1>0</formula1>
    </dataValidation>
    <dataValidation type="list" allowBlank="1" showInputMessage="1" showErrorMessage="1" sqref="C5773">
      <formula1>UnidadesList</formula1>
    </dataValidation>
    <dataValidation type="decimal" operator="greaterThan" allowBlank="1" showInputMessage="1" showErrorMessage="1" sqref="D5773">
      <formula1>0</formula1>
    </dataValidation>
    <dataValidation type="decimal" operator="greaterThan" allowBlank="1" showInputMessage="1" showErrorMessage="1" sqref="E5773">
      <formula1>0</formula1>
    </dataValidation>
    <dataValidation type="whole" operator="greaterThan" allowBlank="1" showInputMessage="1" showErrorMessage="1" sqref="A5774">
      <formula1>0</formula1>
    </dataValidation>
    <dataValidation type="list" allowBlank="1" showInputMessage="1" showErrorMessage="1" sqref="C5774">
      <formula1>UnidadesList</formula1>
    </dataValidation>
    <dataValidation type="decimal" operator="greaterThan" allowBlank="1" showInputMessage="1" showErrorMessage="1" sqref="D5774">
      <formula1>0</formula1>
    </dataValidation>
    <dataValidation type="decimal" operator="greaterThan" allowBlank="1" showInputMessage="1" showErrorMessage="1" sqref="E5774">
      <formula1>0</formula1>
    </dataValidation>
    <dataValidation type="whole" operator="greaterThan" allowBlank="1" showInputMessage="1" showErrorMessage="1" sqref="A5775">
      <formula1>0</formula1>
    </dataValidation>
    <dataValidation type="list" allowBlank="1" showInputMessage="1" showErrorMessage="1" sqref="C5775">
      <formula1>UnidadesList</formula1>
    </dataValidation>
    <dataValidation type="decimal" operator="greaterThan" allowBlank="1" showInputMessage="1" showErrorMessage="1" sqref="D5775">
      <formula1>0</formula1>
    </dataValidation>
    <dataValidation type="decimal" operator="greaterThan" allowBlank="1" showInputMessage="1" showErrorMessage="1" sqref="E5775">
      <formula1>0</formula1>
    </dataValidation>
    <dataValidation type="whole" operator="greaterThan" allowBlank="1" showInputMessage="1" showErrorMessage="1" sqref="A5776">
      <formula1>0</formula1>
    </dataValidation>
    <dataValidation type="list" allowBlank="1" showInputMessage="1" showErrorMessage="1" sqref="C5776">
      <formula1>UnidadesList</formula1>
    </dataValidation>
    <dataValidation type="decimal" operator="greaterThan" allowBlank="1" showInputMessage="1" showErrorMessage="1" sqref="D5776">
      <formula1>0</formula1>
    </dataValidation>
    <dataValidation type="decimal" operator="greaterThan" allowBlank="1" showInputMessage="1" showErrorMessage="1" sqref="E5776">
      <formula1>0</formula1>
    </dataValidation>
    <dataValidation type="whole" operator="greaterThan" allowBlank="1" showInputMessage="1" showErrorMessage="1" sqref="A5777">
      <formula1>0</formula1>
    </dataValidation>
    <dataValidation type="list" allowBlank="1" showInputMessage="1" showErrorMessage="1" sqref="C5777">
      <formula1>UnidadesList</formula1>
    </dataValidation>
    <dataValidation type="decimal" operator="greaterThan" allowBlank="1" showInputMessage="1" showErrorMessage="1" sqref="D5777">
      <formula1>0</formula1>
    </dataValidation>
    <dataValidation type="decimal" operator="greaterThan" allowBlank="1" showInputMessage="1" showErrorMessage="1" sqref="E5777">
      <formula1>0</formula1>
    </dataValidation>
    <dataValidation type="whole" operator="greaterThan" allowBlank="1" showInputMessage="1" showErrorMessage="1" sqref="A5778">
      <formula1>0</formula1>
    </dataValidation>
    <dataValidation type="list" allowBlank="1" showInputMessage="1" showErrorMessage="1" sqref="C5778">
      <formula1>UnidadesList</formula1>
    </dataValidation>
    <dataValidation type="decimal" operator="greaterThan" allowBlank="1" showInputMessage="1" showErrorMessage="1" sqref="D5778">
      <formula1>0</formula1>
    </dataValidation>
    <dataValidation type="decimal" operator="greaterThan" allowBlank="1" showInputMessage="1" showErrorMessage="1" sqref="E5778">
      <formula1>0</formula1>
    </dataValidation>
    <dataValidation type="whole" operator="greaterThan" allowBlank="1" showInputMessage="1" showErrorMessage="1" sqref="A5779">
      <formula1>0</formula1>
    </dataValidation>
    <dataValidation type="list" allowBlank="1" showInputMessage="1" showErrorMessage="1" sqref="C5779">
      <formula1>UnidadesList</formula1>
    </dataValidation>
    <dataValidation type="decimal" operator="greaterThan" allowBlank="1" showInputMessage="1" showErrorMessage="1" sqref="D5779">
      <formula1>0</formula1>
    </dataValidation>
    <dataValidation type="decimal" operator="greaterThan" allowBlank="1" showInputMessage="1" showErrorMessage="1" sqref="E5779">
      <formula1>0</formula1>
    </dataValidation>
    <dataValidation type="whole" operator="greaterThan" allowBlank="1" showInputMessage="1" showErrorMessage="1" sqref="A5780">
      <formula1>0</formula1>
    </dataValidation>
    <dataValidation type="list" allowBlank="1" showInputMessage="1" showErrorMessage="1" sqref="C5780">
      <formula1>UnidadesList</formula1>
    </dataValidation>
    <dataValidation type="decimal" operator="greaterThan" allowBlank="1" showInputMessage="1" showErrorMessage="1" sqref="D5780">
      <formula1>0</formula1>
    </dataValidation>
    <dataValidation type="decimal" operator="greaterThan" allowBlank="1" showInputMessage="1" showErrorMessage="1" sqref="E5780">
      <formula1>0</formula1>
    </dataValidation>
    <dataValidation type="whole" operator="greaterThan" allowBlank="1" showInputMessage="1" showErrorMessage="1" sqref="A5781">
      <formula1>0</formula1>
    </dataValidation>
    <dataValidation type="list" allowBlank="1" showInputMessage="1" showErrorMessage="1" sqref="C5781">
      <formula1>UnidadesList</formula1>
    </dataValidation>
    <dataValidation type="decimal" operator="greaterThan" allowBlank="1" showInputMessage="1" showErrorMessage="1" sqref="D5781">
      <formula1>0</formula1>
    </dataValidation>
    <dataValidation type="decimal" operator="greaterThan" allowBlank="1" showInputMessage="1" showErrorMessage="1" sqref="E5781">
      <formula1>0</formula1>
    </dataValidation>
    <dataValidation type="whole" operator="greaterThan" allowBlank="1" showInputMessage="1" showErrorMessage="1" sqref="A5782">
      <formula1>0</formula1>
    </dataValidation>
    <dataValidation type="list" allowBlank="1" showInputMessage="1" showErrorMessage="1" sqref="C5782">
      <formula1>UnidadesList</formula1>
    </dataValidation>
    <dataValidation type="decimal" operator="greaterThan" allowBlank="1" showInputMessage="1" showErrorMessage="1" sqref="D5782">
      <formula1>0</formula1>
    </dataValidation>
    <dataValidation type="decimal" operator="greaterThan" allowBlank="1" showInputMessage="1" showErrorMessage="1" sqref="E5782">
      <formula1>0</formula1>
    </dataValidation>
    <dataValidation type="whole" operator="greaterThan" allowBlank="1" showInputMessage="1" showErrorMessage="1" sqref="A5783">
      <formula1>0</formula1>
    </dataValidation>
    <dataValidation type="list" allowBlank="1" showInputMessage="1" showErrorMessage="1" sqref="C5783">
      <formula1>UnidadesList</formula1>
    </dataValidation>
    <dataValidation type="decimal" operator="greaterThan" allowBlank="1" showInputMessage="1" showErrorMessage="1" sqref="D5783">
      <formula1>0</formula1>
    </dataValidation>
    <dataValidation type="decimal" operator="greaterThan" allowBlank="1" showInputMessage="1" showErrorMessage="1" sqref="E5783">
      <formula1>0</formula1>
    </dataValidation>
    <dataValidation type="whole" operator="greaterThan" allowBlank="1" showInputMessage="1" showErrorMessage="1" sqref="A5784">
      <formula1>0</formula1>
    </dataValidation>
    <dataValidation type="list" allowBlank="1" showInputMessage="1" showErrorMessage="1" sqref="C5784">
      <formula1>UnidadesList</formula1>
    </dataValidation>
    <dataValidation type="decimal" operator="greaterThan" allowBlank="1" showInputMessage="1" showErrorMessage="1" sqref="D5784">
      <formula1>0</formula1>
    </dataValidation>
    <dataValidation type="decimal" operator="greaterThan" allowBlank="1" showInputMessage="1" showErrorMessage="1" sqref="E5784">
      <formula1>0</formula1>
    </dataValidation>
    <dataValidation type="whole" operator="greaterThan" allowBlank="1" showInputMessage="1" showErrorMessage="1" sqref="A5785">
      <formula1>0</formula1>
    </dataValidation>
    <dataValidation type="list" allowBlank="1" showInputMessage="1" showErrorMessage="1" sqref="C5785">
      <formula1>UnidadesList</formula1>
    </dataValidation>
    <dataValidation type="decimal" operator="greaterThan" allowBlank="1" showInputMessage="1" showErrorMessage="1" sqref="D5785">
      <formula1>0</formula1>
    </dataValidation>
    <dataValidation type="decimal" operator="greaterThan" allowBlank="1" showInputMessage="1" showErrorMessage="1" sqref="E5785">
      <formula1>0</formula1>
    </dataValidation>
    <dataValidation type="whole" operator="greaterThan" allowBlank="1" showInputMessage="1" showErrorMessage="1" sqref="A5786">
      <formula1>0</formula1>
    </dataValidation>
    <dataValidation type="list" allowBlank="1" showInputMessage="1" showErrorMessage="1" sqref="C5786">
      <formula1>UnidadesList</formula1>
    </dataValidation>
    <dataValidation type="decimal" operator="greaterThan" allowBlank="1" showInputMessage="1" showErrorMessage="1" sqref="D5786">
      <formula1>0</formula1>
    </dataValidation>
    <dataValidation type="decimal" operator="greaterThan" allowBlank="1" showInputMessage="1" showErrorMessage="1" sqref="E5786">
      <formula1>0</formula1>
    </dataValidation>
    <dataValidation type="whole" operator="greaterThan" allowBlank="1" showInputMessage="1" showErrorMessage="1" sqref="A5787">
      <formula1>0</formula1>
    </dataValidation>
    <dataValidation type="list" allowBlank="1" showInputMessage="1" showErrorMessage="1" sqref="C5787">
      <formula1>UnidadesList</formula1>
    </dataValidation>
    <dataValidation type="decimal" operator="greaterThan" allowBlank="1" showInputMessage="1" showErrorMessage="1" sqref="D5787">
      <formula1>0</formula1>
    </dataValidation>
    <dataValidation type="decimal" operator="greaterThan" allowBlank="1" showInputMessage="1" showErrorMessage="1" sqref="E5787">
      <formula1>0</formula1>
    </dataValidation>
    <dataValidation type="whole" operator="greaterThan" allowBlank="1" showInputMessage="1" showErrorMessage="1" sqref="A5788">
      <formula1>0</formula1>
    </dataValidation>
    <dataValidation type="list" allowBlank="1" showInputMessage="1" showErrorMessage="1" sqref="C5788">
      <formula1>UnidadesList</formula1>
    </dataValidation>
    <dataValidation type="decimal" operator="greaterThan" allowBlank="1" showInputMessage="1" showErrorMessage="1" sqref="D5788">
      <formula1>0</formula1>
    </dataValidation>
    <dataValidation type="decimal" operator="greaterThan" allowBlank="1" showInputMessage="1" showErrorMessage="1" sqref="E5788">
      <formula1>0</formula1>
    </dataValidation>
    <dataValidation type="whole" operator="greaterThan" allowBlank="1" showInputMessage="1" showErrorMessage="1" sqref="A5789">
      <formula1>0</formula1>
    </dataValidation>
    <dataValidation type="list" allowBlank="1" showInputMessage="1" showErrorMessage="1" sqref="C5789">
      <formula1>UnidadesList</formula1>
    </dataValidation>
    <dataValidation type="decimal" operator="greaterThan" allowBlank="1" showInputMessage="1" showErrorMessage="1" sqref="D5789">
      <formula1>0</formula1>
    </dataValidation>
    <dataValidation type="decimal" operator="greaterThan" allowBlank="1" showInputMessage="1" showErrorMessage="1" sqref="E5789">
      <formula1>0</formula1>
    </dataValidation>
    <dataValidation type="whole" operator="greaterThan" allowBlank="1" showInputMessage="1" showErrorMessage="1" sqref="A5790">
      <formula1>0</formula1>
    </dataValidation>
    <dataValidation type="list" allowBlank="1" showInputMessage="1" showErrorMessage="1" sqref="C5790">
      <formula1>UnidadesList</formula1>
    </dataValidation>
    <dataValidation type="decimal" operator="greaterThan" allowBlank="1" showInputMessage="1" showErrorMessage="1" sqref="D5790">
      <formula1>0</formula1>
    </dataValidation>
    <dataValidation type="decimal" operator="greaterThan" allowBlank="1" showInputMessage="1" showErrorMessage="1" sqref="E5790">
      <formula1>0</formula1>
    </dataValidation>
    <dataValidation type="whole" operator="greaterThan" allowBlank="1" showInputMessage="1" showErrorMessage="1" sqref="A5791">
      <formula1>0</formula1>
    </dataValidation>
    <dataValidation type="list" allowBlank="1" showInputMessage="1" showErrorMessage="1" sqref="C5791">
      <formula1>UnidadesList</formula1>
    </dataValidation>
    <dataValidation type="decimal" operator="greaterThan" allowBlank="1" showInputMessage="1" showErrorMessage="1" sqref="D5791">
      <formula1>0</formula1>
    </dataValidation>
    <dataValidation type="decimal" operator="greaterThan" allowBlank="1" showInputMessage="1" showErrorMessage="1" sqref="E5791">
      <formula1>0</formula1>
    </dataValidation>
    <dataValidation type="whole" operator="greaterThan" allowBlank="1" showInputMessage="1" showErrorMessage="1" sqref="A5792">
      <formula1>0</formula1>
    </dataValidation>
    <dataValidation type="list" allowBlank="1" showInputMessage="1" showErrorMessage="1" sqref="C5792">
      <formula1>UnidadesList</formula1>
    </dataValidation>
    <dataValidation type="decimal" operator="greaterThan" allowBlank="1" showInputMessage="1" showErrorMessage="1" sqref="D5792">
      <formula1>0</formula1>
    </dataValidation>
    <dataValidation type="decimal" operator="greaterThan" allowBlank="1" showInputMessage="1" showErrorMessage="1" sqref="E5792">
      <formula1>0</formula1>
    </dataValidation>
    <dataValidation type="whole" operator="greaterThan" allowBlank="1" showInputMessage="1" showErrorMessage="1" sqref="A5793">
      <formula1>0</formula1>
    </dataValidation>
    <dataValidation type="list" allowBlank="1" showInputMessage="1" showErrorMessage="1" sqref="C5793">
      <formula1>UnidadesList</formula1>
    </dataValidation>
    <dataValidation type="decimal" operator="greaterThan" allowBlank="1" showInputMessage="1" showErrorMessage="1" sqref="D5793">
      <formula1>0</formula1>
    </dataValidation>
    <dataValidation type="decimal" operator="greaterThan" allowBlank="1" showInputMessage="1" showErrorMessage="1" sqref="E5793">
      <formula1>0</formula1>
    </dataValidation>
    <dataValidation type="whole" operator="greaterThan" allowBlank="1" showInputMessage="1" showErrorMessage="1" sqref="A5794">
      <formula1>0</formula1>
    </dataValidation>
    <dataValidation type="list" allowBlank="1" showInputMessage="1" showErrorMessage="1" sqref="C5794">
      <formula1>UnidadesList</formula1>
    </dataValidation>
    <dataValidation type="decimal" operator="greaterThan" allowBlank="1" showInputMessage="1" showErrorMessage="1" sqref="D5794">
      <formula1>0</formula1>
    </dataValidation>
    <dataValidation type="decimal" operator="greaterThan" allowBlank="1" showInputMessage="1" showErrorMessage="1" sqref="E5794">
      <formula1>0</formula1>
    </dataValidation>
    <dataValidation type="date" operator="lessThanOrEqual" allowBlank="1" showInputMessage="1" showErrorMessage="1" sqref="C5799">
      <formula1>C5801</formula1>
    </dataValidation>
    <dataValidation type="date" operator="greaterThanOrEqual" allowBlank="1" showInputMessage="1" showErrorMessage="1" sqref="C5801">
      <formula1>C5799</formula1>
    </dataValidation>
    <dataValidation type="list" allowBlank="1" showInputMessage="1" showErrorMessage="1" sqref="F579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0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0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0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05">
      <formula1>0</formula1>
    </dataValidation>
    <dataValidation type="list" allowBlank="1" showInputMessage="1" showErrorMessage="1" sqref="C5805">
      <formula1>UnidadesList</formula1>
    </dataValidation>
    <dataValidation type="decimal" operator="greaterThan" allowBlank="1" showInputMessage="1" showErrorMessage="1" sqref="D5805">
      <formula1>0</formula1>
    </dataValidation>
    <dataValidation type="decimal" operator="greaterThan" allowBlank="1" showInputMessage="1" showErrorMessage="1" sqref="E5805">
      <formula1>0</formula1>
    </dataValidation>
    <dataValidation type="whole" operator="greaterThan" allowBlank="1" showInputMessage="1" showErrorMessage="1" sqref="A5806">
      <formula1>0</formula1>
    </dataValidation>
    <dataValidation type="list" allowBlank="1" showInputMessage="1" showErrorMessage="1" sqref="C5806">
      <formula1>UnidadesList</formula1>
    </dataValidation>
    <dataValidation type="decimal" operator="greaterThan" allowBlank="1" showInputMessage="1" showErrorMessage="1" sqref="D5806">
      <formula1>0</formula1>
    </dataValidation>
    <dataValidation type="decimal" operator="greaterThan" allowBlank="1" showInputMessage="1" showErrorMessage="1" sqref="E5806">
      <formula1>0</formula1>
    </dataValidation>
    <dataValidation type="whole" operator="greaterThan" allowBlank="1" showInputMessage="1" showErrorMessage="1" sqref="A5807">
      <formula1>0</formula1>
    </dataValidation>
    <dataValidation type="list" allowBlank="1" showInputMessage="1" showErrorMessage="1" sqref="C5807">
      <formula1>UnidadesList</formula1>
    </dataValidation>
    <dataValidation type="decimal" operator="greaterThan" allowBlank="1" showInputMessage="1" showErrorMessage="1" sqref="D5807">
      <formula1>0</formula1>
    </dataValidation>
    <dataValidation type="decimal" operator="greaterThan" allowBlank="1" showInputMessage="1" showErrorMessage="1" sqref="E5807">
      <formula1>0</formula1>
    </dataValidation>
    <dataValidation type="date" operator="lessThanOrEqual" allowBlank="1" showInputMessage="1" showErrorMessage="1" sqref="C5812">
      <formula1>C5814</formula1>
    </dataValidation>
    <dataValidation type="date" operator="greaterThanOrEqual" allowBlank="1" showInputMessage="1" showErrorMessage="1" sqref="C5814">
      <formula1>C5812</formula1>
    </dataValidation>
    <dataValidation type="list" allowBlank="1" showInputMessage="1" showErrorMessage="1" sqref="F58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18">
      <formula1>0</formula1>
    </dataValidation>
    <dataValidation type="list" allowBlank="1" showInputMessage="1" showErrorMessage="1" sqref="C5818">
      <formula1>UnidadesList</formula1>
    </dataValidation>
    <dataValidation type="decimal" operator="greaterThan" allowBlank="1" showInputMessage="1" showErrorMessage="1" sqref="D5818">
      <formula1>0</formula1>
    </dataValidation>
    <dataValidation type="decimal" operator="greaterThan" allowBlank="1" showInputMessage="1" showErrorMessage="1" sqref="E5818">
      <formula1>0</formula1>
    </dataValidation>
    <dataValidation type="whole" operator="greaterThan" allowBlank="1" showInputMessage="1" showErrorMessage="1" sqref="A5819">
      <formula1>0</formula1>
    </dataValidation>
    <dataValidation type="list" allowBlank="1" showInputMessage="1" showErrorMessage="1" sqref="C5819">
      <formula1>UnidadesList</formula1>
    </dataValidation>
    <dataValidation type="decimal" operator="greaterThan" allowBlank="1" showInputMessage="1" showErrorMessage="1" sqref="D5819">
      <formula1>0</formula1>
    </dataValidation>
    <dataValidation type="decimal" operator="greaterThan" allowBlank="1" showInputMessage="1" showErrorMessage="1" sqref="E5819">
      <formula1>0</formula1>
    </dataValidation>
    <dataValidation type="whole" operator="greaterThan" allowBlank="1" showInputMessage="1" showErrorMessage="1" sqref="A5820">
      <formula1>0</formula1>
    </dataValidation>
    <dataValidation type="list" allowBlank="1" showInputMessage="1" showErrorMessage="1" sqref="C5820">
      <formula1>UnidadesList</formula1>
    </dataValidation>
    <dataValidation type="decimal" operator="greaterThan" allowBlank="1" showInputMessage="1" showErrorMessage="1" sqref="D5820">
      <formula1>0</formula1>
    </dataValidation>
    <dataValidation type="decimal" operator="greaterThan" allowBlank="1" showInputMessage="1" showErrorMessage="1" sqref="E5820">
      <formula1>0</formula1>
    </dataValidation>
    <dataValidation type="date" operator="lessThanOrEqual" allowBlank="1" showInputMessage="1" showErrorMessage="1" sqref="C5825">
      <formula1>C5827</formula1>
    </dataValidation>
    <dataValidation type="date" operator="greaterThanOrEqual" allowBlank="1" showInputMessage="1" showErrorMessage="1" sqref="C5827">
      <formula1>C5825</formula1>
    </dataValidation>
    <dataValidation type="list" allowBlank="1" showInputMessage="1" showErrorMessage="1" sqref="F582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2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2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2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31">
      <formula1>0</formula1>
    </dataValidation>
    <dataValidation type="list" allowBlank="1" showInputMessage="1" showErrorMessage="1" sqref="C5831">
      <formula1>UnidadesList</formula1>
    </dataValidation>
    <dataValidation type="decimal" operator="greaterThan" allowBlank="1" showInputMessage="1" showErrorMessage="1" sqref="D5831">
      <formula1>0</formula1>
    </dataValidation>
    <dataValidation type="decimal" operator="greaterThan" allowBlank="1" showInputMessage="1" showErrorMessage="1" sqref="E5831">
      <formula1>0</formula1>
    </dataValidation>
    <dataValidation type="whole" operator="greaterThan" allowBlank="1" showInputMessage="1" showErrorMessage="1" sqref="A5832">
      <formula1>0</formula1>
    </dataValidation>
    <dataValidation type="list" allowBlank="1" showInputMessage="1" showErrorMessage="1" sqref="C5832">
      <formula1>UnidadesList</formula1>
    </dataValidation>
    <dataValidation type="decimal" operator="greaterThan" allowBlank="1" showInputMessage="1" showErrorMessage="1" sqref="D5832">
      <formula1>0</formula1>
    </dataValidation>
    <dataValidation type="decimal" operator="greaterThan" allowBlank="1" showInputMessage="1" showErrorMessage="1" sqref="E5832">
      <formula1>0</formula1>
    </dataValidation>
    <dataValidation type="whole" operator="greaterThan" allowBlank="1" showInputMessage="1" showErrorMessage="1" sqref="A5833">
      <formula1>0</formula1>
    </dataValidation>
    <dataValidation type="list" allowBlank="1" showInputMessage="1" showErrorMessage="1" sqref="C5833">
      <formula1>UnidadesList</formula1>
    </dataValidation>
    <dataValidation type="decimal" operator="greaterThan" allowBlank="1" showInputMessage="1" showErrorMessage="1" sqref="D5833">
      <formula1>0</formula1>
    </dataValidation>
    <dataValidation type="decimal" operator="greaterThan" allowBlank="1" showInputMessage="1" showErrorMessage="1" sqref="E5833">
      <formula1>0</formula1>
    </dataValidation>
    <dataValidation type="whole" operator="greaterThan" allowBlank="1" showInputMessage="1" showErrorMessage="1" sqref="A5834">
      <formula1>0</formula1>
    </dataValidation>
    <dataValidation type="list" allowBlank="1" showInputMessage="1" showErrorMessage="1" sqref="C5834">
      <formula1>UnidadesList</formula1>
    </dataValidation>
    <dataValidation type="decimal" operator="greaterThan" allowBlank="1" showInputMessage="1" showErrorMessage="1" sqref="D5834">
      <formula1>0</formula1>
    </dataValidation>
    <dataValidation type="decimal" operator="greaterThan" allowBlank="1" showInputMessage="1" showErrorMessage="1" sqref="E5834">
      <formula1>0</formula1>
    </dataValidation>
    <dataValidation type="whole" operator="greaterThan" allowBlank="1" showInputMessage="1" showErrorMessage="1" sqref="A5835">
      <formula1>0</formula1>
    </dataValidation>
    <dataValidation type="list" allowBlank="1" showInputMessage="1" showErrorMessage="1" sqref="C5835">
      <formula1>UnidadesList</formula1>
    </dataValidation>
    <dataValidation type="decimal" operator="greaterThan" allowBlank="1" showInputMessage="1" showErrorMessage="1" sqref="D5835">
      <formula1>0</formula1>
    </dataValidation>
    <dataValidation type="decimal" operator="greaterThan" allowBlank="1" showInputMessage="1" showErrorMessage="1" sqref="E5835">
      <formula1>0</formula1>
    </dataValidation>
    <dataValidation type="whole" operator="greaterThan" allowBlank="1" showInputMessage="1" showErrorMessage="1" sqref="A5836">
      <formula1>0</formula1>
    </dataValidation>
    <dataValidation type="list" allowBlank="1" showInputMessage="1" showErrorMessage="1" sqref="C5836">
      <formula1>UnidadesList</formula1>
    </dataValidation>
    <dataValidation type="decimal" operator="greaterThan" allowBlank="1" showInputMessage="1" showErrorMessage="1" sqref="D5836">
      <formula1>0</formula1>
    </dataValidation>
    <dataValidation type="decimal" operator="greaterThan" allowBlank="1" showInputMessage="1" showErrorMessage="1" sqref="E5836">
      <formula1>0</formula1>
    </dataValidation>
    <dataValidation type="whole" operator="greaterThan" allowBlank="1" showInputMessage="1" showErrorMessage="1" sqref="A5837">
      <formula1>0</formula1>
    </dataValidation>
    <dataValidation type="list" allowBlank="1" showInputMessage="1" showErrorMessage="1" sqref="C5837">
      <formula1>UnidadesList</formula1>
    </dataValidation>
    <dataValidation type="decimal" operator="greaterThan" allowBlank="1" showInputMessage="1" showErrorMessage="1" sqref="D5837">
      <formula1>0</formula1>
    </dataValidation>
    <dataValidation type="decimal" operator="greaterThan" allowBlank="1" showInputMessage="1" showErrorMessage="1" sqref="E5837">
      <formula1>0</formula1>
    </dataValidation>
    <dataValidation type="whole" operator="greaterThan" allowBlank="1" showInputMessage="1" showErrorMessage="1" sqref="A5838">
      <formula1>0</formula1>
    </dataValidation>
    <dataValidation type="list" allowBlank="1" showInputMessage="1" showErrorMessage="1" sqref="C5838">
      <formula1>UnidadesList</formula1>
    </dataValidation>
    <dataValidation type="decimal" operator="greaterThan" allowBlank="1" showInputMessage="1" showErrorMessage="1" sqref="D5838">
      <formula1>0</formula1>
    </dataValidation>
    <dataValidation type="decimal" operator="greaterThan" allowBlank="1" showInputMessage="1" showErrorMessage="1" sqref="E5838">
      <formula1>0</formula1>
    </dataValidation>
    <dataValidation type="whole" operator="greaterThan" allowBlank="1" showInputMessage="1" showErrorMessage="1" sqref="A5839">
      <formula1>0</formula1>
    </dataValidation>
    <dataValidation type="list" allowBlank="1" showInputMessage="1" showErrorMessage="1" sqref="C5839">
      <formula1>UnidadesList</formula1>
    </dataValidation>
    <dataValidation type="decimal" operator="greaterThan" allowBlank="1" showInputMessage="1" showErrorMessage="1" sqref="D5839">
      <formula1>0</formula1>
    </dataValidation>
    <dataValidation type="decimal" operator="greaterThan" allowBlank="1" showInputMessage="1" showErrorMessage="1" sqref="E5839">
      <formula1>0</formula1>
    </dataValidation>
    <dataValidation type="whole" operator="greaterThan" allowBlank="1" showInputMessage="1" showErrorMessage="1" sqref="A5840">
      <formula1>0</formula1>
    </dataValidation>
    <dataValidation type="list" allowBlank="1" showInputMessage="1" showErrorMessage="1" sqref="C5840">
      <formula1>UnidadesList</formula1>
    </dataValidation>
    <dataValidation type="decimal" operator="greaterThan" allowBlank="1" showInputMessage="1" showErrorMessage="1" sqref="D5840">
      <formula1>0</formula1>
    </dataValidation>
    <dataValidation type="decimal" operator="greaterThan" allowBlank="1" showInputMessage="1" showErrorMessage="1" sqref="E5840">
      <formula1>0</formula1>
    </dataValidation>
    <dataValidation type="whole" operator="greaterThan" allowBlank="1" showInputMessage="1" showErrorMessage="1" sqref="A5841">
      <formula1>0</formula1>
    </dataValidation>
    <dataValidation type="list" allowBlank="1" showInputMessage="1" showErrorMessage="1" sqref="C5841">
      <formula1>UnidadesList</formula1>
    </dataValidation>
    <dataValidation type="decimal" operator="greaterThan" allowBlank="1" showInputMessage="1" showErrorMessage="1" sqref="D5841">
      <formula1>0</formula1>
    </dataValidation>
    <dataValidation type="decimal" operator="greaterThan" allowBlank="1" showInputMessage="1" showErrorMessage="1" sqref="E5841">
      <formula1>0</formula1>
    </dataValidation>
    <dataValidation type="whole" operator="greaterThan" allowBlank="1" showInputMessage="1" showErrorMessage="1" sqref="A5842">
      <formula1>0</formula1>
    </dataValidation>
    <dataValidation type="list" allowBlank="1" showInputMessage="1" showErrorMessage="1" sqref="C5842">
      <formula1>UnidadesList</formula1>
    </dataValidation>
    <dataValidation type="decimal" operator="greaterThan" allowBlank="1" showInputMessage="1" showErrorMessage="1" sqref="D5842">
      <formula1>0</formula1>
    </dataValidation>
    <dataValidation type="decimal" operator="greaterThan" allowBlank="1" showInputMessage="1" showErrorMessage="1" sqref="E5842">
      <formula1>0</formula1>
    </dataValidation>
    <dataValidation type="whole" operator="greaterThan" allowBlank="1" showInputMessage="1" showErrorMessage="1" sqref="A5843">
      <formula1>0</formula1>
    </dataValidation>
    <dataValidation type="list" allowBlank="1" showInputMessage="1" showErrorMessage="1" sqref="C5843">
      <formula1>UnidadesList</formula1>
    </dataValidation>
    <dataValidation type="decimal" operator="greaterThan" allowBlank="1" showInputMessage="1" showErrorMessage="1" sqref="D5843">
      <formula1>0</formula1>
    </dataValidation>
    <dataValidation type="decimal" operator="greaterThan" allowBlank="1" showInputMessage="1" showErrorMessage="1" sqref="E5843">
      <formula1>0</formula1>
    </dataValidation>
    <dataValidation type="whole" operator="greaterThan" allowBlank="1" showInputMessage="1" showErrorMessage="1" sqref="A5844">
      <formula1>0</formula1>
    </dataValidation>
    <dataValidation type="list" allowBlank="1" showInputMessage="1" showErrorMessage="1" sqref="C5844">
      <formula1>UnidadesList</formula1>
    </dataValidation>
    <dataValidation type="decimal" operator="greaterThan" allowBlank="1" showInputMessage="1" showErrorMessage="1" sqref="D5844">
      <formula1>0</formula1>
    </dataValidation>
    <dataValidation type="decimal" operator="greaterThan" allowBlank="1" showInputMessage="1" showErrorMessage="1" sqref="E5844">
      <formula1>0</formula1>
    </dataValidation>
    <dataValidation type="whole" operator="greaterThan" allowBlank="1" showInputMessage="1" showErrorMessage="1" sqref="A5845">
      <formula1>0</formula1>
    </dataValidation>
    <dataValidation type="list" allowBlank="1" showInputMessage="1" showErrorMessage="1" sqref="C5845">
      <formula1>UnidadesList</formula1>
    </dataValidation>
    <dataValidation type="decimal" operator="greaterThan" allowBlank="1" showInputMessage="1" showErrorMessage="1" sqref="D5845">
      <formula1>0</formula1>
    </dataValidation>
    <dataValidation type="decimal" operator="greaterThan" allowBlank="1" showInputMessage="1" showErrorMessage="1" sqref="E5845">
      <formula1>0</formula1>
    </dataValidation>
    <dataValidation type="whole" operator="greaterThan" allowBlank="1" showInputMessage="1" showErrorMessage="1" sqref="A5846">
      <formula1>0</formula1>
    </dataValidation>
    <dataValidation type="list" allowBlank="1" showInputMessage="1" showErrorMessage="1" sqref="C5846">
      <formula1>UnidadesList</formula1>
    </dataValidation>
    <dataValidation type="decimal" operator="greaterThan" allowBlank="1" showInputMessage="1" showErrorMessage="1" sqref="D5846">
      <formula1>0</formula1>
    </dataValidation>
    <dataValidation type="decimal" operator="greaterThan" allowBlank="1" showInputMessage="1" showErrorMessage="1" sqref="E5846">
      <formula1>0</formula1>
    </dataValidation>
    <dataValidation type="whole" operator="greaterThan" allowBlank="1" showInputMessage="1" showErrorMessage="1" sqref="A5847">
      <formula1>0</formula1>
    </dataValidation>
    <dataValidation type="list" allowBlank="1" showInputMessage="1" showErrorMessage="1" sqref="C5847">
      <formula1>UnidadesList</formula1>
    </dataValidation>
    <dataValidation type="decimal" operator="greaterThan" allowBlank="1" showInputMessage="1" showErrorMessage="1" sqref="D5847">
      <formula1>0</formula1>
    </dataValidation>
    <dataValidation type="decimal" operator="greaterThan" allowBlank="1" showInputMessage="1" showErrorMessage="1" sqref="E5847">
      <formula1>0</formula1>
    </dataValidation>
    <dataValidation type="whole" operator="greaterThan" allowBlank="1" showInputMessage="1" showErrorMessage="1" sqref="A5848">
      <formula1>0</formula1>
    </dataValidation>
    <dataValidation type="list" allowBlank="1" showInputMessage="1" showErrorMessage="1" sqref="C5848">
      <formula1>UnidadesList</formula1>
    </dataValidation>
    <dataValidation type="decimal" operator="greaterThan" allowBlank="1" showInputMessage="1" showErrorMessage="1" sqref="D5848">
      <formula1>0</formula1>
    </dataValidation>
    <dataValidation type="decimal" operator="greaterThan" allowBlank="1" showInputMessage="1" showErrorMessage="1" sqref="E5848">
      <formula1>0</formula1>
    </dataValidation>
    <dataValidation type="whole" operator="greaterThan" allowBlank="1" showInputMessage="1" showErrorMessage="1" sqref="A5849">
      <formula1>0</formula1>
    </dataValidation>
    <dataValidation type="list" allowBlank="1" showInputMessage="1" showErrorMessage="1" sqref="C5849">
      <formula1>UnidadesList</formula1>
    </dataValidation>
    <dataValidation type="decimal" operator="greaterThan" allowBlank="1" showInputMessage="1" showErrorMessage="1" sqref="D5849">
      <formula1>0</formula1>
    </dataValidation>
    <dataValidation type="decimal" operator="greaterThan" allowBlank="1" showInputMessage="1" showErrorMessage="1" sqref="E5849">
      <formula1>0</formula1>
    </dataValidation>
    <dataValidation type="date" operator="lessThanOrEqual" allowBlank="1" showInputMessage="1" showErrorMessage="1" sqref="C5854">
      <formula1>C5856</formula1>
    </dataValidation>
    <dataValidation type="date" operator="greaterThanOrEqual" allowBlank="1" showInputMessage="1" showErrorMessage="1" sqref="C5856">
      <formula1>C5854</formula1>
    </dataValidation>
    <dataValidation type="list" allowBlank="1" showInputMessage="1" showErrorMessage="1" sqref="F58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60">
      <formula1>0</formula1>
    </dataValidation>
    <dataValidation type="list" allowBlank="1" showInputMessage="1" showErrorMessage="1" sqref="C5860">
      <formula1>UnidadesList</formula1>
    </dataValidation>
    <dataValidation type="decimal" operator="greaterThan" allowBlank="1" showInputMessage="1" showErrorMessage="1" sqref="D5860">
      <formula1>0</formula1>
    </dataValidation>
    <dataValidation type="decimal" operator="greaterThan" allowBlank="1" showInputMessage="1" showErrorMessage="1" sqref="E5860">
      <formula1>0</formula1>
    </dataValidation>
    <dataValidation type="whole" operator="greaterThan" allowBlank="1" showInputMessage="1" showErrorMessage="1" sqref="A5861">
      <formula1>0</formula1>
    </dataValidation>
    <dataValidation type="list" allowBlank="1" showInputMessage="1" showErrorMessage="1" sqref="C5861">
      <formula1>UnidadesList</formula1>
    </dataValidation>
    <dataValidation type="decimal" operator="greaterThan" allowBlank="1" showInputMessage="1" showErrorMessage="1" sqref="D5861">
      <formula1>0</formula1>
    </dataValidation>
    <dataValidation type="decimal" operator="greaterThan" allowBlank="1" showInputMessage="1" showErrorMessage="1" sqref="E5861">
      <formula1>0</formula1>
    </dataValidation>
    <dataValidation type="whole" operator="greaterThan" allowBlank="1" showInputMessage="1" showErrorMessage="1" sqref="A5862">
      <formula1>0</formula1>
    </dataValidation>
    <dataValidation type="list" allowBlank="1" showInputMessage="1" showErrorMessage="1" sqref="C5862">
      <formula1>UnidadesList</formula1>
    </dataValidation>
    <dataValidation type="decimal" operator="greaterThan" allowBlank="1" showInputMessage="1" showErrorMessage="1" sqref="D5862">
      <formula1>0</formula1>
    </dataValidation>
    <dataValidation type="decimal" operator="greaterThan" allowBlank="1" showInputMessage="1" showErrorMessage="1" sqref="E5862">
      <formula1>0</formula1>
    </dataValidation>
    <dataValidation type="whole" operator="greaterThan" allowBlank="1" showInputMessage="1" showErrorMessage="1" sqref="A5863">
      <formula1>0</formula1>
    </dataValidation>
    <dataValidation type="list" allowBlank="1" showInputMessage="1" showErrorMessage="1" sqref="C5863">
      <formula1>UnidadesList</formula1>
    </dataValidation>
    <dataValidation type="decimal" operator="greaterThan" allowBlank="1" showInputMessage="1" showErrorMessage="1" sqref="D5863">
      <formula1>0</formula1>
    </dataValidation>
    <dataValidation type="decimal" operator="greaterThan" allowBlank="1" showInputMessage="1" showErrorMessage="1" sqref="E5863">
      <formula1>0</formula1>
    </dataValidation>
    <dataValidation type="whole" operator="greaterThan" allowBlank="1" showInputMessage="1" showErrorMessage="1" sqref="A5864">
      <formula1>0</formula1>
    </dataValidation>
    <dataValidation type="list" allowBlank="1" showInputMessage="1" showErrorMessage="1" sqref="C5864">
      <formula1>UnidadesList</formula1>
    </dataValidation>
    <dataValidation type="decimal" operator="greaterThan" allowBlank="1" showInputMessage="1" showErrorMessage="1" sqref="D5864">
      <formula1>0</formula1>
    </dataValidation>
    <dataValidation type="decimal" operator="greaterThan" allowBlank="1" showInputMessage="1" showErrorMessage="1" sqref="E5864">
      <formula1>0</formula1>
    </dataValidation>
    <dataValidation type="whole" operator="greaterThan" allowBlank="1" showInputMessage="1" showErrorMessage="1" sqref="A5865">
      <formula1>0</formula1>
    </dataValidation>
    <dataValidation type="list" allowBlank="1" showInputMessage="1" showErrorMessage="1" sqref="C5865">
      <formula1>UnidadesList</formula1>
    </dataValidation>
    <dataValidation type="decimal" operator="greaterThan" allowBlank="1" showInputMessage="1" showErrorMessage="1" sqref="D5865">
      <formula1>0</formula1>
    </dataValidation>
    <dataValidation type="decimal" operator="greaterThan" allowBlank="1" showInputMessage="1" showErrorMessage="1" sqref="E5865">
      <formula1>0</formula1>
    </dataValidation>
    <dataValidation type="whole" operator="greaterThan" allowBlank="1" showInputMessage="1" showErrorMessage="1" sqref="A5866">
      <formula1>0</formula1>
    </dataValidation>
    <dataValidation type="list" allowBlank="1" showInputMessage="1" showErrorMessage="1" sqref="C5866">
      <formula1>UnidadesList</formula1>
    </dataValidation>
    <dataValidation type="decimal" operator="greaterThan" allowBlank="1" showInputMessage="1" showErrorMessage="1" sqref="D5866">
      <formula1>0</formula1>
    </dataValidation>
    <dataValidation type="decimal" operator="greaterThan" allowBlank="1" showInputMessage="1" showErrorMessage="1" sqref="E5866">
      <formula1>0</formula1>
    </dataValidation>
    <dataValidation type="whole" operator="greaterThan" allowBlank="1" showInputMessage="1" showErrorMessage="1" sqref="A5867">
      <formula1>0</formula1>
    </dataValidation>
    <dataValidation type="list" allowBlank="1" showInputMessage="1" showErrorMessage="1" sqref="C5867">
      <formula1>UnidadesList</formula1>
    </dataValidation>
    <dataValidation type="decimal" operator="greaterThan" allowBlank="1" showInputMessage="1" showErrorMessage="1" sqref="D5867">
      <formula1>0</formula1>
    </dataValidation>
    <dataValidation type="decimal" operator="greaterThan" allowBlank="1" showInputMessage="1" showErrorMessage="1" sqref="E5867">
      <formula1>0</formula1>
    </dataValidation>
    <dataValidation type="whole" operator="greaterThan" allowBlank="1" showInputMessage="1" showErrorMessage="1" sqref="A5868">
      <formula1>0</formula1>
    </dataValidation>
    <dataValidation type="list" allowBlank="1" showInputMessage="1" showErrorMessage="1" sqref="C5868">
      <formula1>UnidadesList</formula1>
    </dataValidation>
    <dataValidation type="decimal" operator="greaterThan" allowBlank="1" showInputMessage="1" showErrorMessage="1" sqref="D5868">
      <formula1>0</formula1>
    </dataValidation>
    <dataValidation type="decimal" operator="greaterThan" allowBlank="1" showInputMessage="1" showErrorMessage="1" sqref="E5868">
      <formula1>0</formula1>
    </dataValidation>
    <dataValidation type="whole" operator="greaterThan" allowBlank="1" showInputMessage="1" showErrorMessage="1" sqref="A5869">
      <formula1>0</formula1>
    </dataValidation>
    <dataValidation type="list" allowBlank="1" showInputMessage="1" showErrorMessage="1" sqref="C5869">
      <formula1>UnidadesList</formula1>
    </dataValidation>
    <dataValidation type="decimal" operator="greaterThan" allowBlank="1" showInputMessage="1" showErrorMessage="1" sqref="D5869">
      <formula1>0</formula1>
    </dataValidation>
    <dataValidation type="decimal" operator="greaterThan" allowBlank="1" showInputMessage="1" showErrorMessage="1" sqref="E5869">
      <formula1>0</formula1>
    </dataValidation>
    <dataValidation type="whole" operator="greaterThan" allowBlank="1" showInputMessage="1" showErrorMessage="1" sqref="A5870">
      <formula1>0</formula1>
    </dataValidation>
    <dataValidation type="list" allowBlank="1" showInputMessage="1" showErrorMessage="1" sqref="C5870">
      <formula1>UnidadesList</formula1>
    </dataValidation>
    <dataValidation type="decimal" operator="greaterThan" allowBlank="1" showInputMessage="1" showErrorMessage="1" sqref="D5870">
      <formula1>0</formula1>
    </dataValidation>
    <dataValidation type="decimal" operator="greaterThan" allowBlank="1" showInputMessage="1" showErrorMessage="1" sqref="E5870">
      <formula1>0</formula1>
    </dataValidation>
    <dataValidation type="whole" operator="greaterThan" allowBlank="1" showInputMessage="1" showErrorMessage="1" sqref="A5871">
      <formula1>0</formula1>
    </dataValidation>
    <dataValidation type="list" allowBlank="1" showInputMessage="1" showErrorMessage="1" sqref="C5871">
      <formula1>UnidadesList</formula1>
    </dataValidation>
    <dataValidation type="decimal" operator="greaterThan" allowBlank="1" showInputMessage="1" showErrorMessage="1" sqref="D5871">
      <formula1>0</formula1>
    </dataValidation>
    <dataValidation type="decimal" operator="greaterThan" allowBlank="1" showInputMessage="1" showErrorMessage="1" sqref="E5871">
      <formula1>0</formula1>
    </dataValidation>
    <dataValidation type="whole" operator="greaterThan" allowBlank="1" showInputMessage="1" showErrorMessage="1" sqref="A5872">
      <formula1>0</formula1>
    </dataValidation>
    <dataValidation type="list" allowBlank="1" showInputMessage="1" showErrorMessage="1" sqref="C5872">
      <formula1>UnidadesList</formula1>
    </dataValidation>
    <dataValidation type="decimal" operator="greaterThan" allowBlank="1" showInputMessage="1" showErrorMessage="1" sqref="D5872">
      <formula1>0</formula1>
    </dataValidation>
    <dataValidation type="decimal" operator="greaterThan" allowBlank="1" showInputMessage="1" showErrorMessage="1" sqref="E5872">
      <formula1>0</formula1>
    </dataValidation>
    <dataValidation type="whole" operator="greaterThan" allowBlank="1" showInputMessage="1" showErrorMessage="1" sqref="A5873">
      <formula1>0</formula1>
    </dataValidation>
    <dataValidation type="list" allowBlank="1" showInputMessage="1" showErrorMessage="1" sqref="C5873">
      <formula1>UnidadesList</formula1>
    </dataValidation>
    <dataValidation type="decimal" operator="greaterThan" allowBlank="1" showInputMessage="1" showErrorMessage="1" sqref="D5873">
      <formula1>0</formula1>
    </dataValidation>
    <dataValidation type="decimal" operator="greaterThan" allowBlank="1" showInputMessage="1" showErrorMessage="1" sqref="E5873">
      <formula1>0</formula1>
    </dataValidation>
    <dataValidation type="whole" operator="greaterThan" allowBlank="1" showInputMessage="1" showErrorMessage="1" sqref="A5874">
      <formula1>0</formula1>
    </dataValidation>
    <dataValidation type="list" allowBlank="1" showInputMessage="1" showErrorMessage="1" sqref="C5874">
      <formula1>UnidadesList</formula1>
    </dataValidation>
    <dataValidation type="decimal" operator="greaterThan" allowBlank="1" showInputMessage="1" showErrorMessage="1" sqref="D5874">
      <formula1>0</formula1>
    </dataValidation>
    <dataValidation type="decimal" operator="greaterThan" allowBlank="1" showInputMessage="1" showErrorMessage="1" sqref="E5874">
      <formula1>0</formula1>
    </dataValidation>
    <dataValidation type="whole" operator="greaterThan" allowBlank="1" showInputMessage="1" showErrorMessage="1" sqref="A5875">
      <formula1>0</formula1>
    </dataValidation>
    <dataValidation type="list" allowBlank="1" showInputMessage="1" showErrorMessage="1" sqref="C5875">
      <formula1>UnidadesList</formula1>
    </dataValidation>
    <dataValidation type="decimal" operator="greaterThan" allowBlank="1" showInputMessage="1" showErrorMessage="1" sqref="D5875">
      <formula1>0</formula1>
    </dataValidation>
    <dataValidation type="decimal" operator="greaterThan" allowBlank="1" showInputMessage="1" showErrorMessage="1" sqref="E5875">
      <formula1>0</formula1>
    </dataValidation>
    <dataValidation type="whole" operator="greaterThan" allowBlank="1" showInputMessage="1" showErrorMessage="1" sqref="A5876">
      <formula1>0</formula1>
    </dataValidation>
    <dataValidation type="list" allowBlank="1" showInputMessage="1" showErrorMessage="1" sqref="C5876">
      <formula1>UnidadesList</formula1>
    </dataValidation>
    <dataValidation type="decimal" operator="greaterThan" allowBlank="1" showInputMessage="1" showErrorMessage="1" sqref="D5876">
      <formula1>0</formula1>
    </dataValidation>
    <dataValidation type="decimal" operator="greaterThan" allowBlank="1" showInputMessage="1" showErrorMessage="1" sqref="E5876">
      <formula1>0</formula1>
    </dataValidation>
    <dataValidation type="whole" operator="greaterThan" allowBlank="1" showInputMessage="1" showErrorMessage="1" sqref="A5877">
      <formula1>0</formula1>
    </dataValidation>
    <dataValidation type="list" allowBlank="1" showInputMessage="1" showErrorMessage="1" sqref="C5877">
      <formula1>UnidadesList</formula1>
    </dataValidation>
    <dataValidation type="decimal" operator="greaterThan" allowBlank="1" showInputMessage="1" showErrorMessage="1" sqref="D5877">
      <formula1>0</formula1>
    </dataValidation>
    <dataValidation type="decimal" operator="greaterThan" allowBlank="1" showInputMessage="1" showErrorMessage="1" sqref="E5877">
      <formula1>0</formula1>
    </dataValidation>
    <dataValidation type="whole" operator="greaterThan" allowBlank="1" showInputMessage="1" showErrorMessage="1" sqref="A5878">
      <formula1>0</formula1>
    </dataValidation>
    <dataValidation type="list" allowBlank="1" showInputMessage="1" showErrorMessage="1" sqref="C5878">
      <formula1>UnidadesList</formula1>
    </dataValidation>
    <dataValidation type="decimal" operator="greaterThan" allowBlank="1" showInputMessage="1" showErrorMessage="1" sqref="D5878">
      <formula1>0</formula1>
    </dataValidation>
    <dataValidation type="decimal" operator="greaterThan" allowBlank="1" showInputMessage="1" showErrorMessage="1" sqref="E5878">
      <formula1>0</formula1>
    </dataValidation>
    <dataValidation type="date" operator="lessThanOrEqual" allowBlank="1" showInputMessage="1" showErrorMessage="1" sqref="C5883">
      <formula1>C5885</formula1>
    </dataValidation>
    <dataValidation type="date" operator="greaterThanOrEqual" allowBlank="1" showInputMessage="1" showErrorMessage="1" sqref="C5885">
      <formula1>C5883</formula1>
    </dataValidation>
    <dataValidation type="list" allowBlank="1" showInputMessage="1" showErrorMessage="1" sqref="F58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89">
      <formula1>0</formula1>
    </dataValidation>
    <dataValidation type="list" allowBlank="1" showInputMessage="1" showErrorMessage="1" sqref="C5889">
      <formula1>UnidadesList</formula1>
    </dataValidation>
    <dataValidation type="decimal" operator="greaterThan" allowBlank="1" showInputMessage="1" showErrorMessage="1" sqref="D5889">
      <formula1>0</formula1>
    </dataValidation>
    <dataValidation type="decimal" operator="greaterThan" allowBlank="1" showInputMessage="1" showErrorMessage="1" sqref="E5889">
      <formula1>0</formula1>
    </dataValidation>
    <dataValidation type="whole" operator="greaterThan" allowBlank="1" showInputMessage="1" showErrorMessage="1" sqref="A5890">
      <formula1>0</formula1>
    </dataValidation>
    <dataValidation type="list" allowBlank="1" showInputMessage="1" showErrorMessage="1" sqref="C5890">
      <formula1>UnidadesList</formula1>
    </dataValidation>
    <dataValidation type="decimal" operator="greaterThan" allowBlank="1" showInputMessage="1" showErrorMessage="1" sqref="D5890">
      <formula1>0</formula1>
    </dataValidation>
    <dataValidation type="decimal" operator="greaterThan" allowBlank="1" showInputMessage="1" showErrorMessage="1" sqref="E5890">
      <formula1>0</formula1>
    </dataValidation>
    <dataValidation type="whole" operator="greaterThan" allowBlank="1" showInputMessage="1" showErrorMessage="1" sqref="A5891">
      <formula1>0</formula1>
    </dataValidation>
    <dataValidation type="list" allowBlank="1" showInputMessage="1" showErrorMessage="1" sqref="C5891">
      <formula1>UnidadesList</formula1>
    </dataValidation>
    <dataValidation type="decimal" operator="greaterThan" allowBlank="1" showInputMessage="1" showErrorMessage="1" sqref="D5891">
      <formula1>0</formula1>
    </dataValidation>
    <dataValidation type="decimal" operator="greaterThan" allowBlank="1" showInputMessage="1" showErrorMessage="1" sqref="E5891">
      <formula1>0</formula1>
    </dataValidation>
    <dataValidation type="whole" operator="greaterThan" allowBlank="1" showInputMessage="1" showErrorMessage="1" sqref="A5892">
      <formula1>0</formula1>
    </dataValidation>
    <dataValidation type="list" allowBlank="1" showInputMessage="1" showErrorMessage="1" sqref="C5892">
      <formula1>UnidadesList</formula1>
    </dataValidation>
    <dataValidation type="decimal" operator="greaterThan" allowBlank="1" showInputMessage="1" showErrorMessage="1" sqref="D5892">
      <formula1>0</formula1>
    </dataValidation>
    <dataValidation type="decimal" operator="greaterThan" allowBlank="1" showInputMessage="1" showErrorMessage="1" sqref="E5892">
      <formula1>0</formula1>
    </dataValidation>
    <dataValidation type="whole" operator="greaterThan" allowBlank="1" showInputMessage="1" showErrorMessage="1" sqref="A5893">
      <formula1>0</formula1>
    </dataValidation>
    <dataValidation type="list" allowBlank="1" showInputMessage="1" showErrorMessage="1" sqref="C5893">
      <formula1>UnidadesList</formula1>
    </dataValidation>
    <dataValidation type="decimal" operator="greaterThan" allowBlank="1" showInputMessage="1" showErrorMessage="1" sqref="D5893">
      <formula1>0</formula1>
    </dataValidation>
    <dataValidation type="decimal" operator="greaterThan" allowBlank="1" showInputMessage="1" showErrorMessage="1" sqref="E5893">
      <formula1>0</formula1>
    </dataValidation>
    <dataValidation type="whole" operator="greaterThan" allowBlank="1" showInputMessage="1" showErrorMessage="1" sqref="A5894">
      <formula1>0</formula1>
    </dataValidation>
    <dataValidation type="list" allowBlank="1" showInputMessage="1" showErrorMessage="1" sqref="C5894">
      <formula1>UnidadesList</formula1>
    </dataValidation>
    <dataValidation type="decimal" operator="greaterThan" allowBlank="1" showInputMessage="1" showErrorMessage="1" sqref="D5894">
      <formula1>0</formula1>
    </dataValidation>
    <dataValidation type="decimal" operator="greaterThan" allowBlank="1" showInputMessage="1" showErrorMessage="1" sqref="E5894">
      <formula1>0</formula1>
    </dataValidation>
    <dataValidation type="whole" operator="greaterThan" allowBlank="1" showInputMessage="1" showErrorMessage="1" sqref="A5895">
      <formula1>0</formula1>
    </dataValidation>
    <dataValidation type="list" allowBlank="1" showInputMessage="1" showErrorMessage="1" sqref="C5895">
      <formula1>UnidadesList</formula1>
    </dataValidation>
    <dataValidation type="decimal" operator="greaterThan" allowBlank="1" showInputMessage="1" showErrorMessage="1" sqref="D5895">
      <formula1>0</formula1>
    </dataValidation>
    <dataValidation type="decimal" operator="greaterThan" allowBlank="1" showInputMessage="1" showErrorMessage="1" sqref="E5895">
      <formula1>0</formula1>
    </dataValidation>
    <dataValidation type="whole" operator="greaterThan" allowBlank="1" showInputMessage="1" showErrorMessage="1" sqref="A5896">
      <formula1>0</formula1>
    </dataValidation>
    <dataValidation type="list" allowBlank="1" showInputMessage="1" showErrorMessage="1" sqref="C5896">
      <formula1>UnidadesList</formula1>
    </dataValidation>
    <dataValidation type="decimal" operator="greaterThan" allowBlank="1" showInputMessage="1" showErrorMessage="1" sqref="D5896">
      <formula1>0</formula1>
    </dataValidation>
    <dataValidation type="decimal" operator="greaterThan" allowBlank="1" showInputMessage="1" showErrorMessage="1" sqref="E5896">
      <formula1>0</formula1>
    </dataValidation>
    <dataValidation type="whole" operator="greaterThan" allowBlank="1" showInputMessage="1" showErrorMessage="1" sqref="A5897">
      <formula1>0</formula1>
    </dataValidation>
    <dataValidation type="list" allowBlank="1" showInputMessage="1" showErrorMessage="1" sqref="C5897">
      <formula1>UnidadesList</formula1>
    </dataValidation>
    <dataValidation type="decimal" operator="greaterThan" allowBlank="1" showInputMessage="1" showErrorMessage="1" sqref="D5897">
      <formula1>0</formula1>
    </dataValidation>
    <dataValidation type="decimal" operator="greaterThan" allowBlank="1" showInputMessage="1" showErrorMessage="1" sqref="E5897">
      <formula1>0</formula1>
    </dataValidation>
    <dataValidation type="whole" operator="greaterThan" allowBlank="1" showInputMessage="1" showErrorMessage="1" sqref="A5898">
      <formula1>0</formula1>
    </dataValidation>
    <dataValidation type="list" allowBlank="1" showInputMessage="1" showErrorMessage="1" sqref="C5898">
      <formula1>UnidadesList</formula1>
    </dataValidation>
    <dataValidation type="decimal" operator="greaterThan" allowBlank="1" showInputMessage="1" showErrorMessage="1" sqref="D5898">
      <formula1>0</formula1>
    </dataValidation>
    <dataValidation type="decimal" operator="greaterThan" allowBlank="1" showInputMessage="1" showErrorMessage="1" sqref="E5898">
      <formula1>0</formula1>
    </dataValidation>
    <dataValidation type="whole" operator="greaterThan" allowBlank="1" showInputMessage="1" showErrorMessage="1" sqref="A5899">
      <formula1>0</formula1>
    </dataValidation>
    <dataValidation type="list" allowBlank="1" showInputMessage="1" showErrorMessage="1" sqref="C5899">
      <formula1>UnidadesList</formula1>
    </dataValidation>
    <dataValidation type="decimal" operator="greaterThan" allowBlank="1" showInputMessage="1" showErrorMessage="1" sqref="D5899">
      <formula1>0</formula1>
    </dataValidation>
    <dataValidation type="decimal" operator="greaterThan" allowBlank="1" showInputMessage="1" showErrorMessage="1" sqref="E5899">
      <formula1>0</formula1>
    </dataValidation>
    <dataValidation type="whole" operator="greaterThan" allowBlank="1" showInputMessage="1" showErrorMessage="1" sqref="A5900">
      <formula1>0</formula1>
    </dataValidation>
    <dataValidation type="list" allowBlank="1" showInputMessage="1" showErrorMessage="1" sqref="C5900">
      <formula1>UnidadesList</formula1>
    </dataValidation>
    <dataValidation type="decimal" operator="greaterThan" allowBlank="1" showInputMessage="1" showErrorMessage="1" sqref="D5900">
      <formula1>0</formula1>
    </dataValidation>
    <dataValidation type="decimal" operator="greaterThan" allowBlank="1" showInputMessage="1" showErrorMessage="1" sqref="E5900">
      <formula1>0</formula1>
    </dataValidation>
    <dataValidation type="whole" operator="greaterThan" allowBlank="1" showInputMessage="1" showErrorMessage="1" sqref="A5901">
      <formula1>0</formula1>
    </dataValidation>
    <dataValidation type="list" allowBlank="1" showInputMessage="1" showErrorMessage="1" sqref="C5901">
      <formula1>UnidadesList</formula1>
    </dataValidation>
    <dataValidation type="decimal" operator="greaterThan" allowBlank="1" showInputMessage="1" showErrorMessage="1" sqref="D5901">
      <formula1>0</formula1>
    </dataValidation>
    <dataValidation type="decimal" operator="greaterThan" allowBlank="1" showInputMessage="1" showErrorMessage="1" sqref="E5901">
      <formula1>0</formula1>
    </dataValidation>
    <dataValidation type="whole" operator="greaterThan" allowBlank="1" showInputMessage="1" showErrorMessage="1" sqref="A5902">
      <formula1>0</formula1>
    </dataValidation>
    <dataValidation type="list" allowBlank="1" showInputMessage="1" showErrorMessage="1" sqref="C5902">
      <formula1>UnidadesList</formula1>
    </dataValidation>
    <dataValidation type="decimal" operator="greaterThan" allowBlank="1" showInputMessage="1" showErrorMessage="1" sqref="D5902">
      <formula1>0</formula1>
    </dataValidation>
    <dataValidation type="decimal" operator="greaterThan" allowBlank="1" showInputMessage="1" showErrorMessage="1" sqref="E5902">
      <formula1>0</formula1>
    </dataValidation>
    <dataValidation type="whole" operator="greaterThan" allowBlank="1" showInputMessage="1" showErrorMessage="1" sqref="A5903">
      <formula1>0</formula1>
    </dataValidation>
    <dataValidation type="list" allowBlank="1" showInputMessage="1" showErrorMessage="1" sqref="C5903">
      <formula1>UnidadesList</formula1>
    </dataValidation>
    <dataValidation type="decimal" operator="greaterThan" allowBlank="1" showInputMessage="1" showErrorMessage="1" sqref="D5903">
      <formula1>0</formula1>
    </dataValidation>
    <dataValidation type="decimal" operator="greaterThan" allowBlank="1" showInputMessage="1" showErrorMessage="1" sqref="E5903">
      <formula1>0</formula1>
    </dataValidation>
    <dataValidation type="whole" operator="greaterThan" allowBlank="1" showInputMessage="1" showErrorMessage="1" sqref="A5904">
      <formula1>0</formula1>
    </dataValidation>
    <dataValidation type="list" allowBlank="1" showInputMessage="1" showErrorMessage="1" sqref="C5904">
      <formula1>UnidadesList</formula1>
    </dataValidation>
    <dataValidation type="decimal" operator="greaterThan" allowBlank="1" showInputMessage="1" showErrorMessage="1" sqref="D5904">
      <formula1>0</formula1>
    </dataValidation>
    <dataValidation type="decimal" operator="greaterThan" allowBlank="1" showInputMessage="1" showErrorMessage="1" sqref="E5904">
      <formula1>0</formula1>
    </dataValidation>
    <dataValidation type="whole" operator="greaterThan" allowBlank="1" showInputMessage="1" showErrorMessage="1" sqref="A5905">
      <formula1>0</formula1>
    </dataValidation>
    <dataValidation type="list" allowBlank="1" showInputMessage="1" showErrorMessage="1" sqref="C5905">
      <formula1>UnidadesList</formula1>
    </dataValidation>
    <dataValidation type="decimal" operator="greaterThan" allowBlank="1" showInputMessage="1" showErrorMessage="1" sqref="D5905">
      <formula1>0</formula1>
    </dataValidation>
    <dataValidation type="decimal" operator="greaterThan" allowBlank="1" showInputMessage="1" showErrorMessage="1" sqref="E5905">
      <formula1>0</formula1>
    </dataValidation>
    <dataValidation type="whole" operator="greaterThan" allowBlank="1" showInputMessage="1" showErrorMessage="1" sqref="A5906">
      <formula1>0</formula1>
    </dataValidation>
    <dataValidation type="list" allowBlank="1" showInputMessage="1" showErrorMessage="1" sqref="C5906">
      <formula1>UnidadesList</formula1>
    </dataValidation>
    <dataValidation type="decimal" operator="greaterThan" allowBlank="1" showInputMessage="1" showErrorMessage="1" sqref="D5906">
      <formula1>0</formula1>
    </dataValidation>
    <dataValidation type="decimal" operator="greaterThan" allowBlank="1" showInputMessage="1" showErrorMessage="1" sqref="E5906">
      <formula1>0</formula1>
    </dataValidation>
    <dataValidation type="whole" operator="greaterThan" allowBlank="1" showInputMessage="1" showErrorMessage="1" sqref="A5907">
      <formula1>0</formula1>
    </dataValidation>
    <dataValidation type="list" allowBlank="1" showInputMessage="1" showErrorMessage="1" sqref="C5907">
      <formula1>UnidadesList</formula1>
    </dataValidation>
    <dataValidation type="decimal" operator="greaterThan" allowBlank="1" showInputMessage="1" showErrorMessage="1" sqref="D5907">
      <formula1>0</formula1>
    </dataValidation>
    <dataValidation type="decimal" operator="greaterThan" allowBlank="1" showInputMessage="1" showErrorMessage="1" sqref="E5907">
      <formula1>0</formula1>
    </dataValidation>
    <dataValidation type="whole" operator="greaterThan" allowBlank="1" showInputMessage="1" showErrorMessage="1" sqref="A5908">
      <formula1>0</formula1>
    </dataValidation>
    <dataValidation type="list" allowBlank="1" showInputMessage="1" showErrorMessage="1" sqref="C5908">
      <formula1>UnidadesList</formula1>
    </dataValidation>
    <dataValidation type="decimal" operator="greaterThan" allowBlank="1" showInputMessage="1" showErrorMessage="1" sqref="D5908">
      <formula1>0</formula1>
    </dataValidation>
    <dataValidation type="decimal" operator="greaterThan" allowBlank="1" showInputMessage="1" showErrorMessage="1" sqref="E5908">
      <formula1>0</formula1>
    </dataValidation>
    <dataValidation type="whole" operator="greaterThan" allowBlank="1" showInputMessage="1" showErrorMessage="1" sqref="A5909">
      <formula1>0</formula1>
    </dataValidation>
    <dataValidation type="list" allowBlank="1" showInputMessage="1" showErrorMessage="1" sqref="C5909">
      <formula1>UnidadesList</formula1>
    </dataValidation>
    <dataValidation type="decimal" operator="greaterThan" allowBlank="1" showInputMessage="1" showErrorMessage="1" sqref="D5909">
      <formula1>0</formula1>
    </dataValidation>
    <dataValidation type="decimal" operator="greaterThan" allowBlank="1" showInputMessage="1" showErrorMessage="1" sqref="E5909">
      <formula1>0</formula1>
    </dataValidation>
    <dataValidation type="whole" operator="greaterThan" allowBlank="1" showInputMessage="1" showErrorMessage="1" sqref="A5910">
      <formula1>0</formula1>
    </dataValidation>
    <dataValidation type="list" allowBlank="1" showInputMessage="1" showErrorMessage="1" sqref="C5910">
      <formula1>UnidadesList</formula1>
    </dataValidation>
    <dataValidation type="decimal" operator="greaterThan" allowBlank="1" showInputMessage="1" showErrorMessage="1" sqref="D5910">
      <formula1>0</formula1>
    </dataValidation>
    <dataValidation type="decimal" operator="greaterThan" allowBlank="1" showInputMessage="1" showErrorMessage="1" sqref="E5910">
      <formula1>0</formula1>
    </dataValidation>
    <dataValidation type="whole" operator="greaterThan" allowBlank="1" showInputMessage="1" showErrorMessage="1" sqref="A5911">
      <formula1>0</formula1>
    </dataValidation>
    <dataValidation type="list" allowBlank="1" showInputMessage="1" showErrorMessage="1" sqref="C5911">
      <formula1>UnidadesList</formula1>
    </dataValidation>
    <dataValidation type="decimal" operator="greaterThan" allowBlank="1" showInputMessage="1" showErrorMessage="1" sqref="D5911">
      <formula1>0</formula1>
    </dataValidation>
    <dataValidation type="decimal" operator="greaterThan" allowBlank="1" showInputMessage="1" showErrorMessage="1" sqref="E5911">
      <formula1>0</formula1>
    </dataValidation>
    <dataValidation type="whole" operator="greaterThan" allowBlank="1" showInputMessage="1" showErrorMessage="1" sqref="A5912">
      <formula1>0</formula1>
    </dataValidation>
    <dataValidation type="list" allowBlank="1" showInputMessage="1" showErrorMessage="1" sqref="C5912">
      <formula1>UnidadesList</formula1>
    </dataValidation>
    <dataValidation type="decimal" operator="greaterThan" allowBlank="1" showInputMessage="1" showErrorMessage="1" sqref="D5912">
      <formula1>0</formula1>
    </dataValidation>
    <dataValidation type="decimal" operator="greaterThan" allowBlank="1" showInputMessage="1" showErrorMessage="1" sqref="E5912">
      <formula1>0</formula1>
    </dataValidation>
    <dataValidation type="whole" operator="greaterThan" allowBlank="1" showInputMessage="1" showErrorMessage="1" sqref="A5913">
      <formula1>0</formula1>
    </dataValidation>
    <dataValidation type="list" allowBlank="1" showInputMessage="1" showErrorMessage="1" sqref="C5913">
      <formula1>UnidadesList</formula1>
    </dataValidation>
    <dataValidation type="decimal" operator="greaterThan" allowBlank="1" showInputMessage="1" showErrorMessage="1" sqref="D5913">
      <formula1>0</formula1>
    </dataValidation>
    <dataValidation type="decimal" operator="greaterThan" allowBlank="1" showInputMessage="1" showErrorMessage="1" sqref="E5913">
      <formula1>0</formula1>
    </dataValidation>
    <dataValidation type="whole" operator="greaterThan" allowBlank="1" showInputMessage="1" showErrorMessage="1" sqref="A5914">
      <formula1>0</formula1>
    </dataValidation>
    <dataValidation type="list" allowBlank="1" showInputMessage="1" showErrorMessage="1" sqref="C5914">
      <formula1>UnidadesList</formula1>
    </dataValidation>
    <dataValidation type="decimal" operator="greaterThan" allowBlank="1" showInputMessage="1" showErrorMessage="1" sqref="D5914">
      <formula1>0</formula1>
    </dataValidation>
    <dataValidation type="decimal" operator="greaterThan" allowBlank="1" showInputMessage="1" showErrorMessage="1" sqref="E5914">
      <formula1>0</formula1>
    </dataValidation>
    <dataValidation type="whole" operator="greaterThan" allowBlank="1" showInputMessage="1" showErrorMessage="1" sqref="A5915">
      <formula1>0</formula1>
    </dataValidation>
    <dataValidation type="list" allowBlank="1" showInputMessage="1" showErrorMessage="1" sqref="C5915">
      <formula1>UnidadesList</formula1>
    </dataValidation>
    <dataValidation type="decimal" operator="greaterThan" allowBlank="1" showInputMessage="1" showErrorMessage="1" sqref="D5915">
      <formula1>0</formula1>
    </dataValidation>
    <dataValidation type="decimal" operator="greaterThan" allowBlank="1" showInputMessage="1" showErrorMessage="1" sqref="E5915">
      <formula1>0</formula1>
    </dataValidation>
    <dataValidation type="date" operator="lessThanOrEqual" allowBlank="1" showInputMessage="1" showErrorMessage="1" sqref="C5920">
      <formula1>C5922</formula1>
    </dataValidation>
    <dataValidation type="date" operator="greaterThanOrEqual" allowBlank="1" showInputMessage="1" showErrorMessage="1" sqref="C5922">
      <formula1>C5920</formula1>
    </dataValidation>
    <dataValidation type="list" allowBlank="1" showInputMessage="1" showErrorMessage="1" sqref="F592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92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92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92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926">
      <formula1>0</formula1>
    </dataValidation>
    <dataValidation type="list" allowBlank="1" showInputMessage="1" showErrorMessage="1" sqref="C5926">
      <formula1>UnidadesList</formula1>
    </dataValidation>
    <dataValidation type="decimal" operator="greaterThan" allowBlank="1" showInputMessage="1" showErrorMessage="1" sqref="D5926">
      <formula1>0</formula1>
    </dataValidation>
    <dataValidation type="decimal" operator="greaterThan" allowBlank="1" showInputMessage="1" showErrorMessage="1" sqref="E5926">
      <formula1>0</formula1>
    </dataValidation>
    <dataValidation type="whole" operator="greaterThan" allowBlank="1" showInputMessage="1" showErrorMessage="1" sqref="A5927">
      <formula1>0</formula1>
    </dataValidation>
    <dataValidation type="list" allowBlank="1" showInputMessage="1" showErrorMessage="1" sqref="C5927">
      <formula1>UnidadesList</formula1>
    </dataValidation>
    <dataValidation type="decimal" operator="greaterThan" allowBlank="1" showInputMessage="1" showErrorMessage="1" sqref="D5927">
      <formula1>0</formula1>
    </dataValidation>
    <dataValidation type="decimal" operator="greaterThan" allowBlank="1" showInputMessage="1" showErrorMessage="1" sqref="E5927">
      <formula1>0</formula1>
    </dataValidation>
    <dataValidation type="whole" operator="greaterThan" allowBlank="1" showInputMessage="1" showErrorMessage="1" sqref="A5928">
      <formula1>0</formula1>
    </dataValidation>
    <dataValidation type="list" allowBlank="1" showInputMessage="1" showErrorMessage="1" sqref="C5928">
      <formula1>UnidadesList</formula1>
    </dataValidation>
    <dataValidation type="decimal" operator="greaterThan" allowBlank="1" showInputMessage="1" showErrorMessage="1" sqref="D5928">
      <formula1>0</formula1>
    </dataValidation>
    <dataValidation type="decimal" operator="greaterThan" allowBlank="1" showInputMessage="1" showErrorMessage="1" sqref="E5928">
      <formula1>0</formula1>
    </dataValidation>
    <dataValidation type="whole" operator="greaterThan" allowBlank="1" showInputMessage="1" showErrorMessage="1" sqref="A5929">
      <formula1>0</formula1>
    </dataValidation>
    <dataValidation type="list" allowBlank="1" showInputMessage="1" showErrorMessage="1" sqref="C5929">
      <formula1>UnidadesList</formula1>
    </dataValidation>
    <dataValidation type="decimal" operator="greaterThan" allowBlank="1" showInputMessage="1" showErrorMessage="1" sqref="D5929">
      <formula1>0</formula1>
    </dataValidation>
    <dataValidation type="decimal" operator="greaterThan" allowBlank="1" showInputMessage="1" showErrorMessage="1" sqref="E5929">
      <formula1>0</formula1>
    </dataValidation>
    <dataValidation type="whole" operator="greaterThan" allowBlank="1" showInputMessage="1" showErrorMessage="1" sqref="A5930">
      <formula1>0</formula1>
    </dataValidation>
    <dataValidation type="list" allowBlank="1" showInputMessage="1" showErrorMessage="1" sqref="C5930">
      <formula1>UnidadesList</formula1>
    </dataValidation>
    <dataValidation type="decimal" operator="greaterThan" allowBlank="1" showInputMessage="1" showErrorMessage="1" sqref="D5930">
      <formula1>0</formula1>
    </dataValidation>
    <dataValidation type="decimal" operator="greaterThan" allowBlank="1" showInputMessage="1" showErrorMessage="1" sqref="E5930">
      <formula1>0</formula1>
    </dataValidation>
    <dataValidation type="whole" operator="greaterThan" allowBlank="1" showInputMessage="1" showErrorMessage="1" sqref="A5931">
      <formula1>0</formula1>
    </dataValidation>
    <dataValidation type="list" allowBlank="1" showInputMessage="1" showErrorMessage="1" sqref="C5931">
      <formula1>UnidadesList</formula1>
    </dataValidation>
    <dataValidation type="decimal" operator="greaterThan" allowBlank="1" showInputMessage="1" showErrorMessage="1" sqref="D5931">
      <formula1>0</formula1>
    </dataValidation>
    <dataValidation type="decimal" operator="greaterThan" allowBlank="1" showInputMessage="1" showErrorMessage="1" sqref="E5931">
      <formula1>0</formula1>
    </dataValidation>
    <dataValidation type="whole" operator="greaterThan" allowBlank="1" showInputMessage="1" showErrorMessage="1" sqref="A5932">
      <formula1>0</formula1>
    </dataValidation>
    <dataValidation type="list" allowBlank="1" showInputMessage="1" showErrorMessage="1" sqref="C5932">
      <formula1>UnidadesList</formula1>
    </dataValidation>
    <dataValidation type="decimal" operator="greaterThan" allowBlank="1" showInputMessage="1" showErrorMessage="1" sqref="D5932">
      <formula1>0</formula1>
    </dataValidation>
    <dataValidation type="decimal" operator="greaterThan" allowBlank="1" showInputMessage="1" showErrorMessage="1" sqref="E5932">
      <formula1>0</formula1>
    </dataValidation>
    <dataValidation type="whole" operator="greaterThan" allowBlank="1" showInputMessage="1" showErrorMessage="1" sqref="A5933">
      <formula1>0</formula1>
    </dataValidation>
    <dataValidation type="list" allowBlank="1" showInputMessage="1" showErrorMessage="1" sqref="C5933">
      <formula1>UnidadesList</formula1>
    </dataValidation>
    <dataValidation type="decimal" operator="greaterThan" allowBlank="1" showInputMessage="1" showErrorMessage="1" sqref="D5933">
      <formula1>0</formula1>
    </dataValidation>
    <dataValidation type="decimal" operator="greaterThan" allowBlank="1" showInputMessage="1" showErrorMessage="1" sqref="E5933">
      <formula1>0</formula1>
    </dataValidation>
    <dataValidation type="whole" operator="greaterThan" allowBlank="1" showInputMessage="1" showErrorMessage="1" sqref="A5934">
      <formula1>0</formula1>
    </dataValidation>
    <dataValidation type="list" allowBlank="1" showInputMessage="1" showErrorMessage="1" sqref="C5934">
      <formula1>UnidadesList</formula1>
    </dataValidation>
    <dataValidation type="decimal" operator="greaterThan" allowBlank="1" showInputMessage="1" showErrorMessage="1" sqref="D5934">
      <formula1>0</formula1>
    </dataValidation>
    <dataValidation type="decimal" operator="greaterThan" allowBlank="1" showInputMessage="1" showErrorMessage="1" sqref="E5934">
      <formula1>0</formula1>
    </dataValidation>
    <dataValidation type="whole" operator="greaterThan" allowBlank="1" showInputMessage="1" showErrorMessage="1" sqref="A5935">
      <formula1>0</formula1>
    </dataValidation>
    <dataValidation type="list" allowBlank="1" showInputMessage="1" showErrorMessage="1" sqref="C5935">
      <formula1>UnidadesList</formula1>
    </dataValidation>
    <dataValidation type="decimal" operator="greaterThan" allowBlank="1" showInputMessage="1" showErrorMessage="1" sqref="D5935">
      <formula1>0</formula1>
    </dataValidation>
    <dataValidation type="decimal" operator="greaterThan" allowBlank="1" showInputMessage="1" showErrorMessage="1" sqref="E5935">
      <formula1>0</formula1>
    </dataValidation>
    <dataValidation type="whole" operator="greaterThan" allowBlank="1" showInputMessage="1" showErrorMessage="1" sqref="A5936">
      <formula1>0</formula1>
    </dataValidation>
    <dataValidation type="list" allowBlank="1" showInputMessage="1" showErrorMessage="1" sqref="C5936">
      <formula1>UnidadesList</formula1>
    </dataValidation>
    <dataValidation type="decimal" operator="greaterThan" allowBlank="1" showInputMessage="1" showErrorMessage="1" sqref="D5936">
      <formula1>0</formula1>
    </dataValidation>
    <dataValidation type="decimal" operator="greaterThan" allowBlank="1" showInputMessage="1" showErrorMessage="1" sqref="E5936">
      <formula1>0</formula1>
    </dataValidation>
    <dataValidation type="whole" operator="greaterThan" allowBlank="1" showInputMessage="1" showErrorMessage="1" sqref="A5937">
      <formula1>0</formula1>
    </dataValidation>
    <dataValidation type="list" allowBlank="1" showInputMessage="1" showErrorMessage="1" sqref="C5937">
      <formula1>UnidadesList</formula1>
    </dataValidation>
    <dataValidation type="decimal" operator="greaterThan" allowBlank="1" showInputMessage="1" showErrorMessage="1" sqref="D5937">
      <formula1>0</formula1>
    </dataValidation>
    <dataValidation type="decimal" operator="greaterThan" allowBlank="1" showInputMessage="1" showErrorMessage="1" sqref="E5937">
      <formula1>0</formula1>
    </dataValidation>
    <dataValidation type="whole" operator="greaterThan" allowBlank="1" showInputMessage="1" showErrorMessage="1" sqref="A5938">
      <formula1>0</formula1>
    </dataValidation>
    <dataValidation type="list" allowBlank="1" showInputMessage="1" showErrorMessage="1" sqref="C5938">
      <formula1>UnidadesList</formula1>
    </dataValidation>
    <dataValidation type="decimal" operator="greaterThan" allowBlank="1" showInputMessage="1" showErrorMessage="1" sqref="D5938">
      <formula1>0</formula1>
    </dataValidation>
    <dataValidation type="decimal" operator="greaterThan" allowBlank="1" showInputMessage="1" showErrorMessage="1" sqref="E5938">
      <formula1>0</formula1>
    </dataValidation>
    <dataValidation type="whole" operator="greaterThan" allowBlank="1" showInputMessage="1" showErrorMessage="1" sqref="A5939">
      <formula1>0</formula1>
    </dataValidation>
    <dataValidation type="list" allowBlank="1" showInputMessage="1" showErrorMessage="1" sqref="C5939">
      <formula1>UnidadesList</formula1>
    </dataValidation>
    <dataValidation type="decimal" operator="greaterThan" allowBlank="1" showInputMessage="1" showErrorMessage="1" sqref="D5939">
      <formula1>0</formula1>
    </dataValidation>
    <dataValidation type="decimal" operator="greaterThan" allowBlank="1" showInputMessage="1" showErrorMessage="1" sqref="E5939">
      <formula1>0</formula1>
    </dataValidation>
    <dataValidation type="whole" operator="greaterThan" allowBlank="1" showInputMessage="1" showErrorMessage="1" sqref="A5940">
      <formula1>0</formula1>
    </dataValidation>
    <dataValidation type="list" allowBlank="1" showInputMessage="1" showErrorMessage="1" sqref="C5940">
      <formula1>UnidadesList</formula1>
    </dataValidation>
    <dataValidation type="decimal" operator="greaterThan" allowBlank="1" showInputMessage="1" showErrorMessage="1" sqref="D5940">
      <formula1>0</formula1>
    </dataValidation>
    <dataValidation type="decimal" operator="greaterThan" allowBlank="1" showInputMessage="1" showErrorMessage="1" sqref="E5940">
      <formula1>0</formula1>
    </dataValidation>
    <dataValidation type="whole" operator="greaterThan" allowBlank="1" showInputMessage="1" showErrorMessage="1" sqref="A5941">
      <formula1>0</formula1>
    </dataValidation>
    <dataValidation type="list" allowBlank="1" showInputMessage="1" showErrorMessage="1" sqref="C5941">
      <formula1>UnidadesList</formula1>
    </dataValidation>
    <dataValidation type="decimal" operator="greaterThan" allowBlank="1" showInputMessage="1" showErrorMessage="1" sqref="D5941">
      <formula1>0</formula1>
    </dataValidation>
    <dataValidation type="decimal" operator="greaterThan" allowBlank="1" showInputMessage="1" showErrorMessage="1" sqref="E5941">
      <formula1>0</formula1>
    </dataValidation>
    <dataValidation type="whole" operator="greaterThan" allowBlank="1" showInputMessage="1" showErrorMessage="1" sqref="A5942">
      <formula1>0</formula1>
    </dataValidation>
    <dataValidation type="list" allowBlank="1" showInputMessage="1" showErrorMessage="1" sqref="C5942">
      <formula1>UnidadesList</formula1>
    </dataValidation>
    <dataValidation type="decimal" operator="greaterThan" allowBlank="1" showInputMessage="1" showErrorMessage="1" sqref="D5942">
      <formula1>0</formula1>
    </dataValidation>
    <dataValidation type="decimal" operator="greaterThan" allowBlank="1" showInputMessage="1" showErrorMessage="1" sqref="E5942">
      <formula1>0</formula1>
    </dataValidation>
    <dataValidation type="whole" operator="greaterThan" allowBlank="1" showInputMessage="1" showErrorMessage="1" sqref="A5943">
      <formula1>0</formula1>
    </dataValidation>
    <dataValidation type="list" allowBlank="1" showInputMessage="1" showErrorMessage="1" sqref="C5943">
      <formula1>UnidadesList</formula1>
    </dataValidation>
    <dataValidation type="decimal" operator="greaterThan" allowBlank="1" showInputMessage="1" showErrorMessage="1" sqref="D5943">
      <formula1>0</formula1>
    </dataValidation>
    <dataValidation type="decimal" operator="greaterThan" allowBlank="1" showInputMessage="1" showErrorMessage="1" sqref="E5943">
      <formula1>0</formula1>
    </dataValidation>
    <dataValidation type="whole" operator="greaterThan" allowBlank="1" showInputMessage="1" showErrorMessage="1" sqref="A5944">
      <formula1>0</formula1>
    </dataValidation>
    <dataValidation type="list" allowBlank="1" showInputMessage="1" showErrorMessage="1" sqref="C5944">
      <formula1>UnidadesList</formula1>
    </dataValidation>
    <dataValidation type="decimal" operator="greaterThan" allowBlank="1" showInputMessage="1" showErrorMessage="1" sqref="D5944">
      <formula1>0</formula1>
    </dataValidation>
    <dataValidation type="decimal" operator="greaterThan" allowBlank="1" showInputMessage="1" showErrorMessage="1" sqref="E5944">
      <formula1>0</formula1>
    </dataValidation>
    <dataValidation type="date" operator="lessThanOrEqual" allowBlank="1" showInputMessage="1" showErrorMessage="1" sqref="C5949">
      <formula1>C5951</formula1>
    </dataValidation>
    <dataValidation type="date" operator="greaterThanOrEqual" allowBlank="1" showInputMessage="1" showErrorMessage="1" sqref="C5951">
      <formula1>C5949</formula1>
    </dataValidation>
    <dataValidation type="list" allowBlank="1" showInputMessage="1" showErrorMessage="1" sqref="F594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95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95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95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955">
      <formula1>0</formula1>
    </dataValidation>
    <dataValidation type="list" allowBlank="1" showInputMessage="1" showErrorMessage="1" sqref="C5955">
      <formula1>UnidadesList</formula1>
    </dataValidation>
    <dataValidation type="decimal" operator="greaterThan" allowBlank="1" showInputMessage="1" showErrorMessage="1" sqref="D5955">
      <formula1>0</formula1>
    </dataValidation>
    <dataValidation type="decimal" operator="greaterThan" allowBlank="1" showInputMessage="1" showErrorMessage="1" sqref="E5955">
      <formula1>0</formula1>
    </dataValidation>
    <dataValidation type="whole" operator="greaterThan" allowBlank="1" showInputMessage="1" showErrorMessage="1" sqref="A5956">
      <formula1>0</formula1>
    </dataValidation>
    <dataValidation type="list" allowBlank="1" showInputMessage="1" showErrorMessage="1" sqref="C5956">
      <formula1>UnidadesList</formula1>
    </dataValidation>
    <dataValidation type="decimal" operator="greaterThan" allowBlank="1" showInputMessage="1" showErrorMessage="1" sqref="D5956">
      <formula1>0</formula1>
    </dataValidation>
    <dataValidation type="decimal" operator="greaterThan" allowBlank="1" showInputMessage="1" showErrorMessage="1" sqref="E5956">
      <formula1>0</formula1>
    </dataValidation>
    <dataValidation type="whole" operator="greaterThan" allowBlank="1" showInputMessage="1" showErrorMessage="1" sqref="A5957">
      <formula1>0</formula1>
    </dataValidation>
    <dataValidation type="list" allowBlank="1" showInputMessage="1" showErrorMessage="1" sqref="C5957">
      <formula1>UnidadesList</formula1>
    </dataValidation>
    <dataValidation type="decimal" operator="greaterThan" allowBlank="1" showInputMessage="1" showErrorMessage="1" sqref="D5957">
      <formula1>0</formula1>
    </dataValidation>
    <dataValidation type="decimal" operator="greaterThan" allowBlank="1" showInputMessage="1" showErrorMessage="1" sqref="E5957">
      <formula1>0</formula1>
    </dataValidation>
    <dataValidation type="whole" operator="greaterThan" allowBlank="1" showInputMessage="1" showErrorMessage="1" sqref="A5958">
      <formula1>0</formula1>
    </dataValidation>
    <dataValidation type="list" allowBlank="1" showInputMessage="1" showErrorMessage="1" sqref="C5958">
      <formula1>UnidadesList</formula1>
    </dataValidation>
    <dataValidation type="decimal" operator="greaterThan" allowBlank="1" showInputMessage="1" showErrorMessage="1" sqref="D5958">
      <formula1>0</formula1>
    </dataValidation>
    <dataValidation type="decimal" operator="greaterThan" allowBlank="1" showInputMessage="1" showErrorMessage="1" sqref="E5958">
      <formula1>0</formula1>
    </dataValidation>
    <dataValidation type="whole" operator="greaterThan" allowBlank="1" showInputMessage="1" showErrorMessage="1" sqref="A5959">
      <formula1>0</formula1>
    </dataValidation>
    <dataValidation type="list" allowBlank="1" showInputMessage="1" showErrorMessage="1" sqref="C5959">
      <formula1>UnidadesList</formula1>
    </dataValidation>
    <dataValidation type="decimal" operator="greaterThan" allowBlank="1" showInputMessage="1" showErrorMessage="1" sqref="D5959">
      <formula1>0</formula1>
    </dataValidation>
    <dataValidation type="decimal" operator="greaterThan" allowBlank="1" showInputMessage="1" showErrorMessage="1" sqref="E5959">
      <formula1>0</formula1>
    </dataValidation>
    <dataValidation type="whole" operator="greaterThan" allowBlank="1" showInputMessage="1" showErrorMessage="1" sqref="A5960">
      <formula1>0</formula1>
    </dataValidation>
    <dataValidation type="list" allowBlank="1" showInputMessage="1" showErrorMessage="1" sqref="C5960">
      <formula1>UnidadesList</formula1>
    </dataValidation>
    <dataValidation type="decimal" operator="greaterThan" allowBlank="1" showInputMessage="1" showErrorMessage="1" sqref="D5960">
      <formula1>0</formula1>
    </dataValidation>
    <dataValidation type="decimal" operator="greaterThan" allowBlank="1" showInputMessage="1" showErrorMessage="1" sqref="E5960">
      <formula1>0</formula1>
    </dataValidation>
    <dataValidation type="whole" operator="greaterThan" allowBlank="1" showInputMessage="1" showErrorMessage="1" sqref="A5961">
      <formula1>0</formula1>
    </dataValidation>
    <dataValidation type="list" allowBlank="1" showInputMessage="1" showErrorMessage="1" sqref="C5961">
      <formula1>UnidadesList</formula1>
    </dataValidation>
    <dataValidation type="decimal" operator="greaterThan" allowBlank="1" showInputMessage="1" showErrorMessage="1" sqref="D5961">
      <formula1>0</formula1>
    </dataValidation>
    <dataValidation type="decimal" operator="greaterThan" allowBlank="1" showInputMessage="1" showErrorMessage="1" sqref="E5961">
      <formula1>0</formula1>
    </dataValidation>
    <dataValidation type="whole" operator="greaterThan" allowBlank="1" showInputMessage="1" showErrorMessage="1" sqref="A5962">
      <formula1>0</formula1>
    </dataValidation>
    <dataValidation type="list" allowBlank="1" showInputMessage="1" showErrorMessage="1" sqref="C5962">
      <formula1>UnidadesList</formula1>
    </dataValidation>
    <dataValidation type="decimal" operator="greaterThan" allowBlank="1" showInputMessage="1" showErrorMessage="1" sqref="D5962">
      <formula1>0</formula1>
    </dataValidation>
    <dataValidation type="decimal" operator="greaterThan" allowBlank="1" showInputMessage="1" showErrorMessage="1" sqref="E5962">
      <formula1>0</formula1>
    </dataValidation>
    <dataValidation type="whole" operator="greaterThan" allowBlank="1" showInputMessage="1" showErrorMessage="1" sqref="A5963">
      <formula1>0</formula1>
    </dataValidation>
    <dataValidation type="list" allowBlank="1" showInputMessage="1" showErrorMessage="1" sqref="C5963">
      <formula1>UnidadesList</formula1>
    </dataValidation>
    <dataValidation type="decimal" operator="greaterThan" allowBlank="1" showInputMessage="1" showErrorMessage="1" sqref="D5963">
      <formula1>0</formula1>
    </dataValidation>
    <dataValidation type="decimal" operator="greaterThan" allowBlank="1" showInputMessage="1" showErrorMessage="1" sqref="E5963">
      <formula1>0</formula1>
    </dataValidation>
    <dataValidation type="whole" operator="greaterThan" allowBlank="1" showInputMessage="1" showErrorMessage="1" sqref="A5964">
      <formula1>0</formula1>
    </dataValidation>
    <dataValidation type="list" allowBlank="1" showInputMessage="1" showErrorMessage="1" sqref="C5964">
      <formula1>UnidadesList</formula1>
    </dataValidation>
    <dataValidation type="decimal" operator="greaterThan" allowBlank="1" showInputMessage="1" showErrorMessage="1" sqref="D5964">
      <formula1>0</formula1>
    </dataValidation>
    <dataValidation type="decimal" operator="greaterThan" allowBlank="1" showInputMessage="1" showErrorMessage="1" sqref="E5964">
      <formula1>0</formula1>
    </dataValidation>
    <dataValidation type="whole" operator="greaterThan" allowBlank="1" showInputMessage="1" showErrorMessage="1" sqref="A5965">
      <formula1>0</formula1>
    </dataValidation>
    <dataValidation type="list" allowBlank="1" showInputMessage="1" showErrorMessage="1" sqref="C5965">
      <formula1>UnidadesList</formula1>
    </dataValidation>
    <dataValidation type="decimal" operator="greaterThan" allowBlank="1" showInputMessage="1" showErrorMessage="1" sqref="D5965">
      <formula1>0</formula1>
    </dataValidation>
    <dataValidation type="decimal" operator="greaterThan" allowBlank="1" showInputMessage="1" showErrorMessage="1" sqref="E5965">
      <formula1>0</formula1>
    </dataValidation>
    <dataValidation type="whole" operator="greaterThan" allowBlank="1" showInputMessage="1" showErrorMessage="1" sqref="A5966">
      <formula1>0</formula1>
    </dataValidation>
    <dataValidation type="list" allowBlank="1" showInputMessage="1" showErrorMessage="1" sqref="C5966">
      <formula1>UnidadesList</formula1>
    </dataValidation>
    <dataValidation type="decimal" operator="greaterThan" allowBlank="1" showInputMessage="1" showErrorMessage="1" sqref="D5966">
      <formula1>0</formula1>
    </dataValidation>
    <dataValidation type="decimal" operator="greaterThan" allowBlank="1" showInputMessage="1" showErrorMessage="1" sqref="E5966">
      <formula1>0</formula1>
    </dataValidation>
    <dataValidation type="whole" operator="greaterThan" allowBlank="1" showInputMessage="1" showErrorMessage="1" sqref="A5967">
      <formula1>0</formula1>
    </dataValidation>
    <dataValidation type="list" allowBlank="1" showInputMessage="1" showErrorMessage="1" sqref="C5967">
      <formula1>UnidadesList</formula1>
    </dataValidation>
    <dataValidation type="decimal" operator="greaterThan" allowBlank="1" showInputMessage="1" showErrorMessage="1" sqref="D5967">
      <formula1>0</formula1>
    </dataValidation>
    <dataValidation type="decimal" operator="greaterThan" allowBlank="1" showInputMessage="1" showErrorMessage="1" sqref="E5967">
      <formula1>0</formula1>
    </dataValidation>
    <dataValidation type="whole" operator="greaterThan" allowBlank="1" showInputMessage="1" showErrorMessage="1" sqref="A5968">
      <formula1>0</formula1>
    </dataValidation>
    <dataValidation type="list" allowBlank="1" showInputMessage="1" showErrorMessage="1" sqref="C5968">
      <formula1>UnidadesList</formula1>
    </dataValidation>
    <dataValidation type="decimal" operator="greaterThan" allowBlank="1" showInputMessage="1" showErrorMessage="1" sqref="D5968">
      <formula1>0</formula1>
    </dataValidation>
    <dataValidation type="decimal" operator="greaterThan" allowBlank="1" showInputMessage="1" showErrorMessage="1" sqref="E5968">
      <formula1>0</formula1>
    </dataValidation>
    <dataValidation type="whole" operator="greaterThan" allowBlank="1" showInputMessage="1" showErrorMessage="1" sqref="A5969">
      <formula1>0</formula1>
    </dataValidation>
    <dataValidation type="list" allowBlank="1" showInputMessage="1" showErrorMessage="1" sqref="C5969">
      <formula1>UnidadesList</formula1>
    </dataValidation>
    <dataValidation type="decimal" operator="greaterThan" allowBlank="1" showInputMessage="1" showErrorMessage="1" sqref="D5969">
      <formula1>0</formula1>
    </dataValidation>
    <dataValidation type="decimal" operator="greaterThan" allowBlank="1" showInputMessage="1" showErrorMessage="1" sqref="E5969">
      <formula1>0</formula1>
    </dataValidation>
    <dataValidation type="whole" operator="greaterThan" allowBlank="1" showInputMessage="1" showErrorMessage="1" sqref="A5970">
      <formula1>0</formula1>
    </dataValidation>
    <dataValidation type="list" allowBlank="1" showInputMessage="1" showErrorMessage="1" sqref="C5970">
      <formula1>UnidadesList</formula1>
    </dataValidation>
    <dataValidation type="decimal" operator="greaterThan" allowBlank="1" showInputMessage="1" showErrorMessage="1" sqref="D5970">
      <formula1>0</formula1>
    </dataValidation>
    <dataValidation type="decimal" operator="greaterThan" allowBlank="1" showInputMessage="1" showErrorMessage="1" sqref="E5970">
      <formula1>0</formula1>
    </dataValidation>
    <dataValidation type="whole" operator="greaterThan" allowBlank="1" showInputMessage="1" showErrorMessage="1" sqref="A5971">
      <formula1>0</formula1>
    </dataValidation>
    <dataValidation type="list" allowBlank="1" showInputMessage="1" showErrorMessage="1" sqref="C5971">
      <formula1>UnidadesList</formula1>
    </dataValidation>
    <dataValidation type="decimal" operator="greaterThan" allowBlank="1" showInputMessage="1" showErrorMessage="1" sqref="D5971">
      <formula1>0</formula1>
    </dataValidation>
    <dataValidation type="decimal" operator="greaterThan" allowBlank="1" showInputMessage="1" showErrorMessage="1" sqref="E5971">
      <formula1>0</formula1>
    </dataValidation>
    <dataValidation type="whole" operator="greaterThan" allowBlank="1" showInputMessage="1" showErrorMessage="1" sqref="A5972">
      <formula1>0</formula1>
    </dataValidation>
    <dataValidation type="list" allowBlank="1" showInputMessage="1" showErrorMessage="1" sqref="C5972">
      <formula1>UnidadesList</formula1>
    </dataValidation>
    <dataValidation type="decimal" operator="greaterThan" allowBlank="1" showInputMessage="1" showErrorMessage="1" sqref="D5972">
      <formula1>0</formula1>
    </dataValidation>
    <dataValidation type="decimal" operator="greaterThan" allowBlank="1" showInputMessage="1" showErrorMessage="1" sqref="E5972">
      <formula1>0</formula1>
    </dataValidation>
    <dataValidation type="whole" operator="greaterThan" allowBlank="1" showInputMessage="1" showErrorMessage="1" sqref="A5973">
      <formula1>0</formula1>
    </dataValidation>
    <dataValidation type="list" allowBlank="1" showInputMessage="1" showErrorMessage="1" sqref="C5973">
      <formula1>UnidadesList</formula1>
    </dataValidation>
    <dataValidation type="decimal" operator="greaterThan" allowBlank="1" showInputMessage="1" showErrorMessage="1" sqref="D5973">
      <formula1>0</formula1>
    </dataValidation>
    <dataValidation type="decimal" operator="greaterThan" allowBlank="1" showInputMessage="1" showErrorMessage="1" sqref="E5973">
      <formula1>0</formula1>
    </dataValidation>
    <dataValidation type="date" operator="lessThanOrEqual" allowBlank="1" showInputMessage="1" showErrorMessage="1" sqref="C5978">
      <formula1>C5980</formula1>
    </dataValidation>
    <dataValidation type="date" operator="greaterThanOrEqual" allowBlank="1" showInputMessage="1" showErrorMessage="1" sqref="C5980">
      <formula1>C5978</formula1>
    </dataValidation>
    <dataValidation type="list" allowBlank="1" showInputMessage="1" showErrorMessage="1" sqref="F597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97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98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98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984">
      <formula1>0</formula1>
    </dataValidation>
    <dataValidation type="list" allowBlank="1" showInputMessage="1" showErrorMessage="1" sqref="C5984">
      <formula1>UnidadesList</formula1>
    </dataValidation>
    <dataValidation type="decimal" operator="greaterThan" allowBlank="1" showInputMessage="1" showErrorMessage="1" sqref="D5984">
      <formula1>0</formula1>
    </dataValidation>
    <dataValidation type="decimal" operator="greaterThan" allowBlank="1" showInputMessage="1" showErrorMessage="1" sqref="E5984">
      <formula1>0</formula1>
    </dataValidation>
    <dataValidation type="whole" operator="greaterThan" allowBlank="1" showInputMessage="1" showErrorMessage="1" sqref="A5985">
      <formula1>0</formula1>
    </dataValidation>
    <dataValidation type="list" allowBlank="1" showInputMessage="1" showErrorMessage="1" sqref="C5985">
      <formula1>UnidadesList</formula1>
    </dataValidation>
    <dataValidation type="decimal" operator="greaterThan" allowBlank="1" showInputMessage="1" showErrorMessage="1" sqref="D5985">
      <formula1>0</formula1>
    </dataValidation>
    <dataValidation type="decimal" operator="greaterThan" allowBlank="1" showInputMessage="1" showErrorMessage="1" sqref="E5985">
      <formula1>0</formula1>
    </dataValidation>
    <dataValidation type="whole" operator="greaterThan" allowBlank="1" showInputMessage="1" showErrorMessage="1" sqref="A5986">
      <formula1>0</formula1>
    </dataValidation>
    <dataValidation type="list" allowBlank="1" showInputMessage="1" showErrorMessage="1" sqref="C5986">
      <formula1>UnidadesList</formula1>
    </dataValidation>
    <dataValidation type="decimal" operator="greaterThan" allowBlank="1" showInputMessage="1" showErrorMessage="1" sqref="D5986">
      <formula1>0</formula1>
    </dataValidation>
    <dataValidation type="decimal" operator="greaterThan" allowBlank="1" showInputMessage="1" showErrorMessage="1" sqref="E5986">
      <formula1>0</formula1>
    </dataValidation>
    <dataValidation type="whole" operator="greaterThan" allowBlank="1" showInputMessage="1" showErrorMessage="1" sqref="A5987">
      <formula1>0</formula1>
    </dataValidation>
    <dataValidation type="list" allowBlank="1" showInputMessage="1" showErrorMessage="1" sqref="C5987">
      <formula1>UnidadesList</formula1>
    </dataValidation>
    <dataValidation type="decimal" operator="greaterThan" allowBlank="1" showInputMessage="1" showErrorMessage="1" sqref="D5987">
      <formula1>0</formula1>
    </dataValidation>
    <dataValidation type="decimal" operator="greaterThan" allowBlank="1" showInputMessage="1" showErrorMessage="1" sqref="E5987">
      <formula1>0</formula1>
    </dataValidation>
    <dataValidation type="whole" operator="greaterThan" allowBlank="1" showInputMessage="1" showErrorMessage="1" sqref="A5988">
      <formula1>0</formula1>
    </dataValidation>
    <dataValidation type="list" allowBlank="1" showInputMessage="1" showErrorMessage="1" sqref="C5988">
      <formula1>UnidadesList</formula1>
    </dataValidation>
    <dataValidation type="decimal" operator="greaterThan" allowBlank="1" showInputMessage="1" showErrorMessage="1" sqref="D5988">
      <formula1>0</formula1>
    </dataValidation>
    <dataValidation type="decimal" operator="greaterThan" allowBlank="1" showInputMessage="1" showErrorMessage="1" sqref="E5988">
      <formula1>0</formula1>
    </dataValidation>
    <dataValidation type="whole" operator="greaterThan" allowBlank="1" showInputMessage="1" showErrorMessage="1" sqref="A5989">
      <formula1>0</formula1>
    </dataValidation>
    <dataValidation type="list" allowBlank="1" showInputMessage="1" showErrorMessage="1" sqref="C5989">
      <formula1>UnidadesList</formula1>
    </dataValidation>
    <dataValidation type="decimal" operator="greaterThan" allowBlank="1" showInputMessage="1" showErrorMessage="1" sqref="D5989">
      <formula1>0</formula1>
    </dataValidation>
    <dataValidation type="decimal" operator="greaterThan" allowBlank="1" showInputMessage="1" showErrorMessage="1" sqref="E5989">
      <formula1>0</formula1>
    </dataValidation>
    <dataValidation type="whole" operator="greaterThan" allowBlank="1" showInputMessage="1" showErrorMessage="1" sqref="A5990">
      <formula1>0</formula1>
    </dataValidation>
    <dataValidation type="list" allowBlank="1" showInputMessage="1" showErrorMessage="1" sqref="C5990">
      <formula1>UnidadesList</formula1>
    </dataValidation>
    <dataValidation type="decimal" operator="greaterThan" allowBlank="1" showInputMessage="1" showErrorMessage="1" sqref="D5990">
      <formula1>0</formula1>
    </dataValidation>
    <dataValidation type="decimal" operator="greaterThan" allowBlank="1" showInputMessage="1" showErrorMessage="1" sqref="E5990">
      <formula1>0</formula1>
    </dataValidation>
    <dataValidation type="whole" operator="greaterThan" allowBlank="1" showInputMessage="1" showErrorMessage="1" sqref="A5991">
      <formula1>0</formula1>
    </dataValidation>
    <dataValidation type="list" allowBlank="1" showInputMessage="1" showErrorMessage="1" sqref="C5991">
      <formula1>UnidadesList</formula1>
    </dataValidation>
    <dataValidation type="decimal" operator="greaterThan" allowBlank="1" showInputMessage="1" showErrorMessage="1" sqref="D5991">
      <formula1>0</formula1>
    </dataValidation>
    <dataValidation type="decimal" operator="greaterThan" allowBlank="1" showInputMessage="1" showErrorMessage="1" sqref="E5991">
      <formula1>0</formula1>
    </dataValidation>
    <dataValidation type="whole" operator="greaterThan" allowBlank="1" showInputMessage="1" showErrorMessage="1" sqref="A5992">
      <formula1>0</formula1>
    </dataValidation>
    <dataValidation type="list" allowBlank="1" showInputMessage="1" showErrorMessage="1" sqref="C5992">
      <formula1>UnidadesList</formula1>
    </dataValidation>
    <dataValidation type="decimal" operator="greaterThan" allowBlank="1" showInputMessage="1" showErrorMessage="1" sqref="D5992">
      <formula1>0</formula1>
    </dataValidation>
    <dataValidation type="decimal" operator="greaterThan" allowBlank="1" showInputMessage="1" showErrorMessage="1" sqref="E5992">
      <formula1>0</formula1>
    </dataValidation>
    <dataValidation type="whole" operator="greaterThan" allowBlank="1" showInputMessage="1" showErrorMessage="1" sqref="A5993">
      <formula1>0</formula1>
    </dataValidation>
    <dataValidation type="list" allowBlank="1" showInputMessage="1" showErrorMessage="1" sqref="C5993">
      <formula1>UnidadesList</formula1>
    </dataValidation>
    <dataValidation type="decimal" operator="greaterThan" allowBlank="1" showInputMessage="1" showErrorMessage="1" sqref="D5993">
      <formula1>0</formula1>
    </dataValidation>
    <dataValidation type="decimal" operator="greaterThan" allowBlank="1" showInputMessage="1" showErrorMessage="1" sqref="E5993">
      <formula1>0</formula1>
    </dataValidation>
    <dataValidation type="date" operator="lessThanOrEqual" allowBlank="1" showInputMessage="1" showErrorMessage="1" sqref="C5998">
      <formula1>C6000</formula1>
    </dataValidation>
    <dataValidation type="date" operator="greaterThanOrEqual" allowBlank="1" showInputMessage="1" showErrorMessage="1" sqref="C6000">
      <formula1>C5998</formula1>
    </dataValidation>
    <dataValidation type="list" allowBlank="1" showInputMessage="1" showErrorMessage="1" sqref="F599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99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0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00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004">
      <formula1>0</formula1>
    </dataValidation>
    <dataValidation type="list" allowBlank="1" showInputMessage="1" showErrorMessage="1" sqref="C6004">
      <formula1>UnidadesList</formula1>
    </dataValidation>
    <dataValidation type="decimal" operator="greaterThan" allowBlank="1" showInputMessage="1" showErrorMessage="1" sqref="D6004">
      <formula1>0</formula1>
    </dataValidation>
    <dataValidation type="decimal" operator="greaterThan" allowBlank="1" showInputMessage="1" showErrorMessage="1" sqref="E6004">
      <formula1>0</formula1>
    </dataValidation>
    <dataValidation type="whole" operator="greaterThan" allowBlank="1" showInputMessage="1" showErrorMessage="1" sqref="A6005">
      <formula1>0</formula1>
    </dataValidation>
    <dataValidation type="list" allowBlank="1" showInputMessage="1" showErrorMessage="1" sqref="C6005">
      <formula1>UnidadesList</formula1>
    </dataValidation>
    <dataValidation type="decimal" operator="greaterThan" allowBlank="1" showInputMessage="1" showErrorMessage="1" sqref="D6005">
      <formula1>0</formula1>
    </dataValidation>
    <dataValidation type="decimal" operator="greaterThan" allowBlank="1" showInputMessage="1" showErrorMessage="1" sqref="E6005">
      <formula1>0</formula1>
    </dataValidation>
    <dataValidation type="whole" operator="greaterThan" allowBlank="1" showInputMessage="1" showErrorMessage="1" sqref="A6006">
      <formula1>0</formula1>
    </dataValidation>
    <dataValidation type="list" allowBlank="1" showInputMessage="1" showErrorMessage="1" sqref="C6006">
      <formula1>UnidadesList</formula1>
    </dataValidation>
    <dataValidation type="decimal" operator="greaterThan" allowBlank="1" showInputMessage="1" showErrorMessage="1" sqref="D6006">
      <formula1>0</formula1>
    </dataValidation>
    <dataValidation type="decimal" operator="greaterThan" allowBlank="1" showInputMessage="1" showErrorMessage="1" sqref="E6006">
      <formula1>0</formula1>
    </dataValidation>
    <dataValidation type="whole" operator="greaterThan" allowBlank="1" showInputMessage="1" showErrorMessage="1" sqref="A6007">
      <formula1>0</formula1>
    </dataValidation>
    <dataValidation type="list" allowBlank="1" showInputMessage="1" showErrorMessage="1" sqref="C6007">
      <formula1>UnidadesList</formula1>
    </dataValidation>
    <dataValidation type="decimal" operator="greaterThan" allowBlank="1" showInputMessage="1" showErrorMessage="1" sqref="D6007">
      <formula1>0</formula1>
    </dataValidation>
    <dataValidation type="decimal" operator="greaterThan" allowBlank="1" showInputMessage="1" showErrorMessage="1" sqref="E6007">
      <formula1>0</formula1>
    </dataValidation>
    <dataValidation type="whole" operator="greaterThan" allowBlank="1" showInputMessage="1" showErrorMessage="1" sqref="A6008">
      <formula1>0</formula1>
    </dataValidation>
    <dataValidation type="list" allowBlank="1" showInputMessage="1" showErrorMessage="1" sqref="C6008">
      <formula1>UnidadesList</formula1>
    </dataValidation>
    <dataValidation type="decimal" operator="greaterThan" allowBlank="1" showInputMessage="1" showErrorMessage="1" sqref="D6008">
      <formula1>0</formula1>
    </dataValidation>
    <dataValidation type="decimal" operator="greaterThan" allowBlank="1" showInputMessage="1" showErrorMessage="1" sqref="E6008">
      <formula1>0</formula1>
    </dataValidation>
    <dataValidation type="whole" operator="greaterThan" allowBlank="1" showInputMessage="1" showErrorMessage="1" sqref="A6009">
      <formula1>0</formula1>
    </dataValidation>
    <dataValidation type="list" allowBlank="1" showInputMessage="1" showErrorMessage="1" sqref="C6009">
      <formula1>UnidadesList</formula1>
    </dataValidation>
    <dataValidation type="decimal" operator="greaterThan" allowBlank="1" showInputMessage="1" showErrorMessage="1" sqref="D6009">
      <formula1>0</formula1>
    </dataValidation>
    <dataValidation type="decimal" operator="greaterThan" allowBlank="1" showInputMessage="1" showErrorMessage="1" sqref="E6009">
      <formula1>0</formula1>
    </dataValidation>
    <dataValidation type="whole" operator="greaterThan" allowBlank="1" showInputMessage="1" showErrorMessage="1" sqref="A6010">
      <formula1>0</formula1>
    </dataValidation>
    <dataValidation type="list" allowBlank="1" showInputMessage="1" showErrorMessage="1" sqref="C6010">
      <formula1>UnidadesList</formula1>
    </dataValidation>
    <dataValidation type="decimal" operator="greaterThan" allowBlank="1" showInputMessage="1" showErrorMessage="1" sqref="D6010">
      <formula1>0</formula1>
    </dataValidation>
    <dataValidation type="decimal" operator="greaterThan" allowBlank="1" showInputMessage="1" showErrorMessage="1" sqref="E6010">
      <formula1>0</formula1>
    </dataValidation>
    <dataValidation type="whole" operator="greaterThan" allowBlank="1" showInputMessage="1" showErrorMessage="1" sqref="A6011">
      <formula1>0</formula1>
    </dataValidation>
    <dataValidation type="list" allowBlank="1" showInputMessage="1" showErrorMessage="1" sqref="C6011">
      <formula1>UnidadesList</formula1>
    </dataValidation>
    <dataValidation type="decimal" operator="greaterThan" allowBlank="1" showInputMessage="1" showErrorMessage="1" sqref="D6011">
      <formula1>0</formula1>
    </dataValidation>
    <dataValidation type="decimal" operator="greaterThan" allowBlank="1" showInputMessage="1" showErrorMessage="1" sqref="E6011">
      <formula1>0</formula1>
    </dataValidation>
    <dataValidation type="whole" operator="greaterThan" allowBlank="1" showInputMessage="1" showErrorMessage="1" sqref="A6012">
      <formula1>0</formula1>
    </dataValidation>
    <dataValidation type="list" allowBlank="1" showInputMessage="1" showErrorMessage="1" sqref="C6012">
      <formula1>UnidadesList</formula1>
    </dataValidation>
    <dataValidation type="decimal" operator="greaterThan" allowBlank="1" showInputMessage="1" showErrorMessage="1" sqref="D6012">
      <formula1>0</formula1>
    </dataValidation>
    <dataValidation type="decimal" operator="greaterThan" allowBlank="1" showInputMessage="1" showErrorMessage="1" sqref="E6012">
      <formula1>0</formula1>
    </dataValidation>
    <dataValidation type="whole" operator="greaterThan" allowBlank="1" showInputMessage="1" showErrorMessage="1" sqref="A6013">
      <formula1>0</formula1>
    </dataValidation>
    <dataValidation type="list" allowBlank="1" showInputMessage="1" showErrorMessage="1" sqref="C6013">
      <formula1>UnidadesList</formula1>
    </dataValidation>
    <dataValidation type="decimal" operator="greaterThan" allowBlank="1" showInputMessage="1" showErrorMessage="1" sqref="D6013">
      <formula1>0</formula1>
    </dataValidation>
    <dataValidation type="decimal" operator="greaterThan" allowBlank="1" showInputMessage="1" showErrorMessage="1" sqref="E6013">
      <formula1>0</formula1>
    </dataValidation>
    <dataValidation type="date" operator="lessThanOrEqual" allowBlank="1" showInputMessage="1" showErrorMessage="1" sqref="C6018">
      <formula1>C6020</formula1>
    </dataValidation>
    <dataValidation type="date" operator="greaterThanOrEqual" allowBlank="1" showInputMessage="1" showErrorMessage="1" sqref="C6020">
      <formula1>C6018</formula1>
    </dataValidation>
    <dataValidation type="list" allowBlank="1" showInputMessage="1" showErrorMessage="1" sqref="F601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01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2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02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024">
      <formula1>0</formula1>
    </dataValidation>
    <dataValidation type="list" allowBlank="1" showInputMessage="1" showErrorMessage="1" sqref="C6024">
      <formula1>UnidadesList</formula1>
    </dataValidation>
    <dataValidation type="decimal" operator="greaterThan" allowBlank="1" showInputMessage="1" showErrorMessage="1" sqref="D6024">
      <formula1>0</formula1>
    </dataValidation>
    <dataValidation type="decimal" operator="greaterThan" allowBlank="1" showInputMessage="1" showErrorMessage="1" sqref="E6024">
      <formula1>0</formula1>
    </dataValidation>
    <dataValidation type="whole" operator="greaterThan" allowBlank="1" showInputMessage="1" showErrorMessage="1" sqref="A6025">
      <formula1>0</formula1>
    </dataValidation>
    <dataValidation type="list" allowBlank="1" showInputMessage="1" showErrorMessage="1" sqref="C6025">
      <formula1>UnidadesList</formula1>
    </dataValidation>
    <dataValidation type="decimal" operator="greaterThan" allowBlank="1" showInputMessage="1" showErrorMessage="1" sqref="D6025">
      <formula1>0</formula1>
    </dataValidation>
    <dataValidation type="decimal" operator="greaterThan" allowBlank="1" showInputMessage="1" showErrorMessage="1" sqref="E6025">
      <formula1>0</formula1>
    </dataValidation>
    <dataValidation type="whole" operator="greaterThan" allowBlank="1" showInputMessage="1" showErrorMessage="1" sqref="A6026">
      <formula1>0</formula1>
    </dataValidation>
    <dataValidation type="list" allowBlank="1" showInputMessage="1" showErrorMessage="1" sqref="C6026">
      <formula1>UnidadesList</formula1>
    </dataValidation>
    <dataValidation type="decimal" operator="greaterThan" allowBlank="1" showInputMessage="1" showErrorMessage="1" sqref="D6026">
      <formula1>0</formula1>
    </dataValidation>
    <dataValidation type="decimal" operator="greaterThan" allowBlank="1" showInputMessage="1" showErrorMessage="1" sqref="E6026">
      <formula1>0</formula1>
    </dataValidation>
    <dataValidation type="whole" operator="greaterThan" allowBlank="1" showInputMessage="1" showErrorMessage="1" sqref="A6027">
      <formula1>0</formula1>
    </dataValidation>
    <dataValidation type="list" allowBlank="1" showInputMessage="1" showErrorMessage="1" sqref="C6027">
      <formula1>UnidadesList</formula1>
    </dataValidation>
    <dataValidation type="decimal" operator="greaterThan" allowBlank="1" showInputMessage="1" showErrorMessage="1" sqref="D6027">
      <formula1>0</formula1>
    </dataValidation>
    <dataValidation type="decimal" operator="greaterThan" allowBlank="1" showInputMessage="1" showErrorMessage="1" sqref="E6027">
      <formula1>0</formula1>
    </dataValidation>
    <dataValidation type="whole" operator="greaterThan" allowBlank="1" showInputMessage="1" showErrorMessage="1" sqref="A6028">
      <formula1>0</formula1>
    </dataValidation>
    <dataValidation type="list" allowBlank="1" showInputMessage="1" showErrorMessage="1" sqref="C6028">
      <formula1>UnidadesList</formula1>
    </dataValidation>
    <dataValidation type="decimal" operator="greaterThan" allowBlank="1" showInputMessage="1" showErrorMessage="1" sqref="D6028">
      <formula1>0</formula1>
    </dataValidation>
    <dataValidation type="decimal" operator="greaterThan" allowBlank="1" showInputMessage="1" showErrorMessage="1" sqref="E6028">
      <formula1>0</formula1>
    </dataValidation>
    <dataValidation type="whole" operator="greaterThan" allowBlank="1" showInputMessage="1" showErrorMessage="1" sqref="A6029">
      <formula1>0</formula1>
    </dataValidation>
    <dataValidation type="list" allowBlank="1" showInputMessage="1" showErrorMessage="1" sqref="C6029">
      <formula1>UnidadesList</formula1>
    </dataValidation>
    <dataValidation type="decimal" operator="greaterThan" allowBlank="1" showInputMessage="1" showErrorMessage="1" sqref="D6029">
      <formula1>0</formula1>
    </dataValidation>
    <dataValidation type="decimal" operator="greaterThan" allowBlank="1" showInputMessage="1" showErrorMessage="1" sqref="E6029">
      <formula1>0</formula1>
    </dataValidation>
    <dataValidation type="whole" operator="greaterThan" allowBlank="1" showInputMessage="1" showErrorMessage="1" sqref="A6030">
      <formula1>0</formula1>
    </dataValidation>
    <dataValidation type="list" allowBlank="1" showInputMessage="1" showErrorMessage="1" sqref="C6030">
      <formula1>UnidadesList</formula1>
    </dataValidation>
    <dataValidation type="decimal" operator="greaterThan" allowBlank="1" showInputMessage="1" showErrorMessage="1" sqref="D6030">
      <formula1>0</formula1>
    </dataValidation>
    <dataValidation type="decimal" operator="greaterThan" allowBlank="1" showInputMessage="1" showErrorMessage="1" sqref="E6030">
      <formula1>0</formula1>
    </dataValidation>
    <dataValidation type="whole" operator="greaterThan" allowBlank="1" showInputMessage="1" showErrorMessage="1" sqref="A6031">
      <formula1>0</formula1>
    </dataValidation>
    <dataValidation type="list" allowBlank="1" showInputMessage="1" showErrorMessage="1" sqref="C6031">
      <formula1>UnidadesList</formula1>
    </dataValidation>
    <dataValidation type="decimal" operator="greaterThan" allowBlank="1" showInputMessage="1" showErrorMessage="1" sqref="D6031">
      <formula1>0</formula1>
    </dataValidation>
    <dataValidation type="decimal" operator="greaterThan" allowBlank="1" showInputMessage="1" showErrorMessage="1" sqref="E6031">
      <formula1>0</formula1>
    </dataValidation>
    <dataValidation type="whole" operator="greaterThan" allowBlank="1" showInputMessage="1" showErrorMessage="1" sqref="A6032">
      <formula1>0</formula1>
    </dataValidation>
    <dataValidation type="list" allowBlank="1" showInputMessage="1" showErrorMessage="1" sqref="C6032">
      <formula1>UnidadesList</formula1>
    </dataValidation>
    <dataValidation type="decimal" operator="greaterThan" allowBlank="1" showInputMessage="1" showErrorMessage="1" sqref="D6032">
      <formula1>0</formula1>
    </dataValidation>
    <dataValidation type="decimal" operator="greaterThan" allowBlank="1" showInputMessage="1" showErrorMessage="1" sqref="E6032">
      <formula1>0</formula1>
    </dataValidation>
    <dataValidation type="whole" operator="greaterThan" allowBlank="1" showInputMessage="1" showErrorMessage="1" sqref="A6033">
      <formula1>0</formula1>
    </dataValidation>
    <dataValidation type="list" allowBlank="1" showInputMessage="1" showErrorMessage="1" sqref="C6033">
      <formula1>UnidadesList</formula1>
    </dataValidation>
    <dataValidation type="decimal" operator="greaterThan" allowBlank="1" showInputMessage="1" showErrorMessage="1" sqref="D6033">
      <formula1>0</formula1>
    </dataValidation>
    <dataValidation type="decimal" operator="greaterThan" allowBlank="1" showInputMessage="1" showErrorMessage="1" sqref="E6033">
      <formula1>0</formula1>
    </dataValidation>
    <dataValidation type="date" operator="lessThanOrEqual" allowBlank="1" showInputMessage="1" showErrorMessage="1" sqref="C6038">
      <formula1>C6040</formula1>
    </dataValidation>
    <dataValidation type="date" operator="greaterThanOrEqual" allowBlank="1" showInputMessage="1" showErrorMessage="1" sqref="C6040">
      <formula1>C6038</formula1>
    </dataValidation>
    <dataValidation type="list" allowBlank="1" showInputMessage="1" showErrorMessage="1" sqref="F603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03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4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04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044">
      <formula1>0</formula1>
    </dataValidation>
    <dataValidation type="list" allowBlank="1" showInputMessage="1" showErrorMessage="1" sqref="C6044">
      <formula1>UnidadesList</formula1>
    </dataValidation>
    <dataValidation type="decimal" operator="greaterThan" allowBlank="1" showInputMessage="1" showErrorMessage="1" sqref="D6044">
      <formula1>0</formula1>
    </dataValidation>
    <dataValidation type="decimal" operator="greaterThan" allowBlank="1" showInputMessage="1" showErrorMessage="1" sqref="E6044">
      <formula1>0</formula1>
    </dataValidation>
    <dataValidation type="whole" operator="greaterThan" allowBlank="1" showInputMessage="1" showErrorMessage="1" sqref="A6045">
      <formula1>0</formula1>
    </dataValidation>
    <dataValidation type="list" allowBlank="1" showInputMessage="1" showErrorMessage="1" sqref="C6045">
      <formula1>UnidadesList</formula1>
    </dataValidation>
    <dataValidation type="decimal" operator="greaterThan" allowBlank="1" showInputMessage="1" showErrorMessage="1" sqref="D6045">
      <formula1>0</formula1>
    </dataValidation>
    <dataValidation type="decimal" operator="greaterThan" allowBlank="1" showInputMessage="1" showErrorMessage="1" sqref="E6045">
      <formula1>0</formula1>
    </dataValidation>
    <dataValidation type="whole" operator="greaterThan" allowBlank="1" showInputMessage="1" showErrorMessage="1" sqref="A6046">
      <formula1>0</formula1>
    </dataValidation>
    <dataValidation type="list" allowBlank="1" showInputMessage="1" showErrorMessage="1" sqref="C6046">
      <formula1>UnidadesList</formula1>
    </dataValidation>
    <dataValidation type="decimal" operator="greaterThan" allowBlank="1" showInputMessage="1" showErrorMessage="1" sqref="D6046">
      <formula1>0</formula1>
    </dataValidation>
    <dataValidation type="decimal" operator="greaterThan" allowBlank="1" showInputMessage="1" showErrorMessage="1" sqref="E6046">
      <formula1>0</formula1>
    </dataValidation>
    <dataValidation type="whole" operator="greaterThan" allowBlank="1" showInputMessage="1" showErrorMessage="1" sqref="A6047">
      <formula1>0</formula1>
    </dataValidation>
    <dataValidation type="list" allowBlank="1" showInputMessage="1" showErrorMessage="1" sqref="C6047">
      <formula1>UnidadesList</formula1>
    </dataValidation>
    <dataValidation type="decimal" operator="greaterThan" allowBlank="1" showInputMessage="1" showErrorMessage="1" sqref="D6047">
      <formula1>0</formula1>
    </dataValidation>
    <dataValidation type="decimal" operator="greaterThan" allowBlank="1" showInputMessage="1" showErrorMessage="1" sqref="E6047">
      <formula1>0</formula1>
    </dataValidation>
    <dataValidation type="whole" operator="greaterThan" allowBlank="1" showInputMessage="1" showErrorMessage="1" sqref="A6048">
      <formula1>0</formula1>
    </dataValidation>
    <dataValidation type="list" allowBlank="1" showInputMessage="1" showErrorMessage="1" sqref="C6048">
      <formula1>UnidadesList</formula1>
    </dataValidation>
    <dataValidation type="decimal" operator="greaterThan" allowBlank="1" showInputMessage="1" showErrorMessage="1" sqref="D6048">
      <formula1>0</formula1>
    </dataValidation>
    <dataValidation type="decimal" operator="greaterThan" allowBlank="1" showInputMessage="1" showErrorMessage="1" sqref="E6048">
      <formula1>0</formula1>
    </dataValidation>
    <dataValidation type="whole" operator="greaterThan" allowBlank="1" showInputMessage="1" showErrorMessage="1" sqref="A6049">
      <formula1>0</formula1>
    </dataValidation>
    <dataValidation type="list" allowBlank="1" showInputMessage="1" showErrorMessage="1" sqref="C6049">
      <formula1>UnidadesList</formula1>
    </dataValidation>
    <dataValidation type="decimal" operator="greaterThan" allowBlank="1" showInputMessage="1" showErrorMessage="1" sqref="D6049">
      <formula1>0</formula1>
    </dataValidation>
    <dataValidation type="decimal" operator="greaterThan" allowBlank="1" showInputMessage="1" showErrorMessage="1" sqref="E6049">
      <formula1>0</formula1>
    </dataValidation>
    <dataValidation type="whole" operator="greaterThan" allowBlank="1" showInputMessage="1" showErrorMessage="1" sqref="A6050">
      <formula1>0</formula1>
    </dataValidation>
    <dataValidation type="list" allowBlank="1" showInputMessage="1" showErrorMessage="1" sqref="C6050">
      <formula1>UnidadesList</formula1>
    </dataValidation>
    <dataValidation type="decimal" operator="greaterThan" allowBlank="1" showInputMessage="1" showErrorMessage="1" sqref="D6050">
      <formula1>0</formula1>
    </dataValidation>
    <dataValidation type="decimal" operator="greaterThan" allowBlank="1" showInputMessage="1" showErrorMessage="1" sqref="E6050">
      <formula1>0</formula1>
    </dataValidation>
    <dataValidation type="whole" operator="greaterThan" allowBlank="1" showInputMessage="1" showErrorMessage="1" sqref="A6051">
      <formula1>0</formula1>
    </dataValidation>
    <dataValidation type="list" allowBlank="1" showInputMessage="1" showErrorMessage="1" sqref="C6051">
      <formula1>UnidadesList</formula1>
    </dataValidation>
    <dataValidation type="decimal" operator="greaterThan" allowBlank="1" showInputMessage="1" showErrorMessage="1" sqref="D6051">
      <formula1>0</formula1>
    </dataValidation>
    <dataValidation type="decimal" operator="greaterThan" allowBlank="1" showInputMessage="1" showErrorMessage="1" sqref="E6051">
      <formula1>0</formula1>
    </dataValidation>
    <dataValidation type="whole" operator="greaterThan" allowBlank="1" showInputMessage="1" showErrorMessage="1" sqref="A6052">
      <formula1>0</formula1>
    </dataValidation>
    <dataValidation type="list" allowBlank="1" showInputMessage="1" showErrorMessage="1" sqref="C6052">
      <formula1>UnidadesList</formula1>
    </dataValidation>
    <dataValidation type="decimal" operator="greaterThan" allowBlank="1" showInputMessage="1" showErrorMessage="1" sqref="D6052">
      <formula1>0</formula1>
    </dataValidation>
    <dataValidation type="decimal" operator="greaterThan" allowBlank="1" showInputMessage="1" showErrorMessage="1" sqref="E6052">
      <formula1>0</formula1>
    </dataValidation>
    <dataValidation type="whole" operator="greaterThan" allowBlank="1" showInputMessage="1" showErrorMessage="1" sqref="A6053">
      <formula1>0</formula1>
    </dataValidation>
    <dataValidation type="list" allowBlank="1" showInputMessage="1" showErrorMessage="1" sqref="C6053">
      <formula1>UnidadesList</formula1>
    </dataValidation>
    <dataValidation type="decimal" operator="greaterThan" allowBlank="1" showInputMessage="1" showErrorMessage="1" sqref="D6053">
      <formula1>0</formula1>
    </dataValidation>
    <dataValidation type="decimal" operator="greaterThan" allowBlank="1" showInputMessage="1" showErrorMessage="1" sqref="E6053">
      <formula1>0</formula1>
    </dataValidation>
    <dataValidation type="date" operator="lessThanOrEqual" allowBlank="1" showInputMessage="1" showErrorMessage="1" sqref="C6058">
      <formula1>C6060</formula1>
    </dataValidation>
    <dataValidation type="date" operator="greaterThanOrEqual" allowBlank="1" showInputMessage="1" showErrorMessage="1" sqref="C6060">
      <formula1>C6058</formula1>
    </dataValidation>
    <dataValidation type="list" allowBlank="1" showInputMessage="1" showErrorMessage="1" sqref="F60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0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0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064">
      <formula1>0</formula1>
    </dataValidation>
    <dataValidation type="list" allowBlank="1" showInputMessage="1" showErrorMessage="1" sqref="C6064">
      <formula1>UnidadesList</formula1>
    </dataValidation>
    <dataValidation type="decimal" operator="greaterThan" allowBlank="1" showInputMessage="1" showErrorMessage="1" sqref="D6064">
      <formula1>0</formula1>
    </dataValidation>
    <dataValidation type="decimal" operator="greaterThan" allowBlank="1" showInputMessage="1" showErrorMessage="1" sqref="E6064">
      <formula1>0</formula1>
    </dataValidation>
    <dataValidation type="whole" operator="greaterThan" allowBlank="1" showInputMessage="1" showErrorMessage="1" sqref="A6065">
      <formula1>0</formula1>
    </dataValidation>
    <dataValidation type="list" allowBlank="1" showInputMessage="1" showErrorMessage="1" sqref="C6065">
      <formula1>UnidadesList</formula1>
    </dataValidation>
    <dataValidation type="decimal" operator="greaterThan" allowBlank="1" showInputMessage="1" showErrorMessage="1" sqref="D6065">
      <formula1>0</formula1>
    </dataValidation>
    <dataValidation type="decimal" operator="greaterThan" allowBlank="1" showInputMessage="1" showErrorMessage="1" sqref="E6065">
      <formula1>0</formula1>
    </dataValidation>
    <dataValidation type="whole" operator="greaterThan" allowBlank="1" showInputMessage="1" showErrorMessage="1" sqref="A6066">
      <formula1>0</formula1>
    </dataValidation>
    <dataValidation type="list" allowBlank="1" showInputMessage="1" showErrorMessage="1" sqref="C6066">
      <formula1>UnidadesList</formula1>
    </dataValidation>
    <dataValidation type="decimal" operator="greaterThan" allowBlank="1" showInputMessage="1" showErrorMessage="1" sqref="D6066">
      <formula1>0</formula1>
    </dataValidation>
    <dataValidation type="decimal" operator="greaterThan" allowBlank="1" showInputMessage="1" showErrorMessage="1" sqref="E6066">
      <formula1>0</formula1>
    </dataValidation>
    <dataValidation type="date" operator="lessThanOrEqual" allowBlank="1" showInputMessage="1" showErrorMessage="1" sqref="C6071">
      <formula1>C6073</formula1>
    </dataValidation>
    <dataValidation type="date" operator="greaterThanOrEqual" allowBlank="1" showInputMessage="1" showErrorMessage="1" sqref="C6073">
      <formula1>C6071</formula1>
    </dataValidation>
    <dataValidation type="list" allowBlank="1" showInputMessage="1" showErrorMessage="1" sqref="F607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07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7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07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077">
      <formula1>0</formula1>
    </dataValidation>
    <dataValidation type="list" allowBlank="1" showInputMessage="1" showErrorMessage="1" sqref="C6077">
      <formula1>UnidadesList</formula1>
    </dataValidation>
    <dataValidation type="decimal" operator="greaterThan" allowBlank="1" showInputMessage="1" showErrorMessage="1" sqref="D6077">
      <formula1>0</formula1>
    </dataValidation>
    <dataValidation type="decimal" operator="greaterThan" allowBlank="1" showInputMessage="1" showErrorMessage="1" sqref="E6077">
      <formula1>0</formula1>
    </dataValidation>
    <dataValidation type="whole" operator="greaterThan" allowBlank="1" showInputMessage="1" showErrorMessage="1" sqref="A6078">
      <formula1>0</formula1>
    </dataValidation>
    <dataValidation type="list" allowBlank="1" showInputMessage="1" showErrorMessage="1" sqref="C6078">
      <formula1>UnidadesList</formula1>
    </dataValidation>
    <dataValidation type="decimal" operator="greaterThan" allowBlank="1" showInputMessage="1" showErrorMessage="1" sqref="D6078">
      <formula1>0</formula1>
    </dataValidation>
    <dataValidation type="decimal" operator="greaterThan" allowBlank="1" showInputMessage="1" showErrorMessage="1" sqref="E6078">
      <formula1>0</formula1>
    </dataValidation>
    <dataValidation type="whole" operator="greaterThan" allowBlank="1" showInputMessage="1" showErrorMessage="1" sqref="A6079">
      <formula1>0</formula1>
    </dataValidation>
    <dataValidation type="list" allowBlank="1" showInputMessage="1" showErrorMessage="1" sqref="C6079">
      <formula1>UnidadesList</formula1>
    </dataValidation>
    <dataValidation type="decimal" operator="greaterThan" allowBlank="1" showInputMessage="1" showErrorMessage="1" sqref="D6079">
      <formula1>0</formula1>
    </dataValidation>
    <dataValidation type="decimal" operator="greaterThan" allowBlank="1" showInputMessage="1" showErrorMessage="1" sqref="E6079">
      <formula1>0</formula1>
    </dataValidation>
    <dataValidation type="date" operator="lessThanOrEqual" allowBlank="1" showInputMessage="1" showErrorMessage="1" sqref="C6084">
      <formula1>C6086</formula1>
    </dataValidation>
    <dataValidation type="date" operator="greaterThanOrEqual" allowBlank="1" showInputMessage="1" showErrorMessage="1" sqref="C6086">
      <formula1>C6084</formula1>
    </dataValidation>
    <dataValidation type="list" allowBlank="1" showInputMessage="1" showErrorMessage="1" sqref="F608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08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8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08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090">
      <formula1>0</formula1>
    </dataValidation>
    <dataValidation type="list" allowBlank="1" showInputMessage="1" showErrorMessage="1" sqref="C6090">
      <formula1>UnidadesList</formula1>
    </dataValidation>
    <dataValidation type="decimal" operator="greaterThan" allowBlank="1" showInputMessage="1" showErrorMessage="1" sqref="D6090">
      <formula1>0</formula1>
    </dataValidation>
    <dataValidation type="decimal" operator="greaterThan" allowBlank="1" showInputMessage="1" showErrorMessage="1" sqref="E6090">
      <formula1>0</formula1>
    </dataValidation>
    <dataValidation type="whole" operator="greaterThan" allowBlank="1" showInputMessage="1" showErrorMessage="1" sqref="A6091">
      <formula1>0</formula1>
    </dataValidation>
    <dataValidation type="list" allowBlank="1" showInputMessage="1" showErrorMessage="1" sqref="C6091">
      <formula1>UnidadesList</formula1>
    </dataValidation>
    <dataValidation type="decimal" operator="greaterThan" allowBlank="1" showInputMessage="1" showErrorMessage="1" sqref="D6091">
      <formula1>0</formula1>
    </dataValidation>
    <dataValidation type="decimal" operator="greaterThan" allowBlank="1" showInputMessage="1" showErrorMessage="1" sqref="E6091">
      <formula1>0</formula1>
    </dataValidation>
    <dataValidation type="whole" operator="greaterThan" allowBlank="1" showInputMessage="1" showErrorMessage="1" sqref="A6092">
      <formula1>0</formula1>
    </dataValidation>
    <dataValidation type="list" allowBlank="1" showInputMessage="1" showErrorMessage="1" sqref="C6092">
      <formula1>UnidadesList</formula1>
    </dataValidation>
    <dataValidation type="decimal" operator="greaterThan" allowBlank="1" showInputMessage="1" showErrorMessage="1" sqref="D6092">
      <formula1>0</formula1>
    </dataValidation>
    <dataValidation type="decimal" operator="greaterThan" allowBlank="1" showInputMessage="1" showErrorMessage="1" sqref="E6092">
      <formula1>0</formula1>
    </dataValidation>
    <dataValidation type="date" operator="lessThanOrEqual" allowBlank="1" showInputMessage="1" showErrorMessage="1" sqref="C6097">
      <formula1>C6099</formula1>
    </dataValidation>
    <dataValidation type="date" operator="greaterThanOrEqual" allowBlank="1" showInputMessage="1" showErrorMessage="1" sqref="C6099">
      <formula1>C6097</formula1>
    </dataValidation>
    <dataValidation type="list" allowBlank="1" showInputMessage="1" showErrorMessage="1" sqref="F609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09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9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10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103">
      <formula1>0</formula1>
    </dataValidation>
    <dataValidation type="list" allowBlank="1" showInputMessage="1" showErrorMessage="1" sqref="C6103">
      <formula1>UnidadesList</formula1>
    </dataValidation>
    <dataValidation type="decimal" operator="greaterThan" allowBlank="1" showInputMessage="1" showErrorMessage="1" sqref="D6103">
      <formula1>0</formula1>
    </dataValidation>
    <dataValidation type="decimal" operator="greaterThan" allowBlank="1" showInputMessage="1" showErrorMessage="1" sqref="E6103">
      <formula1>0</formula1>
    </dataValidation>
    <dataValidation type="whole" operator="greaterThan" allowBlank="1" showInputMessage="1" showErrorMessage="1" sqref="A6104">
      <formula1>0</formula1>
    </dataValidation>
    <dataValidation type="list" allowBlank="1" showInputMessage="1" showErrorMessage="1" sqref="C6104">
      <formula1>UnidadesList</formula1>
    </dataValidation>
    <dataValidation type="decimal" operator="greaterThan" allowBlank="1" showInputMessage="1" showErrorMessage="1" sqref="D6104">
      <formula1>0</formula1>
    </dataValidation>
    <dataValidation type="decimal" operator="greaterThan" allowBlank="1" showInputMessage="1" showErrorMessage="1" sqref="E6104">
      <formula1>0</formula1>
    </dataValidation>
    <dataValidation type="whole" operator="greaterThan" allowBlank="1" showInputMessage="1" showErrorMessage="1" sqref="A6105">
      <formula1>0</formula1>
    </dataValidation>
    <dataValidation type="list" allowBlank="1" showInputMessage="1" showErrorMessage="1" sqref="C6105">
      <formula1>UnidadesList</formula1>
    </dataValidation>
    <dataValidation type="decimal" operator="greaterThan" allowBlank="1" showInputMessage="1" showErrorMessage="1" sqref="D6105">
      <formula1>0</formula1>
    </dataValidation>
    <dataValidation type="decimal" operator="greaterThan" allowBlank="1" showInputMessage="1" showErrorMessage="1" sqref="E6105">
      <formula1>0</formula1>
    </dataValidation>
    <dataValidation type="date" operator="lessThanOrEqual" allowBlank="1" showInputMessage="1" showErrorMessage="1" sqref="C6110">
      <formula1>C6112</formula1>
    </dataValidation>
    <dataValidation type="date" operator="greaterThanOrEqual" allowBlank="1" showInputMessage="1" showErrorMessage="1" sqref="C6112">
      <formula1>C6110</formula1>
    </dataValidation>
    <dataValidation type="list" allowBlank="1" showInputMessage="1" showErrorMessage="1" sqref="F61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1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1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1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116">
      <formula1>0</formula1>
    </dataValidation>
    <dataValidation type="list" allowBlank="1" showInputMessage="1" showErrorMessage="1" sqref="C6116">
      <formula1>UnidadesList</formula1>
    </dataValidation>
    <dataValidation type="decimal" operator="greaterThan" allowBlank="1" showInputMessage="1" showErrorMessage="1" sqref="D6116">
      <formula1>0</formula1>
    </dataValidation>
    <dataValidation type="decimal" operator="greaterThan" allowBlank="1" showInputMessage="1" showErrorMessage="1" sqref="E6116">
      <formula1>0</formula1>
    </dataValidation>
    <dataValidation type="date" operator="lessThanOrEqual" allowBlank="1" showInputMessage="1" showErrorMessage="1" sqref="C6121">
      <formula1>C6123</formula1>
    </dataValidation>
    <dataValidation type="date" operator="greaterThanOrEqual" allowBlank="1" showInputMessage="1" showErrorMessage="1" sqref="C6123">
      <formula1>C6121</formula1>
    </dataValidation>
    <dataValidation type="list" allowBlank="1" showInputMessage="1" showErrorMessage="1" sqref="F61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1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1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1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127">
      <formula1>0</formula1>
    </dataValidation>
    <dataValidation type="list" allowBlank="1" showInputMessage="1" showErrorMessage="1" sqref="C6127">
      <formula1>UnidadesList</formula1>
    </dataValidation>
    <dataValidation type="decimal" operator="greaterThan" allowBlank="1" showInputMessage="1" showErrorMessage="1" sqref="D6127">
      <formula1>0</formula1>
    </dataValidation>
    <dataValidation type="decimal" operator="greaterThan" allowBlank="1" showInputMessage="1" showErrorMessage="1" sqref="E6127">
      <formula1>0</formula1>
    </dataValidation>
    <dataValidation type="date" operator="lessThanOrEqual" allowBlank="1" showInputMessage="1" showErrorMessage="1" sqref="C6132">
      <formula1>C6134</formula1>
    </dataValidation>
    <dataValidation type="date" operator="greaterThanOrEqual" allowBlank="1" showInputMessage="1" showErrorMessage="1" sqref="C6134">
      <formula1>C6132</formula1>
    </dataValidation>
    <dataValidation type="list" allowBlank="1" showInputMessage="1" showErrorMessage="1" sqref="F613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13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13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13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138">
      <formula1>0</formula1>
    </dataValidation>
    <dataValidation type="list" allowBlank="1" showInputMessage="1" showErrorMessage="1" sqref="C6138">
      <formula1>UnidadesList</formula1>
    </dataValidation>
    <dataValidation type="decimal" operator="greaterThan" allowBlank="1" showInputMessage="1" showErrorMessage="1" sqref="D6138">
      <formula1>0</formula1>
    </dataValidation>
    <dataValidation type="decimal" operator="greaterThan" allowBlank="1" showInputMessage="1" showErrorMessage="1" sqref="E6138">
      <formula1>0</formula1>
    </dataValidation>
    <dataValidation type="date" operator="lessThanOrEqual" allowBlank="1" showInputMessage="1" showErrorMessage="1" sqref="C6143">
      <formula1>C6145</formula1>
    </dataValidation>
    <dataValidation type="date" operator="greaterThanOrEqual" allowBlank="1" showInputMessage="1" showErrorMessage="1" sqref="C6145">
      <formula1>C6143</formula1>
    </dataValidation>
    <dataValidation type="list" allowBlank="1" showInputMessage="1" showErrorMessage="1" sqref="F614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14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14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14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149">
      <formula1>0</formula1>
    </dataValidation>
    <dataValidation type="list" allowBlank="1" showInputMessage="1" showErrorMessage="1" sqref="C6149">
      <formula1>UnidadesList</formula1>
    </dataValidation>
    <dataValidation type="decimal" operator="greaterThan" allowBlank="1" showInputMessage="1" showErrorMessage="1" sqref="D6149">
      <formula1>0</formula1>
    </dataValidation>
    <dataValidation type="decimal" operator="greaterThan" allowBlank="1" showInputMessage="1" showErrorMessage="1" sqref="E6149">
      <formula1>0</formula1>
    </dataValidation>
    <dataValidation type="date" operator="lessThanOrEqual" allowBlank="1" showInputMessage="1" showErrorMessage="1" sqref="C6154">
      <formula1>C6156</formula1>
    </dataValidation>
    <dataValidation type="date" operator="greaterThanOrEqual" allowBlank="1" showInputMessage="1" showErrorMessage="1" sqref="C6156">
      <formula1>C6154</formula1>
    </dataValidation>
    <dataValidation type="list" allowBlank="1" showInputMessage="1" showErrorMessage="1" sqref="F61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1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1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1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160">
      <formula1>0</formula1>
    </dataValidation>
    <dataValidation type="list" allowBlank="1" showInputMessage="1" showErrorMessage="1" sqref="C6160">
      <formula1>UnidadesList</formula1>
    </dataValidation>
    <dataValidation type="decimal" operator="greaterThan" allowBlank="1" showInputMessage="1" showErrorMessage="1" sqref="D6160">
      <formula1>0</formula1>
    </dataValidation>
    <dataValidation type="decimal" operator="greaterThan" allowBlank="1" showInputMessage="1" showErrorMessage="1" sqref="E6160">
      <formula1>0</formula1>
    </dataValidation>
    <dataValidation type="whole" operator="greaterThan" allowBlank="1" showInputMessage="1" showErrorMessage="1" sqref="A6161">
      <formula1>0</formula1>
    </dataValidation>
    <dataValidation type="list" allowBlank="1" showInputMessage="1" showErrorMessage="1" sqref="C6161">
      <formula1>UnidadesList</formula1>
    </dataValidation>
    <dataValidation type="decimal" operator="greaterThan" allowBlank="1" showInputMessage="1" showErrorMessage="1" sqref="D6161">
      <formula1>0</formula1>
    </dataValidation>
    <dataValidation type="decimal" operator="greaterThan" allowBlank="1" showInputMessage="1" showErrorMessage="1" sqref="E6161">
      <formula1>0</formula1>
    </dataValidation>
    <dataValidation type="whole" operator="greaterThan" allowBlank="1" showInputMessage="1" showErrorMessage="1" sqref="A6162">
      <formula1>0</formula1>
    </dataValidation>
    <dataValidation type="list" allowBlank="1" showInputMessage="1" showErrorMessage="1" sqref="C6162">
      <formula1>UnidadesList</formula1>
    </dataValidation>
    <dataValidation type="decimal" operator="greaterThan" allowBlank="1" showInputMessage="1" showErrorMessage="1" sqref="D6162">
      <formula1>0</formula1>
    </dataValidation>
    <dataValidation type="decimal" operator="greaterThan" allowBlank="1" showInputMessage="1" showErrorMessage="1" sqref="E6162">
      <formula1>0</formula1>
    </dataValidation>
    <dataValidation type="whole" operator="greaterThan" allowBlank="1" showInputMessage="1" showErrorMessage="1" sqref="A6163">
      <formula1>0</formula1>
    </dataValidation>
    <dataValidation type="list" allowBlank="1" showInputMessage="1" showErrorMessage="1" sqref="C6163">
      <formula1>UnidadesList</formula1>
    </dataValidation>
    <dataValidation type="decimal" operator="greaterThan" allowBlank="1" showInputMessage="1" showErrorMessage="1" sqref="D6163">
      <formula1>0</formula1>
    </dataValidation>
    <dataValidation type="decimal" operator="greaterThan" allowBlank="1" showInputMessage="1" showErrorMessage="1" sqref="E6163">
      <formula1>0</formula1>
    </dataValidation>
    <dataValidation type="whole" operator="greaterThan" allowBlank="1" showInputMessage="1" showErrorMessage="1" sqref="A6164">
      <formula1>0</formula1>
    </dataValidation>
    <dataValidation type="list" allowBlank="1" showInputMessage="1" showErrorMessage="1" sqref="C6164">
      <formula1>UnidadesList</formula1>
    </dataValidation>
    <dataValidation type="decimal" operator="greaterThan" allowBlank="1" showInputMessage="1" showErrorMessage="1" sqref="D6164">
      <formula1>0</formula1>
    </dataValidation>
    <dataValidation type="decimal" operator="greaterThan" allowBlank="1" showInputMessage="1" showErrorMessage="1" sqref="E6164">
      <formula1>0</formula1>
    </dataValidation>
    <dataValidation type="whole" operator="greaterThan" allowBlank="1" showInputMessage="1" showErrorMessage="1" sqref="A6165">
      <formula1>0</formula1>
    </dataValidation>
    <dataValidation type="list" allowBlank="1" showInputMessage="1" showErrorMessage="1" sqref="C6165">
      <formula1>UnidadesList</formula1>
    </dataValidation>
    <dataValidation type="decimal" operator="greaterThan" allowBlank="1" showInputMessage="1" showErrorMessage="1" sqref="D6165">
      <formula1>0</formula1>
    </dataValidation>
    <dataValidation type="decimal" operator="greaterThan" allowBlank="1" showInputMessage="1" showErrorMessage="1" sqref="E6165">
      <formula1>0</formula1>
    </dataValidation>
    <dataValidation type="whole" operator="greaterThan" allowBlank="1" showInputMessage="1" showErrorMessage="1" sqref="A6166">
      <formula1>0</formula1>
    </dataValidation>
    <dataValidation type="list" allowBlank="1" showInputMessage="1" showErrorMessage="1" sqref="C6166">
      <formula1>UnidadesList</formula1>
    </dataValidation>
    <dataValidation type="decimal" operator="greaterThan" allowBlank="1" showInputMessage="1" showErrorMessage="1" sqref="D6166">
      <formula1>0</formula1>
    </dataValidation>
    <dataValidation type="decimal" operator="greaterThan" allowBlank="1" showInputMessage="1" showErrorMessage="1" sqref="E6166">
      <formula1>0</formula1>
    </dataValidation>
    <dataValidation type="whole" operator="greaterThan" allowBlank="1" showInputMessage="1" showErrorMessage="1" sqref="A6167">
      <formula1>0</formula1>
    </dataValidation>
    <dataValidation type="list" allowBlank="1" showInputMessage="1" showErrorMessage="1" sqref="C6167">
      <formula1>UnidadesList</formula1>
    </dataValidation>
    <dataValidation type="decimal" operator="greaterThan" allowBlank="1" showInputMessage="1" showErrorMessage="1" sqref="D6167">
      <formula1>0</formula1>
    </dataValidation>
    <dataValidation type="decimal" operator="greaterThan" allowBlank="1" showInputMessage="1" showErrorMessage="1" sqref="E6167">
      <formula1>0</formula1>
    </dataValidation>
    <dataValidation type="whole" operator="greaterThan" allowBlank="1" showInputMessage="1" showErrorMessage="1" sqref="A6168">
      <formula1>0</formula1>
    </dataValidation>
    <dataValidation type="list" allowBlank="1" showInputMessage="1" showErrorMessage="1" sqref="C6168">
      <formula1>UnidadesList</formula1>
    </dataValidation>
    <dataValidation type="decimal" operator="greaterThan" allowBlank="1" showInputMessage="1" showErrorMessage="1" sqref="D6168">
      <formula1>0</formula1>
    </dataValidation>
    <dataValidation type="decimal" operator="greaterThan" allowBlank="1" showInputMessage="1" showErrorMessage="1" sqref="E6168">
      <formula1>0</formula1>
    </dataValidation>
    <dataValidation type="whole" operator="greaterThan" allowBlank="1" showInputMessage="1" showErrorMessage="1" sqref="A6169">
      <formula1>0</formula1>
    </dataValidation>
    <dataValidation type="list" allowBlank="1" showInputMessage="1" showErrorMessage="1" sqref="C6169">
      <formula1>UnidadesList</formula1>
    </dataValidation>
    <dataValidation type="decimal" operator="greaterThan" allowBlank="1" showInputMessage="1" showErrorMessage="1" sqref="D6169">
      <formula1>0</formula1>
    </dataValidation>
    <dataValidation type="decimal" operator="greaterThan" allowBlank="1" showInputMessage="1" showErrorMessage="1" sqref="E6169">
      <formula1>0</formula1>
    </dataValidation>
    <dataValidation type="whole" operator="greaterThan" allowBlank="1" showInputMessage="1" showErrorMessage="1" sqref="A6170">
      <formula1>0</formula1>
    </dataValidation>
    <dataValidation type="list" allowBlank="1" showInputMessage="1" showErrorMessage="1" sqref="C6170">
      <formula1>UnidadesList</formula1>
    </dataValidation>
    <dataValidation type="decimal" operator="greaterThan" allowBlank="1" showInputMessage="1" showErrorMessage="1" sqref="D6170">
      <formula1>0</formula1>
    </dataValidation>
    <dataValidation type="decimal" operator="greaterThan" allowBlank="1" showInputMessage="1" showErrorMessage="1" sqref="E6170">
      <formula1>0</formula1>
    </dataValidation>
    <dataValidation type="whole" operator="greaterThan" allowBlank="1" showInputMessage="1" showErrorMessage="1" sqref="A6171">
      <formula1>0</formula1>
    </dataValidation>
    <dataValidation type="list" allowBlank="1" showInputMessage="1" showErrorMessage="1" sqref="C6171">
      <formula1>UnidadesList</formula1>
    </dataValidation>
    <dataValidation type="decimal" operator="greaterThan" allowBlank="1" showInputMessage="1" showErrorMessage="1" sqref="D6171">
      <formula1>0</formula1>
    </dataValidation>
    <dataValidation type="decimal" operator="greaterThan" allowBlank="1" showInputMessage="1" showErrorMessage="1" sqref="E6171">
      <formula1>0</formula1>
    </dataValidation>
    <dataValidation type="whole" operator="greaterThan" allowBlank="1" showInputMessage="1" showErrorMessage="1" sqref="A6172">
      <formula1>0</formula1>
    </dataValidation>
    <dataValidation type="list" allowBlank="1" showInputMessage="1" showErrorMessage="1" sqref="C6172">
      <formula1>UnidadesList</formula1>
    </dataValidation>
    <dataValidation type="decimal" operator="greaterThan" allowBlank="1" showInputMessage="1" showErrorMessage="1" sqref="D6172">
      <formula1>0</formula1>
    </dataValidation>
    <dataValidation type="decimal" operator="greaterThan" allowBlank="1" showInputMessage="1" showErrorMessage="1" sqref="E6172">
      <formula1>0</formula1>
    </dataValidation>
    <dataValidation type="whole" operator="greaterThan" allowBlank="1" showInputMessage="1" showErrorMessage="1" sqref="A6173">
      <formula1>0</formula1>
    </dataValidation>
    <dataValidation type="list" allowBlank="1" showInputMessage="1" showErrorMessage="1" sqref="C6173">
      <formula1>UnidadesList</formula1>
    </dataValidation>
    <dataValidation type="decimal" operator="greaterThan" allowBlank="1" showInputMessage="1" showErrorMessage="1" sqref="D6173">
      <formula1>0</formula1>
    </dataValidation>
    <dataValidation type="decimal" operator="greaterThan" allowBlank="1" showInputMessage="1" showErrorMessage="1" sqref="E6173">
      <formula1>0</formula1>
    </dataValidation>
    <dataValidation type="whole" operator="greaterThan" allowBlank="1" showInputMessage="1" showErrorMessage="1" sqref="A6174">
      <formula1>0</formula1>
    </dataValidation>
    <dataValidation type="list" allowBlank="1" showInputMessage="1" showErrorMessage="1" sqref="C6174">
      <formula1>UnidadesList</formula1>
    </dataValidation>
    <dataValidation type="decimal" operator="greaterThan" allowBlank="1" showInputMessage="1" showErrorMessage="1" sqref="D6174">
      <formula1>0</formula1>
    </dataValidation>
    <dataValidation type="decimal" operator="greaterThan" allowBlank="1" showInputMessage="1" showErrorMessage="1" sqref="E6174">
      <formula1>0</formula1>
    </dataValidation>
    <dataValidation type="whole" operator="greaterThan" allowBlank="1" showInputMessage="1" showErrorMessage="1" sqref="A6175">
      <formula1>0</formula1>
    </dataValidation>
    <dataValidation type="list" allowBlank="1" showInputMessage="1" showErrorMessage="1" sqref="C6175">
      <formula1>UnidadesList</formula1>
    </dataValidation>
    <dataValidation type="decimal" operator="greaterThan" allowBlank="1" showInputMessage="1" showErrorMessage="1" sqref="D6175">
      <formula1>0</formula1>
    </dataValidation>
    <dataValidation type="decimal" operator="greaterThan" allowBlank="1" showInputMessage="1" showErrorMessage="1" sqref="E6175">
      <formula1>0</formula1>
    </dataValidation>
    <dataValidation type="whole" operator="greaterThan" allowBlank="1" showInputMessage="1" showErrorMessage="1" sqref="A6176">
      <formula1>0</formula1>
    </dataValidation>
    <dataValidation type="list" allowBlank="1" showInputMessage="1" showErrorMessage="1" sqref="C6176">
      <formula1>UnidadesList</formula1>
    </dataValidation>
    <dataValidation type="decimal" operator="greaterThan" allowBlank="1" showInputMessage="1" showErrorMessage="1" sqref="D6176">
      <formula1>0</formula1>
    </dataValidation>
    <dataValidation type="decimal" operator="greaterThan" allowBlank="1" showInputMessage="1" showErrorMessage="1" sqref="E6176">
      <formula1>0</formula1>
    </dataValidation>
    <dataValidation type="whole" operator="greaterThan" allowBlank="1" showInputMessage="1" showErrorMessage="1" sqref="A6177">
      <formula1>0</formula1>
    </dataValidation>
    <dataValidation type="list" allowBlank="1" showInputMessage="1" showErrorMessage="1" sqref="C6177">
      <formula1>UnidadesList</formula1>
    </dataValidation>
    <dataValidation type="decimal" operator="greaterThan" allowBlank="1" showInputMessage="1" showErrorMessage="1" sqref="D6177">
      <formula1>0</formula1>
    </dataValidation>
    <dataValidation type="decimal" operator="greaterThan" allowBlank="1" showInputMessage="1" showErrorMessage="1" sqref="E6177">
      <formula1>0</formula1>
    </dataValidation>
    <dataValidation type="whole" operator="greaterThan" allowBlank="1" showInputMessage="1" showErrorMessage="1" sqref="A6178">
      <formula1>0</formula1>
    </dataValidation>
    <dataValidation type="list" allowBlank="1" showInputMessage="1" showErrorMessage="1" sqref="C6178">
      <formula1>UnidadesList</formula1>
    </dataValidation>
    <dataValidation type="decimal" operator="greaterThan" allowBlank="1" showInputMessage="1" showErrorMessage="1" sqref="D6178">
      <formula1>0</formula1>
    </dataValidation>
    <dataValidation type="decimal" operator="greaterThan" allowBlank="1" showInputMessage="1" showErrorMessage="1" sqref="E6178">
      <formula1>0</formula1>
    </dataValidation>
    <dataValidation type="whole" operator="greaterThan" allowBlank="1" showInputMessage="1" showErrorMessage="1" sqref="A6179">
      <formula1>0</formula1>
    </dataValidation>
    <dataValidation type="list" allowBlank="1" showInputMessage="1" showErrorMessage="1" sqref="C6179">
      <formula1>UnidadesList</formula1>
    </dataValidation>
    <dataValidation type="decimal" operator="greaterThan" allowBlank="1" showInputMessage="1" showErrorMessage="1" sqref="D6179">
      <formula1>0</formula1>
    </dataValidation>
    <dataValidation type="decimal" operator="greaterThan" allowBlank="1" showInputMessage="1" showErrorMessage="1" sqref="E6179">
      <formula1>0</formula1>
    </dataValidation>
    <dataValidation type="whole" operator="greaterThan" allowBlank="1" showInputMessage="1" showErrorMessage="1" sqref="A6180">
      <formula1>0</formula1>
    </dataValidation>
    <dataValidation type="list" allowBlank="1" showInputMessage="1" showErrorMessage="1" sqref="C6180">
      <formula1>UnidadesList</formula1>
    </dataValidation>
    <dataValidation type="decimal" operator="greaterThan" allowBlank="1" showInputMessage="1" showErrorMessage="1" sqref="D6180">
      <formula1>0</formula1>
    </dataValidation>
    <dataValidation type="decimal" operator="greaterThan" allowBlank="1" showInputMessage="1" showErrorMessage="1" sqref="E6180">
      <formula1>0</formula1>
    </dataValidation>
    <dataValidation type="whole" operator="greaterThan" allowBlank="1" showInputMessage="1" showErrorMessage="1" sqref="A6181">
      <formula1>0</formula1>
    </dataValidation>
    <dataValidation type="list" allowBlank="1" showInputMessage="1" showErrorMessage="1" sqref="C6181">
      <formula1>UnidadesList</formula1>
    </dataValidation>
    <dataValidation type="decimal" operator="greaterThan" allowBlank="1" showInputMessage="1" showErrorMessage="1" sqref="D6181">
      <formula1>0</formula1>
    </dataValidation>
    <dataValidation type="decimal" operator="greaterThan" allowBlank="1" showInputMessage="1" showErrorMessage="1" sqref="E6181">
      <formula1>0</formula1>
    </dataValidation>
    <dataValidation type="whole" operator="greaterThan" allowBlank="1" showInputMessage="1" showErrorMessage="1" sqref="A6182">
      <formula1>0</formula1>
    </dataValidation>
    <dataValidation type="list" allowBlank="1" showInputMessage="1" showErrorMessage="1" sqref="C6182">
      <formula1>UnidadesList</formula1>
    </dataValidation>
    <dataValidation type="decimal" operator="greaterThan" allowBlank="1" showInputMessage="1" showErrorMessage="1" sqref="D6182">
      <formula1>0</formula1>
    </dataValidation>
    <dataValidation type="decimal" operator="greaterThan" allowBlank="1" showInputMessage="1" showErrorMessage="1" sqref="E6182">
      <formula1>0</formula1>
    </dataValidation>
    <dataValidation type="whole" operator="greaterThan" allowBlank="1" showInputMessage="1" showErrorMessage="1" sqref="A6183">
      <formula1>0</formula1>
    </dataValidation>
    <dataValidation type="list" allowBlank="1" showInputMessage="1" showErrorMessage="1" sqref="C6183">
      <formula1>UnidadesList</formula1>
    </dataValidation>
    <dataValidation type="decimal" operator="greaterThan" allowBlank="1" showInputMessage="1" showErrorMessage="1" sqref="D6183">
      <formula1>0</formula1>
    </dataValidation>
    <dataValidation type="decimal" operator="greaterThan" allowBlank="1" showInputMessage="1" showErrorMessage="1" sqref="E6183">
      <formula1>0</formula1>
    </dataValidation>
    <dataValidation type="whole" operator="greaterThan" allowBlank="1" showInputMessage="1" showErrorMessage="1" sqref="A6184">
      <formula1>0</formula1>
    </dataValidation>
    <dataValidation type="list" allowBlank="1" showInputMessage="1" showErrorMessage="1" sqref="C6184">
      <formula1>UnidadesList</formula1>
    </dataValidation>
    <dataValidation type="decimal" operator="greaterThan" allowBlank="1" showInputMessage="1" showErrorMessage="1" sqref="D6184">
      <formula1>0</formula1>
    </dataValidation>
    <dataValidation type="decimal" operator="greaterThan" allowBlank="1" showInputMessage="1" showErrorMessage="1" sqref="E6184">
      <formula1>0</formula1>
    </dataValidation>
    <dataValidation type="whole" operator="greaterThan" allowBlank="1" showInputMessage="1" showErrorMessage="1" sqref="A6185">
      <formula1>0</formula1>
    </dataValidation>
    <dataValidation type="list" allowBlank="1" showInputMessage="1" showErrorMessage="1" sqref="C6185">
      <formula1>UnidadesList</formula1>
    </dataValidation>
    <dataValidation type="decimal" operator="greaterThan" allowBlank="1" showInputMessage="1" showErrorMessage="1" sqref="D6185">
      <formula1>0</formula1>
    </dataValidation>
    <dataValidation type="decimal" operator="greaterThan" allowBlank="1" showInputMessage="1" showErrorMessage="1" sqref="E6185">
      <formula1>0</formula1>
    </dataValidation>
    <dataValidation type="whole" operator="greaterThan" allowBlank="1" showInputMessage="1" showErrorMessage="1" sqref="A6186">
      <formula1>0</formula1>
    </dataValidation>
    <dataValidation type="list" allowBlank="1" showInputMessage="1" showErrorMessage="1" sqref="C6186">
      <formula1>UnidadesList</formula1>
    </dataValidation>
    <dataValidation type="decimal" operator="greaterThan" allowBlank="1" showInputMessage="1" showErrorMessage="1" sqref="D6186">
      <formula1>0</formula1>
    </dataValidation>
    <dataValidation type="decimal" operator="greaterThan" allowBlank="1" showInputMessage="1" showErrorMessage="1" sqref="E6186">
      <formula1>0</formula1>
    </dataValidation>
    <dataValidation type="whole" operator="greaterThan" allowBlank="1" showInputMessage="1" showErrorMessage="1" sqref="A6187">
      <formula1>0</formula1>
    </dataValidation>
    <dataValidation type="list" allowBlank="1" showInputMessage="1" showErrorMessage="1" sqref="C6187">
      <formula1>UnidadesList</formula1>
    </dataValidation>
    <dataValidation type="decimal" operator="greaterThan" allowBlank="1" showInputMessage="1" showErrorMessage="1" sqref="D6187">
      <formula1>0</formula1>
    </dataValidation>
    <dataValidation type="decimal" operator="greaterThan" allowBlank="1" showInputMessage="1" showErrorMessage="1" sqref="E6187">
      <formula1>0</formula1>
    </dataValidation>
    <dataValidation type="whole" operator="greaterThan" allowBlank="1" showInputMessage="1" showErrorMessage="1" sqref="A6188">
      <formula1>0</formula1>
    </dataValidation>
    <dataValidation type="list" allowBlank="1" showInputMessage="1" showErrorMessage="1" sqref="C6188">
      <formula1>UnidadesList</formula1>
    </dataValidation>
    <dataValidation type="decimal" operator="greaterThan" allowBlank="1" showInputMessage="1" showErrorMessage="1" sqref="D6188">
      <formula1>0</formula1>
    </dataValidation>
    <dataValidation type="decimal" operator="greaterThan" allowBlank="1" showInputMessage="1" showErrorMessage="1" sqref="E6188">
      <formula1>0</formula1>
    </dataValidation>
    <dataValidation type="whole" operator="greaterThan" allowBlank="1" showInputMessage="1" showErrorMessage="1" sqref="A6189">
      <formula1>0</formula1>
    </dataValidation>
    <dataValidation type="list" allowBlank="1" showInputMessage="1" showErrorMessage="1" sqref="C6189">
      <formula1>UnidadesList</formula1>
    </dataValidation>
    <dataValidation type="decimal" operator="greaterThan" allowBlank="1" showInputMessage="1" showErrorMessage="1" sqref="D6189">
      <formula1>0</formula1>
    </dataValidation>
    <dataValidation type="decimal" operator="greaterThan" allowBlank="1" showInputMessage="1" showErrorMessage="1" sqref="E6189">
      <formula1>0</formula1>
    </dataValidation>
    <dataValidation type="whole" operator="greaterThan" allowBlank="1" showInputMessage="1" showErrorMessage="1" sqref="A6190">
      <formula1>0</formula1>
    </dataValidation>
    <dataValidation type="list" allowBlank="1" showInputMessage="1" showErrorMessage="1" sqref="C6190">
      <formula1>UnidadesList</formula1>
    </dataValidation>
    <dataValidation type="decimal" operator="greaterThan" allowBlank="1" showInputMessage="1" showErrorMessage="1" sqref="D6190">
      <formula1>0</formula1>
    </dataValidation>
    <dataValidation type="decimal" operator="greaterThan" allowBlank="1" showInputMessage="1" showErrorMessage="1" sqref="E6190">
      <formula1>0</formula1>
    </dataValidation>
    <dataValidation type="whole" operator="greaterThan" allowBlank="1" showInputMessage="1" showErrorMessage="1" sqref="A6191">
      <formula1>0</formula1>
    </dataValidation>
    <dataValidation type="list" allowBlank="1" showInputMessage="1" showErrorMessage="1" sqref="C6191">
      <formula1>UnidadesList</formula1>
    </dataValidation>
    <dataValidation type="decimal" operator="greaterThan" allowBlank="1" showInputMessage="1" showErrorMessage="1" sqref="D6191">
      <formula1>0</formula1>
    </dataValidation>
    <dataValidation type="decimal" operator="greaterThan" allowBlank="1" showInputMessage="1" showErrorMessage="1" sqref="E6191">
      <formula1>0</formula1>
    </dataValidation>
    <dataValidation type="whole" operator="greaterThan" allowBlank="1" showInputMessage="1" showErrorMessage="1" sqref="A6192">
      <formula1>0</formula1>
    </dataValidation>
    <dataValidation type="list" allowBlank="1" showInputMessage="1" showErrorMessage="1" sqref="C6192">
      <formula1>UnidadesList</formula1>
    </dataValidation>
    <dataValidation type="decimal" operator="greaterThan" allowBlank="1" showInputMessage="1" showErrorMessage="1" sqref="D6192">
      <formula1>0</formula1>
    </dataValidation>
    <dataValidation type="decimal" operator="greaterThan" allowBlank="1" showInputMessage="1" showErrorMessage="1" sqref="E6192">
      <formula1>0</formula1>
    </dataValidation>
    <dataValidation type="whole" operator="greaterThan" allowBlank="1" showInputMessage="1" showErrorMessage="1" sqref="A6193">
      <formula1>0</formula1>
    </dataValidation>
    <dataValidation type="list" allowBlank="1" showInputMessage="1" showErrorMessage="1" sqref="C6193">
      <formula1>UnidadesList</formula1>
    </dataValidation>
    <dataValidation type="decimal" operator="greaterThan" allowBlank="1" showInputMessage="1" showErrorMessage="1" sqref="D6193">
      <formula1>0</formula1>
    </dataValidation>
    <dataValidation type="decimal" operator="greaterThan" allowBlank="1" showInputMessage="1" showErrorMessage="1" sqref="E6193">
      <formula1>0</formula1>
    </dataValidation>
    <dataValidation type="whole" operator="greaterThan" allowBlank="1" showInputMessage="1" showErrorMessage="1" sqref="A6194">
      <formula1>0</formula1>
    </dataValidation>
    <dataValidation type="list" allowBlank="1" showInputMessage="1" showErrorMessage="1" sqref="C6194">
      <formula1>UnidadesList</formula1>
    </dataValidation>
    <dataValidation type="decimal" operator="greaterThan" allowBlank="1" showInputMessage="1" showErrorMessage="1" sqref="D6194">
      <formula1>0</formula1>
    </dataValidation>
    <dataValidation type="decimal" operator="greaterThan" allowBlank="1" showInputMessage="1" showErrorMessage="1" sqref="E6194">
      <formula1>0</formula1>
    </dataValidation>
    <dataValidation type="whole" operator="greaterThan" allowBlank="1" showInputMessage="1" showErrorMessage="1" sqref="A6195">
      <formula1>0</formula1>
    </dataValidation>
    <dataValidation type="list" allowBlank="1" showInputMessage="1" showErrorMessage="1" sqref="C6195">
      <formula1>UnidadesList</formula1>
    </dataValidation>
    <dataValidation type="decimal" operator="greaterThan" allowBlank="1" showInputMessage="1" showErrorMessage="1" sqref="D6195">
      <formula1>0</formula1>
    </dataValidation>
    <dataValidation type="decimal" operator="greaterThan" allowBlank="1" showInputMessage="1" showErrorMessage="1" sqref="E6195">
      <formula1>0</formula1>
    </dataValidation>
    <dataValidation type="whole" operator="greaterThan" allowBlank="1" showInputMessage="1" showErrorMessage="1" sqref="A6196">
      <formula1>0</formula1>
    </dataValidation>
    <dataValidation type="list" allowBlank="1" showInputMessage="1" showErrorMessage="1" sqref="C6196">
      <formula1>UnidadesList</formula1>
    </dataValidation>
    <dataValidation type="decimal" operator="greaterThan" allowBlank="1" showInputMessage="1" showErrorMessage="1" sqref="D6196">
      <formula1>0</formula1>
    </dataValidation>
    <dataValidation type="decimal" operator="greaterThan" allowBlank="1" showInputMessage="1" showErrorMessage="1" sqref="E6196">
      <formula1>0</formula1>
    </dataValidation>
    <dataValidation type="whole" operator="greaterThan" allowBlank="1" showInputMessage="1" showErrorMessage="1" sqref="A6197">
      <formula1>0</formula1>
    </dataValidation>
    <dataValidation type="list" allowBlank="1" showInputMessage="1" showErrorMessage="1" sqref="C6197">
      <formula1>UnidadesList</formula1>
    </dataValidation>
    <dataValidation type="decimal" operator="greaterThan" allowBlank="1" showInputMessage="1" showErrorMessage="1" sqref="D6197">
      <formula1>0</formula1>
    </dataValidation>
    <dataValidation type="decimal" operator="greaterThan" allowBlank="1" showInputMessage="1" showErrorMessage="1" sqref="E6197">
      <formula1>0</formula1>
    </dataValidation>
    <dataValidation type="whole" operator="greaterThan" allowBlank="1" showInputMessage="1" showErrorMessage="1" sqref="A6198">
      <formula1>0</formula1>
    </dataValidation>
    <dataValidation type="list" allowBlank="1" showInputMessage="1" showErrorMessage="1" sqref="C6198">
      <formula1>UnidadesList</formula1>
    </dataValidation>
    <dataValidation type="decimal" operator="greaterThan" allowBlank="1" showInputMessage="1" showErrorMessage="1" sqref="D6198">
      <formula1>0</formula1>
    </dataValidation>
    <dataValidation type="decimal" operator="greaterThan" allowBlank="1" showInputMessage="1" showErrorMessage="1" sqref="E6198">
      <formula1>0</formula1>
    </dataValidation>
    <dataValidation type="whole" operator="greaterThan" allowBlank="1" showInputMessage="1" showErrorMessage="1" sqref="A6199">
      <formula1>0</formula1>
    </dataValidation>
    <dataValidation type="list" allowBlank="1" showInputMessage="1" showErrorMessage="1" sqref="C6199">
      <formula1>UnidadesList</formula1>
    </dataValidation>
    <dataValidation type="decimal" operator="greaterThan" allowBlank="1" showInputMessage="1" showErrorMessage="1" sqref="D6199">
      <formula1>0</formula1>
    </dataValidation>
    <dataValidation type="decimal" operator="greaterThan" allowBlank="1" showInputMessage="1" showErrorMessage="1" sqref="E6199">
      <formula1>0</formula1>
    </dataValidation>
    <dataValidation type="whole" operator="greaterThan" allowBlank="1" showInputMessage="1" showErrorMessage="1" sqref="A6200">
      <formula1>0</formula1>
    </dataValidation>
    <dataValidation type="list" allowBlank="1" showInputMessage="1" showErrorMessage="1" sqref="C6200">
      <formula1>UnidadesList</formula1>
    </dataValidation>
    <dataValidation type="decimal" operator="greaterThan" allowBlank="1" showInputMessage="1" showErrorMessage="1" sqref="D6200">
      <formula1>0</formula1>
    </dataValidation>
    <dataValidation type="decimal" operator="greaterThan" allowBlank="1" showInputMessage="1" showErrorMessage="1" sqref="E6200">
      <formula1>0</formula1>
    </dataValidation>
    <dataValidation type="whole" operator="greaterThan" allowBlank="1" showInputMessage="1" showErrorMessage="1" sqref="A6201">
      <formula1>0</formula1>
    </dataValidation>
    <dataValidation type="list" allowBlank="1" showInputMessage="1" showErrorMessage="1" sqref="C6201">
      <formula1>UnidadesList</formula1>
    </dataValidation>
    <dataValidation type="decimal" operator="greaterThan" allowBlank="1" showInputMessage="1" showErrorMessage="1" sqref="D6201">
      <formula1>0</formula1>
    </dataValidation>
    <dataValidation type="decimal" operator="greaterThan" allowBlank="1" showInputMessage="1" showErrorMessage="1" sqref="E6201">
      <formula1>0</formula1>
    </dataValidation>
    <dataValidation type="whole" operator="greaterThan" allowBlank="1" showInputMessage="1" showErrorMessage="1" sqref="A6202">
      <formula1>0</formula1>
    </dataValidation>
    <dataValidation type="list" allowBlank="1" showInputMessage="1" showErrorMessage="1" sqref="C6202">
      <formula1>UnidadesList</formula1>
    </dataValidation>
    <dataValidation type="decimal" operator="greaterThan" allowBlank="1" showInputMessage="1" showErrorMessage="1" sqref="D6202">
      <formula1>0</formula1>
    </dataValidation>
    <dataValidation type="decimal" operator="greaterThan" allowBlank="1" showInputMessage="1" showErrorMessage="1" sqref="E6202">
      <formula1>0</formula1>
    </dataValidation>
    <dataValidation type="whole" operator="greaterThan" allowBlank="1" showInputMessage="1" showErrorMessage="1" sqref="A6203">
      <formula1>0</formula1>
    </dataValidation>
    <dataValidation type="list" allowBlank="1" showInputMessage="1" showErrorMessage="1" sqref="C6203">
      <formula1>UnidadesList</formula1>
    </dataValidation>
    <dataValidation type="decimal" operator="greaterThan" allowBlank="1" showInputMessage="1" showErrorMessage="1" sqref="D6203">
      <formula1>0</formula1>
    </dataValidation>
    <dataValidation type="decimal" operator="greaterThan" allowBlank="1" showInputMessage="1" showErrorMessage="1" sqref="E6203">
      <formula1>0</formula1>
    </dataValidation>
    <dataValidation type="whole" operator="greaterThan" allowBlank="1" showInputMessage="1" showErrorMessage="1" sqref="A6204">
      <formula1>0</formula1>
    </dataValidation>
    <dataValidation type="list" allowBlank="1" showInputMessage="1" showErrorMessage="1" sqref="C6204">
      <formula1>UnidadesList</formula1>
    </dataValidation>
    <dataValidation type="decimal" operator="greaterThan" allowBlank="1" showInputMessage="1" showErrorMessage="1" sqref="D6204">
      <formula1>0</formula1>
    </dataValidation>
    <dataValidation type="decimal" operator="greaterThan" allowBlank="1" showInputMessage="1" showErrorMessage="1" sqref="E6204">
      <formula1>0</formula1>
    </dataValidation>
    <dataValidation type="whole" operator="greaterThan" allowBlank="1" showInputMessage="1" showErrorMessage="1" sqref="A6205">
      <formula1>0</formula1>
    </dataValidation>
    <dataValidation type="list" allowBlank="1" showInputMessage="1" showErrorMessage="1" sqref="C6205">
      <formula1>UnidadesList</formula1>
    </dataValidation>
    <dataValidation type="decimal" operator="greaterThan" allowBlank="1" showInputMessage="1" showErrorMessage="1" sqref="D6205">
      <formula1>0</formula1>
    </dataValidation>
    <dataValidation type="decimal" operator="greaterThan" allowBlank="1" showInputMessage="1" showErrorMessage="1" sqref="E6205">
      <formula1>0</formula1>
    </dataValidation>
    <dataValidation type="whole" operator="greaterThan" allowBlank="1" showInputMessage="1" showErrorMessage="1" sqref="A6206">
      <formula1>0</formula1>
    </dataValidation>
    <dataValidation type="list" allowBlank="1" showInputMessage="1" showErrorMessage="1" sqref="C6206">
      <formula1>UnidadesList</formula1>
    </dataValidation>
    <dataValidation type="decimal" operator="greaterThan" allowBlank="1" showInputMessage="1" showErrorMessage="1" sqref="D6206">
      <formula1>0</formula1>
    </dataValidation>
    <dataValidation type="decimal" operator="greaterThan" allowBlank="1" showInputMessage="1" showErrorMessage="1" sqref="E6206">
      <formula1>0</formula1>
    </dataValidation>
    <dataValidation type="whole" operator="greaterThan" allowBlank="1" showInputMessage="1" showErrorMessage="1" sqref="A6207">
      <formula1>0</formula1>
    </dataValidation>
    <dataValidation type="list" allowBlank="1" showInputMessage="1" showErrorMessage="1" sqref="C6207">
      <formula1>UnidadesList</formula1>
    </dataValidation>
    <dataValidation type="decimal" operator="greaterThan" allowBlank="1" showInputMessage="1" showErrorMessage="1" sqref="D6207">
      <formula1>0</formula1>
    </dataValidation>
    <dataValidation type="decimal" operator="greaterThan" allowBlank="1" showInputMessage="1" showErrorMessage="1" sqref="E6207">
      <formula1>0</formula1>
    </dataValidation>
    <dataValidation type="whole" operator="greaterThan" allowBlank="1" showInputMessage="1" showErrorMessage="1" sqref="A6208">
      <formula1>0</formula1>
    </dataValidation>
    <dataValidation type="list" allowBlank="1" showInputMessage="1" showErrorMessage="1" sqref="C6208">
      <formula1>UnidadesList</formula1>
    </dataValidation>
    <dataValidation type="decimal" operator="greaterThan" allowBlank="1" showInputMessage="1" showErrorMessage="1" sqref="D6208">
      <formula1>0</formula1>
    </dataValidation>
    <dataValidation type="decimal" operator="greaterThan" allowBlank="1" showInputMessage="1" showErrorMessage="1" sqref="E6208">
      <formula1>0</formula1>
    </dataValidation>
    <dataValidation type="whole" operator="greaterThan" allowBlank="1" showInputMessage="1" showErrorMessage="1" sqref="A6209">
      <formula1>0</formula1>
    </dataValidation>
    <dataValidation type="list" allowBlank="1" showInputMessage="1" showErrorMessage="1" sqref="C6209">
      <formula1>UnidadesList</formula1>
    </dataValidation>
    <dataValidation type="decimal" operator="greaterThan" allowBlank="1" showInputMessage="1" showErrorMessage="1" sqref="D6209">
      <formula1>0</formula1>
    </dataValidation>
    <dataValidation type="decimal" operator="greaterThan" allowBlank="1" showInputMessage="1" showErrorMessage="1" sqref="E6209">
      <formula1>0</formula1>
    </dataValidation>
    <dataValidation type="whole" operator="greaterThan" allowBlank="1" showInputMessage="1" showErrorMessage="1" sqref="A6210">
      <formula1>0</formula1>
    </dataValidation>
    <dataValidation type="list" allowBlank="1" showInputMessage="1" showErrorMessage="1" sqref="C6210">
      <formula1>UnidadesList</formula1>
    </dataValidation>
    <dataValidation type="decimal" operator="greaterThan" allowBlank="1" showInputMessage="1" showErrorMessage="1" sqref="D6210">
      <formula1>0</formula1>
    </dataValidation>
    <dataValidation type="decimal" operator="greaterThan" allowBlank="1" showInputMessage="1" showErrorMessage="1" sqref="E6210">
      <formula1>0</formula1>
    </dataValidation>
    <dataValidation type="whole" operator="greaterThan" allowBlank="1" showInputMessage="1" showErrorMessage="1" sqref="A6211">
      <formula1>0</formula1>
    </dataValidation>
    <dataValidation type="list" allowBlank="1" showInputMessage="1" showErrorMessage="1" sqref="C6211">
      <formula1>UnidadesList</formula1>
    </dataValidation>
    <dataValidation type="decimal" operator="greaterThan" allowBlank="1" showInputMessage="1" showErrorMessage="1" sqref="D6211">
      <formula1>0</formula1>
    </dataValidation>
    <dataValidation type="decimal" operator="greaterThan" allowBlank="1" showInputMessage="1" showErrorMessage="1" sqref="E6211">
      <formula1>0</formula1>
    </dataValidation>
    <dataValidation type="whole" operator="greaterThan" allowBlank="1" showInputMessage="1" showErrorMessage="1" sqref="A6212">
      <formula1>0</formula1>
    </dataValidation>
    <dataValidation type="list" allowBlank="1" showInputMessage="1" showErrorMessage="1" sqref="C6212">
      <formula1>UnidadesList</formula1>
    </dataValidation>
    <dataValidation type="decimal" operator="greaterThan" allowBlank="1" showInputMessage="1" showErrorMessage="1" sqref="D6212">
      <formula1>0</formula1>
    </dataValidation>
    <dataValidation type="decimal" operator="greaterThan" allowBlank="1" showInputMessage="1" showErrorMessage="1" sqref="E6212">
      <formula1>0</formula1>
    </dataValidation>
    <dataValidation type="whole" operator="greaterThan" allowBlank="1" showInputMessage="1" showErrorMessage="1" sqref="A6213">
      <formula1>0</formula1>
    </dataValidation>
    <dataValidation type="list" allowBlank="1" showInputMessage="1" showErrorMessage="1" sqref="C6213">
      <formula1>UnidadesList</formula1>
    </dataValidation>
    <dataValidation type="decimal" operator="greaterThan" allowBlank="1" showInputMessage="1" showErrorMessage="1" sqref="D6213">
      <formula1>0</formula1>
    </dataValidation>
    <dataValidation type="decimal" operator="greaterThan" allowBlank="1" showInputMessage="1" showErrorMessage="1" sqref="E6213">
      <formula1>0</formula1>
    </dataValidation>
    <dataValidation type="whole" operator="greaterThan" allowBlank="1" showInputMessage="1" showErrorMessage="1" sqref="A6214">
      <formula1>0</formula1>
    </dataValidation>
    <dataValidation type="list" allowBlank="1" showInputMessage="1" showErrorMessage="1" sqref="C6214">
      <formula1>UnidadesList</formula1>
    </dataValidation>
    <dataValidation type="decimal" operator="greaterThan" allowBlank="1" showInputMessage="1" showErrorMessage="1" sqref="D6214">
      <formula1>0</formula1>
    </dataValidation>
    <dataValidation type="decimal" operator="greaterThan" allowBlank="1" showInputMessage="1" showErrorMessage="1" sqref="E6214">
      <formula1>0</formula1>
    </dataValidation>
    <dataValidation type="whole" operator="greaterThan" allowBlank="1" showInputMessage="1" showErrorMessage="1" sqref="A6215">
      <formula1>0</formula1>
    </dataValidation>
    <dataValidation type="list" allowBlank="1" showInputMessage="1" showErrorMessage="1" sqref="C6215">
      <formula1>UnidadesList</formula1>
    </dataValidation>
    <dataValidation type="decimal" operator="greaterThan" allowBlank="1" showInputMessage="1" showErrorMessage="1" sqref="D6215">
      <formula1>0</formula1>
    </dataValidation>
    <dataValidation type="decimal" operator="greaterThan" allowBlank="1" showInputMessage="1" showErrorMessage="1" sqref="E6215">
      <formula1>0</formula1>
    </dataValidation>
    <dataValidation type="whole" operator="greaterThan" allowBlank="1" showInputMessage="1" showErrorMessage="1" sqref="A6216">
      <formula1>0</formula1>
    </dataValidation>
    <dataValidation type="list" allowBlank="1" showInputMessage="1" showErrorMessage="1" sqref="C6216">
      <formula1>UnidadesList</formula1>
    </dataValidation>
    <dataValidation type="decimal" operator="greaterThan" allowBlank="1" showInputMessage="1" showErrorMessage="1" sqref="D6216">
      <formula1>0</formula1>
    </dataValidation>
    <dataValidation type="decimal" operator="greaterThan" allowBlank="1" showInputMessage="1" showErrorMessage="1" sqref="E6216">
      <formula1>0</formula1>
    </dataValidation>
    <dataValidation type="whole" operator="greaterThan" allowBlank="1" showInputMessage="1" showErrorMessage="1" sqref="A6217">
      <formula1>0</formula1>
    </dataValidation>
    <dataValidation type="list" allowBlank="1" showInputMessage="1" showErrorMessage="1" sqref="C6217">
      <formula1>UnidadesList</formula1>
    </dataValidation>
    <dataValidation type="decimal" operator="greaterThan" allowBlank="1" showInputMessage="1" showErrorMessage="1" sqref="D6217">
      <formula1>0</formula1>
    </dataValidation>
    <dataValidation type="decimal" operator="greaterThan" allowBlank="1" showInputMessage="1" showErrorMessage="1" sqref="E6217">
      <formula1>0</formula1>
    </dataValidation>
    <dataValidation type="whole" operator="greaterThan" allowBlank="1" showInputMessage="1" showErrorMessage="1" sqref="A6218">
      <formula1>0</formula1>
    </dataValidation>
    <dataValidation type="list" allowBlank="1" showInputMessage="1" showErrorMessage="1" sqref="C6218">
      <formula1>UnidadesList</formula1>
    </dataValidation>
    <dataValidation type="decimal" operator="greaterThan" allowBlank="1" showInputMessage="1" showErrorMessage="1" sqref="D6218">
      <formula1>0</formula1>
    </dataValidation>
    <dataValidation type="decimal" operator="greaterThan" allowBlank="1" showInputMessage="1" showErrorMessage="1" sqref="E6218">
      <formula1>0</formula1>
    </dataValidation>
    <dataValidation type="whole" operator="greaterThan" allowBlank="1" showInputMessage="1" showErrorMessage="1" sqref="A6219">
      <formula1>0</formula1>
    </dataValidation>
    <dataValidation type="list" allowBlank="1" showInputMessage="1" showErrorMessage="1" sqref="C6219">
      <formula1>UnidadesList</formula1>
    </dataValidation>
    <dataValidation type="decimal" operator="greaterThan" allowBlank="1" showInputMessage="1" showErrorMessage="1" sqref="D6219">
      <formula1>0</formula1>
    </dataValidation>
    <dataValidation type="decimal" operator="greaterThan" allowBlank="1" showInputMessage="1" showErrorMessage="1" sqref="E6219">
      <formula1>0</formula1>
    </dataValidation>
    <dataValidation type="whole" operator="greaterThan" allowBlank="1" showInputMessage="1" showErrorMessage="1" sqref="A6220">
      <formula1>0</formula1>
    </dataValidation>
    <dataValidation type="list" allowBlank="1" showInputMessage="1" showErrorMessage="1" sqref="C6220">
      <formula1>UnidadesList</formula1>
    </dataValidation>
    <dataValidation type="decimal" operator="greaterThan" allowBlank="1" showInputMessage="1" showErrorMessage="1" sqref="D6220">
      <formula1>0</formula1>
    </dataValidation>
    <dataValidation type="decimal" operator="greaterThan" allowBlank="1" showInputMessage="1" showErrorMessage="1" sqref="E6220">
      <formula1>0</formula1>
    </dataValidation>
    <dataValidation type="whole" operator="greaterThan" allowBlank="1" showInputMessage="1" showErrorMessage="1" sqref="A6221">
      <formula1>0</formula1>
    </dataValidation>
    <dataValidation type="list" allowBlank="1" showInputMessage="1" showErrorMessage="1" sqref="C6221">
      <formula1>UnidadesList</formula1>
    </dataValidation>
    <dataValidation type="decimal" operator="greaterThan" allowBlank="1" showInputMessage="1" showErrorMessage="1" sqref="D6221">
      <formula1>0</formula1>
    </dataValidation>
    <dataValidation type="decimal" operator="greaterThan" allowBlank="1" showInputMessage="1" showErrorMessage="1" sqref="E6221">
      <formula1>0</formula1>
    </dataValidation>
    <dataValidation type="date" operator="lessThanOrEqual" allowBlank="1" showInputMessage="1" showErrorMessage="1" sqref="C6226">
      <formula1>C6228</formula1>
    </dataValidation>
    <dataValidation type="date" operator="greaterThanOrEqual" allowBlank="1" showInputMessage="1" showErrorMessage="1" sqref="C6228">
      <formula1>C6226</formula1>
    </dataValidation>
    <dataValidation type="list" allowBlank="1" showInputMessage="1" showErrorMessage="1" sqref="F622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22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22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22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232">
      <formula1>0</formula1>
    </dataValidation>
    <dataValidation type="list" allowBlank="1" showInputMessage="1" showErrorMessage="1" sqref="C6232">
      <formula1>UnidadesList</formula1>
    </dataValidation>
    <dataValidation type="decimal" operator="greaterThan" allowBlank="1" showInputMessage="1" showErrorMessage="1" sqref="D6232">
      <formula1>0</formula1>
    </dataValidation>
    <dataValidation type="decimal" operator="greaterThan" allowBlank="1" showInputMessage="1" showErrorMessage="1" sqref="E6232">
      <formula1>0</formula1>
    </dataValidation>
    <dataValidation type="whole" operator="greaterThan" allowBlank="1" showInputMessage="1" showErrorMessage="1" sqref="A6233">
      <formula1>0</formula1>
    </dataValidation>
    <dataValidation type="list" allowBlank="1" showInputMessage="1" showErrorMessage="1" sqref="C6233">
      <formula1>UnidadesList</formula1>
    </dataValidation>
    <dataValidation type="decimal" operator="greaterThan" allowBlank="1" showInputMessage="1" showErrorMessage="1" sqref="D6233">
      <formula1>0</formula1>
    </dataValidation>
    <dataValidation type="decimal" operator="greaterThan" allowBlank="1" showInputMessage="1" showErrorMessage="1" sqref="E6233">
      <formula1>0</formula1>
    </dataValidation>
    <dataValidation type="whole" operator="greaterThan" allowBlank="1" showInputMessage="1" showErrorMessage="1" sqref="A6234">
      <formula1>0</formula1>
    </dataValidation>
    <dataValidation type="list" allowBlank="1" showInputMessage="1" showErrorMessage="1" sqref="C6234">
      <formula1>UnidadesList</formula1>
    </dataValidation>
    <dataValidation type="decimal" operator="greaterThan" allowBlank="1" showInputMessage="1" showErrorMessage="1" sqref="D6234">
      <formula1>0</formula1>
    </dataValidation>
    <dataValidation type="decimal" operator="greaterThan" allowBlank="1" showInputMessage="1" showErrorMessage="1" sqref="E6234">
      <formula1>0</formula1>
    </dataValidation>
    <dataValidation type="whole" operator="greaterThan" allowBlank="1" showInputMessage="1" showErrorMessage="1" sqref="A6235">
      <formula1>0</formula1>
    </dataValidation>
    <dataValidation type="list" allowBlank="1" showInputMessage="1" showErrorMessage="1" sqref="C6235">
      <formula1>UnidadesList</formula1>
    </dataValidation>
    <dataValidation type="decimal" operator="greaterThan" allowBlank="1" showInputMessage="1" showErrorMessage="1" sqref="D6235">
      <formula1>0</formula1>
    </dataValidation>
    <dataValidation type="decimal" operator="greaterThan" allowBlank="1" showInputMessage="1" showErrorMessage="1" sqref="E6235">
      <formula1>0</formula1>
    </dataValidation>
    <dataValidation type="whole" operator="greaterThan" allowBlank="1" showInputMessage="1" showErrorMessage="1" sqref="A6236">
      <formula1>0</formula1>
    </dataValidation>
    <dataValidation type="list" allowBlank="1" showInputMessage="1" showErrorMessage="1" sqref="C6236">
      <formula1>UnidadesList</formula1>
    </dataValidation>
    <dataValidation type="decimal" operator="greaterThan" allowBlank="1" showInputMessage="1" showErrorMessage="1" sqref="D6236">
      <formula1>0</formula1>
    </dataValidation>
    <dataValidation type="decimal" operator="greaterThan" allowBlank="1" showInputMessage="1" showErrorMessage="1" sqref="E6236">
      <formula1>0</formula1>
    </dataValidation>
    <dataValidation type="whole" operator="greaterThan" allowBlank="1" showInputMessage="1" showErrorMessage="1" sqref="A6237">
      <formula1>0</formula1>
    </dataValidation>
    <dataValidation type="list" allowBlank="1" showInputMessage="1" showErrorMessage="1" sqref="C6237">
      <formula1>UnidadesList</formula1>
    </dataValidation>
    <dataValidation type="decimal" operator="greaterThan" allowBlank="1" showInputMessage="1" showErrorMessage="1" sqref="D6237">
      <formula1>0</formula1>
    </dataValidation>
    <dataValidation type="decimal" operator="greaterThan" allowBlank="1" showInputMessage="1" showErrorMessage="1" sqref="E6237">
      <formula1>0</formula1>
    </dataValidation>
    <dataValidation type="whole" operator="greaterThan" allowBlank="1" showInputMessage="1" showErrorMessage="1" sqref="A6238">
      <formula1>0</formula1>
    </dataValidation>
    <dataValidation type="list" allowBlank="1" showInputMessage="1" showErrorMessage="1" sqref="C6238">
      <formula1>UnidadesList</formula1>
    </dataValidation>
    <dataValidation type="decimal" operator="greaterThan" allowBlank="1" showInputMessage="1" showErrorMessage="1" sqref="D6238">
      <formula1>0</formula1>
    </dataValidation>
    <dataValidation type="decimal" operator="greaterThan" allowBlank="1" showInputMessage="1" showErrorMessage="1" sqref="E6238">
      <formula1>0</formula1>
    </dataValidation>
    <dataValidation type="whole" operator="greaterThan" allowBlank="1" showInputMessage="1" showErrorMessage="1" sqref="A6239">
      <formula1>0</formula1>
    </dataValidation>
    <dataValidation type="list" allowBlank="1" showInputMessage="1" showErrorMessage="1" sqref="C6239">
      <formula1>UnidadesList</formula1>
    </dataValidation>
    <dataValidation type="decimal" operator="greaterThan" allowBlank="1" showInputMessage="1" showErrorMessage="1" sqref="D6239">
      <formula1>0</formula1>
    </dataValidation>
    <dataValidation type="decimal" operator="greaterThan" allowBlank="1" showInputMessage="1" showErrorMessage="1" sqref="E6239">
      <formula1>0</formula1>
    </dataValidation>
    <dataValidation type="whole" operator="greaterThan" allowBlank="1" showInputMessage="1" showErrorMessage="1" sqref="A6240">
      <formula1>0</formula1>
    </dataValidation>
    <dataValidation type="list" allowBlank="1" showInputMessage="1" showErrorMessage="1" sqref="C6240">
      <formula1>UnidadesList</formula1>
    </dataValidation>
    <dataValidation type="decimal" operator="greaterThan" allowBlank="1" showInputMessage="1" showErrorMessage="1" sqref="D6240">
      <formula1>0</formula1>
    </dataValidation>
    <dataValidation type="decimal" operator="greaterThan" allowBlank="1" showInputMessage="1" showErrorMessage="1" sqref="E6240">
      <formula1>0</formula1>
    </dataValidation>
    <dataValidation type="whole" operator="greaterThan" allowBlank="1" showInputMessage="1" showErrorMessage="1" sqref="A6241">
      <formula1>0</formula1>
    </dataValidation>
    <dataValidation type="list" allowBlank="1" showInputMessage="1" showErrorMessage="1" sqref="C6241">
      <formula1>UnidadesList</formula1>
    </dataValidation>
    <dataValidation type="decimal" operator="greaterThan" allowBlank="1" showInputMessage="1" showErrorMessage="1" sqref="D6241">
      <formula1>0</formula1>
    </dataValidation>
    <dataValidation type="decimal" operator="greaterThan" allowBlank="1" showInputMessage="1" showErrorMessage="1" sqref="E6241">
      <formula1>0</formula1>
    </dataValidation>
    <dataValidation type="whole" operator="greaterThan" allowBlank="1" showInputMessage="1" showErrorMessage="1" sqref="A6242">
      <formula1>0</formula1>
    </dataValidation>
    <dataValidation type="list" allowBlank="1" showInputMessage="1" showErrorMessage="1" sqref="C6242">
      <formula1>UnidadesList</formula1>
    </dataValidation>
    <dataValidation type="decimal" operator="greaterThan" allowBlank="1" showInputMessage="1" showErrorMessage="1" sqref="D6242">
      <formula1>0</formula1>
    </dataValidation>
    <dataValidation type="decimal" operator="greaterThan" allowBlank="1" showInputMessage="1" showErrorMessage="1" sqref="E6242">
      <formula1>0</formula1>
    </dataValidation>
    <dataValidation type="whole" operator="greaterThan" allowBlank="1" showInputMessage="1" showErrorMessage="1" sqref="A6243">
      <formula1>0</formula1>
    </dataValidation>
    <dataValidation type="list" allowBlank="1" showInputMessage="1" showErrorMessage="1" sqref="C6243">
      <formula1>UnidadesList</formula1>
    </dataValidation>
    <dataValidation type="decimal" operator="greaterThan" allowBlank="1" showInputMessage="1" showErrorMessage="1" sqref="D6243">
      <formula1>0</formula1>
    </dataValidation>
    <dataValidation type="decimal" operator="greaterThan" allowBlank="1" showInputMessage="1" showErrorMessage="1" sqref="E6243">
      <formula1>0</formula1>
    </dataValidation>
    <dataValidation type="whole" operator="greaterThan" allowBlank="1" showInputMessage="1" showErrorMessage="1" sqref="A6244">
      <formula1>0</formula1>
    </dataValidation>
    <dataValidation type="list" allowBlank="1" showInputMessage="1" showErrorMessage="1" sqref="C6244">
      <formula1>UnidadesList</formula1>
    </dataValidation>
    <dataValidation type="decimal" operator="greaterThan" allowBlank="1" showInputMessage="1" showErrorMessage="1" sqref="D6244">
      <formula1>0</formula1>
    </dataValidation>
    <dataValidation type="decimal" operator="greaterThan" allowBlank="1" showInputMessage="1" showErrorMessage="1" sqref="E6244">
      <formula1>0</formula1>
    </dataValidation>
    <dataValidation type="whole" operator="greaterThan" allowBlank="1" showInputMessage="1" showErrorMessage="1" sqref="A6245">
      <formula1>0</formula1>
    </dataValidation>
    <dataValidation type="list" allowBlank="1" showInputMessage="1" showErrorMessage="1" sqref="C6245">
      <formula1>UnidadesList</formula1>
    </dataValidation>
    <dataValidation type="decimal" operator="greaterThan" allowBlank="1" showInputMessage="1" showErrorMessage="1" sqref="D6245">
      <formula1>0</formula1>
    </dataValidation>
    <dataValidation type="decimal" operator="greaterThan" allowBlank="1" showInputMessage="1" showErrorMessage="1" sqref="E6245">
      <formula1>0</formula1>
    </dataValidation>
    <dataValidation type="whole" operator="greaterThan" allowBlank="1" showInputMessage="1" showErrorMessage="1" sqref="A6246">
      <formula1>0</formula1>
    </dataValidation>
    <dataValidation type="list" allowBlank="1" showInputMessage="1" showErrorMessage="1" sqref="C6246">
      <formula1>UnidadesList</formula1>
    </dataValidation>
    <dataValidation type="decimal" operator="greaterThan" allowBlank="1" showInputMessage="1" showErrorMessage="1" sqref="D6246">
      <formula1>0</formula1>
    </dataValidation>
    <dataValidation type="decimal" operator="greaterThan" allowBlank="1" showInputMessage="1" showErrorMessage="1" sqref="E6246">
      <formula1>0</formula1>
    </dataValidation>
    <dataValidation type="whole" operator="greaterThan" allowBlank="1" showInputMessage="1" showErrorMessage="1" sqref="A6247">
      <formula1>0</formula1>
    </dataValidation>
    <dataValidation type="list" allowBlank="1" showInputMessage="1" showErrorMessage="1" sqref="C6247">
      <formula1>UnidadesList</formula1>
    </dataValidation>
    <dataValidation type="decimal" operator="greaterThan" allowBlank="1" showInputMessage="1" showErrorMessage="1" sqref="D6247">
      <formula1>0</formula1>
    </dataValidation>
    <dataValidation type="decimal" operator="greaterThan" allowBlank="1" showInputMessage="1" showErrorMessage="1" sqref="E6247">
      <formula1>0</formula1>
    </dataValidation>
    <dataValidation type="whole" operator="greaterThan" allowBlank="1" showInputMessage="1" showErrorMessage="1" sqref="A6248">
      <formula1>0</formula1>
    </dataValidation>
    <dataValidation type="list" allowBlank="1" showInputMessage="1" showErrorMessage="1" sqref="C6248">
      <formula1>UnidadesList</formula1>
    </dataValidation>
    <dataValidation type="decimal" operator="greaterThan" allowBlank="1" showInputMessage="1" showErrorMessage="1" sqref="D6248">
      <formula1>0</formula1>
    </dataValidation>
    <dataValidation type="decimal" operator="greaterThan" allowBlank="1" showInputMessage="1" showErrorMessage="1" sqref="E6248">
      <formula1>0</formula1>
    </dataValidation>
    <dataValidation type="whole" operator="greaterThan" allowBlank="1" showInputMessage="1" showErrorMessage="1" sqref="A6249">
      <formula1>0</formula1>
    </dataValidation>
    <dataValidation type="list" allowBlank="1" showInputMessage="1" showErrorMessage="1" sqref="C6249">
      <formula1>UnidadesList</formula1>
    </dataValidation>
    <dataValidation type="decimal" operator="greaterThan" allowBlank="1" showInputMessage="1" showErrorMessage="1" sqref="D6249">
      <formula1>0</formula1>
    </dataValidation>
    <dataValidation type="decimal" operator="greaterThan" allowBlank="1" showInputMessage="1" showErrorMessage="1" sqref="E6249">
      <formula1>0</formula1>
    </dataValidation>
    <dataValidation type="whole" operator="greaterThan" allowBlank="1" showInputMessage="1" showErrorMessage="1" sqref="A6250">
      <formula1>0</formula1>
    </dataValidation>
    <dataValidation type="list" allowBlank="1" showInputMessage="1" showErrorMessage="1" sqref="C6250">
      <formula1>UnidadesList</formula1>
    </dataValidation>
    <dataValidation type="decimal" operator="greaterThan" allowBlank="1" showInputMessage="1" showErrorMessage="1" sqref="D6250">
      <formula1>0</formula1>
    </dataValidation>
    <dataValidation type="decimal" operator="greaterThan" allowBlank="1" showInputMessage="1" showErrorMessage="1" sqref="E6250">
      <formula1>0</formula1>
    </dataValidation>
    <dataValidation type="whole" operator="greaterThan" allowBlank="1" showInputMessage="1" showErrorMessage="1" sqref="A6251">
      <formula1>0</formula1>
    </dataValidation>
    <dataValidation type="list" allowBlank="1" showInputMessage="1" showErrorMessage="1" sqref="C6251">
      <formula1>UnidadesList</formula1>
    </dataValidation>
    <dataValidation type="decimal" operator="greaterThan" allowBlank="1" showInputMessage="1" showErrorMessage="1" sqref="D6251">
      <formula1>0</formula1>
    </dataValidation>
    <dataValidation type="decimal" operator="greaterThan" allowBlank="1" showInputMessage="1" showErrorMessage="1" sqref="E6251">
      <formula1>0</formula1>
    </dataValidation>
    <dataValidation type="whole" operator="greaterThan" allowBlank="1" showInputMessage="1" showErrorMessage="1" sqref="A6252">
      <formula1>0</formula1>
    </dataValidation>
    <dataValidation type="list" allowBlank="1" showInputMessage="1" showErrorMessage="1" sqref="C6252">
      <formula1>UnidadesList</formula1>
    </dataValidation>
    <dataValidation type="decimal" operator="greaterThan" allowBlank="1" showInputMessage="1" showErrorMessage="1" sqref="D6252">
      <formula1>0</formula1>
    </dataValidation>
    <dataValidation type="decimal" operator="greaterThan" allowBlank="1" showInputMessage="1" showErrorMessage="1" sqref="E6252">
      <formula1>0</formula1>
    </dataValidation>
    <dataValidation type="whole" operator="greaterThan" allowBlank="1" showInputMessage="1" showErrorMessage="1" sqref="A6253">
      <formula1>0</formula1>
    </dataValidation>
    <dataValidation type="list" allowBlank="1" showInputMessage="1" showErrorMessage="1" sqref="C6253">
      <formula1>UnidadesList</formula1>
    </dataValidation>
    <dataValidation type="decimal" operator="greaterThan" allowBlank="1" showInputMessage="1" showErrorMessage="1" sqref="D6253">
      <formula1>0</formula1>
    </dataValidation>
    <dataValidation type="decimal" operator="greaterThan" allowBlank="1" showInputMessage="1" showErrorMessage="1" sqref="E6253">
      <formula1>0</formula1>
    </dataValidation>
    <dataValidation type="whole" operator="greaterThan" allowBlank="1" showInputMessage="1" showErrorMessage="1" sqref="A6254">
      <formula1>0</formula1>
    </dataValidation>
    <dataValidation type="list" allowBlank="1" showInputMessage="1" showErrorMessage="1" sqref="C6254">
      <formula1>UnidadesList</formula1>
    </dataValidation>
    <dataValidation type="decimal" operator="greaterThan" allowBlank="1" showInputMessage="1" showErrorMessage="1" sqref="D6254">
      <formula1>0</formula1>
    </dataValidation>
    <dataValidation type="decimal" operator="greaterThan" allowBlank="1" showInputMessage="1" showErrorMessage="1" sqref="E6254">
      <formula1>0</formula1>
    </dataValidation>
    <dataValidation type="whole" operator="greaterThan" allowBlank="1" showInputMessage="1" showErrorMessage="1" sqref="A6255">
      <formula1>0</formula1>
    </dataValidation>
    <dataValidation type="list" allowBlank="1" showInputMessage="1" showErrorMessage="1" sqref="C6255">
      <formula1>UnidadesList</formula1>
    </dataValidation>
    <dataValidation type="decimal" operator="greaterThan" allowBlank="1" showInputMessage="1" showErrorMessage="1" sqref="D6255">
      <formula1>0</formula1>
    </dataValidation>
    <dataValidation type="decimal" operator="greaterThan" allowBlank="1" showInputMessage="1" showErrorMessage="1" sqref="E6255">
      <formula1>0</formula1>
    </dataValidation>
    <dataValidation type="whole" operator="greaterThan" allowBlank="1" showInputMessage="1" showErrorMessage="1" sqref="A6256">
      <formula1>0</formula1>
    </dataValidation>
    <dataValidation type="list" allowBlank="1" showInputMessage="1" showErrorMessage="1" sqref="C6256">
      <formula1>UnidadesList</formula1>
    </dataValidation>
    <dataValidation type="decimal" operator="greaterThan" allowBlank="1" showInputMessage="1" showErrorMessage="1" sqref="D6256">
      <formula1>0</formula1>
    </dataValidation>
    <dataValidation type="decimal" operator="greaterThan" allowBlank="1" showInputMessage="1" showErrorMessage="1" sqref="E6256">
      <formula1>0</formula1>
    </dataValidation>
    <dataValidation type="whole" operator="greaterThan" allowBlank="1" showInputMessage="1" showErrorMessage="1" sqref="A6257">
      <formula1>0</formula1>
    </dataValidation>
    <dataValidation type="list" allowBlank="1" showInputMessage="1" showErrorMessage="1" sqref="C6257">
      <formula1>UnidadesList</formula1>
    </dataValidation>
    <dataValidation type="decimal" operator="greaterThan" allowBlank="1" showInputMessage="1" showErrorMessage="1" sqref="D6257">
      <formula1>0</formula1>
    </dataValidation>
    <dataValidation type="decimal" operator="greaterThan" allowBlank="1" showInputMessage="1" showErrorMessage="1" sqref="E6257">
      <formula1>0</formula1>
    </dataValidation>
    <dataValidation type="whole" operator="greaterThan" allowBlank="1" showInputMessage="1" showErrorMessage="1" sqref="A6258">
      <formula1>0</formula1>
    </dataValidation>
    <dataValidation type="list" allowBlank="1" showInputMessage="1" showErrorMessage="1" sqref="C6258">
      <formula1>UnidadesList</formula1>
    </dataValidation>
    <dataValidation type="decimal" operator="greaterThan" allowBlank="1" showInputMessage="1" showErrorMessage="1" sqref="D6258">
      <formula1>0</formula1>
    </dataValidation>
    <dataValidation type="decimal" operator="greaterThan" allowBlank="1" showInputMessage="1" showErrorMessage="1" sqref="E6258">
      <formula1>0</formula1>
    </dataValidation>
    <dataValidation type="whole" operator="greaterThan" allowBlank="1" showInputMessage="1" showErrorMessage="1" sqref="A6259">
      <formula1>0</formula1>
    </dataValidation>
    <dataValidation type="list" allowBlank="1" showInputMessage="1" showErrorMessage="1" sqref="C6259">
      <formula1>UnidadesList</formula1>
    </dataValidation>
    <dataValidation type="decimal" operator="greaterThan" allowBlank="1" showInputMessage="1" showErrorMessage="1" sqref="D6259">
      <formula1>0</formula1>
    </dataValidation>
    <dataValidation type="decimal" operator="greaterThan" allowBlank="1" showInputMessage="1" showErrorMessage="1" sqref="E6259">
      <formula1>0</formula1>
    </dataValidation>
    <dataValidation type="whole" operator="greaterThan" allowBlank="1" showInputMessage="1" showErrorMessage="1" sqref="A6260">
      <formula1>0</formula1>
    </dataValidation>
    <dataValidation type="list" allowBlank="1" showInputMessage="1" showErrorMessage="1" sqref="C6260">
      <formula1>UnidadesList</formula1>
    </dataValidation>
    <dataValidation type="decimal" operator="greaterThan" allowBlank="1" showInputMessage="1" showErrorMessage="1" sqref="D6260">
      <formula1>0</formula1>
    </dataValidation>
    <dataValidation type="decimal" operator="greaterThan" allowBlank="1" showInputMessage="1" showErrorMessage="1" sqref="E6260">
      <formula1>0</formula1>
    </dataValidation>
    <dataValidation type="whole" operator="greaterThan" allowBlank="1" showInputMessage="1" showErrorMessage="1" sqref="A6261">
      <formula1>0</formula1>
    </dataValidation>
    <dataValidation type="list" allowBlank="1" showInputMessage="1" showErrorMessage="1" sqref="C6261">
      <formula1>UnidadesList</formula1>
    </dataValidation>
    <dataValidation type="decimal" operator="greaterThan" allowBlank="1" showInputMessage="1" showErrorMessage="1" sqref="D6261">
      <formula1>0</formula1>
    </dataValidation>
    <dataValidation type="decimal" operator="greaterThan" allowBlank="1" showInputMessage="1" showErrorMessage="1" sqref="E6261">
      <formula1>0</formula1>
    </dataValidation>
    <dataValidation type="whole" operator="greaterThan" allowBlank="1" showInputMessage="1" showErrorMessage="1" sqref="A6262">
      <formula1>0</formula1>
    </dataValidation>
    <dataValidation type="list" allowBlank="1" showInputMessage="1" showErrorMessage="1" sqref="C6262">
      <formula1>UnidadesList</formula1>
    </dataValidation>
    <dataValidation type="decimal" operator="greaterThan" allowBlank="1" showInputMessage="1" showErrorMessage="1" sqref="D6262">
      <formula1>0</formula1>
    </dataValidation>
    <dataValidation type="decimal" operator="greaterThan" allowBlank="1" showInputMessage="1" showErrorMessage="1" sqref="E6262">
      <formula1>0</formula1>
    </dataValidation>
    <dataValidation type="whole" operator="greaterThan" allowBlank="1" showInputMessage="1" showErrorMessage="1" sqref="A6263">
      <formula1>0</formula1>
    </dataValidation>
    <dataValidation type="list" allowBlank="1" showInputMessage="1" showErrorMessage="1" sqref="C6263">
      <formula1>UnidadesList</formula1>
    </dataValidation>
    <dataValidation type="decimal" operator="greaterThan" allowBlank="1" showInputMessage="1" showErrorMessage="1" sqref="D6263">
      <formula1>0</formula1>
    </dataValidation>
    <dataValidation type="decimal" operator="greaterThan" allowBlank="1" showInputMessage="1" showErrorMessage="1" sqref="E6263">
      <formula1>0</formula1>
    </dataValidation>
    <dataValidation type="whole" operator="greaterThan" allowBlank="1" showInputMessage="1" showErrorMessage="1" sqref="A6264">
      <formula1>0</formula1>
    </dataValidation>
    <dataValidation type="list" allowBlank="1" showInputMessage="1" showErrorMessage="1" sqref="C6264">
      <formula1>UnidadesList</formula1>
    </dataValidation>
    <dataValidation type="decimal" operator="greaterThan" allowBlank="1" showInputMessage="1" showErrorMessage="1" sqref="D6264">
      <formula1>0</formula1>
    </dataValidation>
    <dataValidation type="decimal" operator="greaterThan" allowBlank="1" showInputMessage="1" showErrorMessage="1" sqref="E6264">
      <formula1>0</formula1>
    </dataValidation>
    <dataValidation type="whole" operator="greaterThan" allowBlank="1" showInputMessage="1" showErrorMessage="1" sqref="A6265">
      <formula1>0</formula1>
    </dataValidation>
    <dataValidation type="list" allowBlank="1" showInputMessage="1" showErrorMessage="1" sqref="C6265">
      <formula1>UnidadesList</formula1>
    </dataValidation>
    <dataValidation type="decimal" operator="greaterThan" allowBlank="1" showInputMessage="1" showErrorMessage="1" sqref="D6265">
      <formula1>0</formula1>
    </dataValidation>
    <dataValidation type="decimal" operator="greaterThan" allowBlank="1" showInputMessage="1" showErrorMessage="1" sqref="E6265">
      <formula1>0</formula1>
    </dataValidation>
    <dataValidation type="whole" operator="greaterThan" allowBlank="1" showInputMessage="1" showErrorMessage="1" sqref="A6266">
      <formula1>0</formula1>
    </dataValidation>
    <dataValidation type="list" allowBlank="1" showInputMessage="1" showErrorMessage="1" sqref="C6266">
      <formula1>UnidadesList</formula1>
    </dataValidation>
    <dataValidation type="decimal" operator="greaterThan" allowBlank="1" showInputMessage="1" showErrorMessage="1" sqref="D6266">
      <formula1>0</formula1>
    </dataValidation>
    <dataValidation type="decimal" operator="greaterThan" allowBlank="1" showInputMessage="1" showErrorMessage="1" sqref="E6266">
      <formula1>0</formula1>
    </dataValidation>
    <dataValidation type="whole" operator="greaterThan" allowBlank="1" showInputMessage="1" showErrorMessage="1" sqref="A6267">
      <formula1>0</formula1>
    </dataValidation>
    <dataValidation type="list" allowBlank="1" showInputMessage="1" showErrorMessage="1" sqref="C6267">
      <formula1>UnidadesList</formula1>
    </dataValidation>
    <dataValidation type="decimal" operator="greaterThan" allowBlank="1" showInputMessage="1" showErrorMessage="1" sqref="D6267">
      <formula1>0</formula1>
    </dataValidation>
    <dataValidation type="decimal" operator="greaterThan" allowBlank="1" showInputMessage="1" showErrorMessage="1" sqref="E6267">
      <formula1>0</formula1>
    </dataValidation>
    <dataValidation type="whole" operator="greaterThan" allowBlank="1" showInputMessage="1" showErrorMessage="1" sqref="A6268">
      <formula1>0</formula1>
    </dataValidation>
    <dataValidation type="list" allowBlank="1" showInputMessage="1" showErrorMessage="1" sqref="C6268">
      <formula1>UnidadesList</formula1>
    </dataValidation>
    <dataValidation type="decimal" operator="greaterThan" allowBlank="1" showInputMessage="1" showErrorMessage="1" sqref="D6268">
      <formula1>0</formula1>
    </dataValidation>
    <dataValidation type="decimal" operator="greaterThan" allowBlank="1" showInputMessage="1" showErrorMessage="1" sqref="E6268">
      <formula1>0</formula1>
    </dataValidation>
    <dataValidation type="whole" operator="greaterThan" allowBlank="1" showInputMessage="1" showErrorMessage="1" sqref="A6269">
      <formula1>0</formula1>
    </dataValidation>
    <dataValidation type="list" allowBlank="1" showInputMessage="1" showErrorMessage="1" sqref="C6269">
      <formula1>UnidadesList</formula1>
    </dataValidation>
    <dataValidation type="decimal" operator="greaterThan" allowBlank="1" showInputMessage="1" showErrorMessage="1" sqref="D6269">
      <formula1>0</formula1>
    </dataValidation>
    <dataValidation type="decimal" operator="greaterThan" allowBlank="1" showInputMessage="1" showErrorMessage="1" sqref="E6269">
      <formula1>0</formula1>
    </dataValidation>
    <dataValidation type="whole" operator="greaterThan" allowBlank="1" showInputMessage="1" showErrorMessage="1" sqref="A6270">
      <formula1>0</formula1>
    </dataValidation>
    <dataValidation type="list" allowBlank="1" showInputMessage="1" showErrorMessage="1" sqref="C6270">
      <formula1>UnidadesList</formula1>
    </dataValidation>
    <dataValidation type="decimal" operator="greaterThan" allowBlank="1" showInputMessage="1" showErrorMessage="1" sqref="D6270">
      <formula1>0</formula1>
    </dataValidation>
    <dataValidation type="decimal" operator="greaterThan" allowBlank="1" showInputMessage="1" showErrorMessage="1" sqref="E6270">
      <formula1>0</formula1>
    </dataValidation>
    <dataValidation type="whole" operator="greaterThan" allowBlank="1" showInputMessage="1" showErrorMessage="1" sqref="A6271">
      <formula1>0</formula1>
    </dataValidation>
    <dataValidation type="list" allowBlank="1" showInputMessage="1" showErrorMessage="1" sqref="C6271">
      <formula1>UnidadesList</formula1>
    </dataValidation>
    <dataValidation type="decimal" operator="greaterThan" allowBlank="1" showInputMessage="1" showErrorMessage="1" sqref="D6271">
      <formula1>0</formula1>
    </dataValidation>
    <dataValidation type="decimal" operator="greaterThan" allowBlank="1" showInputMessage="1" showErrorMessage="1" sqref="E6271">
      <formula1>0</formula1>
    </dataValidation>
    <dataValidation type="whole" operator="greaterThan" allowBlank="1" showInputMessage="1" showErrorMessage="1" sqref="A6272">
      <formula1>0</formula1>
    </dataValidation>
    <dataValidation type="list" allowBlank="1" showInputMessage="1" showErrorMessage="1" sqref="C6272">
      <formula1>UnidadesList</formula1>
    </dataValidation>
    <dataValidation type="decimal" operator="greaterThan" allowBlank="1" showInputMessage="1" showErrorMessage="1" sqref="D6272">
      <formula1>0</formula1>
    </dataValidation>
    <dataValidation type="decimal" operator="greaterThan" allowBlank="1" showInputMessage="1" showErrorMessage="1" sqref="E6272">
      <formula1>0</formula1>
    </dataValidation>
    <dataValidation type="whole" operator="greaterThan" allowBlank="1" showInputMessage="1" showErrorMessage="1" sqref="A6273">
      <formula1>0</formula1>
    </dataValidation>
    <dataValidation type="list" allowBlank="1" showInputMessage="1" showErrorMessage="1" sqref="C6273">
      <formula1>UnidadesList</formula1>
    </dataValidation>
    <dataValidation type="decimal" operator="greaterThan" allowBlank="1" showInputMessage="1" showErrorMessage="1" sqref="D6273">
      <formula1>0</formula1>
    </dataValidation>
    <dataValidation type="decimal" operator="greaterThan" allowBlank="1" showInputMessage="1" showErrorMessage="1" sqref="E6273">
      <formula1>0</formula1>
    </dataValidation>
    <dataValidation type="whole" operator="greaterThan" allowBlank="1" showInputMessage="1" showErrorMessage="1" sqref="A6274">
      <formula1>0</formula1>
    </dataValidation>
    <dataValidation type="list" allowBlank="1" showInputMessage="1" showErrorMessage="1" sqref="C6274">
      <formula1>UnidadesList</formula1>
    </dataValidation>
    <dataValidation type="decimal" operator="greaterThan" allowBlank="1" showInputMessage="1" showErrorMessage="1" sqref="D6274">
      <formula1>0</formula1>
    </dataValidation>
    <dataValidation type="decimal" operator="greaterThan" allowBlank="1" showInputMessage="1" showErrorMessage="1" sqref="E6274">
      <formula1>0</formula1>
    </dataValidation>
    <dataValidation type="whole" operator="greaterThan" allowBlank="1" showInputMessage="1" showErrorMessage="1" sqref="A6275">
      <formula1>0</formula1>
    </dataValidation>
    <dataValidation type="list" allowBlank="1" showInputMessage="1" showErrorMessage="1" sqref="C6275">
      <formula1>UnidadesList</formula1>
    </dataValidation>
    <dataValidation type="decimal" operator="greaterThan" allowBlank="1" showInputMessage="1" showErrorMessage="1" sqref="D6275">
      <formula1>0</formula1>
    </dataValidation>
    <dataValidation type="decimal" operator="greaterThan" allowBlank="1" showInputMessage="1" showErrorMessage="1" sqref="E6275">
      <formula1>0</formula1>
    </dataValidation>
    <dataValidation type="whole" operator="greaterThan" allowBlank="1" showInputMessage="1" showErrorMessage="1" sqref="A6276">
      <formula1>0</formula1>
    </dataValidation>
    <dataValidation type="list" allowBlank="1" showInputMessage="1" showErrorMessage="1" sqref="C6276">
      <formula1>UnidadesList</formula1>
    </dataValidation>
    <dataValidation type="decimal" operator="greaterThan" allowBlank="1" showInputMessage="1" showErrorMessage="1" sqref="D6276">
      <formula1>0</formula1>
    </dataValidation>
    <dataValidation type="decimal" operator="greaterThan" allowBlank="1" showInputMessage="1" showErrorMessage="1" sqref="E6276">
      <formula1>0</formula1>
    </dataValidation>
    <dataValidation type="whole" operator="greaterThan" allowBlank="1" showInputMessage="1" showErrorMessage="1" sqref="A6277">
      <formula1>0</formula1>
    </dataValidation>
    <dataValidation type="list" allowBlank="1" showInputMessage="1" showErrorMessage="1" sqref="C6277">
      <formula1>UnidadesList</formula1>
    </dataValidation>
    <dataValidation type="decimal" operator="greaterThan" allowBlank="1" showInputMessage="1" showErrorMessage="1" sqref="D6277">
      <formula1>0</formula1>
    </dataValidation>
    <dataValidation type="decimal" operator="greaterThan" allowBlank="1" showInputMessage="1" showErrorMessage="1" sqref="E6277">
      <formula1>0</formula1>
    </dataValidation>
    <dataValidation type="whole" operator="greaterThan" allowBlank="1" showInputMessage="1" showErrorMessage="1" sqref="A6278">
      <formula1>0</formula1>
    </dataValidation>
    <dataValidation type="list" allowBlank="1" showInputMessage="1" showErrorMessage="1" sqref="C6278">
      <formula1>UnidadesList</formula1>
    </dataValidation>
    <dataValidation type="decimal" operator="greaterThan" allowBlank="1" showInputMessage="1" showErrorMessage="1" sqref="D6278">
      <formula1>0</formula1>
    </dataValidation>
    <dataValidation type="decimal" operator="greaterThan" allowBlank="1" showInputMessage="1" showErrorMessage="1" sqref="E6278">
      <formula1>0</formula1>
    </dataValidation>
    <dataValidation type="whole" operator="greaterThan" allowBlank="1" showInputMessage="1" showErrorMessage="1" sqref="A6279">
      <formula1>0</formula1>
    </dataValidation>
    <dataValidation type="list" allowBlank="1" showInputMessage="1" showErrorMessage="1" sqref="C6279">
      <formula1>UnidadesList</formula1>
    </dataValidation>
    <dataValidation type="decimal" operator="greaterThan" allowBlank="1" showInputMessage="1" showErrorMessage="1" sqref="D6279">
      <formula1>0</formula1>
    </dataValidation>
    <dataValidation type="decimal" operator="greaterThan" allowBlank="1" showInputMessage="1" showErrorMessage="1" sqref="E6279">
      <formula1>0</formula1>
    </dataValidation>
    <dataValidation type="whole" operator="greaterThan" allowBlank="1" showInputMessage="1" showErrorMessage="1" sqref="A6280">
      <formula1>0</formula1>
    </dataValidation>
    <dataValidation type="list" allowBlank="1" showInputMessage="1" showErrorMessage="1" sqref="C6280">
      <formula1>UnidadesList</formula1>
    </dataValidation>
    <dataValidation type="decimal" operator="greaterThan" allowBlank="1" showInputMessage="1" showErrorMessage="1" sqref="D6280">
      <formula1>0</formula1>
    </dataValidation>
    <dataValidation type="decimal" operator="greaterThan" allowBlank="1" showInputMessage="1" showErrorMessage="1" sqref="E6280">
      <formula1>0</formula1>
    </dataValidation>
    <dataValidation type="whole" operator="greaterThan" allowBlank="1" showInputMessage="1" showErrorMessage="1" sqref="A6281">
      <formula1>0</formula1>
    </dataValidation>
    <dataValidation type="list" allowBlank="1" showInputMessage="1" showErrorMessage="1" sqref="C6281">
      <formula1>UnidadesList</formula1>
    </dataValidation>
    <dataValidation type="decimal" operator="greaterThan" allowBlank="1" showInputMessage="1" showErrorMessage="1" sqref="D6281">
      <formula1>0</formula1>
    </dataValidation>
    <dataValidation type="decimal" operator="greaterThan" allowBlank="1" showInputMessage="1" showErrorMessage="1" sqref="E6281">
      <formula1>0</formula1>
    </dataValidation>
    <dataValidation type="whole" operator="greaterThan" allowBlank="1" showInputMessage="1" showErrorMessage="1" sqref="A6282">
      <formula1>0</formula1>
    </dataValidation>
    <dataValidation type="list" allowBlank="1" showInputMessage="1" showErrorMessage="1" sqref="C6282">
      <formula1>UnidadesList</formula1>
    </dataValidation>
    <dataValidation type="decimal" operator="greaterThan" allowBlank="1" showInputMessage="1" showErrorMessage="1" sqref="D6282">
      <formula1>0</formula1>
    </dataValidation>
    <dataValidation type="decimal" operator="greaterThan" allowBlank="1" showInputMessage="1" showErrorMessage="1" sqref="E6282">
      <formula1>0</formula1>
    </dataValidation>
    <dataValidation type="whole" operator="greaterThan" allowBlank="1" showInputMessage="1" showErrorMessage="1" sqref="A6283">
      <formula1>0</formula1>
    </dataValidation>
    <dataValidation type="list" allowBlank="1" showInputMessage="1" showErrorMessage="1" sqref="C6283">
      <formula1>UnidadesList</formula1>
    </dataValidation>
    <dataValidation type="decimal" operator="greaterThan" allowBlank="1" showInputMessage="1" showErrorMessage="1" sqref="D6283">
      <formula1>0</formula1>
    </dataValidation>
    <dataValidation type="decimal" operator="greaterThan" allowBlank="1" showInputMessage="1" showErrorMessage="1" sqref="E6283">
      <formula1>0</formula1>
    </dataValidation>
    <dataValidation type="whole" operator="greaterThan" allowBlank="1" showInputMessage="1" showErrorMessage="1" sqref="A6284">
      <formula1>0</formula1>
    </dataValidation>
    <dataValidation type="list" allowBlank="1" showInputMessage="1" showErrorMessage="1" sqref="C6284">
      <formula1>UnidadesList</formula1>
    </dataValidation>
    <dataValidation type="decimal" operator="greaterThan" allowBlank="1" showInputMessage="1" showErrorMessage="1" sqref="D6284">
      <formula1>0</formula1>
    </dataValidation>
    <dataValidation type="decimal" operator="greaterThan" allowBlank="1" showInputMessage="1" showErrorMessage="1" sqref="E6284">
      <formula1>0</formula1>
    </dataValidation>
    <dataValidation type="whole" operator="greaterThan" allowBlank="1" showInputMessage="1" showErrorMessage="1" sqref="A6285">
      <formula1>0</formula1>
    </dataValidation>
    <dataValidation type="list" allowBlank="1" showInputMessage="1" showErrorMessage="1" sqref="C6285">
      <formula1>UnidadesList</formula1>
    </dataValidation>
    <dataValidation type="decimal" operator="greaterThan" allowBlank="1" showInputMessage="1" showErrorMessage="1" sqref="D6285">
      <formula1>0</formula1>
    </dataValidation>
    <dataValidation type="decimal" operator="greaterThan" allowBlank="1" showInputMessage="1" showErrorMessage="1" sqref="E6285">
      <formula1>0</formula1>
    </dataValidation>
    <dataValidation type="whole" operator="greaterThan" allowBlank="1" showInputMessage="1" showErrorMessage="1" sqref="A6286">
      <formula1>0</formula1>
    </dataValidation>
    <dataValidation type="list" allowBlank="1" showInputMessage="1" showErrorMessage="1" sqref="C6286">
      <formula1>UnidadesList</formula1>
    </dataValidation>
    <dataValidation type="decimal" operator="greaterThan" allowBlank="1" showInputMessage="1" showErrorMessage="1" sqref="D6286">
      <formula1>0</formula1>
    </dataValidation>
    <dataValidation type="decimal" operator="greaterThan" allowBlank="1" showInputMessage="1" showErrorMessage="1" sqref="E6286">
      <formula1>0</formula1>
    </dataValidation>
    <dataValidation type="whole" operator="greaterThan" allowBlank="1" showInputMessage="1" showErrorMessage="1" sqref="A6287">
      <formula1>0</formula1>
    </dataValidation>
    <dataValidation type="list" allowBlank="1" showInputMessage="1" showErrorMessage="1" sqref="C6287">
      <formula1>UnidadesList</formula1>
    </dataValidation>
    <dataValidation type="decimal" operator="greaterThan" allowBlank="1" showInputMessage="1" showErrorMessage="1" sqref="D6287">
      <formula1>0</formula1>
    </dataValidation>
    <dataValidation type="decimal" operator="greaterThan" allowBlank="1" showInputMessage="1" showErrorMessage="1" sqref="E6287">
      <formula1>0</formula1>
    </dataValidation>
    <dataValidation type="whole" operator="greaterThan" allowBlank="1" showInputMessage="1" showErrorMessage="1" sqref="A6288">
      <formula1>0</formula1>
    </dataValidation>
    <dataValidation type="list" allowBlank="1" showInputMessage="1" showErrorMessage="1" sqref="C6288">
      <formula1>UnidadesList</formula1>
    </dataValidation>
    <dataValidation type="decimal" operator="greaterThan" allowBlank="1" showInputMessage="1" showErrorMessage="1" sqref="D6288">
      <formula1>0</formula1>
    </dataValidation>
    <dataValidation type="decimal" operator="greaterThan" allowBlank="1" showInputMessage="1" showErrorMessage="1" sqref="E6288">
      <formula1>0</formula1>
    </dataValidation>
    <dataValidation type="whole" operator="greaterThan" allowBlank="1" showInputMessage="1" showErrorMessage="1" sqref="A6289">
      <formula1>0</formula1>
    </dataValidation>
    <dataValidation type="list" allowBlank="1" showInputMessage="1" showErrorMessage="1" sqref="C6289">
      <formula1>UnidadesList</formula1>
    </dataValidation>
    <dataValidation type="decimal" operator="greaterThan" allowBlank="1" showInputMessage="1" showErrorMessage="1" sqref="D6289">
      <formula1>0</formula1>
    </dataValidation>
    <dataValidation type="decimal" operator="greaterThan" allowBlank="1" showInputMessage="1" showErrorMessage="1" sqref="E6289">
      <formula1>0</formula1>
    </dataValidation>
    <dataValidation type="whole" operator="greaterThan" allowBlank="1" showInputMessage="1" showErrorMessage="1" sqref="A6290">
      <formula1>0</formula1>
    </dataValidation>
    <dataValidation type="list" allowBlank="1" showInputMessage="1" showErrorMessage="1" sqref="C6290">
      <formula1>UnidadesList</formula1>
    </dataValidation>
    <dataValidation type="decimal" operator="greaterThan" allowBlank="1" showInputMessage="1" showErrorMessage="1" sqref="D6290">
      <formula1>0</formula1>
    </dataValidation>
    <dataValidation type="decimal" operator="greaterThan" allowBlank="1" showInputMessage="1" showErrorMessage="1" sqref="E6290">
      <formula1>0</formula1>
    </dataValidation>
    <dataValidation type="whole" operator="greaterThan" allowBlank="1" showInputMessage="1" showErrorMessage="1" sqref="A6291">
      <formula1>0</formula1>
    </dataValidation>
    <dataValidation type="list" allowBlank="1" showInputMessage="1" showErrorMessage="1" sqref="C6291">
      <formula1>UnidadesList</formula1>
    </dataValidation>
    <dataValidation type="decimal" operator="greaterThan" allowBlank="1" showInputMessage="1" showErrorMessage="1" sqref="D6291">
      <formula1>0</formula1>
    </dataValidation>
    <dataValidation type="decimal" operator="greaterThan" allowBlank="1" showInputMessage="1" showErrorMessage="1" sqref="E6291">
      <formula1>0</formula1>
    </dataValidation>
    <dataValidation type="whole" operator="greaterThan" allowBlank="1" showInputMessage="1" showErrorMessage="1" sqref="A6292">
      <formula1>0</formula1>
    </dataValidation>
    <dataValidation type="list" allowBlank="1" showInputMessage="1" showErrorMessage="1" sqref="C6292">
      <formula1>UnidadesList</formula1>
    </dataValidation>
    <dataValidation type="decimal" operator="greaterThan" allowBlank="1" showInputMessage="1" showErrorMessage="1" sqref="D6292">
      <formula1>0</formula1>
    </dataValidation>
    <dataValidation type="decimal" operator="greaterThan" allowBlank="1" showInputMessage="1" showErrorMessage="1" sqref="E6292">
      <formula1>0</formula1>
    </dataValidation>
    <dataValidation type="whole" operator="greaterThan" allowBlank="1" showInputMessage="1" showErrorMessage="1" sqref="A6293">
      <formula1>0</formula1>
    </dataValidation>
    <dataValidation type="list" allowBlank="1" showInputMessage="1" showErrorMessage="1" sqref="C6293">
      <formula1>UnidadesList</formula1>
    </dataValidation>
    <dataValidation type="decimal" operator="greaterThan" allowBlank="1" showInputMessage="1" showErrorMessage="1" sqref="D6293">
      <formula1>0</formula1>
    </dataValidation>
    <dataValidation type="decimal" operator="greaterThan" allowBlank="1" showInputMessage="1" showErrorMessage="1" sqref="E6293">
      <formula1>0</formula1>
    </dataValidation>
    <dataValidation type="date" operator="lessThanOrEqual" allowBlank="1" showInputMessage="1" showErrorMessage="1" sqref="C6298">
      <formula1>C6300</formula1>
    </dataValidation>
    <dataValidation type="date" operator="greaterThanOrEqual" allowBlank="1" showInputMessage="1" showErrorMessage="1" sqref="C6300">
      <formula1>C6298</formula1>
    </dataValidation>
    <dataValidation type="list" allowBlank="1" showInputMessage="1" showErrorMessage="1" sqref="F629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29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30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30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304">
      <formula1>0</formula1>
    </dataValidation>
    <dataValidation type="list" allowBlank="1" showInputMessage="1" showErrorMessage="1" sqref="C6304">
      <formula1>UnidadesList</formula1>
    </dataValidation>
    <dataValidation type="decimal" operator="greaterThan" allowBlank="1" showInputMessage="1" showErrorMessage="1" sqref="D6304">
      <formula1>0</formula1>
    </dataValidation>
    <dataValidation type="decimal" operator="greaterThan" allowBlank="1" showInputMessage="1" showErrorMessage="1" sqref="E6304">
      <formula1>0</formula1>
    </dataValidation>
    <dataValidation type="whole" operator="greaterThan" allowBlank="1" showInputMessage="1" showErrorMessage="1" sqref="A6305">
      <formula1>0</formula1>
    </dataValidation>
    <dataValidation type="list" allowBlank="1" showInputMessage="1" showErrorMessage="1" sqref="C6305">
      <formula1>UnidadesList</formula1>
    </dataValidation>
    <dataValidation type="decimal" operator="greaterThan" allowBlank="1" showInputMessage="1" showErrorMessage="1" sqref="D6305">
      <formula1>0</formula1>
    </dataValidation>
    <dataValidation type="decimal" operator="greaterThan" allowBlank="1" showInputMessage="1" showErrorMessage="1" sqref="E6305">
      <formula1>0</formula1>
    </dataValidation>
    <dataValidation type="whole" operator="greaterThan" allowBlank="1" showInputMessage="1" showErrorMessage="1" sqref="A6306">
      <formula1>0</formula1>
    </dataValidation>
    <dataValidation type="list" allowBlank="1" showInputMessage="1" showErrorMessage="1" sqref="C6306">
      <formula1>UnidadesList</formula1>
    </dataValidation>
    <dataValidation type="decimal" operator="greaterThan" allowBlank="1" showInputMessage="1" showErrorMessage="1" sqref="D6306">
      <formula1>0</formula1>
    </dataValidation>
    <dataValidation type="decimal" operator="greaterThan" allowBlank="1" showInputMessage="1" showErrorMessage="1" sqref="E6306">
      <formula1>0</formula1>
    </dataValidation>
    <dataValidation type="whole" operator="greaterThan" allowBlank="1" showInputMessage="1" showErrorMessage="1" sqref="A6307">
      <formula1>0</formula1>
    </dataValidation>
    <dataValidation type="list" allowBlank="1" showInputMessage="1" showErrorMessage="1" sqref="C6307">
      <formula1>UnidadesList</formula1>
    </dataValidation>
    <dataValidation type="decimal" operator="greaterThan" allowBlank="1" showInputMessage="1" showErrorMessage="1" sqref="D6307">
      <formula1>0</formula1>
    </dataValidation>
    <dataValidation type="decimal" operator="greaterThan" allowBlank="1" showInputMessage="1" showErrorMessage="1" sqref="E6307">
      <formula1>0</formula1>
    </dataValidation>
    <dataValidation type="whole" operator="greaterThan" allowBlank="1" showInputMessage="1" showErrorMessage="1" sqref="A6308">
      <formula1>0</formula1>
    </dataValidation>
    <dataValidation type="list" allowBlank="1" showInputMessage="1" showErrorMessage="1" sqref="C6308">
      <formula1>UnidadesList</formula1>
    </dataValidation>
    <dataValidation type="decimal" operator="greaterThan" allowBlank="1" showInputMessage="1" showErrorMessage="1" sqref="D6308">
      <formula1>0</formula1>
    </dataValidation>
    <dataValidation type="decimal" operator="greaterThan" allowBlank="1" showInputMessage="1" showErrorMessage="1" sqref="E6308">
      <formula1>0</formula1>
    </dataValidation>
    <dataValidation type="whole" operator="greaterThan" allowBlank="1" showInputMessage="1" showErrorMessage="1" sqref="A6309">
      <formula1>0</formula1>
    </dataValidation>
    <dataValidation type="list" allowBlank="1" showInputMessage="1" showErrorMessage="1" sqref="C6309">
      <formula1>UnidadesList</formula1>
    </dataValidation>
    <dataValidation type="decimal" operator="greaterThan" allowBlank="1" showInputMessage="1" showErrorMessage="1" sqref="D6309">
      <formula1>0</formula1>
    </dataValidation>
    <dataValidation type="decimal" operator="greaterThan" allowBlank="1" showInputMessage="1" showErrorMessage="1" sqref="E6309">
      <formula1>0</formula1>
    </dataValidation>
    <dataValidation type="whole" operator="greaterThan" allowBlank="1" showInputMessage="1" showErrorMessage="1" sqref="A6310">
      <formula1>0</formula1>
    </dataValidation>
    <dataValidation type="list" allowBlank="1" showInputMessage="1" showErrorMessage="1" sqref="C6310">
      <formula1>UnidadesList</formula1>
    </dataValidation>
    <dataValidation type="decimal" operator="greaterThan" allowBlank="1" showInputMessage="1" showErrorMessage="1" sqref="D6310">
      <formula1>0</formula1>
    </dataValidation>
    <dataValidation type="decimal" operator="greaterThan" allowBlank="1" showInputMessage="1" showErrorMessage="1" sqref="E6310">
      <formula1>0</formula1>
    </dataValidation>
    <dataValidation type="whole" operator="greaterThan" allowBlank="1" showInputMessage="1" showErrorMessage="1" sqref="A6311">
      <formula1>0</formula1>
    </dataValidation>
    <dataValidation type="list" allowBlank="1" showInputMessage="1" showErrorMessage="1" sqref="C6311">
      <formula1>UnidadesList</formula1>
    </dataValidation>
    <dataValidation type="decimal" operator="greaterThan" allowBlank="1" showInputMessage="1" showErrorMessage="1" sqref="D6311">
      <formula1>0</formula1>
    </dataValidation>
    <dataValidation type="decimal" operator="greaterThan" allowBlank="1" showInputMessage="1" showErrorMessage="1" sqref="E6311">
      <formula1>0</formula1>
    </dataValidation>
    <dataValidation type="whole" operator="greaterThan" allowBlank="1" showInputMessage="1" showErrorMessage="1" sqref="A6312">
      <formula1>0</formula1>
    </dataValidation>
    <dataValidation type="list" allowBlank="1" showInputMessage="1" showErrorMessage="1" sqref="C6312">
      <formula1>UnidadesList</formula1>
    </dataValidation>
    <dataValidation type="decimal" operator="greaterThan" allowBlank="1" showInputMessage="1" showErrorMessage="1" sqref="D6312">
      <formula1>0</formula1>
    </dataValidation>
    <dataValidation type="decimal" operator="greaterThan" allowBlank="1" showInputMessage="1" showErrorMessage="1" sqref="E6312">
      <formula1>0</formula1>
    </dataValidation>
    <dataValidation type="whole" operator="greaterThan" allowBlank="1" showInputMessage="1" showErrorMessage="1" sqref="A6313">
      <formula1>0</formula1>
    </dataValidation>
    <dataValidation type="list" allowBlank="1" showInputMessage="1" showErrorMessage="1" sqref="C6313">
      <formula1>UnidadesList</formula1>
    </dataValidation>
    <dataValidation type="decimal" operator="greaterThan" allowBlank="1" showInputMessage="1" showErrorMessage="1" sqref="D6313">
      <formula1>0</formula1>
    </dataValidation>
    <dataValidation type="decimal" operator="greaterThan" allowBlank="1" showInputMessage="1" showErrorMessage="1" sqref="E6313">
      <formula1>0</formula1>
    </dataValidation>
    <dataValidation type="whole" operator="greaterThan" allowBlank="1" showInputMessage="1" showErrorMessage="1" sqref="A6314">
      <formula1>0</formula1>
    </dataValidation>
    <dataValidation type="list" allowBlank="1" showInputMessage="1" showErrorMessage="1" sqref="C6314">
      <formula1>UnidadesList</formula1>
    </dataValidation>
    <dataValidation type="decimal" operator="greaterThan" allowBlank="1" showInputMessage="1" showErrorMessage="1" sqref="D6314">
      <formula1>0</formula1>
    </dataValidation>
    <dataValidation type="decimal" operator="greaterThan" allowBlank="1" showInputMessage="1" showErrorMessage="1" sqref="E6314">
      <formula1>0</formula1>
    </dataValidation>
    <dataValidation type="whole" operator="greaterThan" allowBlank="1" showInputMessage="1" showErrorMessage="1" sqref="A6315">
      <formula1>0</formula1>
    </dataValidation>
    <dataValidation type="list" allowBlank="1" showInputMessage="1" showErrorMessage="1" sqref="C6315">
      <formula1>UnidadesList</formula1>
    </dataValidation>
    <dataValidation type="decimal" operator="greaterThan" allowBlank="1" showInputMessage="1" showErrorMessage="1" sqref="D6315">
      <formula1>0</formula1>
    </dataValidation>
    <dataValidation type="decimal" operator="greaterThan" allowBlank="1" showInputMessage="1" showErrorMessage="1" sqref="E6315">
      <formula1>0</formula1>
    </dataValidation>
    <dataValidation type="whole" operator="greaterThan" allowBlank="1" showInputMessage="1" showErrorMessage="1" sqref="A6316">
      <formula1>0</formula1>
    </dataValidation>
    <dataValidation type="list" allowBlank="1" showInputMessage="1" showErrorMessage="1" sqref="C6316">
      <formula1>UnidadesList</formula1>
    </dataValidation>
    <dataValidation type="decimal" operator="greaterThan" allowBlank="1" showInputMessage="1" showErrorMessage="1" sqref="D6316">
      <formula1>0</formula1>
    </dataValidation>
    <dataValidation type="decimal" operator="greaterThan" allowBlank="1" showInputMessage="1" showErrorMessage="1" sqref="E6316">
      <formula1>0</formula1>
    </dataValidation>
    <dataValidation type="whole" operator="greaterThan" allowBlank="1" showInputMessage="1" showErrorMessage="1" sqref="A6317">
      <formula1>0</formula1>
    </dataValidation>
    <dataValidation type="list" allowBlank="1" showInputMessage="1" showErrorMessage="1" sqref="C6317">
      <formula1>UnidadesList</formula1>
    </dataValidation>
    <dataValidation type="decimal" operator="greaterThan" allowBlank="1" showInputMessage="1" showErrorMessage="1" sqref="D6317">
      <formula1>0</formula1>
    </dataValidation>
    <dataValidation type="decimal" operator="greaterThan" allowBlank="1" showInputMessage="1" showErrorMessage="1" sqref="E6317">
      <formula1>0</formula1>
    </dataValidation>
    <dataValidation type="whole" operator="greaterThan" allowBlank="1" showInputMessage="1" showErrorMessage="1" sqref="A6318">
      <formula1>0</formula1>
    </dataValidation>
    <dataValidation type="list" allowBlank="1" showInputMessage="1" showErrorMessage="1" sqref="C6318">
      <formula1>UnidadesList</formula1>
    </dataValidation>
    <dataValidation type="decimal" operator="greaterThan" allowBlank="1" showInputMessage="1" showErrorMessage="1" sqref="D6318">
      <formula1>0</formula1>
    </dataValidation>
    <dataValidation type="decimal" operator="greaterThan" allowBlank="1" showInputMessage="1" showErrorMessage="1" sqref="E6318">
      <formula1>0</formula1>
    </dataValidation>
    <dataValidation type="whole" operator="greaterThan" allowBlank="1" showInputMessage="1" showErrorMessage="1" sqref="A6319">
      <formula1>0</formula1>
    </dataValidation>
    <dataValidation type="list" allowBlank="1" showInputMessage="1" showErrorMessage="1" sqref="C6319">
      <formula1>UnidadesList</formula1>
    </dataValidation>
    <dataValidation type="decimal" operator="greaterThan" allowBlank="1" showInputMessage="1" showErrorMessage="1" sqref="D6319">
      <formula1>0</formula1>
    </dataValidation>
    <dataValidation type="decimal" operator="greaterThan" allowBlank="1" showInputMessage="1" showErrorMessage="1" sqref="E6319">
      <formula1>0</formula1>
    </dataValidation>
    <dataValidation type="whole" operator="greaterThan" allowBlank="1" showInputMessage="1" showErrorMessage="1" sqref="A6320">
      <formula1>0</formula1>
    </dataValidation>
    <dataValidation type="list" allowBlank="1" showInputMessage="1" showErrorMessage="1" sqref="C6320">
      <formula1>UnidadesList</formula1>
    </dataValidation>
    <dataValidation type="decimal" operator="greaterThan" allowBlank="1" showInputMessage="1" showErrorMessage="1" sqref="D6320">
      <formula1>0</formula1>
    </dataValidation>
    <dataValidation type="decimal" operator="greaterThan" allowBlank="1" showInputMessage="1" showErrorMessage="1" sqref="E6320">
      <formula1>0</formula1>
    </dataValidation>
    <dataValidation type="whole" operator="greaterThan" allowBlank="1" showInputMessage="1" showErrorMessage="1" sqref="A6321">
      <formula1>0</formula1>
    </dataValidation>
    <dataValidation type="list" allowBlank="1" showInputMessage="1" showErrorMessage="1" sqref="C6321">
      <formula1>UnidadesList</formula1>
    </dataValidation>
    <dataValidation type="decimal" operator="greaterThan" allowBlank="1" showInputMessage="1" showErrorMessage="1" sqref="D6321">
      <formula1>0</formula1>
    </dataValidation>
    <dataValidation type="decimal" operator="greaterThan" allowBlank="1" showInputMessage="1" showErrorMessage="1" sqref="E6321">
      <formula1>0</formula1>
    </dataValidation>
    <dataValidation type="whole" operator="greaterThan" allowBlank="1" showInputMessage="1" showErrorMessage="1" sqref="A6322">
      <formula1>0</formula1>
    </dataValidation>
    <dataValidation type="list" allowBlank="1" showInputMessage="1" showErrorMessage="1" sqref="C6322">
      <formula1>UnidadesList</formula1>
    </dataValidation>
    <dataValidation type="decimal" operator="greaterThan" allowBlank="1" showInputMessage="1" showErrorMessage="1" sqref="D6322">
      <formula1>0</formula1>
    </dataValidation>
    <dataValidation type="decimal" operator="greaterThan" allowBlank="1" showInputMessage="1" showErrorMessage="1" sqref="E6322">
      <formula1>0</formula1>
    </dataValidation>
    <dataValidation type="whole" operator="greaterThan" allowBlank="1" showInputMessage="1" showErrorMessage="1" sqref="A6323">
      <formula1>0</formula1>
    </dataValidation>
    <dataValidation type="list" allowBlank="1" showInputMessage="1" showErrorMessage="1" sqref="C6323">
      <formula1>UnidadesList</formula1>
    </dataValidation>
    <dataValidation type="decimal" operator="greaterThan" allowBlank="1" showInputMessage="1" showErrorMessage="1" sqref="D6323">
      <formula1>0</formula1>
    </dataValidation>
    <dataValidation type="decimal" operator="greaterThan" allowBlank="1" showInputMessage="1" showErrorMessage="1" sqref="E6323">
      <formula1>0</formula1>
    </dataValidation>
    <dataValidation type="whole" operator="greaterThan" allowBlank="1" showInputMessage="1" showErrorMessage="1" sqref="A6324">
      <formula1>0</formula1>
    </dataValidation>
    <dataValidation type="list" allowBlank="1" showInputMessage="1" showErrorMessage="1" sqref="C6324">
      <formula1>UnidadesList</formula1>
    </dataValidation>
    <dataValidation type="decimal" operator="greaterThan" allowBlank="1" showInputMessage="1" showErrorMessage="1" sqref="D6324">
      <formula1>0</formula1>
    </dataValidation>
    <dataValidation type="decimal" operator="greaterThan" allowBlank="1" showInputMessage="1" showErrorMessage="1" sqref="E6324">
      <formula1>0</formula1>
    </dataValidation>
    <dataValidation type="whole" operator="greaterThan" allowBlank="1" showInputMessage="1" showErrorMessage="1" sqref="A6325">
      <formula1>0</formula1>
    </dataValidation>
    <dataValidation type="list" allowBlank="1" showInputMessage="1" showErrorMessage="1" sqref="C6325">
      <formula1>UnidadesList</formula1>
    </dataValidation>
    <dataValidation type="decimal" operator="greaterThan" allowBlank="1" showInputMessage="1" showErrorMessage="1" sqref="D6325">
      <formula1>0</formula1>
    </dataValidation>
    <dataValidation type="decimal" operator="greaterThan" allowBlank="1" showInputMessage="1" showErrorMessage="1" sqref="E6325">
      <formula1>0</formula1>
    </dataValidation>
    <dataValidation type="whole" operator="greaterThan" allowBlank="1" showInputMessage="1" showErrorMessage="1" sqref="A6326">
      <formula1>0</formula1>
    </dataValidation>
    <dataValidation type="list" allowBlank="1" showInputMessage="1" showErrorMessage="1" sqref="C6326">
      <formula1>UnidadesList</formula1>
    </dataValidation>
    <dataValidation type="decimal" operator="greaterThan" allowBlank="1" showInputMessage="1" showErrorMessage="1" sqref="D6326">
      <formula1>0</formula1>
    </dataValidation>
    <dataValidation type="decimal" operator="greaterThan" allowBlank="1" showInputMessage="1" showErrorMessage="1" sqref="E6326">
      <formula1>0</formula1>
    </dataValidation>
    <dataValidation type="whole" operator="greaterThan" allowBlank="1" showInputMessage="1" showErrorMessage="1" sqref="A6327">
      <formula1>0</formula1>
    </dataValidation>
    <dataValidation type="list" allowBlank="1" showInputMessage="1" showErrorMessage="1" sqref="C6327">
      <formula1>UnidadesList</formula1>
    </dataValidation>
    <dataValidation type="decimal" operator="greaterThan" allowBlank="1" showInputMessage="1" showErrorMessage="1" sqref="D6327">
      <formula1>0</formula1>
    </dataValidation>
    <dataValidation type="decimal" operator="greaterThan" allowBlank="1" showInputMessage="1" showErrorMessage="1" sqref="E6327">
      <formula1>0</formula1>
    </dataValidation>
    <dataValidation type="whole" operator="greaterThan" allowBlank="1" showInputMessage="1" showErrorMessage="1" sqref="A6328">
      <formula1>0</formula1>
    </dataValidation>
    <dataValidation type="list" allowBlank="1" showInputMessage="1" showErrorMessage="1" sqref="C6328">
      <formula1>UnidadesList</formula1>
    </dataValidation>
    <dataValidation type="decimal" operator="greaterThan" allowBlank="1" showInputMessage="1" showErrorMessage="1" sqref="D6328">
      <formula1>0</formula1>
    </dataValidation>
    <dataValidation type="decimal" operator="greaterThan" allowBlank="1" showInputMessage="1" showErrorMessage="1" sqref="E6328">
      <formula1>0</formula1>
    </dataValidation>
    <dataValidation type="whole" operator="greaterThan" allowBlank="1" showInputMessage="1" showErrorMessage="1" sqref="A6329">
      <formula1>0</formula1>
    </dataValidation>
    <dataValidation type="list" allowBlank="1" showInputMessage="1" showErrorMessage="1" sqref="C6329">
      <formula1>UnidadesList</formula1>
    </dataValidation>
    <dataValidation type="decimal" operator="greaterThan" allowBlank="1" showInputMessage="1" showErrorMessage="1" sqref="D6329">
      <formula1>0</formula1>
    </dataValidation>
    <dataValidation type="decimal" operator="greaterThan" allowBlank="1" showInputMessage="1" showErrorMessage="1" sqref="E6329">
      <formula1>0</formula1>
    </dataValidation>
    <dataValidation type="whole" operator="greaterThan" allowBlank="1" showInputMessage="1" showErrorMessage="1" sqref="A6330">
      <formula1>0</formula1>
    </dataValidation>
    <dataValidation type="list" allowBlank="1" showInputMessage="1" showErrorMessage="1" sqref="C6330">
      <formula1>UnidadesList</formula1>
    </dataValidation>
    <dataValidation type="decimal" operator="greaterThan" allowBlank="1" showInputMessage="1" showErrorMessage="1" sqref="D6330">
      <formula1>0</formula1>
    </dataValidation>
    <dataValidation type="decimal" operator="greaterThan" allowBlank="1" showInputMessage="1" showErrorMessage="1" sqref="E6330">
      <formula1>0</formula1>
    </dataValidation>
    <dataValidation type="whole" operator="greaterThan" allowBlank="1" showInputMessage="1" showErrorMessage="1" sqref="A6331">
      <formula1>0</formula1>
    </dataValidation>
    <dataValidation type="list" allowBlank="1" showInputMessage="1" showErrorMessage="1" sqref="C6331">
      <formula1>UnidadesList</formula1>
    </dataValidation>
    <dataValidation type="decimal" operator="greaterThan" allowBlank="1" showInputMessage="1" showErrorMessage="1" sqref="D6331">
      <formula1>0</formula1>
    </dataValidation>
    <dataValidation type="decimal" operator="greaterThan" allowBlank="1" showInputMessage="1" showErrorMessage="1" sqref="E6331">
      <formula1>0</formula1>
    </dataValidation>
    <dataValidation type="whole" operator="greaterThan" allowBlank="1" showInputMessage="1" showErrorMessage="1" sqref="A6332">
      <formula1>0</formula1>
    </dataValidation>
    <dataValidation type="list" allowBlank="1" showInputMessage="1" showErrorMessage="1" sqref="C6332">
      <formula1>UnidadesList</formula1>
    </dataValidation>
    <dataValidation type="decimal" operator="greaterThan" allowBlank="1" showInputMessage="1" showErrorMessage="1" sqref="D6332">
      <formula1>0</formula1>
    </dataValidation>
    <dataValidation type="decimal" operator="greaterThan" allowBlank="1" showInputMessage="1" showErrorMessage="1" sqref="E6332">
      <formula1>0</formula1>
    </dataValidation>
    <dataValidation type="whole" operator="greaterThan" allowBlank="1" showInputMessage="1" showErrorMessage="1" sqref="A6333">
      <formula1>0</formula1>
    </dataValidation>
    <dataValidation type="list" allowBlank="1" showInputMessage="1" showErrorMessage="1" sqref="C6333">
      <formula1>UnidadesList</formula1>
    </dataValidation>
    <dataValidation type="decimal" operator="greaterThan" allowBlank="1" showInputMessage="1" showErrorMessage="1" sqref="D6333">
      <formula1>0</formula1>
    </dataValidation>
    <dataValidation type="decimal" operator="greaterThan" allowBlank="1" showInputMessage="1" showErrorMessage="1" sqref="E6333">
      <formula1>0</formula1>
    </dataValidation>
    <dataValidation type="whole" operator="greaterThan" allowBlank="1" showInputMessage="1" showErrorMessage="1" sqref="A6334">
      <formula1>0</formula1>
    </dataValidation>
    <dataValidation type="list" allowBlank="1" showInputMessage="1" showErrorMessage="1" sqref="C6334">
      <formula1>UnidadesList</formula1>
    </dataValidation>
    <dataValidation type="decimal" operator="greaterThan" allowBlank="1" showInputMessage="1" showErrorMessage="1" sqref="D6334">
      <formula1>0</formula1>
    </dataValidation>
    <dataValidation type="decimal" operator="greaterThan" allowBlank="1" showInputMessage="1" showErrorMessage="1" sqref="E6334">
      <formula1>0</formula1>
    </dataValidation>
    <dataValidation type="whole" operator="greaterThan" allowBlank="1" showInputMessage="1" showErrorMessage="1" sqref="A6335">
      <formula1>0</formula1>
    </dataValidation>
    <dataValidation type="list" allowBlank="1" showInputMessage="1" showErrorMessage="1" sqref="C6335">
      <formula1>UnidadesList</formula1>
    </dataValidation>
    <dataValidation type="decimal" operator="greaterThan" allowBlank="1" showInputMessage="1" showErrorMessage="1" sqref="D6335">
      <formula1>0</formula1>
    </dataValidation>
    <dataValidation type="decimal" operator="greaterThan" allowBlank="1" showInputMessage="1" showErrorMessage="1" sqref="E6335">
      <formula1>0</formula1>
    </dataValidation>
    <dataValidation type="whole" operator="greaterThan" allowBlank="1" showInputMessage="1" showErrorMessage="1" sqref="A6336">
      <formula1>0</formula1>
    </dataValidation>
    <dataValidation type="list" allowBlank="1" showInputMessage="1" showErrorMessage="1" sqref="C6336">
      <formula1>UnidadesList</formula1>
    </dataValidation>
    <dataValidation type="decimal" operator="greaterThan" allowBlank="1" showInputMessage="1" showErrorMessage="1" sqref="D6336">
      <formula1>0</formula1>
    </dataValidation>
    <dataValidation type="decimal" operator="greaterThan" allowBlank="1" showInputMessage="1" showErrorMessage="1" sqref="E6336">
      <formula1>0</formula1>
    </dataValidation>
    <dataValidation type="whole" operator="greaterThan" allowBlank="1" showInputMessage="1" showErrorMessage="1" sqref="A6337">
      <formula1>0</formula1>
    </dataValidation>
    <dataValidation type="list" allowBlank="1" showInputMessage="1" showErrorMessage="1" sqref="C6337">
      <formula1>UnidadesList</formula1>
    </dataValidation>
    <dataValidation type="decimal" operator="greaterThan" allowBlank="1" showInputMessage="1" showErrorMessage="1" sqref="D6337">
      <formula1>0</formula1>
    </dataValidation>
    <dataValidation type="decimal" operator="greaterThan" allowBlank="1" showInputMessage="1" showErrorMessage="1" sqref="E6337">
      <formula1>0</formula1>
    </dataValidation>
    <dataValidation type="whole" operator="greaterThan" allowBlank="1" showInputMessage="1" showErrorMessage="1" sqref="A6338">
      <formula1>0</formula1>
    </dataValidation>
    <dataValidation type="list" allowBlank="1" showInputMessage="1" showErrorMessage="1" sqref="C6338">
      <formula1>UnidadesList</formula1>
    </dataValidation>
    <dataValidation type="decimal" operator="greaterThan" allowBlank="1" showInputMessage="1" showErrorMessage="1" sqref="D6338">
      <formula1>0</formula1>
    </dataValidation>
    <dataValidation type="decimal" operator="greaterThan" allowBlank="1" showInputMessage="1" showErrorMessage="1" sqref="E6338">
      <formula1>0</formula1>
    </dataValidation>
    <dataValidation type="whole" operator="greaterThan" allowBlank="1" showInputMessage="1" showErrorMessage="1" sqref="A6339">
      <formula1>0</formula1>
    </dataValidation>
    <dataValidation type="list" allowBlank="1" showInputMessage="1" showErrorMessage="1" sqref="C6339">
      <formula1>UnidadesList</formula1>
    </dataValidation>
    <dataValidation type="decimal" operator="greaterThan" allowBlank="1" showInputMessage="1" showErrorMessage="1" sqref="D6339">
      <formula1>0</formula1>
    </dataValidation>
    <dataValidation type="decimal" operator="greaterThan" allowBlank="1" showInputMessage="1" showErrorMessage="1" sqref="E6339">
      <formula1>0</formula1>
    </dataValidation>
    <dataValidation type="whole" operator="greaterThan" allowBlank="1" showInputMessage="1" showErrorMessage="1" sqref="A6340">
      <formula1>0</formula1>
    </dataValidation>
    <dataValidation type="list" allowBlank="1" showInputMessage="1" showErrorMessage="1" sqref="C6340">
      <formula1>UnidadesList</formula1>
    </dataValidation>
    <dataValidation type="decimal" operator="greaterThan" allowBlank="1" showInputMessage="1" showErrorMessage="1" sqref="D6340">
      <formula1>0</formula1>
    </dataValidation>
    <dataValidation type="decimal" operator="greaterThan" allowBlank="1" showInputMessage="1" showErrorMessage="1" sqref="E6340">
      <formula1>0</formula1>
    </dataValidation>
    <dataValidation type="whole" operator="greaterThan" allowBlank="1" showInputMessage="1" showErrorMessage="1" sqref="A6341">
      <formula1>0</formula1>
    </dataValidation>
    <dataValidation type="list" allowBlank="1" showInputMessage="1" showErrorMessage="1" sqref="C6341">
      <formula1>UnidadesList</formula1>
    </dataValidation>
    <dataValidation type="decimal" operator="greaterThan" allowBlank="1" showInputMessage="1" showErrorMessage="1" sqref="D6341">
      <formula1>0</formula1>
    </dataValidation>
    <dataValidation type="decimal" operator="greaterThan" allowBlank="1" showInputMessage="1" showErrorMessage="1" sqref="E6341">
      <formula1>0</formula1>
    </dataValidation>
    <dataValidation type="whole" operator="greaterThan" allowBlank="1" showInputMessage="1" showErrorMessage="1" sqref="A6342">
      <formula1>0</formula1>
    </dataValidation>
    <dataValidation type="list" allowBlank="1" showInputMessage="1" showErrorMessage="1" sqref="C6342">
      <formula1>UnidadesList</formula1>
    </dataValidation>
    <dataValidation type="decimal" operator="greaterThan" allowBlank="1" showInputMessage="1" showErrorMessage="1" sqref="D6342">
      <formula1>0</formula1>
    </dataValidation>
    <dataValidation type="decimal" operator="greaterThan" allowBlank="1" showInputMessage="1" showErrorMessage="1" sqref="E6342">
      <formula1>0</formula1>
    </dataValidation>
    <dataValidation type="whole" operator="greaterThan" allowBlank="1" showInputMessage="1" showErrorMessage="1" sqref="A6343">
      <formula1>0</formula1>
    </dataValidation>
    <dataValidation type="list" allowBlank="1" showInputMessage="1" showErrorMessage="1" sqref="C6343">
      <formula1>UnidadesList</formula1>
    </dataValidation>
    <dataValidation type="decimal" operator="greaterThan" allowBlank="1" showInputMessage="1" showErrorMessage="1" sqref="D6343">
      <formula1>0</formula1>
    </dataValidation>
    <dataValidation type="decimal" operator="greaterThan" allowBlank="1" showInputMessage="1" showErrorMessage="1" sqref="E6343">
      <formula1>0</formula1>
    </dataValidation>
    <dataValidation type="whole" operator="greaterThan" allowBlank="1" showInputMessage="1" showErrorMessage="1" sqref="A6344">
      <formula1>0</formula1>
    </dataValidation>
    <dataValidation type="list" allowBlank="1" showInputMessage="1" showErrorMessage="1" sqref="C6344">
      <formula1>UnidadesList</formula1>
    </dataValidation>
    <dataValidation type="decimal" operator="greaterThan" allowBlank="1" showInputMessage="1" showErrorMessage="1" sqref="D6344">
      <formula1>0</formula1>
    </dataValidation>
    <dataValidation type="decimal" operator="greaterThan" allowBlank="1" showInputMessage="1" showErrorMessage="1" sqref="E6344">
      <formula1>0</formula1>
    </dataValidation>
    <dataValidation type="whole" operator="greaterThan" allowBlank="1" showInputMessage="1" showErrorMessage="1" sqref="A6345">
      <formula1>0</formula1>
    </dataValidation>
    <dataValidation type="list" allowBlank="1" showInputMessage="1" showErrorMessage="1" sqref="C6345">
      <formula1>UnidadesList</formula1>
    </dataValidation>
    <dataValidation type="decimal" operator="greaterThan" allowBlank="1" showInputMessage="1" showErrorMessage="1" sqref="D6345">
      <formula1>0</formula1>
    </dataValidation>
    <dataValidation type="decimal" operator="greaterThan" allowBlank="1" showInputMessage="1" showErrorMessage="1" sqref="E6345">
      <formula1>0</formula1>
    </dataValidation>
    <dataValidation type="whole" operator="greaterThan" allowBlank="1" showInputMessage="1" showErrorMessage="1" sqref="A6346">
      <formula1>0</formula1>
    </dataValidation>
    <dataValidation type="list" allowBlank="1" showInputMessage="1" showErrorMessage="1" sqref="C6346">
      <formula1>UnidadesList</formula1>
    </dataValidation>
    <dataValidation type="decimal" operator="greaterThan" allowBlank="1" showInputMessage="1" showErrorMessage="1" sqref="D6346">
      <formula1>0</formula1>
    </dataValidation>
    <dataValidation type="decimal" operator="greaterThan" allowBlank="1" showInputMessage="1" showErrorMessage="1" sqref="E6346">
      <formula1>0</formula1>
    </dataValidation>
    <dataValidation type="whole" operator="greaterThan" allowBlank="1" showInputMessage="1" showErrorMessage="1" sqref="A6347">
      <formula1>0</formula1>
    </dataValidation>
    <dataValidation type="list" allowBlank="1" showInputMessage="1" showErrorMessage="1" sqref="C6347">
      <formula1>UnidadesList</formula1>
    </dataValidation>
    <dataValidation type="decimal" operator="greaterThan" allowBlank="1" showInputMessage="1" showErrorMessage="1" sqref="D6347">
      <formula1>0</formula1>
    </dataValidation>
    <dataValidation type="decimal" operator="greaterThan" allowBlank="1" showInputMessage="1" showErrorMessage="1" sqref="E6347">
      <formula1>0</formula1>
    </dataValidation>
    <dataValidation type="whole" operator="greaterThan" allowBlank="1" showInputMessage="1" showErrorMessage="1" sqref="A6348">
      <formula1>0</formula1>
    </dataValidation>
    <dataValidation type="list" allowBlank="1" showInputMessage="1" showErrorMessage="1" sqref="C6348">
      <formula1>UnidadesList</formula1>
    </dataValidation>
    <dataValidation type="decimal" operator="greaterThan" allowBlank="1" showInputMessage="1" showErrorMessage="1" sqref="D6348">
      <formula1>0</formula1>
    </dataValidation>
    <dataValidation type="decimal" operator="greaterThan" allowBlank="1" showInputMessage="1" showErrorMessage="1" sqref="E6348">
      <formula1>0</formula1>
    </dataValidation>
    <dataValidation type="whole" operator="greaterThan" allowBlank="1" showInputMessage="1" showErrorMessage="1" sqref="A6349">
      <formula1>0</formula1>
    </dataValidation>
    <dataValidation type="list" allowBlank="1" showInputMessage="1" showErrorMessage="1" sqref="C6349">
      <formula1>UnidadesList</formula1>
    </dataValidation>
    <dataValidation type="decimal" operator="greaterThan" allowBlank="1" showInputMessage="1" showErrorMessage="1" sqref="D6349">
      <formula1>0</formula1>
    </dataValidation>
    <dataValidation type="decimal" operator="greaterThan" allowBlank="1" showInputMessage="1" showErrorMessage="1" sqref="E6349">
      <formula1>0</formula1>
    </dataValidation>
    <dataValidation type="whole" operator="greaterThan" allowBlank="1" showInputMessage="1" showErrorMessage="1" sqref="A6350">
      <formula1>0</formula1>
    </dataValidation>
    <dataValidation type="list" allowBlank="1" showInputMessage="1" showErrorMessage="1" sqref="C6350">
      <formula1>UnidadesList</formula1>
    </dataValidation>
    <dataValidation type="decimal" operator="greaterThan" allowBlank="1" showInputMessage="1" showErrorMessage="1" sqref="D6350">
      <formula1>0</formula1>
    </dataValidation>
    <dataValidation type="decimal" operator="greaterThan" allowBlank="1" showInputMessage="1" showErrorMessage="1" sqref="E6350">
      <formula1>0</formula1>
    </dataValidation>
    <dataValidation type="whole" operator="greaterThan" allowBlank="1" showInputMessage="1" showErrorMessage="1" sqref="A6351">
      <formula1>0</formula1>
    </dataValidation>
    <dataValidation type="list" allowBlank="1" showInputMessage="1" showErrorMessage="1" sqref="C6351">
      <formula1>UnidadesList</formula1>
    </dataValidation>
    <dataValidation type="decimal" operator="greaterThan" allowBlank="1" showInputMessage="1" showErrorMessage="1" sqref="D6351">
      <formula1>0</formula1>
    </dataValidation>
    <dataValidation type="decimal" operator="greaterThan" allowBlank="1" showInputMessage="1" showErrorMessage="1" sqref="E6351">
      <formula1>0</formula1>
    </dataValidation>
    <dataValidation type="whole" operator="greaterThan" allowBlank="1" showInputMessage="1" showErrorMessage="1" sqref="A6352">
      <formula1>0</formula1>
    </dataValidation>
    <dataValidation type="list" allowBlank="1" showInputMessage="1" showErrorMessage="1" sqref="C6352">
      <formula1>UnidadesList</formula1>
    </dataValidation>
    <dataValidation type="decimal" operator="greaterThan" allowBlank="1" showInputMessage="1" showErrorMessage="1" sqref="D6352">
      <formula1>0</formula1>
    </dataValidation>
    <dataValidation type="decimal" operator="greaterThan" allowBlank="1" showInputMessage="1" showErrorMessage="1" sqref="E6352">
      <formula1>0</formula1>
    </dataValidation>
    <dataValidation type="whole" operator="greaterThan" allowBlank="1" showInputMessage="1" showErrorMessage="1" sqref="A6353">
      <formula1>0</formula1>
    </dataValidation>
    <dataValidation type="list" allowBlank="1" showInputMessage="1" showErrorMessage="1" sqref="C6353">
      <formula1>UnidadesList</formula1>
    </dataValidation>
    <dataValidation type="decimal" operator="greaterThan" allowBlank="1" showInputMessage="1" showErrorMessage="1" sqref="D6353">
      <formula1>0</formula1>
    </dataValidation>
    <dataValidation type="decimal" operator="greaterThan" allowBlank="1" showInputMessage="1" showErrorMessage="1" sqref="E6353">
      <formula1>0</formula1>
    </dataValidation>
    <dataValidation type="whole" operator="greaterThan" allowBlank="1" showInputMessage="1" showErrorMessage="1" sqref="A6354">
      <formula1>0</formula1>
    </dataValidation>
    <dataValidation type="list" allowBlank="1" showInputMessage="1" showErrorMessage="1" sqref="C6354">
      <formula1>UnidadesList</formula1>
    </dataValidation>
    <dataValidation type="decimal" operator="greaterThan" allowBlank="1" showInputMessage="1" showErrorMessage="1" sqref="D6354">
      <formula1>0</formula1>
    </dataValidation>
    <dataValidation type="decimal" operator="greaterThan" allowBlank="1" showInputMessage="1" showErrorMessage="1" sqref="E6354">
      <formula1>0</formula1>
    </dataValidation>
    <dataValidation type="whole" operator="greaterThan" allowBlank="1" showInputMessage="1" showErrorMessage="1" sqref="A6355">
      <formula1>0</formula1>
    </dataValidation>
    <dataValidation type="list" allowBlank="1" showInputMessage="1" showErrorMessage="1" sqref="C6355">
      <formula1>UnidadesList</formula1>
    </dataValidation>
    <dataValidation type="decimal" operator="greaterThan" allowBlank="1" showInputMessage="1" showErrorMessage="1" sqref="D6355">
      <formula1>0</formula1>
    </dataValidation>
    <dataValidation type="decimal" operator="greaterThan" allowBlank="1" showInputMessage="1" showErrorMessage="1" sqref="E6355">
      <formula1>0</formula1>
    </dataValidation>
    <dataValidation type="whole" operator="greaterThan" allowBlank="1" showInputMessage="1" showErrorMessage="1" sqref="A6356">
      <formula1>0</formula1>
    </dataValidation>
    <dataValidation type="list" allowBlank="1" showInputMessage="1" showErrorMessage="1" sqref="C6356">
      <formula1>UnidadesList</formula1>
    </dataValidation>
    <dataValidation type="decimal" operator="greaterThan" allowBlank="1" showInputMessage="1" showErrorMessage="1" sqref="D6356">
      <formula1>0</formula1>
    </dataValidation>
    <dataValidation type="decimal" operator="greaterThan" allowBlank="1" showInputMessage="1" showErrorMessage="1" sqref="E6356">
      <formula1>0</formula1>
    </dataValidation>
    <dataValidation type="whole" operator="greaterThan" allowBlank="1" showInputMessage="1" showErrorMessage="1" sqref="A6357">
      <formula1>0</formula1>
    </dataValidation>
    <dataValidation type="list" allowBlank="1" showInputMessage="1" showErrorMessage="1" sqref="C6357">
      <formula1>UnidadesList</formula1>
    </dataValidation>
    <dataValidation type="decimal" operator="greaterThan" allowBlank="1" showInputMessage="1" showErrorMessage="1" sqref="D6357">
      <formula1>0</formula1>
    </dataValidation>
    <dataValidation type="decimal" operator="greaterThan" allowBlank="1" showInputMessage="1" showErrorMessage="1" sqref="E6357">
      <formula1>0</formula1>
    </dataValidation>
    <dataValidation type="whole" operator="greaterThan" allowBlank="1" showInputMessage="1" showErrorMessage="1" sqref="A6358">
      <formula1>0</formula1>
    </dataValidation>
    <dataValidation type="list" allowBlank="1" showInputMessage="1" showErrorMessage="1" sqref="C6358">
      <formula1>UnidadesList</formula1>
    </dataValidation>
    <dataValidation type="decimal" operator="greaterThan" allowBlank="1" showInputMessage="1" showErrorMessage="1" sqref="D6358">
      <formula1>0</formula1>
    </dataValidation>
    <dataValidation type="decimal" operator="greaterThan" allowBlank="1" showInputMessage="1" showErrorMessage="1" sqref="E6358">
      <formula1>0</formula1>
    </dataValidation>
    <dataValidation type="whole" operator="greaterThan" allowBlank="1" showInputMessage="1" showErrorMessage="1" sqref="A6359">
      <formula1>0</formula1>
    </dataValidation>
    <dataValidation type="list" allowBlank="1" showInputMessage="1" showErrorMessage="1" sqref="C6359">
      <formula1>UnidadesList</formula1>
    </dataValidation>
    <dataValidation type="decimal" operator="greaterThan" allowBlank="1" showInputMessage="1" showErrorMessage="1" sqref="D6359">
      <formula1>0</formula1>
    </dataValidation>
    <dataValidation type="decimal" operator="greaterThan" allowBlank="1" showInputMessage="1" showErrorMessage="1" sqref="E6359">
      <formula1>0</formula1>
    </dataValidation>
    <dataValidation type="whole" operator="greaterThan" allowBlank="1" showInputMessage="1" showErrorMessage="1" sqref="A6360">
      <formula1>0</formula1>
    </dataValidation>
    <dataValidation type="list" allowBlank="1" showInputMessage="1" showErrorMessage="1" sqref="C6360">
      <formula1>UnidadesList</formula1>
    </dataValidation>
    <dataValidation type="decimal" operator="greaterThan" allowBlank="1" showInputMessage="1" showErrorMessage="1" sqref="D6360">
      <formula1>0</formula1>
    </dataValidation>
    <dataValidation type="decimal" operator="greaterThan" allowBlank="1" showInputMessage="1" showErrorMessage="1" sqref="E6360">
      <formula1>0</formula1>
    </dataValidation>
    <dataValidation type="whole" operator="greaterThan" allowBlank="1" showInputMessage="1" showErrorMessage="1" sqref="A6361">
      <formula1>0</formula1>
    </dataValidation>
    <dataValidation type="list" allowBlank="1" showInputMessage="1" showErrorMessage="1" sqref="C6361">
      <formula1>UnidadesList</formula1>
    </dataValidation>
    <dataValidation type="decimal" operator="greaterThan" allowBlank="1" showInputMessage="1" showErrorMessage="1" sqref="D6361">
      <formula1>0</formula1>
    </dataValidation>
    <dataValidation type="decimal" operator="greaterThan" allowBlank="1" showInputMessage="1" showErrorMessage="1" sqref="E6361">
      <formula1>0</formula1>
    </dataValidation>
    <dataValidation type="whole" operator="greaterThan" allowBlank="1" showInputMessage="1" showErrorMessage="1" sqref="A6362">
      <formula1>0</formula1>
    </dataValidation>
    <dataValidation type="list" allowBlank="1" showInputMessage="1" showErrorMessage="1" sqref="C6362">
      <formula1>UnidadesList</formula1>
    </dataValidation>
    <dataValidation type="decimal" operator="greaterThan" allowBlank="1" showInputMessage="1" showErrorMessage="1" sqref="D6362">
      <formula1>0</formula1>
    </dataValidation>
    <dataValidation type="decimal" operator="greaterThan" allowBlank="1" showInputMessage="1" showErrorMessage="1" sqref="E6362">
      <formula1>0</formula1>
    </dataValidation>
    <dataValidation type="whole" operator="greaterThan" allowBlank="1" showInputMessage="1" showErrorMessage="1" sqref="A6363">
      <formula1>0</formula1>
    </dataValidation>
    <dataValidation type="list" allowBlank="1" showInputMessage="1" showErrorMessage="1" sqref="C6363">
      <formula1>UnidadesList</formula1>
    </dataValidation>
    <dataValidation type="decimal" operator="greaterThan" allowBlank="1" showInputMessage="1" showErrorMessage="1" sqref="D6363">
      <formula1>0</formula1>
    </dataValidation>
    <dataValidation type="decimal" operator="greaterThan" allowBlank="1" showInputMessage="1" showErrorMessage="1" sqref="E6363">
      <formula1>0</formula1>
    </dataValidation>
    <dataValidation type="whole" operator="greaterThan" allowBlank="1" showInputMessage="1" showErrorMessage="1" sqref="A6364">
      <formula1>0</formula1>
    </dataValidation>
    <dataValidation type="list" allowBlank="1" showInputMessage="1" showErrorMessage="1" sqref="C6364">
      <formula1>UnidadesList</formula1>
    </dataValidation>
    <dataValidation type="decimal" operator="greaterThan" allowBlank="1" showInputMessage="1" showErrorMessage="1" sqref="D6364">
      <formula1>0</formula1>
    </dataValidation>
    <dataValidation type="decimal" operator="greaterThan" allowBlank="1" showInputMessage="1" showErrorMessage="1" sqref="E6364">
      <formula1>0</formula1>
    </dataValidation>
    <dataValidation type="whole" operator="greaterThan" allowBlank="1" showInputMessage="1" showErrorMessage="1" sqref="A6365">
      <formula1>0</formula1>
    </dataValidation>
    <dataValidation type="list" allowBlank="1" showInputMessage="1" showErrorMessage="1" sqref="C6365">
      <formula1>UnidadesList</formula1>
    </dataValidation>
    <dataValidation type="decimal" operator="greaterThan" allowBlank="1" showInputMessage="1" showErrorMessage="1" sqref="D6365">
      <formula1>0</formula1>
    </dataValidation>
    <dataValidation type="decimal" operator="greaterThan" allowBlank="1" showInputMessage="1" showErrorMessage="1" sqref="E6365">
      <formula1>0</formula1>
    </dataValidation>
    <dataValidation type="date" operator="lessThanOrEqual" allowBlank="1" showInputMessage="1" showErrorMessage="1" sqref="C6370">
      <formula1>C6372</formula1>
    </dataValidation>
    <dataValidation type="date" operator="greaterThanOrEqual" allowBlank="1" showInputMessage="1" showErrorMessage="1" sqref="C6372">
      <formula1>C6370</formula1>
    </dataValidation>
    <dataValidation type="list" allowBlank="1" showInputMessage="1" showErrorMessage="1" sqref="F637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37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37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37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376">
      <formula1>0</formula1>
    </dataValidation>
    <dataValidation type="list" allowBlank="1" showInputMessage="1" showErrorMessage="1" sqref="C6376">
      <formula1>UnidadesList</formula1>
    </dataValidation>
    <dataValidation type="decimal" operator="greaterThan" allowBlank="1" showInputMessage="1" showErrorMessage="1" sqref="D6376">
      <formula1>0</formula1>
    </dataValidation>
    <dataValidation type="decimal" operator="greaterThan" allowBlank="1" showInputMessage="1" showErrorMessage="1" sqref="E6376">
      <formula1>0</formula1>
    </dataValidation>
    <dataValidation type="whole" operator="greaterThan" allowBlank="1" showInputMessage="1" showErrorMessage="1" sqref="A6377">
      <formula1>0</formula1>
    </dataValidation>
    <dataValidation type="list" allowBlank="1" showInputMessage="1" showErrorMessage="1" sqref="C6377">
      <formula1>UnidadesList</formula1>
    </dataValidation>
    <dataValidation type="decimal" operator="greaterThan" allowBlank="1" showInputMessage="1" showErrorMessage="1" sqref="D6377">
      <formula1>0</formula1>
    </dataValidation>
    <dataValidation type="decimal" operator="greaterThan" allowBlank="1" showInputMessage="1" showErrorMessage="1" sqref="E6377">
      <formula1>0</formula1>
    </dataValidation>
    <dataValidation type="whole" operator="greaterThan" allowBlank="1" showInputMessage="1" showErrorMessage="1" sqref="A6378">
      <formula1>0</formula1>
    </dataValidation>
    <dataValidation type="list" allowBlank="1" showInputMessage="1" showErrorMessage="1" sqref="C6378">
      <formula1>UnidadesList</formula1>
    </dataValidation>
    <dataValidation type="decimal" operator="greaterThan" allowBlank="1" showInputMessage="1" showErrorMessage="1" sqref="D6378">
      <formula1>0</formula1>
    </dataValidation>
    <dataValidation type="decimal" operator="greaterThan" allowBlank="1" showInputMessage="1" showErrorMessage="1" sqref="E6378">
      <formula1>0</formula1>
    </dataValidation>
    <dataValidation type="whole" operator="greaterThan" allowBlank="1" showInputMessage="1" showErrorMessage="1" sqref="A6379">
      <formula1>0</formula1>
    </dataValidation>
    <dataValidation type="list" allowBlank="1" showInputMessage="1" showErrorMessage="1" sqref="C6379">
      <formula1>UnidadesList</formula1>
    </dataValidation>
    <dataValidation type="decimal" operator="greaterThan" allowBlank="1" showInputMessage="1" showErrorMessage="1" sqref="D6379">
      <formula1>0</formula1>
    </dataValidation>
    <dataValidation type="decimal" operator="greaterThan" allowBlank="1" showInputMessage="1" showErrorMessage="1" sqref="E6379">
      <formula1>0</formula1>
    </dataValidation>
    <dataValidation type="whole" operator="greaterThan" allowBlank="1" showInputMessage="1" showErrorMessage="1" sqref="A6380">
      <formula1>0</formula1>
    </dataValidation>
    <dataValidation type="list" allowBlank="1" showInputMessage="1" showErrorMessage="1" sqref="C6380">
      <formula1>UnidadesList</formula1>
    </dataValidation>
    <dataValidation type="decimal" operator="greaterThan" allowBlank="1" showInputMessage="1" showErrorMessage="1" sqref="D6380">
      <formula1>0</formula1>
    </dataValidation>
    <dataValidation type="decimal" operator="greaterThan" allowBlank="1" showInputMessage="1" showErrorMessage="1" sqref="E6380">
      <formula1>0</formula1>
    </dataValidation>
    <dataValidation type="whole" operator="greaterThan" allowBlank="1" showInputMessage="1" showErrorMessage="1" sqref="A6381">
      <formula1>0</formula1>
    </dataValidation>
    <dataValidation type="list" allowBlank="1" showInputMessage="1" showErrorMessage="1" sqref="C6381">
      <formula1>UnidadesList</formula1>
    </dataValidation>
    <dataValidation type="decimal" operator="greaterThan" allowBlank="1" showInputMessage="1" showErrorMessage="1" sqref="D6381">
      <formula1>0</formula1>
    </dataValidation>
    <dataValidation type="decimal" operator="greaterThan" allowBlank="1" showInputMessage="1" showErrorMessage="1" sqref="E6381">
      <formula1>0</formula1>
    </dataValidation>
    <dataValidation type="whole" operator="greaterThan" allowBlank="1" showInputMessage="1" showErrorMessage="1" sqref="A6382">
      <formula1>0</formula1>
    </dataValidation>
    <dataValidation type="list" allowBlank="1" showInputMessage="1" showErrorMessage="1" sqref="C6382">
      <formula1>UnidadesList</formula1>
    </dataValidation>
    <dataValidation type="decimal" operator="greaterThan" allowBlank="1" showInputMessage="1" showErrorMessage="1" sqref="D6382">
      <formula1>0</formula1>
    </dataValidation>
    <dataValidation type="decimal" operator="greaterThan" allowBlank="1" showInputMessage="1" showErrorMessage="1" sqref="E6382">
      <formula1>0</formula1>
    </dataValidation>
    <dataValidation type="whole" operator="greaterThan" allowBlank="1" showInputMessage="1" showErrorMessage="1" sqref="A6383">
      <formula1>0</formula1>
    </dataValidation>
    <dataValidation type="list" allowBlank="1" showInputMessage="1" showErrorMessage="1" sqref="C6383">
      <formula1>UnidadesList</formula1>
    </dataValidation>
    <dataValidation type="decimal" operator="greaterThan" allowBlank="1" showInputMessage="1" showErrorMessage="1" sqref="D6383">
      <formula1>0</formula1>
    </dataValidation>
    <dataValidation type="decimal" operator="greaterThan" allowBlank="1" showInputMessage="1" showErrorMessage="1" sqref="E6383">
      <formula1>0</formula1>
    </dataValidation>
    <dataValidation type="whole" operator="greaterThan" allowBlank="1" showInputMessage="1" showErrorMessage="1" sqref="A6384">
      <formula1>0</formula1>
    </dataValidation>
    <dataValidation type="list" allowBlank="1" showInputMessage="1" showErrorMessage="1" sqref="C6384">
      <formula1>UnidadesList</formula1>
    </dataValidation>
    <dataValidation type="decimal" operator="greaterThan" allowBlank="1" showInputMessage="1" showErrorMessage="1" sqref="D6384">
      <formula1>0</formula1>
    </dataValidation>
    <dataValidation type="decimal" operator="greaterThan" allowBlank="1" showInputMessage="1" showErrorMessage="1" sqref="E6384">
      <formula1>0</formula1>
    </dataValidation>
    <dataValidation type="whole" operator="greaterThan" allowBlank="1" showInputMessage="1" showErrorMessage="1" sqref="A6385">
      <formula1>0</formula1>
    </dataValidation>
    <dataValidation type="list" allowBlank="1" showInputMessage="1" showErrorMessage="1" sqref="C6385">
      <formula1>UnidadesList</formula1>
    </dataValidation>
    <dataValidation type="decimal" operator="greaterThan" allowBlank="1" showInputMessage="1" showErrorMessage="1" sqref="D6385">
      <formula1>0</formula1>
    </dataValidation>
    <dataValidation type="decimal" operator="greaterThan" allowBlank="1" showInputMessage="1" showErrorMessage="1" sqref="E6385">
      <formula1>0</formula1>
    </dataValidation>
    <dataValidation type="whole" operator="greaterThan" allowBlank="1" showInputMessage="1" showErrorMessage="1" sqref="A6386">
      <formula1>0</formula1>
    </dataValidation>
    <dataValidation type="list" allowBlank="1" showInputMessage="1" showErrorMessage="1" sqref="C6386">
      <formula1>UnidadesList</formula1>
    </dataValidation>
    <dataValidation type="decimal" operator="greaterThan" allowBlank="1" showInputMessage="1" showErrorMessage="1" sqref="D6386">
      <formula1>0</formula1>
    </dataValidation>
    <dataValidation type="decimal" operator="greaterThan" allowBlank="1" showInputMessage="1" showErrorMessage="1" sqref="E6386">
      <formula1>0</formula1>
    </dataValidation>
    <dataValidation type="whole" operator="greaterThan" allowBlank="1" showInputMessage="1" showErrorMessage="1" sqref="A6387">
      <formula1>0</formula1>
    </dataValidation>
    <dataValidation type="list" allowBlank="1" showInputMessage="1" showErrorMessage="1" sqref="C6387">
      <formula1>UnidadesList</formula1>
    </dataValidation>
    <dataValidation type="decimal" operator="greaterThan" allowBlank="1" showInputMessage="1" showErrorMessage="1" sqref="D6387">
      <formula1>0</formula1>
    </dataValidation>
    <dataValidation type="decimal" operator="greaterThan" allowBlank="1" showInputMessage="1" showErrorMessage="1" sqref="E6387">
      <formula1>0</formula1>
    </dataValidation>
    <dataValidation type="whole" operator="greaterThan" allowBlank="1" showInputMessage="1" showErrorMessage="1" sqref="A6388">
      <formula1>0</formula1>
    </dataValidation>
    <dataValidation type="list" allowBlank="1" showInputMessage="1" showErrorMessage="1" sqref="C6388">
      <formula1>UnidadesList</formula1>
    </dataValidation>
    <dataValidation type="decimal" operator="greaterThan" allowBlank="1" showInputMessage="1" showErrorMessage="1" sqref="D6388">
      <formula1>0</formula1>
    </dataValidation>
    <dataValidation type="decimal" operator="greaterThan" allowBlank="1" showInputMessage="1" showErrorMessage="1" sqref="E6388">
      <formula1>0</formula1>
    </dataValidation>
    <dataValidation type="whole" operator="greaterThan" allowBlank="1" showInputMessage="1" showErrorMessage="1" sqref="A6389">
      <formula1>0</formula1>
    </dataValidation>
    <dataValidation type="list" allowBlank="1" showInputMessage="1" showErrorMessage="1" sqref="C6389">
      <formula1>UnidadesList</formula1>
    </dataValidation>
    <dataValidation type="decimal" operator="greaterThan" allowBlank="1" showInputMessage="1" showErrorMessage="1" sqref="D6389">
      <formula1>0</formula1>
    </dataValidation>
    <dataValidation type="decimal" operator="greaterThan" allowBlank="1" showInputMessage="1" showErrorMessage="1" sqref="E6389">
      <formula1>0</formula1>
    </dataValidation>
    <dataValidation type="whole" operator="greaterThan" allowBlank="1" showInputMessage="1" showErrorMessage="1" sqref="A6390">
      <formula1>0</formula1>
    </dataValidation>
    <dataValidation type="list" allowBlank="1" showInputMessage="1" showErrorMessage="1" sqref="C6390">
      <formula1>UnidadesList</formula1>
    </dataValidation>
    <dataValidation type="decimal" operator="greaterThan" allowBlank="1" showInputMessage="1" showErrorMessage="1" sqref="D6390">
      <formula1>0</formula1>
    </dataValidation>
    <dataValidation type="decimal" operator="greaterThan" allowBlank="1" showInputMessage="1" showErrorMessage="1" sqref="E6390">
      <formula1>0</formula1>
    </dataValidation>
    <dataValidation type="whole" operator="greaterThan" allowBlank="1" showInputMessage="1" showErrorMessage="1" sqref="A6391">
      <formula1>0</formula1>
    </dataValidation>
    <dataValidation type="list" allowBlank="1" showInputMessage="1" showErrorMessage="1" sqref="C6391">
      <formula1>UnidadesList</formula1>
    </dataValidation>
    <dataValidation type="decimal" operator="greaterThan" allowBlank="1" showInputMessage="1" showErrorMessage="1" sqref="D6391">
      <formula1>0</formula1>
    </dataValidation>
    <dataValidation type="decimal" operator="greaterThan" allowBlank="1" showInputMessage="1" showErrorMessage="1" sqref="E6391">
      <formula1>0</formula1>
    </dataValidation>
    <dataValidation type="whole" operator="greaterThan" allowBlank="1" showInputMessage="1" showErrorMessage="1" sqref="A6392">
      <formula1>0</formula1>
    </dataValidation>
    <dataValidation type="list" allowBlank="1" showInputMessage="1" showErrorMessage="1" sqref="C6392">
      <formula1>UnidadesList</formula1>
    </dataValidation>
    <dataValidation type="decimal" operator="greaterThan" allowBlank="1" showInputMessage="1" showErrorMessage="1" sqref="D6392">
      <formula1>0</formula1>
    </dataValidation>
    <dataValidation type="decimal" operator="greaterThan" allowBlank="1" showInputMessage="1" showErrorMessage="1" sqref="E6392">
      <formula1>0</formula1>
    </dataValidation>
    <dataValidation type="whole" operator="greaterThan" allowBlank="1" showInputMessage="1" showErrorMessage="1" sqref="A6393">
      <formula1>0</formula1>
    </dataValidation>
    <dataValidation type="list" allowBlank="1" showInputMessage="1" showErrorMessage="1" sqref="C6393">
      <formula1>UnidadesList</formula1>
    </dataValidation>
    <dataValidation type="decimal" operator="greaterThan" allowBlank="1" showInputMessage="1" showErrorMessage="1" sqref="D6393">
      <formula1>0</formula1>
    </dataValidation>
    <dataValidation type="decimal" operator="greaterThan" allowBlank="1" showInputMessage="1" showErrorMessage="1" sqref="E6393">
      <formula1>0</formula1>
    </dataValidation>
    <dataValidation type="whole" operator="greaterThan" allowBlank="1" showInputMessage="1" showErrorMessage="1" sqref="A6394">
      <formula1>0</formula1>
    </dataValidation>
    <dataValidation type="list" allowBlank="1" showInputMessage="1" showErrorMessage="1" sqref="C6394">
      <formula1>UnidadesList</formula1>
    </dataValidation>
    <dataValidation type="decimal" operator="greaterThan" allowBlank="1" showInputMessage="1" showErrorMessage="1" sqref="D6394">
      <formula1>0</formula1>
    </dataValidation>
    <dataValidation type="decimal" operator="greaterThan" allowBlank="1" showInputMessage="1" showErrorMessage="1" sqref="E6394">
      <formula1>0</formula1>
    </dataValidation>
    <dataValidation type="whole" operator="greaterThan" allowBlank="1" showInputMessage="1" showErrorMessage="1" sqref="A6395">
      <formula1>0</formula1>
    </dataValidation>
    <dataValidation type="list" allowBlank="1" showInputMessage="1" showErrorMessage="1" sqref="C6395">
      <formula1>UnidadesList</formula1>
    </dataValidation>
    <dataValidation type="decimal" operator="greaterThan" allowBlank="1" showInputMessage="1" showErrorMessage="1" sqref="D6395">
      <formula1>0</formula1>
    </dataValidation>
    <dataValidation type="decimal" operator="greaterThan" allowBlank="1" showInputMessage="1" showErrorMessage="1" sqref="E6395">
      <formula1>0</formula1>
    </dataValidation>
    <dataValidation type="whole" operator="greaterThan" allowBlank="1" showInputMessage="1" showErrorMessage="1" sqref="A6396">
      <formula1>0</formula1>
    </dataValidation>
    <dataValidation type="list" allowBlank="1" showInputMessage="1" showErrorMessage="1" sqref="C6396">
      <formula1>UnidadesList</formula1>
    </dataValidation>
    <dataValidation type="decimal" operator="greaterThan" allowBlank="1" showInputMessage="1" showErrorMessage="1" sqref="D6396">
      <formula1>0</formula1>
    </dataValidation>
    <dataValidation type="decimal" operator="greaterThan" allowBlank="1" showInputMessage="1" showErrorMessage="1" sqref="E6396">
      <formula1>0</formula1>
    </dataValidation>
    <dataValidation type="whole" operator="greaterThan" allowBlank="1" showInputMessage="1" showErrorMessage="1" sqref="A6397">
      <formula1>0</formula1>
    </dataValidation>
    <dataValidation type="list" allowBlank="1" showInputMessage="1" showErrorMessage="1" sqref="C6397">
      <formula1>UnidadesList</formula1>
    </dataValidation>
    <dataValidation type="decimal" operator="greaterThan" allowBlank="1" showInputMessage="1" showErrorMessage="1" sqref="D6397">
      <formula1>0</formula1>
    </dataValidation>
    <dataValidation type="decimal" operator="greaterThan" allowBlank="1" showInputMessage="1" showErrorMessage="1" sqref="E6397">
      <formula1>0</formula1>
    </dataValidation>
    <dataValidation type="whole" operator="greaterThan" allowBlank="1" showInputMessage="1" showErrorMessage="1" sqref="A6398">
      <formula1>0</formula1>
    </dataValidation>
    <dataValidation type="list" allowBlank="1" showInputMessage="1" showErrorMessage="1" sqref="C6398">
      <formula1>UnidadesList</formula1>
    </dataValidation>
    <dataValidation type="decimal" operator="greaterThan" allowBlank="1" showInputMessage="1" showErrorMessage="1" sqref="D6398">
      <formula1>0</formula1>
    </dataValidation>
    <dataValidation type="decimal" operator="greaterThan" allowBlank="1" showInputMessage="1" showErrorMessage="1" sqref="E6398">
      <formula1>0</formula1>
    </dataValidation>
    <dataValidation type="whole" operator="greaterThan" allowBlank="1" showInputMessage="1" showErrorMessage="1" sqref="A6399">
      <formula1>0</formula1>
    </dataValidation>
    <dataValidation type="list" allowBlank="1" showInputMessage="1" showErrorMessage="1" sqref="C6399">
      <formula1>UnidadesList</formula1>
    </dataValidation>
    <dataValidation type="decimal" operator="greaterThan" allowBlank="1" showInputMessage="1" showErrorMessage="1" sqref="D6399">
      <formula1>0</formula1>
    </dataValidation>
    <dataValidation type="decimal" operator="greaterThan" allowBlank="1" showInputMessage="1" showErrorMessage="1" sqref="E6399">
      <formula1>0</formula1>
    </dataValidation>
    <dataValidation type="whole" operator="greaterThan" allowBlank="1" showInputMessage="1" showErrorMessage="1" sqref="A6400">
      <formula1>0</formula1>
    </dataValidation>
    <dataValidation type="list" allowBlank="1" showInputMessage="1" showErrorMessage="1" sqref="C6400">
      <formula1>UnidadesList</formula1>
    </dataValidation>
    <dataValidation type="decimal" operator="greaterThan" allowBlank="1" showInputMessage="1" showErrorMessage="1" sqref="D6400">
      <formula1>0</formula1>
    </dataValidation>
    <dataValidation type="decimal" operator="greaterThan" allowBlank="1" showInputMessage="1" showErrorMessage="1" sqref="E6400">
      <formula1>0</formula1>
    </dataValidation>
    <dataValidation type="whole" operator="greaterThan" allowBlank="1" showInputMessage="1" showErrorMessage="1" sqref="A6401">
      <formula1>0</formula1>
    </dataValidation>
    <dataValidation type="list" allowBlank="1" showInputMessage="1" showErrorMessage="1" sqref="C6401">
      <formula1>UnidadesList</formula1>
    </dataValidation>
    <dataValidation type="decimal" operator="greaterThan" allowBlank="1" showInputMessage="1" showErrorMessage="1" sqref="D6401">
      <formula1>0</formula1>
    </dataValidation>
    <dataValidation type="decimal" operator="greaterThan" allowBlank="1" showInputMessage="1" showErrorMessage="1" sqref="E6401">
      <formula1>0</formula1>
    </dataValidation>
    <dataValidation type="whole" operator="greaterThan" allowBlank="1" showInputMessage="1" showErrorMessage="1" sqref="A6402">
      <formula1>0</formula1>
    </dataValidation>
    <dataValidation type="list" allowBlank="1" showInputMessage="1" showErrorMessage="1" sqref="C6402">
      <formula1>UnidadesList</formula1>
    </dataValidation>
    <dataValidation type="decimal" operator="greaterThan" allowBlank="1" showInputMessage="1" showErrorMessage="1" sqref="D6402">
      <formula1>0</formula1>
    </dataValidation>
    <dataValidation type="decimal" operator="greaterThan" allowBlank="1" showInputMessage="1" showErrorMessage="1" sqref="E6402">
      <formula1>0</formula1>
    </dataValidation>
    <dataValidation type="whole" operator="greaterThan" allowBlank="1" showInputMessage="1" showErrorMessage="1" sqref="A6403">
      <formula1>0</formula1>
    </dataValidation>
    <dataValidation type="list" allowBlank="1" showInputMessage="1" showErrorMessage="1" sqref="C6403">
      <formula1>UnidadesList</formula1>
    </dataValidation>
    <dataValidation type="decimal" operator="greaterThan" allowBlank="1" showInputMessage="1" showErrorMessage="1" sqref="D6403">
      <formula1>0</formula1>
    </dataValidation>
    <dataValidation type="decimal" operator="greaterThan" allowBlank="1" showInputMessage="1" showErrorMessage="1" sqref="E6403">
      <formula1>0</formula1>
    </dataValidation>
    <dataValidation type="whole" operator="greaterThan" allowBlank="1" showInputMessage="1" showErrorMessage="1" sqref="A6404">
      <formula1>0</formula1>
    </dataValidation>
    <dataValidation type="list" allowBlank="1" showInputMessage="1" showErrorMessage="1" sqref="C6404">
      <formula1>UnidadesList</formula1>
    </dataValidation>
    <dataValidation type="decimal" operator="greaterThan" allowBlank="1" showInputMessage="1" showErrorMessage="1" sqref="D6404">
      <formula1>0</formula1>
    </dataValidation>
    <dataValidation type="decimal" operator="greaterThan" allowBlank="1" showInputMessage="1" showErrorMessage="1" sqref="E6404">
      <formula1>0</formula1>
    </dataValidation>
    <dataValidation type="whole" operator="greaterThan" allowBlank="1" showInputMessage="1" showErrorMessage="1" sqref="A6405">
      <formula1>0</formula1>
    </dataValidation>
    <dataValidation type="list" allowBlank="1" showInputMessage="1" showErrorMessage="1" sqref="C6405">
      <formula1>UnidadesList</formula1>
    </dataValidation>
    <dataValidation type="decimal" operator="greaterThan" allowBlank="1" showInputMessage="1" showErrorMessage="1" sqref="D6405">
      <formula1>0</formula1>
    </dataValidation>
    <dataValidation type="decimal" operator="greaterThan" allowBlank="1" showInputMessage="1" showErrorMessage="1" sqref="E6405">
      <formula1>0</formula1>
    </dataValidation>
    <dataValidation type="whole" operator="greaterThan" allowBlank="1" showInputMessage="1" showErrorMessage="1" sqref="A6406">
      <formula1>0</formula1>
    </dataValidation>
    <dataValidation type="list" allowBlank="1" showInputMessage="1" showErrorMessage="1" sqref="C6406">
      <formula1>UnidadesList</formula1>
    </dataValidation>
    <dataValidation type="decimal" operator="greaterThan" allowBlank="1" showInputMessage="1" showErrorMessage="1" sqref="D6406">
      <formula1>0</formula1>
    </dataValidation>
    <dataValidation type="decimal" operator="greaterThan" allowBlank="1" showInputMessage="1" showErrorMessage="1" sqref="E6406">
      <formula1>0</formula1>
    </dataValidation>
    <dataValidation type="whole" operator="greaterThan" allowBlank="1" showInputMessage="1" showErrorMessage="1" sqref="A6407">
      <formula1>0</formula1>
    </dataValidation>
    <dataValidation type="list" allowBlank="1" showInputMessage="1" showErrorMessage="1" sqref="C6407">
      <formula1>UnidadesList</formula1>
    </dataValidation>
    <dataValidation type="decimal" operator="greaterThan" allowBlank="1" showInputMessage="1" showErrorMessage="1" sqref="D6407">
      <formula1>0</formula1>
    </dataValidation>
    <dataValidation type="decimal" operator="greaterThan" allowBlank="1" showInputMessage="1" showErrorMessage="1" sqref="E6407">
      <formula1>0</formula1>
    </dataValidation>
    <dataValidation type="whole" operator="greaterThan" allowBlank="1" showInputMessage="1" showErrorMessage="1" sqref="A6408">
      <formula1>0</formula1>
    </dataValidation>
    <dataValidation type="list" allowBlank="1" showInputMessage="1" showErrorMessage="1" sqref="C6408">
      <formula1>UnidadesList</formula1>
    </dataValidation>
    <dataValidation type="decimal" operator="greaterThan" allowBlank="1" showInputMessage="1" showErrorMessage="1" sqref="D6408">
      <formula1>0</formula1>
    </dataValidation>
    <dataValidation type="decimal" operator="greaterThan" allowBlank="1" showInputMessage="1" showErrorMessage="1" sqref="E6408">
      <formula1>0</formula1>
    </dataValidation>
    <dataValidation type="whole" operator="greaterThan" allowBlank="1" showInputMessage="1" showErrorMessage="1" sqref="A6409">
      <formula1>0</formula1>
    </dataValidation>
    <dataValidation type="list" allowBlank="1" showInputMessage="1" showErrorMessage="1" sqref="C6409">
      <formula1>UnidadesList</formula1>
    </dataValidation>
    <dataValidation type="decimal" operator="greaterThan" allowBlank="1" showInputMessage="1" showErrorMessage="1" sqref="D6409">
      <formula1>0</formula1>
    </dataValidation>
    <dataValidation type="decimal" operator="greaterThan" allowBlank="1" showInputMessage="1" showErrorMessage="1" sqref="E6409">
      <formula1>0</formula1>
    </dataValidation>
    <dataValidation type="whole" operator="greaterThan" allowBlank="1" showInputMessage="1" showErrorMessage="1" sqref="A6410">
      <formula1>0</formula1>
    </dataValidation>
    <dataValidation type="list" allowBlank="1" showInputMessage="1" showErrorMessage="1" sqref="C6410">
      <formula1>UnidadesList</formula1>
    </dataValidation>
    <dataValidation type="decimal" operator="greaterThan" allowBlank="1" showInputMessage="1" showErrorMessage="1" sqref="D6410">
      <formula1>0</formula1>
    </dataValidation>
    <dataValidation type="decimal" operator="greaterThan" allowBlank="1" showInputMessage="1" showErrorMessage="1" sqref="E6410">
      <formula1>0</formula1>
    </dataValidation>
    <dataValidation type="whole" operator="greaterThan" allowBlank="1" showInputMessage="1" showErrorMessage="1" sqref="A6411">
      <formula1>0</formula1>
    </dataValidation>
    <dataValidation type="list" allowBlank="1" showInputMessage="1" showErrorMessage="1" sqref="C6411">
      <formula1>UnidadesList</formula1>
    </dataValidation>
    <dataValidation type="decimal" operator="greaterThan" allowBlank="1" showInputMessage="1" showErrorMessage="1" sqref="D6411">
      <formula1>0</formula1>
    </dataValidation>
    <dataValidation type="decimal" operator="greaterThan" allowBlank="1" showInputMessage="1" showErrorMessage="1" sqref="E6411">
      <formula1>0</formula1>
    </dataValidation>
    <dataValidation type="whole" operator="greaterThan" allowBlank="1" showInputMessage="1" showErrorMessage="1" sqref="A6412">
      <formula1>0</formula1>
    </dataValidation>
    <dataValidation type="list" allowBlank="1" showInputMessage="1" showErrorMessage="1" sqref="C6412">
      <formula1>UnidadesList</formula1>
    </dataValidation>
    <dataValidation type="decimal" operator="greaterThan" allowBlank="1" showInputMessage="1" showErrorMessage="1" sqref="D6412">
      <formula1>0</formula1>
    </dataValidation>
    <dataValidation type="decimal" operator="greaterThan" allowBlank="1" showInputMessage="1" showErrorMessage="1" sqref="E6412">
      <formula1>0</formula1>
    </dataValidation>
    <dataValidation type="whole" operator="greaterThan" allowBlank="1" showInputMessage="1" showErrorMessage="1" sqref="A6413">
      <formula1>0</formula1>
    </dataValidation>
    <dataValidation type="list" allowBlank="1" showInputMessage="1" showErrorMessage="1" sqref="C6413">
      <formula1>UnidadesList</formula1>
    </dataValidation>
    <dataValidation type="decimal" operator="greaterThan" allowBlank="1" showInputMessage="1" showErrorMessage="1" sqref="D6413">
      <formula1>0</formula1>
    </dataValidation>
    <dataValidation type="decimal" operator="greaterThan" allowBlank="1" showInputMessage="1" showErrorMessage="1" sqref="E6413">
      <formula1>0</formula1>
    </dataValidation>
    <dataValidation type="whole" operator="greaterThan" allowBlank="1" showInputMessage="1" showErrorMessage="1" sqref="A6414">
      <formula1>0</formula1>
    </dataValidation>
    <dataValidation type="list" allowBlank="1" showInputMessage="1" showErrorMessage="1" sqref="C6414">
      <formula1>UnidadesList</formula1>
    </dataValidation>
    <dataValidation type="decimal" operator="greaterThan" allowBlank="1" showInputMessage="1" showErrorMessage="1" sqref="D6414">
      <formula1>0</formula1>
    </dataValidation>
    <dataValidation type="decimal" operator="greaterThan" allowBlank="1" showInputMessage="1" showErrorMessage="1" sqref="E6414">
      <formula1>0</formula1>
    </dataValidation>
    <dataValidation type="whole" operator="greaterThan" allowBlank="1" showInputMessage="1" showErrorMessage="1" sqref="A6415">
      <formula1>0</formula1>
    </dataValidation>
    <dataValidation type="list" allowBlank="1" showInputMessage="1" showErrorMessage="1" sqref="C6415">
      <formula1>UnidadesList</formula1>
    </dataValidation>
    <dataValidation type="decimal" operator="greaterThan" allowBlank="1" showInputMessage="1" showErrorMessage="1" sqref="D6415">
      <formula1>0</formula1>
    </dataValidation>
    <dataValidation type="decimal" operator="greaterThan" allowBlank="1" showInputMessage="1" showErrorMessage="1" sqref="E6415">
      <formula1>0</formula1>
    </dataValidation>
    <dataValidation type="whole" operator="greaterThan" allowBlank="1" showInputMessage="1" showErrorMessage="1" sqref="A6416">
      <formula1>0</formula1>
    </dataValidation>
    <dataValidation type="list" allowBlank="1" showInputMessage="1" showErrorMessage="1" sqref="C6416">
      <formula1>UnidadesList</formula1>
    </dataValidation>
    <dataValidation type="decimal" operator="greaterThan" allowBlank="1" showInputMessage="1" showErrorMessage="1" sqref="D6416">
      <formula1>0</formula1>
    </dataValidation>
    <dataValidation type="decimal" operator="greaterThan" allowBlank="1" showInputMessage="1" showErrorMessage="1" sqref="E6416">
      <formula1>0</formula1>
    </dataValidation>
    <dataValidation type="whole" operator="greaterThan" allowBlank="1" showInputMessage="1" showErrorMessage="1" sqref="A6417">
      <formula1>0</formula1>
    </dataValidation>
    <dataValidation type="list" allowBlank="1" showInputMessage="1" showErrorMessage="1" sqref="C6417">
      <formula1>UnidadesList</formula1>
    </dataValidation>
    <dataValidation type="decimal" operator="greaterThan" allowBlank="1" showInputMessage="1" showErrorMessage="1" sqref="D6417">
      <formula1>0</formula1>
    </dataValidation>
    <dataValidation type="decimal" operator="greaterThan" allowBlank="1" showInputMessage="1" showErrorMessage="1" sqref="E6417">
      <formula1>0</formula1>
    </dataValidation>
    <dataValidation type="whole" operator="greaterThan" allowBlank="1" showInputMessage="1" showErrorMessage="1" sqref="A6418">
      <formula1>0</formula1>
    </dataValidation>
    <dataValidation type="list" allowBlank="1" showInputMessage="1" showErrorMessage="1" sqref="C6418">
      <formula1>UnidadesList</formula1>
    </dataValidation>
    <dataValidation type="decimal" operator="greaterThan" allowBlank="1" showInputMessage="1" showErrorMessage="1" sqref="D6418">
      <formula1>0</formula1>
    </dataValidation>
    <dataValidation type="decimal" operator="greaterThan" allowBlank="1" showInputMessage="1" showErrorMessage="1" sqref="E6418">
      <formula1>0</formula1>
    </dataValidation>
    <dataValidation type="whole" operator="greaterThan" allowBlank="1" showInputMessage="1" showErrorMessage="1" sqref="A6419">
      <formula1>0</formula1>
    </dataValidation>
    <dataValidation type="list" allowBlank="1" showInputMessage="1" showErrorMessage="1" sqref="C6419">
      <formula1>UnidadesList</formula1>
    </dataValidation>
    <dataValidation type="decimal" operator="greaterThan" allowBlank="1" showInputMessage="1" showErrorMessage="1" sqref="D6419">
      <formula1>0</formula1>
    </dataValidation>
    <dataValidation type="decimal" operator="greaterThan" allowBlank="1" showInputMessage="1" showErrorMessage="1" sqref="E6419">
      <formula1>0</formula1>
    </dataValidation>
    <dataValidation type="whole" operator="greaterThan" allowBlank="1" showInputMessage="1" showErrorMessage="1" sqref="A6420">
      <formula1>0</formula1>
    </dataValidation>
    <dataValidation type="list" allowBlank="1" showInputMessage="1" showErrorMessage="1" sqref="C6420">
      <formula1>UnidadesList</formula1>
    </dataValidation>
    <dataValidation type="decimal" operator="greaterThan" allowBlank="1" showInputMessage="1" showErrorMessage="1" sqref="D6420">
      <formula1>0</formula1>
    </dataValidation>
    <dataValidation type="decimal" operator="greaterThan" allowBlank="1" showInputMessage="1" showErrorMessage="1" sqref="E6420">
      <formula1>0</formula1>
    </dataValidation>
    <dataValidation type="whole" operator="greaterThan" allowBlank="1" showInputMessage="1" showErrorMessage="1" sqref="A6421">
      <formula1>0</formula1>
    </dataValidation>
    <dataValidation type="list" allowBlank="1" showInputMessage="1" showErrorMessage="1" sqref="C6421">
      <formula1>UnidadesList</formula1>
    </dataValidation>
    <dataValidation type="decimal" operator="greaterThan" allowBlank="1" showInputMessage="1" showErrorMessage="1" sqref="D6421">
      <formula1>0</formula1>
    </dataValidation>
    <dataValidation type="decimal" operator="greaterThan" allowBlank="1" showInputMessage="1" showErrorMessage="1" sqref="E6421">
      <formula1>0</formula1>
    </dataValidation>
    <dataValidation type="whole" operator="greaterThan" allowBlank="1" showInputMessage="1" showErrorMessage="1" sqref="A6422">
      <formula1>0</formula1>
    </dataValidation>
    <dataValidation type="list" allowBlank="1" showInputMessage="1" showErrorMessage="1" sqref="C6422">
      <formula1>UnidadesList</formula1>
    </dataValidation>
    <dataValidation type="decimal" operator="greaterThan" allowBlank="1" showInputMessage="1" showErrorMessage="1" sqref="D6422">
      <formula1>0</formula1>
    </dataValidation>
    <dataValidation type="decimal" operator="greaterThan" allowBlank="1" showInputMessage="1" showErrorMessage="1" sqref="E6422">
      <formula1>0</formula1>
    </dataValidation>
    <dataValidation type="whole" operator="greaterThan" allowBlank="1" showInputMessage="1" showErrorMessage="1" sqref="A6423">
      <formula1>0</formula1>
    </dataValidation>
    <dataValidation type="list" allowBlank="1" showInputMessage="1" showErrorMessage="1" sqref="C6423">
      <formula1>UnidadesList</formula1>
    </dataValidation>
    <dataValidation type="decimal" operator="greaterThan" allowBlank="1" showInputMessage="1" showErrorMessage="1" sqref="D6423">
      <formula1>0</formula1>
    </dataValidation>
    <dataValidation type="decimal" operator="greaterThan" allowBlank="1" showInputMessage="1" showErrorMessage="1" sqref="E6423">
      <formula1>0</formula1>
    </dataValidation>
    <dataValidation type="whole" operator="greaterThan" allowBlank="1" showInputMessage="1" showErrorMessage="1" sqref="A6424">
      <formula1>0</formula1>
    </dataValidation>
    <dataValidation type="list" allowBlank="1" showInputMessage="1" showErrorMessage="1" sqref="C6424">
      <formula1>UnidadesList</formula1>
    </dataValidation>
    <dataValidation type="decimal" operator="greaterThan" allowBlank="1" showInputMessage="1" showErrorMessage="1" sqref="D6424">
      <formula1>0</formula1>
    </dataValidation>
    <dataValidation type="decimal" operator="greaterThan" allowBlank="1" showInputMessage="1" showErrorMessage="1" sqref="E6424">
      <formula1>0</formula1>
    </dataValidation>
    <dataValidation type="whole" operator="greaterThan" allowBlank="1" showInputMessage="1" showErrorMessage="1" sqref="A6425">
      <formula1>0</formula1>
    </dataValidation>
    <dataValidation type="list" allowBlank="1" showInputMessage="1" showErrorMessage="1" sqref="C6425">
      <formula1>UnidadesList</formula1>
    </dataValidation>
    <dataValidation type="decimal" operator="greaterThan" allowBlank="1" showInputMessage="1" showErrorMessage="1" sqref="D6425">
      <formula1>0</formula1>
    </dataValidation>
    <dataValidation type="decimal" operator="greaterThan" allowBlank="1" showInputMessage="1" showErrorMessage="1" sqref="E6425">
      <formula1>0</formula1>
    </dataValidation>
    <dataValidation type="whole" operator="greaterThan" allowBlank="1" showInputMessage="1" showErrorMessage="1" sqref="A6426">
      <formula1>0</formula1>
    </dataValidation>
    <dataValidation type="list" allowBlank="1" showInputMessage="1" showErrorMessage="1" sqref="C6426">
      <formula1>UnidadesList</formula1>
    </dataValidation>
    <dataValidation type="decimal" operator="greaterThan" allowBlank="1" showInputMessage="1" showErrorMessage="1" sqref="D6426">
      <formula1>0</formula1>
    </dataValidation>
    <dataValidation type="decimal" operator="greaterThan" allowBlank="1" showInputMessage="1" showErrorMessage="1" sqref="E6426">
      <formula1>0</formula1>
    </dataValidation>
    <dataValidation type="whole" operator="greaterThan" allowBlank="1" showInputMessage="1" showErrorMessage="1" sqref="A6427">
      <formula1>0</formula1>
    </dataValidation>
    <dataValidation type="list" allowBlank="1" showInputMessage="1" showErrorMessage="1" sqref="C6427">
      <formula1>UnidadesList</formula1>
    </dataValidation>
    <dataValidation type="decimal" operator="greaterThan" allowBlank="1" showInputMessage="1" showErrorMessage="1" sqref="D6427">
      <formula1>0</formula1>
    </dataValidation>
    <dataValidation type="decimal" operator="greaterThan" allowBlank="1" showInputMessage="1" showErrorMessage="1" sqref="E6427">
      <formula1>0</formula1>
    </dataValidation>
    <dataValidation type="whole" operator="greaterThan" allowBlank="1" showInputMessage="1" showErrorMessage="1" sqref="A6428">
      <formula1>0</formula1>
    </dataValidation>
    <dataValidation type="list" allowBlank="1" showInputMessage="1" showErrorMessage="1" sqref="C6428">
      <formula1>UnidadesList</formula1>
    </dataValidation>
    <dataValidation type="decimal" operator="greaterThan" allowBlank="1" showInputMessage="1" showErrorMessage="1" sqref="D6428">
      <formula1>0</formula1>
    </dataValidation>
    <dataValidation type="decimal" operator="greaterThan" allowBlank="1" showInputMessage="1" showErrorMessage="1" sqref="E6428">
      <formula1>0</formula1>
    </dataValidation>
    <dataValidation type="whole" operator="greaterThan" allowBlank="1" showInputMessage="1" showErrorMessage="1" sqref="A6429">
      <formula1>0</formula1>
    </dataValidation>
    <dataValidation type="list" allowBlank="1" showInputMessage="1" showErrorMessage="1" sqref="C6429">
      <formula1>UnidadesList</formula1>
    </dataValidation>
    <dataValidation type="decimal" operator="greaterThan" allowBlank="1" showInputMessage="1" showErrorMessage="1" sqref="D6429">
      <formula1>0</formula1>
    </dataValidation>
    <dataValidation type="decimal" operator="greaterThan" allowBlank="1" showInputMessage="1" showErrorMessage="1" sqref="E6429">
      <formula1>0</formula1>
    </dataValidation>
    <dataValidation type="whole" operator="greaterThan" allowBlank="1" showInputMessage="1" showErrorMessage="1" sqref="A6430">
      <formula1>0</formula1>
    </dataValidation>
    <dataValidation type="list" allowBlank="1" showInputMessage="1" showErrorMessage="1" sqref="C6430">
      <formula1>UnidadesList</formula1>
    </dataValidation>
    <dataValidation type="decimal" operator="greaterThan" allowBlank="1" showInputMessage="1" showErrorMessage="1" sqref="D6430">
      <formula1>0</formula1>
    </dataValidation>
    <dataValidation type="decimal" operator="greaterThan" allowBlank="1" showInputMessage="1" showErrorMessage="1" sqref="E6430">
      <formula1>0</formula1>
    </dataValidation>
    <dataValidation type="whole" operator="greaterThan" allowBlank="1" showInputMessage="1" showErrorMessage="1" sqref="A6431">
      <formula1>0</formula1>
    </dataValidation>
    <dataValidation type="list" allowBlank="1" showInputMessage="1" showErrorMessage="1" sqref="C6431">
      <formula1>UnidadesList</formula1>
    </dataValidation>
    <dataValidation type="decimal" operator="greaterThan" allowBlank="1" showInputMessage="1" showErrorMessage="1" sqref="D6431">
      <formula1>0</formula1>
    </dataValidation>
    <dataValidation type="decimal" operator="greaterThan" allowBlank="1" showInputMessage="1" showErrorMessage="1" sqref="E6431">
      <formula1>0</formula1>
    </dataValidation>
    <dataValidation type="whole" operator="greaterThan" allowBlank="1" showInputMessage="1" showErrorMessage="1" sqref="A6432">
      <formula1>0</formula1>
    </dataValidation>
    <dataValidation type="list" allowBlank="1" showInputMessage="1" showErrorMessage="1" sqref="C6432">
      <formula1>UnidadesList</formula1>
    </dataValidation>
    <dataValidation type="decimal" operator="greaterThan" allowBlank="1" showInputMessage="1" showErrorMessage="1" sqref="D6432">
      <formula1>0</formula1>
    </dataValidation>
    <dataValidation type="decimal" operator="greaterThan" allowBlank="1" showInputMessage="1" showErrorMessage="1" sqref="E6432">
      <formula1>0</formula1>
    </dataValidation>
    <dataValidation type="whole" operator="greaterThan" allowBlank="1" showInputMessage="1" showErrorMessage="1" sqref="A6433">
      <formula1>0</formula1>
    </dataValidation>
    <dataValidation type="list" allowBlank="1" showInputMessage="1" showErrorMessage="1" sqref="C6433">
      <formula1>UnidadesList</formula1>
    </dataValidation>
    <dataValidation type="decimal" operator="greaterThan" allowBlank="1" showInputMessage="1" showErrorMessage="1" sqref="D6433">
      <formula1>0</formula1>
    </dataValidation>
    <dataValidation type="decimal" operator="greaterThan" allowBlank="1" showInputMessage="1" showErrorMessage="1" sqref="E6433">
      <formula1>0</formula1>
    </dataValidation>
    <dataValidation type="whole" operator="greaterThan" allowBlank="1" showInputMessage="1" showErrorMessage="1" sqref="A6434">
      <formula1>0</formula1>
    </dataValidation>
    <dataValidation type="list" allowBlank="1" showInputMessage="1" showErrorMessage="1" sqref="C6434">
      <formula1>UnidadesList</formula1>
    </dataValidation>
    <dataValidation type="decimal" operator="greaterThan" allowBlank="1" showInputMessage="1" showErrorMessage="1" sqref="D6434">
      <formula1>0</formula1>
    </dataValidation>
    <dataValidation type="decimal" operator="greaterThan" allowBlank="1" showInputMessage="1" showErrorMessage="1" sqref="E6434">
      <formula1>0</formula1>
    </dataValidation>
    <dataValidation type="whole" operator="greaterThan" allowBlank="1" showInputMessage="1" showErrorMessage="1" sqref="A6435">
      <formula1>0</formula1>
    </dataValidation>
    <dataValidation type="list" allowBlank="1" showInputMessage="1" showErrorMessage="1" sqref="C6435">
      <formula1>UnidadesList</formula1>
    </dataValidation>
    <dataValidation type="decimal" operator="greaterThan" allowBlank="1" showInputMessage="1" showErrorMessage="1" sqref="D6435">
      <formula1>0</formula1>
    </dataValidation>
    <dataValidation type="decimal" operator="greaterThan" allowBlank="1" showInputMessage="1" showErrorMessage="1" sqref="E6435">
      <formula1>0</formula1>
    </dataValidation>
    <dataValidation type="whole" operator="greaterThan" allowBlank="1" showInputMessage="1" showErrorMessage="1" sqref="A6436">
      <formula1>0</formula1>
    </dataValidation>
    <dataValidation type="list" allowBlank="1" showInputMessage="1" showErrorMessage="1" sqref="C6436">
      <formula1>UnidadesList</formula1>
    </dataValidation>
    <dataValidation type="decimal" operator="greaterThan" allowBlank="1" showInputMessage="1" showErrorMessage="1" sqref="D6436">
      <formula1>0</formula1>
    </dataValidation>
    <dataValidation type="decimal" operator="greaterThan" allowBlank="1" showInputMessage="1" showErrorMessage="1" sqref="E6436">
      <formula1>0</formula1>
    </dataValidation>
    <dataValidation type="whole" operator="greaterThan" allowBlank="1" showInputMessage="1" showErrorMessage="1" sqref="A6437">
      <formula1>0</formula1>
    </dataValidation>
    <dataValidation type="list" allowBlank="1" showInputMessage="1" showErrorMessage="1" sqref="C6437">
      <formula1>UnidadesList</formula1>
    </dataValidation>
    <dataValidation type="decimal" operator="greaterThan" allowBlank="1" showInputMessage="1" showErrorMessage="1" sqref="D6437">
      <formula1>0</formula1>
    </dataValidation>
    <dataValidation type="decimal" operator="greaterThan" allowBlank="1" showInputMessage="1" showErrorMessage="1" sqref="E6437">
      <formula1>0</formula1>
    </dataValidation>
    <dataValidation type="date" operator="lessThanOrEqual" allowBlank="1" showInputMessage="1" showErrorMessage="1" sqref="C6442">
      <formula1>C6444</formula1>
    </dataValidation>
    <dataValidation type="date" operator="greaterThanOrEqual" allowBlank="1" showInputMessage="1" showErrorMessage="1" sqref="C6444">
      <formula1>C6442</formula1>
    </dataValidation>
    <dataValidation type="list" allowBlank="1" showInputMessage="1" showErrorMessage="1" sqref="F64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4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4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4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448">
      <formula1>0</formula1>
    </dataValidation>
    <dataValidation type="list" allowBlank="1" showInputMessage="1" showErrorMessage="1" sqref="C6448">
      <formula1>UnidadesList</formula1>
    </dataValidation>
    <dataValidation type="decimal" operator="greaterThan" allowBlank="1" showInputMessage="1" showErrorMessage="1" sqref="D6448">
      <formula1>0</formula1>
    </dataValidation>
    <dataValidation type="decimal" operator="greaterThan" allowBlank="1" showInputMessage="1" showErrorMessage="1" sqref="E6448">
      <formula1>0</formula1>
    </dataValidation>
    <dataValidation type="whole" operator="greaterThan" allowBlank="1" showInputMessage="1" showErrorMessage="1" sqref="A6449">
      <formula1>0</formula1>
    </dataValidation>
    <dataValidation type="list" allowBlank="1" showInputMessage="1" showErrorMessage="1" sqref="C6449">
      <formula1>UnidadesList</formula1>
    </dataValidation>
    <dataValidation type="decimal" operator="greaterThan" allowBlank="1" showInputMessage="1" showErrorMessage="1" sqref="D6449">
      <formula1>0</formula1>
    </dataValidation>
    <dataValidation type="decimal" operator="greaterThan" allowBlank="1" showInputMessage="1" showErrorMessage="1" sqref="E6449">
      <formula1>0</formula1>
    </dataValidation>
    <dataValidation type="whole" operator="greaterThan" allowBlank="1" showInputMessage="1" showErrorMessage="1" sqref="A6450">
      <formula1>0</formula1>
    </dataValidation>
    <dataValidation type="list" allowBlank="1" showInputMessage="1" showErrorMessage="1" sqref="C6450">
      <formula1>UnidadesList</formula1>
    </dataValidation>
    <dataValidation type="decimal" operator="greaterThan" allowBlank="1" showInputMessage="1" showErrorMessage="1" sqref="D6450">
      <formula1>0</formula1>
    </dataValidation>
    <dataValidation type="decimal" operator="greaterThan" allowBlank="1" showInputMessage="1" showErrorMessage="1" sqref="E6450">
      <formula1>0</formula1>
    </dataValidation>
    <dataValidation type="whole" operator="greaterThan" allowBlank="1" showInputMessage="1" showErrorMessage="1" sqref="A6451">
      <formula1>0</formula1>
    </dataValidation>
    <dataValidation type="list" allowBlank="1" showInputMessage="1" showErrorMessage="1" sqref="C6451">
      <formula1>UnidadesList</formula1>
    </dataValidation>
    <dataValidation type="decimal" operator="greaterThan" allowBlank="1" showInputMessage="1" showErrorMessage="1" sqref="D6451">
      <formula1>0</formula1>
    </dataValidation>
    <dataValidation type="decimal" operator="greaterThan" allowBlank="1" showInputMessage="1" showErrorMessage="1" sqref="E6451">
      <formula1>0</formula1>
    </dataValidation>
    <dataValidation type="whole" operator="greaterThan" allowBlank="1" showInputMessage="1" showErrorMessage="1" sqref="A6452">
      <formula1>0</formula1>
    </dataValidation>
    <dataValidation type="list" allowBlank="1" showInputMessage="1" showErrorMessage="1" sqref="C6452">
      <formula1>UnidadesList</formula1>
    </dataValidation>
    <dataValidation type="decimal" operator="greaterThan" allowBlank="1" showInputMessage="1" showErrorMessage="1" sqref="D6452">
      <formula1>0</formula1>
    </dataValidation>
    <dataValidation type="decimal" operator="greaterThan" allowBlank="1" showInputMessage="1" showErrorMessage="1" sqref="E6452">
      <formula1>0</formula1>
    </dataValidation>
    <dataValidation type="whole" operator="greaterThan" allowBlank="1" showInputMessage="1" showErrorMessage="1" sqref="A6453">
      <formula1>0</formula1>
    </dataValidation>
    <dataValidation type="list" allowBlank="1" showInputMessage="1" showErrorMessage="1" sqref="C6453">
      <formula1>UnidadesList</formula1>
    </dataValidation>
    <dataValidation type="decimal" operator="greaterThan" allowBlank="1" showInputMessage="1" showErrorMessage="1" sqref="D6453">
      <formula1>0</formula1>
    </dataValidation>
    <dataValidation type="decimal" operator="greaterThan" allowBlank="1" showInputMessage="1" showErrorMessage="1" sqref="E6453">
      <formula1>0</formula1>
    </dataValidation>
    <dataValidation type="whole" operator="greaterThan" allowBlank="1" showInputMessage="1" showErrorMessage="1" sqref="A6454">
      <formula1>0</formula1>
    </dataValidation>
    <dataValidation type="list" allowBlank="1" showInputMessage="1" showErrorMessage="1" sqref="C6454">
      <formula1>UnidadesList</formula1>
    </dataValidation>
    <dataValidation type="decimal" operator="greaterThan" allowBlank="1" showInputMessage="1" showErrorMessage="1" sqref="D6454">
      <formula1>0</formula1>
    </dataValidation>
    <dataValidation type="decimal" operator="greaterThan" allowBlank="1" showInputMessage="1" showErrorMessage="1" sqref="E6454">
      <formula1>0</formula1>
    </dataValidation>
    <dataValidation type="whole" operator="greaterThan" allowBlank="1" showInputMessage="1" showErrorMessage="1" sqref="A6455">
      <formula1>0</formula1>
    </dataValidation>
    <dataValidation type="list" allowBlank="1" showInputMessage="1" showErrorMessage="1" sqref="C6455">
      <formula1>UnidadesList</formula1>
    </dataValidation>
    <dataValidation type="decimal" operator="greaterThan" allowBlank="1" showInputMessage="1" showErrorMessage="1" sqref="D6455">
      <formula1>0</formula1>
    </dataValidation>
    <dataValidation type="decimal" operator="greaterThan" allowBlank="1" showInputMessage="1" showErrorMessage="1" sqref="E6455">
      <formula1>0</formula1>
    </dataValidation>
    <dataValidation type="whole" operator="greaterThan" allowBlank="1" showInputMessage="1" showErrorMessage="1" sqref="A6456">
      <formula1>0</formula1>
    </dataValidation>
    <dataValidation type="list" allowBlank="1" showInputMessage="1" showErrorMessage="1" sqref="C6456">
      <formula1>UnidadesList</formula1>
    </dataValidation>
    <dataValidation type="decimal" operator="greaterThan" allowBlank="1" showInputMessage="1" showErrorMessage="1" sqref="D6456">
      <formula1>0</formula1>
    </dataValidation>
    <dataValidation type="decimal" operator="greaterThan" allowBlank="1" showInputMessage="1" showErrorMessage="1" sqref="E6456">
      <formula1>0</formula1>
    </dataValidation>
    <dataValidation type="whole" operator="greaterThan" allowBlank="1" showInputMessage="1" showErrorMessage="1" sqref="A6457">
      <formula1>0</formula1>
    </dataValidation>
    <dataValidation type="list" allowBlank="1" showInputMessage="1" showErrorMessage="1" sqref="C6457">
      <formula1>UnidadesList</formula1>
    </dataValidation>
    <dataValidation type="decimal" operator="greaterThan" allowBlank="1" showInputMessage="1" showErrorMessage="1" sqref="D6457">
      <formula1>0</formula1>
    </dataValidation>
    <dataValidation type="decimal" operator="greaterThan" allowBlank="1" showInputMessage="1" showErrorMessage="1" sqref="E6457">
      <formula1>0</formula1>
    </dataValidation>
    <dataValidation type="whole" operator="greaterThan" allowBlank="1" showInputMessage="1" showErrorMessage="1" sqref="A6458">
      <formula1>0</formula1>
    </dataValidation>
    <dataValidation type="list" allowBlank="1" showInputMessage="1" showErrorMessage="1" sqref="C6458">
      <formula1>UnidadesList</formula1>
    </dataValidation>
    <dataValidation type="decimal" operator="greaterThan" allowBlank="1" showInputMessage="1" showErrorMessage="1" sqref="D6458">
      <formula1>0</formula1>
    </dataValidation>
    <dataValidation type="decimal" operator="greaterThan" allowBlank="1" showInputMessage="1" showErrorMessage="1" sqref="E6458">
      <formula1>0</formula1>
    </dataValidation>
    <dataValidation type="whole" operator="greaterThan" allowBlank="1" showInputMessage="1" showErrorMessage="1" sqref="A6459">
      <formula1>0</formula1>
    </dataValidation>
    <dataValidation type="list" allowBlank="1" showInputMessage="1" showErrorMessage="1" sqref="C6459">
      <formula1>UnidadesList</formula1>
    </dataValidation>
    <dataValidation type="decimal" operator="greaterThan" allowBlank="1" showInputMessage="1" showErrorMessage="1" sqref="D6459">
      <formula1>0</formula1>
    </dataValidation>
    <dataValidation type="decimal" operator="greaterThan" allowBlank="1" showInputMessage="1" showErrorMessage="1" sqref="E6459">
      <formula1>0</formula1>
    </dataValidation>
    <dataValidation type="whole" operator="greaterThan" allowBlank="1" showInputMessage="1" showErrorMessage="1" sqref="A6460">
      <formula1>0</formula1>
    </dataValidation>
    <dataValidation type="list" allowBlank="1" showInputMessage="1" showErrorMessage="1" sqref="C6460">
      <formula1>UnidadesList</formula1>
    </dataValidation>
    <dataValidation type="decimal" operator="greaterThan" allowBlank="1" showInputMessage="1" showErrorMessage="1" sqref="D6460">
      <formula1>0</formula1>
    </dataValidation>
    <dataValidation type="decimal" operator="greaterThan" allowBlank="1" showInputMessage="1" showErrorMessage="1" sqref="E6460">
      <formula1>0</formula1>
    </dataValidation>
    <dataValidation type="whole" operator="greaterThan" allowBlank="1" showInputMessage="1" showErrorMessage="1" sqref="A6461">
      <formula1>0</formula1>
    </dataValidation>
    <dataValidation type="list" allowBlank="1" showInputMessage="1" showErrorMessage="1" sqref="C6461">
      <formula1>UnidadesList</formula1>
    </dataValidation>
    <dataValidation type="decimal" operator="greaterThan" allowBlank="1" showInputMessage="1" showErrorMessage="1" sqref="D6461">
      <formula1>0</formula1>
    </dataValidation>
    <dataValidation type="decimal" operator="greaterThan" allowBlank="1" showInputMessage="1" showErrorMessage="1" sqref="E6461">
      <formula1>0</formula1>
    </dataValidation>
    <dataValidation type="whole" operator="greaterThan" allowBlank="1" showInputMessage="1" showErrorMessage="1" sqref="A6462">
      <formula1>0</formula1>
    </dataValidation>
    <dataValidation type="list" allowBlank="1" showInputMessage="1" showErrorMessage="1" sqref="C6462">
      <formula1>UnidadesList</formula1>
    </dataValidation>
    <dataValidation type="decimal" operator="greaterThan" allowBlank="1" showInputMessage="1" showErrorMessage="1" sqref="D6462">
      <formula1>0</formula1>
    </dataValidation>
    <dataValidation type="decimal" operator="greaterThan" allowBlank="1" showInputMessage="1" showErrorMessage="1" sqref="E6462">
      <formula1>0</formula1>
    </dataValidation>
    <dataValidation type="whole" operator="greaterThan" allowBlank="1" showInputMessage="1" showErrorMessage="1" sqref="A6463">
      <formula1>0</formula1>
    </dataValidation>
    <dataValidation type="list" allowBlank="1" showInputMessage="1" showErrorMessage="1" sqref="C6463">
      <formula1>UnidadesList</formula1>
    </dataValidation>
    <dataValidation type="decimal" operator="greaterThan" allowBlank="1" showInputMessage="1" showErrorMessage="1" sqref="D6463">
      <formula1>0</formula1>
    </dataValidation>
    <dataValidation type="decimal" operator="greaterThan" allowBlank="1" showInputMessage="1" showErrorMessage="1" sqref="E6463">
      <formula1>0</formula1>
    </dataValidation>
    <dataValidation type="whole" operator="greaterThan" allowBlank="1" showInputMessage="1" showErrorMessage="1" sqref="A6464">
      <formula1>0</formula1>
    </dataValidation>
    <dataValidation type="list" allowBlank="1" showInputMessage="1" showErrorMessage="1" sqref="C6464">
      <formula1>UnidadesList</formula1>
    </dataValidation>
    <dataValidation type="decimal" operator="greaterThan" allowBlank="1" showInputMessage="1" showErrorMessage="1" sqref="D6464">
      <formula1>0</formula1>
    </dataValidation>
    <dataValidation type="decimal" operator="greaterThan" allowBlank="1" showInputMessage="1" showErrorMessage="1" sqref="E6464">
      <formula1>0</formula1>
    </dataValidation>
    <dataValidation type="whole" operator="greaterThan" allowBlank="1" showInputMessage="1" showErrorMessage="1" sqref="A6465">
      <formula1>0</formula1>
    </dataValidation>
    <dataValidation type="list" allowBlank="1" showInputMessage="1" showErrorMessage="1" sqref="C6465">
      <formula1>UnidadesList</formula1>
    </dataValidation>
    <dataValidation type="decimal" operator="greaterThan" allowBlank="1" showInputMessage="1" showErrorMessage="1" sqref="D6465">
      <formula1>0</formula1>
    </dataValidation>
    <dataValidation type="decimal" operator="greaterThan" allowBlank="1" showInputMessage="1" showErrorMessage="1" sqref="E6465">
      <formula1>0</formula1>
    </dataValidation>
    <dataValidation type="whole" operator="greaterThan" allowBlank="1" showInputMessage="1" showErrorMessage="1" sqref="A6466">
      <formula1>0</formula1>
    </dataValidation>
    <dataValidation type="list" allowBlank="1" showInputMessage="1" showErrorMessage="1" sqref="C6466">
      <formula1>UnidadesList</formula1>
    </dataValidation>
    <dataValidation type="decimal" operator="greaterThan" allowBlank="1" showInputMessage="1" showErrorMessage="1" sqref="D6466">
      <formula1>0</formula1>
    </dataValidation>
    <dataValidation type="decimal" operator="greaterThan" allowBlank="1" showInputMessage="1" showErrorMessage="1" sqref="E6466">
      <formula1>0</formula1>
    </dataValidation>
    <dataValidation type="whole" operator="greaterThan" allowBlank="1" showInputMessage="1" showErrorMessage="1" sqref="A6467">
      <formula1>0</formula1>
    </dataValidation>
    <dataValidation type="list" allowBlank="1" showInputMessage="1" showErrorMessage="1" sqref="C6467">
      <formula1>UnidadesList</formula1>
    </dataValidation>
    <dataValidation type="decimal" operator="greaterThan" allowBlank="1" showInputMessage="1" showErrorMessage="1" sqref="D6467">
      <formula1>0</formula1>
    </dataValidation>
    <dataValidation type="decimal" operator="greaterThan" allowBlank="1" showInputMessage="1" showErrorMessage="1" sqref="E6467">
      <formula1>0</formula1>
    </dataValidation>
    <dataValidation type="whole" operator="greaterThan" allowBlank="1" showInputMessage="1" showErrorMessage="1" sqref="A6468">
      <formula1>0</formula1>
    </dataValidation>
    <dataValidation type="list" allowBlank="1" showInputMessage="1" showErrorMessage="1" sqref="C6468">
      <formula1>UnidadesList</formula1>
    </dataValidation>
    <dataValidation type="decimal" operator="greaterThan" allowBlank="1" showInputMessage="1" showErrorMessage="1" sqref="D6468">
      <formula1>0</formula1>
    </dataValidation>
    <dataValidation type="decimal" operator="greaterThan" allowBlank="1" showInputMessage="1" showErrorMessage="1" sqref="E6468">
      <formula1>0</formula1>
    </dataValidation>
    <dataValidation type="whole" operator="greaterThan" allowBlank="1" showInputMessage="1" showErrorMessage="1" sqref="A6469">
      <formula1>0</formula1>
    </dataValidation>
    <dataValidation type="list" allowBlank="1" showInputMessage="1" showErrorMessage="1" sqref="C6469">
      <formula1>UnidadesList</formula1>
    </dataValidation>
    <dataValidation type="decimal" operator="greaterThan" allowBlank="1" showInputMessage="1" showErrorMessage="1" sqref="D6469">
      <formula1>0</formula1>
    </dataValidation>
    <dataValidation type="decimal" operator="greaterThan" allowBlank="1" showInputMessage="1" showErrorMessage="1" sqref="E6469">
      <formula1>0</formula1>
    </dataValidation>
    <dataValidation type="whole" operator="greaterThan" allowBlank="1" showInputMessage="1" showErrorMessage="1" sqref="A6470">
      <formula1>0</formula1>
    </dataValidation>
    <dataValidation type="list" allowBlank="1" showInputMessage="1" showErrorMessage="1" sqref="C6470">
      <formula1>UnidadesList</formula1>
    </dataValidation>
    <dataValidation type="decimal" operator="greaterThan" allowBlank="1" showInputMessage="1" showErrorMessage="1" sqref="D6470">
      <formula1>0</formula1>
    </dataValidation>
    <dataValidation type="decimal" operator="greaterThan" allowBlank="1" showInputMessage="1" showErrorMessage="1" sqref="E6470">
      <formula1>0</formula1>
    </dataValidation>
    <dataValidation type="whole" operator="greaterThan" allowBlank="1" showInputMessage="1" showErrorMessage="1" sqref="A6471">
      <formula1>0</formula1>
    </dataValidation>
    <dataValidation type="list" allowBlank="1" showInputMessage="1" showErrorMessage="1" sqref="C6471">
      <formula1>UnidadesList</formula1>
    </dataValidation>
    <dataValidation type="decimal" operator="greaterThan" allowBlank="1" showInputMessage="1" showErrorMessage="1" sqref="D6471">
      <formula1>0</formula1>
    </dataValidation>
    <dataValidation type="decimal" operator="greaterThan" allowBlank="1" showInputMessage="1" showErrorMessage="1" sqref="E6471">
      <formula1>0</formula1>
    </dataValidation>
    <dataValidation type="whole" operator="greaterThan" allowBlank="1" showInputMessage="1" showErrorMessage="1" sqref="A6472">
      <formula1>0</formula1>
    </dataValidation>
    <dataValidation type="list" allowBlank="1" showInputMessage="1" showErrorMessage="1" sqref="C6472">
      <formula1>UnidadesList</formula1>
    </dataValidation>
    <dataValidation type="decimal" operator="greaterThan" allowBlank="1" showInputMessage="1" showErrorMessage="1" sqref="D6472">
      <formula1>0</formula1>
    </dataValidation>
    <dataValidation type="decimal" operator="greaterThan" allowBlank="1" showInputMessage="1" showErrorMessage="1" sqref="E6472">
      <formula1>0</formula1>
    </dataValidation>
    <dataValidation type="whole" operator="greaterThan" allowBlank="1" showInputMessage="1" showErrorMessage="1" sqref="A6473">
      <formula1>0</formula1>
    </dataValidation>
    <dataValidation type="list" allowBlank="1" showInputMessage="1" showErrorMessage="1" sqref="C6473">
      <formula1>UnidadesList</formula1>
    </dataValidation>
    <dataValidation type="decimal" operator="greaterThan" allowBlank="1" showInputMessage="1" showErrorMessage="1" sqref="D6473">
      <formula1>0</formula1>
    </dataValidation>
    <dataValidation type="decimal" operator="greaterThan" allowBlank="1" showInputMessage="1" showErrorMessage="1" sqref="E6473">
      <formula1>0</formula1>
    </dataValidation>
    <dataValidation type="whole" operator="greaterThan" allowBlank="1" showInputMessage="1" showErrorMessage="1" sqref="A6474">
      <formula1>0</formula1>
    </dataValidation>
    <dataValidation type="list" allowBlank="1" showInputMessage="1" showErrorMessage="1" sqref="C6474">
      <formula1>UnidadesList</formula1>
    </dataValidation>
    <dataValidation type="decimal" operator="greaterThan" allowBlank="1" showInputMessage="1" showErrorMessage="1" sqref="D6474">
      <formula1>0</formula1>
    </dataValidation>
    <dataValidation type="decimal" operator="greaterThan" allowBlank="1" showInputMessage="1" showErrorMessage="1" sqref="E6474">
      <formula1>0</formula1>
    </dataValidation>
    <dataValidation type="date" operator="lessThanOrEqual" allowBlank="1" showInputMessage="1" showErrorMessage="1" sqref="C6479">
      <formula1>C6481</formula1>
    </dataValidation>
    <dataValidation type="date" operator="greaterThanOrEqual" allowBlank="1" showInputMessage="1" showErrorMessage="1" sqref="C6481">
      <formula1>C6479</formula1>
    </dataValidation>
    <dataValidation type="list" allowBlank="1" showInputMessage="1" showErrorMessage="1" sqref="F647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48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48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48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485">
      <formula1>0</formula1>
    </dataValidation>
    <dataValidation type="list" allowBlank="1" showInputMessage="1" showErrorMessage="1" sqref="C6485">
      <formula1>UnidadesList</formula1>
    </dataValidation>
    <dataValidation type="decimal" operator="greaterThan" allowBlank="1" showInputMessage="1" showErrorMessage="1" sqref="D6485">
      <formula1>0</formula1>
    </dataValidation>
    <dataValidation type="decimal" operator="greaterThan" allowBlank="1" showInputMessage="1" showErrorMessage="1" sqref="E6485">
      <formula1>0</formula1>
    </dataValidation>
    <dataValidation type="whole" operator="greaterThan" allowBlank="1" showInputMessage="1" showErrorMessage="1" sqref="A6486">
      <formula1>0</formula1>
    </dataValidation>
    <dataValidation type="list" allowBlank="1" showInputMessage="1" showErrorMessage="1" sqref="C6486">
      <formula1>UnidadesList</formula1>
    </dataValidation>
    <dataValidation type="decimal" operator="greaterThan" allowBlank="1" showInputMessage="1" showErrorMessage="1" sqref="D6486">
      <formula1>0</formula1>
    </dataValidation>
    <dataValidation type="decimal" operator="greaterThan" allowBlank="1" showInputMessage="1" showErrorMessage="1" sqref="E6486">
      <formula1>0</formula1>
    </dataValidation>
    <dataValidation type="whole" operator="greaterThan" allowBlank="1" showInputMessage="1" showErrorMessage="1" sqref="A6487">
      <formula1>0</formula1>
    </dataValidation>
    <dataValidation type="list" allowBlank="1" showInputMessage="1" showErrorMessage="1" sqref="C6487">
      <formula1>UnidadesList</formula1>
    </dataValidation>
    <dataValidation type="decimal" operator="greaterThan" allowBlank="1" showInputMessage="1" showErrorMessage="1" sqref="D6487">
      <formula1>0</formula1>
    </dataValidation>
    <dataValidation type="decimal" operator="greaterThan" allowBlank="1" showInputMessage="1" showErrorMessage="1" sqref="E6487">
      <formula1>0</formula1>
    </dataValidation>
    <dataValidation type="whole" operator="greaterThan" allowBlank="1" showInputMessage="1" showErrorMessage="1" sqref="A6488">
      <formula1>0</formula1>
    </dataValidation>
    <dataValidation type="list" allowBlank="1" showInputMessage="1" showErrorMessage="1" sqref="C6488">
      <formula1>UnidadesList</formula1>
    </dataValidation>
    <dataValidation type="decimal" operator="greaterThan" allowBlank="1" showInputMessage="1" showErrorMessage="1" sqref="D6488">
      <formula1>0</formula1>
    </dataValidation>
    <dataValidation type="decimal" operator="greaterThan" allowBlank="1" showInputMessage="1" showErrorMessage="1" sqref="E6488">
      <formula1>0</formula1>
    </dataValidation>
    <dataValidation type="whole" operator="greaterThan" allowBlank="1" showInputMessage="1" showErrorMessage="1" sqref="A6489">
      <formula1>0</formula1>
    </dataValidation>
    <dataValidation type="list" allowBlank="1" showInputMessage="1" showErrorMessage="1" sqref="C6489">
      <formula1>UnidadesList</formula1>
    </dataValidation>
    <dataValidation type="decimal" operator="greaterThan" allowBlank="1" showInputMessage="1" showErrorMessage="1" sqref="D6489">
      <formula1>0</formula1>
    </dataValidation>
    <dataValidation type="decimal" operator="greaterThan" allowBlank="1" showInputMessage="1" showErrorMessage="1" sqref="E6489">
      <formula1>0</formula1>
    </dataValidation>
    <dataValidation type="whole" operator="greaterThan" allowBlank="1" showInputMessage="1" showErrorMessage="1" sqref="A6490">
      <formula1>0</formula1>
    </dataValidation>
    <dataValidation type="list" allowBlank="1" showInputMessage="1" showErrorMessage="1" sqref="C6490">
      <formula1>UnidadesList</formula1>
    </dataValidation>
    <dataValidation type="decimal" operator="greaterThan" allowBlank="1" showInputMessage="1" showErrorMessage="1" sqref="D6490">
      <formula1>0</formula1>
    </dataValidation>
    <dataValidation type="decimal" operator="greaterThan" allowBlank="1" showInputMessage="1" showErrorMessage="1" sqref="E6490">
      <formula1>0</formula1>
    </dataValidation>
    <dataValidation type="whole" operator="greaterThan" allowBlank="1" showInputMessage="1" showErrorMessage="1" sqref="A6491">
      <formula1>0</formula1>
    </dataValidation>
    <dataValidation type="list" allowBlank="1" showInputMessage="1" showErrorMessage="1" sqref="C6491">
      <formula1>UnidadesList</formula1>
    </dataValidation>
    <dataValidation type="decimal" operator="greaterThan" allowBlank="1" showInputMessage="1" showErrorMessage="1" sqref="D6491">
      <formula1>0</formula1>
    </dataValidation>
    <dataValidation type="decimal" operator="greaterThan" allowBlank="1" showInputMessage="1" showErrorMessage="1" sqref="E6491">
      <formula1>0</formula1>
    </dataValidation>
    <dataValidation type="whole" operator="greaterThan" allowBlank="1" showInputMessage="1" showErrorMessage="1" sqref="A6492">
      <formula1>0</formula1>
    </dataValidation>
    <dataValidation type="list" allowBlank="1" showInputMessage="1" showErrorMessage="1" sqref="C6492">
      <formula1>UnidadesList</formula1>
    </dataValidation>
    <dataValidation type="decimal" operator="greaterThan" allowBlank="1" showInputMessage="1" showErrorMessage="1" sqref="D6492">
      <formula1>0</formula1>
    </dataValidation>
    <dataValidation type="decimal" operator="greaterThan" allowBlank="1" showInputMessage="1" showErrorMessage="1" sqref="E6492">
      <formula1>0</formula1>
    </dataValidation>
    <dataValidation type="whole" operator="greaterThan" allowBlank="1" showInputMessage="1" showErrorMessage="1" sqref="A6493">
      <formula1>0</formula1>
    </dataValidation>
    <dataValidation type="list" allowBlank="1" showInputMessage="1" showErrorMessage="1" sqref="C6493">
      <formula1>UnidadesList</formula1>
    </dataValidation>
    <dataValidation type="decimal" operator="greaterThan" allowBlank="1" showInputMessage="1" showErrorMessage="1" sqref="D6493">
      <formula1>0</formula1>
    </dataValidation>
    <dataValidation type="decimal" operator="greaterThan" allowBlank="1" showInputMessage="1" showErrorMessage="1" sqref="E6493">
      <formula1>0</formula1>
    </dataValidation>
    <dataValidation type="whole" operator="greaterThan" allowBlank="1" showInputMessage="1" showErrorMessage="1" sqref="A6494">
      <formula1>0</formula1>
    </dataValidation>
    <dataValidation type="list" allowBlank="1" showInputMessage="1" showErrorMessage="1" sqref="C6494">
      <formula1>UnidadesList</formula1>
    </dataValidation>
    <dataValidation type="decimal" operator="greaterThan" allowBlank="1" showInputMessage="1" showErrorMessage="1" sqref="D6494">
      <formula1>0</formula1>
    </dataValidation>
    <dataValidation type="decimal" operator="greaterThan" allowBlank="1" showInputMessage="1" showErrorMessage="1" sqref="E6494">
      <formula1>0</formula1>
    </dataValidation>
    <dataValidation type="whole" operator="greaterThan" allowBlank="1" showInputMessage="1" showErrorMessage="1" sqref="A6495">
      <formula1>0</formula1>
    </dataValidation>
    <dataValidation type="list" allowBlank="1" showInputMessage="1" showErrorMessage="1" sqref="C6495">
      <formula1>UnidadesList</formula1>
    </dataValidation>
    <dataValidation type="decimal" operator="greaterThan" allowBlank="1" showInputMessage="1" showErrorMessage="1" sqref="D6495">
      <formula1>0</formula1>
    </dataValidation>
    <dataValidation type="decimal" operator="greaterThan" allowBlank="1" showInputMessage="1" showErrorMessage="1" sqref="E6495">
      <formula1>0</formula1>
    </dataValidation>
    <dataValidation type="whole" operator="greaterThan" allowBlank="1" showInputMessage="1" showErrorMessage="1" sqref="A6496">
      <formula1>0</formula1>
    </dataValidation>
    <dataValidation type="list" allowBlank="1" showInputMessage="1" showErrorMessage="1" sqref="C6496">
      <formula1>UnidadesList</formula1>
    </dataValidation>
    <dataValidation type="decimal" operator="greaterThan" allowBlank="1" showInputMessage="1" showErrorMessage="1" sqref="D6496">
      <formula1>0</formula1>
    </dataValidation>
    <dataValidation type="decimal" operator="greaterThan" allowBlank="1" showInputMessage="1" showErrorMessage="1" sqref="E6496">
      <formula1>0</formula1>
    </dataValidation>
    <dataValidation type="whole" operator="greaterThan" allowBlank="1" showInputMessage="1" showErrorMessage="1" sqref="A6497">
      <formula1>0</formula1>
    </dataValidation>
    <dataValidation type="list" allowBlank="1" showInputMessage="1" showErrorMessage="1" sqref="C6497">
      <formula1>UnidadesList</formula1>
    </dataValidation>
    <dataValidation type="decimal" operator="greaterThan" allowBlank="1" showInputMessage="1" showErrorMessage="1" sqref="D6497">
      <formula1>0</formula1>
    </dataValidation>
    <dataValidation type="decimal" operator="greaterThan" allowBlank="1" showInputMessage="1" showErrorMessage="1" sqref="E6497">
      <formula1>0</formula1>
    </dataValidation>
    <dataValidation type="whole" operator="greaterThan" allowBlank="1" showInputMessage="1" showErrorMessage="1" sqref="A6498">
      <formula1>0</formula1>
    </dataValidation>
    <dataValidation type="list" allowBlank="1" showInputMessage="1" showErrorMessage="1" sqref="C6498">
      <formula1>UnidadesList</formula1>
    </dataValidation>
    <dataValidation type="decimal" operator="greaterThan" allowBlank="1" showInputMessage="1" showErrorMessage="1" sqref="D6498">
      <formula1>0</formula1>
    </dataValidation>
    <dataValidation type="decimal" operator="greaterThan" allowBlank="1" showInputMessage="1" showErrorMessage="1" sqref="E6498">
      <formula1>0</formula1>
    </dataValidation>
    <dataValidation type="whole" operator="greaterThan" allowBlank="1" showInputMessage="1" showErrorMessage="1" sqref="A6499">
      <formula1>0</formula1>
    </dataValidation>
    <dataValidation type="list" allowBlank="1" showInputMessage="1" showErrorMessage="1" sqref="C6499">
      <formula1>UnidadesList</formula1>
    </dataValidation>
    <dataValidation type="decimal" operator="greaterThan" allowBlank="1" showInputMessage="1" showErrorMessage="1" sqref="D6499">
      <formula1>0</formula1>
    </dataValidation>
    <dataValidation type="decimal" operator="greaterThan" allowBlank="1" showInputMessage="1" showErrorMessage="1" sqref="E6499">
      <formula1>0</formula1>
    </dataValidation>
    <dataValidation type="whole" operator="greaterThan" allowBlank="1" showInputMessage="1" showErrorMessage="1" sqref="A6500">
      <formula1>0</formula1>
    </dataValidation>
    <dataValidation type="list" allowBlank="1" showInputMessage="1" showErrorMessage="1" sqref="C6500">
      <formula1>UnidadesList</formula1>
    </dataValidation>
    <dataValidation type="decimal" operator="greaterThan" allowBlank="1" showInputMessage="1" showErrorMessage="1" sqref="D6500">
      <formula1>0</formula1>
    </dataValidation>
    <dataValidation type="decimal" operator="greaterThan" allowBlank="1" showInputMessage="1" showErrorMessage="1" sqref="E6500">
      <formula1>0</formula1>
    </dataValidation>
    <dataValidation type="whole" operator="greaterThan" allowBlank="1" showInputMessage="1" showErrorMessage="1" sqref="A6501">
      <formula1>0</formula1>
    </dataValidation>
    <dataValidation type="list" allowBlank="1" showInputMessage="1" showErrorMessage="1" sqref="C6501">
      <formula1>UnidadesList</formula1>
    </dataValidation>
    <dataValidation type="decimal" operator="greaterThan" allowBlank="1" showInputMessage="1" showErrorMessage="1" sqref="D6501">
      <formula1>0</formula1>
    </dataValidation>
    <dataValidation type="decimal" operator="greaterThan" allowBlank="1" showInputMessage="1" showErrorMessage="1" sqref="E6501">
      <formula1>0</formula1>
    </dataValidation>
    <dataValidation type="whole" operator="greaterThan" allowBlank="1" showInputMessage="1" showErrorMessage="1" sqref="A6502">
      <formula1>0</formula1>
    </dataValidation>
    <dataValidation type="list" allowBlank="1" showInputMessage="1" showErrorMessage="1" sqref="C6502">
      <formula1>UnidadesList</formula1>
    </dataValidation>
    <dataValidation type="decimal" operator="greaterThan" allowBlank="1" showInputMessage="1" showErrorMessage="1" sqref="D6502">
      <formula1>0</formula1>
    </dataValidation>
    <dataValidation type="decimal" operator="greaterThan" allowBlank="1" showInputMessage="1" showErrorMessage="1" sqref="E6502">
      <formula1>0</formula1>
    </dataValidation>
    <dataValidation type="whole" operator="greaterThan" allowBlank="1" showInputMessage="1" showErrorMessage="1" sqref="A6503">
      <formula1>0</formula1>
    </dataValidation>
    <dataValidation type="list" allowBlank="1" showInputMessage="1" showErrorMessage="1" sqref="C6503">
      <formula1>UnidadesList</formula1>
    </dataValidation>
    <dataValidation type="decimal" operator="greaterThan" allowBlank="1" showInputMessage="1" showErrorMessage="1" sqref="D6503">
      <formula1>0</formula1>
    </dataValidation>
    <dataValidation type="decimal" operator="greaterThan" allowBlank="1" showInputMessage="1" showErrorMessage="1" sqref="E6503">
      <formula1>0</formula1>
    </dataValidation>
    <dataValidation type="whole" operator="greaterThan" allowBlank="1" showInputMessage="1" showErrorMessage="1" sqref="A6504">
      <formula1>0</formula1>
    </dataValidation>
    <dataValidation type="list" allowBlank="1" showInputMessage="1" showErrorMessage="1" sqref="C6504">
      <formula1>UnidadesList</formula1>
    </dataValidation>
    <dataValidation type="decimal" operator="greaterThan" allowBlank="1" showInputMessage="1" showErrorMessage="1" sqref="D6504">
      <formula1>0</formula1>
    </dataValidation>
    <dataValidation type="decimal" operator="greaterThan" allowBlank="1" showInputMessage="1" showErrorMessage="1" sqref="E6504">
      <formula1>0</formula1>
    </dataValidation>
    <dataValidation type="whole" operator="greaterThan" allowBlank="1" showInputMessage="1" showErrorMessage="1" sqref="A6505">
      <formula1>0</formula1>
    </dataValidation>
    <dataValidation type="list" allowBlank="1" showInputMessage="1" showErrorMessage="1" sqref="C6505">
      <formula1>UnidadesList</formula1>
    </dataValidation>
    <dataValidation type="decimal" operator="greaterThan" allowBlank="1" showInputMessage="1" showErrorMessage="1" sqref="D6505">
      <formula1>0</formula1>
    </dataValidation>
    <dataValidation type="decimal" operator="greaterThan" allowBlank="1" showInputMessage="1" showErrorMessage="1" sqref="E6505">
      <formula1>0</formula1>
    </dataValidation>
    <dataValidation type="whole" operator="greaterThan" allowBlank="1" showInputMessage="1" showErrorMessage="1" sqref="A6506">
      <formula1>0</formula1>
    </dataValidation>
    <dataValidation type="list" allowBlank="1" showInputMessage="1" showErrorMessage="1" sqref="C6506">
      <formula1>UnidadesList</formula1>
    </dataValidation>
    <dataValidation type="decimal" operator="greaterThan" allowBlank="1" showInputMessage="1" showErrorMessage="1" sqref="D6506">
      <formula1>0</formula1>
    </dataValidation>
    <dataValidation type="decimal" operator="greaterThan" allowBlank="1" showInputMessage="1" showErrorMessage="1" sqref="E6506">
      <formula1>0</formula1>
    </dataValidation>
    <dataValidation type="whole" operator="greaterThan" allowBlank="1" showInputMessage="1" showErrorMessage="1" sqref="A6507">
      <formula1>0</formula1>
    </dataValidation>
    <dataValidation type="list" allowBlank="1" showInputMessage="1" showErrorMessage="1" sqref="C6507">
      <formula1>UnidadesList</formula1>
    </dataValidation>
    <dataValidation type="decimal" operator="greaterThan" allowBlank="1" showInputMessage="1" showErrorMessage="1" sqref="D6507">
      <formula1>0</formula1>
    </dataValidation>
    <dataValidation type="decimal" operator="greaterThan" allowBlank="1" showInputMessage="1" showErrorMessage="1" sqref="E6507">
      <formula1>0</formula1>
    </dataValidation>
    <dataValidation type="whole" operator="greaterThan" allowBlank="1" showInputMessage="1" showErrorMessage="1" sqref="A6508">
      <formula1>0</formula1>
    </dataValidation>
    <dataValidation type="list" allowBlank="1" showInputMessage="1" showErrorMessage="1" sqref="C6508">
      <formula1>UnidadesList</formula1>
    </dataValidation>
    <dataValidation type="decimal" operator="greaterThan" allowBlank="1" showInputMessage="1" showErrorMessage="1" sqref="D6508">
      <formula1>0</formula1>
    </dataValidation>
    <dataValidation type="decimal" operator="greaterThan" allowBlank="1" showInputMessage="1" showErrorMessage="1" sqref="E6508">
      <formula1>0</formula1>
    </dataValidation>
    <dataValidation type="whole" operator="greaterThan" allowBlank="1" showInputMessage="1" showErrorMessage="1" sqref="A6509">
      <formula1>0</formula1>
    </dataValidation>
    <dataValidation type="list" allowBlank="1" showInputMessage="1" showErrorMessage="1" sqref="C6509">
      <formula1>UnidadesList</formula1>
    </dataValidation>
    <dataValidation type="decimal" operator="greaterThan" allowBlank="1" showInputMessage="1" showErrorMessage="1" sqref="D6509">
      <formula1>0</formula1>
    </dataValidation>
    <dataValidation type="decimal" operator="greaterThan" allowBlank="1" showInputMessage="1" showErrorMessage="1" sqref="E6509">
      <formula1>0</formula1>
    </dataValidation>
    <dataValidation type="whole" operator="greaterThan" allowBlank="1" showInputMessage="1" showErrorMessage="1" sqref="A6510">
      <formula1>0</formula1>
    </dataValidation>
    <dataValidation type="list" allowBlank="1" showInputMessage="1" showErrorMessage="1" sqref="C6510">
      <formula1>UnidadesList</formula1>
    </dataValidation>
    <dataValidation type="decimal" operator="greaterThan" allowBlank="1" showInputMessage="1" showErrorMessage="1" sqref="D6510">
      <formula1>0</formula1>
    </dataValidation>
    <dataValidation type="decimal" operator="greaterThan" allowBlank="1" showInputMessage="1" showErrorMessage="1" sqref="E6510">
      <formula1>0</formula1>
    </dataValidation>
    <dataValidation type="whole" operator="greaterThan" allowBlank="1" showInputMessage="1" showErrorMessage="1" sqref="A6511">
      <formula1>0</formula1>
    </dataValidation>
    <dataValidation type="list" allowBlank="1" showInputMessage="1" showErrorMessage="1" sqref="C6511">
      <formula1>UnidadesList</formula1>
    </dataValidation>
    <dataValidation type="decimal" operator="greaterThan" allowBlank="1" showInputMessage="1" showErrorMessage="1" sqref="D6511">
      <formula1>0</formula1>
    </dataValidation>
    <dataValidation type="decimal" operator="greaterThan" allowBlank="1" showInputMessage="1" showErrorMessage="1" sqref="E6511">
      <formula1>0</formula1>
    </dataValidation>
    <dataValidation type="whole" operator="greaterThan" allowBlank="1" showInputMessage="1" showErrorMessage="1" sqref="A6512">
      <formula1>0</formula1>
    </dataValidation>
    <dataValidation type="list" allowBlank="1" showInputMessage="1" showErrorMessage="1" sqref="C6512">
      <formula1>UnidadesList</formula1>
    </dataValidation>
    <dataValidation type="decimal" operator="greaterThan" allowBlank="1" showInputMessage="1" showErrorMessage="1" sqref="D6512">
      <formula1>0</formula1>
    </dataValidation>
    <dataValidation type="decimal" operator="greaterThan" allowBlank="1" showInputMessage="1" showErrorMessage="1" sqref="E6512">
      <formula1>0</formula1>
    </dataValidation>
    <dataValidation type="date" operator="lessThanOrEqual" allowBlank="1" showInputMessage="1" showErrorMessage="1" sqref="C6517">
      <formula1>C6519</formula1>
    </dataValidation>
    <dataValidation type="date" operator="greaterThanOrEqual" allowBlank="1" showInputMessage="1" showErrorMessage="1" sqref="C6519">
      <formula1>C6517</formula1>
    </dataValidation>
    <dataValidation type="list" allowBlank="1" showInputMessage="1" showErrorMessage="1" sqref="F65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5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5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5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523">
      <formula1>0</formula1>
    </dataValidation>
    <dataValidation type="list" allowBlank="1" showInputMessage="1" showErrorMessage="1" sqref="C6523">
      <formula1>UnidadesList</formula1>
    </dataValidation>
    <dataValidation type="decimal" operator="greaterThan" allowBlank="1" showInputMessage="1" showErrorMessage="1" sqref="D6523">
      <formula1>0</formula1>
    </dataValidation>
    <dataValidation type="decimal" operator="greaterThan" allowBlank="1" showInputMessage="1" showErrorMessage="1" sqref="E6523">
      <formula1>0</formula1>
    </dataValidation>
    <dataValidation type="whole" operator="greaterThan" allowBlank="1" showInputMessage="1" showErrorMessage="1" sqref="A6524">
      <formula1>0</formula1>
    </dataValidation>
    <dataValidation type="list" allowBlank="1" showInputMessage="1" showErrorMessage="1" sqref="C6524">
      <formula1>UnidadesList</formula1>
    </dataValidation>
    <dataValidation type="decimal" operator="greaterThan" allowBlank="1" showInputMessage="1" showErrorMessage="1" sqref="D6524">
      <formula1>0</formula1>
    </dataValidation>
    <dataValidation type="decimal" operator="greaterThan" allowBlank="1" showInputMessage="1" showErrorMessage="1" sqref="E6524">
      <formula1>0</formula1>
    </dataValidation>
    <dataValidation type="whole" operator="greaterThan" allowBlank="1" showInputMessage="1" showErrorMessage="1" sqref="A6525">
      <formula1>0</formula1>
    </dataValidation>
    <dataValidation type="list" allowBlank="1" showInputMessage="1" showErrorMessage="1" sqref="C6525">
      <formula1>UnidadesList</formula1>
    </dataValidation>
    <dataValidation type="decimal" operator="greaterThan" allowBlank="1" showInputMessage="1" showErrorMessage="1" sqref="D6525">
      <formula1>0</formula1>
    </dataValidation>
    <dataValidation type="decimal" operator="greaterThan" allowBlank="1" showInputMessage="1" showErrorMessage="1" sqref="E6525">
      <formula1>0</formula1>
    </dataValidation>
    <dataValidation type="whole" operator="greaterThan" allowBlank="1" showInputMessage="1" showErrorMessage="1" sqref="A6526">
      <formula1>0</formula1>
    </dataValidation>
    <dataValidation type="list" allowBlank="1" showInputMessage="1" showErrorMessage="1" sqref="C6526">
      <formula1>UnidadesList</formula1>
    </dataValidation>
    <dataValidation type="decimal" operator="greaterThan" allowBlank="1" showInputMessage="1" showErrorMessage="1" sqref="D6526">
      <formula1>0</formula1>
    </dataValidation>
    <dataValidation type="decimal" operator="greaterThan" allowBlank="1" showInputMessage="1" showErrorMessage="1" sqref="E6526">
      <formula1>0</formula1>
    </dataValidation>
    <dataValidation type="whole" operator="greaterThan" allowBlank="1" showInputMessage="1" showErrorMessage="1" sqref="A6527">
      <formula1>0</formula1>
    </dataValidation>
    <dataValidation type="list" allowBlank="1" showInputMessage="1" showErrorMessage="1" sqref="C6527">
      <formula1>UnidadesList</formula1>
    </dataValidation>
    <dataValidation type="decimal" operator="greaterThan" allowBlank="1" showInputMessage="1" showErrorMessage="1" sqref="D6527">
      <formula1>0</formula1>
    </dataValidation>
    <dataValidation type="decimal" operator="greaterThan" allowBlank="1" showInputMessage="1" showErrorMessage="1" sqref="E6527">
      <formula1>0</formula1>
    </dataValidation>
    <dataValidation type="whole" operator="greaterThan" allowBlank="1" showInputMessage="1" showErrorMessage="1" sqref="A6528">
      <formula1>0</formula1>
    </dataValidation>
    <dataValidation type="list" allowBlank="1" showInputMessage="1" showErrorMessage="1" sqref="C6528">
      <formula1>UnidadesList</formula1>
    </dataValidation>
    <dataValidation type="decimal" operator="greaterThan" allowBlank="1" showInputMessage="1" showErrorMessage="1" sqref="D6528">
      <formula1>0</formula1>
    </dataValidation>
    <dataValidation type="decimal" operator="greaterThan" allowBlank="1" showInputMessage="1" showErrorMessage="1" sqref="E6528">
      <formula1>0</formula1>
    </dataValidation>
    <dataValidation type="whole" operator="greaterThan" allowBlank="1" showInputMessage="1" showErrorMessage="1" sqref="A6529">
      <formula1>0</formula1>
    </dataValidation>
    <dataValidation type="list" allowBlank="1" showInputMessage="1" showErrorMessage="1" sqref="C6529">
      <formula1>UnidadesList</formula1>
    </dataValidation>
    <dataValidation type="decimal" operator="greaterThan" allowBlank="1" showInputMessage="1" showErrorMessage="1" sqref="D6529">
      <formula1>0</formula1>
    </dataValidation>
    <dataValidation type="decimal" operator="greaterThan" allowBlank="1" showInputMessage="1" showErrorMessage="1" sqref="E6529">
      <formula1>0</formula1>
    </dataValidation>
    <dataValidation type="whole" operator="greaterThan" allowBlank="1" showInputMessage="1" showErrorMessage="1" sqref="A6530">
      <formula1>0</formula1>
    </dataValidation>
    <dataValidation type="list" allowBlank="1" showInputMessage="1" showErrorMessage="1" sqref="C6530">
      <formula1>UnidadesList</formula1>
    </dataValidation>
    <dataValidation type="decimal" operator="greaterThan" allowBlank="1" showInputMessage="1" showErrorMessage="1" sqref="D6530">
      <formula1>0</formula1>
    </dataValidation>
    <dataValidation type="decimal" operator="greaterThan" allowBlank="1" showInputMessage="1" showErrorMessage="1" sqref="E6530">
      <formula1>0</formula1>
    </dataValidation>
    <dataValidation type="whole" operator="greaterThan" allowBlank="1" showInputMessage="1" showErrorMessage="1" sqref="A6531">
      <formula1>0</formula1>
    </dataValidation>
    <dataValidation type="list" allowBlank="1" showInputMessage="1" showErrorMessage="1" sqref="C6531">
      <formula1>UnidadesList</formula1>
    </dataValidation>
    <dataValidation type="decimal" operator="greaterThan" allowBlank="1" showInputMessage="1" showErrorMessage="1" sqref="D6531">
      <formula1>0</formula1>
    </dataValidation>
    <dataValidation type="decimal" operator="greaterThan" allowBlank="1" showInputMessage="1" showErrorMessage="1" sqref="E6531">
      <formula1>0</formula1>
    </dataValidation>
    <dataValidation type="whole" operator="greaterThan" allowBlank="1" showInputMessage="1" showErrorMessage="1" sqref="A6532">
      <formula1>0</formula1>
    </dataValidation>
    <dataValidation type="list" allowBlank="1" showInputMessage="1" showErrorMessage="1" sqref="C6532">
      <formula1>UnidadesList</formula1>
    </dataValidation>
    <dataValidation type="decimal" operator="greaterThan" allowBlank="1" showInputMessage="1" showErrorMessage="1" sqref="D6532">
      <formula1>0</formula1>
    </dataValidation>
    <dataValidation type="decimal" operator="greaterThan" allowBlank="1" showInputMessage="1" showErrorMessage="1" sqref="E6532">
      <formula1>0</formula1>
    </dataValidation>
    <dataValidation type="whole" operator="greaterThan" allowBlank="1" showInputMessage="1" showErrorMessage="1" sqref="A6533">
      <formula1>0</formula1>
    </dataValidation>
    <dataValidation type="list" allowBlank="1" showInputMessage="1" showErrorMessage="1" sqref="C6533">
      <formula1>UnidadesList</formula1>
    </dataValidation>
    <dataValidation type="decimal" operator="greaterThan" allowBlank="1" showInputMessage="1" showErrorMessage="1" sqref="D6533">
      <formula1>0</formula1>
    </dataValidation>
    <dataValidation type="decimal" operator="greaterThan" allowBlank="1" showInputMessage="1" showErrorMessage="1" sqref="E6533">
      <formula1>0</formula1>
    </dataValidation>
    <dataValidation type="whole" operator="greaterThan" allowBlank="1" showInputMessage="1" showErrorMessage="1" sqref="A6534">
      <formula1>0</formula1>
    </dataValidation>
    <dataValidation type="list" allowBlank="1" showInputMessage="1" showErrorMessage="1" sqref="C6534">
      <formula1>UnidadesList</formula1>
    </dataValidation>
    <dataValidation type="decimal" operator="greaterThan" allowBlank="1" showInputMessage="1" showErrorMessage="1" sqref="D6534">
      <formula1>0</formula1>
    </dataValidation>
    <dataValidation type="decimal" operator="greaterThan" allowBlank="1" showInputMessage="1" showErrorMessage="1" sqref="E6534">
      <formula1>0</formula1>
    </dataValidation>
    <dataValidation type="whole" operator="greaterThan" allowBlank="1" showInputMessage="1" showErrorMessage="1" sqref="A6535">
      <formula1>0</formula1>
    </dataValidation>
    <dataValidation type="list" allowBlank="1" showInputMessage="1" showErrorMessage="1" sqref="C6535">
      <formula1>UnidadesList</formula1>
    </dataValidation>
    <dataValidation type="decimal" operator="greaterThan" allowBlank="1" showInputMessage="1" showErrorMessage="1" sqref="D6535">
      <formula1>0</formula1>
    </dataValidation>
    <dataValidation type="decimal" operator="greaterThan" allowBlank="1" showInputMessage="1" showErrorMessage="1" sqref="E6535">
      <formula1>0</formula1>
    </dataValidation>
    <dataValidation type="whole" operator="greaterThan" allowBlank="1" showInputMessage="1" showErrorMessage="1" sqref="A6536">
      <formula1>0</formula1>
    </dataValidation>
    <dataValidation type="list" allowBlank="1" showInputMessage="1" showErrorMessage="1" sqref="C6536">
      <formula1>UnidadesList</formula1>
    </dataValidation>
    <dataValidation type="decimal" operator="greaterThan" allowBlank="1" showInputMessage="1" showErrorMessage="1" sqref="D6536">
      <formula1>0</formula1>
    </dataValidation>
    <dataValidation type="decimal" operator="greaterThan" allowBlank="1" showInputMessage="1" showErrorMessage="1" sqref="E6536">
      <formula1>0</formula1>
    </dataValidation>
    <dataValidation type="whole" operator="greaterThan" allowBlank="1" showInputMessage="1" showErrorMessage="1" sqref="A6537">
      <formula1>0</formula1>
    </dataValidation>
    <dataValidation type="list" allowBlank="1" showInputMessage="1" showErrorMessage="1" sqref="C6537">
      <formula1>UnidadesList</formula1>
    </dataValidation>
    <dataValidation type="decimal" operator="greaterThan" allowBlank="1" showInputMessage="1" showErrorMessage="1" sqref="D6537">
      <formula1>0</formula1>
    </dataValidation>
    <dataValidation type="decimal" operator="greaterThan" allowBlank="1" showInputMessage="1" showErrorMessage="1" sqref="E6537">
      <formula1>0</formula1>
    </dataValidation>
    <dataValidation type="whole" operator="greaterThan" allowBlank="1" showInputMessage="1" showErrorMessage="1" sqref="A6538">
      <formula1>0</formula1>
    </dataValidation>
    <dataValidation type="list" allowBlank="1" showInputMessage="1" showErrorMessage="1" sqref="C6538">
      <formula1>UnidadesList</formula1>
    </dataValidation>
    <dataValidation type="decimal" operator="greaterThan" allowBlank="1" showInputMessage="1" showErrorMessage="1" sqref="D6538">
      <formula1>0</formula1>
    </dataValidation>
    <dataValidation type="decimal" operator="greaterThan" allowBlank="1" showInputMessage="1" showErrorMessage="1" sqref="E6538">
      <formula1>0</formula1>
    </dataValidation>
    <dataValidation type="whole" operator="greaterThan" allowBlank="1" showInputMessage="1" showErrorMessage="1" sqref="A6539">
      <formula1>0</formula1>
    </dataValidation>
    <dataValidation type="list" allowBlank="1" showInputMessage="1" showErrorMessage="1" sqref="C6539">
      <formula1>UnidadesList</formula1>
    </dataValidation>
    <dataValidation type="decimal" operator="greaterThan" allowBlank="1" showInputMessage="1" showErrorMessage="1" sqref="D6539">
      <formula1>0</formula1>
    </dataValidation>
    <dataValidation type="decimal" operator="greaterThan" allowBlank="1" showInputMessage="1" showErrorMessage="1" sqref="E6539">
      <formula1>0</formula1>
    </dataValidation>
    <dataValidation type="whole" operator="greaterThan" allowBlank="1" showInputMessage="1" showErrorMessage="1" sqref="A6540">
      <formula1>0</formula1>
    </dataValidation>
    <dataValidation type="list" allowBlank="1" showInputMessage="1" showErrorMessage="1" sqref="C6540">
      <formula1>UnidadesList</formula1>
    </dataValidation>
    <dataValidation type="decimal" operator="greaterThan" allowBlank="1" showInputMessage="1" showErrorMessage="1" sqref="D6540">
      <formula1>0</formula1>
    </dataValidation>
    <dataValidation type="decimal" operator="greaterThan" allowBlank="1" showInputMessage="1" showErrorMessage="1" sqref="E6540">
      <formula1>0</formula1>
    </dataValidation>
    <dataValidation type="whole" operator="greaterThan" allowBlank="1" showInputMessage="1" showErrorMessage="1" sqref="A6541">
      <formula1>0</formula1>
    </dataValidation>
    <dataValidation type="list" allowBlank="1" showInputMessage="1" showErrorMessage="1" sqref="C6541">
      <formula1>UnidadesList</formula1>
    </dataValidation>
    <dataValidation type="decimal" operator="greaterThan" allowBlank="1" showInputMessage="1" showErrorMessage="1" sqref="D6541">
      <formula1>0</formula1>
    </dataValidation>
    <dataValidation type="decimal" operator="greaterThan" allowBlank="1" showInputMessage="1" showErrorMessage="1" sqref="E6541">
      <formula1>0</formula1>
    </dataValidation>
    <dataValidation type="whole" operator="greaterThan" allowBlank="1" showInputMessage="1" showErrorMessage="1" sqref="A6542">
      <formula1>0</formula1>
    </dataValidation>
    <dataValidation type="list" allowBlank="1" showInputMessage="1" showErrorMessage="1" sqref="C6542">
      <formula1>UnidadesList</formula1>
    </dataValidation>
    <dataValidation type="decimal" operator="greaterThan" allowBlank="1" showInputMessage="1" showErrorMessage="1" sqref="D6542">
      <formula1>0</formula1>
    </dataValidation>
    <dataValidation type="decimal" operator="greaterThan" allowBlank="1" showInputMessage="1" showErrorMessage="1" sqref="E6542">
      <formula1>0</formula1>
    </dataValidation>
    <dataValidation type="whole" operator="greaterThan" allowBlank="1" showInputMessage="1" showErrorMessage="1" sqref="A6543">
      <formula1>0</formula1>
    </dataValidation>
    <dataValidation type="list" allowBlank="1" showInputMessage="1" showErrorMessage="1" sqref="C6543">
      <formula1>UnidadesList</formula1>
    </dataValidation>
    <dataValidation type="decimal" operator="greaterThan" allowBlank="1" showInputMessage="1" showErrorMessage="1" sqref="D6543">
      <formula1>0</formula1>
    </dataValidation>
    <dataValidation type="decimal" operator="greaterThan" allowBlank="1" showInputMessage="1" showErrorMessage="1" sqref="E6543">
      <formula1>0</formula1>
    </dataValidation>
    <dataValidation type="whole" operator="greaterThan" allowBlank="1" showInputMessage="1" showErrorMessage="1" sqref="A6544">
      <formula1>0</formula1>
    </dataValidation>
    <dataValidation type="list" allowBlank="1" showInputMessage="1" showErrorMessage="1" sqref="C6544">
      <formula1>UnidadesList</formula1>
    </dataValidation>
    <dataValidation type="decimal" operator="greaterThan" allowBlank="1" showInputMessage="1" showErrorMessage="1" sqref="D6544">
      <formula1>0</formula1>
    </dataValidation>
    <dataValidation type="decimal" operator="greaterThan" allowBlank="1" showInputMessage="1" showErrorMessage="1" sqref="E6544">
      <formula1>0</formula1>
    </dataValidation>
    <dataValidation type="whole" operator="greaterThan" allowBlank="1" showInputMessage="1" showErrorMessage="1" sqref="A6545">
      <formula1>0</formula1>
    </dataValidation>
    <dataValidation type="list" allowBlank="1" showInputMessage="1" showErrorMessage="1" sqref="C6545">
      <formula1>UnidadesList</formula1>
    </dataValidation>
    <dataValidation type="decimal" operator="greaterThan" allowBlank="1" showInputMessage="1" showErrorMessage="1" sqref="D6545">
      <formula1>0</formula1>
    </dataValidation>
    <dataValidation type="decimal" operator="greaterThan" allowBlank="1" showInputMessage="1" showErrorMessage="1" sqref="E6545">
      <formula1>0</formula1>
    </dataValidation>
    <dataValidation type="whole" operator="greaterThan" allowBlank="1" showInputMessage="1" showErrorMessage="1" sqref="A6546">
      <formula1>0</formula1>
    </dataValidation>
    <dataValidation type="list" allowBlank="1" showInputMessage="1" showErrorMessage="1" sqref="C6546">
      <formula1>UnidadesList</formula1>
    </dataValidation>
    <dataValidation type="decimal" operator="greaterThan" allowBlank="1" showInputMessage="1" showErrorMessage="1" sqref="D6546">
      <formula1>0</formula1>
    </dataValidation>
    <dataValidation type="decimal" operator="greaterThan" allowBlank="1" showInputMessage="1" showErrorMessage="1" sqref="E6546">
      <formula1>0</formula1>
    </dataValidation>
    <dataValidation type="whole" operator="greaterThan" allowBlank="1" showInputMessage="1" showErrorMessage="1" sqref="A6547">
      <formula1>0</formula1>
    </dataValidation>
    <dataValidation type="list" allowBlank="1" showInputMessage="1" showErrorMessage="1" sqref="C6547">
      <formula1>UnidadesList</formula1>
    </dataValidation>
    <dataValidation type="decimal" operator="greaterThan" allowBlank="1" showInputMessage="1" showErrorMessage="1" sqref="D6547">
      <formula1>0</formula1>
    </dataValidation>
    <dataValidation type="decimal" operator="greaterThan" allowBlank="1" showInputMessage="1" showErrorMessage="1" sqref="E6547">
      <formula1>0</formula1>
    </dataValidation>
    <dataValidation type="whole" operator="greaterThan" allowBlank="1" showInputMessage="1" showErrorMessage="1" sqref="A6548">
      <formula1>0</formula1>
    </dataValidation>
    <dataValidation type="list" allowBlank="1" showInputMessage="1" showErrorMessage="1" sqref="C6548">
      <formula1>UnidadesList</formula1>
    </dataValidation>
    <dataValidation type="decimal" operator="greaterThan" allowBlank="1" showInputMessage="1" showErrorMessage="1" sqref="D6548">
      <formula1>0</formula1>
    </dataValidation>
    <dataValidation type="decimal" operator="greaterThan" allowBlank="1" showInputMessage="1" showErrorMessage="1" sqref="E6548">
      <formula1>0</formula1>
    </dataValidation>
    <dataValidation type="whole" operator="greaterThan" allowBlank="1" showInputMessage="1" showErrorMessage="1" sqref="A6549">
      <formula1>0</formula1>
    </dataValidation>
    <dataValidation type="list" allowBlank="1" showInputMessage="1" showErrorMessage="1" sqref="C6549">
      <formula1>UnidadesList</formula1>
    </dataValidation>
    <dataValidation type="decimal" operator="greaterThan" allowBlank="1" showInputMessage="1" showErrorMessage="1" sqref="D6549">
      <formula1>0</formula1>
    </dataValidation>
    <dataValidation type="decimal" operator="greaterThan" allowBlank="1" showInputMessage="1" showErrorMessage="1" sqref="E6549">
      <formula1>0</formula1>
    </dataValidation>
    <dataValidation type="whole" operator="greaterThan" allowBlank="1" showInputMessage="1" showErrorMessage="1" sqref="A6550">
      <formula1>0</formula1>
    </dataValidation>
    <dataValidation type="list" allowBlank="1" showInputMessage="1" showErrorMessage="1" sqref="C6550">
      <formula1>UnidadesList</formula1>
    </dataValidation>
    <dataValidation type="decimal" operator="greaterThan" allowBlank="1" showInputMessage="1" showErrorMessage="1" sqref="D6550">
      <formula1>0</formula1>
    </dataValidation>
    <dataValidation type="decimal" operator="greaterThan" allowBlank="1" showInputMessage="1" showErrorMessage="1" sqref="E6550">
      <formula1>0</formula1>
    </dataValidation>
    <dataValidation type="whole" operator="greaterThan" allowBlank="1" showInputMessage="1" showErrorMessage="1" sqref="A6551">
      <formula1>0</formula1>
    </dataValidation>
    <dataValidation type="list" allowBlank="1" showInputMessage="1" showErrorMessage="1" sqref="C6551">
      <formula1>UnidadesList</formula1>
    </dataValidation>
    <dataValidation type="decimal" operator="greaterThan" allowBlank="1" showInputMessage="1" showErrorMessage="1" sqref="D6551">
      <formula1>0</formula1>
    </dataValidation>
    <dataValidation type="decimal" operator="greaterThan" allowBlank="1" showInputMessage="1" showErrorMessage="1" sqref="E6551">
      <formula1>0</formula1>
    </dataValidation>
    <dataValidation type="whole" operator="greaterThan" allowBlank="1" showInputMessage="1" showErrorMessage="1" sqref="A6552">
      <formula1>0</formula1>
    </dataValidation>
    <dataValidation type="list" allowBlank="1" showInputMessage="1" showErrorMessage="1" sqref="C6552">
      <formula1>UnidadesList</formula1>
    </dataValidation>
    <dataValidation type="decimal" operator="greaterThan" allowBlank="1" showInputMessage="1" showErrorMessage="1" sqref="D6552">
      <formula1>0</formula1>
    </dataValidation>
    <dataValidation type="decimal" operator="greaterThan" allowBlank="1" showInputMessage="1" showErrorMessage="1" sqref="E6552">
      <formula1>0</formula1>
    </dataValidation>
    <dataValidation type="whole" operator="greaterThan" allowBlank="1" showInputMessage="1" showErrorMessage="1" sqref="A6553">
      <formula1>0</formula1>
    </dataValidation>
    <dataValidation type="list" allowBlank="1" showInputMessage="1" showErrorMessage="1" sqref="C6553">
      <formula1>UnidadesList</formula1>
    </dataValidation>
    <dataValidation type="decimal" operator="greaterThan" allowBlank="1" showInputMessage="1" showErrorMessage="1" sqref="D6553">
      <formula1>0</formula1>
    </dataValidation>
    <dataValidation type="decimal" operator="greaterThan" allowBlank="1" showInputMessage="1" showErrorMessage="1" sqref="E6553">
      <formula1>0</formula1>
    </dataValidation>
    <dataValidation type="whole" operator="greaterThan" allowBlank="1" showInputMessage="1" showErrorMessage="1" sqref="A6554">
      <formula1>0</formula1>
    </dataValidation>
    <dataValidation type="list" allowBlank="1" showInputMessage="1" showErrorMessage="1" sqref="C6554">
      <formula1>UnidadesList</formula1>
    </dataValidation>
    <dataValidation type="decimal" operator="greaterThan" allowBlank="1" showInputMessage="1" showErrorMessage="1" sqref="D6554">
      <formula1>0</formula1>
    </dataValidation>
    <dataValidation type="decimal" operator="greaterThan" allowBlank="1" showInputMessage="1" showErrorMessage="1" sqref="E6554">
      <formula1>0</formula1>
    </dataValidation>
    <dataValidation type="whole" operator="greaterThan" allowBlank="1" showInputMessage="1" showErrorMessage="1" sqref="A6555">
      <formula1>0</formula1>
    </dataValidation>
    <dataValidation type="list" allowBlank="1" showInputMessage="1" showErrorMessage="1" sqref="C6555">
      <formula1>UnidadesList</formula1>
    </dataValidation>
    <dataValidation type="decimal" operator="greaterThan" allowBlank="1" showInputMessage="1" showErrorMessage="1" sqref="D6555">
      <formula1>0</formula1>
    </dataValidation>
    <dataValidation type="decimal" operator="greaterThan" allowBlank="1" showInputMessage="1" showErrorMessage="1" sqref="E6555">
      <formula1>0</formula1>
    </dataValidation>
    <dataValidation type="whole" operator="greaterThan" allowBlank="1" showInputMessage="1" showErrorMessage="1" sqref="A6556">
      <formula1>0</formula1>
    </dataValidation>
    <dataValidation type="list" allowBlank="1" showInputMessage="1" showErrorMessage="1" sqref="C6556">
      <formula1>UnidadesList</formula1>
    </dataValidation>
    <dataValidation type="decimal" operator="greaterThan" allowBlank="1" showInputMessage="1" showErrorMessage="1" sqref="D6556">
      <formula1>0</formula1>
    </dataValidation>
    <dataValidation type="decimal" operator="greaterThan" allowBlank="1" showInputMessage="1" showErrorMessage="1" sqref="E6556">
      <formula1>0</formula1>
    </dataValidation>
    <dataValidation type="whole" operator="greaterThan" allowBlank="1" showInputMessage="1" showErrorMessage="1" sqref="A6557">
      <formula1>0</formula1>
    </dataValidation>
    <dataValidation type="list" allowBlank="1" showInputMessage="1" showErrorMessage="1" sqref="C6557">
      <formula1>UnidadesList</formula1>
    </dataValidation>
    <dataValidation type="decimal" operator="greaterThan" allowBlank="1" showInputMessage="1" showErrorMessage="1" sqref="D6557">
      <formula1>0</formula1>
    </dataValidation>
    <dataValidation type="decimal" operator="greaterThan" allowBlank="1" showInputMessage="1" showErrorMessage="1" sqref="E6557">
      <formula1>0</formula1>
    </dataValidation>
    <dataValidation type="whole" operator="greaterThan" allowBlank="1" showInputMessage="1" showErrorMessage="1" sqref="A6558">
      <formula1>0</formula1>
    </dataValidation>
    <dataValidation type="list" allowBlank="1" showInputMessage="1" showErrorMessage="1" sqref="C6558">
      <formula1>UnidadesList</formula1>
    </dataValidation>
    <dataValidation type="decimal" operator="greaterThan" allowBlank="1" showInputMessage="1" showErrorMessage="1" sqref="D6558">
      <formula1>0</formula1>
    </dataValidation>
    <dataValidation type="decimal" operator="greaterThan" allowBlank="1" showInputMessage="1" showErrorMessage="1" sqref="E6558">
      <formula1>0</formula1>
    </dataValidation>
    <dataValidation type="whole" operator="greaterThan" allowBlank="1" showInputMessage="1" showErrorMessage="1" sqref="A6559">
      <formula1>0</formula1>
    </dataValidation>
    <dataValidation type="list" allowBlank="1" showInputMessage="1" showErrorMessage="1" sqref="C6559">
      <formula1>UnidadesList</formula1>
    </dataValidation>
    <dataValidation type="decimal" operator="greaterThan" allowBlank="1" showInputMessage="1" showErrorMessage="1" sqref="D6559">
      <formula1>0</formula1>
    </dataValidation>
    <dataValidation type="decimal" operator="greaterThan" allowBlank="1" showInputMessage="1" showErrorMessage="1" sqref="E6559">
      <formula1>0</formula1>
    </dataValidation>
    <dataValidation type="whole" operator="greaterThan" allowBlank="1" showInputMessage="1" showErrorMessage="1" sqref="A6560">
      <formula1>0</formula1>
    </dataValidation>
    <dataValidation type="list" allowBlank="1" showInputMessage="1" showErrorMessage="1" sqref="C6560">
      <formula1>UnidadesList</formula1>
    </dataValidation>
    <dataValidation type="decimal" operator="greaterThan" allowBlank="1" showInputMessage="1" showErrorMessage="1" sqref="D6560">
      <formula1>0</formula1>
    </dataValidation>
    <dataValidation type="decimal" operator="greaterThan" allowBlank="1" showInputMessage="1" showErrorMessage="1" sqref="E6560">
      <formula1>0</formula1>
    </dataValidation>
    <dataValidation type="whole" operator="greaterThan" allowBlank="1" showInputMessage="1" showErrorMessage="1" sqref="A6561">
      <formula1>0</formula1>
    </dataValidation>
    <dataValidation type="list" allowBlank="1" showInputMessage="1" showErrorMessage="1" sqref="C6561">
      <formula1>UnidadesList</formula1>
    </dataValidation>
    <dataValidation type="decimal" operator="greaterThan" allowBlank="1" showInputMessage="1" showErrorMessage="1" sqref="D6561">
      <formula1>0</formula1>
    </dataValidation>
    <dataValidation type="decimal" operator="greaterThan" allowBlank="1" showInputMessage="1" showErrorMessage="1" sqref="E6561">
      <formula1>0</formula1>
    </dataValidation>
    <dataValidation type="whole" operator="greaterThan" allowBlank="1" showInputMessage="1" showErrorMessage="1" sqref="A6562">
      <formula1>0</formula1>
    </dataValidation>
    <dataValidation type="list" allowBlank="1" showInputMessage="1" showErrorMessage="1" sqref="C6562">
      <formula1>UnidadesList</formula1>
    </dataValidation>
    <dataValidation type="decimal" operator="greaterThan" allowBlank="1" showInputMessage="1" showErrorMessage="1" sqref="D6562">
      <formula1>0</formula1>
    </dataValidation>
    <dataValidation type="decimal" operator="greaterThan" allowBlank="1" showInputMessage="1" showErrorMessage="1" sqref="E6562">
      <formula1>0</formula1>
    </dataValidation>
    <dataValidation type="whole" operator="greaterThan" allowBlank="1" showInputMessage="1" showErrorMessage="1" sqref="A6563">
      <formula1>0</formula1>
    </dataValidation>
    <dataValidation type="list" allowBlank="1" showInputMessage="1" showErrorMessage="1" sqref="C6563">
      <formula1>UnidadesList</formula1>
    </dataValidation>
    <dataValidation type="decimal" operator="greaterThan" allowBlank="1" showInputMessage="1" showErrorMessage="1" sqref="D6563">
      <formula1>0</formula1>
    </dataValidation>
    <dataValidation type="decimal" operator="greaterThan" allowBlank="1" showInputMessage="1" showErrorMessage="1" sqref="E6563">
      <formula1>0</formula1>
    </dataValidation>
    <dataValidation type="whole" operator="greaterThan" allowBlank="1" showInputMessage="1" showErrorMessage="1" sqref="A6564">
      <formula1>0</formula1>
    </dataValidation>
    <dataValidation type="list" allowBlank="1" showInputMessage="1" showErrorMessage="1" sqref="C6564">
      <formula1>UnidadesList</formula1>
    </dataValidation>
    <dataValidation type="decimal" operator="greaterThan" allowBlank="1" showInputMessage="1" showErrorMessage="1" sqref="D6564">
      <formula1>0</formula1>
    </dataValidation>
    <dataValidation type="decimal" operator="greaterThan" allowBlank="1" showInputMessage="1" showErrorMessage="1" sqref="E6564">
      <formula1>0</formula1>
    </dataValidation>
    <dataValidation type="whole" operator="greaterThan" allowBlank="1" showInputMessage="1" showErrorMessage="1" sqref="A6565">
      <formula1>0</formula1>
    </dataValidation>
    <dataValidation type="list" allowBlank="1" showInputMessage="1" showErrorMessage="1" sqref="C6565">
      <formula1>UnidadesList</formula1>
    </dataValidation>
    <dataValidation type="decimal" operator="greaterThan" allowBlank="1" showInputMessage="1" showErrorMessage="1" sqref="D6565">
      <formula1>0</formula1>
    </dataValidation>
    <dataValidation type="decimal" operator="greaterThan" allowBlank="1" showInputMessage="1" showErrorMessage="1" sqref="E6565">
      <formula1>0</formula1>
    </dataValidation>
    <dataValidation type="whole" operator="greaterThan" allowBlank="1" showInputMessage="1" showErrorMessage="1" sqref="A6566">
      <formula1>0</formula1>
    </dataValidation>
    <dataValidation type="list" allowBlank="1" showInputMessage="1" showErrorMessage="1" sqref="C6566">
      <formula1>UnidadesList</formula1>
    </dataValidation>
    <dataValidation type="decimal" operator="greaterThan" allowBlank="1" showInputMessage="1" showErrorMessage="1" sqref="D6566">
      <formula1>0</formula1>
    </dataValidation>
    <dataValidation type="decimal" operator="greaterThan" allowBlank="1" showInputMessage="1" showErrorMessage="1" sqref="E6566">
      <formula1>0</formula1>
    </dataValidation>
    <dataValidation type="whole" operator="greaterThan" allowBlank="1" showInputMessage="1" showErrorMessage="1" sqref="A6567">
      <formula1>0</formula1>
    </dataValidation>
    <dataValidation type="list" allowBlank="1" showInputMessage="1" showErrorMessage="1" sqref="C6567">
      <formula1>UnidadesList</formula1>
    </dataValidation>
    <dataValidation type="decimal" operator="greaterThan" allowBlank="1" showInputMessage="1" showErrorMessage="1" sqref="D6567">
      <formula1>0</formula1>
    </dataValidation>
    <dataValidation type="decimal" operator="greaterThan" allowBlank="1" showInputMessage="1" showErrorMessage="1" sqref="E6567">
      <formula1>0</formula1>
    </dataValidation>
    <dataValidation type="whole" operator="greaterThan" allowBlank="1" showInputMessage="1" showErrorMessage="1" sqref="A6568">
      <formula1>0</formula1>
    </dataValidation>
    <dataValidation type="list" allowBlank="1" showInputMessage="1" showErrorMessage="1" sqref="C6568">
      <formula1>UnidadesList</formula1>
    </dataValidation>
    <dataValidation type="decimal" operator="greaterThan" allowBlank="1" showInputMessage="1" showErrorMessage="1" sqref="D6568">
      <formula1>0</formula1>
    </dataValidation>
    <dataValidation type="decimal" operator="greaterThan" allowBlank="1" showInputMessage="1" showErrorMessage="1" sqref="E6568">
      <formula1>0</formula1>
    </dataValidation>
    <dataValidation type="whole" operator="greaterThan" allowBlank="1" showInputMessage="1" showErrorMessage="1" sqref="A6569">
      <formula1>0</formula1>
    </dataValidation>
    <dataValidation type="list" allowBlank="1" showInputMessage="1" showErrorMessage="1" sqref="C6569">
      <formula1>UnidadesList</formula1>
    </dataValidation>
    <dataValidation type="decimal" operator="greaterThan" allowBlank="1" showInputMessage="1" showErrorMessage="1" sqref="D6569">
      <formula1>0</formula1>
    </dataValidation>
    <dataValidation type="decimal" operator="greaterThan" allowBlank="1" showInputMessage="1" showErrorMessage="1" sqref="E6569">
      <formula1>0</formula1>
    </dataValidation>
    <dataValidation type="whole" operator="greaterThan" allowBlank="1" showInputMessage="1" showErrorMessage="1" sqref="A6570">
      <formula1>0</formula1>
    </dataValidation>
    <dataValidation type="list" allowBlank="1" showInputMessage="1" showErrorMessage="1" sqref="C6570">
      <formula1>UnidadesList</formula1>
    </dataValidation>
    <dataValidation type="decimal" operator="greaterThan" allowBlank="1" showInputMessage="1" showErrorMessage="1" sqref="D6570">
      <formula1>0</formula1>
    </dataValidation>
    <dataValidation type="decimal" operator="greaterThan" allowBlank="1" showInputMessage="1" showErrorMessage="1" sqref="E6570">
      <formula1>0</formula1>
    </dataValidation>
    <dataValidation type="whole" operator="greaterThan" allowBlank="1" showInputMessage="1" showErrorMessage="1" sqref="A6571">
      <formula1>0</formula1>
    </dataValidation>
    <dataValidation type="list" allowBlank="1" showInputMessage="1" showErrorMessage="1" sqref="C6571">
      <formula1>UnidadesList</formula1>
    </dataValidation>
    <dataValidation type="decimal" operator="greaterThan" allowBlank="1" showInputMessage="1" showErrorMessage="1" sqref="D6571">
      <formula1>0</formula1>
    </dataValidation>
    <dataValidation type="decimal" operator="greaterThan" allowBlank="1" showInputMessage="1" showErrorMessage="1" sqref="E6571">
      <formula1>0</formula1>
    </dataValidation>
    <dataValidation type="whole" operator="greaterThan" allowBlank="1" showInputMessage="1" showErrorMessage="1" sqref="A6572">
      <formula1>0</formula1>
    </dataValidation>
    <dataValidation type="list" allowBlank="1" showInputMessage="1" showErrorMessage="1" sqref="C6572">
      <formula1>UnidadesList</formula1>
    </dataValidation>
    <dataValidation type="decimal" operator="greaterThan" allowBlank="1" showInputMessage="1" showErrorMessage="1" sqref="D6572">
      <formula1>0</formula1>
    </dataValidation>
    <dataValidation type="decimal" operator="greaterThan" allowBlank="1" showInputMessage="1" showErrorMessage="1" sqref="E6572">
      <formula1>0</formula1>
    </dataValidation>
    <dataValidation type="whole" operator="greaterThan" allowBlank="1" showInputMessage="1" showErrorMessage="1" sqref="A6573">
      <formula1>0</formula1>
    </dataValidation>
    <dataValidation type="list" allowBlank="1" showInputMessage="1" showErrorMessage="1" sqref="C6573">
      <formula1>UnidadesList</formula1>
    </dataValidation>
    <dataValidation type="decimal" operator="greaterThan" allowBlank="1" showInputMessage="1" showErrorMessage="1" sqref="D6573">
      <formula1>0</formula1>
    </dataValidation>
    <dataValidation type="decimal" operator="greaterThan" allowBlank="1" showInputMessage="1" showErrorMessage="1" sqref="E6573">
      <formula1>0</formula1>
    </dataValidation>
    <dataValidation type="whole" operator="greaterThan" allowBlank="1" showInputMessage="1" showErrorMessage="1" sqref="A6574">
      <formula1>0</formula1>
    </dataValidation>
    <dataValidation type="list" allowBlank="1" showInputMessage="1" showErrorMessage="1" sqref="C6574">
      <formula1>UnidadesList</formula1>
    </dataValidation>
    <dataValidation type="decimal" operator="greaterThan" allowBlank="1" showInputMessage="1" showErrorMessage="1" sqref="D6574">
      <formula1>0</formula1>
    </dataValidation>
    <dataValidation type="decimal" operator="greaterThan" allowBlank="1" showInputMessage="1" showErrorMessage="1" sqref="E6574">
      <formula1>0</formula1>
    </dataValidation>
    <dataValidation type="whole" operator="greaterThan" allowBlank="1" showInputMessage="1" showErrorMessage="1" sqref="A6575">
      <formula1>0</formula1>
    </dataValidation>
    <dataValidation type="list" allowBlank="1" showInputMessage="1" showErrorMessage="1" sqref="C6575">
      <formula1>UnidadesList</formula1>
    </dataValidation>
    <dataValidation type="decimal" operator="greaterThan" allowBlank="1" showInputMessage="1" showErrorMessage="1" sqref="D6575">
      <formula1>0</formula1>
    </dataValidation>
    <dataValidation type="decimal" operator="greaterThan" allowBlank="1" showInputMessage="1" showErrorMessage="1" sqref="E6575">
      <formula1>0</formula1>
    </dataValidation>
    <dataValidation type="whole" operator="greaterThan" allowBlank="1" showInputMessage="1" showErrorMessage="1" sqref="A6576">
      <formula1>0</formula1>
    </dataValidation>
    <dataValidation type="list" allowBlank="1" showInputMessage="1" showErrorMessage="1" sqref="C6576">
      <formula1>UnidadesList</formula1>
    </dataValidation>
    <dataValidation type="decimal" operator="greaterThan" allowBlank="1" showInputMessage="1" showErrorMessage="1" sqref="D6576">
      <formula1>0</formula1>
    </dataValidation>
    <dataValidation type="decimal" operator="greaterThan" allowBlank="1" showInputMessage="1" showErrorMessage="1" sqref="E6576">
      <formula1>0</formula1>
    </dataValidation>
    <dataValidation type="whole" operator="greaterThan" allowBlank="1" showInputMessage="1" showErrorMessage="1" sqref="A6577">
      <formula1>0</formula1>
    </dataValidation>
    <dataValidation type="list" allowBlank="1" showInputMessage="1" showErrorMessage="1" sqref="C6577">
      <formula1>UnidadesList</formula1>
    </dataValidation>
    <dataValidation type="decimal" operator="greaterThan" allowBlank="1" showInputMessage="1" showErrorMessage="1" sqref="D6577">
      <formula1>0</formula1>
    </dataValidation>
    <dataValidation type="decimal" operator="greaterThan" allowBlank="1" showInputMessage="1" showErrorMessage="1" sqref="E6577">
      <formula1>0</formula1>
    </dataValidation>
    <dataValidation type="whole" operator="greaterThan" allowBlank="1" showInputMessage="1" showErrorMessage="1" sqref="A6578">
      <formula1>0</formula1>
    </dataValidation>
    <dataValidation type="list" allowBlank="1" showInputMessage="1" showErrorMessage="1" sqref="C6578">
      <formula1>UnidadesList</formula1>
    </dataValidation>
    <dataValidation type="decimal" operator="greaterThan" allowBlank="1" showInputMessage="1" showErrorMessage="1" sqref="D6578">
      <formula1>0</formula1>
    </dataValidation>
    <dataValidation type="decimal" operator="greaterThan" allowBlank="1" showInputMessage="1" showErrorMessage="1" sqref="E6578">
      <formula1>0</formula1>
    </dataValidation>
    <dataValidation type="whole" operator="greaterThan" allowBlank="1" showInputMessage="1" showErrorMessage="1" sqref="A6579">
      <formula1>0</formula1>
    </dataValidation>
    <dataValidation type="list" allowBlank="1" showInputMessage="1" showErrorMessage="1" sqref="C6579">
      <formula1>UnidadesList</formula1>
    </dataValidation>
    <dataValidation type="decimal" operator="greaterThan" allowBlank="1" showInputMessage="1" showErrorMessage="1" sqref="D6579">
      <formula1>0</formula1>
    </dataValidation>
    <dataValidation type="decimal" operator="greaterThan" allowBlank="1" showInputMessage="1" showErrorMessage="1" sqref="E6579">
      <formula1>0</formula1>
    </dataValidation>
    <dataValidation type="whole" operator="greaterThan" allowBlank="1" showInputMessage="1" showErrorMessage="1" sqref="A6580">
      <formula1>0</formula1>
    </dataValidation>
    <dataValidation type="list" allowBlank="1" showInputMessage="1" showErrorMessage="1" sqref="C6580">
      <formula1>UnidadesList</formula1>
    </dataValidation>
    <dataValidation type="decimal" operator="greaterThan" allowBlank="1" showInputMessage="1" showErrorMessage="1" sqref="D6580">
      <formula1>0</formula1>
    </dataValidation>
    <dataValidation type="decimal" operator="greaterThan" allowBlank="1" showInputMessage="1" showErrorMessage="1" sqref="E6580">
      <formula1>0</formula1>
    </dataValidation>
    <dataValidation type="whole" operator="greaterThan" allowBlank="1" showInputMessage="1" showErrorMessage="1" sqref="A6581">
      <formula1>0</formula1>
    </dataValidation>
    <dataValidation type="list" allowBlank="1" showInputMessage="1" showErrorMessage="1" sqref="C6581">
      <formula1>UnidadesList</formula1>
    </dataValidation>
    <dataValidation type="decimal" operator="greaterThan" allowBlank="1" showInputMessage="1" showErrorMessage="1" sqref="D6581">
      <formula1>0</formula1>
    </dataValidation>
    <dataValidation type="decimal" operator="greaterThan" allowBlank="1" showInputMessage="1" showErrorMessage="1" sqref="E6581">
      <formula1>0</formula1>
    </dataValidation>
    <dataValidation type="whole" operator="greaterThan" allowBlank="1" showInputMessage="1" showErrorMessage="1" sqref="A6582">
      <formula1>0</formula1>
    </dataValidation>
    <dataValidation type="list" allowBlank="1" showInputMessage="1" showErrorMessage="1" sqref="C6582">
      <formula1>UnidadesList</formula1>
    </dataValidation>
    <dataValidation type="decimal" operator="greaterThan" allowBlank="1" showInputMessage="1" showErrorMessage="1" sqref="D6582">
      <formula1>0</formula1>
    </dataValidation>
    <dataValidation type="decimal" operator="greaterThan" allowBlank="1" showInputMessage="1" showErrorMessage="1" sqref="E6582">
      <formula1>0</formula1>
    </dataValidation>
    <dataValidation type="whole" operator="greaterThan" allowBlank="1" showInputMessage="1" showErrorMessage="1" sqref="A6583">
      <formula1>0</formula1>
    </dataValidation>
    <dataValidation type="list" allowBlank="1" showInputMessage="1" showErrorMessage="1" sqref="C6583">
      <formula1>UnidadesList</formula1>
    </dataValidation>
    <dataValidation type="decimal" operator="greaterThan" allowBlank="1" showInputMessage="1" showErrorMessage="1" sqref="D6583">
      <formula1>0</formula1>
    </dataValidation>
    <dataValidation type="decimal" operator="greaterThan" allowBlank="1" showInputMessage="1" showErrorMessage="1" sqref="E6583">
      <formula1>0</formula1>
    </dataValidation>
    <dataValidation type="whole" operator="greaterThan" allowBlank="1" showInputMessage="1" showErrorMessage="1" sqref="A6584">
      <formula1>0</formula1>
    </dataValidation>
    <dataValidation type="list" allowBlank="1" showInputMessage="1" showErrorMessage="1" sqref="C6584">
      <formula1>UnidadesList</formula1>
    </dataValidation>
    <dataValidation type="decimal" operator="greaterThan" allowBlank="1" showInputMessage="1" showErrorMessage="1" sqref="D6584">
      <formula1>0</formula1>
    </dataValidation>
    <dataValidation type="decimal" operator="greaterThan" allowBlank="1" showInputMessage="1" showErrorMessage="1" sqref="E6584">
      <formula1>0</formula1>
    </dataValidation>
    <dataValidation type="whole" operator="greaterThan" allowBlank="1" showInputMessage="1" showErrorMessage="1" sqref="A6585">
      <formula1>0</formula1>
    </dataValidation>
    <dataValidation type="list" allowBlank="1" showInputMessage="1" showErrorMessage="1" sqref="C6585">
      <formula1>UnidadesList</formula1>
    </dataValidation>
    <dataValidation type="decimal" operator="greaterThan" allowBlank="1" showInputMessage="1" showErrorMessage="1" sqref="D6585">
      <formula1>0</formula1>
    </dataValidation>
    <dataValidation type="decimal" operator="greaterThan" allowBlank="1" showInputMessage="1" showErrorMessage="1" sqref="E6585">
      <formula1>0</formula1>
    </dataValidation>
    <dataValidation type="whole" operator="greaterThan" allowBlank="1" showInputMessage="1" showErrorMessage="1" sqref="A6586">
      <formula1>0</formula1>
    </dataValidation>
    <dataValidation type="list" allowBlank="1" showInputMessage="1" showErrorMessage="1" sqref="C6586">
      <formula1>UnidadesList</formula1>
    </dataValidation>
    <dataValidation type="decimal" operator="greaterThan" allowBlank="1" showInputMessage="1" showErrorMessage="1" sqref="D6586">
      <formula1>0</formula1>
    </dataValidation>
    <dataValidation type="decimal" operator="greaterThan" allowBlank="1" showInputMessage="1" showErrorMessage="1" sqref="E6586">
      <formula1>0</formula1>
    </dataValidation>
    <dataValidation type="whole" operator="greaterThan" allowBlank="1" showInputMessage="1" showErrorMessage="1" sqref="A6587">
      <formula1>0</formula1>
    </dataValidation>
    <dataValidation type="list" allowBlank="1" showInputMessage="1" showErrorMessage="1" sqref="C6587">
      <formula1>UnidadesList</formula1>
    </dataValidation>
    <dataValidation type="decimal" operator="greaterThan" allowBlank="1" showInputMessage="1" showErrorMessage="1" sqref="D6587">
      <formula1>0</formula1>
    </dataValidation>
    <dataValidation type="decimal" operator="greaterThan" allowBlank="1" showInputMessage="1" showErrorMessage="1" sqref="E6587">
      <formula1>0</formula1>
    </dataValidation>
    <dataValidation type="whole" operator="greaterThan" allowBlank="1" showInputMessage="1" showErrorMessage="1" sqref="A6588">
      <formula1>0</formula1>
    </dataValidation>
    <dataValidation type="list" allowBlank="1" showInputMessage="1" showErrorMessage="1" sqref="C6588">
      <formula1>UnidadesList</formula1>
    </dataValidation>
    <dataValidation type="decimal" operator="greaterThan" allowBlank="1" showInputMessage="1" showErrorMessage="1" sqref="D6588">
      <formula1>0</formula1>
    </dataValidation>
    <dataValidation type="decimal" operator="greaterThan" allowBlank="1" showInputMessage="1" showErrorMessage="1" sqref="E6588">
      <formula1>0</formula1>
    </dataValidation>
    <dataValidation type="whole" operator="greaterThan" allowBlank="1" showInputMessage="1" showErrorMessage="1" sqref="A6589">
      <formula1>0</formula1>
    </dataValidation>
    <dataValidation type="list" allowBlank="1" showInputMessage="1" showErrorMessage="1" sqref="C6589">
      <formula1>UnidadesList</formula1>
    </dataValidation>
    <dataValidation type="decimal" operator="greaterThan" allowBlank="1" showInputMessage="1" showErrorMessage="1" sqref="D6589">
      <formula1>0</formula1>
    </dataValidation>
    <dataValidation type="decimal" operator="greaterThan" allowBlank="1" showInputMessage="1" showErrorMessage="1" sqref="E6589">
      <formula1>0</formula1>
    </dataValidation>
    <dataValidation type="whole" operator="greaterThan" allowBlank="1" showInputMessage="1" showErrorMessage="1" sqref="A6590">
      <formula1>0</formula1>
    </dataValidation>
    <dataValidation type="list" allowBlank="1" showInputMessage="1" showErrorMessage="1" sqref="C6590">
      <formula1>UnidadesList</formula1>
    </dataValidation>
    <dataValidation type="decimal" operator="greaterThan" allowBlank="1" showInputMessage="1" showErrorMessage="1" sqref="D6590">
      <formula1>0</formula1>
    </dataValidation>
    <dataValidation type="decimal" operator="greaterThan" allowBlank="1" showInputMessage="1" showErrorMessage="1" sqref="E6590">
      <formula1>0</formula1>
    </dataValidation>
    <dataValidation type="whole" operator="greaterThan" allowBlank="1" showInputMessage="1" showErrorMessage="1" sqref="A6591">
      <formula1>0</formula1>
    </dataValidation>
    <dataValidation type="list" allowBlank="1" showInputMessage="1" showErrorMessage="1" sqref="C6591">
      <formula1>UnidadesList</formula1>
    </dataValidation>
    <dataValidation type="decimal" operator="greaterThan" allowBlank="1" showInputMessage="1" showErrorMessage="1" sqref="D6591">
      <formula1>0</formula1>
    </dataValidation>
    <dataValidation type="decimal" operator="greaterThan" allowBlank="1" showInputMessage="1" showErrorMessage="1" sqref="E6591">
      <formula1>0</formula1>
    </dataValidation>
    <dataValidation type="whole" operator="greaterThan" allowBlank="1" showInputMessage="1" showErrorMessage="1" sqref="A6592">
      <formula1>0</formula1>
    </dataValidation>
    <dataValidation type="list" allowBlank="1" showInputMessage="1" showErrorMessage="1" sqref="C6592">
      <formula1>UnidadesList</formula1>
    </dataValidation>
    <dataValidation type="decimal" operator="greaterThan" allowBlank="1" showInputMessage="1" showErrorMessage="1" sqref="D6592">
      <formula1>0</formula1>
    </dataValidation>
    <dataValidation type="decimal" operator="greaterThan" allowBlank="1" showInputMessage="1" showErrorMessage="1" sqref="E6592">
      <formula1>0</formula1>
    </dataValidation>
    <dataValidation type="whole" operator="greaterThan" allowBlank="1" showInputMessage="1" showErrorMessage="1" sqref="A6593">
      <formula1>0</formula1>
    </dataValidation>
    <dataValidation type="list" allowBlank="1" showInputMessage="1" showErrorMessage="1" sqref="C6593">
      <formula1>UnidadesList</formula1>
    </dataValidation>
    <dataValidation type="decimal" operator="greaterThan" allowBlank="1" showInputMessage="1" showErrorMessage="1" sqref="D6593">
      <formula1>0</formula1>
    </dataValidation>
    <dataValidation type="decimal" operator="greaterThan" allowBlank="1" showInputMessage="1" showErrorMessage="1" sqref="E6593">
      <formula1>0</formula1>
    </dataValidation>
    <dataValidation type="whole" operator="greaterThan" allowBlank="1" showInputMessage="1" showErrorMessage="1" sqref="A6594">
      <formula1>0</formula1>
    </dataValidation>
    <dataValidation type="list" allowBlank="1" showInputMessage="1" showErrorMessage="1" sqref="C6594">
      <formula1>UnidadesList</formula1>
    </dataValidation>
    <dataValidation type="decimal" operator="greaterThan" allowBlank="1" showInputMessage="1" showErrorMessage="1" sqref="D6594">
      <formula1>0</formula1>
    </dataValidation>
    <dataValidation type="decimal" operator="greaterThan" allowBlank="1" showInputMessage="1" showErrorMessage="1" sqref="E6594">
      <formula1>0</formula1>
    </dataValidation>
    <dataValidation type="whole" operator="greaterThan" allowBlank="1" showInputMessage="1" showErrorMessage="1" sqref="A6595">
      <formula1>0</formula1>
    </dataValidation>
    <dataValidation type="list" allowBlank="1" showInputMessage="1" showErrorMessage="1" sqref="C6595">
      <formula1>UnidadesList</formula1>
    </dataValidation>
    <dataValidation type="decimal" operator="greaterThan" allowBlank="1" showInputMessage="1" showErrorMessage="1" sqref="D6595">
      <formula1>0</formula1>
    </dataValidation>
    <dataValidation type="decimal" operator="greaterThan" allowBlank="1" showInputMessage="1" showErrorMessage="1" sqref="E6595">
      <formula1>0</formula1>
    </dataValidation>
    <dataValidation type="whole" operator="greaterThan" allowBlank="1" showInputMessage="1" showErrorMessage="1" sqref="A6596">
      <formula1>0</formula1>
    </dataValidation>
    <dataValidation type="list" allowBlank="1" showInputMessage="1" showErrorMessage="1" sqref="C6596">
      <formula1>UnidadesList</formula1>
    </dataValidation>
    <dataValidation type="decimal" operator="greaterThan" allowBlank="1" showInputMessage="1" showErrorMessage="1" sqref="D6596">
      <formula1>0</formula1>
    </dataValidation>
    <dataValidation type="decimal" operator="greaterThan" allowBlank="1" showInputMessage="1" showErrorMessage="1" sqref="E6596">
      <formula1>0</formula1>
    </dataValidation>
    <dataValidation type="whole" operator="greaterThan" allowBlank="1" showInputMessage="1" showErrorMessage="1" sqref="A6597">
      <formula1>0</formula1>
    </dataValidation>
    <dataValidation type="list" allowBlank="1" showInputMessage="1" showErrorMessage="1" sqref="C6597">
      <formula1>UnidadesList</formula1>
    </dataValidation>
    <dataValidation type="decimal" operator="greaterThan" allowBlank="1" showInputMessage="1" showErrorMessage="1" sqref="D6597">
      <formula1>0</formula1>
    </dataValidation>
    <dataValidation type="decimal" operator="greaterThan" allowBlank="1" showInputMessage="1" showErrorMessage="1" sqref="E6597">
      <formula1>0</formula1>
    </dataValidation>
    <dataValidation type="whole" operator="greaterThan" allowBlank="1" showInputMessage="1" showErrorMessage="1" sqref="A6598">
      <formula1>0</formula1>
    </dataValidation>
    <dataValidation type="list" allowBlank="1" showInputMessage="1" showErrorMessage="1" sqref="C6598">
      <formula1>UnidadesList</formula1>
    </dataValidation>
    <dataValidation type="decimal" operator="greaterThan" allowBlank="1" showInputMessage="1" showErrorMessage="1" sqref="D6598">
      <formula1>0</formula1>
    </dataValidation>
    <dataValidation type="decimal" operator="greaterThan" allowBlank="1" showInputMessage="1" showErrorMessage="1" sqref="E6598">
      <formula1>0</formula1>
    </dataValidation>
    <dataValidation type="whole" operator="greaterThan" allowBlank="1" showInputMessage="1" showErrorMessage="1" sqref="A6599">
      <formula1>0</formula1>
    </dataValidation>
    <dataValidation type="list" allowBlank="1" showInputMessage="1" showErrorMessage="1" sqref="C6599">
      <formula1>UnidadesList</formula1>
    </dataValidation>
    <dataValidation type="decimal" operator="greaterThan" allowBlank="1" showInputMessage="1" showErrorMessage="1" sqref="D6599">
      <formula1>0</formula1>
    </dataValidation>
    <dataValidation type="decimal" operator="greaterThan" allowBlank="1" showInputMessage="1" showErrorMessage="1" sqref="E6599">
      <formula1>0</formula1>
    </dataValidation>
    <dataValidation type="whole" operator="greaterThan" allowBlank="1" showInputMessage="1" showErrorMessage="1" sqref="A6600">
      <formula1>0</formula1>
    </dataValidation>
    <dataValidation type="list" allowBlank="1" showInputMessage="1" showErrorMessage="1" sqref="C6600">
      <formula1>UnidadesList</formula1>
    </dataValidation>
    <dataValidation type="decimal" operator="greaterThan" allowBlank="1" showInputMessage="1" showErrorMessage="1" sqref="D6600">
      <formula1>0</formula1>
    </dataValidation>
    <dataValidation type="decimal" operator="greaterThan" allowBlank="1" showInputMessage="1" showErrorMessage="1" sqref="E6600">
      <formula1>0</formula1>
    </dataValidation>
    <dataValidation type="whole" operator="greaterThan" allowBlank="1" showInputMessage="1" showErrorMessage="1" sqref="A6601">
      <formula1>0</formula1>
    </dataValidation>
    <dataValidation type="list" allowBlank="1" showInputMessage="1" showErrorMessage="1" sqref="C6601">
      <formula1>UnidadesList</formula1>
    </dataValidation>
    <dataValidation type="decimal" operator="greaterThan" allowBlank="1" showInputMessage="1" showErrorMessage="1" sqref="D6601">
      <formula1>0</formula1>
    </dataValidation>
    <dataValidation type="decimal" operator="greaterThan" allowBlank="1" showInputMessage="1" showErrorMessage="1" sqref="E6601">
      <formula1>0</formula1>
    </dataValidation>
    <dataValidation type="whole" operator="greaterThan" allowBlank="1" showInputMessage="1" showErrorMessage="1" sqref="A6602">
      <formula1>0</formula1>
    </dataValidation>
    <dataValidation type="list" allowBlank="1" showInputMessage="1" showErrorMessage="1" sqref="C6602">
      <formula1>UnidadesList</formula1>
    </dataValidation>
    <dataValidation type="decimal" operator="greaterThan" allowBlank="1" showInputMessage="1" showErrorMessage="1" sqref="D6602">
      <formula1>0</formula1>
    </dataValidation>
    <dataValidation type="decimal" operator="greaterThan" allowBlank="1" showInputMessage="1" showErrorMessage="1" sqref="E6602">
      <formula1>0</formula1>
    </dataValidation>
    <dataValidation type="whole" operator="greaterThan" allowBlank="1" showInputMessage="1" showErrorMessage="1" sqref="A6603">
      <formula1>0</formula1>
    </dataValidation>
    <dataValidation type="list" allowBlank="1" showInputMessage="1" showErrorMessage="1" sqref="C6603">
      <formula1>UnidadesList</formula1>
    </dataValidation>
    <dataValidation type="decimal" operator="greaterThan" allowBlank="1" showInputMessage="1" showErrorMessage="1" sqref="D6603">
      <formula1>0</formula1>
    </dataValidation>
    <dataValidation type="decimal" operator="greaterThan" allowBlank="1" showInputMessage="1" showErrorMessage="1" sqref="E6603">
      <formula1>0</formula1>
    </dataValidation>
    <dataValidation type="whole" operator="greaterThan" allowBlank="1" showInputMessage="1" showErrorMessage="1" sqref="A6604">
      <formula1>0</formula1>
    </dataValidation>
    <dataValidation type="list" allowBlank="1" showInputMessage="1" showErrorMessage="1" sqref="C6604">
      <formula1>UnidadesList</formula1>
    </dataValidation>
    <dataValidation type="decimal" operator="greaterThan" allowBlank="1" showInputMessage="1" showErrorMessage="1" sqref="D6604">
      <formula1>0</formula1>
    </dataValidation>
    <dataValidation type="decimal" operator="greaterThan" allowBlank="1" showInputMessage="1" showErrorMessage="1" sqref="E6604">
      <formula1>0</formula1>
    </dataValidation>
    <dataValidation type="whole" operator="greaterThan" allowBlank="1" showInputMessage="1" showErrorMessage="1" sqref="A6605">
      <formula1>0</formula1>
    </dataValidation>
    <dataValidation type="list" allowBlank="1" showInputMessage="1" showErrorMessage="1" sqref="C6605">
      <formula1>UnidadesList</formula1>
    </dataValidation>
    <dataValidation type="decimal" operator="greaterThan" allowBlank="1" showInputMessage="1" showErrorMessage="1" sqref="D6605">
      <formula1>0</formula1>
    </dataValidation>
    <dataValidation type="decimal" operator="greaterThan" allowBlank="1" showInputMessage="1" showErrorMessage="1" sqref="E6605">
      <formula1>0</formula1>
    </dataValidation>
    <dataValidation type="whole" operator="greaterThan" allowBlank="1" showInputMessage="1" showErrorMessage="1" sqref="A6606">
      <formula1>0</formula1>
    </dataValidation>
    <dataValidation type="list" allowBlank="1" showInputMessage="1" showErrorMessage="1" sqref="C6606">
      <formula1>UnidadesList</formula1>
    </dataValidation>
    <dataValidation type="decimal" operator="greaterThan" allowBlank="1" showInputMessage="1" showErrorMessage="1" sqref="D6606">
      <formula1>0</formula1>
    </dataValidation>
    <dataValidation type="decimal" operator="greaterThan" allowBlank="1" showInputMessage="1" showErrorMessage="1" sqref="E6606">
      <formula1>0</formula1>
    </dataValidation>
    <dataValidation type="whole" operator="greaterThan" allowBlank="1" showInputMessage="1" showErrorMessage="1" sqref="A6607">
      <formula1>0</formula1>
    </dataValidation>
    <dataValidation type="list" allowBlank="1" showInputMessage="1" showErrorMessage="1" sqref="C6607">
      <formula1>UnidadesList</formula1>
    </dataValidation>
    <dataValidation type="decimal" operator="greaterThan" allowBlank="1" showInputMessage="1" showErrorMessage="1" sqref="D6607">
      <formula1>0</formula1>
    </dataValidation>
    <dataValidation type="decimal" operator="greaterThan" allowBlank="1" showInputMessage="1" showErrorMessage="1" sqref="E6607">
      <formula1>0</formula1>
    </dataValidation>
    <dataValidation type="whole" operator="greaterThan" allowBlank="1" showInputMessage="1" showErrorMessage="1" sqref="A6608">
      <formula1>0</formula1>
    </dataValidation>
    <dataValidation type="list" allowBlank="1" showInputMessage="1" showErrorMessage="1" sqref="C6608">
      <formula1>UnidadesList</formula1>
    </dataValidation>
    <dataValidation type="decimal" operator="greaterThan" allowBlank="1" showInputMessage="1" showErrorMessage="1" sqref="D6608">
      <formula1>0</formula1>
    </dataValidation>
    <dataValidation type="decimal" operator="greaterThan" allowBlank="1" showInputMessage="1" showErrorMessage="1" sqref="E6608">
      <formula1>0</formula1>
    </dataValidation>
    <dataValidation type="whole" operator="greaterThan" allowBlank="1" showInputMessage="1" showErrorMessage="1" sqref="A6609">
      <formula1>0</formula1>
    </dataValidation>
    <dataValidation type="list" allowBlank="1" showInputMessage="1" showErrorMessage="1" sqref="C6609">
      <formula1>UnidadesList</formula1>
    </dataValidation>
    <dataValidation type="decimal" operator="greaterThan" allowBlank="1" showInputMessage="1" showErrorMessage="1" sqref="D6609">
      <formula1>0</formula1>
    </dataValidation>
    <dataValidation type="decimal" operator="greaterThan" allowBlank="1" showInputMessage="1" showErrorMessage="1" sqref="E6609">
      <formula1>0</formula1>
    </dataValidation>
    <dataValidation type="whole" operator="greaterThan" allowBlank="1" showInputMessage="1" showErrorMessage="1" sqref="A6610">
      <formula1>0</formula1>
    </dataValidation>
    <dataValidation type="list" allowBlank="1" showInputMessage="1" showErrorMessage="1" sqref="C6610">
      <formula1>UnidadesList</formula1>
    </dataValidation>
    <dataValidation type="decimal" operator="greaterThan" allowBlank="1" showInputMessage="1" showErrorMessage="1" sqref="D6610">
      <formula1>0</formula1>
    </dataValidation>
    <dataValidation type="decimal" operator="greaterThan" allowBlank="1" showInputMessage="1" showErrorMessage="1" sqref="E6610">
      <formula1>0</formula1>
    </dataValidation>
    <dataValidation type="whole" operator="greaterThan" allowBlank="1" showInputMessage="1" showErrorMessage="1" sqref="A6611">
      <formula1>0</formula1>
    </dataValidation>
    <dataValidation type="list" allowBlank="1" showInputMessage="1" showErrorMessage="1" sqref="C6611">
      <formula1>UnidadesList</formula1>
    </dataValidation>
    <dataValidation type="decimal" operator="greaterThan" allowBlank="1" showInputMessage="1" showErrorMessage="1" sqref="D6611">
      <formula1>0</formula1>
    </dataValidation>
    <dataValidation type="decimal" operator="greaterThan" allowBlank="1" showInputMessage="1" showErrorMessage="1" sqref="E6611">
      <formula1>0</formula1>
    </dataValidation>
    <dataValidation type="whole" operator="greaterThan" allowBlank="1" showInputMessage="1" showErrorMessage="1" sqref="A6612">
      <formula1>0</formula1>
    </dataValidation>
    <dataValidation type="list" allowBlank="1" showInputMessage="1" showErrorMessage="1" sqref="C6612">
      <formula1>UnidadesList</formula1>
    </dataValidation>
    <dataValidation type="decimal" operator="greaterThan" allowBlank="1" showInputMessage="1" showErrorMessage="1" sqref="D6612">
      <formula1>0</formula1>
    </dataValidation>
    <dataValidation type="decimal" operator="greaterThan" allowBlank="1" showInputMessage="1" showErrorMessage="1" sqref="E6612">
      <formula1>0</formula1>
    </dataValidation>
    <dataValidation type="whole" operator="greaterThan" allowBlank="1" showInputMessage="1" showErrorMessage="1" sqref="A6613">
      <formula1>0</formula1>
    </dataValidation>
    <dataValidation type="list" allowBlank="1" showInputMessage="1" showErrorMessage="1" sqref="C6613">
      <formula1>UnidadesList</formula1>
    </dataValidation>
    <dataValidation type="decimal" operator="greaterThan" allowBlank="1" showInputMessage="1" showErrorMessage="1" sqref="D6613">
      <formula1>0</formula1>
    </dataValidation>
    <dataValidation type="decimal" operator="greaterThan" allowBlank="1" showInputMessage="1" showErrorMessage="1" sqref="E6613">
      <formula1>0</formula1>
    </dataValidation>
    <dataValidation type="whole" operator="greaterThan" allowBlank="1" showInputMessage="1" showErrorMessage="1" sqref="A6614">
      <formula1>0</formula1>
    </dataValidation>
    <dataValidation type="list" allowBlank="1" showInputMessage="1" showErrorMessage="1" sqref="C6614">
      <formula1>UnidadesList</formula1>
    </dataValidation>
    <dataValidation type="decimal" operator="greaterThan" allowBlank="1" showInputMessage="1" showErrorMessage="1" sqref="D6614">
      <formula1>0</formula1>
    </dataValidation>
    <dataValidation type="decimal" operator="greaterThan" allowBlank="1" showInputMessage="1" showErrorMessage="1" sqref="E6614">
      <formula1>0</formula1>
    </dataValidation>
    <dataValidation type="whole" operator="greaterThan" allowBlank="1" showInputMessage="1" showErrorMessage="1" sqref="A6615">
      <formula1>0</formula1>
    </dataValidation>
    <dataValidation type="list" allowBlank="1" showInputMessage="1" showErrorMessage="1" sqref="C6615">
      <formula1>UnidadesList</formula1>
    </dataValidation>
    <dataValidation type="decimal" operator="greaterThan" allowBlank="1" showInputMessage="1" showErrorMessage="1" sqref="D6615">
      <formula1>0</formula1>
    </dataValidation>
    <dataValidation type="decimal" operator="greaterThan" allowBlank="1" showInputMessage="1" showErrorMessage="1" sqref="E6615">
      <formula1>0</formula1>
    </dataValidation>
    <dataValidation type="date" operator="lessThanOrEqual" allowBlank="1" showInputMessage="1" showErrorMessage="1" sqref="C6620">
      <formula1>C6622</formula1>
    </dataValidation>
    <dataValidation type="date" operator="greaterThanOrEqual" allowBlank="1" showInputMessage="1" showErrorMessage="1" sqref="C6622">
      <formula1>C6620</formula1>
    </dataValidation>
    <dataValidation type="list" allowBlank="1" showInputMessage="1" showErrorMessage="1" sqref="F662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62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2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2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26">
      <formula1>0</formula1>
    </dataValidation>
    <dataValidation type="list" allowBlank="1" showInputMessage="1" showErrorMessage="1" sqref="C6626">
      <formula1>UnidadesList</formula1>
    </dataValidation>
    <dataValidation type="decimal" operator="greaterThan" allowBlank="1" showInputMessage="1" showErrorMessage="1" sqref="D6626">
      <formula1>0</formula1>
    </dataValidation>
    <dataValidation type="decimal" operator="greaterThan" allowBlank="1" showInputMessage="1" showErrorMessage="1" sqref="E6626">
      <formula1>0</formula1>
    </dataValidation>
    <dataValidation type="whole" operator="greaterThan" allowBlank="1" showInputMessage="1" showErrorMessage="1" sqref="A6627">
      <formula1>0</formula1>
    </dataValidation>
    <dataValidation type="list" allowBlank="1" showInputMessage="1" showErrorMessage="1" sqref="C6627">
      <formula1>UnidadesList</formula1>
    </dataValidation>
    <dataValidation type="decimal" operator="greaterThan" allowBlank="1" showInputMessage="1" showErrorMessage="1" sqref="D6627">
      <formula1>0</formula1>
    </dataValidation>
    <dataValidation type="decimal" operator="greaterThan" allowBlank="1" showInputMessage="1" showErrorMessage="1" sqref="E6627">
      <formula1>0</formula1>
    </dataValidation>
    <dataValidation type="whole" operator="greaterThan" allowBlank="1" showInputMessage="1" showErrorMessage="1" sqref="A6628">
      <formula1>0</formula1>
    </dataValidation>
    <dataValidation type="list" allowBlank="1" showInputMessage="1" showErrorMessage="1" sqref="C6628">
      <formula1>UnidadesList</formula1>
    </dataValidation>
    <dataValidation type="decimal" operator="greaterThan" allowBlank="1" showInputMessage="1" showErrorMessage="1" sqref="D6628">
      <formula1>0</formula1>
    </dataValidation>
    <dataValidation type="decimal" operator="greaterThan" allowBlank="1" showInputMessage="1" showErrorMessage="1" sqref="E6628">
      <formula1>0</formula1>
    </dataValidation>
    <dataValidation type="whole" operator="greaterThan" allowBlank="1" showInputMessage="1" showErrorMessage="1" sqref="A6629">
      <formula1>0</formula1>
    </dataValidation>
    <dataValidation type="list" allowBlank="1" showInputMessage="1" showErrorMessage="1" sqref="C6629">
      <formula1>UnidadesList</formula1>
    </dataValidation>
    <dataValidation type="decimal" operator="greaterThan" allowBlank="1" showInputMessage="1" showErrorMessage="1" sqref="D6629">
      <formula1>0</formula1>
    </dataValidation>
    <dataValidation type="decimal" operator="greaterThan" allowBlank="1" showInputMessage="1" showErrorMessage="1" sqref="E6629">
      <formula1>0</formula1>
    </dataValidation>
    <dataValidation type="whole" operator="greaterThan" allowBlank="1" showInputMessage="1" showErrorMessage="1" sqref="A6630">
      <formula1>0</formula1>
    </dataValidation>
    <dataValidation type="list" allowBlank="1" showInputMessage="1" showErrorMessage="1" sqref="C6630">
      <formula1>UnidadesList</formula1>
    </dataValidation>
    <dataValidation type="decimal" operator="greaterThan" allowBlank="1" showInputMessage="1" showErrorMessage="1" sqref="D6630">
      <formula1>0</formula1>
    </dataValidation>
    <dataValidation type="decimal" operator="greaterThan" allowBlank="1" showInputMessage="1" showErrorMessage="1" sqref="E6630">
      <formula1>0</formula1>
    </dataValidation>
    <dataValidation type="whole" operator="greaterThan" allowBlank="1" showInputMessage="1" showErrorMessage="1" sqref="A6631">
      <formula1>0</formula1>
    </dataValidation>
    <dataValidation type="list" allowBlank="1" showInputMessage="1" showErrorMessage="1" sqref="C6631">
      <formula1>UnidadesList</formula1>
    </dataValidation>
    <dataValidation type="decimal" operator="greaterThan" allowBlank="1" showInputMessage="1" showErrorMessage="1" sqref="D6631">
      <formula1>0</formula1>
    </dataValidation>
    <dataValidation type="decimal" operator="greaterThan" allowBlank="1" showInputMessage="1" showErrorMessage="1" sqref="E6631">
      <formula1>0</formula1>
    </dataValidation>
    <dataValidation type="whole" operator="greaterThan" allowBlank="1" showInputMessage="1" showErrorMessage="1" sqref="A6632">
      <formula1>0</formula1>
    </dataValidation>
    <dataValidation type="list" allowBlank="1" showInputMessage="1" showErrorMessage="1" sqref="C6632">
      <formula1>UnidadesList</formula1>
    </dataValidation>
    <dataValidation type="decimal" operator="greaterThan" allowBlank="1" showInputMessage="1" showErrorMessage="1" sqref="D6632">
      <formula1>0</formula1>
    </dataValidation>
    <dataValidation type="decimal" operator="greaterThan" allowBlank="1" showInputMessage="1" showErrorMessage="1" sqref="E6632">
      <formula1>0</formula1>
    </dataValidation>
    <dataValidation type="whole" operator="greaterThan" allowBlank="1" showInputMessage="1" showErrorMessage="1" sqref="A6633">
      <formula1>0</formula1>
    </dataValidation>
    <dataValidation type="list" allowBlank="1" showInputMessage="1" showErrorMessage="1" sqref="C6633">
      <formula1>UnidadesList</formula1>
    </dataValidation>
    <dataValidation type="decimal" operator="greaterThan" allowBlank="1" showInputMessage="1" showErrorMessage="1" sqref="D6633">
      <formula1>0</formula1>
    </dataValidation>
    <dataValidation type="decimal" operator="greaterThan" allowBlank="1" showInputMessage="1" showErrorMessage="1" sqref="E6633">
      <formula1>0</formula1>
    </dataValidation>
    <dataValidation type="whole" operator="greaterThan" allowBlank="1" showInputMessage="1" showErrorMessage="1" sqref="A6634">
      <formula1>0</formula1>
    </dataValidation>
    <dataValidation type="list" allowBlank="1" showInputMessage="1" showErrorMessage="1" sqref="C6634">
      <formula1>UnidadesList</formula1>
    </dataValidation>
    <dataValidation type="decimal" operator="greaterThan" allowBlank="1" showInputMessage="1" showErrorMessage="1" sqref="D6634">
      <formula1>0</formula1>
    </dataValidation>
    <dataValidation type="decimal" operator="greaterThan" allowBlank="1" showInputMessage="1" showErrorMessage="1" sqref="E6634">
      <formula1>0</formula1>
    </dataValidation>
    <dataValidation type="whole" operator="greaterThan" allowBlank="1" showInputMessage="1" showErrorMessage="1" sqref="A6635">
      <formula1>0</formula1>
    </dataValidation>
    <dataValidation type="list" allowBlank="1" showInputMessage="1" showErrorMessage="1" sqref="C6635">
      <formula1>UnidadesList</formula1>
    </dataValidation>
    <dataValidation type="decimal" operator="greaterThan" allowBlank="1" showInputMessage="1" showErrorMessage="1" sqref="D6635">
      <formula1>0</formula1>
    </dataValidation>
    <dataValidation type="decimal" operator="greaterThan" allowBlank="1" showInputMessage="1" showErrorMessage="1" sqref="E6635">
      <formula1>0</formula1>
    </dataValidation>
    <dataValidation type="whole" operator="greaterThan" allowBlank="1" showInputMessage="1" showErrorMessage="1" sqref="A6636">
      <formula1>0</formula1>
    </dataValidation>
    <dataValidation type="list" allowBlank="1" showInputMessage="1" showErrorMessage="1" sqref="C6636">
      <formula1>UnidadesList</formula1>
    </dataValidation>
    <dataValidation type="decimal" operator="greaterThan" allowBlank="1" showInputMessage="1" showErrorMessage="1" sqref="D6636">
      <formula1>0</formula1>
    </dataValidation>
    <dataValidation type="decimal" operator="greaterThan" allowBlank="1" showInputMessage="1" showErrorMessage="1" sqref="E6636">
      <formula1>0</formula1>
    </dataValidation>
    <dataValidation type="whole" operator="greaterThan" allowBlank="1" showInputMessage="1" showErrorMessage="1" sqref="A6637">
      <formula1>0</formula1>
    </dataValidation>
    <dataValidation type="list" allowBlank="1" showInputMessage="1" showErrorMessage="1" sqref="C6637">
      <formula1>UnidadesList</formula1>
    </dataValidation>
    <dataValidation type="decimal" operator="greaterThan" allowBlank="1" showInputMessage="1" showErrorMessage="1" sqref="D6637">
      <formula1>0</formula1>
    </dataValidation>
    <dataValidation type="decimal" operator="greaterThan" allowBlank="1" showInputMessage="1" showErrorMessage="1" sqref="E6637">
      <formula1>0</formula1>
    </dataValidation>
    <dataValidation type="whole" operator="greaterThan" allowBlank="1" showInputMessage="1" showErrorMessage="1" sqref="A6638">
      <formula1>0</formula1>
    </dataValidation>
    <dataValidation type="list" allowBlank="1" showInputMessage="1" showErrorMessage="1" sqref="C6638">
      <formula1>UnidadesList</formula1>
    </dataValidation>
    <dataValidation type="decimal" operator="greaterThan" allowBlank="1" showInputMessage="1" showErrorMessage="1" sqref="D6638">
      <formula1>0</formula1>
    </dataValidation>
    <dataValidation type="decimal" operator="greaterThan" allowBlank="1" showInputMessage="1" showErrorMessage="1" sqref="E6638">
      <formula1>0</formula1>
    </dataValidation>
    <dataValidation type="whole" operator="greaterThan" allowBlank="1" showInputMessage="1" showErrorMessage="1" sqref="A6639">
      <formula1>0</formula1>
    </dataValidation>
    <dataValidation type="list" allowBlank="1" showInputMessage="1" showErrorMessage="1" sqref="C6639">
      <formula1>UnidadesList</formula1>
    </dataValidation>
    <dataValidation type="decimal" operator="greaterThan" allowBlank="1" showInputMessage="1" showErrorMessage="1" sqref="D6639">
      <formula1>0</formula1>
    </dataValidation>
    <dataValidation type="decimal" operator="greaterThan" allowBlank="1" showInputMessage="1" showErrorMessage="1" sqref="E6639">
      <formula1>0</formula1>
    </dataValidation>
    <dataValidation type="whole" operator="greaterThan" allowBlank="1" showInputMessage="1" showErrorMessage="1" sqref="A6640">
      <formula1>0</formula1>
    </dataValidation>
    <dataValidation type="list" allowBlank="1" showInputMessage="1" showErrorMessage="1" sqref="C6640">
      <formula1>UnidadesList</formula1>
    </dataValidation>
    <dataValidation type="decimal" operator="greaterThan" allowBlank="1" showInputMessage="1" showErrorMessage="1" sqref="D6640">
      <formula1>0</formula1>
    </dataValidation>
    <dataValidation type="decimal" operator="greaterThan" allowBlank="1" showInputMessage="1" showErrorMessage="1" sqref="E6640">
      <formula1>0</formula1>
    </dataValidation>
    <dataValidation type="whole" operator="greaterThan" allowBlank="1" showInputMessage="1" showErrorMessage="1" sqref="A6641">
      <formula1>0</formula1>
    </dataValidation>
    <dataValidation type="list" allowBlank="1" showInputMessage="1" showErrorMessage="1" sqref="C6641">
      <formula1>UnidadesList</formula1>
    </dataValidation>
    <dataValidation type="decimal" operator="greaterThan" allowBlank="1" showInputMessage="1" showErrorMessage="1" sqref="D6641">
      <formula1>0</formula1>
    </dataValidation>
    <dataValidation type="decimal" operator="greaterThan" allowBlank="1" showInputMessage="1" showErrorMessage="1" sqref="E6641">
      <formula1>0</formula1>
    </dataValidation>
    <dataValidation type="whole" operator="greaterThan" allowBlank="1" showInputMessage="1" showErrorMessage="1" sqref="A6642">
      <formula1>0</formula1>
    </dataValidation>
    <dataValidation type="list" allowBlank="1" showInputMessage="1" showErrorMessage="1" sqref="C6642">
      <formula1>UnidadesList</formula1>
    </dataValidation>
    <dataValidation type="decimal" operator="greaterThan" allowBlank="1" showInputMessage="1" showErrorMessage="1" sqref="D6642">
      <formula1>0</formula1>
    </dataValidation>
    <dataValidation type="decimal" operator="greaterThan" allowBlank="1" showInputMessage="1" showErrorMessage="1" sqref="E6642">
      <formula1>0</formula1>
    </dataValidation>
    <dataValidation type="whole" operator="greaterThan" allowBlank="1" showInputMessage="1" showErrorMessage="1" sqref="A6643">
      <formula1>0</formula1>
    </dataValidation>
    <dataValidation type="list" allowBlank="1" showInputMessage="1" showErrorMessage="1" sqref="C6643">
      <formula1>UnidadesList</formula1>
    </dataValidation>
    <dataValidation type="decimal" operator="greaterThan" allowBlank="1" showInputMessage="1" showErrorMessage="1" sqref="D6643">
      <formula1>0</formula1>
    </dataValidation>
    <dataValidation type="decimal" operator="greaterThan" allowBlank="1" showInputMessage="1" showErrorMessage="1" sqref="E6643">
      <formula1>0</formula1>
    </dataValidation>
    <dataValidation type="whole" operator="greaterThan" allowBlank="1" showInputMessage="1" showErrorMessage="1" sqref="A6644">
      <formula1>0</formula1>
    </dataValidation>
    <dataValidation type="list" allowBlank="1" showInputMessage="1" showErrorMessage="1" sqref="C6644">
      <formula1>UnidadesList</formula1>
    </dataValidation>
    <dataValidation type="decimal" operator="greaterThan" allowBlank="1" showInputMessage="1" showErrorMessage="1" sqref="D6644">
      <formula1>0</formula1>
    </dataValidation>
    <dataValidation type="decimal" operator="greaterThan" allowBlank="1" showInputMessage="1" showErrorMessage="1" sqref="E6644">
      <formula1>0</formula1>
    </dataValidation>
    <dataValidation type="whole" operator="greaterThan" allowBlank="1" showInputMessage="1" showErrorMessage="1" sqref="A6645">
      <formula1>0</formula1>
    </dataValidation>
    <dataValidation type="list" allowBlank="1" showInputMessage="1" showErrorMessage="1" sqref="C6645">
      <formula1>UnidadesList</formula1>
    </dataValidation>
    <dataValidation type="decimal" operator="greaterThan" allowBlank="1" showInputMessage="1" showErrorMessage="1" sqref="D6645">
      <formula1>0</formula1>
    </dataValidation>
    <dataValidation type="decimal" operator="greaterThan" allowBlank="1" showInputMessage="1" showErrorMessage="1" sqref="E6645">
      <formula1>0</formula1>
    </dataValidation>
    <dataValidation type="whole" operator="greaterThan" allowBlank="1" showInputMessage="1" showErrorMessage="1" sqref="A6646">
      <formula1>0</formula1>
    </dataValidation>
    <dataValidation type="list" allowBlank="1" showInputMessage="1" showErrorMessage="1" sqref="C6646">
      <formula1>UnidadesList</formula1>
    </dataValidation>
    <dataValidation type="decimal" operator="greaterThan" allowBlank="1" showInputMessage="1" showErrorMessage="1" sqref="D6646">
      <formula1>0</formula1>
    </dataValidation>
    <dataValidation type="decimal" operator="greaterThan" allowBlank="1" showInputMessage="1" showErrorMessage="1" sqref="E6646">
      <formula1>0</formula1>
    </dataValidation>
    <dataValidation type="whole" operator="greaterThan" allowBlank="1" showInputMessage="1" showErrorMessage="1" sqref="A6647">
      <formula1>0</formula1>
    </dataValidation>
    <dataValidation type="list" allowBlank="1" showInputMessage="1" showErrorMessage="1" sqref="C6647">
      <formula1>UnidadesList</formula1>
    </dataValidation>
    <dataValidation type="decimal" operator="greaterThan" allowBlank="1" showInputMessage="1" showErrorMessage="1" sqref="D6647">
      <formula1>0</formula1>
    </dataValidation>
    <dataValidation type="decimal" operator="greaterThan" allowBlank="1" showInputMessage="1" showErrorMessage="1" sqref="E6647">
      <formula1>0</formula1>
    </dataValidation>
    <dataValidation type="whole" operator="greaterThan" allowBlank="1" showInputMessage="1" showErrorMessage="1" sqref="A6648">
      <formula1>0</formula1>
    </dataValidation>
    <dataValidation type="list" allowBlank="1" showInputMessage="1" showErrorMessage="1" sqref="C6648">
      <formula1>UnidadesList</formula1>
    </dataValidation>
    <dataValidation type="decimal" operator="greaterThan" allowBlank="1" showInputMessage="1" showErrorMessage="1" sqref="D6648">
      <formula1>0</formula1>
    </dataValidation>
    <dataValidation type="decimal" operator="greaterThan" allowBlank="1" showInputMessage="1" showErrorMessage="1" sqref="E6648">
      <formula1>0</formula1>
    </dataValidation>
    <dataValidation type="whole" operator="greaterThan" allowBlank="1" showInputMessage="1" showErrorMessage="1" sqref="A6649">
      <formula1>0</formula1>
    </dataValidation>
    <dataValidation type="list" allowBlank="1" showInputMessage="1" showErrorMessage="1" sqref="C6649">
      <formula1>UnidadesList</formula1>
    </dataValidation>
    <dataValidation type="decimal" operator="greaterThan" allowBlank="1" showInputMessage="1" showErrorMessage="1" sqref="D6649">
      <formula1>0</formula1>
    </dataValidation>
    <dataValidation type="decimal" operator="greaterThan" allowBlank="1" showInputMessage="1" showErrorMessage="1" sqref="E6649">
      <formula1>0</formula1>
    </dataValidation>
    <dataValidation type="whole" operator="greaterThan" allowBlank="1" showInputMessage="1" showErrorMessage="1" sqref="A6650">
      <formula1>0</formula1>
    </dataValidation>
    <dataValidation type="list" allowBlank="1" showInputMessage="1" showErrorMessage="1" sqref="C6650">
      <formula1>UnidadesList</formula1>
    </dataValidation>
    <dataValidation type="decimal" operator="greaterThan" allowBlank="1" showInputMessage="1" showErrorMessage="1" sqref="D6650">
      <formula1>0</formula1>
    </dataValidation>
    <dataValidation type="decimal" operator="greaterThan" allowBlank="1" showInputMessage="1" showErrorMessage="1" sqref="E6650">
      <formula1>0</formula1>
    </dataValidation>
    <dataValidation type="whole" operator="greaterThan" allowBlank="1" showInputMessage="1" showErrorMessage="1" sqref="A6651">
      <formula1>0</formula1>
    </dataValidation>
    <dataValidation type="list" allowBlank="1" showInputMessage="1" showErrorMessage="1" sqref="C6651">
      <formula1>UnidadesList</formula1>
    </dataValidation>
    <dataValidation type="decimal" operator="greaterThan" allowBlank="1" showInputMessage="1" showErrorMessage="1" sqref="D6651">
      <formula1>0</formula1>
    </dataValidation>
    <dataValidation type="decimal" operator="greaterThan" allowBlank="1" showInputMessage="1" showErrorMessage="1" sqref="E6651">
      <formula1>0</formula1>
    </dataValidation>
    <dataValidation type="whole" operator="greaterThan" allowBlank="1" showInputMessage="1" showErrorMessage="1" sqref="A6652">
      <formula1>0</formula1>
    </dataValidation>
    <dataValidation type="list" allowBlank="1" showInputMessage="1" showErrorMessage="1" sqref="C6652">
      <formula1>UnidadesList</formula1>
    </dataValidation>
    <dataValidation type="decimal" operator="greaterThan" allowBlank="1" showInputMessage="1" showErrorMessage="1" sqref="D6652">
      <formula1>0</formula1>
    </dataValidation>
    <dataValidation type="decimal" operator="greaterThan" allowBlank="1" showInputMessage="1" showErrorMessage="1" sqref="E6652">
      <formula1>0</formula1>
    </dataValidation>
    <dataValidation type="whole" operator="greaterThan" allowBlank="1" showInputMessage="1" showErrorMessage="1" sqref="A6653">
      <formula1>0</formula1>
    </dataValidation>
    <dataValidation type="list" allowBlank="1" showInputMessage="1" showErrorMessage="1" sqref="C6653">
      <formula1>UnidadesList</formula1>
    </dataValidation>
    <dataValidation type="decimal" operator="greaterThan" allowBlank="1" showInputMessage="1" showErrorMessage="1" sqref="D6653">
      <formula1>0</formula1>
    </dataValidation>
    <dataValidation type="decimal" operator="greaterThan" allowBlank="1" showInputMessage="1" showErrorMessage="1" sqref="E6653">
      <formula1>0</formula1>
    </dataValidation>
    <dataValidation type="whole" operator="greaterThan" allowBlank="1" showInputMessage="1" showErrorMessage="1" sqref="A6654">
      <formula1>0</formula1>
    </dataValidation>
    <dataValidation type="list" allowBlank="1" showInputMessage="1" showErrorMessage="1" sqref="C6654">
      <formula1>UnidadesList</formula1>
    </dataValidation>
    <dataValidation type="decimal" operator="greaterThan" allowBlank="1" showInputMessage="1" showErrorMessage="1" sqref="D6654">
      <formula1>0</formula1>
    </dataValidation>
    <dataValidation type="decimal" operator="greaterThan" allowBlank="1" showInputMessage="1" showErrorMessage="1" sqref="E6654">
      <formula1>0</formula1>
    </dataValidation>
    <dataValidation type="whole" operator="greaterThan" allowBlank="1" showInputMessage="1" showErrorMessage="1" sqref="A6655">
      <formula1>0</formula1>
    </dataValidation>
    <dataValidation type="list" allowBlank="1" showInputMessage="1" showErrorMessage="1" sqref="C6655">
      <formula1>UnidadesList</formula1>
    </dataValidation>
    <dataValidation type="decimal" operator="greaterThan" allowBlank="1" showInputMessage="1" showErrorMessage="1" sqref="D6655">
      <formula1>0</formula1>
    </dataValidation>
    <dataValidation type="decimal" operator="greaterThan" allowBlank="1" showInputMessage="1" showErrorMessage="1" sqref="E6655">
      <formula1>0</formula1>
    </dataValidation>
    <dataValidation type="whole" operator="greaterThan" allowBlank="1" showInputMessage="1" showErrorMessage="1" sqref="A6656">
      <formula1>0</formula1>
    </dataValidation>
    <dataValidation type="list" allowBlank="1" showInputMessage="1" showErrorMessage="1" sqref="C6656">
      <formula1>UnidadesList</formula1>
    </dataValidation>
    <dataValidation type="decimal" operator="greaterThan" allowBlank="1" showInputMessage="1" showErrorMessage="1" sqref="D6656">
      <formula1>0</formula1>
    </dataValidation>
    <dataValidation type="decimal" operator="greaterThan" allowBlank="1" showInputMessage="1" showErrorMessage="1" sqref="E6656">
      <formula1>0</formula1>
    </dataValidation>
    <dataValidation type="whole" operator="greaterThan" allowBlank="1" showInputMessage="1" showErrorMessage="1" sqref="A6657">
      <formula1>0</formula1>
    </dataValidation>
    <dataValidation type="list" allowBlank="1" showInputMessage="1" showErrorMessage="1" sqref="C6657">
      <formula1>UnidadesList</formula1>
    </dataValidation>
    <dataValidation type="decimal" operator="greaterThan" allowBlank="1" showInputMessage="1" showErrorMessage="1" sqref="D6657">
      <formula1>0</formula1>
    </dataValidation>
    <dataValidation type="decimal" operator="greaterThan" allowBlank="1" showInputMessage="1" showErrorMessage="1" sqref="E6657">
      <formula1>0</formula1>
    </dataValidation>
    <dataValidation type="whole" operator="greaterThan" allowBlank="1" showInputMessage="1" showErrorMessage="1" sqref="A6658">
      <formula1>0</formula1>
    </dataValidation>
    <dataValidation type="list" allowBlank="1" showInputMessage="1" showErrorMessage="1" sqref="C6658">
      <formula1>UnidadesList</formula1>
    </dataValidation>
    <dataValidation type="decimal" operator="greaterThan" allowBlank="1" showInputMessage="1" showErrorMessage="1" sqref="D6658">
      <formula1>0</formula1>
    </dataValidation>
    <dataValidation type="decimal" operator="greaterThan" allowBlank="1" showInputMessage="1" showErrorMessage="1" sqref="E6658">
      <formula1>0</formula1>
    </dataValidation>
    <dataValidation type="whole" operator="greaterThan" allowBlank="1" showInputMessage="1" showErrorMessage="1" sqref="A6659">
      <formula1>0</formula1>
    </dataValidation>
    <dataValidation type="list" allowBlank="1" showInputMessage="1" showErrorMessage="1" sqref="C6659">
      <formula1>UnidadesList</formula1>
    </dataValidation>
    <dataValidation type="decimal" operator="greaterThan" allowBlank="1" showInputMessage="1" showErrorMessage="1" sqref="D6659">
      <formula1>0</formula1>
    </dataValidation>
    <dataValidation type="decimal" operator="greaterThan" allowBlank="1" showInputMessage="1" showErrorMessage="1" sqref="E6659">
      <formula1>0</formula1>
    </dataValidation>
    <dataValidation type="whole" operator="greaterThan" allowBlank="1" showInputMessage="1" showErrorMessage="1" sqref="A6660">
      <formula1>0</formula1>
    </dataValidation>
    <dataValidation type="list" allowBlank="1" showInputMessage="1" showErrorMessage="1" sqref="C6660">
      <formula1>UnidadesList</formula1>
    </dataValidation>
    <dataValidation type="decimal" operator="greaterThan" allowBlank="1" showInputMessage="1" showErrorMessage="1" sqref="D6660">
      <formula1>0</formula1>
    </dataValidation>
    <dataValidation type="decimal" operator="greaterThan" allowBlank="1" showInputMessage="1" showErrorMessage="1" sqref="E6660">
      <formula1>0</formula1>
    </dataValidation>
    <dataValidation type="whole" operator="greaterThan" allowBlank="1" showInputMessage="1" showErrorMessage="1" sqref="A6661">
      <formula1>0</formula1>
    </dataValidation>
    <dataValidation type="list" allowBlank="1" showInputMessage="1" showErrorMessage="1" sqref="C6661">
      <formula1>UnidadesList</formula1>
    </dataValidation>
    <dataValidation type="decimal" operator="greaterThan" allowBlank="1" showInputMessage="1" showErrorMessage="1" sqref="D6661">
      <formula1>0</formula1>
    </dataValidation>
    <dataValidation type="decimal" operator="greaterThan" allowBlank="1" showInputMessage="1" showErrorMessage="1" sqref="E6661">
      <formula1>0</formula1>
    </dataValidation>
    <dataValidation type="whole" operator="greaterThan" allowBlank="1" showInputMessage="1" showErrorMessage="1" sqref="A6662">
      <formula1>0</formula1>
    </dataValidation>
    <dataValidation type="list" allowBlank="1" showInputMessage="1" showErrorMessage="1" sqref="C6662">
      <formula1>UnidadesList</formula1>
    </dataValidation>
    <dataValidation type="decimal" operator="greaterThan" allowBlank="1" showInputMessage="1" showErrorMessage="1" sqref="D6662">
      <formula1>0</formula1>
    </dataValidation>
    <dataValidation type="decimal" operator="greaterThan" allowBlank="1" showInputMessage="1" showErrorMessage="1" sqref="E6662">
      <formula1>0</formula1>
    </dataValidation>
    <dataValidation type="whole" operator="greaterThan" allowBlank="1" showInputMessage="1" showErrorMessage="1" sqref="A6663">
      <formula1>0</formula1>
    </dataValidation>
    <dataValidation type="list" allowBlank="1" showInputMessage="1" showErrorMessage="1" sqref="C6663">
      <formula1>UnidadesList</formula1>
    </dataValidation>
    <dataValidation type="decimal" operator="greaterThan" allowBlank="1" showInputMessage="1" showErrorMessage="1" sqref="D6663">
      <formula1>0</formula1>
    </dataValidation>
    <dataValidation type="decimal" operator="greaterThan" allowBlank="1" showInputMessage="1" showErrorMessage="1" sqref="E6663">
      <formula1>0</formula1>
    </dataValidation>
    <dataValidation type="whole" operator="greaterThan" allowBlank="1" showInputMessage="1" showErrorMessage="1" sqref="A6664">
      <formula1>0</formula1>
    </dataValidation>
    <dataValidation type="list" allowBlank="1" showInputMessage="1" showErrorMessage="1" sqref="C6664">
      <formula1>UnidadesList</formula1>
    </dataValidation>
    <dataValidation type="decimal" operator="greaterThan" allowBlank="1" showInputMessage="1" showErrorMessage="1" sqref="D6664">
      <formula1>0</formula1>
    </dataValidation>
    <dataValidation type="decimal" operator="greaterThan" allowBlank="1" showInputMessage="1" showErrorMessage="1" sqref="E6664">
      <formula1>0</formula1>
    </dataValidation>
    <dataValidation type="whole" operator="greaterThan" allowBlank="1" showInputMessage="1" showErrorMessage="1" sqref="A6665">
      <formula1>0</formula1>
    </dataValidation>
    <dataValidation type="list" allowBlank="1" showInputMessage="1" showErrorMessage="1" sqref="C6665">
      <formula1>UnidadesList</formula1>
    </dataValidation>
    <dataValidation type="decimal" operator="greaterThan" allowBlank="1" showInputMessage="1" showErrorMessage="1" sqref="D6665">
      <formula1>0</formula1>
    </dataValidation>
    <dataValidation type="decimal" operator="greaterThan" allowBlank="1" showInputMessage="1" showErrorMessage="1" sqref="E6665">
      <formula1>0</formula1>
    </dataValidation>
    <dataValidation type="whole" operator="greaterThan" allowBlank="1" showInputMessage="1" showErrorMessage="1" sqref="A6666">
      <formula1>0</formula1>
    </dataValidation>
    <dataValidation type="list" allowBlank="1" showInputMessage="1" showErrorMessage="1" sqref="C6666">
      <formula1>UnidadesList</formula1>
    </dataValidation>
    <dataValidation type="decimal" operator="greaterThan" allowBlank="1" showInputMessage="1" showErrorMessage="1" sqref="D6666">
      <formula1>0</formula1>
    </dataValidation>
    <dataValidation type="decimal" operator="greaterThan" allowBlank="1" showInputMessage="1" showErrorMessage="1" sqref="E6666">
      <formula1>0</formula1>
    </dataValidation>
    <dataValidation type="whole" operator="greaterThan" allowBlank="1" showInputMessage="1" showErrorMessage="1" sqref="A6667">
      <formula1>0</formula1>
    </dataValidation>
    <dataValidation type="list" allowBlank="1" showInputMessage="1" showErrorMessage="1" sqref="C6667">
      <formula1>UnidadesList</formula1>
    </dataValidation>
    <dataValidation type="decimal" operator="greaterThan" allowBlank="1" showInputMessage="1" showErrorMessage="1" sqref="D6667">
      <formula1>0</formula1>
    </dataValidation>
    <dataValidation type="decimal" operator="greaterThan" allowBlank="1" showInputMessage="1" showErrorMessage="1" sqref="E6667">
      <formula1>0</formula1>
    </dataValidation>
    <dataValidation type="whole" operator="greaterThan" allowBlank="1" showInputMessage="1" showErrorMessage="1" sqref="A6668">
      <formula1>0</formula1>
    </dataValidation>
    <dataValidation type="list" allowBlank="1" showInputMessage="1" showErrorMessage="1" sqref="C6668">
      <formula1>UnidadesList</formula1>
    </dataValidation>
    <dataValidation type="decimal" operator="greaterThan" allowBlank="1" showInputMessage="1" showErrorMessage="1" sqref="D6668">
      <formula1>0</formula1>
    </dataValidation>
    <dataValidation type="decimal" operator="greaterThan" allowBlank="1" showInputMessage="1" showErrorMessage="1" sqref="E6668">
      <formula1>0</formula1>
    </dataValidation>
    <dataValidation type="whole" operator="greaterThan" allowBlank="1" showInputMessage="1" showErrorMessage="1" sqref="A6669">
      <formula1>0</formula1>
    </dataValidation>
    <dataValidation type="list" allowBlank="1" showInputMessage="1" showErrorMessage="1" sqref="C6669">
      <formula1>UnidadesList</formula1>
    </dataValidation>
    <dataValidation type="decimal" operator="greaterThan" allowBlank="1" showInputMessage="1" showErrorMessage="1" sqref="D6669">
      <formula1>0</formula1>
    </dataValidation>
    <dataValidation type="decimal" operator="greaterThan" allowBlank="1" showInputMessage="1" showErrorMessage="1" sqref="E6669">
      <formula1>0</formula1>
    </dataValidation>
    <dataValidation type="whole" operator="greaterThan" allowBlank="1" showInputMessage="1" showErrorMessage="1" sqref="A6670">
      <formula1>0</formula1>
    </dataValidation>
    <dataValidation type="list" allowBlank="1" showInputMessage="1" showErrorMessage="1" sqref="C6670">
      <formula1>UnidadesList</formula1>
    </dataValidation>
    <dataValidation type="decimal" operator="greaterThan" allowBlank="1" showInputMessage="1" showErrorMessage="1" sqref="D6670">
      <formula1>0</formula1>
    </dataValidation>
    <dataValidation type="decimal" operator="greaterThan" allowBlank="1" showInputMessage="1" showErrorMessage="1" sqref="E6670">
      <formula1>0</formula1>
    </dataValidation>
    <dataValidation type="date" operator="lessThanOrEqual" allowBlank="1" showInputMessage="1" showErrorMessage="1" sqref="C6675">
      <formula1>C6677</formula1>
    </dataValidation>
    <dataValidation type="date" operator="greaterThanOrEqual" allowBlank="1" showInputMessage="1" showErrorMessage="1" sqref="C6677">
      <formula1>C6675</formula1>
    </dataValidation>
    <dataValidation type="list" allowBlank="1" showInputMessage="1" showErrorMessage="1" sqref="F66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6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81">
      <formula1>0</formula1>
    </dataValidation>
    <dataValidation type="list" allowBlank="1" showInputMessage="1" showErrorMessage="1" sqref="C6681">
      <formula1>UnidadesList</formula1>
    </dataValidation>
    <dataValidation type="decimal" operator="greaterThan" allowBlank="1" showInputMessage="1" showErrorMessage="1" sqref="D6681">
      <formula1>0</formula1>
    </dataValidation>
    <dataValidation type="decimal" operator="greaterThan" allowBlank="1" showInputMessage="1" showErrorMessage="1" sqref="E6681">
      <formula1>0</formula1>
    </dataValidation>
    <dataValidation type="whole" operator="greaterThan" allowBlank="1" showInputMessage="1" showErrorMessage="1" sqref="A6682">
      <formula1>0</formula1>
    </dataValidation>
    <dataValidation type="list" allowBlank="1" showInputMessage="1" showErrorMessage="1" sqref="C6682">
      <formula1>UnidadesList</formula1>
    </dataValidation>
    <dataValidation type="decimal" operator="greaterThan" allowBlank="1" showInputMessage="1" showErrorMessage="1" sqref="D6682">
      <formula1>0</formula1>
    </dataValidation>
    <dataValidation type="decimal" operator="greaterThan" allowBlank="1" showInputMessage="1" showErrorMessage="1" sqref="E6682">
      <formula1>0</formula1>
    </dataValidation>
    <dataValidation type="whole" operator="greaterThan" allowBlank="1" showInputMessage="1" showErrorMessage="1" sqref="A6683">
      <formula1>0</formula1>
    </dataValidation>
    <dataValidation type="list" allowBlank="1" showInputMessage="1" showErrorMessage="1" sqref="C6683">
      <formula1>UnidadesList</formula1>
    </dataValidation>
    <dataValidation type="decimal" operator="greaterThan" allowBlank="1" showInputMessage="1" showErrorMessage="1" sqref="D6683">
      <formula1>0</formula1>
    </dataValidation>
    <dataValidation type="decimal" operator="greaterThan" allowBlank="1" showInputMessage="1" showErrorMessage="1" sqref="E6683">
      <formula1>0</formula1>
    </dataValidation>
    <dataValidation type="date" operator="lessThanOrEqual" allowBlank="1" showInputMessage="1" showErrorMessage="1" sqref="C6688">
      <formula1>C6690</formula1>
    </dataValidation>
    <dataValidation type="date" operator="greaterThanOrEqual" allowBlank="1" showInputMessage="1" showErrorMessage="1" sqref="C6690">
      <formula1>C6688</formula1>
    </dataValidation>
    <dataValidation type="list" allowBlank="1" showInputMessage="1" showErrorMessage="1" sqref="F668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68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9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9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94">
      <formula1>0</formula1>
    </dataValidation>
    <dataValidation type="list" allowBlank="1" showInputMessage="1" showErrorMessage="1" sqref="C6694">
      <formula1>UnidadesList</formula1>
    </dataValidation>
    <dataValidation type="decimal" operator="greaterThan" allowBlank="1" showInputMessage="1" showErrorMessage="1" sqref="D6694">
      <formula1>0</formula1>
    </dataValidation>
    <dataValidation type="decimal" operator="greaterThan" allowBlank="1" showInputMessage="1" showErrorMessage="1" sqref="E6694">
      <formula1>0</formula1>
    </dataValidation>
    <dataValidation type="whole" operator="greaterThan" allowBlank="1" showInputMessage="1" showErrorMessage="1" sqref="A6695">
      <formula1>0</formula1>
    </dataValidation>
    <dataValidation type="list" allowBlank="1" showInputMessage="1" showErrorMessage="1" sqref="C6695">
      <formula1>UnidadesList</formula1>
    </dataValidation>
    <dataValidation type="decimal" operator="greaterThan" allowBlank="1" showInputMessage="1" showErrorMessage="1" sqref="D6695">
      <formula1>0</formula1>
    </dataValidation>
    <dataValidation type="decimal" operator="greaterThan" allowBlank="1" showInputMessage="1" showErrorMessage="1" sqref="E6695">
      <formula1>0</formula1>
    </dataValidation>
    <dataValidation type="whole" operator="greaterThan" allowBlank="1" showInputMessage="1" showErrorMessage="1" sqref="A6696">
      <formula1>0</formula1>
    </dataValidation>
    <dataValidation type="list" allowBlank="1" showInputMessage="1" showErrorMessage="1" sqref="C6696">
      <formula1>UnidadesList</formula1>
    </dataValidation>
    <dataValidation type="decimal" operator="greaterThan" allowBlank="1" showInputMessage="1" showErrorMessage="1" sqref="D6696">
      <formula1>0</formula1>
    </dataValidation>
    <dataValidation type="decimal" operator="greaterThan" allowBlank="1" showInputMessage="1" showErrorMessage="1" sqref="E6696">
      <formula1>0</formula1>
    </dataValidation>
    <dataValidation type="whole" operator="greaterThan" allowBlank="1" showInputMessage="1" showErrorMessage="1" sqref="A6697">
      <formula1>0</formula1>
    </dataValidation>
    <dataValidation type="list" allowBlank="1" showInputMessage="1" showErrorMessage="1" sqref="C6697">
      <formula1>UnidadesList</formula1>
    </dataValidation>
    <dataValidation type="decimal" operator="greaterThan" allowBlank="1" showInputMessage="1" showErrorMessage="1" sqref="D6697">
      <formula1>0</formula1>
    </dataValidation>
    <dataValidation type="decimal" operator="greaterThan" allowBlank="1" showInputMessage="1" showErrorMessage="1" sqref="E6697">
      <formula1>0</formula1>
    </dataValidation>
    <dataValidation type="whole" operator="greaterThan" allowBlank="1" showInputMessage="1" showErrorMessage="1" sqref="A6698">
      <formula1>0</formula1>
    </dataValidation>
    <dataValidation type="list" allowBlank="1" showInputMessage="1" showErrorMessage="1" sqref="C6698">
      <formula1>UnidadesList</formula1>
    </dataValidation>
    <dataValidation type="decimal" operator="greaterThan" allowBlank="1" showInputMessage="1" showErrorMessage="1" sqref="D6698">
      <formula1>0</formula1>
    </dataValidation>
    <dataValidation type="decimal" operator="greaterThan" allowBlank="1" showInputMessage="1" showErrorMessage="1" sqref="E6698">
      <formula1>0</formula1>
    </dataValidation>
    <dataValidation type="whole" operator="greaterThan" allowBlank="1" showInputMessage="1" showErrorMessage="1" sqref="A6699">
      <formula1>0</formula1>
    </dataValidation>
    <dataValidation type="list" allowBlank="1" showInputMessage="1" showErrorMessage="1" sqref="C6699">
      <formula1>UnidadesList</formula1>
    </dataValidation>
    <dataValidation type="decimal" operator="greaterThan" allowBlank="1" showInputMessage="1" showErrorMessage="1" sqref="D6699">
      <formula1>0</formula1>
    </dataValidation>
    <dataValidation type="decimal" operator="greaterThan" allowBlank="1" showInputMessage="1" showErrorMessage="1" sqref="E6699">
      <formula1>0</formula1>
    </dataValidation>
    <dataValidation type="whole" operator="greaterThan" allowBlank="1" showInputMessage="1" showErrorMessage="1" sqref="A6700">
      <formula1>0</formula1>
    </dataValidation>
    <dataValidation type="list" allowBlank="1" showInputMessage="1" showErrorMessage="1" sqref="C6700">
      <formula1>UnidadesList</formula1>
    </dataValidation>
    <dataValidation type="decimal" operator="greaterThan" allowBlank="1" showInputMessage="1" showErrorMessage="1" sqref="D6700">
      <formula1>0</formula1>
    </dataValidation>
    <dataValidation type="decimal" operator="greaterThan" allowBlank="1" showInputMessage="1" showErrorMessage="1" sqref="E6700">
      <formula1>0</formula1>
    </dataValidation>
    <dataValidation type="whole" operator="greaterThan" allowBlank="1" showInputMessage="1" showErrorMessage="1" sqref="A6701">
      <formula1>0</formula1>
    </dataValidation>
    <dataValidation type="list" allowBlank="1" showInputMessage="1" showErrorMessage="1" sqref="C6701">
      <formula1>UnidadesList</formula1>
    </dataValidation>
    <dataValidation type="decimal" operator="greaterThan" allowBlank="1" showInputMessage="1" showErrorMessage="1" sqref="D6701">
      <formula1>0</formula1>
    </dataValidation>
    <dataValidation type="decimal" operator="greaterThan" allowBlank="1" showInputMessage="1" showErrorMessage="1" sqref="E6701">
      <formula1>0</formula1>
    </dataValidation>
    <dataValidation type="whole" operator="greaterThan" allowBlank="1" showInputMessage="1" showErrorMessage="1" sqref="A6702">
      <formula1>0</formula1>
    </dataValidation>
    <dataValidation type="list" allowBlank="1" showInputMessage="1" showErrorMessage="1" sqref="C6702">
      <formula1>UnidadesList</formula1>
    </dataValidation>
    <dataValidation type="decimal" operator="greaterThan" allowBlank="1" showInputMessage="1" showErrorMessage="1" sqref="D6702">
      <formula1>0</formula1>
    </dataValidation>
    <dataValidation type="decimal" operator="greaterThan" allowBlank="1" showInputMessage="1" showErrorMessage="1" sqref="E6702">
      <formula1>0</formula1>
    </dataValidation>
    <dataValidation type="whole" operator="greaterThan" allowBlank="1" showInputMessage="1" showErrorMessage="1" sqref="A6703">
      <formula1>0</formula1>
    </dataValidation>
    <dataValidation type="list" allowBlank="1" showInputMessage="1" showErrorMessage="1" sqref="C6703">
      <formula1>UnidadesList</formula1>
    </dataValidation>
    <dataValidation type="decimal" operator="greaterThan" allowBlank="1" showInputMessage="1" showErrorMessage="1" sqref="D6703">
      <formula1>0</formula1>
    </dataValidation>
    <dataValidation type="decimal" operator="greaterThan" allowBlank="1" showInputMessage="1" showErrorMessage="1" sqref="E6703">
      <formula1>0</formula1>
    </dataValidation>
    <dataValidation type="whole" operator="greaterThan" allowBlank="1" showInputMessage="1" showErrorMessage="1" sqref="A6704">
      <formula1>0</formula1>
    </dataValidation>
    <dataValidation type="list" allowBlank="1" showInputMessage="1" showErrorMessage="1" sqref="C6704">
      <formula1>UnidadesList</formula1>
    </dataValidation>
    <dataValidation type="decimal" operator="greaterThan" allowBlank="1" showInputMessage="1" showErrorMessage="1" sqref="D6704">
      <formula1>0</formula1>
    </dataValidation>
    <dataValidation type="decimal" operator="greaterThan" allowBlank="1" showInputMessage="1" showErrorMessage="1" sqref="E6704">
      <formula1>0</formula1>
    </dataValidation>
    <dataValidation type="whole" operator="greaterThan" allowBlank="1" showInputMessage="1" showErrorMessage="1" sqref="A6705">
      <formula1>0</formula1>
    </dataValidation>
    <dataValidation type="list" allowBlank="1" showInputMessage="1" showErrorMessage="1" sqref="C6705">
      <formula1>UnidadesList</formula1>
    </dataValidation>
    <dataValidation type="decimal" operator="greaterThan" allowBlank="1" showInputMessage="1" showErrorMessage="1" sqref="D6705">
      <formula1>0</formula1>
    </dataValidation>
    <dataValidation type="decimal" operator="greaterThan" allowBlank="1" showInputMessage="1" showErrorMessage="1" sqref="E6705">
      <formula1>0</formula1>
    </dataValidation>
    <dataValidation type="whole" operator="greaterThan" allowBlank="1" showInputMessage="1" showErrorMessage="1" sqref="A6706">
      <formula1>0</formula1>
    </dataValidation>
    <dataValidation type="list" allowBlank="1" showInputMessage="1" showErrorMessage="1" sqref="C6706">
      <formula1>UnidadesList</formula1>
    </dataValidation>
    <dataValidation type="decimal" operator="greaterThan" allowBlank="1" showInputMessage="1" showErrorMessage="1" sqref="D6706">
      <formula1>0</formula1>
    </dataValidation>
    <dataValidation type="decimal" operator="greaterThan" allowBlank="1" showInputMessage="1" showErrorMessage="1" sqref="E6706">
      <formula1>0</formula1>
    </dataValidation>
    <dataValidation type="whole" operator="greaterThan" allowBlank="1" showInputMessage="1" showErrorMessage="1" sqref="A6707">
      <formula1>0</formula1>
    </dataValidation>
    <dataValidation type="list" allowBlank="1" showInputMessage="1" showErrorMessage="1" sqref="C6707">
      <formula1>UnidadesList</formula1>
    </dataValidation>
    <dataValidation type="decimal" operator="greaterThan" allowBlank="1" showInputMessage="1" showErrorMessage="1" sqref="D6707">
      <formula1>0</formula1>
    </dataValidation>
    <dataValidation type="decimal" operator="greaterThan" allowBlank="1" showInputMessage="1" showErrorMessage="1" sqref="E6707">
      <formula1>0</formula1>
    </dataValidation>
    <dataValidation type="whole" operator="greaterThan" allowBlank="1" showInputMessage="1" showErrorMessage="1" sqref="A6708">
      <formula1>0</formula1>
    </dataValidation>
    <dataValidation type="list" allowBlank="1" showInputMessage="1" showErrorMessage="1" sqref="C6708">
      <formula1>UnidadesList</formula1>
    </dataValidation>
    <dataValidation type="decimal" operator="greaterThan" allowBlank="1" showInputMessage="1" showErrorMessage="1" sqref="D6708">
      <formula1>0</formula1>
    </dataValidation>
    <dataValidation type="decimal" operator="greaterThan" allowBlank="1" showInputMessage="1" showErrorMessage="1" sqref="E6708">
      <formula1>0</formula1>
    </dataValidation>
    <dataValidation type="whole" operator="greaterThan" allowBlank="1" showInputMessage="1" showErrorMessage="1" sqref="A6709">
      <formula1>0</formula1>
    </dataValidation>
    <dataValidation type="list" allowBlank="1" showInputMessage="1" showErrorMessage="1" sqref="C6709">
      <formula1>UnidadesList</formula1>
    </dataValidation>
    <dataValidation type="decimal" operator="greaterThan" allowBlank="1" showInputMessage="1" showErrorMessage="1" sqref="D6709">
      <formula1>0</formula1>
    </dataValidation>
    <dataValidation type="decimal" operator="greaterThan" allowBlank="1" showInputMessage="1" showErrorMessage="1" sqref="E6709">
      <formula1>0</formula1>
    </dataValidation>
    <dataValidation type="whole" operator="greaterThan" allowBlank="1" showInputMessage="1" showErrorMessage="1" sqref="A6710">
      <formula1>0</formula1>
    </dataValidation>
    <dataValidation type="list" allowBlank="1" showInputMessage="1" showErrorMessage="1" sqref="C6710">
      <formula1>UnidadesList</formula1>
    </dataValidation>
    <dataValidation type="decimal" operator="greaterThan" allowBlank="1" showInputMessage="1" showErrorMessage="1" sqref="D6710">
      <formula1>0</formula1>
    </dataValidation>
    <dataValidation type="decimal" operator="greaterThan" allowBlank="1" showInputMessage="1" showErrorMessage="1" sqref="E6710">
      <formula1>0</formula1>
    </dataValidation>
    <dataValidation type="whole" operator="greaterThan" allowBlank="1" showInputMessage="1" showErrorMessage="1" sqref="A6711">
      <formula1>0</formula1>
    </dataValidation>
    <dataValidation type="list" allowBlank="1" showInputMessage="1" showErrorMessage="1" sqref="C6711">
      <formula1>UnidadesList</formula1>
    </dataValidation>
    <dataValidation type="decimal" operator="greaterThan" allowBlank="1" showInputMessage="1" showErrorMessage="1" sqref="D6711">
      <formula1>0</formula1>
    </dataValidation>
    <dataValidation type="decimal" operator="greaterThan" allowBlank="1" showInputMessage="1" showErrorMessage="1" sqref="E6711">
      <formula1>0</formula1>
    </dataValidation>
    <dataValidation type="whole" operator="greaterThan" allowBlank="1" showInputMessage="1" showErrorMessage="1" sqref="A6712">
      <formula1>0</formula1>
    </dataValidation>
    <dataValidation type="list" allowBlank="1" showInputMessage="1" showErrorMessage="1" sqref="C6712">
      <formula1>UnidadesList</formula1>
    </dataValidation>
    <dataValidation type="decimal" operator="greaterThan" allowBlank="1" showInputMessage="1" showErrorMessage="1" sqref="D6712">
      <formula1>0</formula1>
    </dataValidation>
    <dataValidation type="decimal" operator="greaterThan" allowBlank="1" showInputMessage="1" showErrorMessage="1" sqref="E6712">
      <formula1>0</formula1>
    </dataValidation>
    <dataValidation type="date" operator="lessThanOrEqual" allowBlank="1" showInputMessage="1" showErrorMessage="1" sqref="C6717">
      <formula1>C6719</formula1>
    </dataValidation>
    <dataValidation type="date" operator="greaterThanOrEqual" allowBlank="1" showInputMessage="1" showErrorMessage="1" sqref="C6719">
      <formula1>C6717</formula1>
    </dataValidation>
    <dataValidation type="list" allowBlank="1" showInputMessage="1" showErrorMessage="1" sqref="F67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23">
      <formula1>0</formula1>
    </dataValidation>
    <dataValidation type="list" allowBlank="1" showInputMessage="1" showErrorMessage="1" sqref="C6723">
      <formula1>UnidadesList</formula1>
    </dataValidation>
    <dataValidation type="decimal" operator="greaterThan" allowBlank="1" showInputMessage="1" showErrorMessage="1" sqref="D6723">
      <formula1>0</formula1>
    </dataValidation>
    <dataValidation type="decimal" operator="greaterThan" allowBlank="1" showInputMessage="1" showErrorMessage="1" sqref="E6723">
      <formula1>0</formula1>
    </dataValidation>
    <dataValidation type="whole" operator="greaterThan" allowBlank="1" showInputMessage="1" showErrorMessage="1" sqref="A6724">
      <formula1>0</formula1>
    </dataValidation>
    <dataValidation type="list" allowBlank="1" showInputMessage="1" showErrorMessage="1" sqref="C6724">
      <formula1>UnidadesList</formula1>
    </dataValidation>
    <dataValidation type="decimal" operator="greaterThan" allowBlank="1" showInputMessage="1" showErrorMessage="1" sqref="D6724">
      <formula1>0</formula1>
    </dataValidation>
    <dataValidation type="decimal" operator="greaterThan" allowBlank="1" showInputMessage="1" showErrorMessage="1" sqref="E6724">
      <formula1>0</formula1>
    </dataValidation>
    <dataValidation type="whole" operator="greaterThan" allowBlank="1" showInputMessage="1" showErrorMessage="1" sqref="A6725">
      <formula1>0</formula1>
    </dataValidation>
    <dataValidation type="list" allowBlank="1" showInputMessage="1" showErrorMessage="1" sqref="C6725">
      <formula1>UnidadesList</formula1>
    </dataValidation>
    <dataValidation type="decimal" operator="greaterThan" allowBlank="1" showInputMessage="1" showErrorMessage="1" sqref="D6725">
      <formula1>0</formula1>
    </dataValidation>
    <dataValidation type="decimal" operator="greaterThan" allowBlank="1" showInputMessage="1" showErrorMessage="1" sqref="E6725">
      <formula1>0</formula1>
    </dataValidation>
    <dataValidation type="whole" operator="greaterThan" allowBlank="1" showInputMessage="1" showErrorMessage="1" sqref="A6726">
      <formula1>0</formula1>
    </dataValidation>
    <dataValidation type="list" allowBlank="1" showInputMessage="1" showErrorMessage="1" sqref="C6726">
      <formula1>UnidadesList</formula1>
    </dataValidation>
    <dataValidation type="decimal" operator="greaterThan" allowBlank="1" showInputMessage="1" showErrorMessage="1" sqref="D6726">
      <formula1>0</formula1>
    </dataValidation>
    <dataValidation type="decimal" operator="greaterThan" allowBlank="1" showInputMessage="1" showErrorMessage="1" sqref="E6726">
      <formula1>0</formula1>
    </dataValidation>
    <dataValidation type="whole" operator="greaterThan" allowBlank="1" showInputMessage="1" showErrorMessage="1" sqref="A6727">
      <formula1>0</formula1>
    </dataValidation>
    <dataValidation type="list" allowBlank="1" showInputMessage="1" showErrorMessage="1" sqref="C6727">
      <formula1>UnidadesList</formula1>
    </dataValidation>
    <dataValidation type="decimal" operator="greaterThan" allowBlank="1" showInputMessage="1" showErrorMessage="1" sqref="D6727">
      <formula1>0</formula1>
    </dataValidation>
    <dataValidation type="decimal" operator="greaterThan" allowBlank="1" showInputMessage="1" showErrorMessage="1" sqref="E6727">
      <formula1>0</formula1>
    </dataValidation>
    <dataValidation type="whole" operator="greaterThan" allowBlank="1" showInputMessage="1" showErrorMessage="1" sqref="A6728">
      <formula1>0</formula1>
    </dataValidation>
    <dataValidation type="list" allowBlank="1" showInputMessage="1" showErrorMessage="1" sqref="C6728">
      <formula1>UnidadesList</formula1>
    </dataValidation>
    <dataValidation type="decimal" operator="greaterThan" allowBlank="1" showInputMessage="1" showErrorMessage="1" sqref="D6728">
      <formula1>0</formula1>
    </dataValidation>
    <dataValidation type="decimal" operator="greaterThan" allowBlank="1" showInputMessage="1" showErrorMessage="1" sqref="E6728">
      <formula1>0</formula1>
    </dataValidation>
    <dataValidation type="whole" operator="greaterThan" allowBlank="1" showInputMessage="1" showErrorMessage="1" sqref="A6729">
      <formula1>0</formula1>
    </dataValidation>
    <dataValidation type="list" allowBlank="1" showInputMessage="1" showErrorMessage="1" sqref="C6729">
      <formula1>UnidadesList</formula1>
    </dataValidation>
    <dataValidation type="decimal" operator="greaterThan" allowBlank="1" showInputMessage="1" showErrorMessage="1" sqref="D6729">
      <formula1>0</formula1>
    </dataValidation>
    <dataValidation type="decimal" operator="greaterThan" allowBlank="1" showInputMessage="1" showErrorMessage="1" sqref="E6729">
      <formula1>0</formula1>
    </dataValidation>
    <dataValidation type="whole" operator="greaterThan" allowBlank="1" showInputMessage="1" showErrorMessage="1" sqref="A6730">
      <formula1>0</formula1>
    </dataValidation>
    <dataValidation type="list" allowBlank="1" showInputMessage="1" showErrorMessage="1" sqref="C6730">
      <formula1>UnidadesList</formula1>
    </dataValidation>
    <dataValidation type="decimal" operator="greaterThan" allowBlank="1" showInputMessage="1" showErrorMessage="1" sqref="D6730">
      <formula1>0</formula1>
    </dataValidation>
    <dataValidation type="decimal" operator="greaterThan" allowBlank="1" showInputMessage="1" showErrorMessage="1" sqref="E6730">
      <formula1>0</formula1>
    </dataValidation>
    <dataValidation type="whole" operator="greaterThan" allowBlank="1" showInputMessage="1" showErrorMessage="1" sqref="A6731">
      <formula1>0</formula1>
    </dataValidation>
    <dataValidation type="list" allowBlank="1" showInputMessage="1" showErrorMessage="1" sqref="C6731">
      <formula1>UnidadesList</formula1>
    </dataValidation>
    <dataValidation type="decimal" operator="greaterThan" allowBlank="1" showInputMessage="1" showErrorMessage="1" sqref="D6731">
      <formula1>0</formula1>
    </dataValidation>
    <dataValidation type="decimal" operator="greaterThan" allowBlank="1" showInputMessage="1" showErrorMessage="1" sqref="E6731">
      <formula1>0</formula1>
    </dataValidation>
    <dataValidation type="whole" operator="greaterThan" allowBlank="1" showInputMessage="1" showErrorMessage="1" sqref="A6732">
      <formula1>0</formula1>
    </dataValidation>
    <dataValidation type="list" allowBlank="1" showInputMessage="1" showErrorMessage="1" sqref="C6732">
      <formula1>UnidadesList</formula1>
    </dataValidation>
    <dataValidation type="decimal" operator="greaterThan" allowBlank="1" showInputMessage="1" showErrorMessage="1" sqref="D6732">
      <formula1>0</formula1>
    </dataValidation>
    <dataValidation type="decimal" operator="greaterThan" allowBlank="1" showInputMessage="1" showErrorMessage="1" sqref="E6732">
      <formula1>0</formula1>
    </dataValidation>
    <dataValidation type="whole" operator="greaterThan" allowBlank="1" showInputMessage="1" showErrorMessage="1" sqref="A6733">
      <formula1>0</formula1>
    </dataValidation>
    <dataValidation type="list" allowBlank="1" showInputMessage="1" showErrorMessage="1" sqref="C6733">
      <formula1>UnidadesList</formula1>
    </dataValidation>
    <dataValidation type="decimal" operator="greaterThan" allowBlank="1" showInputMessage="1" showErrorMessage="1" sqref="D6733">
      <formula1>0</formula1>
    </dataValidation>
    <dataValidation type="decimal" operator="greaterThan" allowBlank="1" showInputMessage="1" showErrorMessage="1" sqref="E6733">
      <formula1>0</formula1>
    </dataValidation>
    <dataValidation type="whole" operator="greaterThan" allowBlank="1" showInputMessage="1" showErrorMessage="1" sqref="A6734">
      <formula1>0</formula1>
    </dataValidation>
    <dataValidation type="list" allowBlank="1" showInputMessage="1" showErrorMessage="1" sqref="C6734">
      <formula1>UnidadesList</formula1>
    </dataValidation>
    <dataValidation type="decimal" operator="greaterThan" allowBlank="1" showInputMessage="1" showErrorMessage="1" sqref="D6734">
      <formula1>0</formula1>
    </dataValidation>
    <dataValidation type="decimal" operator="greaterThan" allowBlank="1" showInputMessage="1" showErrorMessage="1" sqref="E6734">
      <formula1>0</formula1>
    </dataValidation>
    <dataValidation type="whole" operator="greaterThan" allowBlank="1" showInputMessage="1" showErrorMessage="1" sqref="A6735">
      <formula1>0</formula1>
    </dataValidation>
    <dataValidation type="list" allowBlank="1" showInputMessage="1" showErrorMessage="1" sqref="C6735">
      <formula1>UnidadesList</formula1>
    </dataValidation>
    <dataValidation type="decimal" operator="greaterThan" allowBlank="1" showInputMessage="1" showErrorMessage="1" sqref="D6735">
      <formula1>0</formula1>
    </dataValidation>
    <dataValidation type="decimal" operator="greaterThan" allowBlank="1" showInputMessage="1" showErrorMessage="1" sqref="E6735">
      <formula1>0</formula1>
    </dataValidation>
    <dataValidation type="whole" operator="greaterThan" allowBlank="1" showInputMessage="1" showErrorMessage="1" sqref="A6736">
      <formula1>0</formula1>
    </dataValidation>
    <dataValidation type="list" allowBlank="1" showInputMessage="1" showErrorMessage="1" sqref="C6736">
      <formula1>UnidadesList</formula1>
    </dataValidation>
    <dataValidation type="decimal" operator="greaterThan" allowBlank="1" showInputMessage="1" showErrorMessage="1" sqref="D6736">
      <formula1>0</formula1>
    </dataValidation>
    <dataValidation type="decimal" operator="greaterThan" allowBlank="1" showInputMessage="1" showErrorMessage="1" sqref="E6736">
      <formula1>0</formula1>
    </dataValidation>
    <dataValidation type="whole" operator="greaterThan" allowBlank="1" showInputMessage="1" showErrorMessage="1" sqref="A6737">
      <formula1>0</formula1>
    </dataValidation>
    <dataValidation type="list" allowBlank="1" showInputMessage="1" showErrorMessage="1" sqref="C6737">
      <formula1>UnidadesList</formula1>
    </dataValidation>
    <dataValidation type="decimal" operator="greaterThan" allowBlank="1" showInputMessage="1" showErrorMessage="1" sqref="D6737">
      <formula1>0</formula1>
    </dataValidation>
    <dataValidation type="decimal" operator="greaterThan" allowBlank="1" showInputMessage="1" showErrorMessage="1" sqref="E6737">
      <formula1>0</formula1>
    </dataValidation>
    <dataValidation type="whole" operator="greaterThan" allowBlank="1" showInputMessage="1" showErrorMessage="1" sqref="A6738">
      <formula1>0</formula1>
    </dataValidation>
    <dataValidation type="list" allowBlank="1" showInputMessage="1" showErrorMessage="1" sqref="C6738">
      <formula1>UnidadesList</formula1>
    </dataValidation>
    <dataValidation type="decimal" operator="greaterThan" allowBlank="1" showInputMessage="1" showErrorMessage="1" sqref="D6738">
      <formula1>0</formula1>
    </dataValidation>
    <dataValidation type="decimal" operator="greaterThan" allowBlank="1" showInputMessage="1" showErrorMessage="1" sqref="E6738">
      <formula1>0</formula1>
    </dataValidation>
    <dataValidation type="whole" operator="greaterThan" allowBlank="1" showInputMessage="1" showErrorMessage="1" sqref="A6739">
      <formula1>0</formula1>
    </dataValidation>
    <dataValidation type="list" allowBlank="1" showInputMessage="1" showErrorMessage="1" sqref="C6739">
      <formula1>UnidadesList</formula1>
    </dataValidation>
    <dataValidation type="decimal" operator="greaterThan" allowBlank="1" showInputMessage="1" showErrorMessage="1" sqref="D6739">
      <formula1>0</formula1>
    </dataValidation>
    <dataValidation type="decimal" operator="greaterThan" allowBlank="1" showInputMessage="1" showErrorMessage="1" sqref="E6739">
      <formula1>0</formula1>
    </dataValidation>
    <dataValidation type="whole" operator="greaterThan" allowBlank="1" showInputMessage="1" showErrorMessage="1" sqref="A6740">
      <formula1>0</formula1>
    </dataValidation>
    <dataValidation type="list" allowBlank="1" showInputMessage="1" showErrorMessage="1" sqref="C6740">
      <formula1>UnidadesList</formula1>
    </dataValidation>
    <dataValidation type="decimal" operator="greaterThan" allowBlank="1" showInputMessage="1" showErrorMessage="1" sqref="D6740">
      <formula1>0</formula1>
    </dataValidation>
    <dataValidation type="decimal" operator="greaterThan" allowBlank="1" showInputMessage="1" showErrorMessage="1" sqref="E6740">
      <formula1>0</formula1>
    </dataValidation>
    <dataValidation type="whole" operator="greaterThan" allowBlank="1" showInputMessage="1" showErrorMessage="1" sqref="A6741">
      <formula1>0</formula1>
    </dataValidation>
    <dataValidation type="list" allowBlank="1" showInputMessage="1" showErrorMessage="1" sqref="C6741">
      <formula1>UnidadesList</formula1>
    </dataValidation>
    <dataValidation type="decimal" operator="greaterThan" allowBlank="1" showInputMessage="1" showErrorMessage="1" sqref="D6741">
      <formula1>0</formula1>
    </dataValidation>
    <dataValidation type="decimal" operator="greaterThan" allowBlank="1" showInputMessage="1" showErrorMessage="1" sqref="E6741">
      <formula1>0</formula1>
    </dataValidation>
    <dataValidation type="date" operator="lessThanOrEqual" allowBlank="1" showInputMessage="1" showErrorMessage="1" sqref="C6746">
      <formula1>C6748</formula1>
    </dataValidation>
    <dataValidation type="date" operator="greaterThanOrEqual" allowBlank="1" showInputMessage="1" showErrorMessage="1" sqref="C6748">
      <formula1>C6746</formula1>
    </dataValidation>
    <dataValidation type="list" allowBlank="1" showInputMessage="1" showErrorMessage="1" sqref="F674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4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4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4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52">
      <formula1>0</formula1>
    </dataValidation>
    <dataValidation type="list" allowBlank="1" showInputMessage="1" showErrorMessage="1" sqref="C6752">
      <formula1>UnidadesList</formula1>
    </dataValidation>
    <dataValidation type="decimal" operator="greaterThan" allowBlank="1" showInputMessage="1" showErrorMessage="1" sqref="D6752">
      <formula1>0</formula1>
    </dataValidation>
    <dataValidation type="decimal" operator="greaterThan" allowBlank="1" showInputMessage="1" showErrorMessage="1" sqref="E6752">
      <formula1>0</formula1>
    </dataValidation>
    <dataValidation type="whole" operator="greaterThan" allowBlank="1" showInputMessage="1" showErrorMessage="1" sqref="A6753">
      <formula1>0</formula1>
    </dataValidation>
    <dataValidation type="list" allowBlank="1" showInputMessage="1" showErrorMessage="1" sqref="C6753">
      <formula1>UnidadesList</formula1>
    </dataValidation>
    <dataValidation type="decimal" operator="greaterThan" allowBlank="1" showInputMessage="1" showErrorMessage="1" sqref="D6753">
      <formula1>0</formula1>
    </dataValidation>
    <dataValidation type="decimal" operator="greaterThan" allowBlank="1" showInputMessage="1" showErrorMessage="1" sqref="E6753">
      <formula1>0</formula1>
    </dataValidation>
    <dataValidation type="whole" operator="greaterThan" allowBlank="1" showInputMessage="1" showErrorMessage="1" sqref="A6754">
      <formula1>0</formula1>
    </dataValidation>
    <dataValidation type="list" allowBlank="1" showInputMessage="1" showErrorMessage="1" sqref="C6754">
      <formula1>UnidadesList</formula1>
    </dataValidation>
    <dataValidation type="decimal" operator="greaterThan" allowBlank="1" showInputMessage="1" showErrorMessage="1" sqref="D6754">
      <formula1>0</formula1>
    </dataValidation>
    <dataValidation type="decimal" operator="greaterThan" allowBlank="1" showInputMessage="1" showErrorMessage="1" sqref="E6754">
      <formula1>0</formula1>
    </dataValidation>
    <dataValidation type="whole" operator="greaterThan" allowBlank="1" showInputMessage="1" showErrorMessage="1" sqref="A6755">
      <formula1>0</formula1>
    </dataValidation>
    <dataValidation type="list" allowBlank="1" showInputMessage="1" showErrorMessage="1" sqref="C6755">
      <formula1>UnidadesList</formula1>
    </dataValidation>
    <dataValidation type="decimal" operator="greaterThan" allowBlank="1" showInputMessage="1" showErrorMessage="1" sqref="D6755">
      <formula1>0</formula1>
    </dataValidation>
    <dataValidation type="decimal" operator="greaterThan" allowBlank="1" showInputMessage="1" showErrorMessage="1" sqref="E6755">
      <formula1>0</formula1>
    </dataValidation>
    <dataValidation type="whole" operator="greaterThan" allowBlank="1" showInputMessage="1" showErrorMessage="1" sqref="A6756">
      <formula1>0</formula1>
    </dataValidation>
    <dataValidation type="list" allowBlank="1" showInputMessage="1" showErrorMessage="1" sqref="C6756">
      <formula1>UnidadesList</formula1>
    </dataValidation>
    <dataValidation type="decimal" operator="greaterThan" allowBlank="1" showInputMessage="1" showErrorMessage="1" sqref="D6756">
      <formula1>0</formula1>
    </dataValidation>
    <dataValidation type="decimal" operator="greaterThan" allowBlank="1" showInputMessage="1" showErrorMessage="1" sqref="E6756">
      <formula1>0</formula1>
    </dataValidation>
    <dataValidation type="whole" operator="greaterThan" allowBlank="1" showInputMessage="1" showErrorMessage="1" sqref="A6757">
      <formula1>0</formula1>
    </dataValidation>
    <dataValidation type="list" allowBlank="1" showInputMessage="1" showErrorMessage="1" sqref="C6757">
      <formula1>UnidadesList</formula1>
    </dataValidation>
    <dataValidation type="decimal" operator="greaterThan" allowBlank="1" showInputMessage="1" showErrorMessage="1" sqref="D6757">
      <formula1>0</formula1>
    </dataValidation>
    <dataValidation type="decimal" operator="greaterThan" allowBlank="1" showInputMessage="1" showErrorMessage="1" sqref="E6757">
      <formula1>0</formula1>
    </dataValidation>
    <dataValidation type="whole" operator="greaterThan" allowBlank="1" showInputMessage="1" showErrorMessage="1" sqref="A6758">
      <formula1>0</formula1>
    </dataValidation>
    <dataValidation type="list" allowBlank="1" showInputMessage="1" showErrorMessage="1" sqref="C6758">
      <formula1>UnidadesList</formula1>
    </dataValidation>
    <dataValidation type="decimal" operator="greaterThan" allowBlank="1" showInputMessage="1" showErrorMessage="1" sqref="D6758">
      <formula1>0</formula1>
    </dataValidation>
    <dataValidation type="decimal" operator="greaterThan" allowBlank="1" showInputMessage="1" showErrorMessage="1" sqref="E6758">
      <formula1>0</formula1>
    </dataValidation>
    <dataValidation type="whole" operator="greaterThan" allowBlank="1" showInputMessage="1" showErrorMessage="1" sqref="A6759">
      <formula1>0</formula1>
    </dataValidation>
    <dataValidation type="list" allowBlank="1" showInputMessage="1" showErrorMessage="1" sqref="C6759">
      <formula1>UnidadesList</formula1>
    </dataValidation>
    <dataValidation type="decimal" operator="greaterThan" allowBlank="1" showInputMessage="1" showErrorMessage="1" sqref="D6759">
      <formula1>0</formula1>
    </dataValidation>
    <dataValidation type="decimal" operator="greaterThan" allowBlank="1" showInputMessage="1" showErrorMessage="1" sqref="E6759">
      <formula1>0</formula1>
    </dataValidation>
    <dataValidation type="whole" operator="greaterThan" allowBlank="1" showInputMessage="1" showErrorMessage="1" sqref="A6760">
      <formula1>0</formula1>
    </dataValidation>
    <dataValidation type="list" allowBlank="1" showInputMessage="1" showErrorMessage="1" sqref="C6760">
      <formula1>UnidadesList</formula1>
    </dataValidation>
    <dataValidation type="decimal" operator="greaterThan" allowBlank="1" showInputMessage="1" showErrorMessage="1" sqref="D6760">
      <formula1>0</formula1>
    </dataValidation>
    <dataValidation type="decimal" operator="greaterThan" allowBlank="1" showInputMessage="1" showErrorMessage="1" sqref="E6760">
      <formula1>0</formula1>
    </dataValidation>
    <dataValidation type="whole" operator="greaterThan" allowBlank="1" showInputMessage="1" showErrorMessage="1" sqref="A6761">
      <formula1>0</formula1>
    </dataValidation>
    <dataValidation type="list" allowBlank="1" showInputMessage="1" showErrorMessage="1" sqref="C6761">
      <formula1>UnidadesList</formula1>
    </dataValidation>
    <dataValidation type="decimal" operator="greaterThan" allowBlank="1" showInputMessage="1" showErrorMessage="1" sqref="D6761">
      <formula1>0</formula1>
    </dataValidation>
    <dataValidation type="decimal" operator="greaterThan" allowBlank="1" showInputMessage="1" showErrorMessage="1" sqref="E6761">
      <formula1>0</formula1>
    </dataValidation>
    <dataValidation type="whole" operator="greaterThan" allowBlank="1" showInputMessage="1" showErrorMessage="1" sqref="A6762">
      <formula1>0</formula1>
    </dataValidation>
    <dataValidation type="list" allowBlank="1" showInputMessage="1" showErrorMessage="1" sqref="C6762">
      <formula1>UnidadesList</formula1>
    </dataValidation>
    <dataValidation type="decimal" operator="greaterThan" allowBlank="1" showInputMessage="1" showErrorMessage="1" sqref="D6762">
      <formula1>0</formula1>
    </dataValidation>
    <dataValidation type="decimal" operator="greaterThan" allowBlank="1" showInputMessage="1" showErrorMessage="1" sqref="E6762">
      <formula1>0</formula1>
    </dataValidation>
    <dataValidation type="whole" operator="greaterThan" allowBlank="1" showInputMessage="1" showErrorMessage="1" sqref="A6763">
      <formula1>0</formula1>
    </dataValidation>
    <dataValidation type="list" allowBlank="1" showInputMessage="1" showErrorMessage="1" sqref="C6763">
      <formula1>UnidadesList</formula1>
    </dataValidation>
    <dataValidation type="decimal" operator="greaterThan" allowBlank="1" showInputMessage="1" showErrorMessage="1" sqref="D6763">
      <formula1>0</formula1>
    </dataValidation>
    <dataValidation type="decimal" operator="greaterThan" allowBlank="1" showInputMessage="1" showErrorMessage="1" sqref="E6763">
      <formula1>0</formula1>
    </dataValidation>
    <dataValidation type="whole" operator="greaterThan" allowBlank="1" showInputMessage="1" showErrorMessage="1" sqref="A6764">
      <formula1>0</formula1>
    </dataValidation>
    <dataValidation type="list" allowBlank="1" showInputMessage="1" showErrorMessage="1" sqref="C6764">
      <formula1>UnidadesList</formula1>
    </dataValidation>
    <dataValidation type="decimal" operator="greaterThan" allowBlank="1" showInputMessage="1" showErrorMessage="1" sqref="D6764">
      <formula1>0</formula1>
    </dataValidation>
    <dataValidation type="decimal" operator="greaterThan" allowBlank="1" showInputMessage="1" showErrorMessage="1" sqref="E6764">
      <formula1>0</formula1>
    </dataValidation>
    <dataValidation type="whole" operator="greaterThan" allowBlank="1" showInputMessage="1" showErrorMessage="1" sqref="A6765">
      <formula1>0</formula1>
    </dataValidation>
    <dataValidation type="list" allowBlank="1" showInputMessage="1" showErrorMessage="1" sqref="C6765">
      <formula1>UnidadesList</formula1>
    </dataValidation>
    <dataValidation type="decimal" operator="greaterThan" allowBlank="1" showInputMessage="1" showErrorMessage="1" sqref="D6765">
      <formula1>0</formula1>
    </dataValidation>
    <dataValidation type="decimal" operator="greaterThan" allowBlank="1" showInputMessage="1" showErrorMessage="1" sqref="E6765">
      <formula1>0</formula1>
    </dataValidation>
    <dataValidation type="whole" operator="greaterThan" allowBlank="1" showInputMessage="1" showErrorMessage="1" sqref="A6766">
      <formula1>0</formula1>
    </dataValidation>
    <dataValidation type="list" allowBlank="1" showInputMessage="1" showErrorMessage="1" sqref="C6766">
      <formula1>UnidadesList</formula1>
    </dataValidation>
    <dataValidation type="decimal" operator="greaterThan" allowBlank="1" showInputMessage="1" showErrorMessage="1" sqref="D6766">
      <formula1>0</formula1>
    </dataValidation>
    <dataValidation type="decimal" operator="greaterThan" allowBlank="1" showInputMessage="1" showErrorMessage="1" sqref="E6766">
      <formula1>0</formula1>
    </dataValidation>
    <dataValidation type="whole" operator="greaterThan" allowBlank="1" showInputMessage="1" showErrorMessage="1" sqref="A6767">
      <formula1>0</formula1>
    </dataValidation>
    <dataValidation type="list" allowBlank="1" showInputMessage="1" showErrorMessage="1" sqref="C6767">
      <formula1>UnidadesList</formula1>
    </dataValidation>
    <dataValidation type="decimal" operator="greaterThan" allowBlank="1" showInputMessage="1" showErrorMessage="1" sqref="D6767">
      <formula1>0</formula1>
    </dataValidation>
    <dataValidation type="decimal" operator="greaterThan" allowBlank="1" showInputMessage="1" showErrorMessage="1" sqref="E6767">
      <formula1>0</formula1>
    </dataValidation>
    <dataValidation type="whole" operator="greaterThan" allowBlank="1" showInputMessage="1" showErrorMessage="1" sqref="A6768">
      <formula1>0</formula1>
    </dataValidation>
    <dataValidation type="list" allowBlank="1" showInputMessage="1" showErrorMessage="1" sqref="C6768">
      <formula1>UnidadesList</formula1>
    </dataValidation>
    <dataValidation type="decimal" operator="greaterThan" allowBlank="1" showInputMessage="1" showErrorMessage="1" sqref="D6768">
      <formula1>0</formula1>
    </dataValidation>
    <dataValidation type="decimal" operator="greaterThan" allowBlank="1" showInputMessage="1" showErrorMessage="1" sqref="E6768">
      <formula1>0</formula1>
    </dataValidation>
    <dataValidation type="whole" operator="greaterThan" allowBlank="1" showInputMessage="1" showErrorMessage="1" sqref="A6769">
      <formula1>0</formula1>
    </dataValidation>
    <dataValidation type="list" allowBlank="1" showInputMessage="1" showErrorMessage="1" sqref="C6769">
      <formula1>UnidadesList</formula1>
    </dataValidation>
    <dataValidation type="decimal" operator="greaterThan" allowBlank="1" showInputMessage="1" showErrorMessage="1" sqref="D6769">
      <formula1>0</formula1>
    </dataValidation>
    <dataValidation type="decimal" operator="greaterThan" allowBlank="1" showInputMessage="1" showErrorMessage="1" sqref="E6769">
      <formula1>0</formula1>
    </dataValidation>
    <dataValidation type="whole" operator="greaterThan" allowBlank="1" showInputMessage="1" showErrorMessage="1" sqref="A6770">
      <formula1>0</formula1>
    </dataValidation>
    <dataValidation type="list" allowBlank="1" showInputMessage="1" showErrorMessage="1" sqref="C6770">
      <formula1>UnidadesList</formula1>
    </dataValidation>
    <dataValidation type="decimal" operator="greaterThan" allowBlank="1" showInputMessage="1" showErrorMessage="1" sqref="D6770">
      <formula1>0</formula1>
    </dataValidation>
    <dataValidation type="decimal" operator="greaterThan" allowBlank="1" showInputMessage="1" showErrorMessage="1" sqref="E6770">
      <formula1>0</formula1>
    </dataValidation>
    <dataValidation type="date" operator="lessThanOrEqual" allowBlank="1" showInputMessage="1" showErrorMessage="1" sqref="C6775">
      <formula1>C6777</formula1>
    </dataValidation>
    <dataValidation type="date" operator="greaterThanOrEqual" allowBlank="1" showInputMessage="1" showErrorMessage="1" sqref="C6777">
      <formula1>C6775</formula1>
    </dataValidation>
    <dataValidation type="list" allowBlank="1" showInputMessage="1" showErrorMessage="1" sqref="F67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81">
      <formula1>0</formula1>
    </dataValidation>
    <dataValidation type="list" allowBlank="1" showInputMessage="1" showErrorMessage="1" sqref="C6781">
      <formula1>UnidadesList</formula1>
    </dataValidation>
    <dataValidation type="decimal" operator="greaterThan" allowBlank="1" showInputMessage="1" showErrorMessage="1" sqref="D6781">
      <formula1>0</formula1>
    </dataValidation>
    <dataValidation type="decimal" operator="greaterThan" allowBlank="1" showInputMessage="1" showErrorMessage="1" sqref="E6781">
      <formula1>0</formula1>
    </dataValidation>
    <dataValidation type="whole" operator="greaterThan" allowBlank="1" showInputMessage="1" showErrorMessage="1" sqref="A6782">
      <formula1>0</formula1>
    </dataValidation>
    <dataValidation type="list" allowBlank="1" showInputMessage="1" showErrorMessage="1" sqref="C6782">
      <formula1>UnidadesList</formula1>
    </dataValidation>
    <dataValidation type="decimal" operator="greaterThan" allowBlank="1" showInputMessage="1" showErrorMessage="1" sqref="D6782">
      <formula1>0</formula1>
    </dataValidation>
    <dataValidation type="decimal" operator="greaterThan" allowBlank="1" showInputMessage="1" showErrorMessage="1" sqref="E6782">
      <formula1>0</formula1>
    </dataValidation>
    <dataValidation type="whole" operator="greaterThan" allowBlank="1" showInputMessage="1" showErrorMessage="1" sqref="A6783">
      <formula1>0</formula1>
    </dataValidation>
    <dataValidation type="list" allowBlank="1" showInputMessage="1" showErrorMessage="1" sqref="C6783">
      <formula1>UnidadesList</formula1>
    </dataValidation>
    <dataValidation type="decimal" operator="greaterThan" allowBlank="1" showInputMessage="1" showErrorMessage="1" sqref="D6783">
      <formula1>0</formula1>
    </dataValidation>
    <dataValidation type="decimal" operator="greaterThan" allowBlank="1" showInputMessage="1" showErrorMessage="1" sqref="E6783">
      <formula1>0</formula1>
    </dataValidation>
    <dataValidation type="whole" operator="greaterThan" allowBlank="1" showInputMessage="1" showErrorMessage="1" sqref="A6784">
      <formula1>0</formula1>
    </dataValidation>
    <dataValidation type="list" allowBlank="1" showInputMessage="1" showErrorMessage="1" sqref="C6784">
      <formula1>UnidadesList</formula1>
    </dataValidation>
    <dataValidation type="decimal" operator="greaterThan" allowBlank="1" showInputMessage="1" showErrorMessage="1" sqref="D6784">
      <formula1>0</formula1>
    </dataValidation>
    <dataValidation type="decimal" operator="greaterThan" allowBlank="1" showInputMessage="1" showErrorMessage="1" sqref="E6784">
      <formula1>0</formula1>
    </dataValidation>
    <dataValidation type="whole" operator="greaterThan" allowBlank="1" showInputMessage="1" showErrorMessage="1" sqref="A6785">
      <formula1>0</formula1>
    </dataValidation>
    <dataValidation type="list" allowBlank="1" showInputMessage="1" showErrorMessage="1" sqref="C6785">
      <formula1>UnidadesList</formula1>
    </dataValidation>
    <dataValidation type="decimal" operator="greaterThan" allowBlank="1" showInputMessage="1" showErrorMessage="1" sqref="D6785">
      <formula1>0</formula1>
    </dataValidation>
    <dataValidation type="decimal" operator="greaterThan" allowBlank="1" showInputMessage="1" showErrorMessage="1" sqref="E6785">
      <formula1>0</formula1>
    </dataValidation>
    <dataValidation type="whole" operator="greaterThan" allowBlank="1" showInputMessage="1" showErrorMessage="1" sqref="A6786">
      <formula1>0</formula1>
    </dataValidation>
    <dataValidation type="list" allowBlank="1" showInputMessage="1" showErrorMessage="1" sqref="C6786">
      <formula1>UnidadesList</formula1>
    </dataValidation>
    <dataValidation type="decimal" operator="greaterThan" allowBlank="1" showInputMessage="1" showErrorMessage="1" sqref="D6786">
      <formula1>0</formula1>
    </dataValidation>
    <dataValidation type="decimal" operator="greaterThan" allowBlank="1" showInputMessage="1" showErrorMessage="1" sqref="E6786">
      <formula1>0</formula1>
    </dataValidation>
    <dataValidation type="whole" operator="greaterThan" allowBlank="1" showInputMessage="1" showErrorMessage="1" sqref="A6787">
      <formula1>0</formula1>
    </dataValidation>
    <dataValidation type="list" allowBlank="1" showInputMessage="1" showErrorMessage="1" sqref="C6787">
      <formula1>UnidadesList</formula1>
    </dataValidation>
    <dataValidation type="decimal" operator="greaterThan" allowBlank="1" showInputMessage="1" showErrorMessage="1" sqref="D6787">
      <formula1>0</formula1>
    </dataValidation>
    <dataValidation type="decimal" operator="greaterThan" allowBlank="1" showInputMessage="1" showErrorMessage="1" sqref="E6787">
      <formula1>0</formula1>
    </dataValidation>
    <dataValidation type="whole" operator="greaterThan" allowBlank="1" showInputMessage="1" showErrorMessage="1" sqref="A6788">
      <formula1>0</formula1>
    </dataValidation>
    <dataValidation type="list" allowBlank="1" showInputMessage="1" showErrorMessage="1" sqref="C6788">
      <formula1>UnidadesList</formula1>
    </dataValidation>
    <dataValidation type="decimal" operator="greaterThan" allowBlank="1" showInputMessage="1" showErrorMessage="1" sqref="D6788">
      <formula1>0</formula1>
    </dataValidation>
    <dataValidation type="decimal" operator="greaterThan" allowBlank="1" showInputMessage="1" showErrorMessage="1" sqref="E6788">
      <formula1>0</formula1>
    </dataValidation>
    <dataValidation type="whole" operator="greaterThan" allowBlank="1" showInputMessage="1" showErrorMessage="1" sqref="A6789">
      <formula1>0</formula1>
    </dataValidation>
    <dataValidation type="list" allowBlank="1" showInputMessage="1" showErrorMessage="1" sqref="C6789">
      <formula1>UnidadesList</formula1>
    </dataValidation>
    <dataValidation type="decimal" operator="greaterThan" allowBlank="1" showInputMessage="1" showErrorMessage="1" sqref="D6789">
      <formula1>0</formula1>
    </dataValidation>
    <dataValidation type="decimal" operator="greaterThan" allowBlank="1" showInputMessage="1" showErrorMessage="1" sqref="E6789">
      <formula1>0</formula1>
    </dataValidation>
    <dataValidation type="whole" operator="greaterThan" allowBlank="1" showInputMessage="1" showErrorMessage="1" sqref="A6790">
      <formula1>0</formula1>
    </dataValidation>
    <dataValidation type="list" allowBlank="1" showInputMessage="1" showErrorMessage="1" sqref="C6790">
      <formula1>UnidadesList</formula1>
    </dataValidation>
    <dataValidation type="decimal" operator="greaterThan" allowBlank="1" showInputMessage="1" showErrorMessage="1" sqref="D6790">
      <formula1>0</formula1>
    </dataValidation>
    <dataValidation type="decimal" operator="greaterThan" allowBlank="1" showInputMessage="1" showErrorMessage="1" sqref="E6790">
      <formula1>0</formula1>
    </dataValidation>
    <dataValidation type="whole" operator="greaterThan" allowBlank="1" showInputMessage="1" showErrorMessage="1" sqref="A6791">
      <formula1>0</formula1>
    </dataValidation>
    <dataValidation type="list" allowBlank="1" showInputMessage="1" showErrorMessage="1" sqref="C6791">
      <formula1>UnidadesList</formula1>
    </dataValidation>
    <dataValidation type="decimal" operator="greaterThan" allowBlank="1" showInputMessage="1" showErrorMessage="1" sqref="D6791">
      <formula1>0</formula1>
    </dataValidation>
    <dataValidation type="decimal" operator="greaterThan" allowBlank="1" showInputMessage="1" showErrorMessage="1" sqref="E6791">
      <formula1>0</formula1>
    </dataValidation>
    <dataValidation type="whole" operator="greaterThan" allowBlank="1" showInputMessage="1" showErrorMessage="1" sqref="A6792">
      <formula1>0</formula1>
    </dataValidation>
    <dataValidation type="list" allowBlank="1" showInputMessage="1" showErrorMessage="1" sqref="C6792">
      <formula1>UnidadesList</formula1>
    </dataValidation>
    <dataValidation type="decimal" operator="greaterThan" allowBlank="1" showInputMessage="1" showErrorMessage="1" sqref="D6792">
      <formula1>0</formula1>
    </dataValidation>
    <dataValidation type="decimal" operator="greaterThan" allowBlank="1" showInputMessage="1" showErrorMessage="1" sqref="E6792">
      <formula1>0</formula1>
    </dataValidation>
    <dataValidation type="whole" operator="greaterThan" allowBlank="1" showInputMessage="1" showErrorMessage="1" sqref="A6793">
      <formula1>0</formula1>
    </dataValidation>
    <dataValidation type="list" allowBlank="1" showInputMessage="1" showErrorMessage="1" sqref="C6793">
      <formula1>UnidadesList</formula1>
    </dataValidation>
    <dataValidation type="decimal" operator="greaterThan" allowBlank="1" showInputMessage="1" showErrorMessage="1" sqref="D6793">
      <formula1>0</formula1>
    </dataValidation>
    <dataValidation type="decimal" operator="greaterThan" allowBlank="1" showInputMessage="1" showErrorMessage="1" sqref="E6793">
      <formula1>0</formula1>
    </dataValidation>
    <dataValidation type="whole" operator="greaterThan" allowBlank="1" showInputMessage="1" showErrorMessage="1" sqref="A6794">
      <formula1>0</formula1>
    </dataValidation>
    <dataValidation type="list" allowBlank="1" showInputMessage="1" showErrorMessage="1" sqref="C6794">
      <formula1>UnidadesList</formula1>
    </dataValidation>
    <dataValidation type="decimal" operator="greaterThan" allowBlank="1" showInputMessage="1" showErrorMessage="1" sqref="D6794">
      <formula1>0</formula1>
    </dataValidation>
    <dataValidation type="decimal" operator="greaterThan" allowBlank="1" showInputMessage="1" showErrorMessage="1" sqref="E6794">
      <formula1>0</formula1>
    </dataValidation>
    <dataValidation type="whole" operator="greaterThan" allowBlank="1" showInputMessage="1" showErrorMessage="1" sqref="A6795">
      <formula1>0</formula1>
    </dataValidation>
    <dataValidation type="list" allowBlank="1" showInputMessage="1" showErrorMessage="1" sqref="C6795">
      <formula1>UnidadesList</formula1>
    </dataValidation>
    <dataValidation type="decimal" operator="greaterThan" allowBlank="1" showInputMessage="1" showErrorMessage="1" sqref="D6795">
      <formula1>0</formula1>
    </dataValidation>
    <dataValidation type="decimal" operator="greaterThan" allowBlank="1" showInputMessage="1" showErrorMessage="1" sqref="E6795">
      <formula1>0</formula1>
    </dataValidation>
    <dataValidation type="whole" operator="greaterThan" allowBlank="1" showInputMessage="1" showErrorMessage="1" sqref="A6796">
      <formula1>0</formula1>
    </dataValidation>
    <dataValidation type="list" allowBlank="1" showInputMessage="1" showErrorMessage="1" sqref="C6796">
      <formula1>UnidadesList</formula1>
    </dataValidation>
    <dataValidation type="decimal" operator="greaterThan" allowBlank="1" showInputMessage="1" showErrorMessage="1" sqref="D6796">
      <formula1>0</formula1>
    </dataValidation>
    <dataValidation type="decimal" operator="greaterThan" allowBlank="1" showInputMessage="1" showErrorMessage="1" sqref="E6796">
      <formula1>0</formula1>
    </dataValidation>
    <dataValidation type="whole" operator="greaterThan" allowBlank="1" showInputMessage="1" showErrorMessage="1" sqref="A6797">
      <formula1>0</formula1>
    </dataValidation>
    <dataValidation type="list" allowBlank="1" showInputMessage="1" showErrorMessage="1" sqref="C6797">
      <formula1>UnidadesList</formula1>
    </dataValidation>
    <dataValidation type="decimal" operator="greaterThan" allowBlank="1" showInputMessage="1" showErrorMessage="1" sqref="D6797">
      <formula1>0</formula1>
    </dataValidation>
    <dataValidation type="decimal" operator="greaterThan" allowBlank="1" showInputMessage="1" showErrorMessage="1" sqref="E6797">
      <formula1>0</formula1>
    </dataValidation>
    <dataValidation type="whole" operator="greaterThan" allowBlank="1" showInputMessage="1" showErrorMessage="1" sqref="A6798">
      <formula1>0</formula1>
    </dataValidation>
    <dataValidation type="list" allowBlank="1" showInputMessage="1" showErrorMessage="1" sqref="C6798">
      <formula1>UnidadesList</formula1>
    </dataValidation>
    <dataValidation type="decimal" operator="greaterThan" allowBlank="1" showInputMessage="1" showErrorMessage="1" sqref="D6798">
      <formula1>0</formula1>
    </dataValidation>
    <dataValidation type="decimal" operator="greaterThan" allowBlank="1" showInputMessage="1" showErrorMessage="1" sqref="E6798">
      <formula1>0</formula1>
    </dataValidation>
    <dataValidation type="whole" operator="greaterThan" allowBlank="1" showInputMessage="1" showErrorMessage="1" sqref="A6799">
      <formula1>0</formula1>
    </dataValidation>
    <dataValidation type="list" allowBlank="1" showInputMessage="1" showErrorMessage="1" sqref="C6799">
      <formula1>UnidadesList</formula1>
    </dataValidation>
    <dataValidation type="decimal" operator="greaterThan" allowBlank="1" showInputMessage="1" showErrorMessage="1" sqref="D6799">
      <formula1>0</formula1>
    </dataValidation>
    <dataValidation type="decimal" operator="greaterThan" allowBlank="1" showInputMessage="1" showErrorMessage="1" sqref="E6799">
      <formula1>0</formula1>
    </dataValidation>
    <dataValidation type="date" operator="lessThanOrEqual" allowBlank="1" showInputMessage="1" showErrorMessage="1" sqref="C6804">
      <formula1>C6806</formula1>
    </dataValidation>
    <dataValidation type="date" operator="greaterThanOrEqual" allowBlank="1" showInputMessage="1" showErrorMessage="1" sqref="C6806">
      <formula1>C6804</formula1>
    </dataValidation>
    <dataValidation type="list" allowBlank="1" showInputMessage="1" showErrorMessage="1" sqref="F68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10">
      <formula1>0</formula1>
    </dataValidation>
    <dataValidation type="list" allowBlank="1" showInputMessage="1" showErrorMessage="1" sqref="C6810">
      <formula1>UnidadesList</formula1>
    </dataValidation>
    <dataValidation type="decimal" operator="greaterThan" allowBlank="1" showInputMessage="1" showErrorMessage="1" sqref="D6810">
      <formula1>0</formula1>
    </dataValidation>
    <dataValidation type="decimal" operator="greaterThan" allowBlank="1" showInputMessage="1" showErrorMessage="1" sqref="E6810">
      <formula1>0</formula1>
    </dataValidation>
    <dataValidation type="whole" operator="greaterThan" allowBlank="1" showInputMessage="1" showErrorMessage="1" sqref="A6811">
      <formula1>0</formula1>
    </dataValidation>
    <dataValidation type="list" allowBlank="1" showInputMessage="1" showErrorMessage="1" sqref="C6811">
      <formula1>UnidadesList</formula1>
    </dataValidation>
    <dataValidation type="decimal" operator="greaterThan" allowBlank="1" showInputMessage="1" showErrorMessage="1" sqref="D6811">
      <formula1>0</formula1>
    </dataValidation>
    <dataValidation type="decimal" operator="greaterThan" allowBlank="1" showInputMessage="1" showErrorMessage="1" sqref="E6811">
      <formula1>0</formula1>
    </dataValidation>
    <dataValidation type="whole" operator="greaterThan" allowBlank="1" showInputMessage="1" showErrorMessage="1" sqref="A6812">
      <formula1>0</formula1>
    </dataValidation>
    <dataValidation type="list" allowBlank="1" showInputMessage="1" showErrorMessage="1" sqref="C6812">
      <formula1>UnidadesList</formula1>
    </dataValidation>
    <dataValidation type="decimal" operator="greaterThan" allowBlank="1" showInputMessage="1" showErrorMessage="1" sqref="D6812">
      <formula1>0</formula1>
    </dataValidation>
    <dataValidation type="decimal" operator="greaterThan" allowBlank="1" showInputMessage="1" showErrorMessage="1" sqref="E6812">
      <formula1>0</formula1>
    </dataValidation>
    <dataValidation type="whole" operator="greaterThan" allowBlank="1" showInputMessage="1" showErrorMessage="1" sqref="A6813">
      <formula1>0</formula1>
    </dataValidation>
    <dataValidation type="list" allowBlank="1" showInputMessage="1" showErrorMessage="1" sqref="C6813">
      <formula1>UnidadesList</formula1>
    </dataValidation>
    <dataValidation type="decimal" operator="greaterThan" allowBlank="1" showInputMessage="1" showErrorMessage="1" sqref="D6813">
      <formula1>0</formula1>
    </dataValidation>
    <dataValidation type="decimal" operator="greaterThan" allowBlank="1" showInputMessage="1" showErrorMessage="1" sqref="E6813">
      <formula1>0</formula1>
    </dataValidation>
    <dataValidation type="whole" operator="greaterThan" allowBlank="1" showInputMessage="1" showErrorMessage="1" sqref="A6814">
      <formula1>0</formula1>
    </dataValidation>
    <dataValidation type="list" allowBlank="1" showInputMessage="1" showErrorMessage="1" sqref="C6814">
      <formula1>UnidadesList</formula1>
    </dataValidation>
    <dataValidation type="decimal" operator="greaterThan" allowBlank="1" showInputMessage="1" showErrorMessage="1" sqref="D6814">
      <formula1>0</formula1>
    </dataValidation>
    <dataValidation type="decimal" operator="greaterThan" allowBlank="1" showInputMessage="1" showErrorMessage="1" sqref="E6814">
      <formula1>0</formula1>
    </dataValidation>
    <dataValidation type="whole" operator="greaterThan" allowBlank="1" showInputMessage="1" showErrorMessage="1" sqref="A6815">
      <formula1>0</formula1>
    </dataValidation>
    <dataValidation type="list" allowBlank="1" showInputMessage="1" showErrorMessage="1" sqref="C6815">
      <formula1>UnidadesList</formula1>
    </dataValidation>
    <dataValidation type="decimal" operator="greaterThan" allowBlank="1" showInputMessage="1" showErrorMessage="1" sqref="D6815">
      <formula1>0</formula1>
    </dataValidation>
    <dataValidation type="decimal" operator="greaterThan" allowBlank="1" showInputMessage="1" showErrorMessage="1" sqref="E6815">
      <formula1>0</formula1>
    </dataValidation>
    <dataValidation type="whole" operator="greaterThan" allowBlank="1" showInputMessage="1" showErrorMessage="1" sqref="A6816">
      <formula1>0</formula1>
    </dataValidation>
    <dataValidation type="list" allowBlank="1" showInputMessage="1" showErrorMessage="1" sqref="C6816">
      <formula1>UnidadesList</formula1>
    </dataValidation>
    <dataValidation type="decimal" operator="greaterThan" allowBlank="1" showInputMessage="1" showErrorMessage="1" sqref="D6816">
      <formula1>0</formula1>
    </dataValidation>
    <dataValidation type="decimal" operator="greaterThan" allowBlank="1" showInputMessage="1" showErrorMessage="1" sqref="E6816">
      <formula1>0</formula1>
    </dataValidation>
    <dataValidation type="whole" operator="greaterThan" allowBlank="1" showInputMessage="1" showErrorMessage="1" sqref="A6817">
      <formula1>0</formula1>
    </dataValidation>
    <dataValidation type="list" allowBlank="1" showInputMessage="1" showErrorMessage="1" sqref="C6817">
      <formula1>UnidadesList</formula1>
    </dataValidation>
    <dataValidation type="decimal" operator="greaterThan" allowBlank="1" showInputMessage="1" showErrorMessage="1" sqref="D6817">
      <formula1>0</formula1>
    </dataValidation>
    <dataValidation type="decimal" operator="greaterThan" allowBlank="1" showInputMessage="1" showErrorMessage="1" sqref="E6817">
      <formula1>0</formula1>
    </dataValidation>
    <dataValidation type="whole" operator="greaterThan" allowBlank="1" showInputMessage="1" showErrorMessage="1" sqref="A6818">
      <formula1>0</formula1>
    </dataValidation>
    <dataValidation type="list" allowBlank="1" showInputMessage="1" showErrorMessage="1" sqref="C6818">
      <formula1>UnidadesList</formula1>
    </dataValidation>
    <dataValidation type="decimal" operator="greaterThan" allowBlank="1" showInputMessage="1" showErrorMessage="1" sqref="D6818">
      <formula1>0</formula1>
    </dataValidation>
    <dataValidation type="decimal" operator="greaterThan" allowBlank="1" showInputMessage="1" showErrorMessage="1" sqref="E6818">
      <formula1>0</formula1>
    </dataValidation>
    <dataValidation type="date" operator="lessThanOrEqual" allowBlank="1" showInputMessage="1" showErrorMessage="1" sqref="C6823">
      <formula1>C6825</formula1>
    </dataValidation>
    <dataValidation type="date" operator="greaterThanOrEqual" allowBlank="1" showInputMessage="1" showErrorMessage="1" sqref="C6825">
      <formula1>C6823</formula1>
    </dataValidation>
    <dataValidation type="list" allowBlank="1" showInputMessage="1" showErrorMessage="1" sqref="F682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2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2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2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29">
      <formula1>0</formula1>
    </dataValidation>
    <dataValidation type="list" allowBlank="1" showInputMessage="1" showErrorMessage="1" sqref="C6829">
      <formula1>UnidadesList</formula1>
    </dataValidation>
    <dataValidation type="decimal" operator="greaterThan" allowBlank="1" showInputMessage="1" showErrorMessage="1" sqref="D6829">
      <formula1>0</formula1>
    </dataValidation>
    <dataValidation type="decimal" operator="greaterThan" allowBlank="1" showInputMessage="1" showErrorMessage="1" sqref="E6829">
      <formula1>0</formula1>
    </dataValidation>
    <dataValidation type="whole" operator="greaterThan" allowBlank="1" showInputMessage="1" showErrorMessage="1" sqref="A6830">
      <formula1>0</formula1>
    </dataValidation>
    <dataValidation type="list" allowBlank="1" showInputMessage="1" showErrorMessage="1" sqref="C6830">
      <formula1>UnidadesList</formula1>
    </dataValidation>
    <dataValidation type="decimal" operator="greaterThan" allowBlank="1" showInputMessage="1" showErrorMessage="1" sqref="D6830">
      <formula1>0</formula1>
    </dataValidation>
    <dataValidation type="decimal" operator="greaterThan" allowBlank="1" showInputMessage="1" showErrorMessage="1" sqref="E6830">
      <formula1>0</formula1>
    </dataValidation>
    <dataValidation type="whole" operator="greaterThan" allowBlank="1" showInputMessage="1" showErrorMessage="1" sqref="A6831">
      <formula1>0</formula1>
    </dataValidation>
    <dataValidation type="list" allowBlank="1" showInputMessage="1" showErrorMessage="1" sqref="C6831">
      <formula1>UnidadesList</formula1>
    </dataValidation>
    <dataValidation type="decimal" operator="greaterThan" allowBlank="1" showInputMessage="1" showErrorMessage="1" sqref="D6831">
      <formula1>0</formula1>
    </dataValidation>
    <dataValidation type="decimal" operator="greaterThan" allowBlank="1" showInputMessage="1" showErrorMessage="1" sqref="E6831">
      <formula1>0</formula1>
    </dataValidation>
    <dataValidation type="whole" operator="greaterThan" allowBlank="1" showInputMessage="1" showErrorMessage="1" sqref="A6832">
      <formula1>0</formula1>
    </dataValidation>
    <dataValidation type="list" allowBlank="1" showInputMessage="1" showErrorMessage="1" sqref="C6832">
      <formula1>UnidadesList</formula1>
    </dataValidation>
    <dataValidation type="decimal" operator="greaterThan" allowBlank="1" showInputMessage="1" showErrorMessage="1" sqref="D6832">
      <formula1>0</formula1>
    </dataValidation>
    <dataValidation type="decimal" operator="greaterThan" allowBlank="1" showInputMessage="1" showErrorMessage="1" sqref="E6832">
      <formula1>0</formula1>
    </dataValidation>
    <dataValidation type="whole" operator="greaterThan" allowBlank="1" showInputMessage="1" showErrorMessage="1" sqref="A6833">
      <formula1>0</formula1>
    </dataValidation>
    <dataValidation type="list" allowBlank="1" showInputMessage="1" showErrorMessage="1" sqref="C6833">
      <formula1>UnidadesList</formula1>
    </dataValidation>
    <dataValidation type="decimal" operator="greaterThan" allowBlank="1" showInputMessage="1" showErrorMessage="1" sqref="D6833">
      <formula1>0</formula1>
    </dataValidation>
    <dataValidation type="decimal" operator="greaterThan" allowBlank="1" showInputMessage="1" showErrorMessage="1" sqref="E6833">
      <formula1>0</formula1>
    </dataValidation>
    <dataValidation type="whole" operator="greaterThan" allowBlank="1" showInputMessage="1" showErrorMessage="1" sqref="A6834">
      <formula1>0</formula1>
    </dataValidation>
    <dataValidation type="list" allowBlank="1" showInputMessage="1" showErrorMessage="1" sqref="C6834">
      <formula1>UnidadesList</formula1>
    </dataValidation>
    <dataValidation type="decimal" operator="greaterThan" allowBlank="1" showInputMessage="1" showErrorMessage="1" sqref="D6834">
      <formula1>0</formula1>
    </dataValidation>
    <dataValidation type="decimal" operator="greaterThan" allowBlank="1" showInputMessage="1" showErrorMessage="1" sqref="E6834">
      <formula1>0</formula1>
    </dataValidation>
    <dataValidation type="whole" operator="greaterThan" allowBlank="1" showInputMessage="1" showErrorMessage="1" sqref="A6835">
      <formula1>0</formula1>
    </dataValidation>
    <dataValidation type="list" allowBlank="1" showInputMessage="1" showErrorMessage="1" sqref="C6835">
      <formula1>UnidadesList</formula1>
    </dataValidation>
    <dataValidation type="decimal" operator="greaterThan" allowBlank="1" showInputMessage="1" showErrorMessage="1" sqref="D6835">
      <formula1>0</formula1>
    </dataValidation>
    <dataValidation type="decimal" operator="greaterThan" allowBlank="1" showInputMessage="1" showErrorMessage="1" sqref="E6835">
      <formula1>0</formula1>
    </dataValidation>
    <dataValidation type="date" operator="lessThanOrEqual" allowBlank="1" showInputMessage="1" showErrorMessage="1" sqref="C6840">
      <formula1>C6842</formula1>
    </dataValidation>
    <dataValidation type="date" operator="greaterThanOrEqual" allowBlank="1" showInputMessage="1" showErrorMessage="1" sqref="C6842">
      <formula1>C6840</formula1>
    </dataValidation>
    <dataValidation type="list" allowBlank="1" showInputMessage="1" showErrorMessage="1" sqref="F68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46">
      <formula1>0</formula1>
    </dataValidation>
    <dataValidation type="list" allowBlank="1" showInputMessage="1" showErrorMessage="1" sqref="C6846">
      <formula1>UnidadesList</formula1>
    </dataValidation>
    <dataValidation type="decimal" operator="greaterThan" allowBlank="1" showInputMessage="1" showErrorMessage="1" sqref="D6846">
      <formula1>0</formula1>
    </dataValidation>
    <dataValidation type="decimal" operator="greaterThan" allowBlank="1" showInputMessage="1" showErrorMessage="1" sqref="E6846">
      <formula1>0</formula1>
    </dataValidation>
    <dataValidation type="whole" operator="greaterThan" allowBlank="1" showInputMessage="1" showErrorMessage="1" sqref="A6847">
      <formula1>0</formula1>
    </dataValidation>
    <dataValidation type="list" allowBlank="1" showInputMessage="1" showErrorMessage="1" sqref="C6847">
      <formula1>UnidadesList</formula1>
    </dataValidation>
    <dataValidation type="decimal" operator="greaterThan" allowBlank="1" showInputMessage="1" showErrorMessage="1" sqref="D6847">
      <formula1>0</formula1>
    </dataValidation>
    <dataValidation type="decimal" operator="greaterThan" allowBlank="1" showInputMessage="1" showErrorMessage="1" sqref="E6847">
      <formula1>0</formula1>
    </dataValidation>
    <dataValidation type="whole" operator="greaterThan" allowBlank="1" showInputMessage="1" showErrorMessage="1" sqref="A6848">
      <formula1>0</formula1>
    </dataValidation>
    <dataValidation type="list" allowBlank="1" showInputMessage="1" showErrorMessage="1" sqref="C6848">
      <formula1>UnidadesList</formula1>
    </dataValidation>
    <dataValidation type="decimal" operator="greaterThan" allowBlank="1" showInputMessage="1" showErrorMessage="1" sqref="D6848">
      <formula1>0</formula1>
    </dataValidation>
    <dataValidation type="decimal" operator="greaterThan" allowBlank="1" showInputMessage="1" showErrorMessage="1" sqref="E6848">
      <formula1>0</formula1>
    </dataValidation>
    <dataValidation type="whole" operator="greaterThan" allowBlank="1" showInputMessage="1" showErrorMessage="1" sqref="A6849">
      <formula1>0</formula1>
    </dataValidation>
    <dataValidation type="list" allowBlank="1" showInputMessage="1" showErrorMessage="1" sqref="C6849">
      <formula1>UnidadesList</formula1>
    </dataValidation>
    <dataValidation type="decimal" operator="greaterThan" allowBlank="1" showInputMessage="1" showErrorMessage="1" sqref="D6849">
      <formula1>0</formula1>
    </dataValidation>
    <dataValidation type="decimal" operator="greaterThan" allowBlank="1" showInputMessage="1" showErrorMessage="1" sqref="E6849">
      <formula1>0</formula1>
    </dataValidation>
    <dataValidation type="whole" operator="greaterThan" allowBlank="1" showInputMessage="1" showErrorMessage="1" sqref="A6850">
      <formula1>0</formula1>
    </dataValidation>
    <dataValidation type="list" allowBlank="1" showInputMessage="1" showErrorMessage="1" sqref="C6850">
      <formula1>UnidadesList</formula1>
    </dataValidation>
    <dataValidation type="decimal" operator="greaterThan" allowBlank="1" showInputMessage="1" showErrorMessage="1" sqref="D6850">
      <formula1>0</formula1>
    </dataValidation>
    <dataValidation type="decimal" operator="greaterThan" allowBlank="1" showInputMessage="1" showErrorMessage="1" sqref="E6850">
      <formula1>0</formula1>
    </dataValidation>
    <dataValidation type="whole" operator="greaterThan" allowBlank="1" showInputMessage="1" showErrorMessage="1" sqref="A6851">
      <formula1>0</formula1>
    </dataValidation>
    <dataValidation type="list" allowBlank="1" showInputMessage="1" showErrorMessage="1" sqref="C6851">
      <formula1>UnidadesList</formula1>
    </dataValidation>
    <dataValidation type="decimal" operator="greaterThan" allowBlank="1" showInputMessage="1" showErrorMessage="1" sqref="D6851">
      <formula1>0</formula1>
    </dataValidation>
    <dataValidation type="decimal" operator="greaterThan" allowBlank="1" showInputMessage="1" showErrorMessage="1" sqref="E6851">
      <formula1>0</formula1>
    </dataValidation>
    <dataValidation type="date" operator="lessThanOrEqual" allowBlank="1" showInputMessage="1" showErrorMessage="1" sqref="C6856">
      <formula1>C6858</formula1>
    </dataValidation>
    <dataValidation type="date" operator="greaterThanOrEqual" allowBlank="1" showInputMessage="1" showErrorMessage="1" sqref="C6858">
      <formula1>C6856</formula1>
    </dataValidation>
    <dataValidation type="list" allowBlank="1" showInputMessage="1" showErrorMessage="1" sqref="F685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5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5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5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62">
      <formula1>0</formula1>
    </dataValidation>
    <dataValidation type="list" allowBlank="1" showInputMessage="1" showErrorMessage="1" sqref="C6862">
      <formula1>UnidadesList</formula1>
    </dataValidation>
    <dataValidation type="decimal" operator="greaterThan" allowBlank="1" showInputMessage="1" showErrorMessage="1" sqref="D6862">
      <formula1>0</formula1>
    </dataValidation>
    <dataValidation type="decimal" operator="greaterThan" allowBlank="1" showInputMessage="1" showErrorMessage="1" sqref="E6862">
      <formula1>0</formula1>
    </dataValidation>
    <dataValidation type="whole" operator="greaterThan" allowBlank="1" showInputMessage="1" showErrorMessage="1" sqref="A6863">
      <formula1>0</formula1>
    </dataValidation>
    <dataValidation type="list" allowBlank="1" showInputMessage="1" showErrorMessage="1" sqref="C6863">
      <formula1>UnidadesList</formula1>
    </dataValidation>
    <dataValidation type="decimal" operator="greaterThan" allowBlank="1" showInputMessage="1" showErrorMessage="1" sqref="D6863">
      <formula1>0</formula1>
    </dataValidation>
    <dataValidation type="decimal" operator="greaterThan" allowBlank="1" showInputMessage="1" showErrorMessage="1" sqref="E6863">
      <formula1>0</formula1>
    </dataValidation>
    <dataValidation type="whole" operator="greaterThan" allowBlank="1" showInputMessage="1" showErrorMessage="1" sqref="A6864">
      <formula1>0</formula1>
    </dataValidation>
    <dataValidation type="list" allowBlank="1" showInputMessage="1" showErrorMessage="1" sqref="C6864">
      <formula1>UnidadesList</formula1>
    </dataValidation>
    <dataValidation type="decimal" operator="greaterThan" allowBlank="1" showInputMessage="1" showErrorMessage="1" sqref="D6864">
      <formula1>0</formula1>
    </dataValidation>
    <dataValidation type="decimal" operator="greaterThan" allowBlank="1" showInputMessage="1" showErrorMessage="1" sqref="E6864">
      <formula1>0</formula1>
    </dataValidation>
    <dataValidation type="whole" operator="greaterThan" allowBlank="1" showInputMessage="1" showErrorMessage="1" sqref="A6865">
      <formula1>0</formula1>
    </dataValidation>
    <dataValidation type="list" allowBlank="1" showInputMessage="1" showErrorMessage="1" sqref="C6865">
      <formula1>UnidadesList</formula1>
    </dataValidation>
    <dataValidation type="decimal" operator="greaterThan" allowBlank="1" showInputMessage="1" showErrorMessage="1" sqref="D6865">
      <formula1>0</formula1>
    </dataValidation>
    <dataValidation type="decimal" operator="greaterThan" allowBlank="1" showInputMessage="1" showErrorMessage="1" sqref="E6865">
      <formula1>0</formula1>
    </dataValidation>
    <dataValidation type="whole" operator="greaterThan" allowBlank="1" showInputMessage="1" showErrorMessage="1" sqref="A6866">
      <formula1>0</formula1>
    </dataValidation>
    <dataValidation type="list" allowBlank="1" showInputMessage="1" showErrorMessage="1" sqref="C6866">
      <formula1>UnidadesList</formula1>
    </dataValidation>
    <dataValidation type="decimal" operator="greaterThan" allowBlank="1" showInputMessage="1" showErrorMessage="1" sqref="D6866">
      <formula1>0</formula1>
    </dataValidation>
    <dataValidation type="decimal" operator="greaterThan" allowBlank="1" showInputMessage="1" showErrorMessage="1" sqref="E6866">
      <formula1>0</formula1>
    </dataValidation>
    <dataValidation type="whole" operator="greaterThan" allowBlank="1" showInputMessage="1" showErrorMessage="1" sqref="A6867">
      <formula1>0</formula1>
    </dataValidation>
    <dataValidation type="list" allowBlank="1" showInputMessage="1" showErrorMessage="1" sqref="C6867">
      <formula1>UnidadesList</formula1>
    </dataValidation>
    <dataValidation type="decimal" operator="greaterThan" allowBlank="1" showInputMessage="1" showErrorMessage="1" sqref="D6867">
      <formula1>0</formula1>
    </dataValidation>
    <dataValidation type="decimal" operator="greaterThan" allowBlank="1" showInputMessage="1" showErrorMessage="1" sqref="E6867">
      <formula1>0</formula1>
    </dataValidation>
    <dataValidation type="date" operator="lessThanOrEqual" allowBlank="1" showInputMessage="1" showErrorMessage="1" sqref="C6872">
      <formula1>C6874</formula1>
    </dataValidation>
    <dataValidation type="date" operator="greaterThanOrEqual" allowBlank="1" showInputMessage="1" showErrorMessage="1" sqref="C6874">
      <formula1>C6872</formula1>
    </dataValidation>
    <dataValidation type="list" allowBlank="1" showInputMessage="1" showErrorMessage="1" sqref="F687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7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7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7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78">
      <formula1>0</formula1>
    </dataValidation>
    <dataValidation type="list" allowBlank="1" showInputMessage="1" showErrorMessage="1" sqref="C6878">
      <formula1>UnidadesList</formula1>
    </dataValidation>
    <dataValidation type="decimal" operator="greaterThan" allowBlank="1" showInputMessage="1" showErrorMessage="1" sqref="D6878">
      <formula1>0</formula1>
    </dataValidation>
    <dataValidation type="decimal" operator="greaterThan" allowBlank="1" showInputMessage="1" showErrorMessage="1" sqref="E6878">
      <formula1>0</formula1>
    </dataValidation>
    <dataValidation type="whole" operator="greaterThan" allowBlank="1" showInputMessage="1" showErrorMessage="1" sqref="A6879">
      <formula1>0</formula1>
    </dataValidation>
    <dataValidation type="list" allowBlank="1" showInputMessage="1" showErrorMessage="1" sqref="C6879">
      <formula1>UnidadesList</formula1>
    </dataValidation>
    <dataValidation type="decimal" operator="greaterThan" allowBlank="1" showInputMessage="1" showErrorMessage="1" sqref="D6879">
      <formula1>0</formula1>
    </dataValidation>
    <dataValidation type="decimal" operator="greaterThan" allowBlank="1" showInputMessage="1" showErrorMessage="1" sqref="E6879">
      <formula1>0</formula1>
    </dataValidation>
    <dataValidation type="whole" operator="greaterThan" allowBlank="1" showInputMessage="1" showErrorMessage="1" sqref="A6880">
      <formula1>0</formula1>
    </dataValidation>
    <dataValidation type="list" allowBlank="1" showInputMessage="1" showErrorMessage="1" sqref="C6880">
      <formula1>UnidadesList</formula1>
    </dataValidation>
    <dataValidation type="decimal" operator="greaterThan" allowBlank="1" showInputMessage="1" showErrorMessage="1" sqref="D6880">
      <formula1>0</formula1>
    </dataValidation>
    <dataValidation type="decimal" operator="greaterThan" allowBlank="1" showInputMessage="1" showErrorMessage="1" sqref="E6880">
      <formula1>0</formula1>
    </dataValidation>
    <dataValidation type="whole" operator="greaterThan" allowBlank="1" showInputMessage="1" showErrorMessage="1" sqref="A6881">
      <formula1>0</formula1>
    </dataValidation>
    <dataValidation type="list" allowBlank="1" showInputMessage="1" showErrorMessage="1" sqref="C6881">
      <formula1>UnidadesList</formula1>
    </dataValidation>
    <dataValidation type="decimal" operator="greaterThan" allowBlank="1" showInputMessage="1" showErrorMessage="1" sqref="D6881">
      <formula1>0</formula1>
    </dataValidation>
    <dataValidation type="decimal" operator="greaterThan" allowBlank="1" showInputMessage="1" showErrorMessage="1" sqref="E6881">
      <formula1>0</formula1>
    </dataValidation>
    <dataValidation type="whole" operator="greaterThan" allowBlank="1" showInputMessage="1" showErrorMessage="1" sqref="A6882">
      <formula1>0</formula1>
    </dataValidation>
    <dataValidation type="list" allowBlank="1" showInputMessage="1" showErrorMessage="1" sqref="C6882">
      <formula1>UnidadesList</formula1>
    </dataValidation>
    <dataValidation type="decimal" operator="greaterThan" allowBlank="1" showInputMessage="1" showErrorMessage="1" sqref="D6882">
      <formula1>0</formula1>
    </dataValidation>
    <dataValidation type="decimal" operator="greaterThan" allowBlank="1" showInputMessage="1" showErrorMessage="1" sqref="E6882">
      <formula1>0</formula1>
    </dataValidation>
    <dataValidation type="whole" operator="greaterThan" allowBlank="1" showInputMessage="1" showErrorMessage="1" sqref="A6883">
      <formula1>0</formula1>
    </dataValidation>
    <dataValidation type="list" allowBlank="1" showInputMessage="1" showErrorMessage="1" sqref="C6883">
      <formula1>UnidadesList</formula1>
    </dataValidation>
    <dataValidation type="decimal" operator="greaterThan" allowBlank="1" showInputMessage="1" showErrorMessage="1" sqref="D6883">
      <formula1>0</formula1>
    </dataValidation>
    <dataValidation type="decimal" operator="greaterThan" allowBlank="1" showInputMessage="1" showErrorMessage="1" sqref="E6883">
      <formula1>0</formula1>
    </dataValidation>
    <dataValidation type="whole" operator="greaterThan" allowBlank="1" showInputMessage="1" showErrorMessage="1" sqref="A6884">
      <formula1>0</formula1>
    </dataValidation>
    <dataValidation type="list" allowBlank="1" showInputMessage="1" showErrorMessage="1" sqref="C6884">
      <formula1>UnidadesList</formula1>
    </dataValidation>
    <dataValidation type="decimal" operator="greaterThan" allowBlank="1" showInputMessage="1" showErrorMessage="1" sqref="D6884">
      <formula1>0</formula1>
    </dataValidation>
    <dataValidation type="decimal" operator="greaterThan" allowBlank="1" showInputMessage="1" showErrorMessage="1" sqref="E6884">
      <formula1>0</formula1>
    </dataValidation>
    <dataValidation type="whole" operator="greaterThan" allowBlank="1" showInputMessage="1" showErrorMessage="1" sqref="A6885">
      <formula1>0</formula1>
    </dataValidation>
    <dataValidation type="list" allowBlank="1" showInputMessage="1" showErrorMessage="1" sqref="C6885">
      <formula1>UnidadesList</formula1>
    </dataValidation>
    <dataValidation type="decimal" operator="greaterThan" allowBlank="1" showInputMessage="1" showErrorMessage="1" sqref="D6885">
      <formula1>0</formula1>
    </dataValidation>
    <dataValidation type="decimal" operator="greaterThan" allowBlank="1" showInputMessage="1" showErrorMessage="1" sqref="E6885">
      <formula1>0</formula1>
    </dataValidation>
    <dataValidation type="whole" operator="greaterThan" allowBlank="1" showInputMessage="1" showErrorMessage="1" sqref="A6886">
      <formula1>0</formula1>
    </dataValidation>
    <dataValidation type="list" allowBlank="1" showInputMessage="1" showErrorMessage="1" sqref="C6886">
      <formula1>UnidadesList</formula1>
    </dataValidation>
    <dataValidation type="decimal" operator="greaterThan" allowBlank="1" showInputMessage="1" showErrorMessage="1" sqref="D6886">
      <formula1>0</formula1>
    </dataValidation>
    <dataValidation type="decimal" operator="greaterThan" allowBlank="1" showInputMessage="1" showErrorMessage="1" sqref="E6886">
      <formula1>0</formula1>
    </dataValidation>
    <dataValidation type="whole" operator="greaterThan" allowBlank="1" showInputMessage="1" showErrorMessage="1" sqref="A6887">
      <formula1>0</formula1>
    </dataValidation>
    <dataValidation type="list" allowBlank="1" showInputMessage="1" showErrorMessage="1" sqref="C6887">
      <formula1>UnidadesList</formula1>
    </dataValidation>
    <dataValidation type="decimal" operator="greaterThan" allowBlank="1" showInputMessage="1" showErrorMessage="1" sqref="D6887">
      <formula1>0</formula1>
    </dataValidation>
    <dataValidation type="decimal" operator="greaterThan" allowBlank="1" showInputMessage="1" showErrorMessage="1" sqref="E6887">
      <formula1>0</formula1>
    </dataValidation>
    <dataValidation type="whole" operator="greaterThan" allowBlank="1" showInputMessage="1" showErrorMessage="1" sqref="A6888">
      <formula1>0</formula1>
    </dataValidation>
    <dataValidation type="list" allowBlank="1" showInputMessage="1" showErrorMessage="1" sqref="C6888">
      <formula1>UnidadesList</formula1>
    </dataValidation>
    <dataValidation type="decimal" operator="greaterThan" allowBlank="1" showInputMessage="1" showErrorMessage="1" sqref="D6888">
      <formula1>0</formula1>
    </dataValidation>
    <dataValidation type="decimal" operator="greaterThan" allowBlank="1" showInputMessage="1" showErrorMessage="1" sqref="E6888">
      <formula1>0</formula1>
    </dataValidation>
    <dataValidation type="whole" operator="greaterThan" allowBlank="1" showInputMessage="1" showErrorMessage="1" sqref="A6889">
      <formula1>0</formula1>
    </dataValidation>
    <dataValidation type="list" allowBlank="1" showInputMessage="1" showErrorMessage="1" sqref="C6889">
      <formula1>UnidadesList</formula1>
    </dataValidation>
    <dataValidation type="decimal" operator="greaterThan" allowBlank="1" showInputMessage="1" showErrorMessage="1" sqref="D6889">
      <formula1>0</formula1>
    </dataValidation>
    <dataValidation type="decimal" operator="greaterThan" allowBlank="1" showInputMessage="1" showErrorMessage="1" sqref="E6889">
      <formula1>0</formula1>
    </dataValidation>
    <dataValidation type="whole" operator="greaterThan" allowBlank="1" showInputMessage="1" showErrorMessage="1" sqref="A6890">
      <formula1>0</formula1>
    </dataValidation>
    <dataValidation type="list" allowBlank="1" showInputMessage="1" showErrorMessage="1" sqref="C6890">
      <formula1>UnidadesList</formula1>
    </dataValidation>
    <dataValidation type="decimal" operator="greaterThan" allowBlank="1" showInputMessage="1" showErrorMessage="1" sqref="D6890">
      <formula1>0</formula1>
    </dataValidation>
    <dataValidation type="decimal" operator="greaterThan" allowBlank="1" showInputMessage="1" showErrorMessage="1" sqref="E6890">
      <formula1>0</formula1>
    </dataValidation>
    <dataValidation type="whole" operator="greaterThan" allowBlank="1" showInputMessage="1" showErrorMessage="1" sqref="A6891">
      <formula1>0</formula1>
    </dataValidation>
    <dataValidation type="list" allowBlank="1" showInputMessage="1" showErrorMessage="1" sqref="C6891">
      <formula1>UnidadesList</formula1>
    </dataValidation>
    <dataValidation type="decimal" operator="greaterThan" allowBlank="1" showInputMessage="1" showErrorMessage="1" sqref="D6891">
      <formula1>0</formula1>
    </dataValidation>
    <dataValidation type="decimal" operator="greaterThan" allowBlank="1" showInputMessage="1" showErrorMessage="1" sqref="E6891">
      <formula1>0</formula1>
    </dataValidation>
    <dataValidation type="whole" operator="greaterThan" allowBlank="1" showInputMessage="1" showErrorMessage="1" sqref="A6892">
      <formula1>0</formula1>
    </dataValidation>
    <dataValidation type="list" allowBlank="1" showInputMessage="1" showErrorMessage="1" sqref="C6892">
      <formula1>UnidadesList</formula1>
    </dataValidation>
    <dataValidation type="decimal" operator="greaterThan" allowBlank="1" showInputMessage="1" showErrorMessage="1" sqref="D6892">
      <formula1>0</formula1>
    </dataValidation>
    <dataValidation type="decimal" operator="greaterThan" allowBlank="1" showInputMessage="1" showErrorMessage="1" sqref="E6892">
      <formula1>0</formula1>
    </dataValidation>
    <dataValidation type="whole" operator="greaterThan" allowBlank="1" showInputMessage="1" showErrorMessage="1" sqref="A6893">
      <formula1>0</formula1>
    </dataValidation>
    <dataValidation type="list" allowBlank="1" showInputMessage="1" showErrorMessage="1" sqref="C6893">
      <formula1>UnidadesList</formula1>
    </dataValidation>
    <dataValidation type="decimal" operator="greaterThan" allowBlank="1" showInputMessage="1" showErrorMessage="1" sqref="D6893">
      <formula1>0</formula1>
    </dataValidation>
    <dataValidation type="decimal" operator="greaterThan" allowBlank="1" showInputMessage="1" showErrorMessage="1" sqref="E6893">
      <formula1>0</formula1>
    </dataValidation>
    <dataValidation type="whole" operator="greaterThan" allowBlank="1" showInputMessage="1" showErrorMessage="1" sqref="A6894">
      <formula1>0</formula1>
    </dataValidation>
    <dataValidation type="list" allowBlank="1" showInputMessage="1" showErrorMessage="1" sqref="C6894">
      <formula1>UnidadesList</formula1>
    </dataValidation>
    <dataValidation type="decimal" operator="greaterThan" allowBlank="1" showInputMessage="1" showErrorMessage="1" sqref="D6894">
      <formula1>0</formula1>
    </dataValidation>
    <dataValidation type="decimal" operator="greaterThan" allowBlank="1" showInputMessage="1" showErrorMessage="1" sqref="E6894">
      <formula1>0</formula1>
    </dataValidation>
    <dataValidation type="whole" operator="greaterThan" allowBlank="1" showInputMessage="1" showErrorMessage="1" sqref="A6895">
      <formula1>0</formula1>
    </dataValidation>
    <dataValidation type="list" allowBlank="1" showInputMessage="1" showErrorMessage="1" sqref="C6895">
      <formula1>UnidadesList</formula1>
    </dataValidation>
    <dataValidation type="decimal" operator="greaterThan" allowBlank="1" showInputMessage="1" showErrorMessage="1" sqref="D6895">
      <formula1>0</formula1>
    </dataValidation>
    <dataValidation type="decimal" operator="greaterThan" allowBlank="1" showInputMessage="1" showErrorMessage="1" sqref="E6895">
      <formula1>0</formula1>
    </dataValidation>
    <dataValidation type="whole" operator="greaterThan" allowBlank="1" showInputMessage="1" showErrorMessage="1" sqref="A6896">
      <formula1>0</formula1>
    </dataValidation>
    <dataValidation type="list" allowBlank="1" showInputMessage="1" showErrorMessage="1" sqref="C6896">
      <formula1>UnidadesList</formula1>
    </dataValidation>
    <dataValidation type="decimal" operator="greaterThan" allowBlank="1" showInputMessage="1" showErrorMessage="1" sqref="D6896">
      <formula1>0</formula1>
    </dataValidation>
    <dataValidation type="decimal" operator="greaterThan" allowBlank="1" showInputMessage="1" showErrorMessage="1" sqref="E6896">
      <formula1>0</formula1>
    </dataValidation>
    <dataValidation type="whole" operator="greaterThan" allowBlank="1" showInputMessage="1" showErrorMessage="1" sqref="A6897">
      <formula1>0</formula1>
    </dataValidation>
    <dataValidation type="list" allowBlank="1" showInputMessage="1" showErrorMessage="1" sqref="C6897">
      <formula1>UnidadesList</formula1>
    </dataValidation>
    <dataValidation type="decimal" operator="greaterThan" allowBlank="1" showInputMessage="1" showErrorMessage="1" sqref="D6897">
      <formula1>0</formula1>
    </dataValidation>
    <dataValidation type="decimal" operator="greaterThan" allowBlank="1" showInputMessage="1" showErrorMessage="1" sqref="E6897">
      <formula1>0</formula1>
    </dataValidation>
    <dataValidation type="whole" operator="greaterThan" allowBlank="1" showInputMessage="1" showErrorMessage="1" sqref="A6898">
      <formula1>0</formula1>
    </dataValidation>
    <dataValidation type="list" allowBlank="1" showInputMessage="1" showErrorMessage="1" sqref="C6898">
      <formula1>UnidadesList</formula1>
    </dataValidation>
    <dataValidation type="decimal" operator="greaterThan" allowBlank="1" showInputMessage="1" showErrorMessage="1" sqref="D6898">
      <formula1>0</formula1>
    </dataValidation>
    <dataValidation type="decimal" operator="greaterThan" allowBlank="1" showInputMessage="1" showErrorMessage="1" sqref="E6898">
      <formula1>0</formula1>
    </dataValidation>
    <dataValidation type="whole" operator="greaterThan" allowBlank="1" showInputMessage="1" showErrorMessage="1" sqref="A6899">
      <formula1>0</formula1>
    </dataValidation>
    <dataValidation type="list" allowBlank="1" showInputMessage="1" showErrorMessage="1" sqref="C6899">
      <formula1>UnidadesList</formula1>
    </dataValidation>
    <dataValidation type="decimal" operator="greaterThan" allowBlank="1" showInputMessage="1" showErrorMessage="1" sqref="D6899">
      <formula1>0</formula1>
    </dataValidation>
    <dataValidation type="decimal" operator="greaterThan" allowBlank="1" showInputMessage="1" showErrorMessage="1" sqref="E6899">
      <formula1>0</formula1>
    </dataValidation>
    <dataValidation type="date" operator="lessThanOrEqual" allowBlank="1" showInputMessage="1" showErrorMessage="1" sqref="C6904">
      <formula1>C6906</formula1>
    </dataValidation>
    <dataValidation type="date" operator="greaterThanOrEqual" allowBlank="1" showInputMessage="1" showErrorMessage="1" sqref="C6906">
      <formula1>C6904</formula1>
    </dataValidation>
    <dataValidation type="list" allowBlank="1" showInputMessage="1" showErrorMessage="1" sqref="F69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9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9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9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910">
      <formula1>0</formula1>
    </dataValidation>
    <dataValidation type="list" allowBlank="1" showInputMessage="1" showErrorMessage="1" sqref="C6910">
      <formula1>UnidadesList</formula1>
    </dataValidation>
    <dataValidation type="decimal" operator="greaterThan" allowBlank="1" showInputMessage="1" showErrorMessage="1" sqref="D6910">
      <formula1>0</formula1>
    </dataValidation>
    <dataValidation type="decimal" operator="greaterThan" allowBlank="1" showInputMessage="1" showErrorMessage="1" sqref="E6910">
      <formula1>0</formula1>
    </dataValidation>
    <dataValidation type="whole" operator="greaterThan" allowBlank="1" showInputMessage="1" showErrorMessage="1" sqref="A6911">
      <formula1>0</formula1>
    </dataValidation>
    <dataValidation type="list" allowBlank="1" showInputMessage="1" showErrorMessage="1" sqref="C6911">
      <formula1>UnidadesList</formula1>
    </dataValidation>
    <dataValidation type="decimal" operator="greaterThan" allowBlank="1" showInputMessage="1" showErrorMessage="1" sqref="D6911">
      <formula1>0</formula1>
    </dataValidation>
    <dataValidation type="decimal" operator="greaterThan" allowBlank="1" showInputMessage="1" showErrorMessage="1" sqref="E6911">
      <formula1>0</formula1>
    </dataValidation>
    <dataValidation type="whole" operator="greaterThan" allowBlank="1" showInputMessage="1" showErrorMessage="1" sqref="A6912">
      <formula1>0</formula1>
    </dataValidation>
    <dataValidation type="list" allowBlank="1" showInputMessage="1" showErrorMessage="1" sqref="C6912">
      <formula1>UnidadesList</formula1>
    </dataValidation>
    <dataValidation type="decimal" operator="greaterThan" allowBlank="1" showInputMessage="1" showErrorMessage="1" sqref="D6912">
      <formula1>0</formula1>
    </dataValidation>
    <dataValidation type="decimal" operator="greaterThan" allowBlank="1" showInputMessage="1" showErrorMessage="1" sqref="E6912">
      <formula1>0</formula1>
    </dataValidation>
    <dataValidation type="whole" operator="greaterThan" allowBlank="1" showInputMessage="1" showErrorMessage="1" sqref="A6913">
      <formula1>0</formula1>
    </dataValidation>
    <dataValidation type="list" allowBlank="1" showInputMessage="1" showErrorMessage="1" sqref="C6913">
      <formula1>UnidadesList</formula1>
    </dataValidation>
    <dataValidation type="decimal" operator="greaterThan" allowBlank="1" showInputMessage="1" showErrorMessage="1" sqref="D6913">
      <formula1>0</formula1>
    </dataValidation>
    <dataValidation type="decimal" operator="greaterThan" allowBlank="1" showInputMessage="1" showErrorMessage="1" sqref="E6913">
      <formula1>0</formula1>
    </dataValidation>
    <dataValidation type="whole" operator="greaterThan" allowBlank="1" showInputMessage="1" showErrorMessage="1" sqref="A6914">
      <formula1>0</formula1>
    </dataValidation>
    <dataValidation type="list" allowBlank="1" showInputMessage="1" showErrorMessage="1" sqref="C6914">
      <formula1>UnidadesList</formula1>
    </dataValidation>
    <dataValidation type="decimal" operator="greaterThan" allowBlank="1" showInputMessage="1" showErrorMessage="1" sqref="D6914">
      <formula1>0</formula1>
    </dataValidation>
    <dataValidation type="decimal" operator="greaterThan" allowBlank="1" showInputMessage="1" showErrorMessage="1" sqref="E6914">
      <formula1>0</formula1>
    </dataValidation>
    <dataValidation type="whole" operator="greaterThan" allowBlank="1" showInputMessage="1" showErrorMessage="1" sqref="A6915">
      <formula1>0</formula1>
    </dataValidation>
    <dataValidation type="list" allowBlank="1" showInputMessage="1" showErrorMessage="1" sqref="C6915">
      <formula1>UnidadesList</formula1>
    </dataValidation>
    <dataValidation type="decimal" operator="greaterThan" allowBlank="1" showInputMessage="1" showErrorMessage="1" sqref="D6915">
      <formula1>0</formula1>
    </dataValidation>
    <dataValidation type="decimal" operator="greaterThan" allowBlank="1" showInputMessage="1" showErrorMessage="1" sqref="E6915">
      <formula1>0</formula1>
    </dataValidation>
    <dataValidation type="whole" operator="greaterThan" allowBlank="1" showInputMessage="1" showErrorMessage="1" sqref="A6916">
      <formula1>0</formula1>
    </dataValidation>
    <dataValidation type="list" allowBlank="1" showInputMessage="1" showErrorMessage="1" sqref="C6916">
      <formula1>UnidadesList</formula1>
    </dataValidation>
    <dataValidation type="decimal" operator="greaterThan" allowBlank="1" showInputMessage="1" showErrorMessage="1" sqref="D6916">
      <formula1>0</formula1>
    </dataValidation>
    <dataValidation type="decimal" operator="greaterThan" allowBlank="1" showInputMessage="1" showErrorMessage="1" sqref="E6916">
      <formula1>0</formula1>
    </dataValidation>
    <dataValidation type="whole" operator="greaterThan" allowBlank="1" showInputMessage="1" showErrorMessage="1" sqref="A6917">
      <formula1>0</formula1>
    </dataValidation>
    <dataValidation type="list" allowBlank="1" showInputMessage="1" showErrorMessage="1" sqref="C6917">
      <formula1>UnidadesList</formula1>
    </dataValidation>
    <dataValidation type="decimal" operator="greaterThan" allowBlank="1" showInputMessage="1" showErrorMessage="1" sqref="D6917">
      <formula1>0</formula1>
    </dataValidation>
    <dataValidation type="decimal" operator="greaterThan" allowBlank="1" showInputMessage="1" showErrorMessage="1" sqref="E6917">
      <formula1>0</formula1>
    </dataValidation>
    <dataValidation type="whole" operator="greaterThan" allowBlank="1" showInputMessage="1" showErrorMessage="1" sqref="A6918">
      <formula1>0</formula1>
    </dataValidation>
    <dataValidation type="list" allowBlank="1" showInputMessage="1" showErrorMessage="1" sqref="C6918">
      <formula1>UnidadesList</formula1>
    </dataValidation>
    <dataValidation type="decimal" operator="greaterThan" allowBlank="1" showInputMessage="1" showErrorMessage="1" sqref="D6918">
      <formula1>0</formula1>
    </dataValidation>
    <dataValidation type="decimal" operator="greaterThan" allowBlank="1" showInputMessage="1" showErrorMessage="1" sqref="E6918">
      <formula1>0</formula1>
    </dataValidation>
    <dataValidation type="whole" operator="greaterThan" allowBlank="1" showInputMessage="1" showErrorMessage="1" sqref="A6919">
      <formula1>0</formula1>
    </dataValidation>
    <dataValidation type="list" allowBlank="1" showInputMessage="1" showErrorMessage="1" sqref="C6919">
      <formula1>UnidadesList</formula1>
    </dataValidation>
    <dataValidation type="decimal" operator="greaterThan" allowBlank="1" showInputMessage="1" showErrorMessage="1" sqref="D6919">
      <formula1>0</formula1>
    </dataValidation>
    <dataValidation type="decimal" operator="greaterThan" allowBlank="1" showInputMessage="1" showErrorMessage="1" sqref="E6919">
      <formula1>0</formula1>
    </dataValidation>
    <dataValidation type="whole" operator="greaterThan" allowBlank="1" showInputMessage="1" showErrorMessage="1" sqref="A6920">
      <formula1>0</formula1>
    </dataValidation>
    <dataValidation type="list" allowBlank="1" showInputMessage="1" showErrorMessage="1" sqref="C6920">
      <formula1>UnidadesList</formula1>
    </dataValidation>
    <dataValidation type="decimal" operator="greaterThan" allowBlank="1" showInputMessage="1" showErrorMessage="1" sqref="D6920">
      <formula1>0</formula1>
    </dataValidation>
    <dataValidation type="decimal" operator="greaterThan" allowBlank="1" showInputMessage="1" showErrorMessage="1" sqref="E6920">
      <formula1>0</formula1>
    </dataValidation>
    <dataValidation type="whole" operator="greaterThan" allowBlank="1" showInputMessage="1" showErrorMessage="1" sqref="A6921">
      <formula1>0</formula1>
    </dataValidation>
    <dataValidation type="list" allowBlank="1" showInputMessage="1" showErrorMessage="1" sqref="C6921">
      <formula1>UnidadesList</formula1>
    </dataValidation>
    <dataValidation type="decimal" operator="greaterThan" allowBlank="1" showInputMessage="1" showErrorMessage="1" sqref="D6921">
      <formula1>0</formula1>
    </dataValidation>
    <dataValidation type="decimal" operator="greaterThan" allowBlank="1" showInputMessage="1" showErrorMessage="1" sqref="E6921">
      <formula1>0</formula1>
    </dataValidation>
    <dataValidation type="whole" operator="greaterThan" allowBlank="1" showInputMessage="1" showErrorMessage="1" sqref="A6922">
      <formula1>0</formula1>
    </dataValidation>
    <dataValidation type="list" allowBlank="1" showInputMessage="1" showErrorMessage="1" sqref="C6922">
      <formula1>UnidadesList</formula1>
    </dataValidation>
    <dataValidation type="decimal" operator="greaterThan" allowBlank="1" showInputMessage="1" showErrorMessage="1" sqref="D6922">
      <formula1>0</formula1>
    </dataValidation>
    <dataValidation type="decimal" operator="greaterThan" allowBlank="1" showInputMessage="1" showErrorMessage="1" sqref="E6922">
      <formula1>0</formula1>
    </dataValidation>
    <dataValidation type="whole" operator="greaterThan" allowBlank="1" showInputMessage="1" showErrorMessage="1" sqref="A6923">
      <formula1>0</formula1>
    </dataValidation>
    <dataValidation type="list" allowBlank="1" showInputMessage="1" showErrorMessage="1" sqref="C6923">
      <formula1>UnidadesList</formula1>
    </dataValidation>
    <dataValidation type="decimal" operator="greaterThan" allowBlank="1" showInputMessage="1" showErrorMessage="1" sqref="D6923">
      <formula1>0</formula1>
    </dataValidation>
    <dataValidation type="decimal" operator="greaterThan" allowBlank="1" showInputMessage="1" showErrorMessage="1" sqref="E6923">
      <formula1>0</formula1>
    </dataValidation>
    <dataValidation type="whole" operator="greaterThan" allowBlank="1" showInputMessage="1" showErrorMessage="1" sqref="A6924">
      <formula1>0</formula1>
    </dataValidation>
    <dataValidation type="list" allowBlank="1" showInputMessage="1" showErrorMessage="1" sqref="C6924">
      <formula1>UnidadesList</formula1>
    </dataValidation>
    <dataValidation type="decimal" operator="greaterThan" allowBlank="1" showInputMessage="1" showErrorMessage="1" sqref="D6924">
      <formula1>0</formula1>
    </dataValidation>
    <dataValidation type="decimal" operator="greaterThan" allowBlank="1" showInputMessage="1" showErrorMessage="1" sqref="E6924">
      <formula1>0</formula1>
    </dataValidation>
    <dataValidation type="whole" operator="greaterThan" allowBlank="1" showInputMessage="1" showErrorMessage="1" sqref="A6925">
      <formula1>0</formula1>
    </dataValidation>
    <dataValidation type="list" allowBlank="1" showInputMessage="1" showErrorMessage="1" sqref="C6925">
      <formula1>UnidadesList</formula1>
    </dataValidation>
    <dataValidation type="decimal" operator="greaterThan" allowBlank="1" showInputMessage="1" showErrorMessage="1" sqref="D6925">
      <formula1>0</formula1>
    </dataValidation>
    <dataValidation type="decimal" operator="greaterThan" allowBlank="1" showInputMessage="1" showErrorMessage="1" sqref="E6925">
      <formula1>0</formula1>
    </dataValidation>
    <dataValidation type="whole" operator="greaterThan" allowBlank="1" showInputMessage="1" showErrorMessage="1" sqref="A6926">
      <formula1>0</formula1>
    </dataValidation>
    <dataValidation type="list" allowBlank="1" showInputMessage="1" showErrorMessage="1" sqref="C6926">
      <formula1>UnidadesList</formula1>
    </dataValidation>
    <dataValidation type="decimal" operator="greaterThan" allowBlank="1" showInputMessage="1" showErrorMessage="1" sqref="D6926">
      <formula1>0</formula1>
    </dataValidation>
    <dataValidation type="decimal" operator="greaterThan" allowBlank="1" showInputMessage="1" showErrorMessage="1" sqref="E6926">
      <formula1>0</formula1>
    </dataValidation>
    <dataValidation type="whole" operator="greaterThan" allowBlank="1" showInputMessage="1" showErrorMessage="1" sqref="A6927">
      <formula1>0</formula1>
    </dataValidation>
    <dataValidation type="list" allowBlank="1" showInputMessage="1" showErrorMessage="1" sqref="C6927">
      <formula1>UnidadesList</formula1>
    </dataValidation>
    <dataValidation type="decimal" operator="greaterThan" allowBlank="1" showInputMessage="1" showErrorMessage="1" sqref="D6927">
      <formula1>0</formula1>
    </dataValidation>
    <dataValidation type="decimal" operator="greaterThan" allowBlank="1" showInputMessage="1" showErrorMessage="1" sqref="E6927">
      <formula1>0</formula1>
    </dataValidation>
    <dataValidation type="whole" operator="greaterThan" allowBlank="1" showInputMessage="1" showErrorMessage="1" sqref="A6928">
      <formula1>0</formula1>
    </dataValidation>
    <dataValidation type="list" allowBlank="1" showInputMessage="1" showErrorMessage="1" sqref="C6928">
      <formula1>UnidadesList</formula1>
    </dataValidation>
    <dataValidation type="decimal" operator="greaterThan" allowBlank="1" showInputMessage="1" showErrorMessage="1" sqref="D6928">
      <formula1>0</formula1>
    </dataValidation>
    <dataValidation type="decimal" operator="greaterThan" allowBlank="1" showInputMessage="1" showErrorMessage="1" sqref="E6928">
      <formula1>0</formula1>
    </dataValidation>
    <dataValidation type="whole" operator="greaterThan" allowBlank="1" showInputMessage="1" showErrorMessage="1" sqref="A6929">
      <formula1>0</formula1>
    </dataValidation>
    <dataValidation type="list" allowBlank="1" showInputMessage="1" showErrorMessage="1" sqref="C6929">
      <formula1>UnidadesList</formula1>
    </dataValidation>
    <dataValidation type="decimal" operator="greaterThan" allowBlank="1" showInputMessage="1" showErrorMessage="1" sqref="D6929">
      <formula1>0</formula1>
    </dataValidation>
    <dataValidation type="decimal" operator="greaterThan" allowBlank="1" showInputMessage="1" showErrorMessage="1" sqref="E6929">
      <formula1>0</formula1>
    </dataValidation>
    <dataValidation type="whole" operator="greaterThan" allowBlank="1" showInputMessage="1" showErrorMessage="1" sqref="A6930">
      <formula1>0</formula1>
    </dataValidation>
    <dataValidation type="list" allowBlank="1" showInputMessage="1" showErrorMessage="1" sqref="C6930">
      <formula1>UnidadesList</formula1>
    </dataValidation>
    <dataValidation type="decimal" operator="greaterThan" allowBlank="1" showInputMessage="1" showErrorMessage="1" sqref="D6930">
      <formula1>0</formula1>
    </dataValidation>
    <dataValidation type="decimal" operator="greaterThan" allowBlank="1" showInputMessage="1" showErrorMessage="1" sqref="E6930">
      <formula1>0</formula1>
    </dataValidation>
    <dataValidation type="whole" operator="greaterThan" allowBlank="1" showInputMessage="1" showErrorMessage="1" sqref="A6931">
      <formula1>0</formula1>
    </dataValidation>
    <dataValidation type="list" allowBlank="1" showInputMessage="1" showErrorMessage="1" sqref="C6931">
      <formula1>UnidadesList</formula1>
    </dataValidation>
    <dataValidation type="decimal" operator="greaterThan" allowBlank="1" showInputMessage="1" showErrorMessage="1" sqref="D6931">
      <formula1>0</formula1>
    </dataValidation>
    <dataValidation type="decimal" operator="greaterThan" allowBlank="1" showInputMessage="1" showErrorMessage="1" sqref="E6931">
      <formula1>0</formula1>
    </dataValidation>
    <dataValidation type="date" operator="lessThanOrEqual" allowBlank="1" showInputMessage="1" showErrorMessage="1" sqref="C6936">
      <formula1>C6938</formula1>
    </dataValidation>
    <dataValidation type="date" operator="greaterThanOrEqual" allowBlank="1" showInputMessage="1" showErrorMessage="1" sqref="C6938">
      <formula1>C6936</formula1>
    </dataValidation>
    <dataValidation type="list" allowBlank="1" showInputMessage="1" showErrorMessage="1" sqref="F693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93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93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93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942">
      <formula1>0</formula1>
    </dataValidation>
    <dataValidation type="list" allowBlank="1" showInputMessage="1" showErrorMessage="1" sqref="C6942">
      <formula1>UnidadesList</formula1>
    </dataValidation>
    <dataValidation type="decimal" operator="greaterThan" allowBlank="1" showInputMessage="1" showErrorMessage="1" sqref="D6942">
      <formula1>0</formula1>
    </dataValidation>
    <dataValidation type="decimal" operator="greaterThan" allowBlank="1" showInputMessage="1" showErrorMessage="1" sqref="E6942">
      <formula1>0</formula1>
    </dataValidation>
    <dataValidation type="whole" operator="greaterThan" allowBlank="1" showInputMessage="1" showErrorMessage="1" sqref="A6943">
      <formula1>0</formula1>
    </dataValidation>
    <dataValidation type="list" allowBlank="1" showInputMessage="1" showErrorMessage="1" sqref="C6943">
      <formula1>UnidadesList</formula1>
    </dataValidation>
    <dataValidation type="decimal" operator="greaterThan" allowBlank="1" showInputMessage="1" showErrorMessage="1" sqref="D6943">
      <formula1>0</formula1>
    </dataValidation>
    <dataValidation type="decimal" operator="greaterThan" allowBlank="1" showInputMessage="1" showErrorMessage="1" sqref="E6943">
      <formula1>0</formula1>
    </dataValidation>
    <dataValidation type="whole" operator="greaterThan" allowBlank="1" showInputMessage="1" showErrorMessage="1" sqref="A6944">
      <formula1>0</formula1>
    </dataValidation>
    <dataValidation type="list" allowBlank="1" showInputMessage="1" showErrorMessage="1" sqref="C6944">
      <formula1>UnidadesList</formula1>
    </dataValidation>
    <dataValidation type="decimal" operator="greaterThan" allowBlank="1" showInputMessage="1" showErrorMessage="1" sqref="D6944">
      <formula1>0</formula1>
    </dataValidation>
    <dataValidation type="decimal" operator="greaterThan" allowBlank="1" showInputMessage="1" showErrorMessage="1" sqref="E6944">
      <formula1>0</formula1>
    </dataValidation>
    <dataValidation type="whole" operator="greaterThan" allowBlank="1" showInputMessage="1" showErrorMessage="1" sqref="A6945">
      <formula1>0</formula1>
    </dataValidation>
    <dataValidation type="list" allowBlank="1" showInputMessage="1" showErrorMessage="1" sqref="C6945">
      <formula1>UnidadesList</formula1>
    </dataValidation>
    <dataValidation type="decimal" operator="greaterThan" allowBlank="1" showInputMessage="1" showErrorMessage="1" sqref="D6945">
      <formula1>0</formula1>
    </dataValidation>
    <dataValidation type="decimal" operator="greaterThan" allowBlank="1" showInputMessage="1" showErrorMessage="1" sqref="E6945">
      <formula1>0</formula1>
    </dataValidation>
    <dataValidation type="whole" operator="greaterThan" allowBlank="1" showInputMessage="1" showErrorMessage="1" sqref="A6946">
      <formula1>0</formula1>
    </dataValidation>
    <dataValidation type="list" allowBlank="1" showInputMessage="1" showErrorMessage="1" sqref="C6946">
      <formula1>UnidadesList</formula1>
    </dataValidation>
    <dataValidation type="decimal" operator="greaterThan" allowBlank="1" showInputMessage="1" showErrorMessage="1" sqref="D6946">
      <formula1>0</formula1>
    </dataValidation>
    <dataValidation type="decimal" operator="greaterThan" allowBlank="1" showInputMessage="1" showErrorMessage="1" sqref="E6946">
      <formula1>0</formula1>
    </dataValidation>
    <dataValidation type="whole" operator="greaterThan" allowBlank="1" showInputMessage="1" showErrorMessage="1" sqref="A6947">
      <formula1>0</formula1>
    </dataValidation>
    <dataValidation type="list" allowBlank="1" showInputMessage="1" showErrorMessage="1" sqref="C6947">
      <formula1>UnidadesList</formula1>
    </dataValidation>
    <dataValidation type="decimal" operator="greaterThan" allowBlank="1" showInputMessage="1" showErrorMessage="1" sqref="D6947">
      <formula1>0</formula1>
    </dataValidation>
    <dataValidation type="decimal" operator="greaterThan" allowBlank="1" showInputMessage="1" showErrorMessage="1" sqref="E6947">
      <formula1>0</formula1>
    </dataValidation>
    <dataValidation type="whole" operator="greaterThan" allowBlank="1" showInputMessage="1" showErrorMessage="1" sqref="A6948">
      <formula1>0</formula1>
    </dataValidation>
    <dataValidation type="list" allowBlank="1" showInputMessage="1" showErrorMessage="1" sqref="C6948">
      <formula1>UnidadesList</formula1>
    </dataValidation>
    <dataValidation type="decimal" operator="greaterThan" allowBlank="1" showInputMessage="1" showErrorMessage="1" sqref="D6948">
      <formula1>0</formula1>
    </dataValidation>
    <dataValidation type="decimal" operator="greaterThan" allowBlank="1" showInputMessage="1" showErrorMessage="1" sqref="E6948">
      <formula1>0</formula1>
    </dataValidation>
    <dataValidation type="whole" operator="greaterThan" allowBlank="1" showInputMessage="1" showErrorMessage="1" sqref="A6949">
      <formula1>0</formula1>
    </dataValidation>
    <dataValidation type="list" allowBlank="1" showInputMessage="1" showErrorMessage="1" sqref="C6949">
      <formula1>UnidadesList</formula1>
    </dataValidation>
    <dataValidation type="decimal" operator="greaterThan" allowBlank="1" showInputMessage="1" showErrorMessage="1" sqref="D6949">
      <formula1>0</formula1>
    </dataValidation>
    <dataValidation type="decimal" operator="greaterThan" allowBlank="1" showInputMessage="1" showErrorMessage="1" sqref="E6949">
      <formula1>0</formula1>
    </dataValidation>
    <dataValidation type="whole" operator="greaterThan" allowBlank="1" showInputMessage="1" showErrorMessage="1" sqref="A6950">
      <formula1>0</formula1>
    </dataValidation>
    <dataValidation type="list" allowBlank="1" showInputMessage="1" showErrorMessage="1" sqref="C6950">
      <formula1>UnidadesList</formula1>
    </dataValidation>
    <dataValidation type="decimal" operator="greaterThan" allowBlank="1" showInputMessage="1" showErrorMessage="1" sqref="D6950">
      <formula1>0</formula1>
    </dataValidation>
    <dataValidation type="decimal" operator="greaterThan" allowBlank="1" showInputMessage="1" showErrorMessage="1" sqref="E6950">
      <formula1>0</formula1>
    </dataValidation>
    <dataValidation type="whole" operator="greaterThan" allowBlank="1" showInputMessage="1" showErrorMessage="1" sqref="A6951">
      <formula1>0</formula1>
    </dataValidation>
    <dataValidation type="list" allowBlank="1" showInputMessage="1" showErrorMessage="1" sqref="C6951">
      <formula1>UnidadesList</formula1>
    </dataValidation>
    <dataValidation type="decimal" operator="greaterThan" allowBlank="1" showInputMessage="1" showErrorMessage="1" sqref="D6951">
      <formula1>0</formula1>
    </dataValidation>
    <dataValidation type="decimal" operator="greaterThan" allowBlank="1" showInputMessage="1" showErrorMessage="1" sqref="E6951">
      <formula1>0</formula1>
    </dataValidation>
    <dataValidation type="whole" operator="greaterThan" allowBlank="1" showInputMessage="1" showErrorMessage="1" sqref="A6952">
      <formula1>0</formula1>
    </dataValidation>
    <dataValidation type="list" allowBlank="1" showInputMessage="1" showErrorMessage="1" sqref="C6952">
      <formula1>UnidadesList</formula1>
    </dataValidation>
    <dataValidation type="decimal" operator="greaterThan" allowBlank="1" showInputMessage="1" showErrorMessage="1" sqref="D6952">
      <formula1>0</formula1>
    </dataValidation>
    <dataValidation type="decimal" operator="greaterThan" allowBlank="1" showInputMessage="1" showErrorMessage="1" sqref="E6952">
      <formula1>0</formula1>
    </dataValidation>
    <dataValidation type="whole" operator="greaterThan" allowBlank="1" showInputMessage="1" showErrorMessage="1" sqref="A6953">
      <formula1>0</formula1>
    </dataValidation>
    <dataValidation type="list" allowBlank="1" showInputMessage="1" showErrorMessage="1" sqref="C6953">
      <formula1>UnidadesList</formula1>
    </dataValidation>
    <dataValidation type="decimal" operator="greaterThan" allowBlank="1" showInputMessage="1" showErrorMessage="1" sqref="D6953">
      <formula1>0</formula1>
    </dataValidation>
    <dataValidation type="decimal" operator="greaterThan" allowBlank="1" showInputMessage="1" showErrorMessage="1" sqref="E6953">
      <formula1>0</formula1>
    </dataValidation>
    <dataValidation type="whole" operator="greaterThan" allowBlank="1" showInputMessage="1" showErrorMessage="1" sqref="A6954">
      <formula1>0</formula1>
    </dataValidation>
    <dataValidation type="list" allowBlank="1" showInputMessage="1" showErrorMessage="1" sqref="C6954">
      <formula1>UnidadesList</formula1>
    </dataValidation>
    <dataValidation type="decimal" operator="greaterThan" allowBlank="1" showInputMessage="1" showErrorMessage="1" sqref="D6954">
      <formula1>0</formula1>
    </dataValidation>
    <dataValidation type="decimal" operator="greaterThan" allowBlank="1" showInputMessage="1" showErrorMessage="1" sqref="E6954">
      <formula1>0</formula1>
    </dataValidation>
    <dataValidation type="whole" operator="greaterThan" allowBlank="1" showInputMessage="1" showErrorMessage="1" sqref="A6955">
      <formula1>0</formula1>
    </dataValidation>
    <dataValidation type="list" allowBlank="1" showInputMessage="1" showErrorMessage="1" sqref="C6955">
      <formula1>UnidadesList</formula1>
    </dataValidation>
    <dataValidation type="decimal" operator="greaterThan" allowBlank="1" showInputMessage="1" showErrorMessage="1" sqref="D6955">
      <formula1>0</formula1>
    </dataValidation>
    <dataValidation type="decimal" operator="greaterThan" allowBlank="1" showInputMessage="1" showErrorMessage="1" sqref="E6955">
      <formula1>0</formula1>
    </dataValidation>
    <dataValidation type="whole" operator="greaterThan" allowBlank="1" showInputMessage="1" showErrorMessage="1" sqref="A6956">
      <formula1>0</formula1>
    </dataValidation>
    <dataValidation type="list" allowBlank="1" showInputMessage="1" showErrorMessage="1" sqref="C6956">
      <formula1>UnidadesList</formula1>
    </dataValidation>
    <dataValidation type="decimal" operator="greaterThan" allowBlank="1" showInputMessage="1" showErrorMessage="1" sqref="D6956">
      <formula1>0</formula1>
    </dataValidation>
    <dataValidation type="decimal" operator="greaterThan" allowBlank="1" showInputMessage="1" showErrorMessage="1" sqref="E6956">
      <formula1>0</formula1>
    </dataValidation>
    <dataValidation type="whole" operator="greaterThan" allowBlank="1" showInputMessage="1" showErrorMessage="1" sqref="A6957">
      <formula1>0</formula1>
    </dataValidation>
    <dataValidation type="list" allowBlank="1" showInputMessage="1" showErrorMessage="1" sqref="C6957">
      <formula1>UnidadesList</formula1>
    </dataValidation>
    <dataValidation type="decimal" operator="greaterThan" allowBlank="1" showInputMessage="1" showErrorMessage="1" sqref="D6957">
      <formula1>0</formula1>
    </dataValidation>
    <dataValidation type="decimal" operator="greaterThan" allowBlank="1" showInputMessage="1" showErrorMessage="1" sqref="E6957">
      <formula1>0</formula1>
    </dataValidation>
    <dataValidation type="whole" operator="greaterThan" allowBlank="1" showInputMessage="1" showErrorMessage="1" sqref="A6958">
      <formula1>0</formula1>
    </dataValidation>
    <dataValidation type="list" allowBlank="1" showInputMessage="1" showErrorMessage="1" sqref="C6958">
      <formula1>UnidadesList</formula1>
    </dataValidation>
    <dataValidation type="decimal" operator="greaterThan" allowBlank="1" showInputMessage="1" showErrorMessage="1" sqref="D6958">
      <formula1>0</formula1>
    </dataValidation>
    <dataValidation type="decimal" operator="greaterThan" allowBlank="1" showInputMessage="1" showErrorMessage="1" sqref="E6958">
      <formula1>0</formula1>
    </dataValidation>
    <dataValidation type="whole" operator="greaterThan" allowBlank="1" showInputMessage="1" showErrorMessage="1" sqref="A6959">
      <formula1>0</formula1>
    </dataValidation>
    <dataValidation type="list" allowBlank="1" showInputMessage="1" showErrorMessage="1" sqref="C6959">
      <formula1>UnidadesList</formula1>
    </dataValidation>
    <dataValidation type="decimal" operator="greaterThan" allowBlank="1" showInputMessage="1" showErrorMessage="1" sqref="D6959">
      <formula1>0</formula1>
    </dataValidation>
    <dataValidation type="decimal" operator="greaterThan" allowBlank="1" showInputMessage="1" showErrorMessage="1" sqref="E6959">
      <formula1>0</formula1>
    </dataValidation>
    <dataValidation type="whole" operator="greaterThan" allowBlank="1" showInputMessage="1" showErrorMessage="1" sqref="A6960">
      <formula1>0</formula1>
    </dataValidation>
    <dataValidation type="list" allowBlank="1" showInputMessage="1" showErrorMessage="1" sqref="C6960">
      <formula1>UnidadesList</formula1>
    </dataValidation>
    <dataValidation type="decimal" operator="greaterThan" allowBlank="1" showInputMessage="1" showErrorMessage="1" sqref="D6960">
      <formula1>0</formula1>
    </dataValidation>
    <dataValidation type="decimal" operator="greaterThan" allowBlank="1" showInputMessage="1" showErrorMessage="1" sqref="E6960">
      <formula1>0</formula1>
    </dataValidation>
    <dataValidation type="whole" operator="greaterThan" allowBlank="1" showInputMessage="1" showErrorMessage="1" sqref="A6961">
      <formula1>0</formula1>
    </dataValidation>
    <dataValidation type="list" allowBlank="1" showInputMessage="1" showErrorMessage="1" sqref="C6961">
      <formula1>UnidadesList</formula1>
    </dataValidation>
    <dataValidation type="decimal" operator="greaterThan" allowBlank="1" showInputMessage="1" showErrorMessage="1" sqref="D6961">
      <formula1>0</formula1>
    </dataValidation>
    <dataValidation type="decimal" operator="greaterThan" allowBlank="1" showInputMessage="1" showErrorMessage="1" sqref="E6961">
      <formula1>0</formula1>
    </dataValidation>
    <dataValidation type="whole" operator="greaterThan" allowBlank="1" showInputMessage="1" showErrorMessage="1" sqref="A6962">
      <formula1>0</formula1>
    </dataValidation>
    <dataValidation type="list" allowBlank="1" showInputMessage="1" showErrorMessage="1" sqref="C6962">
      <formula1>UnidadesList</formula1>
    </dataValidation>
    <dataValidation type="decimal" operator="greaterThan" allowBlank="1" showInputMessage="1" showErrorMessage="1" sqref="D6962">
      <formula1>0</formula1>
    </dataValidation>
    <dataValidation type="decimal" operator="greaterThan" allowBlank="1" showInputMessage="1" showErrorMessage="1" sqref="E6962">
      <formula1>0</formula1>
    </dataValidation>
    <dataValidation type="whole" operator="greaterThan" allowBlank="1" showInputMessage="1" showErrorMessage="1" sqref="A6963">
      <formula1>0</formula1>
    </dataValidation>
    <dataValidation type="list" allowBlank="1" showInputMessage="1" showErrorMessage="1" sqref="C6963">
      <formula1>UnidadesList</formula1>
    </dataValidation>
    <dataValidation type="decimal" operator="greaterThan" allowBlank="1" showInputMessage="1" showErrorMessage="1" sqref="D6963">
      <formula1>0</formula1>
    </dataValidation>
    <dataValidation type="decimal" operator="greaterThan" allowBlank="1" showInputMessage="1" showErrorMessage="1" sqref="E6963">
      <formula1>0</formula1>
    </dataValidation>
    <dataValidation type="date" operator="lessThanOrEqual" allowBlank="1" showInputMessage="1" showErrorMessage="1" sqref="C6968">
      <formula1>C6970</formula1>
    </dataValidation>
    <dataValidation type="date" operator="greaterThanOrEqual" allowBlank="1" showInputMessage="1" showErrorMessage="1" sqref="C6970">
      <formula1>C6968</formula1>
    </dataValidation>
    <dataValidation type="list" allowBlank="1" showInputMessage="1" showErrorMessage="1" sqref="F69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9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9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9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974">
      <formula1>0</formula1>
    </dataValidation>
    <dataValidation type="list" allowBlank="1" showInputMessage="1" showErrorMessage="1" sqref="C6974">
      <formula1>UnidadesList</formula1>
    </dataValidation>
    <dataValidation type="decimal" operator="greaterThan" allowBlank="1" showInputMessage="1" showErrorMessage="1" sqref="D6974">
      <formula1>0</formula1>
    </dataValidation>
    <dataValidation type="decimal" operator="greaterThan" allowBlank="1" showInputMessage="1" showErrorMessage="1" sqref="E6974">
      <formula1>0</formula1>
    </dataValidation>
    <dataValidation type="whole" operator="greaterThan" allowBlank="1" showInputMessage="1" showErrorMessage="1" sqref="A6975">
      <formula1>0</formula1>
    </dataValidation>
    <dataValidation type="list" allowBlank="1" showInputMessage="1" showErrorMessage="1" sqref="C6975">
      <formula1>UnidadesList</formula1>
    </dataValidation>
    <dataValidation type="decimal" operator="greaterThan" allowBlank="1" showInputMessage="1" showErrorMessage="1" sqref="D6975">
      <formula1>0</formula1>
    </dataValidation>
    <dataValidation type="decimal" operator="greaterThan" allowBlank="1" showInputMessage="1" showErrorMessage="1" sqref="E6975">
      <formula1>0</formula1>
    </dataValidation>
    <dataValidation type="whole" operator="greaterThan" allowBlank="1" showInputMessage="1" showErrorMessage="1" sqref="A6976">
      <formula1>0</formula1>
    </dataValidation>
    <dataValidation type="list" allowBlank="1" showInputMessage="1" showErrorMessage="1" sqref="C6976">
      <formula1>UnidadesList</formula1>
    </dataValidation>
    <dataValidation type="decimal" operator="greaterThan" allowBlank="1" showInputMessage="1" showErrorMessage="1" sqref="D6976">
      <formula1>0</formula1>
    </dataValidation>
    <dataValidation type="decimal" operator="greaterThan" allowBlank="1" showInputMessage="1" showErrorMessage="1" sqref="E6976">
      <formula1>0</formula1>
    </dataValidation>
    <dataValidation type="whole" operator="greaterThan" allowBlank="1" showInputMessage="1" showErrorMessage="1" sqref="A6977">
      <formula1>0</formula1>
    </dataValidation>
    <dataValidation type="list" allowBlank="1" showInputMessage="1" showErrorMessage="1" sqref="C6977">
      <formula1>UnidadesList</formula1>
    </dataValidation>
    <dataValidation type="decimal" operator="greaterThan" allowBlank="1" showInputMessage="1" showErrorMessage="1" sqref="D6977">
      <formula1>0</formula1>
    </dataValidation>
    <dataValidation type="decimal" operator="greaterThan" allowBlank="1" showInputMessage="1" showErrorMessage="1" sqref="E6977">
      <formula1>0</formula1>
    </dataValidation>
    <dataValidation type="whole" operator="greaterThan" allowBlank="1" showInputMessage="1" showErrorMessage="1" sqref="A6978">
      <formula1>0</formula1>
    </dataValidation>
    <dataValidation type="list" allowBlank="1" showInputMessage="1" showErrorMessage="1" sqref="C6978">
      <formula1>UnidadesList</formula1>
    </dataValidation>
    <dataValidation type="decimal" operator="greaterThan" allowBlank="1" showInputMessage="1" showErrorMessage="1" sqref="D6978">
      <formula1>0</formula1>
    </dataValidation>
    <dataValidation type="decimal" operator="greaterThan" allowBlank="1" showInputMessage="1" showErrorMessage="1" sqref="E6978">
      <formula1>0</formula1>
    </dataValidation>
    <dataValidation type="whole" operator="greaterThan" allowBlank="1" showInputMessage="1" showErrorMessage="1" sqref="A6979">
      <formula1>0</formula1>
    </dataValidation>
    <dataValidation type="list" allowBlank="1" showInputMessage="1" showErrorMessage="1" sqref="C6979">
      <formula1>UnidadesList</formula1>
    </dataValidation>
    <dataValidation type="decimal" operator="greaterThan" allowBlank="1" showInputMessage="1" showErrorMessage="1" sqref="D6979">
      <formula1>0</formula1>
    </dataValidation>
    <dataValidation type="decimal" operator="greaterThan" allowBlank="1" showInputMessage="1" showErrorMessage="1" sqref="E6979">
      <formula1>0</formula1>
    </dataValidation>
    <dataValidation type="whole" operator="greaterThan" allowBlank="1" showInputMessage="1" showErrorMessage="1" sqref="A6980">
      <formula1>0</formula1>
    </dataValidation>
    <dataValidation type="list" allowBlank="1" showInputMessage="1" showErrorMessage="1" sqref="C6980">
      <formula1>UnidadesList</formula1>
    </dataValidation>
    <dataValidation type="decimal" operator="greaterThan" allowBlank="1" showInputMessage="1" showErrorMessage="1" sqref="D6980">
      <formula1>0</formula1>
    </dataValidation>
    <dataValidation type="decimal" operator="greaterThan" allowBlank="1" showInputMessage="1" showErrorMessage="1" sqref="E6980">
      <formula1>0</formula1>
    </dataValidation>
    <dataValidation type="whole" operator="greaterThan" allowBlank="1" showInputMessage="1" showErrorMessage="1" sqref="A6981">
      <formula1>0</formula1>
    </dataValidation>
    <dataValidation type="list" allowBlank="1" showInputMessage="1" showErrorMessage="1" sqref="C6981">
      <formula1>UnidadesList</formula1>
    </dataValidation>
    <dataValidation type="decimal" operator="greaterThan" allowBlank="1" showInputMessage="1" showErrorMessage="1" sqref="D6981">
      <formula1>0</formula1>
    </dataValidation>
    <dataValidation type="decimal" operator="greaterThan" allowBlank="1" showInputMessage="1" showErrorMessage="1" sqref="E6981">
      <formula1>0</formula1>
    </dataValidation>
    <dataValidation type="whole" operator="greaterThan" allowBlank="1" showInputMessage="1" showErrorMessage="1" sqref="A6982">
      <formula1>0</formula1>
    </dataValidation>
    <dataValidation type="list" allowBlank="1" showInputMessage="1" showErrorMessage="1" sqref="C6982">
      <formula1>UnidadesList</formula1>
    </dataValidation>
    <dataValidation type="decimal" operator="greaterThan" allowBlank="1" showInputMessage="1" showErrorMessage="1" sqref="D6982">
      <formula1>0</formula1>
    </dataValidation>
    <dataValidation type="decimal" operator="greaterThan" allowBlank="1" showInputMessage="1" showErrorMessage="1" sqref="E6982">
      <formula1>0</formula1>
    </dataValidation>
    <dataValidation type="whole" operator="greaterThan" allowBlank="1" showInputMessage="1" showErrorMessage="1" sqref="A6983">
      <formula1>0</formula1>
    </dataValidation>
    <dataValidation type="list" allowBlank="1" showInputMessage="1" showErrorMessage="1" sqref="C6983">
      <formula1>UnidadesList</formula1>
    </dataValidation>
    <dataValidation type="decimal" operator="greaterThan" allowBlank="1" showInputMessage="1" showErrorMessage="1" sqref="D6983">
      <formula1>0</formula1>
    </dataValidation>
    <dataValidation type="decimal" operator="greaterThan" allowBlank="1" showInputMessage="1" showErrorMessage="1" sqref="E6983">
      <formula1>0</formula1>
    </dataValidation>
    <dataValidation type="whole" operator="greaterThan" allowBlank="1" showInputMessage="1" showErrorMessage="1" sqref="A6984">
      <formula1>0</formula1>
    </dataValidation>
    <dataValidation type="list" allowBlank="1" showInputMessage="1" showErrorMessage="1" sqref="C6984">
      <formula1>UnidadesList</formula1>
    </dataValidation>
    <dataValidation type="decimal" operator="greaterThan" allowBlank="1" showInputMessage="1" showErrorMessage="1" sqref="D6984">
      <formula1>0</formula1>
    </dataValidation>
    <dataValidation type="decimal" operator="greaterThan" allowBlank="1" showInputMessage="1" showErrorMessage="1" sqref="E6984">
      <formula1>0</formula1>
    </dataValidation>
    <dataValidation type="whole" operator="greaterThan" allowBlank="1" showInputMessage="1" showErrorMessage="1" sqref="A6985">
      <formula1>0</formula1>
    </dataValidation>
    <dataValidation type="list" allowBlank="1" showInputMessage="1" showErrorMessage="1" sqref="C6985">
      <formula1>UnidadesList</formula1>
    </dataValidation>
    <dataValidation type="decimal" operator="greaterThan" allowBlank="1" showInputMessage="1" showErrorMessage="1" sqref="D6985">
      <formula1>0</formula1>
    </dataValidation>
    <dataValidation type="decimal" operator="greaterThan" allowBlank="1" showInputMessage="1" showErrorMessage="1" sqref="E6985">
      <formula1>0</formula1>
    </dataValidation>
    <dataValidation type="whole" operator="greaterThan" allowBlank="1" showInputMessage="1" showErrorMessage="1" sqref="A6986">
      <formula1>0</formula1>
    </dataValidation>
    <dataValidation type="list" allowBlank="1" showInputMessage="1" showErrorMessage="1" sqref="C6986">
      <formula1>UnidadesList</formula1>
    </dataValidation>
    <dataValidation type="decimal" operator="greaterThan" allowBlank="1" showInputMessage="1" showErrorMessage="1" sqref="D6986">
      <formula1>0</formula1>
    </dataValidation>
    <dataValidation type="decimal" operator="greaterThan" allowBlank="1" showInputMessage="1" showErrorMessage="1" sqref="E6986">
      <formula1>0</formula1>
    </dataValidation>
    <dataValidation type="whole" operator="greaterThan" allowBlank="1" showInputMessage="1" showErrorMessage="1" sqref="A6987">
      <formula1>0</formula1>
    </dataValidation>
    <dataValidation type="list" allowBlank="1" showInputMessage="1" showErrorMessage="1" sqref="C6987">
      <formula1>UnidadesList</formula1>
    </dataValidation>
    <dataValidation type="decimal" operator="greaterThan" allowBlank="1" showInputMessage="1" showErrorMessage="1" sqref="D6987">
      <formula1>0</formula1>
    </dataValidation>
    <dataValidation type="decimal" operator="greaterThan" allowBlank="1" showInputMessage="1" showErrorMessage="1" sqref="E6987">
      <formula1>0</formula1>
    </dataValidation>
    <dataValidation type="whole" operator="greaterThan" allowBlank="1" showInputMessage="1" showErrorMessage="1" sqref="A6988">
      <formula1>0</formula1>
    </dataValidation>
    <dataValidation type="list" allowBlank="1" showInputMessage="1" showErrorMessage="1" sqref="C6988">
      <formula1>UnidadesList</formula1>
    </dataValidation>
    <dataValidation type="decimal" operator="greaterThan" allowBlank="1" showInputMessage="1" showErrorMessage="1" sqref="D6988">
      <formula1>0</formula1>
    </dataValidation>
    <dataValidation type="decimal" operator="greaterThan" allowBlank="1" showInputMessage="1" showErrorMessage="1" sqref="E6988">
      <formula1>0</formula1>
    </dataValidation>
    <dataValidation type="whole" operator="greaterThan" allowBlank="1" showInputMessage="1" showErrorMessage="1" sqref="A6989">
      <formula1>0</formula1>
    </dataValidation>
    <dataValidation type="list" allowBlank="1" showInputMessage="1" showErrorMessage="1" sqref="C6989">
      <formula1>UnidadesList</formula1>
    </dataValidation>
    <dataValidation type="decimal" operator="greaterThan" allowBlank="1" showInputMessage="1" showErrorMessage="1" sqref="D6989">
      <formula1>0</formula1>
    </dataValidation>
    <dataValidation type="decimal" operator="greaterThan" allowBlank="1" showInputMessage="1" showErrorMessage="1" sqref="E6989">
      <formula1>0</formula1>
    </dataValidation>
    <dataValidation type="whole" operator="greaterThan" allowBlank="1" showInputMessage="1" showErrorMessage="1" sqref="A6990">
      <formula1>0</formula1>
    </dataValidation>
    <dataValidation type="list" allowBlank="1" showInputMessage="1" showErrorMessage="1" sqref="C6990">
      <formula1>UnidadesList</formula1>
    </dataValidation>
    <dataValidation type="decimal" operator="greaterThan" allowBlank="1" showInputMessage="1" showErrorMessage="1" sqref="D6990">
      <formula1>0</formula1>
    </dataValidation>
    <dataValidation type="decimal" operator="greaterThan" allowBlank="1" showInputMessage="1" showErrorMessage="1" sqref="E6990">
      <formula1>0</formula1>
    </dataValidation>
    <dataValidation type="whole" operator="greaterThan" allowBlank="1" showInputMessage="1" showErrorMessage="1" sqref="A6991">
      <formula1>0</formula1>
    </dataValidation>
    <dataValidation type="list" allowBlank="1" showInputMessage="1" showErrorMessage="1" sqref="C6991">
      <formula1>UnidadesList</formula1>
    </dataValidation>
    <dataValidation type="decimal" operator="greaterThan" allowBlank="1" showInputMessage="1" showErrorMessage="1" sqref="D6991">
      <formula1>0</formula1>
    </dataValidation>
    <dataValidation type="decimal" operator="greaterThan" allowBlank="1" showInputMessage="1" showErrorMessage="1" sqref="E6991">
      <formula1>0</formula1>
    </dataValidation>
    <dataValidation type="whole" operator="greaterThan" allowBlank="1" showInputMessage="1" showErrorMessage="1" sqref="A6992">
      <formula1>0</formula1>
    </dataValidation>
    <dataValidation type="list" allowBlank="1" showInputMessage="1" showErrorMessage="1" sqref="C6992">
      <formula1>UnidadesList</formula1>
    </dataValidation>
    <dataValidation type="decimal" operator="greaterThan" allowBlank="1" showInputMessage="1" showErrorMessage="1" sqref="D6992">
      <formula1>0</formula1>
    </dataValidation>
    <dataValidation type="decimal" operator="greaterThan" allowBlank="1" showInputMessage="1" showErrorMessage="1" sqref="E6992">
      <formula1>0</formula1>
    </dataValidation>
    <dataValidation type="whole" operator="greaterThan" allowBlank="1" showInputMessage="1" showErrorMessage="1" sqref="A6993">
      <formula1>0</formula1>
    </dataValidation>
    <dataValidation type="list" allowBlank="1" showInputMessage="1" showErrorMessage="1" sqref="C6993">
      <formula1>UnidadesList</formula1>
    </dataValidation>
    <dataValidation type="decimal" operator="greaterThan" allowBlank="1" showInputMessage="1" showErrorMessage="1" sqref="D6993">
      <formula1>0</formula1>
    </dataValidation>
    <dataValidation type="decimal" operator="greaterThan" allowBlank="1" showInputMessage="1" showErrorMessage="1" sqref="E6993">
      <formula1>0</formula1>
    </dataValidation>
    <dataValidation type="whole" operator="greaterThan" allowBlank="1" showInputMessage="1" showErrorMessage="1" sqref="A6994">
      <formula1>0</formula1>
    </dataValidation>
    <dataValidation type="list" allowBlank="1" showInputMessage="1" showErrorMessage="1" sqref="C6994">
      <formula1>UnidadesList</formula1>
    </dataValidation>
    <dataValidation type="decimal" operator="greaterThan" allowBlank="1" showInputMessage="1" showErrorMessage="1" sqref="D6994">
      <formula1>0</formula1>
    </dataValidation>
    <dataValidation type="decimal" operator="greaterThan" allowBlank="1" showInputMessage="1" showErrorMessage="1" sqref="E6994">
      <formula1>0</formula1>
    </dataValidation>
    <dataValidation type="whole" operator="greaterThan" allowBlank="1" showInputMessage="1" showErrorMessage="1" sqref="A6995">
      <formula1>0</formula1>
    </dataValidation>
    <dataValidation type="list" allowBlank="1" showInputMessage="1" showErrorMessage="1" sqref="C6995">
      <formula1>UnidadesList</formula1>
    </dataValidation>
    <dataValidation type="decimal" operator="greaterThan" allowBlank="1" showInputMessage="1" showErrorMessage="1" sqref="D6995">
      <formula1>0</formula1>
    </dataValidation>
    <dataValidation type="decimal" operator="greaterThan" allowBlank="1" showInputMessage="1" showErrorMessage="1" sqref="E6995">
      <formula1>0</formula1>
    </dataValidation>
    <dataValidation type="whole" operator="greaterThan" allowBlank="1" showInputMessage="1" showErrorMessage="1" sqref="A6996">
      <formula1>0</formula1>
    </dataValidation>
    <dataValidation type="list" allowBlank="1" showInputMessage="1" showErrorMessage="1" sqref="C6996">
      <formula1>UnidadesList</formula1>
    </dataValidation>
    <dataValidation type="decimal" operator="greaterThan" allowBlank="1" showInputMessage="1" showErrorMessage="1" sqref="D6996">
      <formula1>0</formula1>
    </dataValidation>
    <dataValidation type="decimal" operator="greaterThan" allowBlank="1" showInputMessage="1" showErrorMessage="1" sqref="E6996">
      <formula1>0</formula1>
    </dataValidation>
    <dataValidation type="whole" operator="greaterThan" allowBlank="1" showInputMessage="1" showErrorMessage="1" sqref="A6997">
      <formula1>0</formula1>
    </dataValidation>
    <dataValidation type="list" allowBlank="1" showInputMessage="1" showErrorMessage="1" sqref="C6997">
      <formula1>UnidadesList</formula1>
    </dataValidation>
    <dataValidation type="decimal" operator="greaterThan" allowBlank="1" showInputMessage="1" showErrorMessage="1" sqref="D6997">
      <formula1>0</formula1>
    </dataValidation>
    <dataValidation type="decimal" operator="greaterThan" allowBlank="1" showInputMessage="1" showErrorMessage="1" sqref="E6997">
      <formula1>0</formula1>
    </dataValidation>
    <dataValidation type="whole" operator="greaterThan" allowBlank="1" showInputMessage="1" showErrorMessage="1" sqref="A6998">
      <formula1>0</formula1>
    </dataValidation>
    <dataValidation type="list" allowBlank="1" showInputMessage="1" showErrorMessage="1" sqref="C6998">
      <formula1>UnidadesList</formula1>
    </dataValidation>
    <dataValidation type="decimal" operator="greaterThan" allowBlank="1" showInputMessage="1" showErrorMessage="1" sqref="D6998">
      <formula1>0</formula1>
    </dataValidation>
    <dataValidation type="decimal" operator="greaterThan" allowBlank="1" showInputMessage="1" showErrorMessage="1" sqref="E6998">
      <formula1>0</formula1>
    </dataValidation>
    <dataValidation type="whole" operator="greaterThan" allowBlank="1" showInputMessage="1" showErrorMessage="1" sqref="A6999">
      <formula1>0</formula1>
    </dataValidation>
    <dataValidation type="list" allowBlank="1" showInputMessage="1" showErrorMessage="1" sqref="C6999">
      <formula1>UnidadesList</formula1>
    </dataValidation>
    <dataValidation type="decimal" operator="greaterThan" allowBlank="1" showInputMessage="1" showErrorMessage="1" sqref="D6999">
      <formula1>0</formula1>
    </dataValidation>
    <dataValidation type="decimal" operator="greaterThan" allowBlank="1" showInputMessage="1" showErrorMessage="1" sqref="E6999">
      <formula1>0</formula1>
    </dataValidation>
    <dataValidation type="whole" operator="greaterThan" allowBlank="1" showInputMessage="1" showErrorMessage="1" sqref="A7000">
      <formula1>0</formula1>
    </dataValidation>
    <dataValidation type="list" allowBlank="1" showInputMessage="1" showErrorMessage="1" sqref="C7000">
      <formula1>UnidadesList</formula1>
    </dataValidation>
    <dataValidation type="decimal" operator="greaterThan" allowBlank="1" showInputMessage="1" showErrorMessage="1" sqref="D7000">
      <formula1>0</formula1>
    </dataValidation>
    <dataValidation type="decimal" operator="greaterThan" allowBlank="1" showInputMessage="1" showErrorMessage="1" sqref="E7000">
      <formula1>0</formula1>
    </dataValidation>
    <dataValidation type="whole" operator="greaterThan" allowBlank="1" showInputMessage="1" showErrorMessage="1" sqref="A7001">
      <formula1>0</formula1>
    </dataValidation>
    <dataValidation type="list" allowBlank="1" showInputMessage="1" showErrorMessage="1" sqref="C7001">
      <formula1>UnidadesList</formula1>
    </dataValidation>
    <dataValidation type="decimal" operator="greaterThan" allowBlank="1" showInputMessage="1" showErrorMessage="1" sqref="D7001">
      <formula1>0</formula1>
    </dataValidation>
    <dataValidation type="decimal" operator="greaterThan" allowBlank="1" showInputMessage="1" showErrorMessage="1" sqref="E7001">
      <formula1>0</formula1>
    </dataValidation>
    <dataValidation type="whole" operator="greaterThan" allowBlank="1" showInputMessage="1" showErrorMessage="1" sqref="A7002">
      <formula1>0</formula1>
    </dataValidation>
    <dataValidation type="list" allowBlank="1" showInputMessage="1" showErrorMessage="1" sqref="C7002">
      <formula1>UnidadesList</formula1>
    </dataValidation>
    <dataValidation type="decimal" operator="greaterThan" allowBlank="1" showInputMessage="1" showErrorMessage="1" sqref="D7002">
      <formula1>0</formula1>
    </dataValidation>
    <dataValidation type="decimal" operator="greaterThan" allowBlank="1" showInputMessage="1" showErrorMessage="1" sqref="E7002">
      <formula1>0</formula1>
    </dataValidation>
    <dataValidation type="whole" operator="greaterThan" allowBlank="1" showInputMessage="1" showErrorMessage="1" sqref="A7003">
      <formula1>0</formula1>
    </dataValidation>
    <dataValidation type="list" allowBlank="1" showInputMessage="1" showErrorMessage="1" sqref="C7003">
      <formula1>UnidadesList</formula1>
    </dataValidation>
    <dataValidation type="decimal" operator="greaterThan" allowBlank="1" showInputMessage="1" showErrorMessage="1" sqref="D7003">
      <formula1>0</formula1>
    </dataValidation>
    <dataValidation type="decimal" operator="greaterThan" allowBlank="1" showInputMessage="1" showErrorMessage="1" sqref="E7003">
      <formula1>0</formula1>
    </dataValidation>
    <dataValidation type="date" operator="lessThanOrEqual" allowBlank="1" showInputMessage="1" showErrorMessage="1" sqref="C7008">
      <formula1>C7010</formula1>
    </dataValidation>
    <dataValidation type="date" operator="greaterThanOrEqual" allowBlank="1" showInputMessage="1" showErrorMessage="1" sqref="C7010">
      <formula1>C7008</formula1>
    </dataValidation>
    <dataValidation type="list" allowBlank="1" showInputMessage="1" showErrorMessage="1" sqref="F700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00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01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01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014">
      <formula1>0</formula1>
    </dataValidation>
    <dataValidation type="list" allowBlank="1" showInputMessage="1" showErrorMessage="1" sqref="C7014">
      <formula1>UnidadesList</formula1>
    </dataValidation>
    <dataValidation type="decimal" operator="greaterThan" allowBlank="1" showInputMessage="1" showErrorMessage="1" sqref="D7014">
      <formula1>0</formula1>
    </dataValidation>
    <dataValidation type="decimal" operator="greaterThan" allowBlank="1" showInputMessage="1" showErrorMessage="1" sqref="E7014">
      <formula1>0</formula1>
    </dataValidation>
    <dataValidation type="whole" operator="greaterThan" allowBlank="1" showInputMessage="1" showErrorMessage="1" sqref="A7015">
      <formula1>0</formula1>
    </dataValidation>
    <dataValidation type="list" allowBlank="1" showInputMessage="1" showErrorMessage="1" sqref="C7015">
      <formula1>UnidadesList</formula1>
    </dataValidation>
    <dataValidation type="decimal" operator="greaterThan" allowBlank="1" showInputMessage="1" showErrorMessage="1" sqref="D7015">
      <formula1>0</formula1>
    </dataValidation>
    <dataValidation type="decimal" operator="greaterThan" allowBlank="1" showInputMessage="1" showErrorMessage="1" sqref="E7015">
      <formula1>0</formula1>
    </dataValidation>
    <dataValidation type="whole" operator="greaterThan" allowBlank="1" showInputMessage="1" showErrorMessage="1" sqref="A7016">
      <formula1>0</formula1>
    </dataValidation>
    <dataValidation type="list" allowBlank="1" showInputMessage="1" showErrorMessage="1" sqref="C7016">
      <formula1>UnidadesList</formula1>
    </dataValidation>
    <dataValidation type="decimal" operator="greaterThan" allowBlank="1" showInputMessage="1" showErrorMessage="1" sqref="D7016">
      <formula1>0</formula1>
    </dataValidation>
    <dataValidation type="decimal" operator="greaterThan" allowBlank="1" showInputMessage="1" showErrorMessage="1" sqref="E7016">
      <formula1>0</formula1>
    </dataValidation>
    <dataValidation type="whole" operator="greaterThan" allowBlank="1" showInputMessage="1" showErrorMessage="1" sqref="A7017">
      <formula1>0</formula1>
    </dataValidation>
    <dataValidation type="list" allowBlank="1" showInputMessage="1" showErrorMessage="1" sqref="C7017">
      <formula1>UnidadesList</formula1>
    </dataValidation>
    <dataValidation type="decimal" operator="greaterThan" allowBlank="1" showInputMessage="1" showErrorMessage="1" sqref="D7017">
      <formula1>0</formula1>
    </dataValidation>
    <dataValidation type="decimal" operator="greaterThan" allowBlank="1" showInputMessage="1" showErrorMessage="1" sqref="E7017">
      <formula1>0</formula1>
    </dataValidation>
    <dataValidation type="whole" operator="greaterThan" allowBlank="1" showInputMessage="1" showErrorMessage="1" sqref="A7018">
      <formula1>0</formula1>
    </dataValidation>
    <dataValidation type="list" allowBlank="1" showInputMessage="1" showErrorMessage="1" sqref="C7018">
      <formula1>UnidadesList</formula1>
    </dataValidation>
    <dataValidation type="decimal" operator="greaterThan" allowBlank="1" showInputMessage="1" showErrorMessage="1" sqref="D7018">
      <formula1>0</formula1>
    </dataValidation>
    <dataValidation type="decimal" operator="greaterThan" allowBlank="1" showInputMessage="1" showErrorMessage="1" sqref="E7018">
      <formula1>0</formula1>
    </dataValidation>
    <dataValidation type="whole" operator="greaterThan" allowBlank="1" showInputMessage="1" showErrorMessage="1" sqref="A7019">
      <formula1>0</formula1>
    </dataValidation>
    <dataValidation type="list" allowBlank="1" showInputMessage="1" showErrorMessage="1" sqref="C7019">
      <formula1>UnidadesList</formula1>
    </dataValidation>
    <dataValidation type="decimal" operator="greaterThan" allowBlank="1" showInputMessage="1" showErrorMessage="1" sqref="D7019">
      <formula1>0</formula1>
    </dataValidation>
    <dataValidation type="decimal" operator="greaterThan" allowBlank="1" showInputMessage="1" showErrorMessage="1" sqref="E7019">
      <formula1>0</formula1>
    </dataValidation>
    <dataValidation type="whole" operator="greaterThan" allowBlank="1" showInputMessage="1" showErrorMessage="1" sqref="A7020">
      <formula1>0</formula1>
    </dataValidation>
    <dataValidation type="list" allowBlank="1" showInputMessage="1" showErrorMessage="1" sqref="C7020">
      <formula1>UnidadesList</formula1>
    </dataValidation>
    <dataValidation type="decimal" operator="greaterThan" allowBlank="1" showInputMessage="1" showErrorMessage="1" sqref="D7020">
      <formula1>0</formula1>
    </dataValidation>
    <dataValidation type="decimal" operator="greaterThan" allowBlank="1" showInputMessage="1" showErrorMessage="1" sqref="E7020">
      <formula1>0</formula1>
    </dataValidation>
    <dataValidation type="whole" operator="greaterThan" allowBlank="1" showInputMessage="1" showErrorMessage="1" sqref="A7021">
      <formula1>0</formula1>
    </dataValidation>
    <dataValidation type="list" allowBlank="1" showInputMessage="1" showErrorMessage="1" sqref="C7021">
      <formula1>UnidadesList</formula1>
    </dataValidation>
    <dataValidation type="decimal" operator="greaterThan" allowBlank="1" showInputMessage="1" showErrorMessage="1" sqref="D7021">
      <formula1>0</formula1>
    </dataValidation>
    <dataValidation type="decimal" operator="greaterThan" allowBlank="1" showInputMessage="1" showErrorMessage="1" sqref="E7021">
      <formula1>0</formula1>
    </dataValidation>
    <dataValidation type="whole" operator="greaterThan" allowBlank="1" showInputMessage="1" showErrorMessage="1" sqref="A7022">
      <formula1>0</formula1>
    </dataValidation>
    <dataValidation type="list" allowBlank="1" showInputMessage="1" showErrorMessage="1" sqref="C7022">
      <formula1>UnidadesList</formula1>
    </dataValidation>
    <dataValidation type="decimal" operator="greaterThan" allowBlank="1" showInputMessage="1" showErrorMessage="1" sqref="D7022">
      <formula1>0</formula1>
    </dataValidation>
    <dataValidation type="decimal" operator="greaterThan" allowBlank="1" showInputMessage="1" showErrorMessage="1" sqref="E7022">
      <formula1>0</formula1>
    </dataValidation>
    <dataValidation type="whole" operator="greaterThan" allowBlank="1" showInputMessage="1" showErrorMessage="1" sqref="A7023">
      <formula1>0</formula1>
    </dataValidation>
    <dataValidation type="list" allowBlank="1" showInputMessage="1" showErrorMessage="1" sqref="C7023">
      <formula1>UnidadesList</formula1>
    </dataValidation>
    <dataValidation type="decimal" operator="greaterThan" allowBlank="1" showInputMessage="1" showErrorMessage="1" sqref="D7023">
      <formula1>0</formula1>
    </dataValidation>
    <dataValidation type="decimal" operator="greaterThan" allowBlank="1" showInputMessage="1" showErrorMessage="1" sqref="E7023">
      <formula1>0</formula1>
    </dataValidation>
    <dataValidation type="whole" operator="greaterThan" allowBlank="1" showInputMessage="1" showErrorMessage="1" sqref="A7024">
      <formula1>0</formula1>
    </dataValidation>
    <dataValidation type="list" allowBlank="1" showInputMessage="1" showErrorMessage="1" sqref="C7024">
      <formula1>UnidadesList</formula1>
    </dataValidation>
    <dataValidation type="decimal" operator="greaterThan" allowBlank="1" showInputMessage="1" showErrorMessage="1" sqref="D7024">
      <formula1>0</formula1>
    </dataValidation>
    <dataValidation type="decimal" operator="greaterThan" allowBlank="1" showInputMessage="1" showErrorMessage="1" sqref="E7024">
      <formula1>0</formula1>
    </dataValidation>
    <dataValidation type="whole" operator="greaterThan" allowBlank="1" showInputMessage="1" showErrorMessage="1" sqref="A7025">
      <formula1>0</formula1>
    </dataValidation>
    <dataValidation type="list" allowBlank="1" showInputMessage="1" showErrorMessage="1" sqref="C7025">
      <formula1>UnidadesList</formula1>
    </dataValidation>
    <dataValidation type="decimal" operator="greaterThan" allowBlank="1" showInputMessage="1" showErrorMessage="1" sqref="D7025">
      <formula1>0</formula1>
    </dataValidation>
    <dataValidation type="decimal" operator="greaterThan" allowBlank="1" showInputMessage="1" showErrorMessage="1" sqref="E7025">
      <formula1>0</formula1>
    </dataValidation>
    <dataValidation type="whole" operator="greaterThan" allowBlank="1" showInputMessage="1" showErrorMessage="1" sqref="A7026">
      <formula1>0</formula1>
    </dataValidation>
    <dataValidation type="list" allowBlank="1" showInputMessage="1" showErrorMessage="1" sqref="C7026">
      <formula1>UnidadesList</formula1>
    </dataValidation>
    <dataValidation type="decimal" operator="greaterThan" allowBlank="1" showInputMessage="1" showErrorMessage="1" sqref="D7026">
      <formula1>0</formula1>
    </dataValidation>
    <dataValidation type="decimal" operator="greaterThan" allowBlank="1" showInputMessage="1" showErrorMessage="1" sqref="E7026">
      <formula1>0</formula1>
    </dataValidation>
    <dataValidation type="whole" operator="greaterThan" allowBlank="1" showInputMessage="1" showErrorMessage="1" sqref="A7027">
      <formula1>0</formula1>
    </dataValidation>
    <dataValidation type="list" allowBlank="1" showInputMessage="1" showErrorMessage="1" sqref="C7027">
      <formula1>UnidadesList</formula1>
    </dataValidation>
    <dataValidation type="decimal" operator="greaterThan" allowBlank="1" showInputMessage="1" showErrorMessage="1" sqref="D7027">
      <formula1>0</formula1>
    </dataValidation>
    <dataValidation type="decimal" operator="greaterThan" allowBlank="1" showInputMessage="1" showErrorMessage="1" sqref="E7027">
      <formula1>0</formula1>
    </dataValidation>
    <dataValidation type="whole" operator="greaterThan" allowBlank="1" showInputMessage="1" showErrorMessage="1" sqref="A7028">
      <formula1>0</formula1>
    </dataValidation>
    <dataValidation type="list" allowBlank="1" showInputMessage="1" showErrorMessage="1" sqref="C7028">
      <formula1>UnidadesList</formula1>
    </dataValidation>
    <dataValidation type="decimal" operator="greaterThan" allowBlank="1" showInputMessage="1" showErrorMessage="1" sqref="D7028">
      <formula1>0</formula1>
    </dataValidation>
    <dataValidation type="decimal" operator="greaterThan" allowBlank="1" showInputMessage="1" showErrorMessage="1" sqref="E7028">
      <formula1>0</formula1>
    </dataValidation>
    <dataValidation type="whole" operator="greaterThan" allowBlank="1" showInputMessage="1" showErrorMessage="1" sqref="A7029">
      <formula1>0</formula1>
    </dataValidation>
    <dataValidation type="list" allowBlank="1" showInputMessage="1" showErrorMessage="1" sqref="C7029">
      <formula1>UnidadesList</formula1>
    </dataValidation>
    <dataValidation type="decimal" operator="greaterThan" allowBlank="1" showInputMessage="1" showErrorMessage="1" sqref="D7029">
      <formula1>0</formula1>
    </dataValidation>
    <dataValidation type="decimal" operator="greaterThan" allowBlank="1" showInputMessage="1" showErrorMessage="1" sqref="E7029">
      <formula1>0</formula1>
    </dataValidation>
    <dataValidation type="whole" operator="greaterThan" allowBlank="1" showInputMessage="1" showErrorMessage="1" sqref="A7030">
      <formula1>0</formula1>
    </dataValidation>
    <dataValidation type="list" allowBlank="1" showInputMessage="1" showErrorMessage="1" sqref="C7030">
      <formula1>UnidadesList</formula1>
    </dataValidation>
    <dataValidation type="decimal" operator="greaterThan" allowBlank="1" showInputMessage="1" showErrorMessage="1" sqref="D7030">
      <formula1>0</formula1>
    </dataValidation>
    <dataValidation type="decimal" operator="greaterThan" allowBlank="1" showInputMessage="1" showErrorMessage="1" sqref="E7030">
      <formula1>0</formula1>
    </dataValidation>
    <dataValidation type="whole" operator="greaterThan" allowBlank="1" showInputMessage="1" showErrorMessage="1" sqref="A7031">
      <formula1>0</formula1>
    </dataValidation>
    <dataValidation type="list" allowBlank="1" showInputMessage="1" showErrorMessage="1" sqref="C7031">
      <formula1>UnidadesList</formula1>
    </dataValidation>
    <dataValidation type="decimal" operator="greaterThan" allowBlank="1" showInputMessage="1" showErrorMessage="1" sqref="D7031">
      <formula1>0</formula1>
    </dataValidation>
    <dataValidation type="decimal" operator="greaterThan" allowBlank="1" showInputMessage="1" showErrorMessage="1" sqref="E7031">
      <formula1>0</formula1>
    </dataValidation>
    <dataValidation type="whole" operator="greaterThan" allowBlank="1" showInputMessage="1" showErrorMessage="1" sqref="A7032">
      <formula1>0</formula1>
    </dataValidation>
    <dataValidation type="list" allowBlank="1" showInputMessage="1" showErrorMessage="1" sqref="C7032">
      <formula1>UnidadesList</formula1>
    </dataValidation>
    <dataValidation type="decimal" operator="greaterThan" allowBlank="1" showInputMessage="1" showErrorMessage="1" sqref="D7032">
      <formula1>0</formula1>
    </dataValidation>
    <dataValidation type="decimal" operator="greaterThan" allowBlank="1" showInputMessage="1" showErrorMessage="1" sqref="E7032">
      <formula1>0</formula1>
    </dataValidation>
    <dataValidation type="whole" operator="greaterThan" allowBlank="1" showInputMessage="1" showErrorMessage="1" sqref="A7033">
      <formula1>0</formula1>
    </dataValidation>
    <dataValidation type="list" allowBlank="1" showInputMessage="1" showErrorMessage="1" sqref="C7033">
      <formula1>UnidadesList</formula1>
    </dataValidation>
    <dataValidation type="decimal" operator="greaterThan" allowBlank="1" showInputMessage="1" showErrorMessage="1" sqref="D7033">
      <formula1>0</formula1>
    </dataValidation>
    <dataValidation type="decimal" operator="greaterThan" allowBlank="1" showInputMessage="1" showErrorMessage="1" sqref="E7033">
      <formula1>0</formula1>
    </dataValidation>
    <dataValidation type="whole" operator="greaterThan" allowBlank="1" showInputMessage="1" showErrorMessage="1" sqref="A7034">
      <formula1>0</formula1>
    </dataValidation>
    <dataValidation type="list" allowBlank="1" showInputMessage="1" showErrorMessage="1" sqref="C7034">
      <formula1>UnidadesList</formula1>
    </dataValidation>
    <dataValidation type="decimal" operator="greaterThan" allowBlank="1" showInputMessage="1" showErrorMessage="1" sqref="D7034">
      <formula1>0</formula1>
    </dataValidation>
    <dataValidation type="decimal" operator="greaterThan" allowBlank="1" showInputMessage="1" showErrorMessage="1" sqref="E7034">
      <formula1>0</formula1>
    </dataValidation>
    <dataValidation type="whole" operator="greaterThan" allowBlank="1" showInputMessage="1" showErrorMessage="1" sqref="A7035">
      <formula1>0</formula1>
    </dataValidation>
    <dataValidation type="list" allowBlank="1" showInputMessage="1" showErrorMessage="1" sqref="C7035">
      <formula1>UnidadesList</formula1>
    </dataValidation>
    <dataValidation type="decimal" operator="greaterThan" allowBlank="1" showInputMessage="1" showErrorMessage="1" sqref="D7035">
      <formula1>0</formula1>
    </dataValidation>
    <dataValidation type="decimal" operator="greaterThan" allowBlank="1" showInputMessage="1" showErrorMessage="1" sqref="E7035">
      <formula1>0</formula1>
    </dataValidation>
    <dataValidation type="date" operator="lessThanOrEqual" allowBlank="1" showInputMessage="1" showErrorMessage="1" sqref="C7040">
      <formula1>C7042</formula1>
    </dataValidation>
    <dataValidation type="date" operator="greaterThanOrEqual" allowBlank="1" showInputMessage="1" showErrorMessage="1" sqref="C7042">
      <formula1>C7040</formula1>
    </dataValidation>
    <dataValidation type="list" allowBlank="1" showInputMessage="1" showErrorMessage="1" sqref="F70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0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0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0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046">
      <formula1>0</formula1>
    </dataValidation>
    <dataValidation type="list" allowBlank="1" showInputMessage="1" showErrorMessage="1" sqref="C7046">
      <formula1>UnidadesList</formula1>
    </dataValidation>
    <dataValidation type="decimal" operator="greaterThan" allowBlank="1" showInputMessage="1" showErrorMessage="1" sqref="D7046">
      <formula1>0</formula1>
    </dataValidation>
    <dataValidation type="decimal" operator="greaterThan" allowBlank="1" showInputMessage="1" showErrorMessage="1" sqref="E7046">
      <formula1>0</formula1>
    </dataValidation>
    <dataValidation type="whole" operator="greaterThan" allowBlank="1" showInputMessage="1" showErrorMessage="1" sqref="A7047">
      <formula1>0</formula1>
    </dataValidation>
    <dataValidation type="list" allowBlank="1" showInputMessage="1" showErrorMessage="1" sqref="C7047">
      <formula1>UnidadesList</formula1>
    </dataValidation>
    <dataValidation type="decimal" operator="greaterThan" allowBlank="1" showInputMessage="1" showErrorMessage="1" sqref="D7047">
      <formula1>0</formula1>
    </dataValidation>
    <dataValidation type="decimal" operator="greaterThan" allowBlank="1" showInputMessage="1" showErrorMessage="1" sqref="E7047">
      <formula1>0</formula1>
    </dataValidation>
    <dataValidation type="whole" operator="greaterThan" allowBlank="1" showInputMessage="1" showErrorMessage="1" sqref="A7048">
      <formula1>0</formula1>
    </dataValidation>
    <dataValidation type="list" allowBlank="1" showInputMessage="1" showErrorMessage="1" sqref="C7048">
      <formula1>UnidadesList</formula1>
    </dataValidation>
    <dataValidation type="decimal" operator="greaterThan" allowBlank="1" showInputMessage="1" showErrorMessage="1" sqref="D7048">
      <formula1>0</formula1>
    </dataValidation>
    <dataValidation type="decimal" operator="greaterThan" allowBlank="1" showInputMessage="1" showErrorMessage="1" sqref="E7048">
      <formula1>0</formula1>
    </dataValidation>
    <dataValidation type="whole" operator="greaterThan" allowBlank="1" showInputMessage="1" showErrorMessage="1" sqref="A7049">
      <formula1>0</formula1>
    </dataValidation>
    <dataValidation type="list" allowBlank="1" showInputMessage="1" showErrorMessage="1" sqref="C7049">
      <formula1>UnidadesList</formula1>
    </dataValidation>
    <dataValidation type="decimal" operator="greaterThan" allowBlank="1" showInputMessage="1" showErrorMessage="1" sqref="D7049">
      <formula1>0</formula1>
    </dataValidation>
    <dataValidation type="decimal" operator="greaterThan" allowBlank="1" showInputMessage="1" showErrorMessage="1" sqref="E7049">
      <formula1>0</formula1>
    </dataValidation>
    <dataValidation type="whole" operator="greaterThan" allowBlank="1" showInputMessage="1" showErrorMessage="1" sqref="A7050">
      <formula1>0</formula1>
    </dataValidation>
    <dataValidation type="list" allowBlank="1" showInputMessage="1" showErrorMessage="1" sqref="C7050">
      <formula1>UnidadesList</formula1>
    </dataValidation>
    <dataValidation type="decimal" operator="greaterThan" allowBlank="1" showInputMessage="1" showErrorMessage="1" sqref="D7050">
      <formula1>0</formula1>
    </dataValidation>
    <dataValidation type="decimal" operator="greaterThan" allowBlank="1" showInputMessage="1" showErrorMessage="1" sqref="E7050">
      <formula1>0</formula1>
    </dataValidation>
    <dataValidation type="whole" operator="greaterThan" allowBlank="1" showInputMessage="1" showErrorMessage="1" sqref="A7051">
      <formula1>0</formula1>
    </dataValidation>
    <dataValidation type="list" allowBlank="1" showInputMessage="1" showErrorMessage="1" sqref="C7051">
      <formula1>UnidadesList</formula1>
    </dataValidation>
    <dataValidation type="decimal" operator="greaterThan" allowBlank="1" showInputMessage="1" showErrorMessage="1" sqref="D7051">
      <formula1>0</formula1>
    </dataValidation>
    <dataValidation type="decimal" operator="greaterThan" allowBlank="1" showInputMessage="1" showErrorMessage="1" sqref="E7051">
      <formula1>0</formula1>
    </dataValidation>
    <dataValidation type="whole" operator="greaterThan" allowBlank="1" showInputMessage="1" showErrorMessage="1" sqref="A7052">
      <formula1>0</formula1>
    </dataValidation>
    <dataValidation type="list" allowBlank="1" showInputMessage="1" showErrorMessage="1" sqref="C7052">
      <formula1>UnidadesList</formula1>
    </dataValidation>
    <dataValidation type="decimal" operator="greaterThan" allowBlank="1" showInputMessage="1" showErrorMessage="1" sqref="D7052">
      <formula1>0</formula1>
    </dataValidation>
    <dataValidation type="decimal" operator="greaterThan" allowBlank="1" showInputMessage="1" showErrorMessage="1" sqref="E7052">
      <formula1>0</formula1>
    </dataValidation>
    <dataValidation type="whole" operator="greaterThan" allowBlank="1" showInputMessage="1" showErrorMessage="1" sqref="A7053">
      <formula1>0</formula1>
    </dataValidation>
    <dataValidation type="list" allowBlank="1" showInputMessage="1" showErrorMessage="1" sqref="C7053">
      <formula1>UnidadesList</formula1>
    </dataValidation>
    <dataValidation type="decimal" operator="greaterThan" allowBlank="1" showInputMessage="1" showErrorMessage="1" sqref="D7053">
      <formula1>0</formula1>
    </dataValidation>
    <dataValidation type="decimal" operator="greaterThan" allowBlank="1" showInputMessage="1" showErrorMessage="1" sqref="E7053">
      <formula1>0</formula1>
    </dataValidation>
    <dataValidation type="whole" operator="greaterThan" allowBlank="1" showInputMessage="1" showErrorMessage="1" sqref="A7054">
      <formula1>0</formula1>
    </dataValidation>
    <dataValidation type="list" allowBlank="1" showInputMessage="1" showErrorMessage="1" sqref="C7054">
      <formula1>UnidadesList</formula1>
    </dataValidation>
    <dataValidation type="decimal" operator="greaterThan" allowBlank="1" showInputMessage="1" showErrorMessage="1" sqref="D7054">
      <formula1>0</formula1>
    </dataValidation>
    <dataValidation type="decimal" operator="greaterThan" allowBlank="1" showInputMessage="1" showErrorMessage="1" sqref="E7054">
      <formula1>0</formula1>
    </dataValidation>
    <dataValidation type="whole" operator="greaterThan" allowBlank="1" showInputMessage="1" showErrorMessage="1" sqref="A7055">
      <formula1>0</formula1>
    </dataValidation>
    <dataValidation type="list" allowBlank="1" showInputMessage="1" showErrorMessage="1" sqref="C7055">
      <formula1>UnidadesList</formula1>
    </dataValidation>
    <dataValidation type="decimal" operator="greaterThan" allowBlank="1" showInputMessage="1" showErrorMessage="1" sqref="D7055">
      <formula1>0</formula1>
    </dataValidation>
    <dataValidation type="decimal" operator="greaterThan" allowBlank="1" showInputMessage="1" showErrorMessage="1" sqref="E7055">
      <formula1>0</formula1>
    </dataValidation>
    <dataValidation type="whole" operator="greaterThan" allowBlank="1" showInputMessage="1" showErrorMessage="1" sqref="A7056">
      <formula1>0</formula1>
    </dataValidation>
    <dataValidation type="list" allowBlank="1" showInputMessage="1" showErrorMessage="1" sqref="C7056">
      <formula1>UnidadesList</formula1>
    </dataValidation>
    <dataValidation type="decimal" operator="greaterThan" allowBlank="1" showInputMessage="1" showErrorMessage="1" sqref="D7056">
      <formula1>0</formula1>
    </dataValidation>
    <dataValidation type="decimal" operator="greaterThan" allowBlank="1" showInputMessage="1" showErrorMessage="1" sqref="E7056">
      <formula1>0</formula1>
    </dataValidation>
    <dataValidation type="whole" operator="greaterThan" allowBlank="1" showInputMessage="1" showErrorMessage="1" sqref="A7057">
      <formula1>0</formula1>
    </dataValidation>
    <dataValidation type="list" allowBlank="1" showInputMessage="1" showErrorMessage="1" sqref="C7057">
      <formula1>UnidadesList</formula1>
    </dataValidation>
    <dataValidation type="decimal" operator="greaterThan" allowBlank="1" showInputMessage="1" showErrorMessage="1" sqref="D7057">
      <formula1>0</formula1>
    </dataValidation>
    <dataValidation type="decimal" operator="greaterThan" allowBlank="1" showInputMessage="1" showErrorMessage="1" sqref="E7057">
      <formula1>0</formula1>
    </dataValidation>
    <dataValidation type="whole" operator="greaterThan" allowBlank="1" showInputMessage="1" showErrorMessage="1" sqref="A7058">
      <formula1>0</formula1>
    </dataValidation>
    <dataValidation type="list" allowBlank="1" showInputMessage="1" showErrorMessage="1" sqref="C7058">
      <formula1>UnidadesList</formula1>
    </dataValidation>
    <dataValidation type="decimal" operator="greaterThan" allowBlank="1" showInputMessage="1" showErrorMessage="1" sqref="D7058">
      <formula1>0</formula1>
    </dataValidation>
    <dataValidation type="decimal" operator="greaterThan" allowBlank="1" showInputMessage="1" showErrorMessage="1" sqref="E7058">
      <formula1>0</formula1>
    </dataValidation>
    <dataValidation type="whole" operator="greaterThan" allowBlank="1" showInputMessage="1" showErrorMessage="1" sqref="A7059">
      <formula1>0</formula1>
    </dataValidation>
    <dataValidation type="list" allowBlank="1" showInputMessage="1" showErrorMessage="1" sqref="C7059">
      <formula1>UnidadesList</formula1>
    </dataValidation>
    <dataValidation type="decimal" operator="greaterThan" allowBlank="1" showInputMessage="1" showErrorMessage="1" sqref="D7059">
      <formula1>0</formula1>
    </dataValidation>
    <dataValidation type="decimal" operator="greaterThan" allowBlank="1" showInputMessage="1" showErrorMessage="1" sqref="E7059">
      <formula1>0</formula1>
    </dataValidation>
    <dataValidation type="whole" operator="greaterThan" allowBlank="1" showInputMessage="1" showErrorMessage="1" sqref="A7060">
      <formula1>0</formula1>
    </dataValidation>
    <dataValidation type="list" allowBlank="1" showInputMessage="1" showErrorMessage="1" sqref="C7060">
      <formula1>UnidadesList</formula1>
    </dataValidation>
    <dataValidation type="decimal" operator="greaterThan" allowBlank="1" showInputMessage="1" showErrorMessage="1" sqref="D7060">
      <formula1>0</formula1>
    </dataValidation>
    <dataValidation type="decimal" operator="greaterThan" allowBlank="1" showInputMessage="1" showErrorMessage="1" sqref="E7060">
      <formula1>0</formula1>
    </dataValidation>
    <dataValidation type="whole" operator="greaterThan" allowBlank="1" showInputMessage="1" showErrorMessage="1" sqref="A7061">
      <formula1>0</formula1>
    </dataValidation>
    <dataValidation type="list" allowBlank="1" showInputMessage="1" showErrorMessage="1" sqref="C7061">
      <formula1>UnidadesList</formula1>
    </dataValidation>
    <dataValidation type="decimal" operator="greaterThan" allowBlank="1" showInputMessage="1" showErrorMessage="1" sqref="D7061">
      <formula1>0</formula1>
    </dataValidation>
    <dataValidation type="decimal" operator="greaterThan" allowBlank="1" showInputMessage="1" showErrorMessage="1" sqref="E7061">
      <formula1>0</formula1>
    </dataValidation>
    <dataValidation type="whole" operator="greaterThan" allowBlank="1" showInputMessage="1" showErrorMessage="1" sqref="A7062">
      <formula1>0</formula1>
    </dataValidation>
    <dataValidation type="list" allowBlank="1" showInputMessage="1" showErrorMessage="1" sqref="C7062">
      <formula1>UnidadesList</formula1>
    </dataValidation>
    <dataValidation type="decimal" operator="greaterThan" allowBlank="1" showInputMessage="1" showErrorMessage="1" sqref="D7062">
      <formula1>0</formula1>
    </dataValidation>
    <dataValidation type="decimal" operator="greaterThan" allowBlank="1" showInputMessage="1" showErrorMessage="1" sqref="E7062">
      <formula1>0</formula1>
    </dataValidation>
    <dataValidation type="whole" operator="greaterThan" allowBlank="1" showInputMessage="1" showErrorMessage="1" sqref="A7063">
      <formula1>0</formula1>
    </dataValidation>
    <dataValidation type="list" allowBlank="1" showInputMessage="1" showErrorMessage="1" sqref="C7063">
      <formula1>UnidadesList</formula1>
    </dataValidation>
    <dataValidation type="decimal" operator="greaterThan" allowBlank="1" showInputMessage="1" showErrorMessage="1" sqref="D7063">
      <formula1>0</formula1>
    </dataValidation>
    <dataValidation type="decimal" operator="greaterThan" allowBlank="1" showInputMessage="1" showErrorMessage="1" sqref="E7063">
      <formula1>0</formula1>
    </dataValidation>
    <dataValidation type="whole" operator="greaterThan" allowBlank="1" showInputMessage="1" showErrorMessage="1" sqref="A7064">
      <formula1>0</formula1>
    </dataValidation>
    <dataValidation type="list" allowBlank="1" showInputMessage="1" showErrorMessage="1" sqref="C7064">
      <formula1>UnidadesList</formula1>
    </dataValidation>
    <dataValidation type="decimal" operator="greaterThan" allowBlank="1" showInputMessage="1" showErrorMessage="1" sqref="D7064">
      <formula1>0</formula1>
    </dataValidation>
    <dataValidation type="decimal" operator="greaterThan" allowBlank="1" showInputMessage="1" showErrorMessage="1" sqref="E7064">
      <formula1>0</formula1>
    </dataValidation>
    <dataValidation type="whole" operator="greaterThan" allowBlank="1" showInputMessage="1" showErrorMessage="1" sqref="A7065">
      <formula1>0</formula1>
    </dataValidation>
    <dataValidation type="list" allowBlank="1" showInputMessage="1" showErrorMessage="1" sqref="C7065">
      <formula1>UnidadesList</formula1>
    </dataValidation>
    <dataValidation type="decimal" operator="greaterThan" allowBlank="1" showInputMessage="1" showErrorMessage="1" sqref="D7065">
      <formula1>0</formula1>
    </dataValidation>
    <dataValidation type="decimal" operator="greaterThan" allowBlank="1" showInputMessage="1" showErrorMessage="1" sqref="E7065">
      <formula1>0</formula1>
    </dataValidation>
    <dataValidation type="whole" operator="greaterThan" allowBlank="1" showInputMessage="1" showErrorMessage="1" sqref="A7066">
      <formula1>0</formula1>
    </dataValidation>
    <dataValidation type="list" allowBlank="1" showInputMessage="1" showErrorMessage="1" sqref="C7066">
      <formula1>UnidadesList</formula1>
    </dataValidation>
    <dataValidation type="decimal" operator="greaterThan" allowBlank="1" showInputMessage="1" showErrorMessage="1" sqref="D7066">
      <formula1>0</formula1>
    </dataValidation>
    <dataValidation type="decimal" operator="greaterThan" allowBlank="1" showInputMessage="1" showErrorMessage="1" sqref="E7066">
      <formula1>0</formula1>
    </dataValidation>
    <dataValidation type="whole" operator="greaterThan" allowBlank="1" showInputMessage="1" showErrorMessage="1" sqref="A7067">
      <formula1>0</formula1>
    </dataValidation>
    <dataValidation type="list" allowBlank="1" showInputMessage="1" showErrorMessage="1" sqref="C7067">
      <formula1>UnidadesList</formula1>
    </dataValidation>
    <dataValidation type="decimal" operator="greaterThan" allowBlank="1" showInputMessage="1" showErrorMessage="1" sqref="D7067">
      <formula1>0</formula1>
    </dataValidation>
    <dataValidation type="decimal" operator="greaterThan" allowBlank="1" showInputMessage="1" showErrorMessage="1" sqref="E7067">
      <formula1>0</formula1>
    </dataValidation>
    <dataValidation type="whole" operator="greaterThan" allowBlank="1" showInputMessage="1" showErrorMessage="1" sqref="A7068">
      <formula1>0</formula1>
    </dataValidation>
    <dataValidation type="list" allowBlank="1" showInputMessage="1" showErrorMessage="1" sqref="C7068">
      <formula1>UnidadesList</formula1>
    </dataValidation>
    <dataValidation type="decimal" operator="greaterThan" allowBlank="1" showInputMessage="1" showErrorMessage="1" sqref="D7068">
      <formula1>0</formula1>
    </dataValidation>
    <dataValidation type="decimal" operator="greaterThan" allowBlank="1" showInputMessage="1" showErrorMessage="1" sqref="E7068">
      <formula1>0</formula1>
    </dataValidation>
    <dataValidation type="whole" operator="greaterThan" allowBlank="1" showInputMessage="1" showErrorMessage="1" sqref="A7069">
      <formula1>0</formula1>
    </dataValidation>
    <dataValidation type="list" allowBlank="1" showInputMessage="1" showErrorMessage="1" sqref="C7069">
      <formula1>UnidadesList</formula1>
    </dataValidation>
    <dataValidation type="decimal" operator="greaterThan" allowBlank="1" showInputMessage="1" showErrorMessage="1" sqref="D7069">
      <formula1>0</formula1>
    </dataValidation>
    <dataValidation type="decimal" operator="greaterThan" allowBlank="1" showInputMessage="1" showErrorMessage="1" sqref="E7069">
      <formula1>0</formula1>
    </dataValidation>
    <dataValidation type="whole" operator="greaterThan" allowBlank="1" showInputMessage="1" showErrorMessage="1" sqref="A7070">
      <formula1>0</formula1>
    </dataValidation>
    <dataValidation type="list" allowBlank="1" showInputMessage="1" showErrorMessage="1" sqref="C7070">
      <formula1>UnidadesList</formula1>
    </dataValidation>
    <dataValidation type="decimal" operator="greaterThan" allowBlank="1" showInputMessage="1" showErrorMessage="1" sqref="D7070">
      <formula1>0</formula1>
    </dataValidation>
    <dataValidation type="decimal" operator="greaterThan" allowBlank="1" showInputMessage="1" showErrorMessage="1" sqref="E7070">
      <formula1>0</formula1>
    </dataValidation>
    <dataValidation type="whole" operator="greaterThan" allowBlank="1" showInputMessage="1" showErrorMessage="1" sqref="A7071">
      <formula1>0</formula1>
    </dataValidation>
    <dataValidation type="list" allowBlank="1" showInputMessage="1" showErrorMessage="1" sqref="C7071">
      <formula1>UnidadesList</formula1>
    </dataValidation>
    <dataValidation type="decimal" operator="greaterThan" allowBlank="1" showInputMessage="1" showErrorMessage="1" sqref="D7071">
      <formula1>0</formula1>
    </dataValidation>
    <dataValidation type="decimal" operator="greaterThan" allowBlank="1" showInputMessage="1" showErrorMessage="1" sqref="E7071">
      <formula1>0</formula1>
    </dataValidation>
    <dataValidation type="whole" operator="greaterThan" allowBlank="1" showInputMessage="1" showErrorMessage="1" sqref="A7072">
      <formula1>0</formula1>
    </dataValidation>
    <dataValidation type="list" allowBlank="1" showInputMessage="1" showErrorMessage="1" sqref="C7072">
      <formula1>UnidadesList</formula1>
    </dataValidation>
    <dataValidation type="decimal" operator="greaterThan" allowBlank="1" showInputMessage="1" showErrorMessage="1" sqref="D7072">
      <formula1>0</formula1>
    </dataValidation>
    <dataValidation type="decimal" operator="greaterThan" allowBlank="1" showInputMessage="1" showErrorMessage="1" sqref="E7072">
      <formula1>0</formula1>
    </dataValidation>
    <dataValidation type="date" operator="lessThanOrEqual" allowBlank="1" showInputMessage="1" showErrorMessage="1" sqref="C7077">
      <formula1>C7079</formula1>
    </dataValidation>
    <dataValidation type="date" operator="greaterThanOrEqual" allowBlank="1" showInputMessage="1" showErrorMessage="1" sqref="C7079">
      <formula1>C7077</formula1>
    </dataValidation>
    <dataValidation type="list" allowBlank="1" showInputMessage="1" showErrorMessage="1" sqref="F70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0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0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0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083">
      <formula1>0</formula1>
    </dataValidation>
    <dataValidation type="list" allowBlank="1" showInputMessage="1" showErrorMessage="1" sqref="C7083">
      <formula1>UnidadesList</formula1>
    </dataValidation>
    <dataValidation type="decimal" operator="greaterThan" allowBlank="1" showInputMessage="1" showErrorMessage="1" sqref="D7083">
      <formula1>0</formula1>
    </dataValidation>
    <dataValidation type="decimal" operator="greaterThan" allowBlank="1" showInputMessage="1" showErrorMessage="1" sqref="E7083">
      <formula1>0</formula1>
    </dataValidation>
    <dataValidation type="whole" operator="greaterThan" allowBlank="1" showInputMessage="1" showErrorMessage="1" sqref="A7084">
      <formula1>0</formula1>
    </dataValidation>
    <dataValidation type="list" allowBlank="1" showInputMessage="1" showErrorMessage="1" sqref="C7084">
      <formula1>UnidadesList</formula1>
    </dataValidation>
    <dataValidation type="decimal" operator="greaterThan" allowBlank="1" showInputMessage="1" showErrorMessage="1" sqref="D7084">
      <formula1>0</formula1>
    </dataValidation>
    <dataValidation type="decimal" operator="greaterThan" allowBlank="1" showInputMessage="1" showErrorMessage="1" sqref="E7084">
      <formula1>0</formula1>
    </dataValidation>
    <dataValidation type="whole" operator="greaterThan" allowBlank="1" showInputMessage="1" showErrorMessage="1" sqref="A7085">
      <formula1>0</formula1>
    </dataValidation>
    <dataValidation type="list" allowBlank="1" showInputMessage="1" showErrorMessage="1" sqref="C7085">
      <formula1>UnidadesList</formula1>
    </dataValidation>
    <dataValidation type="decimal" operator="greaterThan" allowBlank="1" showInputMessage="1" showErrorMessage="1" sqref="D7085">
      <formula1>0</formula1>
    </dataValidation>
    <dataValidation type="decimal" operator="greaterThan" allowBlank="1" showInputMessage="1" showErrorMessage="1" sqref="E7085">
      <formula1>0</formula1>
    </dataValidation>
    <dataValidation type="whole" operator="greaterThan" allowBlank="1" showInputMessage="1" showErrorMessage="1" sqref="A7086">
      <formula1>0</formula1>
    </dataValidation>
    <dataValidation type="list" allowBlank="1" showInputMessage="1" showErrorMessage="1" sqref="C7086">
      <formula1>UnidadesList</formula1>
    </dataValidation>
    <dataValidation type="decimal" operator="greaterThan" allowBlank="1" showInputMessage="1" showErrorMessage="1" sqref="D7086">
      <formula1>0</formula1>
    </dataValidation>
    <dataValidation type="decimal" operator="greaterThan" allowBlank="1" showInputMessage="1" showErrorMessage="1" sqref="E7086">
      <formula1>0</formula1>
    </dataValidation>
    <dataValidation type="whole" operator="greaterThan" allowBlank="1" showInputMessage="1" showErrorMessage="1" sqref="A7087">
      <formula1>0</formula1>
    </dataValidation>
    <dataValidation type="list" allowBlank="1" showInputMessage="1" showErrorMessage="1" sqref="C7087">
      <formula1>UnidadesList</formula1>
    </dataValidation>
    <dataValidation type="decimal" operator="greaterThan" allowBlank="1" showInputMessage="1" showErrorMessage="1" sqref="D7087">
      <formula1>0</formula1>
    </dataValidation>
    <dataValidation type="decimal" operator="greaterThan" allowBlank="1" showInputMessage="1" showErrorMessage="1" sqref="E7087">
      <formula1>0</formula1>
    </dataValidation>
    <dataValidation type="whole" operator="greaterThan" allowBlank="1" showInputMessage="1" showErrorMessage="1" sqref="A7088">
      <formula1>0</formula1>
    </dataValidation>
    <dataValidation type="list" allowBlank="1" showInputMessage="1" showErrorMessage="1" sqref="C7088">
      <formula1>UnidadesList</formula1>
    </dataValidation>
    <dataValidation type="decimal" operator="greaterThan" allowBlank="1" showInputMessage="1" showErrorMessage="1" sqref="D7088">
      <formula1>0</formula1>
    </dataValidation>
    <dataValidation type="decimal" operator="greaterThan" allowBlank="1" showInputMessage="1" showErrorMessage="1" sqref="E7088">
      <formula1>0</formula1>
    </dataValidation>
    <dataValidation type="whole" operator="greaterThan" allowBlank="1" showInputMessage="1" showErrorMessage="1" sqref="A7089">
      <formula1>0</formula1>
    </dataValidation>
    <dataValidation type="list" allowBlank="1" showInputMessage="1" showErrorMessage="1" sqref="C7089">
      <formula1>UnidadesList</formula1>
    </dataValidation>
    <dataValidation type="decimal" operator="greaterThan" allowBlank="1" showInputMessage="1" showErrorMessage="1" sqref="D7089">
      <formula1>0</formula1>
    </dataValidation>
    <dataValidation type="decimal" operator="greaterThan" allowBlank="1" showInputMessage="1" showErrorMessage="1" sqref="E7089">
      <formula1>0</formula1>
    </dataValidation>
    <dataValidation type="whole" operator="greaterThan" allowBlank="1" showInputMessage="1" showErrorMessage="1" sqref="A7090">
      <formula1>0</formula1>
    </dataValidation>
    <dataValidation type="list" allowBlank="1" showInputMessage="1" showErrorMessage="1" sqref="C7090">
      <formula1>UnidadesList</formula1>
    </dataValidation>
    <dataValidation type="decimal" operator="greaterThan" allowBlank="1" showInputMessage="1" showErrorMessage="1" sqref="D7090">
      <formula1>0</formula1>
    </dataValidation>
    <dataValidation type="decimal" operator="greaterThan" allowBlank="1" showInputMessage="1" showErrorMessage="1" sqref="E7090">
      <formula1>0</formula1>
    </dataValidation>
    <dataValidation type="whole" operator="greaterThan" allowBlank="1" showInputMessage="1" showErrorMessage="1" sqref="A7091">
      <formula1>0</formula1>
    </dataValidation>
    <dataValidation type="list" allowBlank="1" showInputMessage="1" showErrorMessage="1" sqref="C7091">
      <formula1>UnidadesList</formula1>
    </dataValidation>
    <dataValidation type="decimal" operator="greaterThan" allowBlank="1" showInputMessage="1" showErrorMessage="1" sqref="D7091">
      <formula1>0</formula1>
    </dataValidation>
    <dataValidation type="decimal" operator="greaterThan" allowBlank="1" showInputMessage="1" showErrorMessage="1" sqref="E7091">
      <formula1>0</formula1>
    </dataValidation>
    <dataValidation type="whole" operator="greaterThan" allowBlank="1" showInputMessage="1" showErrorMessage="1" sqref="A7092">
      <formula1>0</formula1>
    </dataValidation>
    <dataValidation type="list" allowBlank="1" showInputMessage="1" showErrorMessage="1" sqref="C7092">
      <formula1>UnidadesList</formula1>
    </dataValidation>
    <dataValidation type="decimal" operator="greaterThan" allowBlank="1" showInputMessage="1" showErrorMessage="1" sqref="D7092">
      <formula1>0</formula1>
    </dataValidation>
    <dataValidation type="decimal" operator="greaterThan" allowBlank="1" showInputMessage="1" showErrorMessage="1" sqref="E7092">
      <formula1>0</formula1>
    </dataValidation>
    <dataValidation type="whole" operator="greaterThan" allowBlank="1" showInputMessage="1" showErrorMessage="1" sqref="A7093">
      <formula1>0</formula1>
    </dataValidation>
    <dataValidation type="list" allowBlank="1" showInputMessage="1" showErrorMessage="1" sqref="C7093">
      <formula1>UnidadesList</formula1>
    </dataValidation>
    <dataValidation type="decimal" operator="greaterThan" allowBlank="1" showInputMessage="1" showErrorMessage="1" sqref="D7093">
      <formula1>0</formula1>
    </dataValidation>
    <dataValidation type="decimal" operator="greaterThan" allowBlank="1" showInputMessage="1" showErrorMessage="1" sqref="E7093">
      <formula1>0</formula1>
    </dataValidation>
    <dataValidation type="whole" operator="greaterThan" allowBlank="1" showInputMessage="1" showErrorMessage="1" sqref="A7094">
      <formula1>0</formula1>
    </dataValidation>
    <dataValidation type="list" allowBlank="1" showInputMessage="1" showErrorMessage="1" sqref="C7094">
      <formula1>UnidadesList</formula1>
    </dataValidation>
    <dataValidation type="decimal" operator="greaterThan" allowBlank="1" showInputMessage="1" showErrorMessage="1" sqref="D7094">
      <formula1>0</formula1>
    </dataValidation>
    <dataValidation type="decimal" operator="greaterThan" allowBlank="1" showInputMessage="1" showErrorMessage="1" sqref="E7094">
      <formula1>0</formula1>
    </dataValidation>
    <dataValidation type="whole" operator="greaterThan" allowBlank="1" showInputMessage="1" showErrorMessage="1" sqref="A7095">
      <formula1>0</formula1>
    </dataValidation>
    <dataValidation type="list" allowBlank="1" showInputMessage="1" showErrorMessage="1" sqref="C7095">
      <formula1>UnidadesList</formula1>
    </dataValidation>
    <dataValidation type="decimal" operator="greaterThan" allowBlank="1" showInputMessage="1" showErrorMessage="1" sqref="D7095">
      <formula1>0</formula1>
    </dataValidation>
    <dataValidation type="decimal" operator="greaterThan" allowBlank="1" showInputMessage="1" showErrorMessage="1" sqref="E7095">
      <formula1>0</formula1>
    </dataValidation>
    <dataValidation type="whole" operator="greaterThan" allowBlank="1" showInputMessage="1" showErrorMessage="1" sqref="A7096">
      <formula1>0</formula1>
    </dataValidation>
    <dataValidation type="list" allowBlank="1" showInputMessage="1" showErrorMessage="1" sqref="C7096">
      <formula1>UnidadesList</formula1>
    </dataValidation>
    <dataValidation type="decimal" operator="greaterThan" allowBlank="1" showInputMessage="1" showErrorMessage="1" sqref="D7096">
      <formula1>0</formula1>
    </dataValidation>
    <dataValidation type="decimal" operator="greaterThan" allowBlank="1" showInputMessage="1" showErrorMessage="1" sqref="E7096">
      <formula1>0</formula1>
    </dataValidation>
    <dataValidation type="whole" operator="greaterThan" allowBlank="1" showInputMessage="1" showErrorMessage="1" sqref="A7097">
      <formula1>0</formula1>
    </dataValidation>
    <dataValidation type="list" allowBlank="1" showInputMessage="1" showErrorMessage="1" sqref="C7097">
      <formula1>UnidadesList</formula1>
    </dataValidation>
    <dataValidation type="decimal" operator="greaterThan" allowBlank="1" showInputMessage="1" showErrorMessage="1" sqref="D7097">
      <formula1>0</formula1>
    </dataValidation>
    <dataValidation type="decimal" operator="greaterThan" allowBlank="1" showInputMessage="1" showErrorMessage="1" sqref="E7097">
      <formula1>0</formula1>
    </dataValidation>
    <dataValidation type="whole" operator="greaterThan" allowBlank="1" showInputMessage="1" showErrorMessage="1" sqref="A7098">
      <formula1>0</formula1>
    </dataValidation>
    <dataValidation type="list" allowBlank="1" showInputMessage="1" showErrorMessage="1" sqref="C7098">
      <formula1>UnidadesList</formula1>
    </dataValidation>
    <dataValidation type="decimal" operator="greaterThan" allowBlank="1" showInputMessage="1" showErrorMessage="1" sqref="D7098">
      <formula1>0</formula1>
    </dataValidation>
    <dataValidation type="decimal" operator="greaterThan" allowBlank="1" showInputMessage="1" showErrorMessage="1" sqref="E7098">
      <formula1>0</formula1>
    </dataValidation>
    <dataValidation type="whole" operator="greaterThan" allowBlank="1" showInputMessage="1" showErrorMessage="1" sqref="A7099">
      <formula1>0</formula1>
    </dataValidation>
    <dataValidation type="list" allowBlank="1" showInputMessage="1" showErrorMessage="1" sqref="C7099">
      <formula1>UnidadesList</formula1>
    </dataValidation>
    <dataValidation type="decimal" operator="greaterThan" allowBlank="1" showInputMessage="1" showErrorMessage="1" sqref="D7099">
      <formula1>0</formula1>
    </dataValidation>
    <dataValidation type="decimal" operator="greaterThan" allowBlank="1" showInputMessage="1" showErrorMessage="1" sqref="E7099">
      <formula1>0</formula1>
    </dataValidation>
    <dataValidation type="whole" operator="greaterThan" allowBlank="1" showInputMessage="1" showErrorMessage="1" sqref="A7100">
      <formula1>0</formula1>
    </dataValidation>
    <dataValidation type="list" allowBlank="1" showInputMessage="1" showErrorMessage="1" sqref="C7100">
      <formula1>UnidadesList</formula1>
    </dataValidation>
    <dataValidation type="decimal" operator="greaterThan" allowBlank="1" showInputMessage="1" showErrorMessage="1" sqref="D7100">
      <formula1>0</formula1>
    </dataValidation>
    <dataValidation type="decimal" operator="greaterThan" allowBlank="1" showInputMessage="1" showErrorMessage="1" sqref="E7100">
      <formula1>0</formula1>
    </dataValidation>
    <dataValidation type="whole" operator="greaterThan" allowBlank="1" showInputMessage="1" showErrorMessage="1" sqref="A7101">
      <formula1>0</formula1>
    </dataValidation>
    <dataValidation type="list" allowBlank="1" showInputMessage="1" showErrorMessage="1" sqref="C7101">
      <formula1>UnidadesList</formula1>
    </dataValidation>
    <dataValidation type="decimal" operator="greaterThan" allowBlank="1" showInputMessage="1" showErrorMessage="1" sqref="D7101">
      <formula1>0</formula1>
    </dataValidation>
    <dataValidation type="decimal" operator="greaterThan" allowBlank="1" showInputMessage="1" showErrorMessage="1" sqref="E7101">
      <formula1>0</formula1>
    </dataValidation>
    <dataValidation type="whole" operator="greaterThan" allowBlank="1" showInputMessage="1" showErrorMessage="1" sqref="A7102">
      <formula1>0</formula1>
    </dataValidation>
    <dataValidation type="list" allowBlank="1" showInputMessage="1" showErrorMessage="1" sqref="C7102">
      <formula1>UnidadesList</formula1>
    </dataValidation>
    <dataValidation type="decimal" operator="greaterThan" allowBlank="1" showInputMessage="1" showErrorMessage="1" sqref="D7102">
      <formula1>0</formula1>
    </dataValidation>
    <dataValidation type="decimal" operator="greaterThan" allowBlank="1" showInputMessage="1" showErrorMessage="1" sqref="E7102">
      <formula1>0</formula1>
    </dataValidation>
    <dataValidation type="whole" operator="greaterThan" allowBlank="1" showInputMessage="1" showErrorMessage="1" sqref="A7103">
      <formula1>0</formula1>
    </dataValidation>
    <dataValidation type="list" allowBlank="1" showInputMessage="1" showErrorMessage="1" sqref="C7103">
      <formula1>UnidadesList</formula1>
    </dataValidation>
    <dataValidation type="decimal" operator="greaterThan" allowBlank="1" showInputMessage="1" showErrorMessage="1" sqref="D7103">
      <formula1>0</formula1>
    </dataValidation>
    <dataValidation type="decimal" operator="greaterThan" allowBlank="1" showInputMessage="1" showErrorMessage="1" sqref="E7103">
      <formula1>0</formula1>
    </dataValidation>
    <dataValidation type="whole" operator="greaterThan" allowBlank="1" showInputMessage="1" showErrorMessage="1" sqref="A7104">
      <formula1>0</formula1>
    </dataValidation>
    <dataValidation type="list" allowBlank="1" showInputMessage="1" showErrorMessage="1" sqref="C7104">
      <formula1>UnidadesList</formula1>
    </dataValidation>
    <dataValidation type="decimal" operator="greaterThan" allowBlank="1" showInputMessage="1" showErrorMessage="1" sqref="D7104">
      <formula1>0</formula1>
    </dataValidation>
    <dataValidation type="decimal" operator="greaterThan" allowBlank="1" showInputMessage="1" showErrorMessage="1" sqref="E7104">
      <formula1>0</formula1>
    </dataValidation>
    <dataValidation type="whole" operator="greaterThan" allowBlank="1" showInputMessage="1" showErrorMessage="1" sqref="A7105">
      <formula1>0</formula1>
    </dataValidation>
    <dataValidation type="list" allowBlank="1" showInputMessage="1" showErrorMessage="1" sqref="C7105">
      <formula1>UnidadesList</formula1>
    </dataValidation>
    <dataValidation type="decimal" operator="greaterThan" allowBlank="1" showInputMessage="1" showErrorMessage="1" sqref="D7105">
      <formula1>0</formula1>
    </dataValidation>
    <dataValidation type="decimal" operator="greaterThan" allowBlank="1" showInputMessage="1" showErrorMessage="1" sqref="E7105">
      <formula1>0</formula1>
    </dataValidation>
    <dataValidation type="whole" operator="greaterThan" allowBlank="1" showInputMessage="1" showErrorMessage="1" sqref="A7106">
      <formula1>0</formula1>
    </dataValidation>
    <dataValidation type="list" allowBlank="1" showInputMessage="1" showErrorMessage="1" sqref="C7106">
      <formula1>UnidadesList</formula1>
    </dataValidation>
    <dataValidation type="decimal" operator="greaterThan" allowBlank="1" showInputMessage="1" showErrorMessage="1" sqref="D7106">
      <formula1>0</formula1>
    </dataValidation>
    <dataValidation type="decimal" operator="greaterThan" allowBlank="1" showInputMessage="1" showErrorMessage="1" sqref="E7106">
      <formula1>0</formula1>
    </dataValidation>
    <dataValidation type="whole" operator="greaterThan" allowBlank="1" showInputMessage="1" showErrorMessage="1" sqref="A7107">
      <formula1>0</formula1>
    </dataValidation>
    <dataValidation type="list" allowBlank="1" showInputMessage="1" showErrorMessage="1" sqref="C7107">
      <formula1>UnidadesList</formula1>
    </dataValidation>
    <dataValidation type="decimal" operator="greaterThan" allowBlank="1" showInputMessage="1" showErrorMessage="1" sqref="D7107">
      <formula1>0</formula1>
    </dataValidation>
    <dataValidation type="decimal" operator="greaterThan" allowBlank="1" showInputMessage="1" showErrorMessage="1" sqref="E7107">
      <formula1>0</formula1>
    </dataValidation>
    <dataValidation type="whole" operator="greaterThan" allowBlank="1" showInputMessage="1" showErrorMessage="1" sqref="A7108">
      <formula1>0</formula1>
    </dataValidation>
    <dataValidation type="list" allowBlank="1" showInputMessage="1" showErrorMessage="1" sqref="C7108">
      <formula1>UnidadesList</formula1>
    </dataValidation>
    <dataValidation type="decimal" operator="greaterThan" allowBlank="1" showInputMessage="1" showErrorMessage="1" sqref="D7108">
      <formula1>0</formula1>
    </dataValidation>
    <dataValidation type="decimal" operator="greaterThan" allowBlank="1" showInputMessage="1" showErrorMessage="1" sqref="E7108">
      <formula1>0</formula1>
    </dataValidation>
    <dataValidation type="whole" operator="greaterThan" allowBlank="1" showInputMessage="1" showErrorMessage="1" sqref="A7109">
      <formula1>0</formula1>
    </dataValidation>
    <dataValidation type="list" allowBlank="1" showInputMessage="1" showErrorMessage="1" sqref="C7109">
      <formula1>UnidadesList</formula1>
    </dataValidation>
    <dataValidation type="decimal" operator="greaterThan" allowBlank="1" showInputMessage="1" showErrorMessage="1" sqref="D7109">
      <formula1>0</formula1>
    </dataValidation>
    <dataValidation type="decimal" operator="greaterThan" allowBlank="1" showInputMessage="1" showErrorMessage="1" sqref="E7109">
      <formula1>0</formula1>
    </dataValidation>
    <dataValidation type="date" operator="lessThanOrEqual" allowBlank="1" showInputMessage="1" showErrorMessage="1" sqref="C7114">
      <formula1>C7116</formula1>
    </dataValidation>
    <dataValidation type="date" operator="greaterThanOrEqual" allowBlank="1" showInputMessage="1" showErrorMessage="1" sqref="C7116">
      <formula1>C7114</formula1>
    </dataValidation>
    <dataValidation type="list" allowBlank="1" showInputMessage="1" showErrorMessage="1" sqref="F711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11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11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11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120">
      <formula1>0</formula1>
    </dataValidation>
    <dataValidation type="list" allowBlank="1" showInputMessage="1" showErrorMessage="1" sqref="C7120">
      <formula1>UnidadesList</formula1>
    </dataValidation>
    <dataValidation type="decimal" operator="greaterThan" allowBlank="1" showInputMessage="1" showErrorMessage="1" sqref="D7120">
      <formula1>0</formula1>
    </dataValidation>
    <dataValidation type="decimal" operator="greaterThan" allowBlank="1" showInputMessage="1" showErrorMessage="1" sqref="E7120">
      <formula1>0</formula1>
    </dataValidation>
    <dataValidation type="whole" operator="greaterThan" allowBlank="1" showInputMessage="1" showErrorMessage="1" sqref="A7121">
      <formula1>0</formula1>
    </dataValidation>
    <dataValidation type="list" allowBlank="1" showInputMessage="1" showErrorMessage="1" sqref="C7121">
      <formula1>UnidadesList</formula1>
    </dataValidation>
    <dataValidation type="decimal" operator="greaterThan" allowBlank="1" showInputMessage="1" showErrorMessage="1" sqref="D7121">
      <formula1>0</formula1>
    </dataValidation>
    <dataValidation type="decimal" operator="greaterThan" allowBlank="1" showInputMessage="1" showErrorMessage="1" sqref="E7121">
      <formula1>0</formula1>
    </dataValidation>
    <dataValidation type="whole" operator="greaterThan" allowBlank="1" showInputMessage="1" showErrorMessage="1" sqref="A7122">
      <formula1>0</formula1>
    </dataValidation>
    <dataValidation type="list" allowBlank="1" showInputMessage="1" showErrorMessage="1" sqref="C7122">
      <formula1>UnidadesList</formula1>
    </dataValidation>
    <dataValidation type="decimal" operator="greaterThan" allowBlank="1" showInputMessage="1" showErrorMessage="1" sqref="D7122">
      <formula1>0</formula1>
    </dataValidation>
    <dataValidation type="decimal" operator="greaterThan" allowBlank="1" showInputMessage="1" showErrorMessage="1" sqref="E7122">
      <formula1>0</formula1>
    </dataValidation>
    <dataValidation type="whole" operator="greaterThan" allowBlank="1" showInputMessage="1" showErrorMessage="1" sqref="A7123">
      <formula1>0</formula1>
    </dataValidation>
    <dataValidation type="list" allowBlank="1" showInputMessage="1" showErrorMessage="1" sqref="C7123">
      <formula1>UnidadesList</formula1>
    </dataValidation>
    <dataValidation type="decimal" operator="greaterThan" allowBlank="1" showInputMessage="1" showErrorMessage="1" sqref="D7123">
      <formula1>0</formula1>
    </dataValidation>
    <dataValidation type="decimal" operator="greaterThan" allowBlank="1" showInputMessage="1" showErrorMessage="1" sqref="E7123">
      <formula1>0</formula1>
    </dataValidation>
    <dataValidation type="whole" operator="greaterThan" allowBlank="1" showInputMessage="1" showErrorMessage="1" sqref="A7124">
      <formula1>0</formula1>
    </dataValidation>
    <dataValidation type="list" allowBlank="1" showInputMessage="1" showErrorMessage="1" sqref="C7124">
      <formula1>UnidadesList</formula1>
    </dataValidation>
    <dataValidation type="decimal" operator="greaterThan" allowBlank="1" showInputMessage="1" showErrorMessage="1" sqref="D7124">
      <formula1>0</formula1>
    </dataValidation>
    <dataValidation type="decimal" operator="greaterThan" allowBlank="1" showInputMessage="1" showErrorMessage="1" sqref="E7124">
      <formula1>0</formula1>
    </dataValidation>
    <dataValidation type="whole" operator="greaterThan" allowBlank="1" showInputMessage="1" showErrorMessage="1" sqref="A7125">
      <formula1>0</formula1>
    </dataValidation>
    <dataValidation type="list" allowBlank="1" showInputMessage="1" showErrorMessage="1" sqref="C7125">
      <formula1>UnidadesList</formula1>
    </dataValidation>
    <dataValidation type="decimal" operator="greaterThan" allowBlank="1" showInputMessage="1" showErrorMessage="1" sqref="D7125">
      <formula1>0</formula1>
    </dataValidation>
    <dataValidation type="decimal" operator="greaterThan" allowBlank="1" showInputMessage="1" showErrorMessage="1" sqref="E7125">
      <formula1>0</formula1>
    </dataValidation>
    <dataValidation type="whole" operator="greaterThan" allowBlank="1" showInputMessage="1" showErrorMessage="1" sqref="A7126">
      <formula1>0</formula1>
    </dataValidation>
    <dataValidation type="list" allowBlank="1" showInputMessage="1" showErrorMessage="1" sqref="C7126">
      <formula1>UnidadesList</formula1>
    </dataValidation>
    <dataValidation type="decimal" operator="greaterThan" allowBlank="1" showInputMessage="1" showErrorMessage="1" sqref="D7126">
      <formula1>0</formula1>
    </dataValidation>
    <dataValidation type="decimal" operator="greaterThan" allowBlank="1" showInputMessage="1" showErrorMessage="1" sqref="E7126">
      <formula1>0</formula1>
    </dataValidation>
    <dataValidation type="whole" operator="greaterThan" allowBlank="1" showInputMessage="1" showErrorMessage="1" sqref="A7127">
      <formula1>0</formula1>
    </dataValidation>
    <dataValidation type="list" allowBlank="1" showInputMessage="1" showErrorMessage="1" sqref="C7127">
      <formula1>UnidadesList</formula1>
    </dataValidation>
    <dataValidation type="decimal" operator="greaterThan" allowBlank="1" showInputMessage="1" showErrorMessage="1" sqref="D7127">
      <formula1>0</formula1>
    </dataValidation>
    <dataValidation type="decimal" operator="greaterThan" allowBlank="1" showInputMessage="1" showErrorMessage="1" sqref="E7127">
      <formula1>0</formula1>
    </dataValidation>
    <dataValidation type="whole" operator="greaterThan" allowBlank="1" showInputMessage="1" showErrorMessage="1" sqref="A7128">
      <formula1>0</formula1>
    </dataValidation>
    <dataValidation type="list" allowBlank="1" showInputMessage="1" showErrorMessage="1" sqref="C7128">
      <formula1>UnidadesList</formula1>
    </dataValidation>
    <dataValidation type="decimal" operator="greaterThan" allowBlank="1" showInputMessage="1" showErrorMessage="1" sqref="D7128">
      <formula1>0</formula1>
    </dataValidation>
    <dataValidation type="decimal" operator="greaterThan" allowBlank="1" showInputMessage="1" showErrorMessage="1" sqref="E7128">
      <formula1>0</formula1>
    </dataValidation>
    <dataValidation type="whole" operator="greaterThan" allowBlank="1" showInputMessage="1" showErrorMessage="1" sqref="A7129">
      <formula1>0</formula1>
    </dataValidation>
    <dataValidation type="list" allowBlank="1" showInputMessage="1" showErrorMessage="1" sqref="C7129">
      <formula1>UnidadesList</formula1>
    </dataValidation>
    <dataValidation type="decimal" operator="greaterThan" allowBlank="1" showInputMessage="1" showErrorMessage="1" sqref="D7129">
      <formula1>0</formula1>
    </dataValidation>
    <dataValidation type="decimal" operator="greaterThan" allowBlank="1" showInputMessage="1" showErrorMessage="1" sqref="E7129">
      <formula1>0</formula1>
    </dataValidation>
    <dataValidation type="whole" operator="greaterThan" allowBlank="1" showInputMessage="1" showErrorMessage="1" sqref="A7130">
      <formula1>0</formula1>
    </dataValidation>
    <dataValidation type="list" allowBlank="1" showInputMessage="1" showErrorMessage="1" sqref="C7130">
      <formula1>UnidadesList</formula1>
    </dataValidation>
    <dataValidation type="decimal" operator="greaterThan" allowBlank="1" showInputMessage="1" showErrorMessage="1" sqref="D7130">
      <formula1>0</formula1>
    </dataValidation>
    <dataValidation type="decimal" operator="greaterThan" allowBlank="1" showInputMessage="1" showErrorMessage="1" sqref="E7130">
      <formula1>0</formula1>
    </dataValidation>
    <dataValidation type="whole" operator="greaterThan" allowBlank="1" showInputMessage="1" showErrorMessage="1" sqref="A7131">
      <formula1>0</formula1>
    </dataValidation>
    <dataValidation type="list" allowBlank="1" showInputMessage="1" showErrorMessage="1" sqref="C7131">
      <formula1>UnidadesList</formula1>
    </dataValidation>
    <dataValidation type="decimal" operator="greaterThan" allowBlank="1" showInputMessage="1" showErrorMessage="1" sqref="D7131">
      <formula1>0</formula1>
    </dataValidation>
    <dataValidation type="decimal" operator="greaterThan" allowBlank="1" showInputMessage="1" showErrorMessage="1" sqref="E7131">
      <formula1>0</formula1>
    </dataValidation>
    <dataValidation type="whole" operator="greaterThan" allowBlank="1" showInputMessage="1" showErrorMessage="1" sqref="A7132">
      <formula1>0</formula1>
    </dataValidation>
    <dataValidation type="list" allowBlank="1" showInputMessage="1" showErrorMessage="1" sqref="C7132">
      <formula1>UnidadesList</formula1>
    </dataValidation>
    <dataValidation type="decimal" operator="greaterThan" allowBlank="1" showInputMessage="1" showErrorMessage="1" sqref="D7132">
      <formula1>0</formula1>
    </dataValidation>
    <dataValidation type="decimal" operator="greaterThan" allowBlank="1" showInputMessage="1" showErrorMessage="1" sqref="E7132">
      <formula1>0</formula1>
    </dataValidation>
    <dataValidation type="whole" operator="greaterThan" allowBlank="1" showInputMessage="1" showErrorMessage="1" sqref="A7133">
      <formula1>0</formula1>
    </dataValidation>
    <dataValidation type="list" allowBlank="1" showInputMessage="1" showErrorMessage="1" sqref="C7133">
      <formula1>UnidadesList</formula1>
    </dataValidation>
    <dataValidation type="decimal" operator="greaterThan" allowBlank="1" showInputMessage="1" showErrorMessage="1" sqref="D7133">
      <formula1>0</formula1>
    </dataValidation>
    <dataValidation type="decimal" operator="greaterThan" allowBlank="1" showInputMessage="1" showErrorMessage="1" sqref="E7133">
      <formula1>0</formula1>
    </dataValidation>
    <dataValidation type="whole" operator="greaterThan" allowBlank="1" showInputMessage="1" showErrorMessage="1" sqref="A7134">
      <formula1>0</formula1>
    </dataValidation>
    <dataValidation type="list" allowBlank="1" showInputMessage="1" showErrorMessage="1" sqref="C7134">
      <formula1>UnidadesList</formula1>
    </dataValidation>
    <dataValidation type="decimal" operator="greaterThan" allowBlank="1" showInputMessage="1" showErrorMessage="1" sqref="D7134">
      <formula1>0</formula1>
    </dataValidation>
    <dataValidation type="decimal" operator="greaterThan" allowBlank="1" showInputMessage="1" showErrorMessage="1" sqref="E7134">
      <formula1>0</formula1>
    </dataValidation>
    <dataValidation type="whole" operator="greaterThan" allowBlank="1" showInputMessage="1" showErrorMessage="1" sqref="A7135">
      <formula1>0</formula1>
    </dataValidation>
    <dataValidation type="list" allowBlank="1" showInputMessage="1" showErrorMessage="1" sqref="C7135">
      <formula1>UnidadesList</formula1>
    </dataValidation>
    <dataValidation type="decimal" operator="greaterThan" allowBlank="1" showInputMessage="1" showErrorMessage="1" sqref="D7135">
      <formula1>0</formula1>
    </dataValidation>
    <dataValidation type="decimal" operator="greaterThan" allowBlank="1" showInputMessage="1" showErrorMessage="1" sqref="E7135">
      <formula1>0</formula1>
    </dataValidation>
    <dataValidation type="whole" operator="greaterThan" allowBlank="1" showInputMessage="1" showErrorMessage="1" sqref="A7136">
      <formula1>0</formula1>
    </dataValidation>
    <dataValidation type="list" allowBlank="1" showInputMessage="1" showErrorMessage="1" sqref="C7136">
      <formula1>UnidadesList</formula1>
    </dataValidation>
    <dataValidation type="decimal" operator="greaterThan" allowBlank="1" showInputMessage="1" showErrorMessage="1" sqref="D7136">
      <formula1>0</formula1>
    </dataValidation>
    <dataValidation type="decimal" operator="greaterThan" allowBlank="1" showInputMessage="1" showErrorMessage="1" sqref="E7136">
      <formula1>0</formula1>
    </dataValidation>
    <dataValidation type="whole" operator="greaterThan" allowBlank="1" showInputMessage="1" showErrorMessage="1" sqref="A7137">
      <formula1>0</formula1>
    </dataValidation>
    <dataValidation type="list" allowBlank="1" showInputMessage="1" showErrorMessage="1" sqref="C7137">
      <formula1>UnidadesList</formula1>
    </dataValidation>
    <dataValidation type="decimal" operator="greaterThan" allowBlank="1" showInputMessage="1" showErrorMessage="1" sqref="D7137">
      <formula1>0</formula1>
    </dataValidation>
    <dataValidation type="decimal" operator="greaterThan" allowBlank="1" showInputMessage="1" showErrorMessage="1" sqref="E7137">
      <formula1>0</formula1>
    </dataValidation>
    <dataValidation type="whole" operator="greaterThan" allowBlank="1" showInputMessage="1" showErrorMessage="1" sqref="A7138">
      <formula1>0</formula1>
    </dataValidation>
    <dataValidation type="list" allowBlank="1" showInputMessage="1" showErrorMessage="1" sqref="C7138">
      <formula1>UnidadesList</formula1>
    </dataValidation>
    <dataValidation type="decimal" operator="greaterThan" allowBlank="1" showInputMessage="1" showErrorMessage="1" sqref="D7138">
      <formula1>0</formula1>
    </dataValidation>
    <dataValidation type="decimal" operator="greaterThan" allowBlank="1" showInputMessage="1" showErrorMessage="1" sqref="E7138">
      <formula1>0</formula1>
    </dataValidation>
    <dataValidation type="whole" operator="greaterThan" allowBlank="1" showInputMessage="1" showErrorMessage="1" sqref="A7139">
      <formula1>0</formula1>
    </dataValidation>
    <dataValidation type="list" allowBlank="1" showInputMessage="1" showErrorMessage="1" sqref="C7139">
      <formula1>UnidadesList</formula1>
    </dataValidation>
    <dataValidation type="decimal" operator="greaterThan" allowBlank="1" showInputMessage="1" showErrorMessage="1" sqref="D7139">
      <formula1>0</formula1>
    </dataValidation>
    <dataValidation type="decimal" operator="greaterThan" allowBlank="1" showInputMessage="1" showErrorMessage="1" sqref="E7139">
      <formula1>0</formula1>
    </dataValidation>
    <dataValidation type="whole" operator="greaterThan" allowBlank="1" showInputMessage="1" showErrorMessage="1" sqref="A7140">
      <formula1>0</formula1>
    </dataValidation>
    <dataValidation type="list" allowBlank="1" showInputMessage="1" showErrorMessage="1" sqref="C7140">
      <formula1>UnidadesList</formula1>
    </dataValidation>
    <dataValidation type="decimal" operator="greaterThan" allowBlank="1" showInputMessage="1" showErrorMessage="1" sqref="D7140">
      <formula1>0</formula1>
    </dataValidation>
    <dataValidation type="decimal" operator="greaterThan" allowBlank="1" showInputMessage="1" showErrorMessage="1" sqref="E7140">
      <formula1>0</formula1>
    </dataValidation>
    <dataValidation type="whole" operator="greaterThan" allowBlank="1" showInputMessage="1" showErrorMessage="1" sqref="A7141">
      <formula1>0</formula1>
    </dataValidation>
    <dataValidation type="list" allowBlank="1" showInputMessage="1" showErrorMessage="1" sqref="C7141">
      <formula1>UnidadesList</formula1>
    </dataValidation>
    <dataValidation type="decimal" operator="greaterThan" allowBlank="1" showInputMessage="1" showErrorMessage="1" sqref="D7141">
      <formula1>0</formula1>
    </dataValidation>
    <dataValidation type="decimal" operator="greaterThan" allowBlank="1" showInputMessage="1" showErrorMessage="1" sqref="E7141">
      <formula1>0</formula1>
    </dataValidation>
    <dataValidation type="whole" operator="greaterThan" allowBlank="1" showInputMessage="1" showErrorMessage="1" sqref="A7142">
      <formula1>0</formula1>
    </dataValidation>
    <dataValidation type="list" allowBlank="1" showInputMessage="1" showErrorMessage="1" sqref="C7142">
      <formula1>UnidadesList</formula1>
    </dataValidation>
    <dataValidation type="decimal" operator="greaterThan" allowBlank="1" showInputMessage="1" showErrorMessage="1" sqref="D7142">
      <formula1>0</formula1>
    </dataValidation>
    <dataValidation type="decimal" operator="greaterThan" allowBlank="1" showInputMessage="1" showErrorMessage="1" sqref="E7142">
      <formula1>0</formula1>
    </dataValidation>
    <dataValidation type="whole" operator="greaterThan" allowBlank="1" showInputMessage="1" showErrorMessage="1" sqref="A7143">
      <formula1>0</formula1>
    </dataValidation>
    <dataValidation type="list" allowBlank="1" showInputMessage="1" showErrorMessage="1" sqref="C7143">
      <formula1>UnidadesList</formula1>
    </dataValidation>
    <dataValidation type="decimal" operator="greaterThan" allowBlank="1" showInputMessage="1" showErrorMessage="1" sqref="D7143">
      <formula1>0</formula1>
    </dataValidation>
    <dataValidation type="decimal" operator="greaterThan" allowBlank="1" showInputMessage="1" showErrorMessage="1" sqref="E7143">
      <formula1>0</formula1>
    </dataValidation>
    <dataValidation type="whole" operator="greaterThan" allowBlank="1" showInputMessage="1" showErrorMessage="1" sqref="A7144">
      <formula1>0</formula1>
    </dataValidation>
    <dataValidation type="list" allowBlank="1" showInputMessage="1" showErrorMessage="1" sqref="C7144">
      <formula1>UnidadesList</formula1>
    </dataValidation>
    <dataValidation type="decimal" operator="greaterThan" allowBlank="1" showInputMessage="1" showErrorMessage="1" sqref="D7144">
      <formula1>0</formula1>
    </dataValidation>
    <dataValidation type="decimal" operator="greaterThan" allowBlank="1" showInputMessage="1" showErrorMessage="1" sqref="E7144">
      <formula1>0</formula1>
    </dataValidation>
    <dataValidation type="whole" operator="greaterThan" allowBlank="1" showInputMessage="1" showErrorMessage="1" sqref="A7145">
      <formula1>0</formula1>
    </dataValidation>
    <dataValidation type="list" allowBlank="1" showInputMessage="1" showErrorMessage="1" sqref="C7145">
      <formula1>UnidadesList</formula1>
    </dataValidation>
    <dataValidation type="decimal" operator="greaterThan" allowBlank="1" showInputMessage="1" showErrorMessage="1" sqref="D7145">
      <formula1>0</formula1>
    </dataValidation>
    <dataValidation type="decimal" operator="greaterThan" allowBlank="1" showInputMessage="1" showErrorMessage="1" sqref="E7145">
      <formula1>0</formula1>
    </dataValidation>
    <dataValidation type="whole" operator="greaterThan" allowBlank="1" showInputMessage="1" showErrorMessage="1" sqref="A7146">
      <formula1>0</formula1>
    </dataValidation>
    <dataValidation type="list" allowBlank="1" showInputMessage="1" showErrorMessage="1" sqref="C7146">
      <formula1>UnidadesList</formula1>
    </dataValidation>
    <dataValidation type="decimal" operator="greaterThan" allowBlank="1" showInputMessage="1" showErrorMessage="1" sqref="D7146">
      <formula1>0</formula1>
    </dataValidation>
    <dataValidation type="decimal" operator="greaterThan" allowBlank="1" showInputMessage="1" showErrorMessage="1" sqref="E7146">
      <formula1>0</formula1>
    </dataValidation>
    <dataValidation type="date" operator="lessThanOrEqual" allowBlank="1" showInputMessage="1" showErrorMessage="1" sqref="C7151">
      <formula1>C7153</formula1>
    </dataValidation>
    <dataValidation type="date" operator="greaterThanOrEqual" allowBlank="1" showInputMessage="1" showErrorMessage="1" sqref="C7153">
      <formula1>C7151</formula1>
    </dataValidation>
    <dataValidation type="list" allowBlank="1" showInputMessage="1" showErrorMessage="1" sqref="F715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15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15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15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157">
      <formula1>0</formula1>
    </dataValidation>
    <dataValidation type="list" allowBlank="1" showInputMessage="1" showErrorMessage="1" sqref="C7157">
      <formula1>UnidadesList</formula1>
    </dataValidation>
    <dataValidation type="decimal" operator="greaterThan" allowBlank="1" showInputMessage="1" showErrorMessage="1" sqref="D7157">
      <formula1>0</formula1>
    </dataValidation>
    <dataValidation type="decimal" operator="greaterThan" allowBlank="1" showInputMessage="1" showErrorMessage="1" sqref="E7157">
      <formula1>0</formula1>
    </dataValidation>
    <dataValidation type="whole" operator="greaterThan" allowBlank="1" showInputMessage="1" showErrorMessage="1" sqref="A7158">
      <formula1>0</formula1>
    </dataValidation>
    <dataValidation type="list" allowBlank="1" showInputMessage="1" showErrorMessage="1" sqref="C7158">
      <formula1>UnidadesList</formula1>
    </dataValidation>
    <dataValidation type="decimal" operator="greaterThan" allowBlank="1" showInputMessage="1" showErrorMessage="1" sqref="D7158">
      <formula1>0</formula1>
    </dataValidation>
    <dataValidation type="decimal" operator="greaterThan" allowBlank="1" showInputMessage="1" showErrorMessage="1" sqref="E7158">
      <formula1>0</formula1>
    </dataValidation>
    <dataValidation type="whole" operator="greaterThan" allowBlank="1" showInputMessage="1" showErrorMessage="1" sqref="A7159">
      <formula1>0</formula1>
    </dataValidation>
    <dataValidation type="list" allowBlank="1" showInputMessage="1" showErrorMessage="1" sqref="C7159">
      <formula1>UnidadesList</formula1>
    </dataValidation>
    <dataValidation type="decimal" operator="greaterThan" allowBlank="1" showInputMessage="1" showErrorMessage="1" sqref="D7159">
      <formula1>0</formula1>
    </dataValidation>
    <dataValidation type="decimal" operator="greaterThan" allowBlank="1" showInputMessage="1" showErrorMessage="1" sqref="E7159">
      <formula1>0</formula1>
    </dataValidation>
    <dataValidation type="whole" operator="greaterThan" allowBlank="1" showInputMessage="1" showErrorMessage="1" sqref="A7160">
      <formula1>0</formula1>
    </dataValidation>
    <dataValidation type="list" allowBlank="1" showInputMessage="1" showErrorMessage="1" sqref="C7160">
      <formula1>UnidadesList</formula1>
    </dataValidation>
    <dataValidation type="decimal" operator="greaterThan" allowBlank="1" showInputMessage="1" showErrorMessage="1" sqref="D7160">
      <formula1>0</formula1>
    </dataValidation>
    <dataValidation type="decimal" operator="greaterThan" allowBlank="1" showInputMessage="1" showErrorMessage="1" sqref="E7160">
      <formula1>0</formula1>
    </dataValidation>
    <dataValidation type="whole" operator="greaterThan" allowBlank="1" showInputMessage="1" showErrorMessage="1" sqref="A7161">
      <formula1>0</formula1>
    </dataValidation>
    <dataValidation type="list" allowBlank="1" showInputMessage="1" showErrorMessage="1" sqref="C7161">
      <formula1>UnidadesList</formula1>
    </dataValidation>
    <dataValidation type="decimal" operator="greaterThan" allowBlank="1" showInputMessage="1" showErrorMessage="1" sqref="D7161">
      <formula1>0</formula1>
    </dataValidation>
    <dataValidation type="decimal" operator="greaterThan" allowBlank="1" showInputMessage="1" showErrorMessage="1" sqref="E7161">
      <formula1>0</formula1>
    </dataValidation>
    <dataValidation type="whole" operator="greaterThan" allowBlank="1" showInputMessage="1" showErrorMessage="1" sqref="A7162">
      <formula1>0</formula1>
    </dataValidation>
    <dataValidation type="list" allowBlank="1" showInputMessage="1" showErrorMessage="1" sqref="C7162">
      <formula1>UnidadesList</formula1>
    </dataValidation>
    <dataValidation type="decimal" operator="greaterThan" allowBlank="1" showInputMessage="1" showErrorMessage="1" sqref="D7162">
      <formula1>0</formula1>
    </dataValidation>
    <dataValidation type="decimal" operator="greaterThan" allowBlank="1" showInputMessage="1" showErrorMessage="1" sqref="E7162">
      <formula1>0</formula1>
    </dataValidation>
    <dataValidation type="whole" operator="greaterThan" allowBlank="1" showInputMessage="1" showErrorMessage="1" sqref="A7163">
      <formula1>0</formula1>
    </dataValidation>
    <dataValidation type="list" allowBlank="1" showInputMessage="1" showErrorMessage="1" sqref="C7163">
      <formula1>UnidadesList</formula1>
    </dataValidation>
    <dataValidation type="decimal" operator="greaterThan" allowBlank="1" showInputMessage="1" showErrorMessage="1" sqref="D7163">
      <formula1>0</formula1>
    </dataValidation>
    <dataValidation type="decimal" operator="greaterThan" allowBlank="1" showInputMessage="1" showErrorMessage="1" sqref="E7163">
      <formula1>0</formula1>
    </dataValidation>
    <dataValidation type="whole" operator="greaterThan" allowBlank="1" showInputMessage="1" showErrorMessage="1" sqref="A7164">
      <formula1>0</formula1>
    </dataValidation>
    <dataValidation type="list" allowBlank="1" showInputMessage="1" showErrorMessage="1" sqref="C7164">
      <formula1>UnidadesList</formula1>
    </dataValidation>
    <dataValidation type="decimal" operator="greaterThan" allowBlank="1" showInputMessage="1" showErrorMessage="1" sqref="D7164">
      <formula1>0</formula1>
    </dataValidation>
    <dataValidation type="decimal" operator="greaterThan" allowBlank="1" showInputMessage="1" showErrorMessage="1" sqref="E7164">
      <formula1>0</formula1>
    </dataValidation>
    <dataValidation type="whole" operator="greaterThan" allowBlank="1" showInputMessage="1" showErrorMessage="1" sqref="A7165">
      <formula1>0</formula1>
    </dataValidation>
    <dataValidation type="list" allowBlank="1" showInputMessage="1" showErrorMessage="1" sqref="C7165">
      <formula1>UnidadesList</formula1>
    </dataValidation>
    <dataValidation type="decimal" operator="greaterThan" allowBlank="1" showInputMessage="1" showErrorMessage="1" sqref="D7165">
      <formula1>0</formula1>
    </dataValidation>
    <dataValidation type="decimal" operator="greaterThan" allowBlank="1" showInputMessage="1" showErrorMessage="1" sqref="E7165">
      <formula1>0</formula1>
    </dataValidation>
    <dataValidation type="whole" operator="greaterThan" allowBlank="1" showInputMessage="1" showErrorMessage="1" sqref="A7166">
      <formula1>0</formula1>
    </dataValidation>
    <dataValidation type="list" allowBlank="1" showInputMessage="1" showErrorMessage="1" sqref="C7166">
      <formula1>UnidadesList</formula1>
    </dataValidation>
    <dataValidation type="decimal" operator="greaterThan" allowBlank="1" showInputMessage="1" showErrorMessage="1" sqref="D7166">
      <formula1>0</formula1>
    </dataValidation>
    <dataValidation type="decimal" operator="greaterThan" allowBlank="1" showInputMessage="1" showErrorMessage="1" sqref="E7166">
      <formula1>0</formula1>
    </dataValidation>
    <dataValidation type="whole" operator="greaterThan" allowBlank="1" showInputMessage="1" showErrorMessage="1" sqref="A7167">
      <formula1>0</formula1>
    </dataValidation>
    <dataValidation type="list" allowBlank="1" showInputMessage="1" showErrorMessage="1" sqref="C7167">
      <formula1>UnidadesList</formula1>
    </dataValidation>
    <dataValidation type="decimal" operator="greaterThan" allowBlank="1" showInputMessage="1" showErrorMessage="1" sqref="D7167">
      <formula1>0</formula1>
    </dataValidation>
    <dataValidation type="decimal" operator="greaterThan" allowBlank="1" showInputMessage="1" showErrorMessage="1" sqref="E7167">
      <formula1>0</formula1>
    </dataValidation>
    <dataValidation type="whole" operator="greaterThan" allowBlank="1" showInputMessage="1" showErrorMessage="1" sqref="A7168">
      <formula1>0</formula1>
    </dataValidation>
    <dataValidation type="list" allowBlank="1" showInputMessage="1" showErrorMessage="1" sqref="C7168">
      <formula1>UnidadesList</formula1>
    </dataValidation>
    <dataValidation type="decimal" operator="greaterThan" allowBlank="1" showInputMessage="1" showErrorMessage="1" sqref="D7168">
      <formula1>0</formula1>
    </dataValidation>
    <dataValidation type="decimal" operator="greaterThan" allowBlank="1" showInputMessage="1" showErrorMessage="1" sqref="E7168">
      <formula1>0</formula1>
    </dataValidation>
    <dataValidation type="whole" operator="greaterThan" allowBlank="1" showInputMessage="1" showErrorMessage="1" sqref="A7169">
      <formula1>0</formula1>
    </dataValidation>
    <dataValidation type="list" allowBlank="1" showInputMessage="1" showErrorMessage="1" sqref="C7169">
      <formula1>UnidadesList</formula1>
    </dataValidation>
    <dataValidation type="decimal" operator="greaterThan" allowBlank="1" showInputMessage="1" showErrorMessage="1" sqref="D7169">
      <formula1>0</formula1>
    </dataValidation>
    <dataValidation type="decimal" operator="greaterThan" allowBlank="1" showInputMessage="1" showErrorMessage="1" sqref="E7169">
      <formula1>0</formula1>
    </dataValidation>
    <dataValidation type="whole" operator="greaterThan" allowBlank="1" showInputMessage="1" showErrorMessage="1" sqref="A7170">
      <formula1>0</formula1>
    </dataValidation>
    <dataValidation type="list" allowBlank="1" showInputMessage="1" showErrorMessage="1" sqref="C7170">
      <formula1>UnidadesList</formula1>
    </dataValidation>
    <dataValidation type="decimal" operator="greaterThan" allowBlank="1" showInputMessage="1" showErrorMessage="1" sqref="D7170">
      <formula1>0</formula1>
    </dataValidation>
    <dataValidation type="decimal" operator="greaterThan" allowBlank="1" showInputMessage="1" showErrorMessage="1" sqref="E7170">
      <formula1>0</formula1>
    </dataValidation>
    <dataValidation type="whole" operator="greaterThan" allowBlank="1" showInputMessage="1" showErrorMessage="1" sqref="A7171">
      <formula1>0</formula1>
    </dataValidation>
    <dataValidation type="list" allowBlank="1" showInputMessage="1" showErrorMessage="1" sqref="C7171">
      <formula1>UnidadesList</formula1>
    </dataValidation>
    <dataValidation type="decimal" operator="greaterThan" allowBlank="1" showInputMessage="1" showErrorMessage="1" sqref="D7171">
      <formula1>0</formula1>
    </dataValidation>
    <dataValidation type="decimal" operator="greaterThan" allowBlank="1" showInputMessage="1" showErrorMessage="1" sqref="E7171">
      <formula1>0</formula1>
    </dataValidation>
    <dataValidation type="whole" operator="greaterThan" allowBlank="1" showInputMessage="1" showErrorMessage="1" sqref="A7172">
      <formula1>0</formula1>
    </dataValidation>
    <dataValidation type="list" allowBlank="1" showInputMessage="1" showErrorMessage="1" sqref="C7172">
      <formula1>UnidadesList</formula1>
    </dataValidation>
    <dataValidation type="decimal" operator="greaterThan" allowBlank="1" showInputMessage="1" showErrorMessage="1" sqref="D7172">
      <formula1>0</formula1>
    </dataValidation>
    <dataValidation type="decimal" operator="greaterThan" allowBlank="1" showInputMessage="1" showErrorMessage="1" sqref="E7172">
      <formula1>0</formula1>
    </dataValidation>
    <dataValidation type="whole" operator="greaterThan" allowBlank="1" showInputMessage="1" showErrorMessage="1" sqref="A7173">
      <formula1>0</formula1>
    </dataValidation>
    <dataValidation type="list" allowBlank="1" showInputMessage="1" showErrorMessage="1" sqref="C7173">
      <formula1>UnidadesList</formula1>
    </dataValidation>
    <dataValidation type="decimal" operator="greaterThan" allowBlank="1" showInputMessage="1" showErrorMessage="1" sqref="D7173">
      <formula1>0</formula1>
    </dataValidation>
    <dataValidation type="decimal" operator="greaterThan" allowBlank="1" showInputMessage="1" showErrorMessage="1" sqref="E7173">
      <formula1>0</formula1>
    </dataValidation>
    <dataValidation type="whole" operator="greaterThan" allowBlank="1" showInputMessage="1" showErrorMessage="1" sqref="A7174">
      <formula1>0</formula1>
    </dataValidation>
    <dataValidation type="list" allowBlank="1" showInputMessage="1" showErrorMessage="1" sqref="C7174">
      <formula1>UnidadesList</formula1>
    </dataValidation>
    <dataValidation type="decimal" operator="greaterThan" allowBlank="1" showInputMessage="1" showErrorMessage="1" sqref="D7174">
      <formula1>0</formula1>
    </dataValidation>
    <dataValidation type="decimal" operator="greaterThan" allowBlank="1" showInputMessage="1" showErrorMessage="1" sqref="E7174">
      <formula1>0</formula1>
    </dataValidation>
    <dataValidation type="whole" operator="greaterThan" allowBlank="1" showInputMessage="1" showErrorMessage="1" sqref="A7175">
      <formula1>0</formula1>
    </dataValidation>
    <dataValidation type="list" allowBlank="1" showInputMessage="1" showErrorMessage="1" sqref="C7175">
      <formula1>UnidadesList</formula1>
    </dataValidation>
    <dataValidation type="decimal" operator="greaterThan" allowBlank="1" showInputMessage="1" showErrorMessage="1" sqref="D7175">
      <formula1>0</formula1>
    </dataValidation>
    <dataValidation type="decimal" operator="greaterThan" allowBlank="1" showInputMessage="1" showErrorMessage="1" sqref="E7175">
      <formula1>0</formula1>
    </dataValidation>
    <dataValidation type="whole" operator="greaterThan" allowBlank="1" showInputMessage="1" showErrorMessage="1" sqref="A7176">
      <formula1>0</formula1>
    </dataValidation>
    <dataValidation type="list" allowBlank="1" showInputMessage="1" showErrorMessage="1" sqref="C7176">
      <formula1>UnidadesList</formula1>
    </dataValidation>
    <dataValidation type="decimal" operator="greaterThan" allowBlank="1" showInputMessage="1" showErrorMessage="1" sqref="D7176">
      <formula1>0</formula1>
    </dataValidation>
    <dataValidation type="decimal" operator="greaterThan" allowBlank="1" showInputMessage="1" showErrorMessage="1" sqref="E7176">
      <formula1>0</formula1>
    </dataValidation>
    <dataValidation type="whole" operator="greaterThan" allowBlank="1" showInputMessage="1" showErrorMessage="1" sqref="A7177">
      <formula1>0</formula1>
    </dataValidation>
    <dataValidation type="list" allowBlank="1" showInputMessage="1" showErrorMessage="1" sqref="C7177">
      <formula1>UnidadesList</formula1>
    </dataValidation>
    <dataValidation type="decimal" operator="greaterThan" allowBlank="1" showInputMessage="1" showErrorMessage="1" sqref="D7177">
      <formula1>0</formula1>
    </dataValidation>
    <dataValidation type="decimal" operator="greaterThan" allowBlank="1" showInputMessage="1" showErrorMessage="1" sqref="E7177">
      <formula1>0</formula1>
    </dataValidation>
    <dataValidation type="whole" operator="greaterThan" allowBlank="1" showInputMessage="1" showErrorMessage="1" sqref="A7178">
      <formula1>0</formula1>
    </dataValidation>
    <dataValidation type="list" allowBlank="1" showInputMessage="1" showErrorMessage="1" sqref="C7178">
      <formula1>UnidadesList</formula1>
    </dataValidation>
    <dataValidation type="decimal" operator="greaterThan" allowBlank="1" showInputMessage="1" showErrorMessage="1" sqref="D7178">
      <formula1>0</formula1>
    </dataValidation>
    <dataValidation type="decimal" operator="greaterThan" allowBlank="1" showInputMessage="1" showErrorMessage="1" sqref="E7178">
      <formula1>0</formula1>
    </dataValidation>
    <dataValidation type="whole" operator="greaterThan" allowBlank="1" showInputMessage="1" showErrorMessage="1" sqref="A7179">
      <formula1>0</formula1>
    </dataValidation>
    <dataValidation type="list" allowBlank="1" showInputMessage="1" showErrorMessage="1" sqref="C7179">
      <formula1>UnidadesList</formula1>
    </dataValidation>
    <dataValidation type="decimal" operator="greaterThan" allowBlank="1" showInputMessage="1" showErrorMessage="1" sqref="D7179">
      <formula1>0</formula1>
    </dataValidation>
    <dataValidation type="decimal" operator="greaterThan" allowBlank="1" showInputMessage="1" showErrorMessage="1" sqref="E7179">
      <formula1>0</formula1>
    </dataValidation>
    <dataValidation type="whole" operator="greaterThan" allowBlank="1" showInputMessage="1" showErrorMessage="1" sqref="A7180">
      <formula1>0</formula1>
    </dataValidation>
    <dataValidation type="list" allowBlank="1" showInputMessage="1" showErrorMessage="1" sqref="C7180">
      <formula1>UnidadesList</formula1>
    </dataValidation>
    <dataValidation type="decimal" operator="greaterThan" allowBlank="1" showInputMessage="1" showErrorMessage="1" sqref="D7180">
      <formula1>0</formula1>
    </dataValidation>
    <dataValidation type="decimal" operator="greaterThan" allowBlank="1" showInputMessage="1" showErrorMessage="1" sqref="E7180">
      <formula1>0</formula1>
    </dataValidation>
    <dataValidation type="whole" operator="greaterThan" allowBlank="1" showInputMessage="1" showErrorMessage="1" sqref="A7181">
      <formula1>0</formula1>
    </dataValidation>
    <dataValidation type="list" allowBlank="1" showInputMessage="1" showErrorMessage="1" sqref="C7181">
      <formula1>UnidadesList</formula1>
    </dataValidation>
    <dataValidation type="decimal" operator="greaterThan" allowBlank="1" showInputMessage="1" showErrorMessage="1" sqref="D7181">
      <formula1>0</formula1>
    </dataValidation>
    <dataValidation type="decimal" operator="greaterThan" allowBlank="1" showInputMessage="1" showErrorMessage="1" sqref="E7181">
      <formula1>0</formula1>
    </dataValidation>
    <dataValidation type="whole" operator="greaterThan" allowBlank="1" showInputMessage="1" showErrorMessage="1" sqref="A7182">
      <formula1>0</formula1>
    </dataValidation>
    <dataValidation type="list" allowBlank="1" showInputMessage="1" showErrorMessage="1" sqref="C7182">
      <formula1>UnidadesList</formula1>
    </dataValidation>
    <dataValidation type="decimal" operator="greaterThan" allowBlank="1" showInputMessage="1" showErrorMessage="1" sqref="D7182">
      <formula1>0</formula1>
    </dataValidation>
    <dataValidation type="decimal" operator="greaterThan" allowBlank="1" showInputMessage="1" showErrorMessage="1" sqref="E7182">
      <formula1>0</formula1>
    </dataValidation>
    <dataValidation type="whole" operator="greaterThan" allowBlank="1" showInputMessage="1" showErrorMessage="1" sqref="A7183">
      <formula1>0</formula1>
    </dataValidation>
    <dataValidation type="list" allowBlank="1" showInputMessage="1" showErrorMessage="1" sqref="C7183">
      <formula1>UnidadesList</formula1>
    </dataValidation>
    <dataValidation type="decimal" operator="greaterThan" allowBlank="1" showInputMessage="1" showErrorMessage="1" sqref="D7183">
      <formula1>0</formula1>
    </dataValidation>
    <dataValidation type="decimal" operator="greaterThan" allowBlank="1" showInputMessage="1" showErrorMessage="1" sqref="E7183">
      <formula1>0</formula1>
    </dataValidation>
    <dataValidation type="whole" operator="greaterThan" allowBlank="1" showInputMessage="1" showErrorMessage="1" sqref="A7184">
      <formula1>0</formula1>
    </dataValidation>
    <dataValidation type="list" allowBlank="1" showInputMessage="1" showErrorMessage="1" sqref="C7184">
      <formula1>UnidadesList</formula1>
    </dataValidation>
    <dataValidation type="decimal" operator="greaterThan" allowBlank="1" showInputMessage="1" showErrorMessage="1" sqref="D7184">
      <formula1>0</formula1>
    </dataValidation>
    <dataValidation type="decimal" operator="greaterThan" allowBlank="1" showInputMessage="1" showErrorMessage="1" sqref="E7184">
      <formula1>0</formula1>
    </dataValidation>
    <dataValidation type="whole" operator="greaterThan" allowBlank="1" showInputMessage="1" showErrorMessage="1" sqref="A7185">
      <formula1>0</formula1>
    </dataValidation>
    <dataValidation type="list" allowBlank="1" showInputMessage="1" showErrorMessage="1" sqref="C7185">
      <formula1>UnidadesList</formula1>
    </dataValidation>
    <dataValidation type="decimal" operator="greaterThan" allowBlank="1" showInputMessage="1" showErrorMessage="1" sqref="D7185">
      <formula1>0</formula1>
    </dataValidation>
    <dataValidation type="decimal" operator="greaterThan" allowBlank="1" showInputMessage="1" showErrorMessage="1" sqref="E7185">
      <formula1>0</formula1>
    </dataValidation>
    <dataValidation type="whole" operator="greaterThan" allowBlank="1" showInputMessage="1" showErrorMessage="1" sqref="A7186">
      <formula1>0</formula1>
    </dataValidation>
    <dataValidation type="list" allowBlank="1" showInputMessage="1" showErrorMessage="1" sqref="C7186">
      <formula1>UnidadesList</formula1>
    </dataValidation>
    <dataValidation type="decimal" operator="greaterThan" allowBlank="1" showInputMessage="1" showErrorMessage="1" sqref="D7186">
      <formula1>0</formula1>
    </dataValidation>
    <dataValidation type="decimal" operator="greaterThan" allowBlank="1" showInputMessage="1" showErrorMessage="1" sqref="E7186">
      <formula1>0</formula1>
    </dataValidation>
    <dataValidation type="whole" operator="greaterThan" allowBlank="1" showInputMessage="1" showErrorMessage="1" sqref="A7187">
      <formula1>0</formula1>
    </dataValidation>
    <dataValidation type="list" allowBlank="1" showInputMessage="1" showErrorMessage="1" sqref="C7187">
      <formula1>UnidadesList</formula1>
    </dataValidation>
    <dataValidation type="decimal" operator="greaterThan" allowBlank="1" showInputMessage="1" showErrorMessage="1" sqref="D7187">
      <formula1>0</formula1>
    </dataValidation>
    <dataValidation type="decimal" operator="greaterThan" allowBlank="1" showInputMessage="1" showErrorMessage="1" sqref="E7187">
      <formula1>0</formula1>
    </dataValidation>
    <dataValidation type="whole" operator="greaterThan" allowBlank="1" showInputMessage="1" showErrorMessage="1" sqref="A7188">
      <formula1>0</formula1>
    </dataValidation>
    <dataValidation type="list" allowBlank="1" showInputMessage="1" showErrorMessage="1" sqref="C7188">
      <formula1>UnidadesList</formula1>
    </dataValidation>
    <dataValidation type="decimal" operator="greaterThan" allowBlank="1" showInputMessage="1" showErrorMessage="1" sqref="D7188">
      <formula1>0</formula1>
    </dataValidation>
    <dataValidation type="decimal" operator="greaterThan" allowBlank="1" showInputMessage="1" showErrorMessage="1" sqref="E7188">
      <formula1>0</formula1>
    </dataValidation>
    <dataValidation type="whole" operator="greaterThan" allowBlank="1" showInputMessage="1" showErrorMessage="1" sqref="A7189">
      <formula1>0</formula1>
    </dataValidation>
    <dataValidation type="list" allowBlank="1" showInputMessage="1" showErrorMessage="1" sqref="C7189">
      <formula1>UnidadesList</formula1>
    </dataValidation>
    <dataValidation type="decimal" operator="greaterThan" allowBlank="1" showInputMessage="1" showErrorMessage="1" sqref="D7189">
      <formula1>0</formula1>
    </dataValidation>
    <dataValidation type="decimal" operator="greaterThan" allowBlank="1" showInputMessage="1" showErrorMessage="1" sqref="E7189">
      <formula1>0</formula1>
    </dataValidation>
    <dataValidation type="whole" operator="greaterThan" allowBlank="1" showInputMessage="1" showErrorMessage="1" sqref="A7190">
      <formula1>0</formula1>
    </dataValidation>
    <dataValidation type="list" allowBlank="1" showInputMessage="1" showErrorMessage="1" sqref="C7190">
      <formula1>UnidadesList</formula1>
    </dataValidation>
    <dataValidation type="decimal" operator="greaterThan" allowBlank="1" showInputMessage="1" showErrorMessage="1" sqref="D7190">
      <formula1>0</formula1>
    </dataValidation>
    <dataValidation type="decimal" operator="greaterThan" allowBlank="1" showInputMessage="1" showErrorMessage="1" sqref="E7190">
      <formula1>0</formula1>
    </dataValidation>
    <dataValidation type="whole" operator="greaterThan" allowBlank="1" showInputMessage="1" showErrorMessage="1" sqref="A7191">
      <formula1>0</formula1>
    </dataValidation>
    <dataValidation type="list" allowBlank="1" showInputMessage="1" showErrorMessage="1" sqref="C7191">
      <formula1>UnidadesList</formula1>
    </dataValidation>
    <dataValidation type="decimal" operator="greaterThan" allowBlank="1" showInputMessage="1" showErrorMessage="1" sqref="D7191">
      <formula1>0</formula1>
    </dataValidation>
    <dataValidation type="decimal" operator="greaterThan" allowBlank="1" showInputMessage="1" showErrorMessage="1" sqref="E7191">
      <formula1>0</formula1>
    </dataValidation>
    <dataValidation type="whole" operator="greaterThan" allowBlank="1" showInputMessage="1" showErrorMessage="1" sqref="A7192">
      <formula1>0</formula1>
    </dataValidation>
    <dataValidation type="list" allowBlank="1" showInputMessage="1" showErrorMessage="1" sqref="C7192">
      <formula1>UnidadesList</formula1>
    </dataValidation>
    <dataValidation type="decimal" operator="greaterThan" allowBlank="1" showInputMessage="1" showErrorMessage="1" sqref="D7192">
      <formula1>0</formula1>
    </dataValidation>
    <dataValidation type="decimal" operator="greaterThan" allowBlank="1" showInputMessage="1" showErrorMessage="1" sqref="E7192">
      <formula1>0</formula1>
    </dataValidation>
    <dataValidation type="whole" operator="greaterThan" allowBlank="1" showInputMessage="1" showErrorMessage="1" sqref="A7193">
      <formula1>0</formula1>
    </dataValidation>
    <dataValidation type="list" allowBlank="1" showInputMessage="1" showErrorMessage="1" sqref="C7193">
      <formula1>UnidadesList</formula1>
    </dataValidation>
    <dataValidation type="decimal" operator="greaterThan" allowBlank="1" showInputMessage="1" showErrorMessage="1" sqref="D7193">
      <formula1>0</formula1>
    </dataValidation>
    <dataValidation type="decimal" operator="greaterThan" allowBlank="1" showInputMessage="1" showErrorMessage="1" sqref="E7193">
      <formula1>0</formula1>
    </dataValidation>
    <dataValidation type="whole" operator="greaterThan" allowBlank="1" showInputMessage="1" showErrorMessage="1" sqref="A7194">
      <formula1>0</formula1>
    </dataValidation>
    <dataValidation type="list" allowBlank="1" showInputMessage="1" showErrorMessage="1" sqref="C7194">
      <formula1>UnidadesList</formula1>
    </dataValidation>
    <dataValidation type="decimal" operator="greaterThan" allowBlank="1" showInputMessage="1" showErrorMessage="1" sqref="D7194">
      <formula1>0</formula1>
    </dataValidation>
    <dataValidation type="decimal" operator="greaterThan" allowBlank="1" showInputMessage="1" showErrorMessage="1" sqref="E7194">
      <formula1>0</formula1>
    </dataValidation>
    <dataValidation type="whole" operator="greaterThan" allowBlank="1" showInputMessage="1" showErrorMessage="1" sqref="A7195">
      <formula1>0</formula1>
    </dataValidation>
    <dataValidation type="list" allowBlank="1" showInputMessage="1" showErrorMessage="1" sqref="C7195">
      <formula1>UnidadesList</formula1>
    </dataValidation>
    <dataValidation type="decimal" operator="greaterThan" allowBlank="1" showInputMessage="1" showErrorMessage="1" sqref="D7195">
      <formula1>0</formula1>
    </dataValidation>
    <dataValidation type="decimal" operator="greaterThan" allowBlank="1" showInputMessage="1" showErrorMessage="1" sqref="E7195">
      <formula1>0</formula1>
    </dataValidation>
    <dataValidation type="whole" operator="greaterThan" allowBlank="1" showInputMessage="1" showErrorMessage="1" sqref="A7196">
      <formula1>0</formula1>
    </dataValidation>
    <dataValidation type="list" allowBlank="1" showInputMessage="1" showErrorMessage="1" sqref="C7196">
      <formula1>UnidadesList</formula1>
    </dataValidation>
    <dataValidation type="decimal" operator="greaterThan" allowBlank="1" showInputMessage="1" showErrorMessage="1" sqref="D7196">
      <formula1>0</formula1>
    </dataValidation>
    <dataValidation type="decimal" operator="greaterThan" allowBlank="1" showInputMessage="1" showErrorMessage="1" sqref="E7196">
      <formula1>0</formula1>
    </dataValidation>
    <dataValidation type="whole" operator="greaterThan" allowBlank="1" showInputMessage="1" showErrorMessage="1" sqref="A7197">
      <formula1>0</formula1>
    </dataValidation>
    <dataValidation type="list" allowBlank="1" showInputMessage="1" showErrorMessage="1" sqref="C7197">
      <formula1>UnidadesList</formula1>
    </dataValidation>
    <dataValidation type="decimal" operator="greaterThan" allowBlank="1" showInputMessage="1" showErrorMessage="1" sqref="D7197">
      <formula1>0</formula1>
    </dataValidation>
    <dataValidation type="decimal" operator="greaterThan" allowBlank="1" showInputMessage="1" showErrorMessage="1" sqref="E7197">
      <formula1>0</formula1>
    </dataValidation>
    <dataValidation type="whole" operator="greaterThan" allowBlank="1" showInputMessage="1" showErrorMessage="1" sqref="A7198">
      <formula1>0</formula1>
    </dataValidation>
    <dataValidation type="list" allowBlank="1" showInputMessage="1" showErrorMessage="1" sqref="C7198">
      <formula1>UnidadesList</formula1>
    </dataValidation>
    <dataValidation type="decimal" operator="greaterThan" allowBlank="1" showInputMessage="1" showErrorMessage="1" sqref="D7198">
      <formula1>0</formula1>
    </dataValidation>
    <dataValidation type="decimal" operator="greaterThan" allowBlank="1" showInputMessage="1" showErrorMessage="1" sqref="E7198">
      <formula1>0</formula1>
    </dataValidation>
    <dataValidation type="whole" operator="greaterThan" allowBlank="1" showInputMessage="1" showErrorMessage="1" sqref="A7199">
      <formula1>0</formula1>
    </dataValidation>
    <dataValidation type="list" allowBlank="1" showInputMessage="1" showErrorMessage="1" sqref="C7199">
      <formula1>UnidadesList</formula1>
    </dataValidation>
    <dataValidation type="decimal" operator="greaterThan" allowBlank="1" showInputMessage="1" showErrorMessage="1" sqref="D7199">
      <formula1>0</formula1>
    </dataValidation>
    <dataValidation type="decimal" operator="greaterThan" allowBlank="1" showInputMessage="1" showErrorMessage="1" sqref="E7199">
      <formula1>0</formula1>
    </dataValidation>
    <dataValidation type="whole" operator="greaterThan" allowBlank="1" showInputMessage="1" showErrorMessage="1" sqref="A7200">
      <formula1>0</formula1>
    </dataValidation>
    <dataValidation type="list" allowBlank="1" showInputMessage="1" showErrorMessage="1" sqref="C7200">
      <formula1>UnidadesList</formula1>
    </dataValidation>
    <dataValidation type="decimal" operator="greaterThan" allowBlank="1" showInputMessage="1" showErrorMessage="1" sqref="D7200">
      <formula1>0</formula1>
    </dataValidation>
    <dataValidation type="decimal" operator="greaterThan" allowBlank="1" showInputMessage="1" showErrorMessage="1" sqref="E7200">
      <formula1>0</formula1>
    </dataValidation>
    <dataValidation type="whole" operator="greaterThan" allowBlank="1" showInputMessage="1" showErrorMessage="1" sqref="A7201">
      <formula1>0</formula1>
    </dataValidation>
    <dataValidation type="list" allowBlank="1" showInputMessage="1" showErrorMessage="1" sqref="C7201">
      <formula1>UnidadesList</formula1>
    </dataValidation>
    <dataValidation type="decimal" operator="greaterThan" allowBlank="1" showInputMessage="1" showErrorMessage="1" sqref="D7201">
      <formula1>0</formula1>
    </dataValidation>
    <dataValidation type="decimal" operator="greaterThan" allowBlank="1" showInputMessage="1" showErrorMessage="1" sqref="E7201">
      <formula1>0</formula1>
    </dataValidation>
    <dataValidation type="whole" operator="greaterThan" allowBlank="1" showInputMessage="1" showErrorMessage="1" sqref="A7202">
      <formula1>0</formula1>
    </dataValidation>
    <dataValidation type="list" allowBlank="1" showInputMessage="1" showErrorMessage="1" sqref="C7202">
      <formula1>UnidadesList</formula1>
    </dataValidation>
    <dataValidation type="decimal" operator="greaterThan" allowBlank="1" showInputMessage="1" showErrorMessage="1" sqref="D7202">
      <formula1>0</formula1>
    </dataValidation>
    <dataValidation type="decimal" operator="greaterThan" allowBlank="1" showInputMessage="1" showErrorMessage="1" sqref="E7202">
      <formula1>0</formula1>
    </dataValidation>
    <dataValidation type="whole" operator="greaterThan" allowBlank="1" showInputMessage="1" showErrorMessage="1" sqref="A7203">
      <formula1>0</formula1>
    </dataValidation>
    <dataValidation type="list" allowBlank="1" showInputMessage="1" showErrorMessage="1" sqref="C7203">
      <formula1>UnidadesList</formula1>
    </dataValidation>
    <dataValidation type="decimal" operator="greaterThan" allowBlank="1" showInputMessage="1" showErrorMessage="1" sqref="D7203">
      <formula1>0</formula1>
    </dataValidation>
    <dataValidation type="decimal" operator="greaterThan" allowBlank="1" showInputMessage="1" showErrorMessage="1" sqref="E7203">
      <formula1>0</formula1>
    </dataValidation>
    <dataValidation type="whole" operator="greaterThan" allowBlank="1" showInputMessage="1" showErrorMessage="1" sqref="A7204">
      <formula1>0</formula1>
    </dataValidation>
    <dataValidation type="list" allowBlank="1" showInputMessage="1" showErrorMessage="1" sqref="C7204">
      <formula1>UnidadesList</formula1>
    </dataValidation>
    <dataValidation type="decimal" operator="greaterThan" allowBlank="1" showInputMessage="1" showErrorMessage="1" sqref="D7204">
      <formula1>0</formula1>
    </dataValidation>
    <dataValidation type="decimal" operator="greaterThan" allowBlank="1" showInputMessage="1" showErrorMessage="1" sqref="E7204">
      <formula1>0</formula1>
    </dataValidation>
    <dataValidation type="whole" operator="greaterThan" allowBlank="1" showInputMessage="1" showErrorMessage="1" sqref="A7205">
      <formula1>0</formula1>
    </dataValidation>
    <dataValidation type="list" allowBlank="1" showInputMessage="1" showErrorMessage="1" sqref="C7205">
      <formula1>UnidadesList</formula1>
    </dataValidation>
    <dataValidation type="decimal" operator="greaterThan" allowBlank="1" showInputMessage="1" showErrorMessage="1" sqref="D7205">
      <formula1>0</formula1>
    </dataValidation>
    <dataValidation type="decimal" operator="greaterThan" allowBlank="1" showInputMessage="1" showErrorMessage="1" sqref="E7205">
      <formula1>0</formula1>
    </dataValidation>
    <dataValidation type="whole" operator="greaterThan" allowBlank="1" showInputMessage="1" showErrorMessage="1" sqref="A7206">
      <formula1>0</formula1>
    </dataValidation>
    <dataValidation type="list" allowBlank="1" showInputMessage="1" showErrorMessage="1" sqref="C7206">
      <formula1>UnidadesList</formula1>
    </dataValidation>
    <dataValidation type="decimal" operator="greaterThan" allowBlank="1" showInputMessage="1" showErrorMessage="1" sqref="D7206">
      <formula1>0</formula1>
    </dataValidation>
    <dataValidation type="decimal" operator="greaterThan" allowBlank="1" showInputMessage="1" showErrorMessage="1" sqref="E7206">
      <formula1>0</formula1>
    </dataValidation>
    <dataValidation type="whole" operator="greaterThan" allowBlank="1" showInputMessage="1" showErrorMessage="1" sqref="A7207">
      <formula1>0</formula1>
    </dataValidation>
    <dataValidation type="list" allowBlank="1" showInputMessage="1" showErrorMessage="1" sqref="C7207">
      <formula1>UnidadesList</formula1>
    </dataValidation>
    <dataValidation type="decimal" operator="greaterThan" allowBlank="1" showInputMessage="1" showErrorMessage="1" sqref="D7207">
      <formula1>0</formula1>
    </dataValidation>
    <dataValidation type="decimal" operator="greaterThan" allowBlank="1" showInputMessage="1" showErrorMessage="1" sqref="E7207">
      <formula1>0</formula1>
    </dataValidation>
    <dataValidation type="whole" operator="greaterThan" allowBlank="1" showInputMessage="1" showErrorMessage="1" sqref="A7208">
      <formula1>0</formula1>
    </dataValidation>
    <dataValidation type="list" allowBlank="1" showInputMessage="1" showErrorMessage="1" sqref="C7208">
      <formula1>UnidadesList</formula1>
    </dataValidation>
    <dataValidation type="decimal" operator="greaterThan" allowBlank="1" showInputMessage="1" showErrorMessage="1" sqref="D7208">
      <formula1>0</formula1>
    </dataValidation>
    <dataValidation type="decimal" operator="greaterThan" allowBlank="1" showInputMessage="1" showErrorMessage="1" sqref="E7208">
      <formula1>0</formula1>
    </dataValidation>
    <dataValidation type="whole" operator="greaterThan" allowBlank="1" showInputMessage="1" showErrorMessage="1" sqref="A7209">
      <formula1>0</formula1>
    </dataValidation>
    <dataValidation type="list" allowBlank="1" showInputMessage="1" showErrorMessage="1" sqref="C7209">
      <formula1>UnidadesList</formula1>
    </dataValidation>
    <dataValidation type="decimal" operator="greaterThan" allowBlank="1" showInputMessage="1" showErrorMessage="1" sqref="D7209">
      <formula1>0</formula1>
    </dataValidation>
    <dataValidation type="decimal" operator="greaterThan" allowBlank="1" showInputMessage="1" showErrorMessage="1" sqref="E7209">
      <formula1>0</formula1>
    </dataValidation>
    <dataValidation type="whole" operator="greaterThan" allowBlank="1" showInputMessage="1" showErrorMessage="1" sqref="A7210">
      <formula1>0</formula1>
    </dataValidation>
    <dataValidation type="list" allowBlank="1" showInputMessage="1" showErrorMessage="1" sqref="C7210">
      <formula1>UnidadesList</formula1>
    </dataValidation>
    <dataValidation type="decimal" operator="greaterThan" allowBlank="1" showInputMessage="1" showErrorMessage="1" sqref="D7210">
      <formula1>0</formula1>
    </dataValidation>
    <dataValidation type="decimal" operator="greaterThan" allowBlank="1" showInputMessage="1" showErrorMessage="1" sqref="E7210">
      <formula1>0</formula1>
    </dataValidation>
    <dataValidation type="whole" operator="greaterThan" allowBlank="1" showInputMessage="1" showErrorMessage="1" sqref="A7211">
      <formula1>0</formula1>
    </dataValidation>
    <dataValidation type="list" allowBlank="1" showInputMessage="1" showErrorMessage="1" sqref="C7211">
      <formula1>UnidadesList</formula1>
    </dataValidation>
    <dataValidation type="decimal" operator="greaterThan" allowBlank="1" showInputMessage="1" showErrorMessage="1" sqref="D7211">
      <formula1>0</formula1>
    </dataValidation>
    <dataValidation type="decimal" operator="greaterThan" allowBlank="1" showInputMessage="1" showErrorMessage="1" sqref="E7211">
      <formula1>0</formula1>
    </dataValidation>
    <dataValidation type="whole" operator="greaterThan" allowBlank="1" showInputMessage="1" showErrorMessage="1" sqref="A7212">
      <formula1>0</formula1>
    </dataValidation>
    <dataValidation type="list" allowBlank="1" showInputMessage="1" showErrorMessage="1" sqref="C7212">
      <formula1>UnidadesList</formula1>
    </dataValidation>
    <dataValidation type="decimal" operator="greaterThan" allowBlank="1" showInputMessage="1" showErrorMessage="1" sqref="D7212">
      <formula1>0</formula1>
    </dataValidation>
    <dataValidation type="decimal" operator="greaterThan" allowBlank="1" showInputMessage="1" showErrorMessage="1" sqref="E7212">
      <formula1>0</formula1>
    </dataValidation>
    <dataValidation type="whole" operator="greaterThan" allowBlank="1" showInputMessage="1" showErrorMessage="1" sqref="A7213">
      <formula1>0</formula1>
    </dataValidation>
    <dataValidation type="list" allowBlank="1" showInputMessage="1" showErrorMessage="1" sqref="C7213">
      <formula1>UnidadesList</formula1>
    </dataValidation>
    <dataValidation type="decimal" operator="greaterThan" allowBlank="1" showInputMessage="1" showErrorMessage="1" sqref="D7213">
      <formula1>0</formula1>
    </dataValidation>
    <dataValidation type="decimal" operator="greaterThan" allowBlank="1" showInputMessage="1" showErrorMessage="1" sqref="E7213">
      <formula1>0</formula1>
    </dataValidation>
    <dataValidation type="whole" operator="greaterThan" allowBlank="1" showInputMessage="1" showErrorMessage="1" sqref="A7214">
      <formula1>0</formula1>
    </dataValidation>
    <dataValidation type="list" allowBlank="1" showInputMessage="1" showErrorMessage="1" sqref="C7214">
      <formula1>UnidadesList</formula1>
    </dataValidation>
    <dataValidation type="decimal" operator="greaterThan" allowBlank="1" showInputMessage="1" showErrorMessage="1" sqref="D7214">
      <formula1>0</formula1>
    </dataValidation>
    <dataValidation type="decimal" operator="greaterThan" allowBlank="1" showInputMessage="1" showErrorMessage="1" sqref="E7214">
      <formula1>0</formula1>
    </dataValidation>
    <dataValidation type="whole" operator="greaterThan" allowBlank="1" showInputMessage="1" showErrorMessage="1" sqref="A7215">
      <formula1>0</formula1>
    </dataValidation>
    <dataValidation type="list" allowBlank="1" showInputMessage="1" showErrorMessage="1" sqref="C7215">
      <formula1>UnidadesList</formula1>
    </dataValidation>
    <dataValidation type="decimal" operator="greaterThan" allowBlank="1" showInputMessage="1" showErrorMessage="1" sqref="D7215">
      <formula1>0</formula1>
    </dataValidation>
    <dataValidation type="decimal" operator="greaterThan" allowBlank="1" showInputMessage="1" showErrorMessage="1" sqref="E7215">
      <formula1>0</formula1>
    </dataValidation>
    <dataValidation type="whole" operator="greaterThan" allowBlank="1" showInputMessage="1" showErrorMessage="1" sqref="A7216">
      <formula1>0</formula1>
    </dataValidation>
    <dataValidation type="list" allowBlank="1" showInputMessage="1" showErrorMessage="1" sqref="C7216">
      <formula1>UnidadesList</formula1>
    </dataValidation>
    <dataValidation type="decimal" operator="greaterThan" allowBlank="1" showInputMessage="1" showErrorMessage="1" sqref="D7216">
      <formula1>0</formula1>
    </dataValidation>
    <dataValidation type="decimal" operator="greaterThan" allowBlank="1" showInputMessage="1" showErrorMessage="1" sqref="E7216">
      <formula1>0</formula1>
    </dataValidation>
    <dataValidation type="whole" operator="greaterThan" allowBlank="1" showInputMessage="1" showErrorMessage="1" sqref="A7217">
      <formula1>0</formula1>
    </dataValidation>
    <dataValidation type="list" allowBlank="1" showInputMessage="1" showErrorMessage="1" sqref="C7217">
      <formula1>UnidadesList</formula1>
    </dataValidation>
    <dataValidation type="decimal" operator="greaterThan" allowBlank="1" showInputMessage="1" showErrorMessage="1" sqref="D7217">
      <formula1>0</formula1>
    </dataValidation>
    <dataValidation type="decimal" operator="greaterThan" allowBlank="1" showInputMessage="1" showErrorMessage="1" sqref="E7217">
      <formula1>0</formula1>
    </dataValidation>
    <dataValidation type="whole" operator="greaterThan" allowBlank="1" showInputMessage="1" showErrorMessage="1" sqref="A7218">
      <formula1>0</formula1>
    </dataValidation>
    <dataValidation type="list" allowBlank="1" showInputMessage="1" showErrorMessage="1" sqref="C7218">
      <formula1>UnidadesList</formula1>
    </dataValidation>
    <dataValidation type="decimal" operator="greaterThan" allowBlank="1" showInputMessage="1" showErrorMessage="1" sqref="D7218">
      <formula1>0</formula1>
    </dataValidation>
    <dataValidation type="decimal" operator="greaterThan" allowBlank="1" showInputMessage="1" showErrorMessage="1" sqref="E7218">
      <formula1>0</formula1>
    </dataValidation>
    <dataValidation type="whole" operator="greaterThan" allowBlank="1" showInputMessage="1" showErrorMessage="1" sqref="A7219">
      <formula1>0</formula1>
    </dataValidation>
    <dataValidation type="list" allowBlank="1" showInputMessage="1" showErrorMessage="1" sqref="C7219">
      <formula1>UnidadesList</formula1>
    </dataValidation>
    <dataValidation type="decimal" operator="greaterThan" allowBlank="1" showInputMessage="1" showErrorMessage="1" sqref="D7219">
      <formula1>0</formula1>
    </dataValidation>
    <dataValidation type="decimal" operator="greaterThan" allowBlank="1" showInputMessage="1" showErrorMessage="1" sqref="E7219">
      <formula1>0</formula1>
    </dataValidation>
    <dataValidation type="whole" operator="greaterThan" allowBlank="1" showInputMessage="1" showErrorMessage="1" sqref="A7220">
      <formula1>0</formula1>
    </dataValidation>
    <dataValidation type="list" allowBlank="1" showInputMessage="1" showErrorMessage="1" sqref="C7220">
      <formula1>UnidadesList</formula1>
    </dataValidation>
    <dataValidation type="decimal" operator="greaterThan" allowBlank="1" showInputMessage="1" showErrorMessage="1" sqref="D7220">
      <formula1>0</formula1>
    </dataValidation>
    <dataValidation type="decimal" operator="greaterThan" allowBlank="1" showInputMessage="1" showErrorMessage="1" sqref="E7220">
      <formula1>0</formula1>
    </dataValidation>
    <dataValidation type="whole" operator="greaterThan" allowBlank="1" showInputMessage="1" showErrorMessage="1" sqref="A7221">
      <formula1>0</formula1>
    </dataValidation>
    <dataValidation type="list" allowBlank="1" showInputMessage="1" showErrorMessage="1" sqref="C7221">
      <formula1>UnidadesList</formula1>
    </dataValidation>
    <dataValidation type="decimal" operator="greaterThan" allowBlank="1" showInputMessage="1" showErrorMessage="1" sqref="D7221">
      <formula1>0</formula1>
    </dataValidation>
    <dataValidation type="decimal" operator="greaterThan" allowBlank="1" showInputMessage="1" showErrorMessage="1" sqref="E7221">
      <formula1>0</formula1>
    </dataValidation>
    <dataValidation type="whole" operator="greaterThan" allowBlank="1" showInputMessage="1" showErrorMessage="1" sqref="A7222">
      <formula1>0</formula1>
    </dataValidation>
    <dataValidation type="list" allowBlank="1" showInputMessage="1" showErrorMessage="1" sqref="C7222">
      <formula1>UnidadesList</formula1>
    </dataValidation>
    <dataValidation type="decimal" operator="greaterThan" allowBlank="1" showInputMessage="1" showErrorMessage="1" sqref="D7222">
      <formula1>0</formula1>
    </dataValidation>
    <dataValidation type="decimal" operator="greaterThan" allowBlank="1" showInputMessage="1" showErrorMessage="1" sqref="E7222">
      <formula1>0</formula1>
    </dataValidation>
    <dataValidation type="whole" operator="greaterThan" allowBlank="1" showInputMessage="1" showErrorMessage="1" sqref="A7223">
      <formula1>0</formula1>
    </dataValidation>
    <dataValidation type="list" allowBlank="1" showInputMessage="1" showErrorMessage="1" sqref="C7223">
      <formula1>UnidadesList</formula1>
    </dataValidation>
    <dataValidation type="decimal" operator="greaterThan" allowBlank="1" showInputMessage="1" showErrorMessage="1" sqref="D7223">
      <formula1>0</formula1>
    </dataValidation>
    <dataValidation type="decimal" operator="greaterThan" allowBlank="1" showInputMessage="1" showErrorMessage="1" sqref="E7223">
      <formula1>0</formula1>
    </dataValidation>
    <dataValidation type="whole" operator="greaterThan" allowBlank="1" showInputMessage="1" showErrorMessage="1" sqref="A7224">
      <formula1>0</formula1>
    </dataValidation>
    <dataValidation type="list" allowBlank="1" showInputMessage="1" showErrorMessage="1" sqref="C7224">
      <formula1>UnidadesList</formula1>
    </dataValidation>
    <dataValidation type="decimal" operator="greaterThan" allowBlank="1" showInputMessage="1" showErrorMessage="1" sqref="D7224">
      <formula1>0</formula1>
    </dataValidation>
    <dataValidation type="decimal" operator="greaterThan" allowBlank="1" showInputMessage="1" showErrorMessage="1" sqref="E7224">
      <formula1>0</formula1>
    </dataValidation>
    <dataValidation type="whole" operator="greaterThan" allowBlank="1" showInputMessage="1" showErrorMessage="1" sqref="A7225">
      <formula1>0</formula1>
    </dataValidation>
    <dataValidation type="list" allowBlank="1" showInputMessage="1" showErrorMessage="1" sqref="C7225">
      <formula1>UnidadesList</formula1>
    </dataValidation>
    <dataValidation type="decimal" operator="greaterThan" allowBlank="1" showInputMessage="1" showErrorMessage="1" sqref="D7225">
      <formula1>0</formula1>
    </dataValidation>
    <dataValidation type="decimal" operator="greaterThan" allowBlank="1" showInputMessage="1" showErrorMessage="1" sqref="E7225">
      <formula1>0</formula1>
    </dataValidation>
    <dataValidation type="whole" operator="greaterThan" allowBlank="1" showInputMessage="1" showErrorMessage="1" sqref="A7226">
      <formula1>0</formula1>
    </dataValidation>
    <dataValidation type="list" allowBlank="1" showInputMessage="1" showErrorMessage="1" sqref="C7226">
      <formula1>UnidadesList</formula1>
    </dataValidation>
    <dataValidation type="decimal" operator="greaterThan" allowBlank="1" showInputMessage="1" showErrorMessage="1" sqref="D7226">
      <formula1>0</formula1>
    </dataValidation>
    <dataValidation type="decimal" operator="greaterThan" allowBlank="1" showInputMessage="1" showErrorMessage="1" sqref="E7226">
      <formula1>0</formula1>
    </dataValidation>
    <dataValidation type="whole" operator="greaterThan" allowBlank="1" showInputMessage="1" showErrorMessage="1" sqref="A7227">
      <formula1>0</formula1>
    </dataValidation>
    <dataValidation type="list" allowBlank="1" showInputMessage="1" showErrorMessage="1" sqref="C7227">
      <formula1>UnidadesList</formula1>
    </dataValidation>
    <dataValidation type="decimal" operator="greaterThan" allowBlank="1" showInputMessage="1" showErrorMessage="1" sqref="D7227">
      <formula1>0</formula1>
    </dataValidation>
    <dataValidation type="decimal" operator="greaterThan" allowBlank="1" showInputMessage="1" showErrorMessage="1" sqref="E7227">
      <formula1>0</formula1>
    </dataValidation>
    <dataValidation type="whole" operator="greaterThan" allowBlank="1" showInputMessage="1" showErrorMessage="1" sqref="A7228">
      <formula1>0</formula1>
    </dataValidation>
    <dataValidation type="list" allowBlank="1" showInputMessage="1" showErrorMessage="1" sqref="C7228">
      <formula1>UnidadesList</formula1>
    </dataValidation>
    <dataValidation type="decimal" operator="greaterThan" allowBlank="1" showInputMessage="1" showErrorMessage="1" sqref="D7228">
      <formula1>0</formula1>
    </dataValidation>
    <dataValidation type="decimal" operator="greaterThan" allowBlank="1" showInputMessage="1" showErrorMessage="1" sqref="E7228">
      <formula1>0</formula1>
    </dataValidation>
    <dataValidation type="whole" operator="greaterThan" allowBlank="1" showInputMessage="1" showErrorMessage="1" sqref="A7229">
      <formula1>0</formula1>
    </dataValidation>
    <dataValidation type="list" allowBlank="1" showInputMessage="1" showErrorMessage="1" sqref="C7229">
      <formula1>UnidadesList</formula1>
    </dataValidation>
    <dataValidation type="decimal" operator="greaterThan" allowBlank="1" showInputMessage="1" showErrorMessage="1" sqref="D7229">
      <formula1>0</formula1>
    </dataValidation>
    <dataValidation type="decimal" operator="greaterThan" allowBlank="1" showInputMessage="1" showErrorMessage="1" sqref="E7229">
      <formula1>0</formula1>
    </dataValidation>
    <dataValidation type="whole" operator="greaterThan" allowBlank="1" showInputMessage="1" showErrorMessage="1" sqref="A7230">
      <formula1>0</formula1>
    </dataValidation>
    <dataValidation type="list" allowBlank="1" showInputMessage="1" showErrorMessage="1" sqref="C7230">
      <formula1>UnidadesList</formula1>
    </dataValidation>
    <dataValidation type="decimal" operator="greaterThan" allowBlank="1" showInputMessage="1" showErrorMessage="1" sqref="D7230">
      <formula1>0</formula1>
    </dataValidation>
    <dataValidation type="decimal" operator="greaterThan" allowBlank="1" showInputMessage="1" showErrorMessage="1" sqref="E7230">
      <formula1>0</formula1>
    </dataValidation>
    <dataValidation type="whole" operator="greaterThan" allowBlank="1" showInputMessage="1" showErrorMessage="1" sqref="A7231">
      <formula1>0</formula1>
    </dataValidation>
    <dataValidation type="list" allowBlank="1" showInputMessage="1" showErrorMessage="1" sqref="C7231">
      <formula1>UnidadesList</formula1>
    </dataValidation>
    <dataValidation type="decimal" operator="greaterThan" allowBlank="1" showInputMessage="1" showErrorMessage="1" sqref="D7231">
      <formula1>0</formula1>
    </dataValidation>
    <dataValidation type="decimal" operator="greaterThan" allowBlank="1" showInputMessage="1" showErrorMessage="1" sqref="E7231">
      <formula1>0</formula1>
    </dataValidation>
    <dataValidation type="whole" operator="greaterThan" allowBlank="1" showInputMessage="1" showErrorMessage="1" sqref="A7232">
      <formula1>0</formula1>
    </dataValidation>
    <dataValidation type="list" allowBlank="1" showInputMessage="1" showErrorMessage="1" sqref="C7232">
      <formula1>UnidadesList</formula1>
    </dataValidation>
    <dataValidation type="decimal" operator="greaterThan" allowBlank="1" showInputMessage="1" showErrorMessage="1" sqref="D7232">
      <formula1>0</formula1>
    </dataValidation>
    <dataValidation type="decimal" operator="greaterThan" allowBlank="1" showInputMessage="1" showErrorMessage="1" sqref="E7232">
      <formula1>0</formula1>
    </dataValidation>
    <dataValidation type="whole" operator="greaterThan" allowBlank="1" showInputMessage="1" showErrorMessage="1" sqref="A7233">
      <formula1>0</formula1>
    </dataValidation>
    <dataValidation type="list" allowBlank="1" showInputMessage="1" showErrorMessage="1" sqref="C7233">
      <formula1>UnidadesList</formula1>
    </dataValidation>
    <dataValidation type="decimal" operator="greaterThan" allowBlank="1" showInputMessage="1" showErrorMessage="1" sqref="D7233">
      <formula1>0</formula1>
    </dataValidation>
    <dataValidation type="decimal" operator="greaterThan" allowBlank="1" showInputMessage="1" showErrorMessage="1" sqref="E7233">
      <formula1>0</formula1>
    </dataValidation>
    <dataValidation type="whole" operator="greaterThan" allowBlank="1" showInputMessage="1" showErrorMessage="1" sqref="A7234">
      <formula1>0</formula1>
    </dataValidation>
    <dataValidation type="list" allowBlank="1" showInputMessage="1" showErrorMessage="1" sqref="C7234">
      <formula1>UnidadesList</formula1>
    </dataValidation>
    <dataValidation type="decimal" operator="greaterThan" allowBlank="1" showInputMessage="1" showErrorMessage="1" sqref="D7234">
      <formula1>0</formula1>
    </dataValidation>
    <dataValidation type="decimal" operator="greaterThan" allowBlank="1" showInputMessage="1" showErrorMessage="1" sqref="E7234">
      <formula1>0</formula1>
    </dataValidation>
    <dataValidation type="whole" operator="greaterThan" allowBlank="1" showInputMessage="1" showErrorMessage="1" sqref="A7235">
      <formula1>0</formula1>
    </dataValidation>
    <dataValidation type="list" allowBlank="1" showInputMessage="1" showErrorMessage="1" sqref="C7235">
      <formula1>UnidadesList</formula1>
    </dataValidation>
    <dataValidation type="decimal" operator="greaterThan" allowBlank="1" showInputMessage="1" showErrorMessage="1" sqref="D7235">
      <formula1>0</formula1>
    </dataValidation>
    <dataValidation type="decimal" operator="greaterThan" allowBlank="1" showInputMessage="1" showErrorMessage="1" sqref="E7235">
      <formula1>0</formula1>
    </dataValidation>
    <dataValidation type="date" operator="lessThanOrEqual" allowBlank="1" showInputMessage="1" showErrorMessage="1" sqref="C7240">
      <formula1>C7242</formula1>
    </dataValidation>
    <dataValidation type="date" operator="greaterThanOrEqual" allowBlank="1" showInputMessage="1" showErrorMessage="1" sqref="C7242">
      <formula1>C7240</formula1>
    </dataValidation>
    <dataValidation type="list" allowBlank="1" showInputMessage="1" showErrorMessage="1" sqref="F72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2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2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2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246">
      <formula1>0</formula1>
    </dataValidation>
    <dataValidation type="list" allowBlank="1" showInputMessage="1" showErrorMessage="1" sqref="C7246">
      <formula1>UnidadesList</formula1>
    </dataValidation>
    <dataValidation type="decimal" operator="greaterThan" allowBlank="1" showInputMessage="1" showErrorMessage="1" sqref="D7246">
      <formula1>0</formula1>
    </dataValidation>
    <dataValidation type="decimal" operator="greaterThan" allowBlank="1" showInputMessage="1" showErrorMessage="1" sqref="E7246">
      <formula1>0</formula1>
    </dataValidation>
    <dataValidation type="whole" operator="greaterThan" allowBlank="1" showInputMessage="1" showErrorMessage="1" sqref="A7247">
      <formula1>0</formula1>
    </dataValidation>
    <dataValidation type="list" allowBlank="1" showInputMessage="1" showErrorMessage="1" sqref="C7247">
      <formula1>UnidadesList</formula1>
    </dataValidation>
    <dataValidation type="decimal" operator="greaterThan" allowBlank="1" showInputMessage="1" showErrorMessage="1" sqref="D7247">
      <formula1>0</formula1>
    </dataValidation>
    <dataValidation type="decimal" operator="greaterThan" allowBlank="1" showInputMessage="1" showErrorMessage="1" sqref="E7247">
      <formula1>0</formula1>
    </dataValidation>
    <dataValidation type="whole" operator="greaterThan" allowBlank="1" showInputMessage="1" showErrorMessage="1" sqref="A7248">
      <formula1>0</formula1>
    </dataValidation>
    <dataValidation type="list" allowBlank="1" showInputMessage="1" showErrorMessage="1" sqref="C7248">
      <formula1>UnidadesList</formula1>
    </dataValidation>
    <dataValidation type="decimal" operator="greaterThan" allowBlank="1" showInputMessage="1" showErrorMessage="1" sqref="D7248">
      <formula1>0</formula1>
    </dataValidation>
    <dataValidation type="decimal" operator="greaterThan" allowBlank="1" showInputMessage="1" showErrorMessage="1" sqref="E7248">
      <formula1>0</formula1>
    </dataValidation>
    <dataValidation type="whole" operator="greaterThan" allowBlank="1" showInputMessage="1" showErrorMessage="1" sqref="A7249">
      <formula1>0</formula1>
    </dataValidation>
    <dataValidation type="list" allowBlank="1" showInputMessage="1" showErrorMessage="1" sqref="C7249">
      <formula1>UnidadesList</formula1>
    </dataValidation>
    <dataValidation type="decimal" operator="greaterThan" allowBlank="1" showInputMessage="1" showErrorMessage="1" sqref="D7249">
      <formula1>0</formula1>
    </dataValidation>
    <dataValidation type="decimal" operator="greaterThan" allowBlank="1" showInputMessage="1" showErrorMessage="1" sqref="E7249">
      <formula1>0</formula1>
    </dataValidation>
    <dataValidation type="whole" operator="greaterThan" allowBlank="1" showInputMessage="1" showErrorMessage="1" sqref="A7250">
      <formula1>0</formula1>
    </dataValidation>
    <dataValidation type="list" allowBlank="1" showInputMessage="1" showErrorMessage="1" sqref="C7250">
      <formula1>UnidadesList</formula1>
    </dataValidation>
    <dataValidation type="decimal" operator="greaterThan" allowBlank="1" showInputMessage="1" showErrorMessage="1" sqref="D7250">
      <formula1>0</formula1>
    </dataValidation>
    <dataValidation type="decimal" operator="greaterThan" allowBlank="1" showInputMessage="1" showErrorMessage="1" sqref="E7250">
      <formula1>0</formula1>
    </dataValidation>
    <dataValidation type="whole" operator="greaterThan" allowBlank="1" showInputMessage="1" showErrorMessage="1" sqref="A7251">
      <formula1>0</formula1>
    </dataValidation>
    <dataValidation type="list" allowBlank="1" showInputMessage="1" showErrorMessage="1" sqref="C7251">
      <formula1>UnidadesList</formula1>
    </dataValidation>
    <dataValidation type="decimal" operator="greaterThan" allowBlank="1" showInputMessage="1" showErrorMessage="1" sqref="D7251">
      <formula1>0</formula1>
    </dataValidation>
    <dataValidation type="decimal" operator="greaterThan" allowBlank="1" showInputMessage="1" showErrorMessage="1" sqref="E7251">
      <formula1>0</formula1>
    </dataValidation>
    <dataValidation type="whole" operator="greaterThan" allowBlank="1" showInputMessage="1" showErrorMessage="1" sqref="A7252">
      <formula1>0</formula1>
    </dataValidation>
    <dataValidation type="list" allowBlank="1" showInputMessage="1" showErrorMessage="1" sqref="C7252">
      <formula1>UnidadesList</formula1>
    </dataValidation>
    <dataValidation type="decimal" operator="greaterThan" allowBlank="1" showInputMessage="1" showErrorMessage="1" sqref="D7252">
      <formula1>0</formula1>
    </dataValidation>
    <dataValidation type="decimal" operator="greaterThan" allowBlank="1" showInputMessage="1" showErrorMessage="1" sqref="E7252">
      <formula1>0</formula1>
    </dataValidation>
    <dataValidation type="whole" operator="greaterThan" allowBlank="1" showInputMessage="1" showErrorMessage="1" sqref="A7253">
      <formula1>0</formula1>
    </dataValidation>
    <dataValidation type="list" allowBlank="1" showInputMessage="1" showErrorMessage="1" sqref="C7253">
      <formula1>UnidadesList</formula1>
    </dataValidation>
    <dataValidation type="decimal" operator="greaterThan" allowBlank="1" showInputMessage="1" showErrorMessage="1" sqref="D7253">
      <formula1>0</formula1>
    </dataValidation>
    <dataValidation type="decimal" operator="greaterThan" allowBlank="1" showInputMessage="1" showErrorMessage="1" sqref="E7253">
      <formula1>0</formula1>
    </dataValidation>
    <dataValidation type="whole" operator="greaterThan" allowBlank="1" showInputMessage="1" showErrorMessage="1" sqref="A7254">
      <formula1>0</formula1>
    </dataValidation>
    <dataValidation type="list" allowBlank="1" showInputMessage="1" showErrorMessage="1" sqref="C7254">
      <formula1>UnidadesList</formula1>
    </dataValidation>
    <dataValidation type="decimal" operator="greaterThan" allowBlank="1" showInputMessage="1" showErrorMessage="1" sqref="D7254">
      <formula1>0</formula1>
    </dataValidation>
    <dataValidation type="decimal" operator="greaterThan" allowBlank="1" showInputMessage="1" showErrorMessage="1" sqref="E7254">
      <formula1>0</formula1>
    </dataValidation>
    <dataValidation type="whole" operator="greaterThan" allowBlank="1" showInputMessage="1" showErrorMessage="1" sqref="A7255">
      <formula1>0</formula1>
    </dataValidation>
    <dataValidation type="list" allowBlank="1" showInputMessage="1" showErrorMessage="1" sqref="C7255">
      <formula1>UnidadesList</formula1>
    </dataValidation>
    <dataValidation type="decimal" operator="greaterThan" allowBlank="1" showInputMessage="1" showErrorMessage="1" sqref="D7255">
      <formula1>0</formula1>
    </dataValidation>
    <dataValidation type="decimal" operator="greaterThan" allowBlank="1" showInputMessage="1" showErrorMessage="1" sqref="E7255">
      <formula1>0</formula1>
    </dataValidation>
    <dataValidation type="whole" operator="greaterThan" allowBlank="1" showInputMessage="1" showErrorMessage="1" sqref="A7256">
      <formula1>0</formula1>
    </dataValidation>
    <dataValidation type="list" allowBlank="1" showInputMessage="1" showErrorMessage="1" sqref="C7256">
      <formula1>UnidadesList</formula1>
    </dataValidation>
    <dataValidation type="decimal" operator="greaterThan" allowBlank="1" showInputMessage="1" showErrorMessage="1" sqref="D7256">
      <formula1>0</formula1>
    </dataValidation>
    <dataValidation type="decimal" operator="greaterThan" allowBlank="1" showInputMessage="1" showErrorMessage="1" sqref="E7256">
      <formula1>0</formula1>
    </dataValidation>
    <dataValidation type="whole" operator="greaterThan" allowBlank="1" showInputMessage="1" showErrorMessage="1" sqref="A7257">
      <formula1>0</formula1>
    </dataValidation>
    <dataValidation type="list" allowBlank="1" showInputMessage="1" showErrorMessage="1" sqref="C7257">
      <formula1>UnidadesList</formula1>
    </dataValidation>
    <dataValidation type="decimal" operator="greaterThan" allowBlank="1" showInputMessage="1" showErrorMessage="1" sqref="D7257">
      <formula1>0</formula1>
    </dataValidation>
    <dataValidation type="decimal" operator="greaterThan" allowBlank="1" showInputMessage="1" showErrorMessage="1" sqref="E7257">
      <formula1>0</formula1>
    </dataValidation>
    <dataValidation type="whole" operator="greaterThan" allowBlank="1" showInputMessage="1" showErrorMessage="1" sqref="A7258">
      <formula1>0</formula1>
    </dataValidation>
    <dataValidation type="list" allowBlank="1" showInputMessage="1" showErrorMessage="1" sqref="C7258">
      <formula1>UnidadesList</formula1>
    </dataValidation>
    <dataValidation type="decimal" operator="greaterThan" allowBlank="1" showInputMessage="1" showErrorMessage="1" sqref="D7258">
      <formula1>0</formula1>
    </dataValidation>
    <dataValidation type="decimal" operator="greaterThan" allowBlank="1" showInputMessage="1" showErrorMessage="1" sqref="E7258">
      <formula1>0</formula1>
    </dataValidation>
    <dataValidation type="whole" operator="greaterThan" allowBlank="1" showInputMessage="1" showErrorMessage="1" sqref="A7259">
      <formula1>0</formula1>
    </dataValidation>
    <dataValidation type="list" allowBlank="1" showInputMessage="1" showErrorMessage="1" sqref="C7259">
      <formula1>UnidadesList</formula1>
    </dataValidation>
    <dataValidation type="decimal" operator="greaterThan" allowBlank="1" showInputMessage="1" showErrorMessage="1" sqref="D7259">
      <formula1>0</formula1>
    </dataValidation>
    <dataValidation type="decimal" operator="greaterThan" allowBlank="1" showInputMessage="1" showErrorMessage="1" sqref="E7259">
      <formula1>0</formula1>
    </dataValidation>
    <dataValidation type="whole" operator="greaterThan" allowBlank="1" showInputMessage="1" showErrorMessage="1" sqref="A7260">
      <formula1>0</formula1>
    </dataValidation>
    <dataValidation type="list" allowBlank="1" showInputMessage="1" showErrorMessage="1" sqref="C7260">
      <formula1>UnidadesList</formula1>
    </dataValidation>
    <dataValidation type="decimal" operator="greaterThan" allowBlank="1" showInputMessage="1" showErrorMessage="1" sqref="D7260">
      <formula1>0</formula1>
    </dataValidation>
    <dataValidation type="decimal" operator="greaterThan" allowBlank="1" showInputMessage="1" showErrorMessage="1" sqref="E7260">
      <formula1>0</formula1>
    </dataValidation>
    <dataValidation type="whole" operator="greaterThan" allowBlank="1" showInputMessage="1" showErrorMessage="1" sqref="A7261">
      <formula1>0</formula1>
    </dataValidation>
    <dataValidation type="list" allowBlank="1" showInputMessage="1" showErrorMessage="1" sqref="C7261">
      <formula1>UnidadesList</formula1>
    </dataValidation>
    <dataValidation type="decimal" operator="greaterThan" allowBlank="1" showInputMessage="1" showErrorMessage="1" sqref="D7261">
      <formula1>0</formula1>
    </dataValidation>
    <dataValidation type="decimal" operator="greaterThan" allowBlank="1" showInputMessage="1" showErrorMessage="1" sqref="E7261">
      <formula1>0</formula1>
    </dataValidation>
    <dataValidation type="whole" operator="greaterThan" allowBlank="1" showInputMessage="1" showErrorMessage="1" sqref="A7262">
      <formula1>0</formula1>
    </dataValidation>
    <dataValidation type="list" allowBlank="1" showInputMessage="1" showErrorMessage="1" sqref="C7262">
      <formula1>UnidadesList</formula1>
    </dataValidation>
    <dataValidation type="decimal" operator="greaterThan" allowBlank="1" showInputMessage="1" showErrorMessage="1" sqref="D7262">
      <formula1>0</formula1>
    </dataValidation>
    <dataValidation type="decimal" operator="greaterThan" allowBlank="1" showInputMessage="1" showErrorMessage="1" sqref="E7262">
      <formula1>0</formula1>
    </dataValidation>
    <dataValidation type="whole" operator="greaterThan" allowBlank="1" showInputMessage="1" showErrorMessage="1" sqref="A7263">
      <formula1>0</formula1>
    </dataValidation>
    <dataValidation type="list" allowBlank="1" showInputMessage="1" showErrorMessage="1" sqref="C7263">
      <formula1>UnidadesList</formula1>
    </dataValidation>
    <dataValidation type="decimal" operator="greaterThan" allowBlank="1" showInputMessage="1" showErrorMessage="1" sqref="D7263">
      <formula1>0</formula1>
    </dataValidation>
    <dataValidation type="decimal" operator="greaterThan" allowBlank="1" showInputMessage="1" showErrorMessage="1" sqref="E7263">
      <formula1>0</formula1>
    </dataValidation>
    <dataValidation type="whole" operator="greaterThan" allowBlank="1" showInputMessage="1" showErrorMessage="1" sqref="A7264">
      <formula1>0</formula1>
    </dataValidation>
    <dataValidation type="list" allowBlank="1" showInputMessage="1" showErrorMessage="1" sqref="C7264">
      <formula1>UnidadesList</formula1>
    </dataValidation>
    <dataValidation type="decimal" operator="greaterThan" allowBlank="1" showInputMessage="1" showErrorMessage="1" sqref="D7264">
      <formula1>0</formula1>
    </dataValidation>
    <dataValidation type="decimal" operator="greaterThan" allowBlank="1" showInputMessage="1" showErrorMessage="1" sqref="E7264">
      <formula1>0</formula1>
    </dataValidation>
    <dataValidation type="whole" operator="greaterThan" allowBlank="1" showInputMessage="1" showErrorMessage="1" sqref="A7265">
      <formula1>0</formula1>
    </dataValidation>
    <dataValidation type="list" allowBlank="1" showInputMessage="1" showErrorMessage="1" sqref="C7265">
      <formula1>UnidadesList</formula1>
    </dataValidation>
    <dataValidation type="decimal" operator="greaterThan" allowBlank="1" showInputMessage="1" showErrorMessage="1" sqref="D7265">
      <formula1>0</formula1>
    </dataValidation>
    <dataValidation type="decimal" operator="greaterThan" allowBlank="1" showInputMessage="1" showErrorMessage="1" sqref="E7265">
      <formula1>0</formula1>
    </dataValidation>
    <dataValidation type="whole" operator="greaterThan" allowBlank="1" showInputMessage="1" showErrorMessage="1" sqref="A7266">
      <formula1>0</formula1>
    </dataValidation>
    <dataValidation type="list" allowBlank="1" showInputMessage="1" showErrorMessage="1" sqref="C7266">
      <formula1>UnidadesList</formula1>
    </dataValidation>
    <dataValidation type="decimal" operator="greaterThan" allowBlank="1" showInputMessage="1" showErrorMessage="1" sqref="D7266">
      <formula1>0</formula1>
    </dataValidation>
    <dataValidation type="decimal" operator="greaterThan" allowBlank="1" showInputMessage="1" showErrorMessage="1" sqref="E7266">
      <formula1>0</formula1>
    </dataValidation>
    <dataValidation type="whole" operator="greaterThan" allowBlank="1" showInputMessage="1" showErrorMessage="1" sqref="A7267">
      <formula1>0</formula1>
    </dataValidation>
    <dataValidation type="list" allowBlank="1" showInputMessage="1" showErrorMessage="1" sqref="C7267">
      <formula1>UnidadesList</formula1>
    </dataValidation>
    <dataValidation type="decimal" operator="greaterThan" allowBlank="1" showInputMessage="1" showErrorMessage="1" sqref="D7267">
      <formula1>0</formula1>
    </dataValidation>
    <dataValidation type="decimal" operator="greaterThan" allowBlank="1" showInputMessage="1" showErrorMessage="1" sqref="E7267">
      <formula1>0</formula1>
    </dataValidation>
    <dataValidation type="whole" operator="greaterThan" allowBlank="1" showInputMessage="1" showErrorMessage="1" sqref="A7268">
      <formula1>0</formula1>
    </dataValidation>
    <dataValidation type="list" allowBlank="1" showInputMessage="1" showErrorMessage="1" sqref="C7268">
      <formula1>UnidadesList</formula1>
    </dataValidation>
    <dataValidation type="decimal" operator="greaterThan" allowBlank="1" showInputMessage="1" showErrorMessage="1" sqref="D7268">
      <formula1>0</formula1>
    </dataValidation>
    <dataValidation type="decimal" operator="greaterThan" allowBlank="1" showInputMessage="1" showErrorMessage="1" sqref="E7268">
      <formula1>0</formula1>
    </dataValidation>
    <dataValidation type="whole" operator="greaterThan" allowBlank="1" showInputMessage="1" showErrorMessage="1" sqref="A7269">
      <formula1>0</formula1>
    </dataValidation>
    <dataValidation type="list" allowBlank="1" showInputMessage="1" showErrorMessage="1" sqref="C7269">
      <formula1>UnidadesList</formula1>
    </dataValidation>
    <dataValidation type="decimal" operator="greaterThan" allowBlank="1" showInputMessage="1" showErrorMessage="1" sqref="D7269">
      <formula1>0</formula1>
    </dataValidation>
    <dataValidation type="decimal" operator="greaterThan" allowBlank="1" showInputMessage="1" showErrorMessage="1" sqref="E7269">
      <formula1>0</formula1>
    </dataValidation>
    <dataValidation type="whole" operator="greaterThan" allowBlank="1" showInputMessage="1" showErrorMessage="1" sqref="A7270">
      <formula1>0</formula1>
    </dataValidation>
    <dataValidation type="list" allowBlank="1" showInputMessage="1" showErrorMessage="1" sqref="C7270">
      <formula1>UnidadesList</formula1>
    </dataValidation>
    <dataValidation type="decimal" operator="greaterThan" allowBlank="1" showInputMessage="1" showErrorMessage="1" sqref="D7270">
      <formula1>0</formula1>
    </dataValidation>
    <dataValidation type="decimal" operator="greaterThan" allowBlank="1" showInputMessage="1" showErrorMessage="1" sqref="E7270">
      <formula1>0</formula1>
    </dataValidation>
    <dataValidation type="whole" operator="greaterThan" allowBlank="1" showInputMessage="1" showErrorMessage="1" sqref="A7271">
      <formula1>0</formula1>
    </dataValidation>
    <dataValidation type="list" allowBlank="1" showInputMessage="1" showErrorMessage="1" sqref="C7271">
      <formula1>UnidadesList</formula1>
    </dataValidation>
    <dataValidation type="decimal" operator="greaterThan" allowBlank="1" showInputMessage="1" showErrorMessage="1" sqref="D7271">
      <formula1>0</formula1>
    </dataValidation>
    <dataValidation type="decimal" operator="greaterThan" allowBlank="1" showInputMessage="1" showErrorMessage="1" sqref="E7271">
      <formula1>0</formula1>
    </dataValidation>
    <dataValidation type="whole" operator="greaterThan" allowBlank="1" showInputMessage="1" showErrorMessage="1" sqref="A7272">
      <formula1>0</formula1>
    </dataValidation>
    <dataValidation type="list" allowBlank="1" showInputMessage="1" showErrorMessage="1" sqref="C7272">
      <formula1>UnidadesList</formula1>
    </dataValidation>
    <dataValidation type="decimal" operator="greaterThan" allowBlank="1" showInputMessage="1" showErrorMessage="1" sqref="D7272">
      <formula1>0</formula1>
    </dataValidation>
    <dataValidation type="decimal" operator="greaterThan" allowBlank="1" showInputMessage="1" showErrorMessage="1" sqref="E7272">
      <formula1>0</formula1>
    </dataValidation>
    <dataValidation type="date" operator="lessThanOrEqual" allowBlank="1" showInputMessage="1" showErrorMessage="1" sqref="C7277">
      <formula1>C7279</formula1>
    </dataValidation>
    <dataValidation type="date" operator="greaterThanOrEqual" allowBlank="1" showInputMessage="1" showErrorMessage="1" sqref="C7279">
      <formula1>C7277</formula1>
    </dataValidation>
    <dataValidation type="list" allowBlank="1" showInputMessage="1" showErrorMessage="1" sqref="F72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2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2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2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283">
      <formula1>0</formula1>
    </dataValidation>
    <dataValidation type="list" allowBlank="1" showInputMessage="1" showErrorMessage="1" sqref="C7283">
      <formula1>UnidadesList</formula1>
    </dataValidation>
    <dataValidation type="decimal" operator="greaterThan" allowBlank="1" showInputMessage="1" showErrorMessage="1" sqref="D7283">
      <formula1>0</formula1>
    </dataValidation>
    <dataValidation type="decimal" operator="greaterThan" allowBlank="1" showInputMessage="1" showErrorMessage="1" sqref="E7283">
      <formula1>0</formula1>
    </dataValidation>
    <dataValidation type="whole" operator="greaterThan" allowBlank="1" showInputMessage="1" showErrorMessage="1" sqref="A7284">
      <formula1>0</formula1>
    </dataValidation>
    <dataValidation type="list" allowBlank="1" showInputMessage="1" showErrorMessage="1" sqref="C7284">
      <formula1>UnidadesList</formula1>
    </dataValidation>
    <dataValidation type="decimal" operator="greaterThan" allowBlank="1" showInputMessage="1" showErrorMessage="1" sqref="D7284">
      <formula1>0</formula1>
    </dataValidation>
    <dataValidation type="decimal" operator="greaterThan" allowBlank="1" showInputMessage="1" showErrorMessage="1" sqref="E7284">
      <formula1>0</formula1>
    </dataValidation>
    <dataValidation type="whole" operator="greaterThan" allowBlank="1" showInputMessage="1" showErrorMessage="1" sqref="A7285">
      <formula1>0</formula1>
    </dataValidation>
    <dataValidation type="list" allowBlank="1" showInputMessage="1" showErrorMessage="1" sqref="C7285">
      <formula1>UnidadesList</formula1>
    </dataValidation>
    <dataValidation type="decimal" operator="greaterThan" allowBlank="1" showInputMessage="1" showErrorMessage="1" sqref="D7285">
      <formula1>0</formula1>
    </dataValidation>
    <dataValidation type="decimal" operator="greaterThan" allowBlank="1" showInputMessage="1" showErrorMessage="1" sqref="E7285">
      <formula1>0</formula1>
    </dataValidation>
    <dataValidation type="whole" operator="greaterThan" allowBlank="1" showInputMessage="1" showErrorMessage="1" sqref="A7286">
      <formula1>0</formula1>
    </dataValidation>
    <dataValidation type="list" allowBlank="1" showInputMessage="1" showErrorMessage="1" sqref="C7286">
      <formula1>UnidadesList</formula1>
    </dataValidation>
    <dataValidation type="decimal" operator="greaterThan" allowBlank="1" showInputMessage="1" showErrorMessage="1" sqref="D7286">
      <formula1>0</formula1>
    </dataValidation>
    <dataValidation type="decimal" operator="greaterThan" allowBlank="1" showInputMessage="1" showErrorMessage="1" sqref="E7286">
      <formula1>0</formula1>
    </dataValidation>
    <dataValidation type="whole" operator="greaterThan" allowBlank="1" showInputMessage="1" showErrorMessage="1" sqref="A7287">
      <formula1>0</formula1>
    </dataValidation>
    <dataValidation type="list" allowBlank="1" showInputMessage="1" showErrorMessage="1" sqref="C7287">
      <formula1>UnidadesList</formula1>
    </dataValidation>
    <dataValidation type="decimal" operator="greaterThan" allowBlank="1" showInputMessage="1" showErrorMessage="1" sqref="D7287">
      <formula1>0</formula1>
    </dataValidation>
    <dataValidation type="decimal" operator="greaterThan" allowBlank="1" showInputMessage="1" showErrorMessage="1" sqref="E7287">
      <formula1>0</formula1>
    </dataValidation>
    <dataValidation type="whole" operator="greaterThan" allowBlank="1" showInputMessage="1" showErrorMessage="1" sqref="A7288">
      <formula1>0</formula1>
    </dataValidation>
    <dataValidation type="list" allowBlank="1" showInputMessage="1" showErrorMessage="1" sqref="C7288">
      <formula1>UnidadesList</formula1>
    </dataValidation>
    <dataValidation type="decimal" operator="greaterThan" allowBlank="1" showInputMessage="1" showErrorMessage="1" sqref="D7288">
      <formula1>0</formula1>
    </dataValidation>
    <dataValidation type="decimal" operator="greaterThan" allowBlank="1" showInputMessage="1" showErrorMessage="1" sqref="E7288">
      <formula1>0</formula1>
    </dataValidation>
    <dataValidation type="whole" operator="greaterThan" allowBlank="1" showInputMessage="1" showErrorMessage="1" sqref="A7289">
      <formula1>0</formula1>
    </dataValidation>
    <dataValidation type="list" allowBlank="1" showInputMessage="1" showErrorMessage="1" sqref="C7289">
      <formula1>UnidadesList</formula1>
    </dataValidation>
    <dataValidation type="decimal" operator="greaterThan" allowBlank="1" showInputMessage="1" showErrorMessage="1" sqref="D7289">
      <formula1>0</formula1>
    </dataValidation>
    <dataValidation type="decimal" operator="greaterThan" allowBlank="1" showInputMessage="1" showErrorMessage="1" sqref="E7289">
      <formula1>0</formula1>
    </dataValidation>
    <dataValidation type="whole" operator="greaterThan" allowBlank="1" showInputMessage="1" showErrorMessage="1" sqref="A7290">
      <formula1>0</formula1>
    </dataValidation>
    <dataValidation type="list" allowBlank="1" showInputMessage="1" showErrorMessage="1" sqref="C7290">
      <formula1>UnidadesList</formula1>
    </dataValidation>
    <dataValidation type="decimal" operator="greaterThan" allowBlank="1" showInputMessage="1" showErrorMessage="1" sqref="D7290">
      <formula1>0</formula1>
    </dataValidation>
    <dataValidation type="decimal" operator="greaterThan" allowBlank="1" showInputMessage="1" showErrorMessage="1" sqref="E7290">
      <formula1>0</formula1>
    </dataValidation>
    <dataValidation type="whole" operator="greaterThan" allowBlank="1" showInputMessage="1" showErrorMessage="1" sqref="A7291">
      <formula1>0</formula1>
    </dataValidation>
    <dataValidation type="list" allowBlank="1" showInputMessage="1" showErrorMessage="1" sqref="C7291">
      <formula1>UnidadesList</formula1>
    </dataValidation>
    <dataValidation type="decimal" operator="greaterThan" allowBlank="1" showInputMessage="1" showErrorMessage="1" sqref="D7291">
      <formula1>0</formula1>
    </dataValidation>
    <dataValidation type="decimal" operator="greaterThan" allowBlank="1" showInputMessage="1" showErrorMessage="1" sqref="E7291">
      <formula1>0</formula1>
    </dataValidation>
    <dataValidation type="whole" operator="greaterThan" allowBlank="1" showInputMessage="1" showErrorMessage="1" sqref="A7292">
      <formula1>0</formula1>
    </dataValidation>
    <dataValidation type="list" allowBlank="1" showInputMessage="1" showErrorMessage="1" sqref="C7292">
      <formula1>UnidadesList</formula1>
    </dataValidation>
    <dataValidation type="decimal" operator="greaterThan" allowBlank="1" showInputMessage="1" showErrorMessage="1" sqref="D7292">
      <formula1>0</formula1>
    </dataValidation>
    <dataValidation type="decimal" operator="greaterThan" allowBlank="1" showInputMessage="1" showErrorMessage="1" sqref="E7292">
      <formula1>0</formula1>
    </dataValidation>
    <dataValidation type="whole" operator="greaterThan" allowBlank="1" showInputMessage="1" showErrorMessage="1" sqref="A7293">
      <formula1>0</formula1>
    </dataValidation>
    <dataValidation type="list" allowBlank="1" showInputMessage="1" showErrorMessage="1" sqref="C7293">
      <formula1>UnidadesList</formula1>
    </dataValidation>
    <dataValidation type="decimal" operator="greaterThan" allowBlank="1" showInputMessage="1" showErrorMessage="1" sqref="D7293">
      <formula1>0</formula1>
    </dataValidation>
    <dataValidation type="decimal" operator="greaterThan" allowBlank="1" showInputMessage="1" showErrorMessage="1" sqref="E7293">
      <formula1>0</formula1>
    </dataValidation>
    <dataValidation type="whole" operator="greaterThan" allowBlank="1" showInputMessage="1" showErrorMessage="1" sqref="A7294">
      <formula1>0</formula1>
    </dataValidation>
    <dataValidation type="list" allowBlank="1" showInputMessage="1" showErrorMessage="1" sqref="C7294">
      <formula1>UnidadesList</formula1>
    </dataValidation>
    <dataValidation type="decimal" operator="greaterThan" allowBlank="1" showInputMessage="1" showErrorMessage="1" sqref="D7294">
      <formula1>0</formula1>
    </dataValidation>
    <dataValidation type="decimal" operator="greaterThan" allowBlank="1" showInputMessage="1" showErrorMessage="1" sqref="E7294">
      <formula1>0</formula1>
    </dataValidation>
    <dataValidation type="whole" operator="greaterThan" allowBlank="1" showInputMessage="1" showErrorMessage="1" sqref="A7295">
      <formula1>0</formula1>
    </dataValidation>
    <dataValidation type="list" allowBlank="1" showInputMessage="1" showErrorMessage="1" sqref="C7295">
      <formula1>UnidadesList</formula1>
    </dataValidation>
    <dataValidation type="decimal" operator="greaterThan" allowBlank="1" showInputMessage="1" showErrorMessage="1" sqref="D7295">
      <formula1>0</formula1>
    </dataValidation>
    <dataValidation type="decimal" operator="greaterThan" allowBlank="1" showInputMessage="1" showErrorMessage="1" sqref="E7295">
      <formula1>0</formula1>
    </dataValidation>
    <dataValidation type="whole" operator="greaterThan" allowBlank="1" showInputMessage="1" showErrorMessage="1" sqref="A7296">
      <formula1>0</formula1>
    </dataValidation>
    <dataValidation type="list" allowBlank="1" showInputMessage="1" showErrorMessage="1" sqref="C7296">
      <formula1>UnidadesList</formula1>
    </dataValidation>
    <dataValidation type="decimal" operator="greaterThan" allowBlank="1" showInputMessage="1" showErrorMessage="1" sqref="D7296">
      <formula1>0</formula1>
    </dataValidation>
    <dataValidation type="decimal" operator="greaterThan" allowBlank="1" showInputMessage="1" showErrorMessage="1" sqref="E7296">
      <formula1>0</formula1>
    </dataValidation>
    <dataValidation type="whole" operator="greaterThan" allowBlank="1" showInputMessage="1" showErrorMessage="1" sqref="A7297">
      <formula1>0</formula1>
    </dataValidation>
    <dataValidation type="list" allowBlank="1" showInputMessage="1" showErrorMessage="1" sqref="C7297">
      <formula1>UnidadesList</formula1>
    </dataValidation>
    <dataValidation type="decimal" operator="greaterThan" allowBlank="1" showInputMessage="1" showErrorMessage="1" sqref="D7297">
      <formula1>0</formula1>
    </dataValidation>
    <dataValidation type="decimal" operator="greaterThan" allowBlank="1" showInputMessage="1" showErrorMessage="1" sqref="E7297">
      <formula1>0</formula1>
    </dataValidation>
    <dataValidation type="whole" operator="greaterThan" allowBlank="1" showInputMessage="1" showErrorMessage="1" sqref="A7298">
      <formula1>0</formula1>
    </dataValidation>
    <dataValidation type="list" allowBlank="1" showInputMessage="1" showErrorMessage="1" sqref="C7298">
      <formula1>UnidadesList</formula1>
    </dataValidation>
    <dataValidation type="decimal" operator="greaterThan" allowBlank="1" showInputMessage="1" showErrorMessage="1" sqref="D7298">
      <formula1>0</formula1>
    </dataValidation>
    <dataValidation type="decimal" operator="greaterThan" allowBlank="1" showInputMessage="1" showErrorMessage="1" sqref="E7298">
      <formula1>0</formula1>
    </dataValidation>
    <dataValidation type="whole" operator="greaterThan" allowBlank="1" showInputMessage="1" showErrorMessage="1" sqref="A7299">
      <formula1>0</formula1>
    </dataValidation>
    <dataValidation type="list" allowBlank="1" showInputMessage="1" showErrorMessage="1" sqref="C7299">
      <formula1>UnidadesList</formula1>
    </dataValidation>
    <dataValidation type="decimal" operator="greaterThan" allowBlank="1" showInputMessage="1" showErrorMessage="1" sqref="D7299">
      <formula1>0</formula1>
    </dataValidation>
    <dataValidation type="decimal" operator="greaterThan" allowBlank="1" showInputMessage="1" showErrorMessage="1" sqref="E7299">
      <formula1>0</formula1>
    </dataValidation>
    <dataValidation type="whole" operator="greaterThan" allowBlank="1" showInputMessage="1" showErrorMessage="1" sqref="A7300">
      <formula1>0</formula1>
    </dataValidation>
    <dataValidation type="list" allowBlank="1" showInputMessage="1" showErrorMessage="1" sqref="C7300">
      <formula1>UnidadesList</formula1>
    </dataValidation>
    <dataValidation type="decimal" operator="greaterThan" allowBlank="1" showInputMessage="1" showErrorMessage="1" sqref="D7300">
      <formula1>0</formula1>
    </dataValidation>
    <dataValidation type="decimal" operator="greaterThan" allowBlank="1" showInputMessage="1" showErrorMessage="1" sqref="E7300">
      <formula1>0</formula1>
    </dataValidation>
    <dataValidation type="whole" operator="greaterThan" allowBlank="1" showInputMessage="1" showErrorMessage="1" sqref="A7301">
      <formula1>0</formula1>
    </dataValidation>
    <dataValidation type="list" allowBlank="1" showInputMessage="1" showErrorMessage="1" sqref="C7301">
      <formula1>UnidadesList</formula1>
    </dataValidation>
    <dataValidation type="decimal" operator="greaterThan" allowBlank="1" showInputMessage="1" showErrorMessage="1" sqref="D7301">
      <formula1>0</formula1>
    </dataValidation>
    <dataValidation type="decimal" operator="greaterThan" allowBlank="1" showInputMessage="1" showErrorMessage="1" sqref="E7301">
      <formula1>0</formula1>
    </dataValidation>
    <dataValidation type="whole" operator="greaterThan" allowBlank="1" showInputMessage="1" showErrorMessage="1" sqref="A7302">
      <formula1>0</formula1>
    </dataValidation>
    <dataValidation type="list" allowBlank="1" showInputMessage="1" showErrorMessage="1" sqref="C7302">
      <formula1>UnidadesList</formula1>
    </dataValidation>
    <dataValidation type="decimal" operator="greaterThan" allowBlank="1" showInputMessage="1" showErrorMessage="1" sqref="D7302">
      <formula1>0</formula1>
    </dataValidation>
    <dataValidation type="decimal" operator="greaterThan" allowBlank="1" showInputMessage="1" showErrorMessage="1" sqref="E7302">
      <formula1>0</formula1>
    </dataValidation>
    <dataValidation type="whole" operator="greaterThan" allowBlank="1" showInputMessage="1" showErrorMessage="1" sqref="A7303">
      <formula1>0</formula1>
    </dataValidation>
    <dataValidation type="list" allowBlank="1" showInputMessage="1" showErrorMessage="1" sqref="C7303">
      <formula1>UnidadesList</formula1>
    </dataValidation>
    <dataValidation type="decimal" operator="greaterThan" allowBlank="1" showInputMessage="1" showErrorMessage="1" sqref="D7303">
      <formula1>0</formula1>
    </dataValidation>
    <dataValidation type="decimal" operator="greaterThan" allowBlank="1" showInputMessage="1" showErrorMessage="1" sqref="E7303">
      <formula1>0</formula1>
    </dataValidation>
    <dataValidation type="whole" operator="greaterThan" allowBlank="1" showInputMessage="1" showErrorMessage="1" sqref="A7304">
      <formula1>0</formula1>
    </dataValidation>
    <dataValidation type="list" allowBlank="1" showInputMessage="1" showErrorMessage="1" sqref="C7304">
      <formula1>UnidadesList</formula1>
    </dataValidation>
    <dataValidation type="decimal" operator="greaterThan" allowBlank="1" showInputMessage="1" showErrorMessage="1" sqref="D7304">
      <formula1>0</formula1>
    </dataValidation>
    <dataValidation type="decimal" operator="greaterThan" allowBlank="1" showInputMessage="1" showErrorMessage="1" sqref="E7304">
      <formula1>0</formula1>
    </dataValidation>
    <dataValidation type="whole" operator="greaterThan" allowBlank="1" showInputMessage="1" showErrorMessage="1" sqref="A7305">
      <formula1>0</formula1>
    </dataValidation>
    <dataValidation type="list" allowBlank="1" showInputMessage="1" showErrorMessage="1" sqref="C7305">
      <formula1>UnidadesList</formula1>
    </dataValidation>
    <dataValidation type="decimal" operator="greaterThan" allowBlank="1" showInputMessage="1" showErrorMessage="1" sqref="D7305">
      <formula1>0</formula1>
    </dataValidation>
    <dataValidation type="decimal" operator="greaterThan" allowBlank="1" showInputMessage="1" showErrorMessage="1" sqref="E7305">
      <formula1>0</formula1>
    </dataValidation>
    <dataValidation type="whole" operator="greaterThan" allowBlank="1" showInputMessage="1" showErrorMessage="1" sqref="A7306">
      <formula1>0</formula1>
    </dataValidation>
    <dataValidation type="list" allowBlank="1" showInputMessage="1" showErrorMessage="1" sqref="C7306">
      <formula1>UnidadesList</formula1>
    </dataValidation>
    <dataValidation type="decimal" operator="greaterThan" allowBlank="1" showInputMessage="1" showErrorMessage="1" sqref="D7306">
      <formula1>0</formula1>
    </dataValidation>
    <dataValidation type="decimal" operator="greaterThan" allowBlank="1" showInputMessage="1" showErrorMessage="1" sqref="E7306">
      <formula1>0</formula1>
    </dataValidation>
    <dataValidation type="whole" operator="greaterThan" allowBlank="1" showInputMessage="1" showErrorMessage="1" sqref="A7307">
      <formula1>0</formula1>
    </dataValidation>
    <dataValidation type="list" allowBlank="1" showInputMessage="1" showErrorMessage="1" sqref="C7307">
      <formula1>UnidadesList</formula1>
    </dataValidation>
    <dataValidation type="decimal" operator="greaterThan" allowBlank="1" showInputMessage="1" showErrorMessage="1" sqref="D7307">
      <formula1>0</formula1>
    </dataValidation>
    <dataValidation type="decimal" operator="greaterThan" allowBlank="1" showInputMessage="1" showErrorMessage="1" sqref="E7307">
      <formula1>0</formula1>
    </dataValidation>
    <dataValidation type="whole" operator="greaterThan" allowBlank="1" showInputMessage="1" showErrorMessage="1" sqref="A7308">
      <formula1>0</formula1>
    </dataValidation>
    <dataValidation type="list" allowBlank="1" showInputMessage="1" showErrorMessage="1" sqref="C7308">
      <formula1>UnidadesList</formula1>
    </dataValidation>
    <dataValidation type="decimal" operator="greaterThan" allowBlank="1" showInputMessage="1" showErrorMessage="1" sqref="D7308">
      <formula1>0</formula1>
    </dataValidation>
    <dataValidation type="decimal" operator="greaterThan" allowBlank="1" showInputMessage="1" showErrorMessage="1" sqref="E7308">
      <formula1>0</formula1>
    </dataValidation>
    <dataValidation type="whole" operator="greaterThan" allowBlank="1" showInputMessage="1" showErrorMessage="1" sqref="A7309">
      <formula1>0</formula1>
    </dataValidation>
    <dataValidation type="list" allowBlank="1" showInputMessage="1" showErrorMessage="1" sqref="C7309">
      <formula1>UnidadesList</formula1>
    </dataValidation>
    <dataValidation type="decimal" operator="greaterThan" allowBlank="1" showInputMessage="1" showErrorMessage="1" sqref="D7309">
      <formula1>0</formula1>
    </dataValidation>
    <dataValidation type="decimal" operator="greaterThan" allowBlank="1" showInputMessage="1" showErrorMessage="1" sqref="E7309">
      <formula1>0</formula1>
    </dataValidation>
    <dataValidation type="whole" operator="greaterThan" allowBlank="1" showInputMessage="1" showErrorMessage="1" sqref="A7310">
      <formula1>0</formula1>
    </dataValidation>
    <dataValidation type="list" allowBlank="1" showInputMessage="1" showErrorMessage="1" sqref="C7310">
      <formula1>UnidadesList</formula1>
    </dataValidation>
    <dataValidation type="decimal" operator="greaterThan" allowBlank="1" showInputMessage="1" showErrorMessage="1" sqref="D7310">
      <formula1>0</formula1>
    </dataValidation>
    <dataValidation type="decimal" operator="greaterThan" allowBlank="1" showInputMessage="1" showErrorMessage="1" sqref="E7310">
      <formula1>0</formula1>
    </dataValidation>
    <dataValidation type="whole" operator="greaterThan" allowBlank="1" showInputMessage="1" showErrorMessage="1" sqref="A7311">
      <formula1>0</formula1>
    </dataValidation>
    <dataValidation type="list" allowBlank="1" showInputMessage="1" showErrorMessage="1" sqref="C7311">
      <formula1>UnidadesList</formula1>
    </dataValidation>
    <dataValidation type="decimal" operator="greaterThan" allowBlank="1" showInputMessage="1" showErrorMessage="1" sqref="D7311">
      <formula1>0</formula1>
    </dataValidation>
    <dataValidation type="decimal" operator="greaterThan" allowBlank="1" showInputMessage="1" showErrorMessage="1" sqref="E7311">
      <formula1>0</formula1>
    </dataValidation>
    <dataValidation type="whole" operator="greaterThan" allowBlank="1" showInputMessage="1" showErrorMessage="1" sqref="A7312">
      <formula1>0</formula1>
    </dataValidation>
    <dataValidation type="list" allowBlank="1" showInputMessage="1" showErrorMessage="1" sqref="C7312">
      <formula1>UnidadesList</formula1>
    </dataValidation>
    <dataValidation type="decimal" operator="greaterThan" allowBlank="1" showInputMessage="1" showErrorMessage="1" sqref="D7312">
      <formula1>0</formula1>
    </dataValidation>
    <dataValidation type="decimal" operator="greaterThan" allowBlank="1" showInputMessage="1" showErrorMessage="1" sqref="E7312">
      <formula1>0</formula1>
    </dataValidation>
    <dataValidation type="whole" operator="greaterThan" allowBlank="1" showInputMessage="1" showErrorMessage="1" sqref="A7313">
      <formula1>0</formula1>
    </dataValidation>
    <dataValidation type="list" allowBlank="1" showInputMessage="1" showErrorMessage="1" sqref="C7313">
      <formula1>UnidadesList</formula1>
    </dataValidation>
    <dataValidation type="decimal" operator="greaterThan" allowBlank="1" showInputMessage="1" showErrorMessage="1" sqref="D7313">
      <formula1>0</formula1>
    </dataValidation>
    <dataValidation type="decimal" operator="greaterThan" allowBlank="1" showInputMessage="1" showErrorMessage="1" sqref="E7313">
      <formula1>0</formula1>
    </dataValidation>
    <dataValidation type="whole" operator="greaterThan" allowBlank="1" showInputMessage="1" showErrorMessage="1" sqref="A7314">
      <formula1>0</formula1>
    </dataValidation>
    <dataValidation type="list" allowBlank="1" showInputMessage="1" showErrorMessage="1" sqref="C7314">
      <formula1>UnidadesList</formula1>
    </dataValidation>
    <dataValidation type="decimal" operator="greaterThan" allowBlank="1" showInputMessage="1" showErrorMessage="1" sqref="D7314">
      <formula1>0</formula1>
    </dataValidation>
    <dataValidation type="decimal" operator="greaterThan" allowBlank="1" showInputMessage="1" showErrorMessage="1" sqref="E7314">
      <formula1>0</formula1>
    </dataValidation>
    <dataValidation type="whole" operator="greaterThan" allowBlank="1" showInputMessage="1" showErrorMessage="1" sqref="A7315">
      <formula1>0</formula1>
    </dataValidation>
    <dataValidation type="list" allowBlank="1" showInputMessage="1" showErrorMessage="1" sqref="C7315">
      <formula1>UnidadesList</formula1>
    </dataValidation>
    <dataValidation type="decimal" operator="greaterThan" allowBlank="1" showInputMessage="1" showErrorMessage="1" sqref="D7315">
      <formula1>0</formula1>
    </dataValidation>
    <dataValidation type="decimal" operator="greaterThan" allowBlank="1" showInputMessage="1" showErrorMessage="1" sqref="E7315">
      <formula1>0</formula1>
    </dataValidation>
    <dataValidation type="whole" operator="greaterThan" allowBlank="1" showInputMessage="1" showErrorMessage="1" sqref="A7316">
      <formula1>0</formula1>
    </dataValidation>
    <dataValidation type="list" allowBlank="1" showInputMessage="1" showErrorMessage="1" sqref="C7316">
      <formula1>UnidadesList</formula1>
    </dataValidation>
    <dataValidation type="decimal" operator="greaterThan" allowBlank="1" showInputMessage="1" showErrorMessage="1" sqref="D7316">
      <formula1>0</formula1>
    </dataValidation>
    <dataValidation type="decimal" operator="greaterThan" allowBlank="1" showInputMessage="1" showErrorMessage="1" sqref="E7316">
      <formula1>0</formula1>
    </dataValidation>
    <dataValidation type="whole" operator="greaterThan" allowBlank="1" showInputMessage="1" showErrorMessage="1" sqref="A7317">
      <formula1>0</formula1>
    </dataValidation>
    <dataValidation type="list" allowBlank="1" showInputMessage="1" showErrorMessage="1" sqref="C7317">
      <formula1>UnidadesList</formula1>
    </dataValidation>
    <dataValidation type="decimal" operator="greaterThan" allowBlank="1" showInputMessage="1" showErrorMessage="1" sqref="D7317">
      <formula1>0</formula1>
    </dataValidation>
    <dataValidation type="decimal" operator="greaterThan" allowBlank="1" showInputMessage="1" showErrorMessage="1" sqref="E7317">
      <formula1>0</formula1>
    </dataValidation>
    <dataValidation type="whole" operator="greaterThan" allowBlank="1" showInputMessage="1" showErrorMessage="1" sqref="A7318">
      <formula1>0</formula1>
    </dataValidation>
    <dataValidation type="list" allowBlank="1" showInputMessage="1" showErrorMessage="1" sqref="C7318">
      <formula1>UnidadesList</formula1>
    </dataValidation>
    <dataValidation type="decimal" operator="greaterThan" allowBlank="1" showInputMessage="1" showErrorMessage="1" sqref="D7318">
      <formula1>0</formula1>
    </dataValidation>
    <dataValidation type="decimal" operator="greaterThan" allowBlank="1" showInputMessage="1" showErrorMessage="1" sqref="E7318">
      <formula1>0</formula1>
    </dataValidation>
    <dataValidation type="whole" operator="greaterThan" allowBlank="1" showInputMessage="1" showErrorMessage="1" sqref="A7319">
      <formula1>0</formula1>
    </dataValidation>
    <dataValidation type="list" allowBlank="1" showInputMessage="1" showErrorMessage="1" sqref="C7319">
      <formula1>UnidadesList</formula1>
    </dataValidation>
    <dataValidation type="decimal" operator="greaterThan" allowBlank="1" showInputMessage="1" showErrorMessage="1" sqref="D7319">
      <formula1>0</formula1>
    </dataValidation>
    <dataValidation type="decimal" operator="greaterThan" allowBlank="1" showInputMessage="1" showErrorMessage="1" sqref="E7319">
      <formula1>0</formula1>
    </dataValidation>
    <dataValidation type="date" operator="lessThanOrEqual" allowBlank="1" showInputMessage="1" showErrorMessage="1" sqref="C7324">
      <formula1>C7326</formula1>
    </dataValidation>
    <dataValidation type="date" operator="greaterThanOrEqual" allowBlank="1" showInputMessage="1" showErrorMessage="1" sqref="C7326">
      <formula1>C7324</formula1>
    </dataValidation>
    <dataValidation type="list" allowBlank="1" showInputMessage="1" showErrorMessage="1" sqref="F73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3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3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3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330">
      <formula1>0</formula1>
    </dataValidation>
    <dataValidation type="list" allowBlank="1" showInputMessage="1" showErrorMessage="1" sqref="C7330">
      <formula1>UnidadesList</formula1>
    </dataValidation>
    <dataValidation type="decimal" operator="greaterThan" allowBlank="1" showInputMessage="1" showErrorMessage="1" sqref="D7330">
      <formula1>0</formula1>
    </dataValidation>
    <dataValidation type="decimal" operator="greaterThan" allowBlank="1" showInputMessage="1" showErrorMessage="1" sqref="E7330">
      <formula1>0</formula1>
    </dataValidation>
    <dataValidation type="whole" operator="greaterThan" allowBlank="1" showInputMessage="1" showErrorMessage="1" sqref="A7331">
      <formula1>0</formula1>
    </dataValidation>
    <dataValidation type="list" allowBlank="1" showInputMessage="1" showErrorMessage="1" sqref="C7331">
      <formula1>UnidadesList</formula1>
    </dataValidation>
    <dataValidation type="decimal" operator="greaterThan" allowBlank="1" showInputMessage="1" showErrorMessage="1" sqref="D7331">
      <formula1>0</formula1>
    </dataValidation>
    <dataValidation type="decimal" operator="greaterThan" allowBlank="1" showInputMessage="1" showErrorMessage="1" sqref="E7331">
      <formula1>0</formula1>
    </dataValidation>
    <dataValidation type="whole" operator="greaterThan" allowBlank="1" showInputMessage="1" showErrorMessage="1" sqref="A7332">
      <formula1>0</formula1>
    </dataValidation>
    <dataValidation type="list" allowBlank="1" showInputMessage="1" showErrorMessage="1" sqref="C7332">
      <formula1>UnidadesList</formula1>
    </dataValidation>
    <dataValidation type="decimal" operator="greaterThan" allowBlank="1" showInputMessage="1" showErrorMessage="1" sqref="D7332">
      <formula1>0</formula1>
    </dataValidation>
    <dataValidation type="decimal" operator="greaterThan" allowBlank="1" showInputMessage="1" showErrorMessage="1" sqref="E7332">
      <formula1>0</formula1>
    </dataValidation>
    <dataValidation type="whole" operator="greaterThan" allowBlank="1" showInputMessage="1" showErrorMessage="1" sqref="A7333">
      <formula1>0</formula1>
    </dataValidation>
    <dataValidation type="list" allowBlank="1" showInputMessage="1" showErrorMessage="1" sqref="C7333">
      <formula1>UnidadesList</formula1>
    </dataValidation>
    <dataValidation type="decimal" operator="greaterThan" allowBlank="1" showInputMessage="1" showErrorMessage="1" sqref="D7333">
      <formula1>0</formula1>
    </dataValidation>
    <dataValidation type="decimal" operator="greaterThan" allowBlank="1" showInputMessage="1" showErrorMessage="1" sqref="E7333">
      <formula1>0</formula1>
    </dataValidation>
    <dataValidation type="whole" operator="greaterThan" allowBlank="1" showInputMessage="1" showErrorMessage="1" sqref="A7334">
      <formula1>0</formula1>
    </dataValidation>
    <dataValidation type="list" allowBlank="1" showInputMessage="1" showErrorMessage="1" sqref="C7334">
      <formula1>UnidadesList</formula1>
    </dataValidation>
    <dataValidation type="decimal" operator="greaterThan" allowBlank="1" showInputMessage="1" showErrorMessage="1" sqref="D7334">
      <formula1>0</formula1>
    </dataValidation>
    <dataValidation type="decimal" operator="greaterThan" allowBlank="1" showInputMessage="1" showErrorMessage="1" sqref="E7334">
      <formula1>0</formula1>
    </dataValidation>
    <dataValidation type="whole" operator="greaterThan" allowBlank="1" showInputMessage="1" showErrorMessage="1" sqref="A7335">
      <formula1>0</formula1>
    </dataValidation>
    <dataValidation type="list" allowBlank="1" showInputMessage="1" showErrorMessage="1" sqref="C7335">
      <formula1>UnidadesList</formula1>
    </dataValidation>
    <dataValidation type="decimal" operator="greaterThan" allowBlank="1" showInputMessage="1" showErrorMessage="1" sqref="D7335">
      <formula1>0</formula1>
    </dataValidation>
    <dataValidation type="decimal" operator="greaterThan" allowBlank="1" showInputMessage="1" showErrorMessage="1" sqref="E7335">
      <formula1>0</formula1>
    </dataValidation>
    <dataValidation type="whole" operator="greaterThan" allowBlank="1" showInputMessage="1" showErrorMessage="1" sqref="A7336">
      <formula1>0</formula1>
    </dataValidation>
    <dataValidation type="list" allowBlank="1" showInputMessage="1" showErrorMessage="1" sqref="C7336">
      <formula1>UnidadesList</formula1>
    </dataValidation>
    <dataValidation type="decimal" operator="greaterThan" allowBlank="1" showInputMessage="1" showErrorMessage="1" sqref="D7336">
      <formula1>0</formula1>
    </dataValidation>
    <dataValidation type="decimal" operator="greaterThan" allowBlank="1" showInputMessage="1" showErrorMessage="1" sqref="E7336">
      <formula1>0</formula1>
    </dataValidation>
    <dataValidation type="whole" operator="greaterThan" allowBlank="1" showInputMessage="1" showErrorMessage="1" sqref="A7337">
      <formula1>0</formula1>
    </dataValidation>
    <dataValidation type="list" allowBlank="1" showInputMessage="1" showErrorMessage="1" sqref="C7337">
      <formula1>UnidadesList</formula1>
    </dataValidation>
    <dataValidation type="decimal" operator="greaterThan" allowBlank="1" showInputMessage="1" showErrorMessage="1" sqref="D7337">
      <formula1>0</formula1>
    </dataValidation>
    <dataValidation type="decimal" operator="greaterThan" allowBlank="1" showInputMessage="1" showErrorMessage="1" sqref="E7337">
      <formula1>0</formula1>
    </dataValidation>
    <dataValidation type="whole" operator="greaterThan" allowBlank="1" showInputMessage="1" showErrorMessage="1" sqref="A7338">
      <formula1>0</formula1>
    </dataValidation>
    <dataValidation type="list" allowBlank="1" showInputMessage="1" showErrorMessage="1" sqref="C7338">
      <formula1>UnidadesList</formula1>
    </dataValidation>
    <dataValidation type="decimal" operator="greaterThan" allowBlank="1" showInputMessage="1" showErrorMessage="1" sqref="D7338">
      <formula1>0</formula1>
    </dataValidation>
    <dataValidation type="decimal" operator="greaterThan" allowBlank="1" showInputMessage="1" showErrorMessage="1" sqref="E7338">
      <formula1>0</formula1>
    </dataValidation>
    <dataValidation type="whole" operator="greaterThan" allowBlank="1" showInputMessage="1" showErrorMessage="1" sqref="A7339">
      <formula1>0</formula1>
    </dataValidation>
    <dataValidation type="list" allowBlank="1" showInputMessage="1" showErrorMessage="1" sqref="C7339">
      <formula1>UnidadesList</formula1>
    </dataValidation>
    <dataValidation type="decimal" operator="greaterThan" allowBlank="1" showInputMessage="1" showErrorMessage="1" sqref="D7339">
      <formula1>0</formula1>
    </dataValidation>
    <dataValidation type="decimal" operator="greaterThan" allowBlank="1" showInputMessage="1" showErrorMessage="1" sqref="E7339">
      <formula1>0</formula1>
    </dataValidation>
    <dataValidation type="whole" operator="greaterThan" allowBlank="1" showInputMessage="1" showErrorMessage="1" sqref="A7340">
      <formula1>0</formula1>
    </dataValidation>
    <dataValidation type="list" allowBlank="1" showInputMessage="1" showErrorMessage="1" sqref="C7340">
      <formula1>UnidadesList</formula1>
    </dataValidation>
    <dataValidation type="decimal" operator="greaterThan" allowBlank="1" showInputMessage="1" showErrorMessage="1" sqref="D7340">
      <formula1>0</formula1>
    </dataValidation>
    <dataValidation type="decimal" operator="greaterThan" allowBlank="1" showInputMessage="1" showErrorMessage="1" sqref="E7340">
      <formula1>0</formula1>
    </dataValidation>
    <dataValidation type="whole" operator="greaterThan" allowBlank="1" showInputMessage="1" showErrorMessage="1" sqref="A7341">
      <formula1>0</formula1>
    </dataValidation>
    <dataValidation type="list" allowBlank="1" showInputMessage="1" showErrorMessage="1" sqref="C7341">
      <formula1>UnidadesList</formula1>
    </dataValidation>
    <dataValidation type="decimal" operator="greaterThan" allowBlank="1" showInputMessage="1" showErrorMessage="1" sqref="D7341">
      <formula1>0</formula1>
    </dataValidation>
    <dataValidation type="decimal" operator="greaterThan" allowBlank="1" showInputMessage="1" showErrorMessage="1" sqref="E7341">
      <formula1>0</formula1>
    </dataValidation>
    <dataValidation type="whole" operator="greaterThan" allowBlank="1" showInputMessage="1" showErrorMessage="1" sqref="A7342">
      <formula1>0</formula1>
    </dataValidation>
    <dataValidation type="list" allowBlank="1" showInputMessage="1" showErrorMessage="1" sqref="C7342">
      <formula1>UnidadesList</formula1>
    </dataValidation>
    <dataValidation type="decimal" operator="greaterThan" allowBlank="1" showInputMessage="1" showErrorMessage="1" sqref="D7342">
      <formula1>0</formula1>
    </dataValidation>
    <dataValidation type="decimal" operator="greaterThan" allowBlank="1" showInputMessage="1" showErrorMessage="1" sqref="E7342">
      <formula1>0</formula1>
    </dataValidation>
    <dataValidation type="whole" operator="greaterThan" allowBlank="1" showInputMessage="1" showErrorMessage="1" sqref="A7343">
      <formula1>0</formula1>
    </dataValidation>
    <dataValidation type="list" allowBlank="1" showInputMessage="1" showErrorMessage="1" sqref="C7343">
      <formula1>UnidadesList</formula1>
    </dataValidation>
    <dataValidation type="decimal" operator="greaterThan" allowBlank="1" showInputMessage="1" showErrorMessage="1" sqref="D7343">
      <formula1>0</formula1>
    </dataValidation>
    <dataValidation type="decimal" operator="greaterThan" allowBlank="1" showInputMessage="1" showErrorMessage="1" sqref="E7343">
      <formula1>0</formula1>
    </dataValidation>
    <dataValidation type="whole" operator="greaterThan" allowBlank="1" showInputMessage="1" showErrorMessage="1" sqref="A7344">
      <formula1>0</formula1>
    </dataValidation>
    <dataValidation type="list" allowBlank="1" showInputMessage="1" showErrorMessage="1" sqref="C7344">
      <formula1>UnidadesList</formula1>
    </dataValidation>
    <dataValidation type="decimal" operator="greaterThan" allowBlank="1" showInputMessage="1" showErrorMessage="1" sqref="D7344">
      <formula1>0</formula1>
    </dataValidation>
    <dataValidation type="decimal" operator="greaterThan" allowBlank="1" showInputMessage="1" showErrorMessage="1" sqref="E7344">
      <formula1>0</formula1>
    </dataValidation>
    <dataValidation type="whole" operator="greaterThan" allowBlank="1" showInputMessage="1" showErrorMessage="1" sqref="A7345">
      <formula1>0</formula1>
    </dataValidation>
    <dataValidation type="list" allowBlank="1" showInputMessage="1" showErrorMessage="1" sqref="C7345">
      <formula1>UnidadesList</formula1>
    </dataValidation>
    <dataValidation type="decimal" operator="greaterThan" allowBlank="1" showInputMessage="1" showErrorMessage="1" sqref="D7345">
      <formula1>0</formula1>
    </dataValidation>
    <dataValidation type="decimal" operator="greaterThan" allowBlank="1" showInputMessage="1" showErrorMessage="1" sqref="E7345">
      <formula1>0</formula1>
    </dataValidation>
    <dataValidation type="whole" operator="greaterThan" allowBlank="1" showInputMessage="1" showErrorMessage="1" sqref="A7346">
      <formula1>0</formula1>
    </dataValidation>
    <dataValidation type="list" allowBlank="1" showInputMessage="1" showErrorMessage="1" sqref="C7346">
      <formula1>UnidadesList</formula1>
    </dataValidation>
    <dataValidation type="decimal" operator="greaterThan" allowBlank="1" showInputMessage="1" showErrorMessage="1" sqref="D7346">
      <formula1>0</formula1>
    </dataValidation>
    <dataValidation type="decimal" operator="greaterThan" allowBlank="1" showInputMessage="1" showErrorMessage="1" sqref="E7346">
      <formula1>0</formula1>
    </dataValidation>
    <dataValidation type="whole" operator="greaterThan" allowBlank="1" showInputMessage="1" showErrorMessage="1" sqref="A7347">
      <formula1>0</formula1>
    </dataValidation>
    <dataValidation type="list" allowBlank="1" showInputMessage="1" showErrorMessage="1" sqref="C7347">
      <formula1>UnidadesList</formula1>
    </dataValidation>
    <dataValidation type="decimal" operator="greaterThan" allowBlank="1" showInputMessage="1" showErrorMessage="1" sqref="D7347">
      <formula1>0</formula1>
    </dataValidation>
    <dataValidation type="decimal" operator="greaterThan" allowBlank="1" showInputMessage="1" showErrorMessage="1" sqref="E7347">
      <formula1>0</formula1>
    </dataValidation>
    <dataValidation type="whole" operator="greaterThan" allowBlank="1" showInputMessage="1" showErrorMessage="1" sqref="A7348">
      <formula1>0</formula1>
    </dataValidation>
    <dataValidation type="list" allowBlank="1" showInputMessage="1" showErrorMessage="1" sqref="C7348">
      <formula1>UnidadesList</formula1>
    </dataValidation>
    <dataValidation type="decimal" operator="greaterThan" allowBlank="1" showInputMessage="1" showErrorMessage="1" sqref="D7348">
      <formula1>0</formula1>
    </dataValidation>
    <dataValidation type="decimal" operator="greaterThan" allowBlank="1" showInputMessage="1" showErrorMessage="1" sqref="E7348">
      <formula1>0</formula1>
    </dataValidation>
    <dataValidation type="whole" operator="greaterThan" allowBlank="1" showInputMessage="1" showErrorMessage="1" sqref="A7349">
      <formula1>0</formula1>
    </dataValidation>
    <dataValidation type="list" allowBlank="1" showInputMessage="1" showErrorMessage="1" sqref="C7349">
      <formula1>UnidadesList</formula1>
    </dataValidation>
    <dataValidation type="decimal" operator="greaterThan" allowBlank="1" showInputMessage="1" showErrorMessage="1" sqref="D7349">
      <formula1>0</formula1>
    </dataValidation>
    <dataValidation type="decimal" operator="greaterThan" allowBlank="1" showInputMessage="1" showErrorMessage="1" sqref="E7349">
      <formula1>0</formula1>
    </dataValidation>
    <dataValidation type="whole" operator="greaterThan" allowBlank="1" showInputMessage="1" showErrorMessage="1" sqref="A7350">
      <formula1>0</formula1>
    </dataValidation>
    <dataValidation type="list" allowBlank="1" showInputMessage="1" showErrorMessage="1" sqref="C7350">
      <formula1>UnidadesList</formula1>
    </dataValidation>
    <dataValidation type="decimal" operator="greaterThan" allowBlank="1" showInputMessage="1" showErrorMessage="1" sqref="D7350">
      <formula1>0</formula1>
    </dataValidation>
    <dataValidation type="decimal" operator="greaterThan" allowBlank="1" showInputMessage="1" showErrorMessage="1" sqref="E7350">
      <formula1>0</formula1>
    </dataValidation>
    <dataValidation type="whole" operator="greaterThan" allowBlank="1" showInputMessage="1" showErrorMessage="1" sqref="A7351">
      <formula1>0</formula1>
    </dataValidation>
    <dataValidation type="list" allowBlank="1" showInputMessage="1" showErrorMessage="1" sqref="C7351">
      <formula1>UnidadesList</formula1>
    </dataValidation>
    <dataValidation type="decimal" operator="greaterThan" allowBlank="1" showInputMessage="1" showErrorMessage="1" sqref="D7351">
      <formula1>0</formula1>
    </dataValidation>
    <dataValidation type="decimal" operator="greaterThan" allowBlank="1" showInputMessage="1" showErrorMessage="1" sqref="E7351">
      <formula1>0</formula1>
    </dataValidation>
    <dataValidation type="whole" operator="greaterThan" allowBlank="1" showInputMessage="1" showErrorMessage="1" sqref="A7352">
      <formula1>0</formula1>
    </dataValidation>
    <dataValidation type="list" allowBlank="1" showInputMessage="1" showErrorMessage="1" sqref="C7352">
      <formula1>UnidadesList</formula1>
    </dataValidation>
    <dataValidation type="decimal" operator="greaterThan" allowBlank="1" showInputMessage="1" showErrorMessage="1" sqref="D7352">
      <formula1>0</formula1>
    </dataValidation>
    <dataValidation type="decimal" operator="greaterThan" allowBlank="1" showInputMessage="1" showErrorMessage="1" sqref="E7352">
      <formula1>0</formula1>
    </dataValidation>
    <dataValidation type="whole" operator="greaterThan" allowBlank="1" showInputMessage="1" showErrorMessage="1" sqref="A7353">
      <formula1>0</formula1>
    </dataValidation>
    <dataValidation type="list" allowBlank="1" showInputMessage="1" showErrorMessage="1" sqref="C7353">
      <formula1>UnidadesList</formula1>
    </dataValidation>
    <dataValidation type="decimal" operator="greaterThan" allowBlank="1" showInputMessage="1" showErrorMessage="1" sqref="D7353">
      <formula1>0</formula1>
    </dataValidation>
    <dataValidation type="decimal" operator="greaterThan" allowBlank="1" showInputMessage="1" showErrorMessage="1" sqref="E7353">
      <formula1>0</formula1>
    </dataValidation>
    <dataValidation type="whole" operator="greaterThan" allowBlank="1" showInputMessage="1" showErrorMessage="1" sqref="A7354">
      <formula1>0</formula1>
    </dataValidation>
    <dataValidation type="list" allowBlank="1" showInputMessage="1" showErrorMessage="1" sqref="C7354">
      <formula1>UnidadesList</formula1>
    </dataValidation>
    <dataValidation type="decimal" operator="greaterThan" allowBlank="1" showInputMessage="1" showErrorMessage="1" sqref="D7354">
      <formula1>0</formula1>
    </dataValidation>
    <dataValidation type="decimal" operator="greaterThan" allowBlank="1" showInputMessage="1" showErrorMessage="1" sqref="E7354">
      <formula1>0</formula1>
    </dataValidation>
    <dataValidation type="whole" operator="greaterThan" allowBlank="1" showInputMessage="1" showErrorMessage="1" sqref="A7355">
      <formula1>0</formula1>
    </dataValidation>
    <dataValidation type="list" allowBlank="1" showInputMessage="1" showErrorMessage="1" sqref="C7355">
      <formula1>UnidadesList</formula1>
    </dataValidation>
    <dataValidation type="decimal" operator="greaterThan" allowBlank="1" showInputMessage="1" showErrorMessage="1" sqref="D7355">
      <formula1>0</formula1>
    </dataValidation>
    <dataValidation type="decimal" operator="greaterThan" allowBlank="1" showInputMessage="1" showErrorMessage="1" sqref="E7355">
      <formula1>0</formula1>
    </dataValidation>
    <dataValidation type="whole" operator="greaterThan" allowBlank="1" showInputMessage="1" showErrorMessage="1" sqref="A7356">
      <formula1>0</formula1>
    </dataValidation>
    <dataValidation type="list" allowBlank="1" showInputMessage="1" showErrorMessage="1" sqref="C7356">
      <formula1>UnidadesList</formula1>
    </dataValidation>
    <dataValidation type="decimal" operator="greaterThan" allowBlank="1" showInputMessage="1" showErrorMessage="1" sqref="D7356">
      <formula1>0</formula1>
    </dataValidation>
    <dataValidation type="decimal" operator="greaterThan" allowBlank="1" showInputMessage="1" showErrorMessage="1" sqref="E7356">
      <formula1>0</formula1>
    </dataValidation>
    <dataValidation type="whole" operator="greaterThan" allowBlank="1" showInputMessage="1" showErrorMessage="1" sqref="A7357">
      <formula1>0</formula1>
    </dataValidation>
    <dataValidation type="list" allowBlank="1" showInputMessage="1" showErrorMessage="1" sqref="C7357">
      <formula1>UnidadesList</formula1>
    </dataValidation>
    <dataValidation type="decimal" operator="greaterThan" allowBlank="1" showInputMessage="1" showErrorMessage="1" sqref="D7357">
      <formula1>0</formula1>
    </dataValidation>
    <dataValidation type="decimal" operator="greaterThan" allowBlank="1" showInputMessage="1" showErrorMessage="1" sqref="E7357">
      <formula1>0</formula1>
    </dataValidation>
    <dataValidation type="whole" operator="greaterThan" allowBlank="1" showInputMessage="1" showErrorMessage="1" sqref="A7358">
      <formula1>0</formula1>
    </dataValidation>
    <dataValidation type="list" allowBlank="1" showInputMessage="1" showErrorMessage="1" sqref="C7358">
      <formula1>UnidadesList</formula1>
    </dataValidation>
    <dataValidation type="decimal" operator="greaterThan" allowBlank="1" showInputMessage="1" showErrorMessage="1" sqref="D7358">
      <formula1>0</formula1>
    </dataValidation>
    <dataValidation type="decimal" operator="greaterThan" allowBlank="1" showInputMessage="1" showErrorMessage="1" sqref="E7358">
      <formula1>0</formula1>
    </dataValidation>
    <dataValidation type="whole" operator="greaterThan" allowBlank="1" showInputMessage="1" showErrorMessage="1" sqref="A7359">
      <formula1>0</formula1>
    </dataValidation>
    <dataValidation type="list" allowBlank="1" showInputMessage="1" showErrorMessage="1" sqref="C7359">
      <formula1>UnidadesList</formula1>
    </dataValidation>
    <dataValidation type="decimal" operator="greaterThan" allowBlank="1" showInputMessage="1" showErrorMessage="1" sqref="D7359">
      <formula1>0</formula1>
    </dataValidation>
    <dataValidation type="decimal" operator="greaterThan" allowBlank="1" showInputMessage="1" showErrorMessage="1" sqref="E7359">
      <formula1>0</formula1>
    </dataValidation>
    <dataValidation type="whole" operator="greaterThan" allowBlank="1" showInputMessage="1" showErrorMessage="1" sqref="A7360">
      <formula1>0</formula1>
    </dataValidation>
    <dataValidation type="list" allowBlank="1" showInputMessage="1" showErrorMessage="1" sqref="C7360">
      <formula1>UnidadesList</formula1>
    </dataValidation>
    <dataValidation type="decimal" operator="greaterThan" allowBlank="1" showInputMessage="1" showErrorMessage="1" sqref="D7360">
      <formula1>0</formula1>
    </dataValidation>
    <dataValidation type="decimal" operator="greaterThan" allowBlank="1" showInputMessage="1" showErrorMessage="1" sqref="E7360">
      <formula1>0</formula1>
    </dataValidation>
    <dataValidation type="whole" operator="greaterThan" allowBlank="1" showInputMessage="1" showErrorMessage="1" sqref="A7361">
      <formula1>0</formula1>
    </dataValidation>
    <dataValidation type="list" allowBlank="1" showInputMessage="1" showErrorMessage="1" sqref="C7361">
      <formula1>UnidadesList</formula1>
    </dataValidation>
    <dataValidation type="decimal" operator="greaterThan" allowBlank="1" showInputMessage="1" showErrorMessage="1" sqref="D7361">
      <formula1>0</formula1>
    </dataValidation>
    <dataValidation type="decimal" operator="greaterThan" allowBlank="1" showInputMessage="1" showErrorMessage="1" sqref="E7361">
      <formula1>0</formula1>
    </dataValidation>
    <dataValidation type="whole" operator="greaterThan" allowBlank="1" showInputMessage="1" showErrorMessage="1" sqref="A7362">
      <formula1>0</formula1>
    </dataValidation>
    <dataValidation type="list" allowBlank="1" showInputMessage="1" showErrorMessage="1" sqref="C7362">
      <formula1>UnidadesList</formula1>
    </dataValidation>
    <dataValidation type="decimal" operator="greaterThan" allowBlank="1" showInputMessage="1" showErrorMessage="1" sqref="D7362">
      <formula1>0</formula1>
    </dataValidation>
    <dataValidation type="decimal" operator="greaterThan" allowBlank="1" showInputMessage="1" showErrorMessage="1" sqref="E7362">
      <formula1>0</formula1>
    </dataValidation>
    <dataValidation type="whole" operator="greaterThan" allowBlank="1" showInputMessage="1" showErrorMessage="1" sqref="A7363">
      <formula1>0</formula1>
    </dataValidation>
    <dataValidation type="list" allowBlank="1" showInputMessage="1" showErrorMessage="1" sqref="C7363">
      <formula1>UnidadesList</formula1>
    </dataValidation>
    <dataValidation type="decimal" operator="greaterThan" allowBlank="1" showInputMessage="1" showErrorMessage="1" sqref="D7363">
      <formula1>0</formula1>
    </dataValidation>
    <dataValidation type="decimal" operator="greaterThan" allowBlank="1" showInputMessage="1" showErrorMessage="1" sqref="E7363">
      <formula1>0</formula1>
    </dataValidation>
    <dataValidation type="whole" operator="greaterThan" allowBlank="1" showInputMessage="1" showErrorMessage="1" sqref="A7364">
      <formula1>0</formula1>
    </dataValidation>
    <dataValidation type="list" allowBlank="1" showInputMessage="1" showErrorMessage="1" sqref="C7364">
      <formula1>UnidadesList</formula1>
    </dataValidation>
    <dataValidation type="decimal" operator="greaterThan" allowBlank="1" showInputMessage="1" showErrorMessage="1" sqref="D7364">
      <formula1>0</formula1>
    </dataValidation>
    <dataValidation type="decimal" operator="greaterThan" allowBlank="1" showInputMessage="1" showErrorMessage="1" sqref="E7364">
      <formula1>0</formula1>
    </dataValidation>
    <dataValidation type="whole" operator="greaterThan" allowBlank="1" showInputMessage="1" showErrorMessage="1" sqref="A7365">
      <formula1>0</formula1>
    </dataValidation>
    <dataValidation type="list" allowBlank="1" showInputMessage="1" showErrorMessage="1" sqref="C7365">
      <formula1>UnidadesList</formula1>
    </dataValidation>
    <dataValidation type="decimal" operator="greaterThan" allowBlank="1" showInputMessage="1" showErrorMessage="1" sqref="D7365">
      <formula1>0</formula1>
    </dataValidation>
    <dataValidation type="decimal" operator="greaterThan" allowBlank="1" showInputMessage="1" showErrorMessage="1" sqref="E7365">
      <formula1>0</formula1>
    </dataValidation>
    <dataValidation type="whole" operator="greaterThan" allowBlank="1" showInputMessage="1" showErrorMessage="1" sqref="A7366">
      <formula1>0</formula1>
    </dataValidation>
    <dataValidation type="list" allowBlank="1" showInputMessage="1" showErrorMessage="1" sqref="C7366">
      <formula1>UnidadesList</formula1>
    </dataValidation>
    <dataValidation type="decimal" operator="greaterThan" allowBlank="1" showInputMessage="1" showErrorMessage="1" sqref="D7366">
      <formula1>0</formula1>
    </dataValidation>
    <dataValidation type="decimal" operator="greaterThan" allowBlank="1" showInputMessage="1" showErrorMessage="1" sqref="E7366">
      <formula1>0</formula1>
    </dataValidation>
    <dataValidation type="date" operator="lessThanOrEqual" allowBlank="1" showInputMessage="1" showErrorMessage="1" sqref="C7371">
      <formula1>C7373</formula1>
    </dataValidation>
    <dataValidation type="date" operator="greaterThanOrEqual" allowBlank="1" showInputMessage="1" showErrorMessage="1" sqref="C7373">
      <formula1>C7371</formula1>
    </dataValidation>
    <dataValidation type="list" allowBlank="1" showInputMessage="1" showErrorMessage="1" sqref="F737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37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37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37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377">
      <formula1>0</formula1>
    </dataValidation>
    <dataValidation type="list" allowBlank="1" showInputMessage="1" showErrorMessage="1" sqref="C7377">
      <formula1>UnidadesList</formula1>
    </dataValidation>
    <dataValidation type="decimal" operator="greaterThan" allowBlank="1" showInputMessage="1" showErrorMessage="1" sqref="D7377">
      <formula1>0</formula1>
    </dataValidation>
    <dataValidation type="decimal" operator="greaterThan" allowBlank="1" showInputMessage="1" showErrorMessage="1" sqref="E7377">
      <formula1>0</formula1>
    </dataValidation>
    <dataValidation type="whole" operator="greaterThan" allowBlank="1" showInputMessage="1" showErrorMessage="1" sqref="A7378">
      <formula1>0</formula1>
    </dataValidation>
    <dataValidation type="list" allowBlank="1" showInputMessage="1" showErrorMessage="1" sqref="C7378">
      <formula1>UnidadesList</formula1>
    </dataValidation>
    <dataValidation type="decimal" operator="greaterThan" allowBlank="1" showInputMessage="1" showErrorMessage="1" sqref="D7378">
      <formula1>0</formula1>
    </dataValidation>
    <dataValidation type="decimal" operator="greaterThan" allowBlank="1" showInputMessage="1" showErrorMessage="1" sqref="E7378">
      <formula1>0</formula1>
    </dataValidation>
    <dataValidation type="whole" operator="greaterThan" allowBlank="1" showInputMessage="1" showErrorMessage="1" sqref="A7379">
      <formula1>0</formula1>
    </dataValidation>
    <dataValidation type="list" allowBlank="1" showInputMessage="1" showErrorMessage="1" sqref="C7379">
      <formula1>UnidadesList</formula1>
    </dataValidation>
    <dataValidation type="decimal" operator="greaterThan" allowBlank="1" showInputMessage="1" showErrorMessage="1" sqref="D7379">
      <formula1>0</formula1>
    </dataValidation>
    <dataValidation type="decimal" operator="greaterThan" allowBlank="1" showInputMessage="1" showErrorMessage="1" sqref="E7379">
      <formula1>0</formula1>
    </dataValidation>
    <dataValidation type="whole" operator="greaterThan" allowBlank="1" showInputMessage="1" showErrorMessage="1" sqref="A7380">
      <formula1>0</formula1>
    </dataValidation>
    <dataValidation type="list" allowBlank="1" showInputMessage="1" showErrorMessage="1" sqref="C7380">
      <formula1>UnidadesList</formula1>
    </dataValidation>
    <dataValidation type="decimal" operator="greaterThan" allowBlank="1" showInputMessage="1" showErrorMessage="1" sqref="D7380">
      <formula1>0</formula1>
    </dataValidation>
    <dataValidation type="decimal" operator="greaterThan" allowBlank="1" showInputMessage="1" showErrorMessage="1" sqref="E7380">
      <formula1>0</formula1>
    </dataValidation>
    <dataValidation type="whole" operator="greaterThan" allowBlank="1" showInputMessage="1" showErrorMessage="1" sqref="A7381">
      <formula1>0</formula1>
    </dataValidation>
    <dataValidation type="list" allowBlank="1" showInputMessage="1" showErrorMessage="1" sqref="C7381">
      <formula1>UnidadesList</formula1>
    </dataValidation>
    <dataValidation type="decimal" operator="greaterThan" allowBlank="1" showInputMessage="1" showErrorMessage="1" sqref="D7381">
      <formula1>0</formula1>
    </dataValidation>
    <dataValidation type="decimal" operator="greaterThan" allowBlank="1" showInputMessage="1" showErrorMessage="1" sqref="E7381">
      <formula1>0</formula1>
    </dataValidation>
    <dataValidation type="whole" operator="greaterThan" allowBlank="1" showInputMessage="1" showErrorMessage="1" sqref="A7382">
      <formula1>0</formula1>
    </dataValidation>
    <dataValidation type="list" allowBlank="1" showInputMessage="1" showErrorMessage="1" sqref="C7382">
      <formula1>UnidadesList</formula1>
    </dataValidation>
    <dataValidation type="decimal" operator="greaterThan" allowBlank="1" showInputMessage="1" showErrorMessage="1" sqref="D7382">
      <formula1>0</formula1>
    </dataValidation>
    <dataValidation type="decimal" operator="greaterThan" allowBlank="1" showInputMessage="1" showErrorMessage="1" sqref="E7382">
      <formula1>0</formula1>
    </dataValidation>
    <dataValidation type="whole" operator="greaterThan" allowBlank="1" showInputMessage="1" showErrorMessage="1" sqref="A7383">
      <formula1>0</formula1>
    </dataValidation>
    <dataValidation type="list" allowBlank="1" showInputMessage="1" showErrorMessage="1" sqref="C7383">
      <formula1>UnidadesList</formula1>
    </dataValidation>
    <dataValidation type="decimal" operator="greaterThan" allowBlank="1" showInputMessage="1" showErrorMessage="1" sqref="D7383">
      <formula1>0</formula1>
    </dataValidation>
    <dataValidation type="decimal" operator="greaterThan" allowBlank="1" showInputMessage="1" showErrorMessage="1" sqref="E7383">
      <formula1>0</formula1>
    </dataValidation>
    <dataValidation type="whole" operator="greaterThan" allowBlank="1" showInputMessage="1" showErrorMessage="1" sqref="A7384">
      <formula1>0</formula1>
    </dataValidation>
    <dataValidation type="list" allowBlank="1" showInputMessage="1" showErrorMessage="1" sqref="C7384">
      <formula1>UnidadesList</formula1>
    </dataValidation>
    <dataValidation type="decimal" operator="greaterThan" allowBlank="1" showInputMessage="1" showErrorMessage="1" sqref="D7384">
      <formula1>0</formula1>
    </dataValidation>
    <dataValidation type="decimal" operator="greaterThan" allowBlank="1" showInputMessage="1" showErrorMessage="1" sqref="E7384">
      <formula1>0</formula1>
    </dataValidation>
    <dataValidation type="whole" operator="greaterThan" allowBlank="1" showInputMessage="1" showErrorMessage="1" sqref="A7385">
      <formula1>0</formula1>
    </dataValidation>
    <dataValidation type="list" allowBlank="1" showInputMessage="1" showErrorMessage="1" sqref="C7385">
      <formula1>UnidadesList</formula1>
    </dataValidation>
    <dataValidation type="decimal" operator="greaterThan" allowBlank="1" showInputMessage="1" showErrorMessage="1" sqref="D7385">
      <formula1>0</formula1>
    </dataValidation>
    <dataValidation type="decimal" operator="greaterThan" allowBlank="1" showInputMessage="1" showErrorMessage="1" sqref="E7385">
      <formula1>0</formula1>
    </dataValidation>
    <dataValidation type="whole" operator="greaterThan" allowBlank="1" showInputMessage="1" showErrorMessage="1" sqref="A7386">
      <formula1>0</formula1>
    </dataValidation>
    <dataValidation type="list" allowBlank="1" showInputMessage="1" showErrorMessage="1" sqref="C7386">
      <formula1>UnidadesList</formula1>
    </dataValidation>
    <dataValidation type="decimal" operator="greaterThan" allowBlank="1" showInputMessage="1" showErrorMessage="1" sqref="D7386">
      <formula1>0</formula1>
    </dataValidation>
    <dataValidation type="decimal" operator="greaterThan" allowBlank="1" showInputMessage="1" showErrorMessage="1" sqref="E7386">
      <formula1>0</formula1>
    </dataValidation>
    <dataValidation type="whole" operator="greaterThan" allowBlank="1" showInputMessage="1" showErrorMessage="1" sqref="A7387">
      <formula1>0</formula1>
    </dataValidation>
    <dataValidation type="list" allowBlank="1" showInputMessage="1" showErrorMessage="1" sqref="C7387">
      <formula1>UnidadesList</formula1>
    </dataValidation>
    <dataValidation type="decimal" operator="greaterThan" allowBlank="1" showInputMessage="1" showErrorMessage="1" sqref="D7387">
      <formula1>0</formula1>
    </dataValidation>
    <dataValidation type="decimal" operator="greaterThan" allowBlank="1" showInputMessage="1" showErrorMessage="1" sqref="E7387">
      <formula1>0</formula1>
    </dataValidation>
    <dataValidation type="whole" operator="greaterThan" allowBlank="1" showInputMessage="1" showErrorMessage="1" sqref="A7388">
      <formula1>0</formula1>
    </dataValidation>
    <dataValidation type="list" allowBlank="1" showInputMessage="1" showErrorMessage="1" sqref="C7388">
      <formula1>UnidadesList</formula1>
    </dataValidation>
    <dataValidation type="decimal" operator="greaterThan" allowBlank="1" showInputMessage="1" showErrorMessage="1" sqref="D7388">
      <formula1>0</formula1>
    </dataValidation>
    <dataValidation type="decimal" operator="greaterThan" allowBlank="1" showInputMessage="1" showErrorMessage="1" sqref="E7388">
      <formula1>0</formula1>
    </dataValidation>
    <dataValidation type="whole" operator="greaterThan" allowBlank="1" showInputMessage="1" showErrorMessage="1" sqref="A7389">
      <formula1>0</formula1>
    </dataValidation>
    <dataValidation type="list" allowBlank="1" showInputMessage="1" showErrorMessage="1" sqref="C7389">
      <formula1>UnidadesList</formula1>
    </dataValidation>
    <dataValidation type="decimal" operator="greaterThan" allowBlank="1" showInputMessage="1" showErrorMessage="1" sqref="D7389">
      <formula1>0</formula1>
    </dataValidation>
    <dataValidation type="decimal" operator="greaterThan" allowBlank="1" showInputMessage="1" showErrorMessage="1" sqref="E7389">
      <formula1>0</formula1>
    </dataValidation>
    <dataValidation type="whole" operator="greaterThan" allowBlank="1" showInputMessage="1" showErrorMessage="1" sqref="A7390">
      <formula1>0</formula1>
    </dataValidation>
    <dataValidation type="list" allowBlank="1" showInputMessage="1" showErrorMessage="1" sqref="C7390">
      <formula1>UnidadesList</formula1>
    </dataValidation>
    <dataValidation type="decimal" operator="greaterThan" allowBlank="1" showInputMessage="1" showErrorMessage="1" sqref="D7390">
      <formula1>0</formula1>
    </dataValidation>
    <dataValidation type="decimal" operator="greaterThan" allowBlank="1" showInputMessage="1" showErrorMessage="1" sqref="E7390">
      <formula1>0</formula1>
    </dataValidation>
    <dataValidation type="whole" operator="greaterThan" allowBlank="1" showInputMessage="1" showErrorMessage="1" sqref="A7391">
      <formula1>0</formula1>
    </dataValidation>
    <dataValidation type="list" allowBlank="1" showInputMessage="1" showErrorMessage="1" sqref="C7391">
      <formula1>UnidadesList</formula1>
    </dataValidation>
    <dataValidation type="decimal" operator="greaterThan" allowBlank="1" showInputMessage="1" showErrorMessage="1" sqref="D7391">
      <formula1>0</formula1>
    </dataValidation>
    <dataValidation type="decimal" operator="greaterThan" allowBlank="1" showInputMessage="1" showErrorMessage="1" sqref="E7391">
      <formula1>0</formula1>
    </dataValidation>
    <dataValidation type="whole" operator="greaterThan" allowBlank="1" showInputMessage="1" showErrorMessage="1" sqref="A7392">
      <formula1>0</formula1>
    </dataValidation>
    <dataValidation type="list" allowBlank="1" showInputMessage="1" showErrorMessage="1" sqref="C7392">
      <formula1>UnidadesList</formula1>
    </dataValidation>
    <dataValidation type="decimal" operator="greaterThan" allowBlank="1" showInputMessage="1" showErrorMessage="1" sqref="D7392">
      <formula1>0</formula1>
    </dataValidation>
    <dataValidation type="decimal" operator="greaterThan" allowBlank="1" showInputMessage="1" showErrorMessage="1" sqref="E7392">
      <formula1>0</formula1>
    </dataValidation>
    <dataValidation type="whole" operator="greaterThan" allowBlank="1" showInputMessage="1" showErrorMessage="1" sqref="A7393">
      <formula1>0</formula1>
    </dataValidation>
    <dataValidation type="list" allowBlank="1" showInputMessage="1" showErrorMessage="1" sqref="C7393">
      <formula1>UnidadesList</formula1>
    </dataValidation>
    <dataValidation type="decimal" operator="greaterThan" allowBlank="1" showInputMessage="1" showErrorMessage="1" sqref="D7393">
      <formula1>0</formula1>
    </dataValidation>
    <dataValidation type="decimal" operator="greaterThan" allowBlank="1" showInputMessage="1" showErrorMessage="1" sqref="E7393">
      <formula1>0</formula1>
    </dataValidation>
    <dataValidation type="whole" operator="greaterThan" allowBlank="1" showInputMessage="1" showErrorMessage="1" sqref="A7394">
      <formula1>0</formula1>
    </dataValidation>
    <dataValidation type="list" allowBlank="1" showInputMessage="1" showErrorMessage="1" sqref="C7394">
      <formula1>UnidadesList</formula1>
    </dataValidation>
    <dataValidation type="decimal" operator="greaterThan" allowBlank="1" showInputMessage="1" showErrorMessage="1" sqref="D7394">
      <formula1>0</formula1>
    </dataValidation>
    <dataValidation type="decimal" operator="greaterThan" allowBlank="1" showInputMessage="1" showErrorMessage="1" sqref="E7394">
      <formula1>0</formula1>
    </dataValidation>
    <dataValidation type="whole" operator="greaterThan" allowBlank="1" showInputMessage="1" showErrorMessage="1" sqref="A7395">
      <formula1>0</formula1>
    </dataValidation>
    <dataValidation type="list" allowBlank="1" showInputMessage="1" showErrorMessage="1" sqref="C7395">
      <formula1>UnidadesList</formula1>
    </dataValidation>
    <dataValidation type="decimal" operator="greaterThan" allowBlank="1" showInputMessage="1" showErrorMessage="1" sqref="D7395">
      <formula1>0</formula1>
    </dataValidation>
    <dataValidation type="decimal" operator="greaterThan" allowBlank="1" showInputMessage="1" showErrorMessage="1" sqref="E7395">
      <formula1>0</formula1>
    </dataValidation>
    <dataValidation type="whole" operator="greaterThan" allowBlank="1" showInputMessage="1" showErrorMessage="1" sqref="A7396">
      <formula1>0</formula1>
    </dataValidation>
    <dataValidation type="list" allowBlank="1" showInputMessage="1" showErrorMessage="1" sqref="C7396">
      <formula1>UnidadesList</formula1>
    </dataValidation>
    <dataValidation type="decimal" operator="greaterThan" allowBlank="1" showInputMessage="1" showErrorMessage="1" sqref="D7396">
      <formula1>0</formula1>
    </dataValidation>
    <dataValidation type="decimal" operator="greaterThan" allowBlank="1" showInputMessage="1" showErrorMessage="1" sqref="E7396">
      <formula1>0</formula1>
    </dataValidation>
    <dataValidation type="whole" operator="greaterThan" allowBlank="1" showInputMessage="1" showErrorMessage="1" sqref="A7397">
      <formula1>0</formula1>
    </dataValidation>
    <dataValidation type="list" allowBlank="1" showInputMessage="1" showErrorMessage="1" sqref="C7397">
      <formula1>UnidadesList</formula1>
    </dataValidation>
    <dataValidation type="decimal" operator="greaterThan" allowBlank="1" showInputMessage="1" showErrorMessage="1" sqref="D7397">
      <formula1>0</formula1>
    </dataValidation>
    <dataValidation type="decimal" operator="greaterThan" allowBlank="1" showInputMessage="1" showErrorMessage="1" sqref="E7397">
      <formula1>0</formula1>
    </dataValidation>
    <dataValidation type="whole" operator="greaterThan" allowBlank="1" showInputMessage="1" showErrorMessage="1" sqref="A7398">
      <formula1>0</formula1>
    </dataValidation>
    <dataValidation type="list" allowBlank="1" showInputMessage="1" showErrorMessage="1" sqref="C7398">
      <formula1>UnidadesList</formula1>
    </dataValidation>
    <dataValidation type="decimal" operator="greaterThan" allowBlank="1" showInputMessage="1" showErrorMessage="1" sqref="D7398">
      <formula1>0</formula1>
    </dataValidation>
    <dataValidation type="decimal" operator="greaterThan" allowBlank="1" showInputMessage="1" showErrorMessage="1" sqref="E7398">
      <formula1>0</formula1>
    </dataValidation>
    <dataValidation type="whole" operator="greaterThan" allowBlank="1" showInputMessage="1" showErrorMessage="1" sqref="A7399">
      <formula1>0</formula1>
    </dataValidation>
    <dataValidation type="list" allowBlank="1" showInputMessage="1" showErrorMessage="1" sqref="C7399">
      <formula1>UnidadesList</formula1>
    </dataValidation>
    <dataValidation type="decimal" operator="greaterThan" allowBlank="1" showInputMessage="1" showErrorMessage="1" sqref="D7399">
      <formula1>0</formula1>
    </dataValidation>
    <dataValidation type="decimal" operator="greaterThan" allowBlank="1" showInputMessage="1" showErrorMessage="1" sqref="E7399">
      <formula1>0</formula1>
    </dataValidation>
    <dataValidation type="whole" operator="greaterThan" allowBlank="1" showInputMessage="1" showErrorMessage="1" sqref="A7400">
      <formula1>0</formula1>
    </dataValidation>
    <dataValidation type="list" allowBlank="1" showInputMessage="1" showErrorMessage="1" sqref="C7400">
      <formula1>UnidadesList</formula1>
    </dataValidation>
    <dataValidation type="decimal" operator="greaterThan" allowBlank="1" showInputMessage="1" showErrorMessage="1" sqref="D7400">
      <formula1>0</formula1>
    </dataValidation>
    <dataValidation type="decimal" operator="greaterThan" allowBlank="1" showInputMessage="1" showErrorMessage="1" sqref="E7400">
      <formula1>0</formula1>
    </dataValidation>
    <dataValidation type="whole" operator="greaterThan" allowBlank="1" showInputMessage="1" showErrorMessage="1" sqref="A7401">
      <formula1>0</formula1>
    </dataValidation>
    <dataValidation type="list" allowBlank="1" showInputMessage="1" showErrorMessage="1" sqref="C7401">
      <formula1>UnidadesList</formula1>
    </dataValidation>
    <dataValidation type="decimal" operator="greaterThan" allowBlank="1" showInputMessage="1" showErrorMessage="1" sqref="D7401">
      <formula1>0</formula1>
    </dataValidation>
    <dataValidation type="decimal" operator="greaterThan" allowBlank="1" showInputMessage="1" showErrorMessage="1" sqref="E7401">
      <formula1>0</formula1>
    </dataValidation>
    <dataValidation type="whole" operator="greaterThan" allowBlank="1" showInputMessage="1" showErrorMessage="1" sqref="A7402">
      <formula1>0</formula1>
    </dataValidation>
    <dataValidation type="list" allowBlank="1" showInputMessage="1" showErrorMessage="1" sqref="C7402">
      <formula1>UnidadesList</formula1>
    </dataValidation>
    <dataValidation type="decimal" operator="greaterThan" allowBlank="1" showInputMessage="1" showErrorMessage="1" sqref="D7402">
      <formula1>0</formula1>
    </dataValidation>
    <dataValidation type="decimal" operator="greaterThan" allowBlank="1" showInputMessage="1" showErrorMessage="1" sqref="E7402">
      <formula1>0</formula1>
    </dataValidation>
    <dataValidation type="whole" operator="greaterThan" allowBlank="1" showInputMessage="1" showErrorMessage="1" sqref="A7403">
      <formula1>0</formula1>
    </dataValidation>
    <dataValidation type="list" allowBlank="1" showInputMessage="1" showErrorMessage="1" sqref="C7403">
      <formula1>UnidadesList</formula1>
    </dataValidation>
    <dataValidation type="decimal" operator="greaterThan" allowBlank="1" showInputMessage="1" showErrorMessage="1" sqref="D7403">
      <formula1>0</formula1>
    </dataValidation>
    <dataValidation type="decimal" operator="greaterThan" allowBlank="1" showInputMessage="1" showErrorMessage="1" sqref="E7403">
      <formula1>0</formula1>
    </dataValidation>
    <dataValidation type="whole" operator="greaterThan" allowBlank="1" showInputMessage="1" showErrorMessage="1" sqref="A7404">
      <formula1>0</formula1>
    </dataValidation>
    <dataValidation type="list" allowBlank="1" showInputMessage="1" showErrorMessage="1" sqref="C7404">
      <formula1>UnidadesList</formula1>
    </dataValidation>
    <dataValidation type="decimal" operator="greaterThan" allowBlank="1" showInputMessage="1" showErrorMessage="1" sqref="D7404">
      <formula1>0</formula1>
    </dataValidation>
    <dataValidation type="decimal" operator="greaterThan" allowBlank="1" showInputMessage="1" showErrorMessage="1" sqref="E7404">
      <formula1>0</formula1>
    </dataValidation>
    <dataValidation type="whole" operator="greaterThan" allowBlank="1" showInputMessage="1" showErrorMessage="1" sqref="A7405">
      <formula1>0</formula1>
    </dataValidation>
    <dataValidation type="list" allowBlank="1" showInputMessage="1" showErrorMessage="1" sqref="C7405">
      <formula1>UnidadesList</formula1>
    </dataValidation>
    <dataValidation type="decimal" operator="greaterThan" allowBlank="1" showInputMessage="1" showErrorMessage="1" sqref="D7405">
      <formula1>0</formula1>
    </dataValidation>
    <dataValidation type="decimal" operator="greaterThan" allowBlank="1" showInputMessage="1" showErrorMessage="1" sqref="E7405">
      <formula1>0</formula1>
    </dataValidation>
    <dataValidation type="whole" operator="greaterThan" allowBlank="1" showInputMessage="1" showErrorMessage="1" sqref="A7406">
      <formula1>0</formula1>
    </dataValidation>
    <dataValidation type="list" allowBlank="1" showInputMessage="1" showErrorMessage="1" sqref="C7406">
      <formula1>UnidadesList</formula1>
    </dataValidation>
    <dataValidation type="decimal" operator="greaterThan" allowBlank="1" showInputMessage="1" showErrorMessage="1" sqref="D7406">
      <formula1>0</formula1>
    </dataValidation>
    <dataValidation type="decimal" operator="greaterThan" allowBlank="1" showInputMessage="1" showErrorMessage="1" sqref="E7406">
      <formula1>0</formula1>
    </dataValidation>
    <dataValidation type="whole" operator="greaterThan" allowBlank="1" showInputMessage="1" showErrorMessage="1" sqref="A7407">
      <formula1>0</formula1>
    </dataValidation>
    <dataValidation type="list" allowBlank="1" showInputMessage="1" showErrorMessage="1" sqref="C7407">
      <formula1>UnidadesList</formula1>
    </dataValidation>
    <dataValidation type="decimal" operator="greaterThan" allowBlank="1" showInputMessage="1" showErrorMessage="1" sqref="D7407">
      <formula1>0</formula1>
    </dataValidation>
    <dataValidation type="decimal" operator="greaterThan" allowBlank="1" showInputMessage="1" showErrorMessage="1" sqref="E7407">
      <formula1>0</formula1>
    </dataValidation>
    <dataValidation type="whole" operator="greaterThan" allowBlank="1" showInputMessage="1" showErrorMessage="1" sqref="A7408">
      <formula1>0</formula1>
    </dataValidation>
    <dataValidation type="list" allowBlank="1" showInputMessage="1" showErrorMessage="1" sqref="C7408">
      <formula1>UnidadesList</formula1>
    </dataValidation>
    <dataValidation type="decimal" operator="greaterThan" allowBlank="1" showInputMessage="1" showErrorMessage="1" sqref="D7408">
      <formula1>0</formula1>
    </dataValidation>
    <dataValidation type="decimal" operator="greaterThan" allowBlank="1" showInputMessage="1" showErrorMessage="1" sqref="E7408">
      <formula1>0</formula1>
    </dataValidation>
    <dataValidation type="whole" operator="greaterThan" allowBlank="1" showInputMessage="1" showErrorMessage="1" sqref="A7409">
      <formula1>0</formula1>
    </dataValidation>
    <dataValidation type="list" allowBlank="1" showInputMessage="1" showErrorMessage="1" sqref="C7409">
      <formula1>UnidadesList</formula1>
    </dataValidation>
    <dataValidation type="decimal" operator="greaterThan" allowBlank="1" showInputMessage="1" showErrorMessage="1" sqref="D7409">
      <formula1>0</formula1>
    </dataValidation>
    <dataValidation type="decimal" operator="greaterThan" allowBlank="1" showInputMessage="1" showErrorMessage="1" sqref="E7409">
      <formula1>0</formula1>
    </dataValidation>
    <dataValidation type="whole" operator="greaterThan" allowBlank="1" showInputMessage="1" showErrorMessage="1" sqref="A7410">
      <formula1>0</formula1>
    </dataValidation>
    <dataValidation type="list" allowBlank="1" showInputMessage="1" showErrorMessage="1" sqref="C7410">
      <formula1>UnidadesList</formula1>
    </dataValidation>
    <dataValidation type="decimal" operator="greaterThan" allowBlank="1" showInputMessage="1" showErrorMessage="1" sqref="D7410">
      <formula1>0</formula1>
    </dataValidation>
    <dataValidation type="decimal" operator="greaterThan" allowBlank="1" showInputMessage="1" showErrorMessage="1" sqref="E7410">
      <formula1>0</formula1>
    </dataValidation>
    <dataValidation type="whole" operator="greaterThan" allowBlank="1" showInputMessage="1" showErrorMessage="1" sqref="A7411">
      <formula1>0</formula1>
    </dataValidation>
    <dataValidation type="list" allowBlank="1" showInputMessage="1" showErrorMessage="1" sqref="C7411">
      <formula1>UnidadesList</formula1>
    </dataValidation>
    <dataValidation type="decimal" operator="greaterThan" allowBlank="1" showInputMessage="1" showErrorMessage="1" sqref="D7411">
      <formula1>0</formula1>
    </dataValidation>
    <dataValidation type="decimal" operator="greaterThan" allowBlank="1" showInputMessage="1" showErrorMessage="1" sqref="E7411">
      <formula1>0</formula1>
    </dataValidation>
    <dataValidation type="whole" operator="greaterThan" allowBlank="1" showInputMessage="1" showErrorMessage="1" sqref="A7412">
      <formula1>0</formula1>
    </dataValidation>
    <dataValidation type="list" allowBlank="1" showInputMessage="1" showErrorMessage="1" sqref="C7412">
      <formula1>UnidadesList</formula1>
    </dataValidation>
    <dataValidation type="decimal" operator="greaterThan" allowBlank="1" showInputMessage="1" showErrorMessage="1" sqref="D7412">
      <formula1>0</formula1>
    </dataValidation>
    <dataValidation type="decimal" operator="greaterThan" allowBlank="1" showInputMessage="1" showErrorMessage="1" sqref="E7412">
      <formula1>0</formula1>
    </dataValidation>
    <dataValidation type="whole" operator="greaterThan" allowBlank="1" showInputMessage="1" showErrorMessage="1" sqref="A7413">
      <formula1>0</formula1>
    </dataValidation>
    <dataValidation type="list" allowBlank="1" showInputMessage="1" showErrorMessage="1" sqref="C7413">
      <formula1>UnidadesList</formula1>
    </dataValidation>
    <dataValidation type="decimal" operator="greaterThan" allowBlank="1" showInputMessage="1" showErrorMessage="1" sqref="D7413">
      <formula1>0</formula1>
    </dataValidation>
    <dataValidation type="decimal" operator="greaterThan" allowBlank="1" showInputMessage="1" showErrorMessage="1" sqref="E7413">
      <formula1>0</formula1>
    </dataValidation>
    <dataValidation type="whole" operator="greaterThan" allowBlank="1" showInputMessage="1" showErrorMessage="1" sqref="A7414">
      <formula1>0</formula1>
    </dataValidation>
    <dataValidation type="list" allowBlank="1" showInputMessage="1" showErrorMessage="1" sqref="C7414">
      <formula1>UnidadesList</formula1>
    </dataValidation>
    <dataValidation type="decimal" operator="greaterThan" allowBlank="1" showInputMessage="1" showErrorMessage="1" sqref="D7414">
      <formula1>0</formula1>
    </dataValidation>
    <dataValidation type="decimal" operator="greaterThan" allowBlank="1" showInputMessage="1" showErrorMessage="1" sqref="E7414">
      <formula1>0</formula1>
    </dataValidation>
    <dataValidation type="whole" operator="greaterThan" allowBlank="1" showInputMessage="1" showErrorMessage="1" sqref="A7415">
      <formula1>0</formula1>
    </dataValidation>
    <dataValidation type="list" allowBlank="1" showInputMessage="1" showErrorMessage="1" sqref="C7415">
      <formula1>UnidadesList</formula1>
    </dataValidation>
    <dataValidation type="decimal" operator="greaterThan" allowBlank="1" showInputMessage="1" showErrorMessage="1" sqref="D7415">
      <formula1>0</formula1>
    </dataValidation>
    <dataValidation type="decimal" operator="greaterThan" allowBlank="1" showInputMessage="1" showErrorMessage="1" sqref="E7415">
      <formula1>0</formula1>
    </dataValidation>
    <dataValidation type="whole" operator="greaterThan" allowBlank="1" showInputMessage="1" showErrorMessage="1" sqref="A7416">
      <formula1>0</formula1>
    </dataValidation>
    <dataValidation type="list" allowBlank="1" showInputMessage="1" showErrorMessage="1" sqref="C7416">
      <formula1>UnidadesList</formula1>
    </dataValidation>
    <dataValidation type="decimal" operator="greaterThan" allowBlank="1" showInputMessage="1" showErrorMessage="1" sqref="D7416">
      <formula1>0</formula1>
    </dataValidation>
    <dataValidation type="decimal" operator="greaterThan" allowBlank="1" showInputMessage="1" showErrorMessage="1" sqref="E7416">
      <formula1>0</formula1>
    </dataValidation>
    <dataValidation type="whole" operator="greaterThan" allowBlank="1" showInputMessage="1" showErrorMessage="1" sqref="A7417">
      <formula1>0</formula1>
    </dataValidation>
    <dataValidation type="list" allowBlank="1" showInputMessage="1" showErrorMessage="1" sqref="C7417">
      <formula1>UnidadesList</formula1>
    </dataValidation>
    <dataValidation type="decimal" operator="greaterThan" allowBlank="1" showInputMessage="1" showErrorMessage="1" sqref="D7417">
      <formula1>0</formula1>
    </dataValidation>
    <dataValidation type="decimal" operator="greaterThan" allowBlank="1" showInputMessage="1" showErrorMessage="1" sqref="E7417">
      <formula1>0</formula1>
    </dataValidation>
    <dataValidation type="whole" operator="greaterThan" allowBlank="1" showInputMessage="1" showErrorMessage="1" sqref="A7418">
      <formula1>0</formula1>
    </dataValidation>
    <dataValidation type="list" allowBlank="1" showInputMessage="1" showErrorMessage="1" sqref="C7418">
      <formula1>UnidadesList</formula1>
    </dataValidation>
    <dataValidation type="decimal" operator="greaterThan" allowBlank="1" showInputMessage="1" showErrorMessage="1" sqref="D7418">
      <formula1>0</formula1>
    </dataValidation>
    <dataValidation type="decimal" operator="greaterThan" allowBlank="1" showInputMessage="1" showErrorMessage="1" sqref="E7418">
      <formula1>0</formula1>
    </dataValidation>
    <dataValidation type="whole" operator="greaterThan" allowBlank="1" showInputMessage="1" showErrorMessage="1" sqref="A7419">
      <formula1>0</formula1>
    </dataValidation>
    <dataValidation type="list" allowBlank="1" showInputMessage="1" showErrorMessage="1" sqref="C7419">
      <formula1>UnidadesList</formula1>
    </dataValidation>
    <dataValidation type="decimal" operator="greaterThan" allowBlank="1" showInputMessage="1" showErrorMessage="1" sqref="D7419">
      <formula1>0</formula1>
    </dataValidation>
    <dataValidation type="decimal" operator="greaterThan" allowBlank="1" showInputMessage="1" showErrorMessage="1" sqref="E7419">
      <formula1>0</formula1>
    </dataValidation>
    <dataValidation type="whole" operator="greaterThan" allowBlank="1" showInputMessage="1" showErrorMessage="1" sqref="A7420">
      <formula1>0</formula1>
    </dataValidation>
    <dataValidation type="list" allowBlank="1" showInputMessage="1" showErrorMessage="1" sqref="C7420">
      <formula1>UnidadesList</formula1>
    </dataValidation>
    <dataValidation type="decimal" operator="greaterThan" allowBlank="1" showInputMessage="1" showErrorMessage="1" sqref="D7420">
      <formula1>0</formula1>
    </dataValidation>
    <dataValidation type="decimal" operator="greaterThan" allowBlank="1" showInputMessage="1" showErrorMessage="1" sqref="E7420">
      <formula1>0</formula1>
    </dataValidation>
    <dataValidation type="whole" operator="greaterThan" allowBlank="1" showInputMessage="1" showErrorMessage="1" sqref="A7421">
      <formula1>0</formula1>
    </dataValidation>
    <dataValidation type="list" allowBlank="1" showInputMessage="1" showErrorMessage="1" sqref="C7421">
      <formula1>UnidadesList</formula1>
    </dataValidation>
    <dataValidation type="decimal" operator="greaterThan" allowBlank="1" showInputMessage="1" showErrorMessage="1" sqref="D7421">
      <formula1>0</formula1>
    </dataValidation>
    <dataValidation type="decimal" operator="greaterThan" allowBlank="1" showInputMessage="1" showErrorMessage="1" sqref="E7421">
      <formula1>0</formula1>
    </dataValidation>
    <dataValidation type="whole" operator="greaterThan" allowBlank="1" showInputMessage="1" showErrorMessage="1" sqref="A7422">
      <formula1>0</formula1>
    </dataValidation>
    <dataValidation type="list" allowBlank="1" showInputMessage="1" showErrorMessage="1" sqref="C7422">
      <formula1>UnidadesList</formula1>
    </dataValidation>
    <dataValidation type="decimal" operator="greaterThan" allowBlank="1" showInputMessage="1" showErrorMessage="1" sqref="D7422">
      <formula1>0</formula1>
    </dataValidation>
    <dataValidation type="decimal" operator="greaterThan" allowBlank="1" showInputMessage="1" showErrorMessage="1" sqref="E7422">
      <formula1>0</formula1>
    </dataValidation>
    <dataValidation type="date" operator="lessThanOrEqual" allowBlank="1" showInputMessage="1" showErrorMessage="1" sqref="C7427">
      <formula1>C7429</formula1>
    </dataValidation>
    <dataValidation type="date" operator="greaterThanOrEqual" allowBlank="1" showInputMessage="1" showErrorMessage="1" sqref="C7429">
      <formula1>C7427</formula1>
    </dataValidation>
    <dataValidation type="list" allowBlank="1" showInputMessage="1" showErrorMessage="1" sqref="F74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4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4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4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433">
      <formula1>0</formula1>
    </dataValidation>
    <dataValidation type="list" allowBlank="1" showInputMessage="1" showErrorMessage="1" sqref="C7433">
      <formula1>UnidadesList</formula1>
    </dataValidation>
    <dataValidation type="decimal" operator="greaterThan" allowBlank="1" showInputMessage="1" showErrorMessage="1" sqref="D7433">
      <formula1>0</formula1>
    </dataValidation>
    <dataValidation type="decimal" operator="greaterThan" allowBlank="1" showInputMessage="1" showErrorMessage="1" sqref="E7433">
      <formula1>0</formula1>
    </dataValidation>
    <dataValidation type="whole" operator="greaterThan" allowBlank="1" showInputMessage="1" showErrorMessage="1" sqref="A7434">
      <formula1>0</formula1>
    </dataValidation>
    <dataValidation type="list" allowBlank="1" showInputMessage="1" showErrorMessage="1" sqref="C7434">
      <formula1>UnidadesList</formula1>
    </dataValidation>
    <dataValidation type="decimal" operator="greaterThan" allowBlank="1" showInputMessage="1" showErrorMessage="1" sqref="D7434">
      <formula1>0</formula1>
    </dataValidation>
    <dataValidation type="decimal" operator="greaterThan" allowBlank="1" showInputMessage="1" showErrorMessage="1" sqref="E7434">
      <formula1>0</formula1>
    </dataValidation>
    <dataValidation type="whole" operator="greaterThan" allowBlank="1" showInputMessage="1" showErrorMessage="1" sqref="A7435">
      <formula1>0</formula1>
    </dataValidation>
    <dataValidation type="list" allowBlank="1" showInputMessage="1" showErrorMessage="1" sqref="C7435">
      <formula1>UnidadesList</formula1>
    </dataValidation>
    <dataValidation type="decimal" operator="greaterThan" allowBlank="1" showInputMessage="1" showErrorMessage="1" sqref="D7435">
      <formula1>0</formula1>
    </dataValidation>
    <dataValidation type="decimal" operator="greaterThan" allowBlank="1" showInputMessage="1" showErrorMessage="1" sqref="E7435">
      <formula1>0</formula1>
    </dataValidation>
    <dataValidation type="whole" operator="greaterThan" allowBlank="1" showInputMessage="1" showErrorMessage="1" sqref="A7436">
      <formula1>0</formula1>
    </dataValidation>
    <dataValidation type="list" allowBlank="1" showInputMessage="1" showErrorMessage="1" sqref="C7436">
      <formula1>UnidadesList</formula1>
    </dataValidation>
    <dataValidation type="decimal" operator="greaterThan" allowBlank="1" showInputMessage="1" showErrorMessage="1" sqref="D7436">
      <formula1>0</formula1>
    </dataValidation>
    <dataValidation type="decimal" operator="greaterThan" allowBlank="1" showInputMessage="1" showErrorMessage="1" sqref="E7436">
      <formula1>0</formula1>
    </dataValidation>
    <dataValidation type="whole" operator="greaterThan" allowBlank="1" showInputMessage="1" showErrorMessage="1" sqref="A7437">
      <formula1>0</formula1>
    </dataValidation>
    <dataValidation type="list" allowBlank="1" showInputMessage="1" showErrorMessage="1" sqref="C7437">
      <formula1>UnidadesList</formula1>
    </dataValidation>
    <dataValidation type="decimal" operator="greaterThan" allowBlank="1" showInputMessage="1" showErrorMessage="1" sqref="D7437">
      <formula1>0</formula1>
    </dataValidation>
    <dataValidation type="decimal" operator="greaterThan" allowBlank="1" showInputMessage="1" showErrorMessage="1" sqref="E7437">
      <formula1>0</formula1>
    </dataValidation>
    <dataValidation type="whole" operator="greaterThan" allowBlank="1" showInputMessage="1" showErrorMessage="1" sqref="A7438">
      <formula1>0</formula1>
    </dataValidation>
    <dataValidation type="list" allowBlank="1" showInputMessage="1" showErrorMessage="1" sqref="C7438">
      <formula1>UnidadesList</formula1>
    </dataValidation>
    <dataValidation type="decimal" operator="greaterThan" allowBlank="1" showInputMessage="1" showErrorMessage="1" sqref="D7438">
      <formula1>0</formula1>
    </dataValidation>
    <dataValidation type="decimal" operator="greaterThan" allowBlank="1" showInputMessage="1" showErrorMessage="1" sqref="E7438">
      <formula1>0</formula1>
    </dataValidation>
    <dataValidation type="whole" operator="greaterThan" allowBlank="1" showInputMessage="1" showErrorMessage="1" sqref="A7439">
      <formula1>0</formula1>
    </dataValidation>
    <dataValidation type="list" allowBlank="1" showInputMessage="1" showErrorMessage="1" sqref="C7439">
      <formula1>UnidadesList</formula1>
    </dataValidation>
    <dataValidation type="decimal" operator="greaterThan" allowBlank="1" showInputMessage="1" showErrorMessage="1" sqref="D7439">
      <formula1>0</formula1>
    </dataValidation>
    <dataValidation type="decimal" operator="greaterThan" allowBlank="1" showInputMessage="1" showErrorMessage="1" sqref="E7439">
      <formula1>0</formula1>
    </dataValidation>
    <dataValidation type="whole" operator="greaterThan" allowBlank="1" showInputMessage="1" showErrorMessage="1" sqref="A7440">
      <formula1>0</formula1>
    </dataValidation>
    <dataValidation type="list" allowBlank="1" showInputMessage="1" showErrorMessage="1" sqref="C7440">
      <formula1>UnidadesList</formula1>
    </dataValidation>
    <dataValidation type="decimal" operator="greaterThan" allowBlank="1" showInputMessage="1" showErrorMessage="1" sqref="D7440">
      <formula1>0</formula1>
    </dataValidation>
    <dataValidation type="decimal" operator="greaterThan" allowBlank="1" showInputMessage="1" showErrorMessage="1" sqref="E7440">
      <formula1>0</formula1>
    </dataValidation>
    <dataValidation type="whole" operator="greaterThan" allowBlank="1" showInputMessage="1" showErrorMessage="1" sqref="A7441">
      <formula1>0</formula1>
    </dataValidation>
    <dataValidation type="list" allowBlank="1" showInputMessage="1" showErrorMessage="1" sqref="C7441">
      <formula1>UnidadesList</formula1>
    </dataValidation>
    <dataValidation type="decimal" operator="greaterThan" allowBlank="1" showInputMessage="1" showErrorMessage="1" sqref="D7441">
      <formula1>0</formula1>
    </dataValidation>
    <dataValidation type="decimal" operator="greaterThan" allowBlank="1" showInputMessage="1" showErrorMessage="1" sqref="E7441">
      <formula1>0</formula1>
    </dataValidation>
    <dataValidation type="whole" operator="greaterThan" allowBlank="1" showInputMessage="1" showErrorMessage="1" sqref="A7442">
      <formula1>0</formula1>
    </dataValidation>
    <dataValidation type="list" allowBlank="1" showInputMessage="1" showErrorMessage="1" sqref="C7442">
      <formula1>UnidadesList</formula1>
    </dataValidation>
    <dataValidation type="decimal" operator="greaterThan" allowBlank="1" showInputMessage="1" showErrorMessage="1" sqref="D7442">
      <formula1>0</formula1>
    </dataValidation>
    <dataValidation type="decimal" operator="greaterThan" allowBlank="1" showInputMessage="1" showErrorMessage="1" sqref="E7442">
      <formula1>0</formula1>
    </dataValidation>
    <dataValidation type="whole" operator="greaterThan" allowBlank="1" showInputMessage="1" showErrorMessage="1" sqref="A7443">
      <formula1>0</formula1>
    </dataValidation>
    <dataValidation type="list" allowBlank="1" showInputMessage="1" showErrorMessage="1" sqref="C7443">
      <formula1>UnidadesList</formula1>
    </dataValidation>
    <dataValidation type="decimal" operator="greaterThan" allowBlank="1" showInputMessage="1" showErrorMessage="1" sqref="D7443">
      <formula1>0</formula1>
    </dataValidation>
    <dataValidation type="decimal" operator="greaterThan" allowBlank="1" showInputMessage="1" showErrorMessage="1" sqref="E7443">
      <formula1>0</formula1>
    </dataValidation>
    <dataValidation type="whole" operator="greaterThan" allowBlank="1" showInputMessage="1" showErrorMessage="1" sqref="A7444">
      <formula1>0</formula1>
    </dataValidation>
    <dataValidation type="list" allowBlank="1" showInputMessage="1" showErrorMessage="1" sqref="C7444">
      <formula1>UnidadesList</formula1>
    </dataValidation>
    <dataValidation type="decimal" operator="greaterThan" allowBlank="1" showInputMessage="1" showErrorMessage="1" sqref="D7444">
      <formula1>0</formula1>
    </dataValidation>
    <dataValidation type="decimal" operator="greaterThan" allowBlank="1" showInputMessage="1" showErrorMessage="1" sqref="E7444">
      <formula1>0</formula1>
    </dataValidation>
    <dataValidation type="whole" operator="greaterThan" allowBlank="1" showInputMessage="1" showErrorMessage="1" sqref="A7445">
      <formula1>0</formula1>
    </dataValidation>
    <dataValidation type="list" allowBlank="1" showInputMessage="1" showErrorMessage="1" sqref="C7445">
      <formula1>UnidadesList</formula1>
    </dataValidation>
    <dataValidation type="decimal" operator="greaterThan" allowBlank="1" showInputMessage="1" showErrorMessage="1" sqref="D7445">
      <formula1>0</formula1>
    </dataValidation>
    <dataValidation type="decimal" operator="greaterThan" allowBlank="1" showInputMessage="1" showErrorMessage="1" sqref="E7445">
      <formula1>0</formula1>
    </dataValidation>
    <dataValidation type="whole" operator="greaterThan" allowBlank="1" showInputMessage="1" showErrorMessage="1" sqref="A7446">
      <formula1>0</formula1>
    </dataValidation>
    <dataValidation type="list" allowBlank="1" showInputMessage="1" showErrorMessage="1" sqref="C7446">
      <formula1>UnidadesList</formula1>
    </dataValidation>
    <dataValidation type="decimal" operator="greaterThan" allowBlank="1" showInputMessage="1" showErrorMessage="1" sqref="D7446">
      <formula1>0</formula1>
    </dataValidation>
    <dataValidation type="decimal" operator="greaterThan" allowBlank="1" showInputMessage="1" showErrorMessage="1" sqref="E7446">
      <formula1>0</formula1>
    </dataValidation>
    <dataValidation type="whole" operator="greaterThan" allowBlank="1" showInputMessage="1" showErrorMessage="1" sqref="A7447">
      <formula1>0</formula1>
    </dataValidation>
    <dataValidation type="list" allowBlank="1" showInputMessage="1" showErrorMessage="1" sqref="C7447">
      <formula1>UnidadesList</formula1>
    </dataValidation>
    <dataValidation type="decimal" operator="greaterThan" allowBlank="1" showInputMessage="1" showErrorMessage="1" sqref="D7447">
      <formula1>0</formula1>
    </dataValidation>
    <dataValidation type="decimal" operator="greaterThan" allowBlank="1" showInputMessage="1" showErrorMessage="1" sqref="E7447">
      <formula1>0</formula1>
    </dataValidation>
    <dataValidation type="whole" operator="greaterThan" allowBlank="1" showInputMessage="1" showErrorMessage="1" sqref="A7448">
      <formula1>0</formula1>
    </dataValidation>
    <dataValidation type="list" allowBlank="1" showInputMessage="1" showErrorMessage="1" sqref="C7448">
      <formula1>UnidadesList</formula1>
    </dataValidation>
    <dataValidation type="decimal" operator="greaterThan" allowBlank="1" showInputMessage="1" showErrorMessage="1" sqref="D7448">
      <formula1>0</formula1>
    </dataValidation>
    <dataValidation type="decimal" operator="greaterThan" allowBlank="1" showInputMessage="1" showErrorMessage="1" sqref="E7448">
      <formula1>0</formula1>
    </dataValidation>
    <dataValidation type="whole" operator="greaterThan" allowBlank="1" showInputMessage="1" showErrorMessage="1" sqref="A7449">
      <formula1>0</formula1>
    </dataValidation>
    <dataValidation type="list" allowBlank="1" showInputMessage="1" showErrorMessage="1" sqref="C7449">
      <formula1>UnidadesList</formula1>
    </dataValidation>
    <dataValidation type="decimal" operator="greaterThan" allowBlank="1" showInputMessage="1" showErrorMessage="1" sqref="D7449">
      <formula1>0</formula1>
    </dataValidation>
    <dataValidation type="decimal" operator="greaterThan" allowBlank="1" showInputMessage="1" showErrorMessage="1" sqref="E7449">
      <formula1>0</formula1>
    </dataValidation>
    <dataValidation type="whole" operator="greaterThan" allowBlank="1" showInputMessage="1" showErrorMessage="1" sqref="A7450">
      <formula1>0</formula1>
    </dataValidation>
    <dataValidation type="list" allowBlank="1" showInputMessage="1" showErrorMessage="1" sqref="C7450">
      <formula1>UnidadesList</formula1>
    </dataValidation>
    <dataValidation type="decimal" operator="greaterThan" allowBlank="1" showInputMessage="1" showErrorMessage="1" sqref="D7450">
      <formula1>0</formula1>
    </dataValidation>
    <dataValidation type="decimal" operator="greaterThan" allowBlank="1" showInputMessage="1" showErrorMessage="1" sqref="E7450">
      <formula1>0</formula1>
    </dataValidation>
    <dataValidation type="whole" operator="greaterThan" allowBlank="1" showInputMessage="1" showErrorMessage="1" sqref="A7451">
      <formula1>0</formula1>
    </dataValidation>
    <dataValidation type="list" allowBlank="1" showInputMessage="1" showErrorMessage="1" sqref="C7451">
      <formula1>UnidadesList</formula1>
    </dataValidation>
    <dataValidation type="decimal" operator="greaterThan" allowBlank="1" showInputMessage="1" showErrorMessage="1" sqref="D7451">
      <formula1>0</formula1>
    </dataValidation>
    <dataValidation type="decimal" operator="greaterThan" allowBlank="1" showInputMessage="1" showErrorMessage="1" sqref="E7451">
      <formula1>0</formula1>
    </dataValidation>
    <dataValidation type="whole" operator="greaterThan" allowBlank="1" showInputMessage="1" showErrorMessage="1" sqref="A7452">
      <formula1>0</formula1>
    </dataValidation>
    <dataValidation type="list" allowBlank="1" showInputMessage="1" showErrorMessage="1" sqref="C7452">
      <formula1>UnidadesList</formula1>
    </dataValidation>
    <dataValidation type="decimal" operator="greaterThan" allowBlank="1" showInputMessage="1" showErrorMessage="1" sqref="D7452">
      <formula1>0</formula1>
    </dataValidation>
    <dataValidation type="decimal" operator="greaterThan" allowBlank="1" showInputMessage="1" showErrorMessage="1" sqref="E7452">
      <formula1>0</formula1>
    </dataValidation>
    <dataValidation type="whole" operator="greaterThan" allowBlank="1" showInputMessage="1" showErrorMessage="1" sqref="A7453">
      <formula1>0</formula1>
    </dataValidation>
    <dataValidation type="list" allowBlank="1" showInputMessage="1" showErrorMessage="1" sqref="C7453">
      <formula1>UnidadesList</formula1>
    </dataValidation>
    <dataValidation type="decimal" operator="greaterThan" allowBlank="1" showInputMessage="1" showErrorMessage="1" sqref="D7453">
      <formula1>0</formula1>
    </dataValidation>
    <dataValidation type="decimal" operator="greaterThan" allowBlank="1" showInputMessage="1" showErrorMessage="1" sqref="E7453">
      <formula1>0</formula1>
    </dataValidation>
    <dataValidation type="whole" operator="greaterThan" allowBlank="1" showInputMessage="1" showErrorMessage="1" sqref="A7454">
      <formula1>0</formula1>
    </dataValidation>
    <dataValidation type="list" allowBlank="1" showInputMessage="1" showErrorMessage="1" sqref="C7454">
      <formula1>UnidadesList</formula1>
    </dataValidation>
    <dataValidation type="decimal" operator="greaterThan" allowBlank="1" showInputMessage="1" showErrorMessage="1" sqref="D7454">
      <formula1>0</formula1>
    </dataValidation>
    <dataValidation type="decimal" operator="greaterThan" allowBlank="1" showInputMessage="1" showErrorMessage="1" sqref="E7454">
      <formula1>0</formula1>
    </dataValidation>
    <dataValidation type="whole" operator="greaterThan" allowBlank="1" showInputMessage="1" showErrorMessage="1" sqref="A7455">
      <formula1>0</formula1>
    </dataValidation>
    <dataValidation type="list" allowBlank="1" showInputMessage="1" showErrorMessage="1" sqref="C7455">
      <formula1>UnidadesList</formula1>
    </dataValidation>
    <dataValidation type="decimal" operator="greaterThan" allowBlank="1" showInputMessage="1" showErrorMessage="1" sqref="D7455">
      <formula1>0</formula1>
    </dataValidation>
    <dataValidation type="decimal" operator="greaterThan" allowBlank="1" showInputMessage="1" showErrorMessage="1" sqref="E7455">
      <formula1>0</formula1>
    </dataValidation>
    <dataValidation type="whole" operator="greaterThan" allowBlank="1" showInputMessage="1" showErrorMessage="1" sqref="A7456">
      <formula1>0</formula1>
    </dataValidation>
    <dataValidation type="list" allowBlank="1" showInputMessage="1" showErrorMessage="1" sqref="C7456">
      <formula1>UnidadesList</formula1>
    </dataValidation>
    <dataValidation type="decimal" operator="greaterThan" allowBlank="1" showInputMessage="1" showErrorMessage="1" sqref="D7456">
      <formula1>0</formula1>
    </dataValidation>
    <dataValidation type="decimal" operator="greaterThan" allowBlank="1" showInputMessage="1" showErrorMessage="1" sqref="E7456">
      <formula1>0</formula1>
    </dataValidation>
    <dataValidation type="whole" operator="greaterThan" allowBlank="1" showInputMessage="1" showErrorMessage="1" sqref="A7457">
      <formula1>0</formula1>
    </dataValidation>
    <dataValidation type="list" allowBlank="1" showInputMessage="1" showErrorMessage="1" sqref="C7457">
      <formula1>UnidadesList</formula1>
    </dataValidation>
    <dataValidation type="decimal" operator="greaterThan" allowBlank="1" showInputMessage="1" showErrorMessage="1" sqref="D7457">
      <formula1>0</formula1>
    </dataValidation>
    <dataValidation type="decimal" operator="greaterThan" allowBlank="1" showInputMessage="1" showErrorMessage="1" sqref="E7457">
      <formula1>0</formula1>
    </dataValidation>
    <dataValidation type="whole" operator="greaterThan" allowBlank="1" showInputMessage="1" showErrorMessage="1" sqref="A7458">
      <formula1>0</formula1>
    </dataValidation>
    <dataValidation type="list" allowBlank="1" showInputMessage="1" showErrorMessage="1" sqref="C7458">
      <formula1>UnidadesList</formula1>
    </dataValidation>
    <dataValidation type="decimal" operator="greaterThan" allowBlank="1" showInputMessage="1" showErrorMessage="1" sqref="D7458">
      <formula1>0</formula1>
    </dataValidation>
    <dataValidation type="decimal" operator="greaterThan" allowBlank="1" showInputMessage="1" showErrorMessage="1" sqref="E7458">
      <formula1>0</formula1>
    </dataValidation>
    <dataValidation type="whole" operator="greaterThan" allowBlank="1" showInputMessage="1" showErrorMessage="1" sqref="A7459">
      <formula1>0</formula1>
    </dataValidation>
    <dataValidation type="list" allowBlank="1" showInputMessage="1" showErrorMessage="1" sqref="C7459">
      <formula1>UnidadesList</formula1>
    </dataValidation>
    <dataValidation type="decimal" operator="greaterThan" allowBlank="1" showInputMessage="1" showErrorMessage="1" sqref="D7459">
      <formula1>0</formula1>
    </dataValidation>
    <dataValidation type="decimal" operator="greaterThan" allowBlank="1" showInputMessage="1" showErrorMessage="1" sqref="E7459">
      <formula1>0</formula1>
    </dataValidation>
    <dataValidation type="whole" operator="greaterThan" allowBlank="1" showInputMessage="1" showErrorMessage="1" sqref="A7460">
      <formula1>0</formula1>
    </dataValidation>
    <dataValidation type="list" allowBlank="1" showInputMessage="1" showErrorMessage="1" sqref="C7460">
      <formula1>UnidadesList</formula1>
    </dataValidation>
    <dataValidation type="decimal" operator="greaterThan" allowBlank="1" showInputMessage="1" showErrorMessage="1" sqref="D7460">
      <formula1>0</formula1>
    </dataValidation>
    <dataValidation type="decimal" operator="greaterThan" allowBlank="1" showInputMessage="1" showErrorMessage="1" sqref="E7460">
      <formula1>0</formula1>
    </dataValidation>
    <dataValidation type="whole" operator="greaterThan" allowBlank="1" showInputMessage="1" showErrorMessage="1" sqref="A7461">
      <formula1>0</formula1>
    </dataValidation>
    <dataValidation type="list" allowBlank="1" showInputMessage="1" showErrorMessage="1" sqref="C7461">
      <formula1>UnidadesList</formula1>
    </dataValidation>
    <dataValidation type="decimal" operator="greaterThan" allowBlank="1" showInputMessage="1" showErrorMessage="1" sqref="D7461">
      <formula1>0</formula1>
    </dataValidation>
    <dataValidation type="decimal" operator="greaterThan" allowBlank="1" showInputMessage="1" showErrorMessage="1" sqref="E7461">
      <formula1>0</formula1>
    </dataValidation>
    <dataValidation type="whole" operator="greaterThan" allowBlank="1" showInputMessage="1" showErrorMessage="1" sqref="A7462">
      <formula1>0</formula1>
    </dataValidation>
    <dataValidation type="list" allowBlank="1" showInputMessage="1" showErrorMessage="1" sqref="C7462">
      <formula1>UnidadesList</formula1>
    </dataValidation>
    <dataValidation type="decimal" operator="greaterThan" allowBlank="1" showInputMessage="1" showErrorMessage="1" sqref="D7462">
      <formula1>0</formula1>
    </dataValidation>
    <dataValidation type="decimal" operator="greaterThan" allowBlank="1" showInputMessage="1" showErrorMessage="1" sqref="E7462">
      <formula1>0</formula1>
    </dataValidation>
    <dataValidation type="whole" operator="greaterThan" allowBlank="1" showInputMessage="1" showErrorMessage="1" sqref="A7463">
      <formula1>0</formula1>
    </dataValidation>
    <dataValidation type="list" allowBlank="1" showInputMessage="1" showErrorMessage="1" sqref="C7463">
      <formula1>UnidadesList</formula1>
    </dataValidation>
    <dataValidation type="decimal" operator="greaterThan" allowBlank="1" showInputMessage="1" showErrorMessage="1" sqref="D7463">
      <formula1>0</formula1>
    </dataValidation>
    <dataValidation type="decimal" operator="greaterThan" allowBlank="1" showInputMessage="1" showErrorMessage="1" sqref="E7463">
      <formula1>0</formula1>
    </dataValidation>
    <dataValidation type="whole" operator="greaterThan" allowBlank="1" showInputMessage="1" showErrorMessage="1" sqref="A7464">
      <formula1>0</formula1>
    </dataValidation>
    <dataValidation type="list" allowBlank="1" showInputMessage="1" showErrorMessage="1" sqref="C7464">
      <formula1>UnidadesList</formula1>
    </dataValidation>
    <dataValidation type="decimal" operator="greaterThan" allowBlank="1" showInputMessage="1" showErrorMessage="1" sqref="D7464">
      <formula1>0</formula1>
    </dataValidation>
    <dataValidation type="decimal" operator="greaterThan" allowBlank="1" showInputMessage="1" showErrorMessage="1" sqref="E7464">
      <formula1>0</formula1>
    </dataValidation>
    <dataValidation type="whole" operator="greaterThan" allowBlank="1" showInputMessage="1" showErrorMessage="1" sqref="A7465">
      <formula1>0</formula1>
    </dataValidation>
    <dataValidation type="list" allowBlank="1" showInputMessage="1" showErrorMessage="1" sqref="C7465">
      <formula1>UnidadesList</formula1>
    </dataValidation>
    <dataValidation type="decimal" operator="greaterThan" allowBlank="1" showInputMessage="1" showErrorMessage="1" sqref="D7465">
      <formula1>0</formula1>
    </dataValidation>
    <dataValidation type="decimal" operator="greaterThan" allowBlank="1" showInputMessage="1" showErrorMessage="1" sqref="E7465">
      <formula1>0</formula1>
    </dataValidation>
    <dataValidation type="whole" operator="greaterThan" allowBlank="1" showInputMessage="1" showErrorMessage="1" sqref="A7466">
      <formula1>0</formula1>
    </dataValidation>
    <dataValidation type="list" allowBlank="1" showInputMessage="1" showErrorMessage="1" sqref="C7466">
      <formula1>UnidadesList</formula1>
    </dataValidation>
    <dataValidation type="decimal" operator="greaterThan" allowBlank="1" showInputMessage="1" showErrorMessage="1" sqref="D7466">
      <formula1>0</formula1>
    </dataValidation>
    <dataValidation type="decimal" operator="greaterThan" allowBlank="1" showInputMessage="1" showErrorMessage="1" sqref="E7466">
      <formula1>0</formula1>
    </dataValidation>
    <dataValidation type="whole" operator="greaterThan" allowBlank="1" showInputMessage="1" showErrorMessage="1" sqref="A7467">
      <formula1>0</formula1>
    </dataValidation>
    <dataValidation type="list" allowBlank="1" showInputMessage="1" showErrorMessage="1" sqref="C7467">
      <formula1>UnidadesList</formula1>
    </dataValidation>
    <dataValidation type="decimal" operator="greaterThan" allowBlank="1" showInputMessage="1" showErrorMessage="1" sqref="D7467">
      <formula1>0</formula1>
    </dataValidation>
    <dataValidation type="decimal" operator="greaterThan" allowBlank="1" showInputMessage="1" showErrorMessage="1" sqref="E7467">
      <formula1>0</formula1>
    </dataValidation>
    <dataValidation type="whole" operator="greaterThan" allowBlank="1" showInputMessage="1" showErrorMessage="1" sqref="A7468">
      <formula1>0</formula1>
    </dataValidation>
    <dataValidation type="list" allowBlank="1" showInputMessage="1" showErrorMessage="1" sqref="C7468">
      <formula1>UnidadesList</formula1>
    </dataValidation>
    <dataValidation type="decimal" operator="greaterThan" allowBlank="1" showInputMessage="1" showErrorMessage="1" sqref="D7468">
      <formula1>0</formula1>
    </dataValidation>
    <dataValidation type="decimal" operator="greaterThan" allowBlank="1" showInputMessage="1" showErrorMessage="1" sqref="E7468">
      <formula1>0</formula1>
    </dataValidation>
    <dataValidation type="whole" operator="greaterThan" allowBlank="1" showInputMessage="1" showErrorMessage="1" sqref="A7469">
      <formula1>0</formula1>
    </dataValidation>
    <dataValidation type="list" allowBlank="1" showInputMessage="1" showErrorMessage="1" sqref="C7469">
      <formula1>UnidadesList</formula1>
    </dataValidation>
    <dataValidation type="decimal" operator="greaterThan" allowBlank="1" showInputMessage="1" showErrorMessage="1" sqref="D7469">
      <formula1>0</formula1>
    </dataValidation>
    <dataValidation type="decimal" operator="greaterThan" allowBlank="1" showInputMessage="1" showErrorMessage="1" sqref="E7469">
      <formula1>0</formula1>
    </dataValidation>
    <dataValidation type="date" operator="lessThanOrEqual" allowBlank="1" showInputMessage="1" showErrorMessage="1" sqref="C7474">
      <formula1>C7476</formula1>
    </dataValidation>
    <dataValidation type="date" operator="greaterThanOrEqual" allowBlank="1" showInputMessage="1" showErrorMessage="1" sqref="C7476">
      <formula1>C7474</formula1>
    </dataValidation>
    <dataValidation type="list" allowBlank="1" showInputMessage="1" showErrorMessage="1" sqref="F747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47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47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47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480">
      <formula1>0</formula1>
    </dataValidation>
    <dataValidation type="list" allowBlank="1" showInputMessage="1" showErrorMessage="1" sqref="C7480">
      <formula1>UnidadesList</formula1>
    </dataValidation>
    <dataValidation type="decimal" operator="greaterThan" allowBlank="1" showInputMessage="1" showErrorMessage="1" sqref="D7480">
      <formula1>0</formula1>
    </dataValidation>
    <dataValidation type="decimal" operator="greaterThan" allowBlank="1" showInputMessage="1" showErrorMessage="1" sqref="E7480">
      <formula1>0</formula1>
    </dataValidation>
    <dataValidation type="whole" operator="greaterThan" allowBlank="1" showInputMessage="1" showErrorMessage="1" sqref="A7481">
      <formula1>0</formula1>
    </dataValidation>
    <dataValidation type="list" allowBlank="1" showInputMessage="1" showErrorMessage="1" sqref="C7481">
      <formula1>UnidadesList</formula1>
    </dataValidation>
    <dataValidation type="decimal" operator="greaterThan" allowBlank="1" showInputMessage="1" showErrorMessage="1" sqref="D7481">
      <formula1>0</formula1>
    </dataValidation>
    <dataValidation type="decimal" operator="greaterThan" allowBlank="1" showInputMessage="1" showErrorMessage="1" sqref="E7481">
      <formula1>0</formula1>
    </dataValidation>
    <dataValidation type="whole" operator="greaterThan" allowBlank="1" showInputMessage="1" showErrorMessage="1" sqref="A7482">
      <formula1>0</formula1>
    </dataValidation>
    <dataValidation type="list" allowBlank="1" showInputMessage="1" showErrorMessage="1" sqref="C7482">
      <formula1>UnidadesList</formula1>
    </dataValidation>
    <dataValidation type="decimal" operator="greaterThan" allowBlank="1" showInputMessage="1" showErrorMessage="1" sqref="D7482">
      <formula1>0</formula1>
    </dataValidation>
    <dataValidation type="decimal" operator="greaterThan" allowBlank="1" showInputMessage="1" showErrorMessage="1" sqref="E7482">
      <formula1>0</formula1>
    </dataValidation>
    <dataValidation type="whole" operator="greaterThan" allowBlank="1" showInputMessage="1" showErrorMessage="1" sqref="A7483">
      <formula1>0</formula1>
    </dataValidation>
    <dataValidation type="list" allowBlank="1" showInputMessage="1" showErrorMessage="1" sqref="C7483">
      <formula1>UnidadesList</formula1>
    </dataValidation>
    <dataValidation type="decimal" operator="greaterThan" allowBlank="1" showInputMessage="1" showErrorMessage="1" sqref="D7483">
      <formula1>0</formula1>
    </dataValidation>
    <dataValidation type="decimal" operator="greaterThan" allowBlank="1" showInputMessage="1" showErrorMessage="1" sqref="E7483">
      <formula1>0</formula1>
    </dataValidation>
    <dataValidation type="whole" operator="greaterThan" allowBlank="1" showInputMessage="1" showErrorMessage="1" sqref="A7484">
      <formula1>0</formula1>
    </dataValidation>
    <dataValidation type="list" allowBlank="1" showInputMessage="1" showErrorMessage="1" sqref="C7484">
      <formula1>UnidadesList</formula1>
    </dataValidation>
    <dataValidation type="decimal" operator="greaterThan" allowBlank="1" showInputMessage="1" showErrorMessage="1" sqref="D7484">
      <formula1>0</formula1>
    </dataValidation>
    <dataValidation type="decimal" operator="greaterThan" allowBlank="1" showInputMessage="1" showErrorMessage="1" sqref="E7484">
      <formula1>0</formula1>
    </dataValidation>
    <dataValidation type="whole" operator="greaterThan" allowBlank="1" showInputMessage="1" showErrorMessage="1" sqref="A7485">
      <formula1>0</formula1>
    </dataValidation>
    <dataValidation type="list" allowBlank="1" showInputMessage="1" showErrorMessage="1" sqref="C7485">
      <formula1>UnidadesList</formula1>
    </dataValidation>
    <dataValidation type="decimal" operator="greaterThan" allowBlank="1" showInputMessage="1" showErrorMessage="1" sqref="D7485">
      <formula1>0</formula1>
    </dataValidation>
    <dataValidation type="decimal" operator="greaterThan" allowBlank="1" showInputMessage="1" showErrorMessage="1" sqref="E7485">
      <formula1>0</formula1>
    </dataValidation>
    <dataValidation type="whole" operator="greaterThan" allowBlank="1" showInputMessage="1" showErrorMessage="1" sqref="A7486">
      <formula1>0</formula1>
    </dataValidation>
    <dataValidation type="list" allowBlank="1" showInputMessage="1" showErrorMessage="1" sqref="C7486">
      <formula1>UnidadesList</formula1>
    </dataValidation>
    <dataValidation type="decimal" operator="greaterThan" allowBlank="1" showInputMessage="1" showErrorMessage="1" sqref="D7486">
      <formula1>0</formula1>
    </dataValidation>
    <dataValidation type="decimal" operator="greaterThan" allowBlank="1" showInputMessage="1" showErrorMessage="1" sqref="E7486">
      <formula1>0</formula1>
    </dataValidation>
    <dataValidation type="whole" operator="greaterThan" allowBlank="1" showInputMessage="1" showErrorMessage="1" sqref="A7487">
      <formula1>0</formula1>
    </dataValidation>
    <dataValidation type="list" allowBlank="1" showInputMessage="1" showErrorMessage="1" sqref="C7487">
      <formula1>UnidadesList</formula1>
    </dataValidation>
    <dataValidation type="decimal" operator="greaterThan" allowBlank="1" showInputMessage="1" showErrorMessage="1" sqref="D7487">
      <formula1>0</formula1>
    </dataValidation>
    <dataValidation type="decimal" operator="greaterThan" allowBlank="1" showInputMessage="1" showErrorMessage="1" sqref="E7487">
      <formula1>0</formula1>
    </dataValidation>
    <dataValidation type="whole" operator="greaterThan" allowBlank="1" showInputMessage="1" showErrorMessage="1" sqref="A7488">
      <formula1>0</formula1>
    </dataValidation>
    <dataValidation type="list" allowBlank="1" showInputMessage="1" showErrorMessage="1" sqref="C7488">
      <formula1>UnidadesList</formula1>
    </dataValidation>
    <dataValidation type="decimal" operator="greaterThan" allowBlank="1" showInputMessage="1" showErrorMessage="1" sqref="D7488">
      <formula1>0</formula1>
    </dataValidation>
    <dataValidation type="decimal" operator="greaterThan" allowBlank="1" showInputMessage="1" showErrorMessage="1" sqref="E7488">
      <formula1>0</formula1>
    </dataValidation>
    <dataValidation type="whole" operator="greaterThan" allowBlank="1" showInputMessage="1" showErrorMessage="1" sqref="A7489">
      <formula1>0</formula1>
    </dataValidation>
    <dataValidation type="list" allowBlank="1" showInputMessage="1" showErrorMessage="1" sqref="C7489">
      <formula1>UnidadesList</formula1>
    </dataValidation>
    <dataValidation type="decimal" operator="greaterThan" allowBlank="1" showInputMessage="1" showErrorMessage="1" sqref="D7489">
      <formula1>0</formula1>
    </dataValidation>
    <dataValidation type="decimal" operator="greaterThan" allowBlank="1" showInputMessage="1" showErrorMessage="1" sqref="E7489">
      <formula1>0</formula1>
    </dataValidation>
    <dataValidation type="whole" operator="greaterThan" allowBlank="1" showInputMessage="1" showErrorMessage="1" sqref="A7490">
      <formula1>0</formula1>
    </dataValidation>
    <dataValidation type="list" allowBlank="1" showInputMessage="1" showErrorMessage="1" sqref="C7490">
      <formula1>UnidadesList</formula1>
    </dataValidation>
    <dataValidation type="decimal" operator="greaterThan" allowBlank="1" showInputMessage="1" showErrorMessage="1" sqref="D7490">
      <formula1>0</formula1>
    </dataValidation>
    <dataValidation type="decimal" operator="greaterThan" allowBlank="1" showInputMessage="1" showErrorMessage="1" sqref="E7490">
      <formula1>0</formula1>
    </dataValidation>
    <dataValidation type="whole" operator="greaterThan" allowBlank="1" showInputMessage="1" showErrorMessage="1" sqref="A7491">
      <formula1>0</formula1>
    </dataValidation>
    <dataValidation type="list" allowBlank="1" showInputMessage="1" showErrorMessage="1" sqref="C7491">
      <formula1>UnidadesList</formula1>
    </dataValidation>
    <dataValidation type="decimal" operator="greaterThan" allowBlank="1" showInputMessage="1" showErrorMessage="1" sqref="D7491">
      <formula1>0</formula1>
    </dataValidation>
    <dataValidation type="decimal" operator="greaterThan" allowBlank="1" showInputMessage="1" showErrorMessage="1" sqref="E7491">
      <formula1>0</formula1>
    </dataValidation>
    <dataValidation type="whole" operator="greaterThan" allowBlank="1" showInputMessage="1" showErrorMessage="1" sqref="A7492">
      <formula1>0</formula1>
    </dataValidation>
    <dataValidation type="list" allowBlank="1" showInputMessage="1" showErrorMessage="1" sqref="C7492">
      <formula1>UnidadesList</formula1>
    </dataValidation>
    <dataValidation type="decimal" operator="greaterThan" allowBlank="1" showInputMessage="1" showErrorMessage="1" sqref="D7492">
      <formula1>0</formula1>
    </dataValidation>
    <dataValidation type="decimal" operator="greaterThan" allowBlank="1" showInputMessage="1" showErrorMessage="1" sqref="E7492">
      <formula1>0</formula1>
    </dataValidation>
    <dataValidation type="whole" operator="greaterThan" allowBlank="1" showInputMessage="1" showErrorMessage="1" sqref="A7493">
      <formula1>0</formula1>
    </dataValidation>
    <dataValidation type="list" allowBlank="1" showInputMessage="1" showErrorMessage="1" sqref="C7493">
      <formula1>UnidadesList</formula1>
    </dataValidation>
    <dataValidation type="decimal" operator="greaterThan" allowBlank="1" showInputMessage="1" showErrorMessage="1" sqref="D7493">
      <formula1>0</formula1>
    </dataValidation>
    <dataValidation type="decimal" operator="greaterThan" allowBlank="1" showInputMessage="1" showErrorMessage="1" sqref="E7493">
      <formula1>0</formula1>
    </dataValidation>
    <dataValidation type="whole" operator="greaterThan" allowBlank="1" showInputMessage="1" showErrorMessage="1" sqref="A7494">
      <formula1>0</formula1>
    </dataValidation>
    <dataValidation type="list" allowBlank="1" showInputMessage="1" showErrorMessage="1" sqref="C7494">
      <formula1>UnidadesList</formula1>
    </dataValidation>
    <dataValidation type="decimal" operator="greaterThan" allowBlank="1" showInputMessage="1" showErrorMessage="1" sqref="D7494">
      <formula1>0</formula1>
    </dataValidation>
    <dataValidation type="decimal" operator="greaterThan" allowBlank="1" showInputMessage="1" showErrorMessage="1" sqref="E7494">
      <formula1>0</formula1>
    </dataValidation>
    <dataValidation type="whole" operator="greaterThan" allowBlank="1" showInputMessage="1" showErrorMessage="1" sqref="A7495">
      <formula1>0</formula1>
    </dataValidation>
    <dataValidation type="list" allowBlank="1" showInputMessage="1" showErrorMessage="1" sqref="C7495">
      <formula1>UnidadesList</formula1>
    </dataValidation>
    <dataValidation type="decimal" operator="greaterThan" allowBlank="1" showInputMessage="1" showErrorMessage="1" sqref="D7495">
      <formula1>0</formula1>
    </dataValidation>
    <dataValidation type="decimal" operator="greaterThan" allowBlank="1" showInputMessage="1" showErrorMessage="1" sqref="E7495">
      <formula1>0</formula1>
    </dataValidation>
    <dataValidation type="whole" operator="greaterThan" allowBlank="1" showInputMessage="1" showErrorMessage="1" sqref="A7496">
      <formula1>0</formula1>
    </dataValidation>
    <dataValidation type="list" allowBlank="1" showInputMessage="1" showErrorMessage="1" sqref="C7496">
      <formula1>UnidadesList</formula1>
    </dataValidation>
    <dataValidation type="decimal" operator="greaterThan" allowBlank="1" showInputMessage="1" showErrorMessage="1" sqref="D7496">
      <formula1>0</formula1>
    </dataValidation>
    <dataValidation type="decimal" operator="greaterThan" allowBlank="1" showInputMessage="1" showErrorMessage="1" sqref="E7496">
      <formula1>0</formula1>
    </dataValidation>
    <dataValidation type="whole" operator="greaterThan" allowBlank="1" showInputMessage="1" showErrorMessage="1" sqref="A7497">
      <formula1>0</formula1>
    </dataValidation>
    <dataValidation type="list" allowBlank="1" showInputMessage="1" showErrorMessage="1" sqref="C7497">
      <formula1>UnidadesList</formula1>
    </dataValidation>
    <dataValidation type="decimal" operator="greaterThan" allowBlank="1" showInputMessage="1" showErrorMessage="1" sqref="D7497">
      <formula1>0</formula1>
    </dataValidation>
    <dataValidation type="decimal" operator="greaterThan" allowBlank="1" showInputMessage="1" showErrorMessage="1" sqref="E7497">
      <formula1>0</formula1>
    </dataValidation>
    <dataValidation type="whole" operator="greaterThan" allowBlank="1" showInputMessage="1" showErrorMessage="1" sqref="A7498">
      <formula1>0</formula1>
    </dataValidation>
    <dataValidation type="list" allowBlank="1" showInputMessage="1" showErrorMessage="1" sqref="C7498">
      <formula1>UnidadesList</formula1>
    </dataValidation>
    <dataValidation type="decimal" operator="greaterThan" allowBlank="1" showInputMessage="1" showErrorMessage="1" sqref="D7498">
      <formula1>0</formula1>
    </dataValidation>
    <dataValidation type="decimal" operator="greaterThan" allowBlank="1" showInputMessage="1" showErrorMessage="1" sqref="E7498">
      <formula1>0</formula1>
    </dataValidation>
    <dataValidation type="whole" operator="greaterThan" allowBlank="1" showInputMessage="1" showErrorMessage="1" sqref="A7499">
      <formula1>0</formula1>
    </dataValidation>
    <dataValidation type="list" allowBlank="1" showInputMessage="1" showErrorMessage="1" sqref="C7499">
      <formula1>UnidadesList</formula1>
    </dataValidation>
    <dataValidation type="decimal" operator="greaterThan" allowBlank="1" showInputMessage="1" showErrorMessage="1" sqref="D7499">
      <formula1>0</formula1>
    </dataValidation>
    <dataValidation type="decimal" operator="greaterThan" allowBlank="1" showInputMessage="1" showErrorMessage="1" sqref="E7499">
      <formula1>0</formula1>
    </dataValidation>
    <dataValidation type="whole" operator="greaterThan" allowBlank="1" showInputMessage="1" showErrorMessage="1" sqref="A7500">
      <formula1>0</formula1>
    </dataValidation>
    <dataValidation type="list" allowBlank="1" showInputMessage="1" showErrorMessage="1" sqref="C7500">
      <formula1>UnidadesList</formula1>
    </dataValidation>
    <dataValidation type="decimal" operator="greaterThan" allowBlank="1" showInputMessage="1" showErrorMessage="1" sqref="D7500">
      <formula1>0</formula1>
    </dataValidation>
    <dataValidation type="decimal" operator="greaterThan" allowBlank="1" showInputMessage="1" showErrorMessage="1" sqref="E7500">
      <formula1>0</formula1>
    </dataValidation>
    <dataValidation type="whole" operator="greaterThan" allowBlank="1" showInputMessage="1" showErrorMessage="1" sqref="A7501">
      <formula1>0</formula1>
    </dataValidation>
    <dataValidation type="list" allowBlank="1" showInputMessage="1" showErrorMessage="1" sqref="C7501">
      <formula1>UnidadesList</formula1>
    </dataValidation>
    <dataValidation type="decimal" operator="greaterThan" allowBlank="1" showInputMessage="1" showErrorMessage="1" sqref="D7501">
      <formula1>0</formula1>
    </dataValidation>
    <dataValidation type="decimal" operator="greaterThan" allowBlank="1" showInputMessage="1" showErrorMessage="1" sqref="E7501">
      <formula1>0</formula1>
    </dataValidation>
    <dataValidation type="whole" operator="greaterThan" allowBlank="1" showInputMessage="1" showErrorMessage="1" sqref="A7502">
      <formula1>0</formula1>
    </dataValidation>
    <dataValidation type="list" allowBlank="1" showInputMessage="1" showErrorMessage="1" sqref="C7502">
      <formula1>UnidadesList</formula1>
    </dataValidation>
    <dataValidation type="decimal" operator="greaterThan" allowBlank="1" showInputMessage="1" showErrorMessage="1" sqref="D7502">
      <formula1>0</formula1>
    </dataValidation>
    <dataValidation type="decimal" operator="greaterThan" allowBlank="1" showInputMessage="1" showErrorMessage="1" sqref="E7502">
      <formula1>0</formula1>
    </dataValidation>
    <dataValidation type="whole" operator="greaterThan" allowBlank="1" showInputMessage="1" showErrorMessage="1" sqref="A7503">
      <formula1>0</formula1>
    </dataValidation>
    <dataValidation type="list" allowBlank="1" showInputMessage="1" showErrorMessage="1" sqref="C7503">
      <formula1>UnidadesList</formula1>
    </dataValidation>
    <dataValidation type="decimal" operator="greaterThan" allowBlank="1" showInputMessage="1" showErrorMessage="1" sqref="D7503">
      <formula1>0</formula1>
    </dataValidation>
    <dataValidation type="decimal" operator="greaterThan" allowBlank="1" showInputMessage="1" showErrorMessage="1" sqref="E7503">
      <formula1>0</formula1>
    </dataValidation>
    <dataValidation type="whole" operator="greaterThan" allowBlank="1" showInputMessage="1" showErrorMessage="1" sqref="A7504">
      <formula1>0</formula1>
    </dataValidation>
    <dataValidation type="list" allowBlank="1" showInputMessage="1" showErrorMessage="1" sqref="C7504">
      <formula1>UnidadesList</formula1>
    </dataValidation>
    <dataValidation type="decimal" operator="greaterThan" allowBlank="1" showInputMessage="1" showErrorMessage="1" sqref="D7504">
      <formula1>0</formula1>
    </dataValidation>
    <dataValidation type="decimal" operator="greaterThan" allowBlank="1" showInputMessage="1" showErrorMessage="1" sqref="E7504">
      <formula1>0</formula1>
    </dataValidation>
    <dataValidation type="whole" operator="greaterThan" allowBlank="1" showInputMessage="1" showErrorMessage="1" sqref="A7505">
      <formula1>0</formula1>
    </dataValidation>
    <dataValidation type="list" allowBlank="1" showInputMessage="1" showErrorMessage="1" sqref="C7505">
      <formula1>UnidadesList</formula1>
    </dataValidation>
    <dataValidation type="decimal" operator="greaterThan" allowBlank="1" showInputMessage="1" showErrorMessage="1" sqref="D7505">
      <formula1>0</formula1>
    </dataValidation>
    <dataValidation type="decimal" operator="greaterThan" allowBlank="1" showInputMessage="1" showErrorMessage="1" sqref="E7505">
      <formula1>0</formula1>
    </dataValidation>
    <dataValidation type="whole" operator="greaterThan" allowBlank="1" showInputMessage="1" showErrorMessage="1" sqref="A7506">
      <formula1>0</formula1>
    </dataValidation>
    <dataValidation type="list" allowBlank="1" showInputMessage="1" showErrorMessage="1" sqref="C7506">
      <formula1>UnidadesList</formula1>
    </dataValidation>
    <dataValidation type="decimal" operator="greaterThan" allowBlank="1" showInputMessage="1" showErrorMessage="1" sqref="D7506">
      <formula1>0</formula1>
    </dataValidation>
    <dataValidation type="decimal" operator="greaterThan" allowBlank="1" showInputMessage="1" showErrorMessage="1" sqref="E7506">
      <formula1>0</formula1>
    </dataValidation>
    <dataValidation type="whole" operator="greaterThan" allowBlank="1" showInputMessage="1" showErrorMessage="1" sqref="A7507">
      <formula1>0</formula1>
    </dataValidation>
    <dataValidation type="list" allowBlank="1" showInputMessage="1" showErrorMessage="1" sqref="C7507">
      <formula1>UnidadesList</formula1>
    </dataValidation>
    <dataValidation type="decimal" operator="greaterThan" allowBlank="1" showInputMessage="1" showErrorMessage="1" sqref="D7507">
      <formula1>0</formula1>
    </dataValidation>
    <dataValidation type="decimal" operator="greaterThan" allowBlank="1" showInputMessage="1" showErrorMessage="1" sqref="E7507">
      <formula1>0</formula1>
    </dataValidation>
    <dataValidation type="whole" operator="greaterThan" allowBlank="1" showInputMessage="1" showErrorMessage="1" sqref="A7508">
      <formula1>0</formula1>
    </dataValidation>
    <dataValidation type="list" allowBlank="1" showInputMessage="1" showErrorMessage="1" sqref="C7508">
      <formula1>UnidadesList</formula1>
    </dataValidation>
    <dataValidation type="decimal" operator="greaterThan" allowBlank="1" showInputMessage="1" showErrorMessage="1" sqref="D7508">
      <formula1>0</formula1>
    </dataValidation>
    <dataValidation type="decimal" operator="greaterThan" allowBlank="1" showInputMessage="1" showErrorMessage="1" sqref="E7508">
      <formula1>0</formula1>
    </dataValidation>
    <dataValidation type="whole" operator="greaterThan" allowBlank="1" showInputMessage="1" showErrorMessage="1" sqref="A7509">
      <formula1>0</formula1>
    </dataValidation>
    <dataValidation type="list" allowBlank="1" showInputMessage="1" showErrorMessage="1" sqref="C7509">
      <formula1>UnidadesList</formula1>
    </dataValidation>
    <dataValidation type="decimal" operator="greaterThan" allowBlank="1" showInputMessage="1" showErrorMessage="1" sqref="D7509">
      <formula1>0</formula1>
    </dataValidation>
    <dataValidation type="decimal" operator="greaterThan" allowBlank="1" showInputMessage="1" showErrorMessage="1" sqref="E7509">
      <formula1>0</formula1>
    </dataValidation>
    <dataValidation type="whole" operator="greaterThan" allowBlank="1" showInputMessage="1" showErrorMessage="1" sqref="A7510">
      <formula1>0</formula1>
    </dataValidation>
    <dataValidation type="list" allowBlank="1" showInputMessage="1" showErrorMessage="1" sqref="C7510">
      <formula1>UnidadesList</formula1>
    </dataValidation>
    <dataValidation type="decimal" operator="greaterThan" allowBlank="1" showInputMessage="1" showErrorMessage="1" sqref="D7510">
      <formula1>0</formula1>
    </dataValidation>
    <dataValidation type="decimal" operator="greaterThan" allowBlank="1" showInputMessage="1" showErrorMessage="1" sqref="E7510">
      <formula1>0</formula1>
    </dataValidation>
    <dataValidation type="whole" operator="greaterThan" allowBlank="1" showInputMessage="1" showErrorMessage="1" sqref="A7511">
      <formula1>0</formula1>
    </dataValidation>
    <dataValidation type="list" allowBlank="1" showInputMessage="1" showErrorMessage="1" sqref="C7511">
      <formula1>UnidadesList</formula1>
    </dataValidation>
    <dataValidation type="decimal" operator="greaterThan" allowBlank="1" showInputMessage="1" showErrorMessage="1" sqref="D7511">
      <formula1>0</formula1>
    </dataValidation>
    <dataValidation type="decimal" operator="greaterThan" allowBlank="1" showInputMessage="1" showErrorMessage="1" sqref="E7511">
      <formula1>0</formula1>
    </dataValidation>
    <dataValidation type="whole" operator="greaterThan" allowBlank="1" showInputMessage="1" showErrorMessage="1" sqref="A7512">
      <formula1>0</formula1>
    </dataValidation>
    <dataValidation type="list" allowBlank="1" showInputMessage="1" showErrorMessage="1" sqref="C7512">
      <formula1>UnidadesList</formula1>
    </dataValidation>
    <dataValidation type="decimal" operator="greaterThan" allowBlank="1" showInputMessage="1" showErrorMessage="1" sqref="D7512">
      <formula1>0</formula1>
    </dataValidation>
    <dataValidation type="decimal" operator="greaterThan" allowBlank="1" showInputMessage="1" showErrorMessage="1" sqref="E7512">
      <formula1>0</formula1>
    </dataValidation>
    <dataValidation type="whole" operator="greaterThan" allowBlank="1" showInputMessage="1" showErrorMessage="1" sqref="A7513">
      <formula1>0</formula1>
    </dataValidation>
    <dataValidation type="list" allowBlank="1" showInputMessage="1" showErrorMessage="1" sqref="C7513">
      <formula1>UnidadesList</formula1>
    </dataValidation>
    <dataValidation type="decimal" operator="greaterThan" allowBlank="1" showInputMessage="1" showErrorMessage="1" sqref="D7513">
      <formula1>0</formula1>
    </dataValidation>
    <dataValidation type="decimal" operator="greaterThan" allowBlank="1" showInputMessage="1" showErrorMessage="1" sqref="E7513">
      <formula1>0</formula1>
    </dataValidation>
    <dataValidation type="whole" operator="greaterThan" allowBlank="1" showInputMessage="1" showErrorMessage="1" sqref="A7514">
      <formula1>0</formula1>
    </dataValidation>
    <dataValidation type="list" allowBlank="1" showInputMessage="1" showErrorMessage="1" sqref="C7514">
      <formula1>UnidadesList</formula1>
    </dataValidation>
    <dataValidation type="decimal" operator="greaterThan" allowBlank="1" showInputMessage="1" showErrorMessage="1" sqref="D7514">
      <formula1>0</formula1>
    </dataValidation>
    <dataValidation type="decimal" operator="greaterThan" allowBlank="1" showInputMessage="1" showErrorMessage="1" sqref="E7514">
      <formula1>0</formula1>
    </dataValidation>
    <dataValidation type="whole" operator="greaterThan" allowBlank="1" showInputMessage="1" showErrorMessage="1" sqref="A7515">
      <formula1>0</formula1>
    </dataValidation>
    <dataValidation type="list" allowBlank="1" showInputMessage="1" showErrorMessage="1" sqref="C7515">
      <formula1>UnidadesList</formula1>
    </dataValidation>
    <dataValidation type="decimal" operator="greaterThan" allowBlank="1" showInputMessage="1" showErrorMessage="1" sqref="D7515">
      <formula1>0</formula1>
    </dataValidation>
    <dataValidation type="decimal" operator="greaterThan" allowBlank="1" showInputMessage="1" showErrorMessage="1" sqref="E7515">
      <formula1>0</formula1>
    </dataValidation>
    <dataValidation type="whole" operator="greaterThan" allowBlank="1" showInputMessage="1" showErrorMessage="1" sqref="A7516">
      <formula1>0</formula1>
    </dataValidation>
    <dataValidation type="list" allowBlank="1" showInputMessage="1" showErrorMessage="1" sqref="C7516">
      <formula1>UnidadesList</formula1>
    </dataValidation>
    <dataValidation type="decimal" operator="greaterThan" allowBlank="1" showInputMessage="1" showErrorMessage="1" sqref="D7516">
      <formula1>0</formula1>
    </dataValidation>
    <dataValidation type="decimal" operator="greaterThan" allowBlank="1" showInputMessage="1" showErrorMessage="1" sqref="E7516">
      <formula1>0</formula1>
    </dataValidation>
    <dataValidation type="whole" operator="greaterThan" allowBlank="1" showInputMessage="1" showErrorMessage="1" sqref="A7517">
      <formula1>0</formula1>
    </dataValidation>
    <dataValidation type="list" allowBlank="1" showInputMessage="1" showErrorMessage="1" sqref="C7517">
      <formula1>UnidadesList</formula1>
    </dataValidation>
    <dataValidation type="decimal" operator="greaterThan" allowBlank="1" showInputMessage="1" showErrorMessage="1" sqref="D7517">
      <formula1>0</formula1>
    </dataValidation>
    <dataValidation type="decimal" operator="greaterThan" allowBlank="1" showInputMessage="1" showErrorMessage="1" sqref="E7517">
      <formula1>0</formula1>
    </dataValidation>
    <dataValidation type="whole" operator="greaterThan" allowBlank="1" showInputMessage="1" showErrorMessage="1" sqref="A7518">
      <formula1>0</formula1>
    </dataValidation>
    <dataValidation type="list" allowBlank="1" showInputMessage="1" showErrorMessage="1" sqref="C7518">
      <formula1>UnidadesList</formula1>
    </dataValidation>
    <dataValidation type="decimal" operator="greaterThan" allowBlank="1" showInputMessage="1" showErrorMessage="1" sqref="D7518">
      <formula1>0</formula1>
    </dataValidation>
    <dataValidation type="decimal" operator="greaterThan" allowBlank="1" showInputMessage="1" showErrorMessage="1" sqref="E7518">
      <formula1>0</formula1>
    </dataValidation>
    <dataValidation type="whole" operator="greaterThan" allowBlank="1" showInputMessage="1" showErrorMessage="1" sqref="A7519">
      <formula1>0</formula1>
    </dataValidation>
    <dataValidation type="list" allowBlank="1" showInputMessage="1" showErrorMessage="1" sqref="C7519">
      <formula1>UnidadesList</formula1>
    </dataValidation>
    <dataValidation type="decimal" operator="greaterThan" allowBlank="1" showInputMessage="1" showErrorMessage="1" sqref="D7519">
      <formula1>0</formula1>
    </dataValidation>
    <dataValidation type="decimal" operator="greaterThan" allowBlank="1" showInputMessage="1" showErrorMessage="1" sqref="E7519">
      <formula1>0</formula1>
    </dataValidation>
    <dataValidation type="whole" operator="greaterThan" allowBlank="1" showInputMessage="1" showErrorMessage="1" sqref="A7520">
      <formula1>0</formula1>
    </dataValidation>
    <dataValidation type="list" allowBlank="1" showInputMessage="1" showErrorMessage="1" sqref="C7520">
      <formula1>UnidadesList</formula1>
    </dataValidation>
    <dataValidation type="decimal" operator="greaterThan" allowBlank="1" showInputMessage="1" showErrorMessage="1" sqref="D7520">
      <formula1>0</formula1>
    </dataValidation>
    <dataValidation type="decimal" operator="greaterThan" allowBlank="1" showInputMessage="1" showErrorMessage="1" sqref="E7520">
      <formula1>0</formula1>
    </dataValidation>
    <dataValidation type="whole" operator="greaterThan" allowBlank="1" showInputMessage="1" showErrorMessage="1" sqref="A7521">
      <formula1>0</formula1>
    </dataValidation>
    <dataValidation type="list" allowBlank="1" showInputMessage="1" showErrorMessage="1" sqref="C7521">
      <formula1>UnidadesList</formula1>
    </dataValidation>
    <dataValidation type="decimal" operator="greaterThan" allowBlank="1" showInputMessage="1" showErrorMessage="1" sqref="D7521">
      <formula1>0</formula1>
    </dataValidation>
    <dataValidation type="decimal" operator="greaterThan" allowBlank="1" showInputMessage="1" showErrorMessage="1" sqref="E7521">
      <formula1>0</formula1>
    </dataValidation>
    <dataValidation type="whole" operator="greaterThan" allowBlank="1" showInputMessage="1" showErrorMessage="1" sqref="A7522">
      <formula1>0</formula1>
    </dataValidation>
    <dataValidation type="list" allowBlank="1" showInputMessage="1" showErrorMessage="1" sqref="C7522">
      <formula1>UnidadesList</formula1>
    </dataValidation>
    <dataValidation type="decimal" operator="greaterThan" allowBlank="1" showInputMessage="1" showErrorMessage="1" sqref="D7522">
      <formula1>0</formula1>
    </dataValidation>
    <dataValidation type="decimal" operator="greaterThan" allowBlank="1" showInputMessage="1" showErrorMessage="1" sqref="E7522">
      <formula1>0</formula1>
    </dataValidation>
    <dataValidation type="whole" operator="greaterThan" allowBlank="1" showInputMessage="1" showErrorMessage="1" sqref="A7523">
      <formula1>0</formula1>
    </dataValidation>
    <dataValidation type="list" allowBlank="1" showInputMessage="1" showErrorMessage="1" sqref="C7523">
      <formula1>UnidadesList</formula1>
    </dataValidation>
    <dataValidation type="decimal" operator="greaterThan" allowBlank="1" showInputMessage="1" showErrorMessage="1" sqref="D7523">
      <formula1>0</formula1>
    </dataValidation>
    <dataValidation type="decimal" operator="greaterThan" allowBlank="1" showInputMessage="1" showErrorMessage="1" sqref="E7523">
      <formula1>0</formula1>
    </dataValidation>
    <dataValidation type="whole" operator="greaterThan" allowBlank="1" showInputMessage="1" showErrorMessage="1" sqref="A7524">
      <formula1>0</formula1>
    </dataValidation>
    <dataValidation type="list" allowBlank="1" showInputMessage="1" showErrorMessage="1" sqref="C7524">
      <formula1>UnidadesList</formula1>
    </dataValidation>
    <dataValidation type="decimal" operator="greaterThan" allowBlank="1" showInputMessage="1" showErrorMessage="1" sqref="D7524">
      <formula1>0</formula1>
    </dataValidation>
    <dataValidation type="decimal" operator="greaterThan" allowBlank="1" showInputMessage="1" showErrorMessage="1" sqref="E7524">
      <formula1>0</formula1>
    </dataValidation>
    <dataValidation type="whole" operator="greaterThan" allowBlank="1" showInputMessage="1" showErrorMessage="1" sqref="A7525">
      <formula1>0</formula1>
    </dataValidation>
    <dataValidation type="list" allowBlank="1" showInputMessage="1" showErrorMessage="1" sqref="C7525">
      <formula1>UnidadesList</formula1>
    </dataValidation>
    <dataValidation type="decimal" operator="greaterThan" allowBlank="1" showInputMessage="1" showErrorMessage="1" sqref="D7525">
      <formula1>0</formula1>
    </dataValidation>
    <dataValidation type="decimal" operator="greaterThan" allowBlank="1" showInputMessage="1" showErrorMessage="1" sqref="E7525">
      <formula1>0</formula1>
    </dataValidation>
    <dataValidation type="whole" operator="greaterThan" allowBlank="1" showInputMessage="1" showErrorMessage="1" sqref="A7526">
      <formula1>0</formula1>
    </dataValidation>
    <dataValidation type="list" allowBlank="1" showInputMessage="1" showErrorMessage="1" sqref="C7526">
      <formula1>UnidadesList</formula1>
    </dataValidation>
    <dataValidation type="decimal" operator="greaterThan" allowBlank="1" showInputMessage="1" showErrorMessage="1" sqref="D7526">
      <formula1>0</formula1>
    </dataValidation>
    <dataValidation type="decimal" operator="greaterThan" allowBlank="1" showInputMessage="1" showErrorMessage="1" sqref="E7526">
      <formula1>0</formula1>
    </dataValidation>
    <dataValidation type="whole" operator="greaterThan" allowBlank="1" showInputMessage="1" showErrorMessage="1" sqref="A7527">
      <formula1>0</formula1>
    </dataValidation>
    <dataValidation type="list" allowBlank="1" showInputMessage="1" showErrorMessage="1" sqref="C7527">
      <formula1>UnidadesList</formula1>
    </dataValidation>
    <dataValidation type="decimal" operator="greaterThan" allowBlank="1" showInputMessage="1" showErrorMessage="1" sqref="D7527">
      <formula1>0</formula1>
    </dataValidation>
    <dataValidation type="decimal" operator="greaterThan" allowBlank="1" showInputMessage="1" showErrorMessage="1" sqref="E7527">
      <formula1>0</formula1>
    </dataValidation>
    <dataValidation type="whole" operator="greaterThan" allowBlank="1" showInputMessage="1" showErrorMessage="1" sqref="A7528">
      <formula1>0</formula1>
    </dataValidation>
    <dataValidation type="list" allowBlank="1" showInputMessage="1" showErrorMessage="1" sqref="C7528">
      <formula1>UnidadesList</formula1>
    </dataValidation>
    <dataValidation type="decimal" operator="greaterThan" allowBlank="1" showInputMessage="1" showErrorMessage="1" sqref="D7528">
      <formula1>0</formula1>
    </dataValidation>
    <dataValidation type="decimal" operator="greaterThan" allowBlank="1" showInputMessage="1" showErrorMessage="1" sqref="E7528">
      <formula1>0</formula1>
    </dataValidation>
    <dataValidation type="whole" operator="greaterThan" allowBlank="1" showInputMessage="1" showErrorMessage="1" sqref="A7529">
      <formula1>0</formula1>
    </dataValidation>
    <dataValidation type="list" allowBlank="1" showInputMessage="1" showErrorMessage="1" sqref="C7529">
      <formula1>UnidadesList</formula1>
    </dataValidation>
    <dataValidation type="decimal" operator="greaterThan" allowBlank="1" showInputMessage="1" showErrorMessage="1" sqref="D7529">
      <formula1>0</formula1>
    </dataValidation>
    <dataValidation type="decimal" operator="greaterThan" allowBlank="1" showInputMessage="1" showErrorMessage="1" sqref="E7529">
      <formula1>0</formula1>
    </dataValidation>
    <dataValidation type="whole" operator="greaterThan" allowBlank="1" showInputMessage="1" showErrorMessage="1" sqref="A7530">
      <formula1>0</formula1>
    </dataValidation>
    <dataValidation type="list" allowBlank="1" showInputMessage="1" showErrorMessage="1" sqref="C7530">
      <formula1>UnidadesList</formula1>
    </dataValidation>
    <dataValidation type="decimal" operator="greaterThan" allowBlank="1" showInputMessage="1" showErrorMessage="1" sqref="D7530">
      <formula1>0</formula1>
    </dataValidation>
    <dataValidation type="decimal" operator="greaterThan" allowBlank="1" showInputMessage="1" showErrorMessage="1" sqref="E7530">
      <formula1>0</formula1>
    </dataValidation>
    <dataValidation type="whole" operator="greaterThan" allowBlank="1" showInputMessage="1" showErrorMessage="1" sqref="A7531">
      <formula1>0</formula1>
    </dataValidation>
    <dataValidation type="list" allowBlank="1" showInputMessage="1" showErrorMessage="1" sqref="C7531">
      <formula1>UnidadesList</formula1>
    </dataValidation>
    <dataValidation type="decimal" operator="greaterThan" allowBlank="1" showInputMessage="1" showErrorMessage="1" sqref="D7531">
      <formula1>0</formula1>
    </dataValidation>
    <dataValidation type="decimal" operator="greaterThan" allowBlank="1" showInputMessage="1" showErrorMessage="1" sqref="E7531">
      <formula1>0</formula1>
    </dataValidation>
    <dataValidation type="whole" operator="greaterThan" allowBlank="1" showInputMessage="1" showErrorMessage="1" sqref="A7532">
      <formula1>0</formula1>
    </dataValidation>
    <dataValidation type="list" allowBlank="1" showInputMessage="1" showErrorMessage="1" sqref="C7532">
      <formula1>UnidadesList</formula1>
    </dataValidation>
    <dataValidation type="decimal" operator="greaterThan" allowBlank="1" showInputMessage="1" showErrorMessage="1" sqref="D7532">
      <formula1>0</formula1>
    </dataValidation>
    <dataValidation type="decimal" operator="greaterThan" allowBlank="1" showInputMessage="1" showErrorMessage="1" sqref="E7532">
      <formula1>0</formula1>
    </dataValidation>
    <dataValidation type="whole" operator="greaterThan" allowBlank="1" showInputMessage="1" showErrorMessage="1" sqref="A7533">
      <formula1>0</formula1>
    </dataValidation>
    <dataValidation type="list" allowBlank="1" showInputMessage="1" showErrorMessage="1" sqref="C7533">
      <formula1>UnidadesList</formula1>
    </dataValidation>
    <dataValidation type="decimal" operator="greaterThan" allowBlank="1" showInputMessage="1" showErrorMessage="1" sqref="D7533">
      <formula1>0</formula1>
    </dataValidation>
    <dataValidation type="decimal" operator="greaterThan" allowBlank="1" showInputMessage="1" showErrorMessage="1" sqref="E7533">
      <formula1>0</formula1>
    </dataValidation>
    <dataValidation type="whole" operator="greaterThan" allowBlank="1" showInputMessage="1" showErrorMessage="1" sqref="A7534">
      <formula1>0</formula1>
    </dataValidation>
    <dataValidation type="list" allowBlank="1" showInputMessage="1" showErrorMessage="1" sqref="C7534">
      <formula1>UnidadesList</formula1>
    </dataValidation>
    <dataValidation type="decimal" operator="greaterThan" allowBlank="1" showInputMessage="1" showErrorMessage="1" sqref="D7534">
      <formula1>0</formula1>
    </dataValidation>
    <dataValidation type="decimal" operator="greaterThan" allowBlank="1" showInputMessage="1" showErrorMessage="1" sqref="E7534">
      <formula1>0</formula1>
    </dataValidation>
    <dataValidation type="whole" operator="greaterThan" allowBlank="1" showInputMessage="1" showErrorMessage="1" sqref="A7535">
      <formula1>0</formula1>
    </dataValidation>
    <dataValidation type="list" allowBlank="1" showInputMessage="1" showErrorMessage="1" sqref="C7535">
      <formula1>UnidadesList</formula1>
    </dataValidation>
    <dataValidation type="decimal" operator="greaterThan" allowBlank="1" showInputMessage="1" showErrorMessage="1" sqref="D7535">
      <formula1>0</formula1>
    </dataValidation>
    <dataValidation type="decimal" operator="greaterThan" allowBlank="1" showInputMessage="1" showErrorMessage="1" sqref="E7535">
      <formula1>0</formula1>
    </dataValidation>
    <dataValidation type="whole" operator="greaterThan" allowBlank="1" showInputMessage="1" showErrorMessage="1" sqref="A7536">
      <formula1>0</formula1>
    </dataValidation>
    <dataValidation type="list" allowBlank="1" showInputMessage="1" showErrorMessage="1" sqref="C7536">
      <formula1>UnidadesList</formula1>
    </dataValidation>
    <dataValidation type="decimal" operator="greaterThan" allowBlank="1" showInputMessage="1" showErrorMessage="1" sqref="D7536">
      <formula1>0</formula1>
    </dataValidation>
    <dataValidation type="decimal" operator="greaterThan" allowBlank="1" showInputMessage="1" showErrorMessage="1" sqref="E7536">
      <formula1>0</formula1>
    </dataValidation>
    <dataValidation type="whole" operator="greaterThan" allowBlank="1" showInputMessage="1" showErrorMessage="1" sqref="A7537">
      <formula1>0</formula1>
    </dataValidation>
    <dataValidation type="list" allowBlank="1" showInputMessage="1" showErrorMessage="1" sqref="C7537">
      <formula1>UnidadesList</formula1>
    </dataValidation>
    <dataValidation type="decimal" operator="greaterThan" allowBlank="1" showInputMessage="1" showErrorMessage="1" sqref="D7537">
      <formula1>0</formula1>
    </dataValidation>
    <dataValidation type="decimal" operator="greaterThan" allowBlank="1" showInputMessage="1" showErrorMessage="1" sqref="E7537">
      <formula1>0</formula1>
    </dataValidation>
    <dataValidation type="whole" operator="greaterThan" allowBlank="1" showInputMessage="1" showErrorMessage="1" sqref="A7538">
      <formula1>0</formula1>
    </dataValidation>
    <dataValidation type="list" allowBlank="1" showInputMessage="1" showErrorMessage="1" sqref="C7538">
      <formula1>UnidadesList</formula1>
    </dataValidation>
    <dataValidation type="decimal" operator="greaterThan" allowBlank="1" showInputMessage="1" showErrorMessage="1" sqref="D7538">
      <formula1>0</formula1>
    </dataValidation>
    <dataValidation type="decimal" operator="greaterThan" allowBlank="1" showInputMessage="1" showErrorMessage="1" sqref="E7538">
      <formula1>0</formula1>
    </dataValidation>
    <dataValidation type="whole" operator="greaterThan" allowBlank="1" showInputMessage="1" showErrorMessage="1" sqref="A7539">
      <formula1>0</formula1>
    </dataValidation>
    <dataValidation type="list" allowBlank="1" showInputMessage="1" showErrorMessage="1" sqref="C7539">
      <formula1>UnidadesList</formula1>
    </dataValidation>
    <dataValidation type="decimal" operator="greaterThan" allowBlank="1" showInputMessage="1" showErrorMessage="1" sqref="D7539">
      <formula1>0</formula1>
    </dataValidation>
    <dataValidation type="decimal" operator="greaterThan" allowBlank="1" showInputMessage="1" showErrorMessage="1" sqref="E7539">
      <formula1>0</formula1>
    </dataValidation>
    <dataValidation type="whole" operator="greaterThan" allowBlank="1" showInputMessage="1" showErrorMessage="1" sqref="A7540">
      <formula1>0</formula1>
    </dataValidation>
    <dataValidation type="list" allowBlank="1" showInputMessage="1" showErrorMessage="1" sqref="C7540">
      <formula1>UnidadesList</formula1>
    </dataValidation>
    <dataValidation type="decimal" operator="greaterThan" allowBlank="1" showInputMessage="1" showErrorMessage="1" sqref="D7540">
      <formula1>0</formula1>
    </dataValidation>
    <dataValidation type="decimal" operator="greaterThan" allowBlank="1" showInputMessage="1" showErrorMessage="1" sqref="E7540">
      <formula1>0</formula1>
    </dataValidation>
    <dataValidation type="whole" operator="greaterThan" allowBlank="1" showInputMessage="1" showErrorMessage="1" sqref="A7541">
      <formula1>0</formula1>
    </dataValidation>
    <dataValidation type="list" allowBlank="1" showInputMessage="1" showErrorMessage="1" sqref="C7541">
      <formula1>UnidadesList</formula1>
    </dataValidation>
    <dataValidation type="decimal" operator="greaterThan" allowBlank="1" showInputMessage="1" showErrorMessage="1" sqref="D7541">
      <formula1>0</formula1>
    </dataValidation>
    <dataValidation type="decimal" operator="greaterThan" allowBlank="1" showInputMessage="1" showErrorMessage="1" sqref="E7541">
      <formula1>0</formula1>
    </dataValidation>
    <dataValidation type="whole" operator="greaterThan" allowBlank="1" showInputMessage="1" showErrorMessage="1" sqref="A7542">
      <formula1>0</formula1>
    </dataValidation>
    <dataValidation type="list" allowBlank="1" showInputMessage="1" showErrorMessage="1" sqref="C7542">
      <formula1>UnidadesList</formula1>
    </dataValidation>
    <dataValidation type="decimal" operator="greaterThan" allowBlank="1" showInputMessage="1" showErrorMessage="1" sqref="D7542">
      <formula1>0</formula1>
    </dataValidation>
    <dataValidation type="decimal" operator="greaterThan" allowBlank="1" showInputMessage="1" showErrorMessage="1" sqref="E7542">
      <formula1>0</formula1>
    </dataValidation>
    <dataValidation type="whole" operator="greaterThan" allowBlank="1" showInputMessage="1" showErrorMessage="1" sqref="A7543">
      <formula1>0</formula1>
    </dataValidation>
    <dataValidation type="list" allowBlank="1" showInputMessage="1" showErrorMessage="1" sqref="C7543">
      <formula1>UnidadesList</formula1>
    </dataValidation>
    <dataValidation type="decimal" operator="greaterThan" allowBlank="1" showInputMessage="1" showErrorMessage="1" sqref="D7543">
      <formula1>0</formula1>
    </dataValidation>
    <dataValidation type="decimal" operator="greaterThan" allowBlank="1" showInputMessage="1" showErrorMessage="1" sqref="E7543">
      <formula1>0</formula1>
    </dataValidation>
    <dataValidation type="whole" operator="greaterThan" allowBlank="1" showInputMessage="1" showErrorMessage="1" sqref="A7544">
      <formula1>0</formula1>
    </dataValidation>
    <dataValidation type="list" allowBlank="1" showInputMessage="1" showErrorMessage="1" sqref="C7544">
      <formula1>UnidadesList</formula1>
    </dataValidation>
    <dataValidation type="decimal" operator="greaterThan" allowBlank="1" showInputMessage="1" showErrorMessage="1" sqref="D7544">
      <formula1>0</formula1>
    </dataValidation>
    <dataValidation type="decimal" operator="greaterThan" allowBlank="1" showInputMessage="1" showErrorMessage="1" sqref="E7544">
      <formula1>0</formula1>
    </dataValidation>
    <dataValidation type="whole" operator="greaterThan" allowBlank="1" showInputMessage="1" showErrorMessage="1" sqref="A7545">
      <formula1>0</formula1>
    </dataValidation>
    <dataValidation type="list" allowBlank="1" showInputMessage="1" showErrorMessage="1" sqref="C7545">
      <formula1>UnidadesList</formula1>
    </dataValidation>
    <dataValidation type="decimal" operator="greaterThan" allowBlank="1" showInputMessage="1" showErrorMessage="1" sqref="D7545">
      <formula1>0</formula1>
    </dataValidation>
    <dataValidation type="decimal" operator="greaterThan" allowBlank="1" showInputMessage="1" showErrorMessage="1" sqref="E7545">
      <formula1>0</formula1>
    </dataValidation>
    <dataValidation type="whole" operator="greaterThan" allowBlank="1" showInputMessage="1" showErrorMessage="1" sqref="A7546">
      <formula1>0</formula1>
    </dataValidation>
    <dataValidation type="list" allowBlank="1" showInputMessage="1" showErrorMessage="1" sqref="C7546">
      <formula1>UnidadesList</formula1>
    </dataValidation>
    <dataValidation type="decimal" operator="greaterThan" allowBlank="1" showInputMessage="1" showErrorMessage="1" sqref="D7546">
      <formula1>0</formula1>
    </dataValidation>
    <dataValidation type="decimal" operator="greaterThan" allowBlank="1" showInputMessage="1" showErrorMessage="1" sqref="E7546">
      <formula1>0</formula1>
    </dataValidation>
    <dataValidation type="whole" operator="greaterThan" allowBlank="1" showInputMessage="1" showErrorMessage="1" sqref="A7547">
      <formula1>0</formula1>
    </dataValidation>
    <dataValidation type="list" allowBlank="1" showInputMessage="1" showErrorMessage="1" sqref="C7547">
      <formula1>UnidadesList</formula1>
    </dataValidation>
    <dataValidation type="decimal" operator="greaterThan" allowBlank="1" showInputMessage="1" showErrorMessage="1" sqref="D7547">
      <formula1>0</formula1>
    </dataValidation>
    <dataValidation type="decimal" operator="greaterThan" allowBlank="1" showInputMessage="1" showErrorMessage="1" sqref="E7547">
      <formula1>0</formula1>
    </dataValidation>
    <dataValidation type="whole" operator="greaterThan" allowBlank="1" showInputMessage="1" showErrorMessage="1" sqref="A7548">
      <formula1>0</formula1>
    </dataValidation>
    <dataValidation type="list" allowBlank="1" showInputMessage="1" showErrorMessage="1" sqref="C7548">
      <formula1>UnidadesList</formula1>
    </dataValidation>
    <dataValidation type="decimal" operator="greaterThan" allowBlank="1" showInputMessage="1" showErrorMessage="1" sqref="D7548">
      <formula1>0</formula1>
    </dataValidation>
    <dataValidation type="decimal" operator="greaterThan" allowBlank="1" showInputMessage="1" showErrorMessage="1" sqref="E7548">
      <formula1>0</formula1>
    </dataValidation>
    <dataValidation type="whole" operator="greaterThan" allowBlank="1" showInputMessage="1" showErrorMessage="1" sqref="A7549">
      <formula1>0</formula1>
    </dataValidation>
    <dataValidation type="list" allowBlank="1" showInputMessage="1" showErrorMessage="1" sqref="C7549">
      <formula1>UnidadesList</formula1>
    </dataValidation>
    <dataValidation type="decimal" operator="greaterThan" allowBlank="1" showInputMessage="1" showErrorMessage="1" sqref="D7549">
      <formula1>0</formula1>
    </dataValidation>
    <dataValidation type="decimal" operator="greaterThan" allowBlank="1" showInputMessage="1" showErrorMessage="1" sqref="E7549">
      <formula1>0</formula1>
    </dataValidation>
    <dataValidation type="whole" operator="greaterThan" allowBlank="1" showInputMessage="1" showErrorMessage="1" sqref="A7550">
      <formula1>0</formula1>
    </dataValidation>
    <dataValidation type="list" allowBlank="1" showInputMessage="1" showErrorMessage="1" sqref="C7550">
      <formula1>UnidadesList</formula1>
    </dataValidation>
    <dataValidation type="decimal" operator="greaterThan" allowBlank="1" showInputMessage="1" showErrorMessage="1" sqref="D7550">
      <formula1>0</formula1>
    </dataValidation>
    <dataValidation type="decimal" operator="greaterThan" allowBlank="1" showInputMessage="1" showErrorMessage="1" sqref="E7550">
      <formula1>0</formula1>
    </dataValidation>
    <dataValidation type="whole" operator="greaterThan" allowBlank="1" showInputMessage="1" showErrorMessage="1" sqref="A7551">
      <formula1>0</formula1>
    </dataValidation>
    <dataValidation type="list" allowBlank="1" showInputMessage="1" showErrorMessage="1" sqref="C7551">
      <formula1>UnidadesList</formula1>
    </dataValidation>
    <dataValidation type="decimal" operator="greaterThan" allowBlank="1" showInputMessage="1" showErrorMessage="1" sqref="D7551">
      <formula1>0</formula1>
    </dataValidation>
    <dataValidation type="decimal" operator="greaterThan" allowBlank="1" showInputMessage="1" showErrorMessage="1" sqref="E7551">
      <formula1>0</formula1>
    </dataValidation>
    <dataValidation type="whole" operator="greaterThan" allowBlank="1" showInputMessage="1" showErrorMessage="1" sqref="A7552">
      <formula1>0</formula1>
    </dataValidation>
    <dataValidation type="list" allowBlank="1" showInputMessage="1" showErrorMessage="1" sqref="C7552">
      <formula1>UnidadesList</formula1>
    </dataValidation>
    <dataValidation type="decimal" operator="greaterThan" allowBlank="1" showInputMessage="1" showErrorMessage="1" sqref="D7552">
      <formula1>0</formula1>
    </dataValidation>
    <dataValidation type="decimal" operator="greaterThan" allowBlank="1" showInputMessage="1" showErrorMessage="1" sqref="E7552">
      <formula1>0</formula1>
    </dataValidation>
    <dataValidation type="whole" operator="greaterThan" allowBlank="1" showInputMessage="1" showErrorMessage="1" sqref="A7553">
      <formula1>0</formula1>
    </dataValidation>
    <dataValidation type="list" allowBlank="1" showInputMessage="1" showErrorMessage="1" sqref="C7553">
      <formula1>UnidadesList</formula1>
    </dataValidation>
    <dataValidation type="decimal" operator="greaterThan" allowBlank="1" showInputMessage="1" showErrorMessage="1" sqref="D7553">
      <formula1>0</formula1>
    </dataValidation>
    <dataValidation type="decimal" operator="greaterThan" allowBlank="1" showInputMessage="1" showErrorMessage="1" sqref="E7553">
      <formula1>0</formula1>
    </dataValidation>
    <dataValidation type="whole" operator="greaterThan" allowBlank="1" showInputMessage="1" showErrorMessage="1" sqref="A7554">
      <formula1>0</formula1>
    </dataValidation>
    <dataValidation type="list" allowBlank="1" showInputMessage="1" showErrorMessage="1" sqref="C7554">
      <formula1>UnidadesList</formula1>
    </dataValidation>
    <dataValidation type="decimal" operator="greaterThan" allowBlank="1" showInputMessage="1" showErrorMessage="1" sqref="D7554">
      <formula1>0</formula1>
    </dataValidation>
    <dataValidation type="decimal" operator="greaterThan" allowBlank="1" showInputMessage="1" showErrorMessage="1" sqref="E7554">
      <formula1>0</formula1>
    </dataValidation>
    <dataValidation type="whole" operator="greaterThan" allowBlank="1" showInputMessage="1" showErrorMessage="1" sqref="A7555">
      <formula1>0</formula1>
    </dataValidation>
    <dataValidation type="list" allowBlank="1" showInputMessage="1" showErrorMessage="1" sqref="C7555">
      <formula1>UnidadesList</formula1>
    </dataValidation>
    <dataValidation type="decimal" operator="greaterThan" allowBlank="1" showInputMessage="1" showErrorMessage="1" sqref="D7555">
      <formula1>0</formula1>
    </dataValidation>
    <dataValidation type="decimal" operator="greaterThan" allowBlank="1" showInputMessage="1" showErrorMessage="1" sqref="E7555">
      <formula1>0</formula1>
    </dataValidation>
    <dataValidation type="whole" operator="greaterThan" allowBlank="1" showInputMessage="1" showErrorMessage="1" sqref="A7556">
      <formula1>0</formula1>
    </dataValidation>
    <dataValidation type="list" allowBlank="1" showInputMessage="1" showErrorMessage="1" sqref="C7556">
      <formula1>UnidadesList</formula1>
    </dataValidation>
    <dataValidation type="decimal" operator="greaterThan" allowBlank="1" showInputMessage="1" showErrorMessage="1" sqref="D7556">
      <formula1>0</formula1>
    </dataValidation>
    <dataValidation type="decimal" operator="greaterThan" allowBlank="1" showInputMessage="1" showErrorMessage="1" sqref="E7556">
      <formula1>0</formula1>
    </dataValidation>
    <dataValidation type="whole" operator="greaterThan" allowBlank="1" showInputMessage="1" showErrorMessage="1" sqref="A7557">
      <formula1>0</formula1>
    </dataValidation>
    <dataValidation type="list" allowBlank="1" showInputMessage="1" showErrorMessage="1" sqref="C7557">
      <formula1>UnidadesList</formula1>
    </dataValidation>
    <dataValidation type="decimal" operator="greaterThan" allowBlank="1" showInputMessage="1" showErrorMessage="1" sqref="D7557">
      <formula1>0</formula1>
    </dataValidation>
    <dataValidation type="decimal" operator="greaterThan" allowBlank="1" showInputMessage="1" showErrorMessage="1" sqref="E7557">
      <formula1>0</formula1>
    </dataValidation>
    <dataValidation type="whole" operator="greaterThan" allowBlank="1" showInputMessage="1" showErrorMessage="1" sqref="A7558">
      <formula1>0</formula1>
    </dataValidation>
    <dataValidation type="list" allowBlank="1" showInputMessage="1" showErrorMessage="1" sqref="C7558">
      <formula1>UnidadesList</formula1>
    </dataValidation>
    <dataValidation type="decimal" operator="greaterThan" allowBlank="1" showInputMessage="1" showErrorMessage="1" sqref="D7558">
      <formula1>0</formula1>
    </dataValidation>
    <dataValidation type="decimal" operator="greaterThan" allowBlank="1" showInputMessage="1" showErrorMessage="1" sqref="E7558">
      <formula1>0</formula1>
    </dataValidation>
    <dataValidation type="date" operator="lessThanOrEqual" allowBlank="1" showInputMessage="1" showErrorMessage="1" sqref="C7563">
      <formula1>C7565</formula1>
    </dataValidation>
    <dataValidation type="date" operator="greaterThanOrEqual" allowBlank="1" showInputMessage="1" showErrorMessage="1" sqref="C7565">
      <formula1>C7563</formula1>
    </dataValidation>
    <dataValidation type="list" allowBlank="1" showInputMessage="1" showErrorMessage="1" sqref="F756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56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56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56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569">
      <formula1>0</formula1>
    </dataValidation>
    <dataValidation type="list" allowBlank="1" showInputMessage="1" showErrorMessage="1" sqref="C7569">
      <formula1>UnidadesList</formula1>
    </dataValidation>
    <dataValidation type="decimal" operator="greaterThan" allowBlank="1" showInputMessage="1" showErrorMessage="1" sqref="D7569">
      <formula1>0</formula1>
    </dataValidation>
    <dataValidation type="decimal" operator="greaterThan" allowBlank="1" showInputMessage="1" showErrorMessage="1" sqref="E7569">
      <formula1>0</formula1>
    </dataValidation>
    <dataValidation type="whole" operator="greaterThan" allowBlank="1" showInputMessage="1" showErrorMessage="1" sqref="A7570">
      <formula1>0</formula1>
    </dataValidation>
    <dataValidation type="list" allowBlank="1" showInputMessage="1" showErrorMessage="1" sqref="C7570">
      <formula1>UnidadesList</formula1>
    </dataValidation>
    <dataValidation type="decimal" operator="greaterThan" allowBlank="1" showInputMessage="1" showErrorMessage="1" sqref="D7570">
      <formula1>0</formula1>
    </dataValidation>
    <dataValidation type="decimal" operator="greaterThan" allowBlank="1" showInputMessage="1" showErrorMessage="1" sqref="E7570">
      <formula1>0</formula1>
    </dataValidation>
    <dataValidation type="whole" operator="greaterThan" allowBlank="1" showInputMessage="1" showErrorMessage="1" sqref="A7571">
      <formula1>0</formula1>
    </dataValidation>
    <dataValidation type="list" allowBlank="1" showInputMessage="1" showErrorMessage="1" sqref="C7571">
      <formula1>UnidadesList</formula1>
    </dataValidation>
    <dataValidation type="decimal" operator="greaterThan" allowBlank="1" showInputMessage="1" showErrorMessage="1" sqref="D7571">
      <formula1>0</formula1>
    </dataValidation>
    <dataValidation type="decimal" operator="greaterThan" allowBlank="1" showInputMessage="1" showErrorMessage="1" sqref="E7571">
      <formula1>0</formula1>
    </dataValidation>
    <dataValidation type="whole" operator="greaterThan" allowBlank="1" showInputMessage="1" showErrorMessage="1" sqref="A7572">
      <formula1>0</formula1>
    </dataValidation>
    <dataValidation type="list" allowBlank="1" showInputMessage="1" showErrorMessage="1" sqref="C7572">
      <formula1>UnidadesList</formula1>
    </dataValidation>
    <dataValidation type="decimal" operator="greaterThan" allowBlank="1" showInputMessage="1" showErrorMessage="1" sqref="D7572">
      <formula1>0</formula1>
    </dataValidation>
    <dataValidation type="decimal" operator="greaterThan" allowBlank="1" showInputMessage="1" showErrorMessage="1" sqref="E7572">
      <formula1>0</formula1>
    </dataValidation>
    <dataValidation type="whole" operator="greaterThan" allowBlank="1" showInputMessage="1" showErrorMessage="1" sqref="A7573">
      <formula1>0</formula1>
    </dataValidation>
    <dataValidation type="list" allowBlank="1" showInputMessage="1" showErrorMessage="1" sqref="C7573">
      <formula1>UnidadesList</formula1>
    </dataValidation>
    <dataValidation type="decimal" operator="greaterThan" allowBlank="1" showInputMessage="1" showErrorMessage="1" sqref="D7573">
      <formula1>0</formula1>
    </dataValidation>
    <dataValidation type="decimal" operator="greaterThan" allowBlank="1" showInputMessage="1" showErrorMessage="1" sqref="E7573">
      <formula1>0</formula1>
    </dataValidation>
    <dataValidation type="whole" operator="greaterThan" allowBlank="1" showInputMessage="1" showErrorMessage="1" sqref="A7574">
      <formula1>0</formula1>
    </dataValidation>
    <dataValidation type="list" allowBlank="1" showInputMessage="1" showErrorMessage="1" sqref="C7574">
      <formula1>UnidadesList</formula1>
    </dataValidation>
    <dataValidation type="decimal" operator="greaterThan" allowBlank="1" showInputMessage="1" showErrorMessage="1" sqref="D7574">
      <formula1>0</formula1>
    </dataValidation>
    <dataValidation type="decimal" operator="greaterThan" allowBlank="1" showInputMessage="1" showErrorMessage="1" sqref="E7574">
      <formula1>0</formula1>
    </dataValidation>
    <dataValidation type="whole" operator="greaterThan" allowBlank="1" showInputMessage="1" showErrorMessage="1" sqref="A7575">
      <formula1>0</formula1>
    </dataValidation>
    <dataValidation type="list" allowBlank="1" showInputMessage="1" showErrorMessage="1" sqref="C7575">
      <formula1>UnidadesList</formula1>
    </dataValidation>
    <dataValidation type="decimal" operator="greaterThan" allowBlank="1" showInputMessage="1" showErrorMessage="1" sqref="D7575">
      <formula1>0</formula1>
    </dataValidation>
    <dataValidation type="decimal" operator="greaterThan" allowBlank="1" showInputMessage="1" showErrorMessage="1" sqref="E7575">
      <formula1>0</formula1>
    </dataValidation>
    <dataValidation type="whole" operator="greaterThan" allowBlank="1" showInputMessage="1" showErrorMessage="1" sqref="A7576">
      <formula1>0</formula1>
    </dataValidation>
    <dataValidation type="list" allowBlank="1" showInputMessage="1" showErrorMessage="1" sqref="C7576">
      <formula1>UnidadesList</formula1>
    </dataValidation>
    <dataValidation type="decimal" operator="greaterThan" allowBlank="1" showInputMessage="1" showErrorMessage="1" sqref="D7576">
      <formula1>0</formula1>
    </dataValidation>
    <dataValidation type="decimal" operator="greaterThan" allowBlank="1" showInputMessage="1" showErrorMessage="1" sqref="E7576">
      <formula1>0</formula1>
    </dataValidation>
    <dataValidation type="whole" operator="greaterThan" allowBlank="1" showInputMessage="1" showErrorMessage="1" sqref="A7577">
      <formula1>0</formula1>
    </dataValidation>
    <dataValidation type="list" allowBlank="1" showInputMessage="1" showErrorMessage="1" sqref="C7577">
      <formula1>UnidadesList</formula1>
    </dataValidation>
    <dataValidation type="decimal" operator="greaterThan" allowBlank="1" showInputMessage="1" showErrorMessage="1" sqref="D7577">
      <formula1>0</formula1>
    </dataValidation>
    <dataValidation type="decimal" operator="greaterThan" allowBlank="1" showInputMessage="1" showErrorMessage="1" sqref="E7577">
      <formula1>0</formula1>
    </dataValidation>
    <dataValidation type="whole" operator="greaterThan" allowBlank="1" showInputMessage="1" showErrorMessage="1" sqref="A7578">
      <formula1>0</formula1>
    </dataValidation>
    <dataValidation type="list" allowBlank="1" showInputMessage="1" showErrorMessage="1" sqref="C7578">
      <formula1>UnidadesList</formula1>
    </dataValidation>
    <dataValidation type="decimal" operator="greaterThan" allowBlank="1" showInputMessage="1" showErrorMessage="1" sqref="D7578">
      <formula1>0</formula1>
    </dataValidation>
    <dataValidation type="decimal" operator="greaterThan" allowBlank="1" showInputMessage="1" showErrorMessage="1" sqref="E7578">
      <formula1>0</formula1>
    </dataValidation>
    <dataValidation type="whole" operator="greaterThan" allowBlank="1" showInputMessage="1" showErrorMessage="1" sqref="A7579">
      <formula1>0</formula1>
    </dataValidation>
    <dataValidation type="list" allowBlank="1" showInputMessage="1" showErrorMessage="1" sqref="C7579">
      <formula1>UnidadesList</formula1>
    </dataValidation>
    <dataValidation type="decimal" operator="greaterThan" allowBlank="1" showInputMessage="1" showErrorMessage="1" sqref="D7579">
      <formula1>0</formula1>
    </dataValidation>
    <dataValidation type="decimal" operator="greaterThan" allowBlank="1" showInputMessage="1" showErrorMessage="1" sqref="E7579">
      <formula1>0</formula1>
    </dataValidation>
    <dataValidation type="whole" operator="greaterThan" allowBlank="1" showInputMessage="1" showErrorMessage="1" sqref="A7580">
      <formula1>0</formula1>
    </dataValidation>
    <dataValidation type="list" allowBlank="1" showInputMessage="1" showErrorMessage="1" sqref="C7580">
      <formula1>UnidadesList</formula1>
    </dataValidation>
    <dataValidation type="decimal" operator="greaterThan" allowBlank="1" showInputMessage="1" showErrorMessage="1" sqref="D7580">
      <formula1>0</formula1>
    </dataValidation>
    <dataValidation type="decimal" operator="greaterThan" allowBlank="1" showInputMessage="1" showErrorMessage="1" sqref="E7580">
      <formula1>0</formula1>
    </dataValidation>
    <dataValidation type="whole" operator="greaterThan" allowBlank="1" showInputMessage="1" showErrorMessage="1" sqref="A7581">
      <formula1>0</formula1>
    </dataValidation>
    <dataValidation type="list" allowBlank="1" showInputMessage="1" showErrorMessage="1" sqref="C7581">
      <formula1>UnidadesList</formula1>
    </dataValidation>
    <dataValidation type="decimal" operator="greaterThan" allowBlank="1" showInputMessage="1" showErrorMessage="1" sqref="D7581">
      <formula1>0</formula1>
    </dataValidation>
    <dataValidation type="decimal" operator="greaterThan" allowBlank="1" showInputMessage="1" showErrorMessage="1" sqref="E7581">
      <formula1>0</formula1>
    </dataValidation>
    <dataValidation type="whole" operator="greaterThan" allowBlank="1" showInputMessage="1" showErrorMessage="1" sqref="A7582">
      <formula1>0</formula1>
    </dataValidation>
    <dataValidation type="list" allowBlank="1" showInputMessage="1" showErrorMessage="1" sqref="C7582">
      <formula1>UnidadesList</formula1>
    </dataValidation>
    <dataValidation type="decimal" operator="greaterThan" allowBlank="1" showInputMessage="1" showErrorMessage="1" sqref="D7582">
      <formula1>0</formula1>
    </dataValidation>
    <dataValidation type="decimal" operator="greaterThan" allowBlank="1" showInputMessage="1" showErrorMessage="1" sqref="E7582">
      <formula1>0</formula1>
    </dataValidation>
    <dataValidation type="whole" operator="greaterThan" allowBlank="1" showInputMessage="1" showErrorMessage="1" sqref="A7583">
      <formula1>0</formula1>
    </dataValidation>
    <dataValidation type="list" allowBlank="1" showInputMessage="1" showErrorMessage="1" sqref="C7583">
      <formula1>UnidadesList</formula1>
    </dataValidation>
    <dataValidation type="decimal" operator="greaterThan" allowBlank="1" showInputMessage="1" showErrorMessage="1" sqref="D7583">
      <formula1>0</formula1>
    </dataValidation>
    <dataValidation type="decimal" operator="greaterThan" allowBlank="1" showInputMessage="1" showErrorMessage="1" sqref="E7583">
      <formula1>0</formula1>
    </dataValidation>
    <dataValidation type="whole" operator="greaterThan" allowBlank="1" showInputMessage="1" showErrorMessage="1" sqref="A7584">
      <formula1>0</formula1>
    </dataValidation>
    <dataValidation type="list" allowBlank="1" showInputMessage="1" showErrorMessage="1" sqref="C7584">
      <formula1>UnidadesList</formula1>
    </dataValidation>
    <dataValidation type="decimal" operator="greaterThan" allowBlank="1" showInputMessage="1" showErrorMessage="1" sqref="D7584">
      <formula1>0</formula1>
    </dataValidation>
    <dataValidation type="decimal" operator="greaterThan" allowBlank="1" showInputMessage="1" showErrorMessage="1" sqref="E7584">
      <formula1>0</formula1>
    </dataValidation>
    <dataValidation type="whole" operator="greaterThan" allowBlank="1" showInputMessage="1" showErrorMessage="1" sqref="A7585">
      <formula1>0</formula1>
    </dataValidation>
    <dataValidation type="list" allowBlank="1" showInputMessage="1" showErrorMessage="1" sqref="C7585">
      <formula1>UnidadesList</formula1>
    </dataValidation>
    <dataValidation type="decimal" operator="greaterThan" allowBlank="1" showInputMessage="1" showErrorMessage="1" sqref="D7585">
      <formula1>0</formula1>
    </dataValidation>
    <dataValidation type="decimal" operator="greaterThan" allowBlank="1" showInputMessage="1" showErrorMessage="1" sqref="E7585">
      <formula1>0</formula1>
    </dataValidation>
    <dataValidation type="whole" operator="greaterThan" allowBlank="1" showInputMessage="1" showErrorMessage="1" sqref="A7586">
      <formula1>0</formula1>
    </dataValidation>
    <dataValidation type="list" allowBlank="1" showInputMessage="1" showErrorMessage="1" sqref="C7586">
      <formula1>UnidadesList</formula1>
    </dataValidation>
    <dataValidation type="decimal" operator="greaterThan" allowBlank="1" showInputMessage="1" showErrorMessage="1" sqref="D7586">
      <formula1>0</formula1>
    </dataValidation>
    <dataValidation type="decimal" operator="greaterThan" allowBlank="1" showInputMessage="1" showErrorMessage="1" sqref="E7586">
      <formula1>0</formula1>
    </dataValidation>
    <dataValidation type="whole" operator="greaterThan" allowBlank="1" showInputMessage="1" showErrorMessage="1" sqref="A7587">
      <formula1>0</formula1>
    </dataValidation>
    <dataValidation type="list" allowBlank="1" showInputMessage="1" showErrorMessage="1" sqref="C7587">
      <formula1>UnidadesList</formula1>
    </dataValidation>
    <dataValidation type="decimal" operator="greaterThan" allowBlank="1" showInputMessage="1" showErrorMessage="1" sqref="D7587">
      <formula1>0</formula1>
    </dataValidation>
    <dataValidation type="decimal" operator="greaterThan" allowBlank="1" showInputMessage="1" showErrorMessage="1" sqref="E7587">
      <formula1>0</formula1>
    </dataValidation>
    <dataValidation type="whole" operator="greaterThan" allowBlank="1" showInputMessage="1" showErrorMessage="1" sqref="A7588">
      <formula1>0</formula1>
    </dataValidation>
    <dataValidation type="list" allowBlank="1" showInputMessage="1" showErrorMessage="1" sqref="C7588">
      <formula1>UnidadesList</formula1>
    </dataValidation>
    <dataValidation type="decimal" operator="greaterThan" allowBlank="1" showInputMessage="1" showErrorMessage="1" sqref="D7588">
      <formula1>0</formula1>
    </dataValidation>
    <dataValidation type="decimal" operator="greaterThan" allowBlank="1" showInputMessage="1" showErrorMessage="1" sqref="E7588">
      <formula1>0</formula1>
    </dataValidation>
    <dataValidation type="whole" operator="greaterThan" allowBlank="1" showInputMessage="1" showErrorMessage="1" sqref="A7589">
      <formula1>0</formula1>
    </dataValidation>
    <dataValidation type="list" allowBlank="1" showInputMessage="1" showErrorMessage="1" sqref="C7589">
      <formula1>UnidadesList</formula1>
    </dataValidation>
    <dataValidation type="decimal" operator="greaterThan" allowBlank="1" showInputMessage="1" showErrorMessage="1" sqref="D7589">
      <formula1>0</formula1>
    </dataValidation>
    <dataValidation type="decimal" operator="greaterThan" allowBlank="1" showInputMessage="1" showErrorMessage="1" sqref="E7589">
      <formula1>0</formula1>
    </dataValidation>
    <dataValidation type="whole" operator="greaterThan" allowBlank="1" showInputMessage="1" showErrorMessage="1" sqref="A7590">
      <formula1>0</formula1>
    </dataValidation>
    <dataValidation type="list" allowBlank="1" showInputMessage="1" showErrorMessage="1" sqref="C7590">
      <formula1>UnidadesList</formula1>
    </dataValidation>
    <dataValidation type="decimal" operator="greaterThan" allowBlank="1" showInputMessage="1" showErrorMessage="1" sqref="D7590">
      <formula1>0</formula1>
    </dataValidation>
    <dataValidation type="decimal" operator="greaterThan" allowBlank="1" showInputMessage="1" showErrorMessage="1" sqref="E7590">
      <formula1>0</formula1>
    </dataValidation>
    <dataValidation type="whole" operator="greaterThan" allowBlank="1" showInputMessage="1" showErrorMessage="1" sqref="A7591">
      <formula1>0</formula1>
    </dataValidation>
    <dataValidation type="list" allowBlank="1" showInputMessage="1" showErrorMessage="1" sqref="C7591">
      <formula1>UnidadesList</formula1>
    </dataValidation>
    <dataValidation type="decimal" operator="greaterThan" allowBlank="1" showInputMessage="1" showErrorMessage="1" sqref="D7591">
      <formula1>0</formula1>
    </dataValidation>
    <dataValidation type="decimal" operator="greaterThan" allowBlank="1" showInputMessage="1" showErrorMessage="1" sqref="E7591">
      <formula1>0</formula1>
    </dataValidation>
    <dataValidation type="whole" operator="greaterThan" allowBlank="1" showInputMessage="1" showErrorMessage="1" sqref="A7592">
      <formula1>0</formula1>
    </dataValidation>
    <dataValidation type="list" allowBlank="1" showInputMessage="1" showErrorMessage="1" sqref="C7592">
      <formula1>UnidadesList</formula1>
    </dataValidation>
    <dataValidation type="decimal" operator="greaterThan" allowBlank="1" showInputMessage="1" showErrorMessage="1" sqref="D7592">
      <formula1>0</formula1>
    </dataValidation>
    <dataValidation type="decimal" operator="greaterThan" allowBlank="1" showInputMessage="1" showErrorMessage="1" sqref="E7592">
      <formula1>0</formula1>
    </dataValidation>
    <dataValidation type="whole" operator="greaterThan" allowBlank="1" showInputMessage="1" showErrorMessage="1" sqref="A7593">
      <formula1>0</formula1>
    </dataValidation>
    <dataValidation type="list" allowBlank="1" showInputMessage="1" showErrorMessage="1" sqref="C7593">
      <formula1>UnidadesList</formula1>
    </dataValidation>
    <dataValidation type="decimal" operator="greaterThan" allowBlank="1" showInputMessage="1" showErrorMessage="1" sqref="D7593">
      <formula1>0</formula1>
    </dataValidation>
    <dataValidation type="decimal" operator="greaterThan" allowBlank="1" showInputMessage="1" showErrorMessage="1" sqref="E7593">
      <formula1>0</formula1>
    </dataValidation>
    <dataValidation type="whole" operator="greaterThan" allowBlank="1" showInputMessage="1" showErrorMessage="1" sqref="A7594">
      <formula1>0</formula1>
    </dataValidation>
    <dataValidation type="list" allowBlank="1" showInputMessage="1" showErrorMessage="1" sqref="C7594">
      <formula1>UnidadesList</formula1>
    </dataValidation>
    <dataValidation type="decimal" operator="greaterThan" allowBlank="1" showInputMessage="1" showErrorMessage="1" sqref="D7594">
      <formula1>0</formula1>
    </dataValidation>
    <dataValidation type="decimal" operator="greaterThan" allowBlank="1" showInputMessage="1" showErrorMessage="1" sqref="E7594">
      <formula1>0</formula1>
    </dataValidation>
    <dataValidation type="whole" operator="greaterThan" allowBlank="1" showInputMessage="1" showErrorMessage="1" sqref="A7595">
      <formula1>0</formula1>
    </dataValidation>
    <dataValidation type="list" allowBlank="1" showInputMessage="1" showErrorMessage="1" sqref="C7595">
      <formula1>UnidadesList</formula1>
    </dataValidation>
    <dataValidation type="decimal" operator="greaterThan" allowBlank="1" showInputMessage="1" showErrorMessage="1" sqref="D7595">
      <formula1>0</formula1>
    </dataValidation>
    <dataValidation type="decimal" operator="greaterThan" allowBlank="1" showInputMessage="1" showErrorMessage="1" sqref="E7595">
      <formula1>0</formula1>
    </dataValidation>
    <dataValidation type="whole" operator="greaterThan" allowBlank="1" showInputMessage="1" showErrorMessage="1" sqref="A7596">
      <formula1>0</formula1>
    </dataValidation>
    <dataValidation type="list" allowBlank="1" showInputMessage="1" showErrorMessage="1" sqref="C7596">
      <formula1>UnidadesList</formula1>
    </dataValidation>
    <dataValidation type="decimal" operator="greaterThan" allowBlank="1" showInputMessage="1" showErrorMessage="1" sqref="D7596">
      <formula1>0</formula1>
    </dataValidation>
    <dataValidation type="decimal" operator="greaterThan" allowBlank="1" showInputMessage="1" showErrorMessage="1" sqref="E7596">
      <formula1>0</formula1>
    </dataValidation>
    <dataValidation type="whole" operator="greaterThan" allowBlank="1" showInputMessage="1" showErrorMessage="1" sqref="A7597">
      <formula1>0</formula1>
    </dataValidation>
    <dataValidation type="list" allowBlank="1" showInputMessage="1" showErrorMessage="1" sqref="C7597">
      <formula1>UnidadesList</formula1>
    </dataValidation>
    <dataValidation type="decimal" operator="greaterThan" allowBlank="1" showInputMessage="1" showErrorMessage="1" sqref="D7597">
      <formula1>0</formula1>
    </dataValidation>
    <dataValidation type="decimal" operator="greaterThan" allowBlank="1" showInputMessage="1" showErrorMessage="1" sqref="E7597">
      <formula1>0</formula1>
    </dataValidation>
    <dataValidation type="whole" operator="greaterThan" allowBlank="1" showInputMessage="1" showErrorMessage="1" sqref="A7598">
      <formula1>0</formula1>
    </dataValidation>
    <dataValidation type="list" allowBlank="1" showInputMessage="1" showErrorMessage="1" sqref="C7598">
      <formula1>UnidadesList</formula1>
    </dataValidation>
    <dataValidation type="decimal" operator="greaterThan" allowBlank="1" showInputMessage="1" showErrorMessage="1" sqref="D7598">
      <formula1>0</formula1>
    </dataValidation>
    <dataValidation type="decimal" operator="greaterThan" allowBlank="1" showInputMessage="1" showErrorMessage="1" sqref="E7598">
      <formula1>0</formula1>
    </dataValidation>
    <dataValidation type="whole" operator="greaterThan" allowBlank="1" showInputMessage="1" showErrorMessage="1" sqref="A7599">
      <formula1>0</formula1>
    </dataValidation>
    <dataValidation type="list" allowBlank="1" showInputMessage="1" showErrorMessage="1" sqref="C7599">
      <formula1>UnidadesList</formula1>
    </dataValidation>
    <dataValidation type="decimal" operator="greaterThan" allowBlank="1" showInputMessage="1" showErrorMessage="1" sqref="D7599">
      <formula1>0</formula1>
    </dataValidation>
    <dataValidation type="decimal" operator="greaterThan" allowBlank="1" showInputMessage="1" showErrorMessage="1" sqref="E7599">
      <formula1>0</formula1>
    </dataValidation>
    <dataValidation type="whole" operator="greaterThan" allowBlank="1" showInputMessage="1" showErrorMessage="1" sqref="A7600">
      <formula1>0</formula1>
    </dataValidation>
    <dataValidation type="list" allowBlank="1" showInputMessage="1" showErrorMessage="1" sqref="C7600">
      <formula1>UnidadesList</formula1>
    </dataValidation>
    <dataValidation type="decimal" operator="greaterThan" allowBlank="1" showInputMessage="1" showErrorMessage="1" sqref="D7600">
      <formula1>0</formula1>
    </dataValidation>
    <dataValidation type="decimal" operator="greaterThan" allowBlank="1" showInputMessage="1" showErrorMessage="1" sqref="E7600">
      <formula1>0</formula1>
    </dataValidation>
    <dataValidation type="whole" operator="greaterThan" allowBlank="1" showInputMessage="1" showErrorMessage="1" sqref="A7601">
      <formula1>0</formula1>
    </dataValidation>
    <dataValidation type="list" allowBlank="1" showInputMessage="1" showErrorMessage="1" sqref="C7601">
      <formula1>UnidadesList</formula1>
    </dataValidation>
    <dataValidation type="decimal" operator="greaterThan" allowBlank="1" showInputMessage="1" showErrorMessage="1" sqref="D7601">
      <formula1>0</formula1>
    </dataValidation>
    <dataValidation type="decimal" operator="greaterThan" allowBlank="1" showInputMessage="1" showErrorMessage="1" sqref="E7601">
      <formula1>0</formula1>
    </dataValidation>
    <dataValidation type="whole" operator="greaterThan" allowBlank="1" showInputMessage="1" showErrorMessage="1" sqref="A7602">
      <formula1>0</formula1>
    </dataValidation>
    <dataValidation type="list" allowBlank="1" showInputMessage="1" showErrorMessage="1" sqref="C7602">
      <formula1>UnidadesList</formula1>
    </dataValidation>
    <dataValidation type="decimal" operator="greaterThan" allowBlank="1" showInputMessage="1" showErrorMessage="1" sqref="D7602">
      <formula1>0</formula1>
    </dataValidation>
    <dataValidation type="decimal" operator="greaterThan" allowBlank="1" showInputMessage="1" showErrorMessage="1" sqref="E7602">
      <formula1>0</formula1>
    </dataValidation>
    <dataValidation type="whole" operator="greaterThan" allowBlank="1" showInputMessage="1" showErrorMessage="1" sqref="A7603">
      <formula1>0</formula1>
    </dataValidation>
    <dataValidation type="list" allowBlank="1" showInputMessage="1" showErrorMessage="1" sqref="C7603">
      <formula1>UnidadesList</formula1>
    </dataValidation>
    <dataValidation type="decimal" operator="greaterThan" allowBlank="1" showInputMessage="1" showErrorMessage="1" sqref="D7603">
      <formula1>0</formula1>
    </dataValidation>
    <dataValidation type="decimal" operator="greaterThan" allowBlank="1" showInputMessage="1" showErrorMessage="1" sqref="E7603">
      <formula1>0</formula1>
    </dataValidation>
    <dataValidation type="whole" operator="greaterThan" allowBlank="1" showInputMessage="1" showErrorMessage="1" sqref="A7604">
      <formula1>0</formula1>
    </dataValidation>
    <dataValidation type="list" allowBlank="1" showInputMessage="1" showErrorMessage="1" sqref="C7604">
      <formula1>UnidadesList</formula1>
    </dataValidation>
    <dataValidation type="decimal" operator="greaterThan" allowBlank="1" showInputMessage="1" showErrorMessage="1" sqref="D7604">
      <formula1>0</formula1>
    </dataValidation>
    <dataValidation type="decimal" operator="greaterThan" allowBlank="1" showInputMessage="1" showErrorMessage="1" sqref="E7604">
      <formula1>0</formula1>
    </dataValidation>
    <dataValidation type="whole" operator="greaterThan" allowBlank="1" showInputMessage="1" showErrorMessage="1" sqref="A7605">
      <formula1>0</formula1>
    </dataValidation>
    <dataValidation type="list" allowBlank="1" showInputMessage="1" showErrorMessage="1" sqref="C7605">
      <formula1>UnidadesList</formula1>
    </dataValidation>
    <dataValidation type="decimal" operator="greaterThan" allowBlank="1" showInputMessage="1" showErrorMessage="1" sqref="D7605">
      <formula1>0</formula1>
    </dataValidation>
    <dataValidation type="decimal" operator="greaterThan" allowBlank="1" showInputMessage="1" showErrorMessage="1" sqref="E7605">
      <formula1>0</formula1>
    </dataValidation>
    <dataValidation type="whole" operator="greaterThan" allowBlank="1" showInputMessage="1" showErrorMessage="1" sqref="A7606">
      <formula1>0</formula1>
    </dataValidation>
    <dataValidation type="list" allowBlank="1" showInputMessage="1" showErrorMessage="1" sqref="C7606">
      <formula1>UnidadesList</formula1>
    </dataValidation>
    <dataValidation type="decimal" operator="greaterThan" allowBlank="1" showInputMessage="1" showErrorMessage="1" sqref="D7606">
      <formula1>0</formula1>
    </dataValidation>
    <dataValidation type="decimal" operator="greaterThan" allowBlank="1" showInputMessage="1" showErrorMessage="1" sqref="E7606">
      <formula1>0</formula1>
    </dataValidation>
    <dataValidation type="whole" operator="greaterThan" allowBlank="1" showInputMessage="1" showErrorMessage="1" sqref="A7607">
      <formula1>0</formula1>
    </dataValidation>
    <dataValidation type="list" allowBlank="1" showInputMessage="1" showErrorMessage="1" sqref="C7607">
      <formula1>UnidadesList</formula1>
    </dataValidation>
    <dataValidation type="decimal" operator="greaterThan" allowBlank="1" showInputMessage="1" showErrorMessage="1" sqref="D7607">
      <formula1>0</formula1>
    </dataValidation>
    <dataValidation type="decimal" operator="greaterThan" allowBlank="1" showInputMessage="1" showErrorMessage="1" sqref="E7607">
      <formula1>0</formula1>
    </dataValidation>
    <dataValidation type="whole" operator="greaterThan" allowBlank="1" showInputMessage="1" showErrorMessage="1" sqref="A7608">
      <formula1>0</formula1>
    </dataValidation>
    <dataValidation type="list" allowBlank="1" showInputMessage="1" showErrorMessage="1" sqref="C7608">
      <formula1>UnidadesList</formula1>
    </dataValidation>
    <dataValidation type="decimal" operator="greaterThan" allowBlank="1" showInputMessage="1" showErrorMessage="1" sqref="D7608">
      <formula1>0</formula1>
    </dataValidation>
    <dataValidation type="decimal" operator="greaterThan" allowBlank="1" showInputMessage="1" showErrorMessage="1" sqref="E7608">
      <formula1>0</formula1>
    </dataValidation>
    <dataValidation type="whole" operator="greaterThan" allowBlank="1" showInputMessage="1" showErrorMessage="1" sqref="A7609">
      <formula1>0</formula1>
    </dataValidation>
    <dataValidation type="list" allowBlank="1" showInputMessage="1" showErrorMessage="1" sqref="C7609">
      <formula1>UnidadesList</formula1>
    </dataValidation>
    <dataValidation type="decimal" operator="greaterThan" allowBlank="1" showInputMessage="1" showErrorMessage="1" sqref="D7609">
      <formula1>0</formula1>
    </dataValidation>
    <dataValidation type="decimal" operator="greaterThan" allowBlank="1" showInputMessage="1" showErrorMessage="1" sqref="E7609">
      <formula1>0</formula1>
    </dataValidation>
    <dataValidation type="whole" operator="greaterThan" allowBlank="1" showInputMessage="1" showErrorMessage="1" sqref="A7610">
      <formula1>0</formula1>
    </dataValidation>
    <dataValidation type="list" allowBlank="1" showInputMessage="1" showErrorMessage="1" sqref="C7610">
      <formula1>UnidadesList</formula1>
    </dataValidation>
    <dataValidation type="decimal" operator="greaterThan" allowBlank="1" showInputMessage="1" showErrorMessage="1" sqref="D7610">
      <formula1>0</formula1>
    </dataValidation>
    <dataValidation type="decimal" operator="greaterThan" allowBlank="1" showInputMessage="1" showErrorMessage="1" sqref="E7610">
      <formula1>0</formula1>
    </dataValidation>
    <dataValidation type="whole" operator="greaterThan" allowBlank="1" showInputMessage="1" showErrorMessage="1" sqref="A7611">
      <formula1>0</formula1>
    </dataValidation>
    <dataValidation type="list" allowBlank="1" showInputMessage="1" showErrorMessage="1" sqref="C7611">
      <formula1>UnidadesList</formula1>
    </dataValidation>
    <dataValidation type="decimal" operator="greaterThan" allowBlank="1" showInputMessage="1" showErrorMessage="1" sqref="D7611">
      <formula1>0</formula1>
    </dataValidation>
    <dataValidation type="decimal" operator="greaterThan" allowBlank="1" showInputMessage="1" showErrorMessage="1" sqref="E7611">
      <formula1>0</formula1>
    </dataValidation>
    <dataValidation type="whole" operator="greaterThan" allowBlank="1" showInputMessage="1" showErrorMessage="1" sqref="A7612">
      <formula1>0</formula1>
    </dataValidation>
    <dataValidation type="list" allowBlank="1" showInputMessage="1" showErrorMessage="1" sqref="C7612">
      <formula1>UnidadesList</formula1>
    </dataValidation>
    <dataValidation type="decimal" operator="greaterThan" allowBlank="1" showInputMessage="1" showErrorMessage="1" sqref="D7612">
      <formula1>0</formula1>
    </dataValidation>
    <dataValidation type="decimal" operator="greaterThan" allowBlank="1" showInputMessage="1" showErrorMessage="1" sqref="E7612">
      <formula1>0</formula1>
    </dataValidation>
    <dataValidation type="whole" operator="greaterThan" allowBlank="1" showInputMessage="1" showErrorMessage="1" sqref="A7613">
      <formula1>0</formula1>
    </dataValidation>
    <dataValidation type="list" allowBlank="1" showInputMessage="1" showErrorMessage="1" sqref="C7613">
      <formula1>UnidadesList</formula1>
    </dataValidation>
    <dataValidation type="decimal" operator="greaterThan" allowBlank="1" showInputMessage="1" showErrorMessage="1" sqref="D7613">
      <formula1>0</formula1>
    </dataValidation>
    <dataValidation type="decimal" operator="greaterThan" allowBlank="1" showInputMessage="1" showErrorMessage="1" sqref="E7613">
      <formula1>0</formula1>
    </dataValidation>
    <dataValidation type="whole" operator="greaterThan" allowBlank="1" showInputMessage="1" showErrorMessage="1" sqref="A7614">
      <formula1>0</formula1>
    </dataValidation>
    <dataValidation type="list" allowBlank="1" showInputMessage="1" showErrorMessage="1" sqref="C7614">
      <formula1>UnidadesList</formula1>
    </dataValidation>
    <dataValidation type="decimal" operator="greaterThan" allowBlank="1" showInputMessage="1" showErrorMessage="1" sqref="D7614">
      <formula1>0</formula1>
    </dataValidation>
    <dataValidation type="decimal" operator="greaterThan" allowBlank="1" showInputMessage="1" showErrorMessage="1" sqref="E7614">
      <formula1>0</formula1>
    </dataValidation>
    <dataValidation type="whole" operator="greaterThan" allowBlank="1" showInputMessage="1" showErrorMessage="1" sqref="A7615">
      <formula1>0</formula1>
    </dataValidation>
    <dataValidation type="list" allowBlank="1" showInputMessage="1" showErrorMessage="1" sqref="C7615">
      <formula1>UnidadesList</formula1>
    </dataValidation>
    <dataValidation type="decimal" operator="greaterThan" allowBlank="1" showInputMessage="1" showErrorMessage="1" sqref="D7615">
      <formula1>0</formula1>
    </dataValidation>
    <dataValidation type="decimal" operator="greaterThan" allowBlank="1" showInputMessage="1" showErrorMessage="1" sqref="E7615">
      <formula1>0</formula1>
    </dataValidation>
    <dataValidation type="whole" operator="greaterThan" allowBlank="1" showInputMessage="1" showErrorMessage="1" sqref="A7616">
      <formula1>0</formula1>
    </dataValidation>
    <dataValidation type="list" allowBlank="1" showInputMessage="1" showErrorMessage="1" sqref="C7616">
      <formula1>UnidadesList</formula1>
    </dataValidation>
    <dataValidation type="decimal" operator="greaterThan" allowBlank="1" showInputMessage="1" showErrorMessage="1" sqref="D7616">
      <formula1>0</formula1>
    </dataValidation>
    <dataValidation type="decimal" operator="greaterThan" allowBlank="1" showInputMessage="1" showErrorMessage="1" sqref="E7616">
      <formula1>0</formula1>
    </dataValidation>
    <dataValidation type="whole" operator="greaterThan" allowBlank="1" showInputMessage="1" showErrorMessage="1" sqref="A7617">
      <formula1>0</formula1>
    </dataValidation>
    <dataValidation type="list" allowBlank="1" showInputMessage="1" showErrorMessage="1" sqref="C7617">
      <formula1>UnidadesList</formula1>
    </dataValidation>
    <dataValidation type="decimal" operator="greaterThan" allowBlank="1" showInputMessage="1" showErrorMessage="1" sqref="D7617">
      <formula1>0</formula1>
    </dataValidation>
    <dataValidation type="decimal" operator="greaterThan" allowBlank="1" showInputMessage="1" showErrorMessage="1" sqref="E7617">
      <formula1>0</formula1>
    </dataValidation>
    <dataValidation type="whole" operator="greaterThan" allowBlank="1" showInputMessage="1" showErrorMessage="1" sqref="A7618">
      <formula1>0</formula1>
    </dataValidation>
    <dataValidation type="list" allowBlank="1" showInputMessage="1" showErrorMessage="1" sqref="C7618">
      <formula1>UnidadesList</formula1>
    </dataValidation>
    <dataValidation type="decimal" operator="greaterThan" allowBlank="1" showInputMessage="1" showErrorMessage="1" sqref="D7618">
      <formula1>0</formula1>
    </dataValidation>
    <dataValidation type="decimal" operator="greaterThan" allowBlank="1" showInputMessage="1" showErrorMessage="1" sqref="E7618">
      <formula1>0</formula1>
    </dataValidation>
    <dataValidation type="whole" operator="greaterThan" allowBlank="1" showInputMessage="1" showErrorMessage="1" sqref="A7619">
      <formula1>0</formula1>
    </dataValidation>
    <dataValidation type="list" allowBlank="1" showInputMessage="1" showErrorMessage="1" sqref="C7619">
      <formula1>UnidadesList</formula1>
    </dataValidation>
    <dataValidation type="decimal" operator="greaterThan" allowBlank="1" showInputMessage="1" showErrorMessage="1" sqref="D7619">
      <formula1>0</formula1>
    </dataValidation>
    <dataValidation type="decimal" operator="greaterThan" allowBlank="1" showInputMessage="1" showErrorMessage="1" sqref="E7619">
      <formula1>0</formula1>
    </dataValidation>
    <dataValidation type="whole" operator="greaterThan" allowBlank="1" showInputMessage="1" showErrorMessage="1" sqref="A7620">
      <formula1>0</formula1>
    </dataValidation>
    <dataValidation type="list" allowBlank="1" showInputMessage="1" showErrorMessage="1" sqref="C7620">
      <formula1>UnidadesList</formula1>
    </dataValidation>
    <dataValidation type="decimal" operator="greaterThan" allowBlank="1" showInputMessage="1" showErrorMessage="1" sqref="D7620">
      <formula1>0</formula1>
    </dataValidation>
    <dataValidation type="decimal" operator="greaterThan" allowBlank="1" showInputMessage="1" showErrorMessage="1" sqref="E7620">
      <formula1>0</formula1>
    </dataValidation>
    <dataValidation type="whole" operator="greaterThan" allowBlank="1" showInputMessage="1" showErrorMessage="1" sqref="A7621">
      <formula1>0</formula1>
    </dataValidation>
    <dataValidation type="list" allowBlank="1" showInputMessage="1" showErrorMessage="1" sqref="C7621">
      <formula1>UnidadesList</formula1>
    </dataValidation>
    <dataValidation type="decimal" operator="greaterThan" allowBlank="1" showInputMessage="1" showErrorMessage="1" sqref="D7621">
      <formula1>0</formula1>
    </dataValidation>
    <dataValidation type="decimal" operator="greaterThan" allowBlank="1" showInputMessage="1" showErrorMessage="1" sqref="E7621">
      <formula1>0</formula1>
    </dataValidation>
    <dataValidation type="whole" operator="greaterThan" allowBlank="1" showInputMessage="1" showErrorMessage="1" sqref="A7622">
      <formula1>0</formula1>
    </dataValidation>
    <dataValidation type="list" allowBlank="1" showInputMessage="1" showErrorMessage="1" sqref="C7622">
      <formula1>UnidadesList</formula1>
    </dataValidation>
    <dataValidation type="decimal" operator="greaterThan" allowBlank="1" showInputMessage="1" showErrorMessage="1" sqref="D7622">
      <formula1>0</formula1>
    </dataValidation>
    <dataValidation type="decimal" operator="greaterThan" allowBlank="1" showInputMessage="1" showErrorMessage="1" sqref="E7622">
      <formula1>0</formula1>
    </dataValidation>
    <dataValidation type="whole" operator="greaterThan" allowBlank="1" showInputMessage="1" showErrorMessage="1" sqref="A7623">
      <formula1>0</formula1>
    </dataValidation>
    <dataValidation type="list" allowBlank="1" showInputMessage="1" showErrorMessage="1" sqref="C7623">
      <formula1>UnidadesList</formula1>
    </dataValidation>
    <dataValidation type="decimal" operator="greaterThan" allowBlank="1" showInputMessage="1" showErrorMessage="1" sqref="D7623">
      <formula1>0</formula1>
    </dataValidation>
    <dataValidation type="decimal" operator="greaterThan" allowBlank="1" showInputMessage="1" showErrorMessage="1" sqref="E7623">
      <formula1>0</formula1>
    </dataValidation>
    <dataValidation type="whole" operator="greaterThan" allowBlank="1" showInputMessage="1" showErrorMessage="1" sqref="A7624">
      <formula1>0</formula1>
    </dataValidation>
    <dataValidation type="list" allowBlank="1" showInputMessage="1" showErrorMessage="1" sqref="C7624">
      <formula1>UnidadesList</formula1>
    </dataValidation>
    <dataValidation type="decimal" operator="greaterThan" allowBlank="1" showInputMessage="1" showErrorMessage="1" sqref="D7624">
      <formula1>0</formula1>
    </dataValidation>
    <dataValidation type="decimal" operator="greaterThan" allowBlank="1" showInputMessage="1" showErrorMessage="1" sqref="E7624">
      <formula1>0</formula1>
    </dataValidation>
    <dataValidation type="whole" operator="greaterThan" allowBlank="1" showInputMessage="1" showErrorMessage="1" sqref="A7625">
      <formula1>0</formula1>
    </dataValidation>
    <dataValidation type="list" allowBlank="1" showInputMessage="1" showErrorMessage="1" sqref="C7625">
      <formula1>UnidadesList</formula1>
    </dataValidation>
    <dataValidation type="decimal" operator="greaterThan" allowBlank="1" showInputMessage="1" showErrorMessage="1" sqref="D7625">
      <formula1>0</formula1>
    </dataValidation>
    <dataValidation type="decimal" operator="greaterThan" allowBlank="1" showInputMessage="1" showErrorMessage="1" sqref="E7625">
      <formula1>0</formula1>
    </dataValidation>
    <dataValidation type="whole" operator="greaterThan" allowBlank="1" showInputMessage="1" showErrorMessage="1" sqref="A7626">
      <formula1>0</formula1>
    </dataValidation>
    <dataValidation type="list" allowBlank="1" showInputMessage="1" showErrorMessage="1" sqref="C7626">
      <formula1>UnidadesList</formula1>
    </dataValidation>
    <dataValidation type="decimal" operator="greaterThan" allowBlank="1" showInputMessage="1" showErrorMessage="1" sqref="D7626">
      <formula1>0</formula1>
    </dataValidation>
    <dataValidation type="decimal" operator="greaterThan" allowBlank="1" showInputMessage="1" showErrorMessage="1" sqref="E7626">
      <formula1>0</formula1>
    </dataValidation>
    <dataValidation type="whole" operator="greaterThan" allowBlank="1" showInputMessage="1" showErrorMessage="1" sqref="A7627">
      <formula1>0</formula1>
    </dataValidation>
    <dataValidation type="list" allowBlank="1" showInputMessage="1" showErrorMessage="1" sqref="C7627">
      <formula1>UnidadesList</formula1>
    </dataValidation>
    <dataValidation type="decimal" operator="greaterThan" allowBlank="1" showInputMessage="1" showErrorMessage="1" sqref="D7627">
      <formula1>0</formula1>
    </dataValidation>
    <dataValidation type="decimal" operator="greaterThan" allowBlank="1" showInputMessage="1" showErrorMessage="1" sqref="E7627">
      <formula1>0</formula1>
    </dataValidation>
    <dataValidation type="whole" operator="greaterThan" allowBlank="1" showInputMessage="1" showErrorMessage="1" sqref="A7628">
      <formula1>0</formula1>
    </dataValidation>
    <dataValidation type="list" allowBlank="1" showInputMessage="1" showErrorMessage="1" sqref="C7628">
      <formula1>UnidadesList</formula1>
    </dataValidation>
    <dataValidation type="decimal" operator="greaterThan" allowBlank="1" showInputMessage="1" showErrorMessage="1" sqref="D7628">
      <formula1>0</formula1>
    </dataValidation>
    <dataValidation type="decimal" operator="greaterThan" allowBlank="1" showInputMessage="1" showErrorMessage="1" sqref="E7628">
      <formula1>0</formula1>
    </dataValidation>
    <dataValidation type="whole" operator="greaterThan" allowBlank="1" showInputMessage="1" showErrorMessage="1" sqref="A7629">
      <formula1>0</formula1>
    </dataValidation>
    <dataValidation type="list" allowBlank="1" showInputMessage="1" showErrorMessage="1" sqref="C7629">
      <formula1>UnidadesList</formula1>
    </dataValidation>
    <dataValidation type="decimal" operator="greaterThan" allowBlank="1" showInputMessage="1" showErrorMessage="1" sqref="D7629">
      <formula1>0</formula1>
    </dataValidation>
    <dataValidation type="decimal" operator="greaterThan" allowBlank="1" showInputMessage="1" showErrorMessage="1" sqref="E7629">
      <formula1>0</formula1>
    </dataValidation>
    <dataValidation type="whole" operator="greaterThan" allowBlank="1" showInputMessage="1" showErrorMessage="1" sqref="A7630">
      <formula1>0</formula1>
    </dataValidation>
    <dataValidation type="list" allowBlank="1" showInputMessage="1" showErrorMessage="1" sqref="C7630">
      <formula1>UnidadesList</formula1>
    </dataValidation>
    <dataValidation type="decimal" operator="greaterThan" allowBlank="1" showInputMessage="1" showErrorMessage="1" sqref="D7630">
      <formula1>0</formula1>
    </dataValidation>
    <dataValidation type="decimal" operator="greaterThan" allowBlank="1" showInputMessage="1" showErrorMessage="1" sqref="E7630">
      <formula1>0</formula1>
    </dataValidation>
    <dataValidation type="whole" operator="greaterThan" allowBlank="1" showInputMessage="1" showErrorMessage="1" sqref="A7631">
      <formula1>0</formula1>
    </dataValidation>
    <dataValidation type="list" allowBlank="1" showInputMessage="1" showErrorMessage="1" sqref="C7631">
      <formula1>UnidadesList</formula1>
    </dataValidation>
    <dataValidation type="decimal" operator="greaterThan" allowBlank="1" showInputMessage="1" showErrorMessage="1" sqref="D7631">
      <formula1>0</formula1>
    </dataValidation>
    <dataValidation type="decimal" operator="greaterThan" allowBlank="1" showInputMessage="1" showErrorMessage="1" sqref="E7631">
      <formula1>0</formula1>
    </dataValidation>
    <dataValidation type="whole" operator="greaterThan" allowBlank="1" showInputMessage="1" showErrorMessage="1" sqref="A7632">
      <formula1>0</formula1>
    </dataValidation>
    <dataValidation type="list" allowBlank="1" showInputMessage="1" showErrorMessage="1" sqref="C7632">
      <formula1>UnidadesList</formula1>
    </dataValidation>
    <dataValidation type="decimal" operator="greaterThan" allowBlank="1" showInputMessage="1" showErrorMessage="1" sqref="D7632">
      <formula1>0</formula1>
    </dataValidation>
    <dataValidation type="decimal" operator="greaterThan" allowBlank="1" showInputMessage="1" showErrorMessage="1" sqref="E7632">
      <formula1>0</formula1>
    </dataValidation>
    <dataValidation type="whole" operator="greaterThan" allowBlank="1" showInputMessage="1" showErrorMessage="1" sqref="A7633">
      <formula1>0</formula1>
    </dataValidation>
    <dataValidation type="list" allowBlank="1" showInputMessage="1" showErrorMessage="1" sqref="C7633">
      <formula1>UnidadesList</formula1>
    </dataValidation>
    <dataValidation type="decimal" operator="greaterThan" allowBlank="1" showInputMessage="1" showErrorMessage="1" sqref="D7633">
      <formula1>0</formula1>
    </dataValidation>
    <dataValidation type="decimal" operator="greaterThan" allowBlank="1" showInputMessage="1" showErrorMessage="1" sqref="E7633">
      <formula1>0</formula1>
    </dataValidation>
    <dataValidation type="whole" operator="greaterThan" allowBlank="1" showInputMessage="1" showErrorMessage="1" sqref="A7634">
      <formula1>0</formula1>
    </dataValidation>
    <dataValidation type="list" allowBlank="1" showInputMessage="1" showErrorMessage="1" sqref="C7634">
      <formula1>UnidadesList</formula1>
    </dataValidation>
    <dataValidation type="decimal" operator="greaterThan" allowBlank="1" showInputMessage="1" showErrorMessage="1" sqref="D7634">
      <formula1>0</formula1>
    </dataValidation>
    <dataValidation type="decimal" operator="greaterThan" allowBlank="1" showInputMessage="1" showErrorMessage="1" sqref="E7634">
      <formula1>0</formula1>
    </dataValidation>
    <dataValidation type="whole" operator="greaterThan" allowBlank="1" showInputMessage="1" showErrorMessage="1" sqref="A7635">
      <formula1>0</formula1>
    </dataValidation>
    <dataValidation type="list" allowBlank="1" showInputMessage="1" showErrorMessage="1" sqref="C7635">
      <formula1>UnidadesList</formula1>
    </dataValidation>
    <dataValidation type="decimal" operator="greaterThan" allowBlank="1" showInputMessage="1" showErrorMessage="1" sqref="D7635">
      <formula1>0</formula1>
    </dataValidation>
    <dataValidation type="decimal" operator="greaterThan" allowBlank="1" showInputMessage="1" showErrorMessage="1" sqref="E7635">
      <formula1>0</formula1>
    </dataValidation>
    <dataValidation type="whole" operator="greaterThan" allowBlank="1" showInputMessage="1" showErrorMessage="1" sqref="A7636">
      <formula1>0</formula1>
    </dataValidation>
    <dataValidation type="list" allowBlank="1" showInputMessage="1" showErrorMessage="1" sqref="C7636">
      <formula1>UnidadesList</formula1>
    </dataValidation>
    <dataValidation type="decimal" operator="greaterThan" allowBlank="1" showInputMessage="1" showErrorMessage="1" sqref="D7636">
      <formula1>0</formula1>
    </dataValidation>
    <dataValidation type="decimal" operator="greaterThan" allowBlank="1" showInputMessage="1" showErrorMessage="1" sqref="E7636">
      <formula1>0</formula1>
    </dataValidation>
    <dataValidation type="whole" operator="greaterThan" allowBlank="1" showInputMessage="1" showErrorMessage="1" sqref="A7637">
      <formula1>0</formula1>
    </dataValidation>
    <dataValidation type="list" allowBlank="1" showInputMessage="1" showErrorMessage="1" sqref="C7637">
      <formula1>UnidadesList</formula1>
    </dataValidation>
    <dataValidation type="decimal" operator="greaterThan" allowBlank="1" showInputMessage="1" showErrorMessage="1" sqref="D7637">
      <formula1>0</formula1>
    </dataValidation>
    <dataValidation type="decimal" operator="greaterThan" allowBlank="1" showInputMessage="1" showErrorMessage="1" sqref="E7637">
      <formula1>0</formula1>
    </dataValidation>
    <dataValidation type="whole" operator="greaterThan" allowBlank="1" showInputMessage="1" showErrorMessage="1" sqref="A7638">
      <formula1>0</formula1>
    </dataValidation>
    <dataValidation type="list" allowBlank="1" showInputMessage="1" showErrorMessage="1" sqref="C7638">
      <formula1>UnidadesList</formula1>
    </dataValidation>
    <dataValidation type="decimal" operator="greaterThan" allowBlank="1" showInputMessage="1" showErrorMessage="1" sqref="D7638">
      <formula1>0</formula1>
    </dataValidation>
    <dataValidation type="decimal" operator="greaterThan" allowBlank="1" showInputMessage="1" showErrorMessage="1" sqref="E7638">
      <formula1>0</formula1>
    </dataValidation>
    <dataValidation type="whole" operator="greaterThan" allowBlank="1" showInputMessage="1" showErrorMessage="1" sqref="A7639">
      <formula1>0</formula1>
    </dataValidation>
    <dataValidation type="list" allowBlank="1" showInputMessage="1" showErrorMessage="1" sqref="C7639">
      <formula1>UnidadesList</formula1>
    </dataValidation>
    <dataValidation type="decimal" operator="greaterThan" allowBlank="1" showInputMessage="1" showErrorMessage="1" sqref="D7639">
      <formula1>0</formula1>
    </dataValidation>
    <dataValidation type="decimal" operator="greaterThan" allowBlank="1" showInputMessage="1" showErrorMessage="1" sqref="E7639">
      <formula1>0</formula1>
    </dataValidation>
    <dataValidation type="whole" operator="greaterThan" allowBlank="1" showInputMessage="1" showErrorMessage="1" sqref="A7640">
      <formula1>0</formula1>
    </dataValidation>
    <dataValidation type="list" allowBlank="1" showInputMessage="1" showErrorMessage="1" sqref="C7640">
      <formula1>UnidadesList</formula1>
    </dataValidation>
    <dataValidation type="decimal" operator="greaterThan" allowBlank="1" showInputMessage="1" showErrorMessage="1" sqref="D7640">
      <formula1>0</formula1>
    </dataValidation>
    <dataValidation type="decimal" operator="greaterThan" allowBlank="1" showInputMessage="1" showErrorMessage="1" sqref="E7640">
      <formula1>0</formula1>
    </dataValidation>
    <dataValidation type="whole" operator="greaterThan" allowBlank="1" showInputMessage="1" showErrorMessage="1" sqref="A7641">
      <formula1>0</formula1>
    </dataValidation>
    <dataValidation type="list" allowBlank="1" showInputMessage="1" showErrorMessage="1" sqref="C7641">
      <formula1>UnidadesList</formula1>
    </dataValidation>
    <dataValidation type="decimal" operator="greaterThan" allowBlank="1" showInputMessage="1" showErrorMessage="1" sqref="D7641">
      <formula1>0</formula1>
    </dataValidation>
    <dataValidation type="decimal" operator="greaterThan" allowBlank="1" showInputMessage="1" showErrorMessage="1" sqref="E7641">
      <formula1>0</formula1>
    </dataValidation>
    <dataValidation type="whole" operator="greaterThan" allowBlank="1" showInputMessage="1" showErrorMessage="1" sqref="A7642">
      <formula1>0</formula1>
    </dataValidation>
    <dataValidation type="list" allowBlank="1" showInputMessage="1" showErrorMessage="1" sqref="C7642">
      <formula1>UnidadesList</formula1>
    </dataValidation>
    <dataValidation type="decimal" operator="greaterThan" allowBlank="1" showInputMessage="1" showErrorMessage="1" sqref="D7642">
      <formula1>0</formula1>
    </dataValidation>
    <dataValidation type="decimal" operator="greaterThan" allowBlank="1" showInputMessage="1" showErrorMessage="1" sqref="E7642">
      <formula1>0</formula1>
    </dataValidation>
    <dataValidation type="whole" operator="greaterThan" allowBlank="1" showInputMessage="1" showErrorMessage="1" sqref="A7643">
      <formula1>0</formula1>
    </dataValidation>
    <dataValidation type="list" allowBlank="1" showInputMessage="1" showErrorMessage="1" sqref="C7643">
      <formula1>UnidadesList</formula1>
    </dataValidation>
    <dataValidation type="decimal" operator="greaterThan" allowBlank="1" showInputMessage="1" showErrorMessage="1" sqref="D7643">
      <formula1>0</formula1>
    </dataValidation>
    <dataValidation type="decimal" operator="greaterThan" allowBlank="1" showInputMessage="1" showErrorMessage="1" sqref="E7643">
      <formula1>0</formula1>
    </dataValidation>
    <dataValidation type="whole" operator="greaterThan" allowBlank="1" showInputMessage="1" showErrorMessage="1" sqref="A7644">
      <formula1>0</formula1>
    </dataValidation>
    <dataValidation type="list" allowBlank="1" showInputMessage="1" showErrorMessage="1" sqref="C7644">
      <formula1>UnidadesList</formula1>
    </dataValidation>
    <dataValidation type="decimal" operator="greaterThan" allowBlank="1" showInputMessage="1" showErrorMessage="1" sqref="D7644">
      <formula1>0</formula1>
    </dataValidation>
    <dataValidation type="decimal" operator="greaterThan" allowBlank="1" showInputMessage="1" showErrorMessage="1" sqref="E7644">
      <formula1>0</formula1>
    </dataValidation>
    <dataValidation type="whole" operator="greaterThan" allowBlank="1" showInputMessage="1" showErrorMessage="1" sqref="A7645">
      <formula1>0</formula1>
    </dataValidation>
    <dataValidation type="list" allowBlank="1" showInputMessage="1" showErrorMessage="1" sqref="C7645">
      <formula1>UnidadesList</formula1>
    </dataValidation>
    <dataValidation type="decimal" operator="greaterThan" allowBlank="1" showInputMessage="1" showErrorMessage="1" sqref="D7645">
      <formula1>0</formula1>
    </dataValidation>
    <dataValidation type="decimal" operator="greaterThan" allowBlank="1" showInputMessage="1" showErrorMessage="1" sqref="E7645">
      <formula1>0</formula1>
    </dataValidation>
    <dataValidation type="whole" operator="greaterThan" allowBlank="1" showInputMessage="1" showErrorMessage="1" sqref="A7646">
      <formula1>0</formula1>
    </dataValidation>
    <dataValidation type="list" allowBlank="1" showInputMessage="1" showErrorMessage="1" sqref="C7646">
      <formula1>UnidadesList</formula1>
    </dataValidation>
    <dataValidation type="decimal" operator="greaterThan" allowBlank="1" showInputMessage="1" showErrorMessage="1" sqref="D7646">
      <formula1>0</formula1>
    </dataValidation>
    <dataValidation type="decimal" operator="greaterThan" allowBlank="1" showInputMessage="1" showErrorMessage="1" sqref="E7646">
      <formula1>0</formula1>
    </dataValidation>
    <dataValidation type="whole" operator="greaterThan" allowBlank="1" showInputMessage="1" showErrorMessage="1" sqref="A7647">
      <formula1>0</formula1>
    </dataValidation>
    <dataValidation type="list" allowBlank="1" showInputMessage="1" showErrorMessage="1" sqref="C7647">
      <formula1>UnidadesList</formula1>
    </dataValidation>
    <dataValidation type="decimal" operator="greaterThan" allowBlank="1" showInputMessage="1" showErrorMessage="1" sqref="D7647">
      <formula1>0</formula1>
    </dataValidation>
    <dataValidation type="decimal" operator="greaterThan" allowBlank="1" showInputMessage="1" showErrorMessage="1" sqref="E7647">
      <formula1>0</formula1>
    </dataValidation>
    <dataValidation type="date" operator="lessThanOrEqual" allowBlank="1" showInputMessage="1" showErrorMessage="1" sqref="C7652">
      <formula1>C7654</formula1>
    </dataValidation>
    <dataValidation type="date" operator="greaterThanOrEqual" allowBlank="1" showInputMessage="1" showErrorMessage="1" sqref="C7654">
      <formula1>C7652</formula1>
    </dataValidation>
    <dataValidation type="list" allowBlank="1" showInputMessage="1" showErrorMessage="1" sqref="F765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65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65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65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658">
      <formula1>0</formula1>
    </dataValidation>
    <dataValidation type="list" allowBlank="1" showInputMessage="1" showErrorMessage="1" sqref="C7658">
      <formula1>UnidadesList</formula1>
    </dataValidation>
    <dataValidation type="decimal" operator="greaterThan" allowBlank="1" showInputMessage="1" showErrorMessage="1" sqref="D7658">
      <formula1>0</formula1>
    </dataValidation>
    <dataValidation type="decimal" operator="greaterThan" allowBlank="1" showInputMessage="1" showErrorMessage="1" sqref="E7658">
      <formula1>0</formula1>
    </dataValidation>
    <dataValidation type="whole" operator="greaterThan" allowBlank="1" showInputMessage="1" showErrorMessage="1" sqref="A7659">
      <formula1>0</formula1>
    </dataValidation>
    <dataValidation type="list" allowBlank="1" showInputMessage="1" showErrorMessage="1" sqref="C7659">
      <formula1>UnidadesList</formula1>
    </dataValidation>
    <dataValidation type="decimal" operator="greaterThan" allowBlank="1" showInputMessage="1" showErrorMessage="1" sqref="D7659">
      <formula1>0</formula1>
    </dataValidation>
    <dataValidation type="decimal" operator="greaterThan" allowBlank="1" showInputMessage="1" showErrorMessage="1" sqref="E7659">
      <formula1>0</formula1>
    </dataValidation>
    <dataValidation type="whole" operator="greaterThan" allowBlank="1" showInputMessage="1" showErrorMessage="1" sqref="A7660">
      <formula1>0</formula1>
    </dataValidation>
    <dataValidation type="list" allowBlank="1" showInputMessage="1" showErrorMessage="1" sqref="C7660">
      <formula1>UnidadesList</formula1>
    </dataValidation>
    <dataValidation type="decimal" operator="greaterThan" allowBlank="1" showInputMessage="1" showErrorMessage="1" sqref="D7660">
      <formula1>0</formula1>
    </dataValidation>
    <dataValidation type="decimal" operator="greaterThan" allowBlank="1" showInputMessage="1" showErrorMessage="1" sqref="E7660">
      <formula1>0</formula1>
    </dataValidation>
    <dataValidation type="whole" operator="greaterThan" allowBlank="1" showInputMessage="1" showErrorMessage="1" sqref="A7661">
      <formula1>0</formula1>
    </dataValidation>
    <dataValidation type="list" allowBlank="1" showInputMessage="1" showErrorMessage="1" sqref="C7661">
      <formula1>UnidadesList</formula1>
    </dataValidation>
    <dataValidation type="decimal" operator="greaterThan" allowBlank="1" showInputMessage="1" showErrorMessage="1" sqref="D7661">
      <formula1>0</formula1>
    </dataValidation>
    <dataValidation type="decimal" operator="greaterThan" allowBlank="1" showInputMessage="1" showErrorMessage="1" sqref="E7661">
      <formula1>0</formula1>
    </dataValidation>
    <dataValidation type="whole" operator="greaterThan" allowBlank="1" showInputMessage="1" showErrorMessage="1" sqref="A7662">
      <formula1>0</formula1>
    </dataValidation>
    <dataValidation type="list" allowBlank="1" showInputMessage="1" showErrorMessage="1" sqref="C7662">
      <formula1>UnidadesList</formula1>
    </dataValidation>
    <dataValidation type="decimal" operator="greaterThan" allowBlank="1" showInputMessage="1" showErrorMessage="1" sqref="D7662">
      <formula1>0</formula1>
    </dataValidation>
    <dataValidation type="decimal" operator="greaterThan" allowBlank="1" showInputMessage="1" showErrorMessage="1" sqref="E7662">
      <formula1>0</formula1>
    </dataValidation>
    <dataValidation type="whole" operator="greaterThan" allowBlank="1" showInputMessage="1" showErrorMessage="1" sqref="A7663">
      <formula1>0</formula1>
    </dataValidation>
    <dataValidation type="list" allowBlank="1" showInputMessage="1" showErrorMessage="1" sqref="C7663">
      <formula1>UnidadesList</formula1>
    </dataValidation>
    <dataValidation type="decimal" operator="greaterThan" allowBlank="1" showInputMessage="1" showErrorMessage="1" sqref="D7663">
      <formula1>0</formula1>
    </dataValidation>
    <dataValidation type="decimal" operator="greaterThan" allowBlank="1" showInputMessage="1" showErrorMessage="1" sqref="E7663">
      <formula1>0</formula1>
    </dataValidation>
    <dataValidation type="whole" operator="greaterThan" allowBlank="1" showInputMessage="1" showErrorMessage="1" sqref="A7664">
      <formula1>0</formula1>
    </dataValidation>
    <dataValidation type="list" allowBlank="1" showInputMessage="1" showErrorMessage="1" sqref="C7664">
      <formula1>UnidadesList</formula1>
    </dataValidation>
    <dataValidation type="decimal" operator="greaterThan" allowBlank="1" showInputMessage="1" showErrorMessage="1" sqref="D7664">
      <formula1>0</formula1>
    </dataValidation>
    <dataValidation type="decimal" operator="greaterThan" allowBlank="1" showInputMessage="1" showErrorMessage="1" sqref="E7664">
      <formula1>0</formula1>
    </dataValidation>
    <dataValidation type="whole" operator="greaterThan" allowBlank="1" showInputMessage="1" showErrorMessage="1" sqref="A7665">
      <formula1>0</formula1>
    </dataValidation>
    <dataValidation type="list" allowBlank="1" showInputMessage="1" showErrorMessage="1" sqref="C7665">
      <formula1>UnidadesList</formula1>
    </dataValidation>
    <dataValidation type="decimal" operator="greaterThan" allowBlank="1" showInputMessage="1" showErrorMessage="1" sqref="D7665">
      <formula1>0</formula1>
    </dataValidation>
    <dataValidation type="decimal" operator="greaterThan" allowBlank="1" showInputMessage="1" showErrorMessage="1" sqref="E7665">
      <formula1>0</formula1>
    </dataValidation>
    <dataValidation type="whole" operator="greaterThan" allowBlank="1" showInputMessage="1" showErrorMessage="1" sqref="A7666">
      <formula1>0</formula1>
    </dataValidation>
    <dataValidation type="list" allowBlank="1" showInputMessage="1" showErrorMessage="1" sqref="C7666">
      <formula1>UnidadesList</formula1>
    </dataValidation>
    <dataValidation type="decimal" operator="greaterThan" allowBlank="1" showInputMessage="1" showErrorMessage="1" sqref="D7666">
      <formula1>0</formula1>
    </dataValidation>
    <dataValidation type="decimal" operator="greaterThan" allowBlank="1" showInputMessage="1" showErrorMessage="1" sqref="E7666">
      <formula1>0</formula1>
    </dataValidation>
    <dataValidation type="whole" operator="greaterThan" allowBlank="1" showInputMessage="1" showErrorMessage="1" sqref="A7667">
      <formula1>0</formula1>
    </dataValidation>
    <dataValidation type="list" allowBlank="1" showInputMessage="1" showErrorMessage="1" sqref="C7667">
      <formula1>UnidadesList</formula1>
    </dataValidation>
    <dataValidation type="decimal" operator="greaterThan" allowBlank="1" showInputMessage="1" showErrorMessage="1" sqref="D7667">
      <formula1>0</formula1>
    </dataValidation>
    <dataValidation type="decimal" operator="greaterThan" allowBlank="1" showInputMessage="1" showErrorMessage="1" sqref="E7667">
      <formula1>0</formula1>
    </dataValidation>
    <dataValidation type="whole" operator="greaterThan" allowBlank="1" showInputMessage="1" showErrorMessage="1" sqref="A7668">
      <formula1>0</formula1>
    </dataValidation>
    <dataValidation type="list" allowBlank="1" showInputMessage="1" showErrorMessage="1" sqref="C7668">
      <formula1>UnidadesList</formula1>
    </dataValidation>
    <dataValidation type="decimal" operator="greaterThan" allowBlank="1" showInputMessage="1" showErrorMessage="1" sqref="D7668">
      <formula1>0</formula1>
    </dataValidation>
    <dataValidation type="decimal" operator="greaterThan" allowBlank="1" showInputMessage="1" showErrorMessage="1" sqref="E7668">
      <formula1>0</formula1>
    </dataValidation>
    <dataValidation type="whole" operator="greaterThan" allowBlank="1" showInputMessage="1" showErrorMessage="1" sqref="A7669">
      <formula1>0</formula1>
    </dataValidation>
    <dataValidation type="list" allowBlank="1" showInputMessage="1" showErrorMessage="1" sqref="C7669">
      <formula1>UnidadesList</formula1>
    </dataValidation>
    <dataValidation type="decimal" operator="greaterThan" allowBlank="1" showInputMessage="1" showErrorMessage="1" sqref="D7669">
      <formula1>0</formula1>
    </dataValidation>
    <dataValidation type="decimal" operator="greaterThan" allowBlank="1" showInputMessage="1" showErrorMessage="1" sqref="E7669">
      <formula1>0</formula1>
    </dataValidation>
    <dataValidation type="whole" operator="greaterThan" allowBlank="1" showInputMessage="1" showErrorMessage="1" sqref="A7670">
      <formula1>0</formula1>
    </dataValidation>
    <dataValidation type="list" allowBlank="1" showInputMessage="1" showErrorMessage="1" sqref="C7670">
      <formula1>UnidadesList</formula1>
    </dataValidation>
    <dataValidation type="decimal" operator="greaterThan" allowBlank="1" showInputMessage="1" showErrorMessage="1" sqref="D7670">
      <formula1>0</formula1>
    </dataValidation>
    <dataValidation type="decimal" operator="greaterThan" allowBlank="1" showInputMessage="1" showErrorMessage="1" sqref="E7670">
      <formula1>0</formula1>
    </dataValidation>
    <dataValidation type="whole" operator="greaterThan" allowBlank="1" showInputMessage="1" showErrorMessage="1" sqref="A7671">
      <formula1>0</formula1>
    </dataValidation>
    <dataValidation type="list" allowBlank="1" showInputMessage="1" showErrorMessage="1" sqref="C7671">
      <formula1>UnidadesList</formula1>
    </dataValidation>
    <dataValidation type="decimal" operator="greaterThan" allowBlank="1" showInputMessage="1" showErrorMessage="1" sqref="D7671">
      <formula1>0</formula1>
    </dataValidation>
    <dataValidation type="decimal" operator="greaterThan" allowBlank="1" showInputMessage="1" showErrorMessage="1" sqref="E7671">
      <formula1>0</formula1>
    </dataValidation>
    <dataValidation type="whole" operator="greaterThan" allowBlank="1" showInputMessage="1" showErrorMessage="1" sqref="A7672">
      <formula1>0</formula1>
    </dataValidation>
    <dataValidation type="list" allowBlank="1" showInputMessage="1" showErrorMessage="1" sqref="C7672">
      <formula1>UnidadesList</formula1>
    </dataValidation>
    <dataValidation type="decimal" operator="greaterThan" allowBlank="1" showInputMessage="1" showErrorMessage="1" sqref="D7672">
      <formula1>0</formula1>
    </dataValidation>
    <dataValidation type="decimal" operator="greaterThan" allowBlank="1" showInputMessage="1" showErrorMessage="1" sqref="E7672">
      <formula1>0</formula1>
    </dataValidation>
    <dataValidation type="whole" operator="greaterThan" allowBlank="1" showInputMessage="1" showErrorMessage="1" sqref="A7673">
      <formula1>0</formula1>
    </dataValidation>
    <dataValidation type="list" allowBlank="1" showInputMessage="1" showErrorMessage="1" sqref="C7673">
      <formula1>UnidadesList</formula1>
    </dataValidation>
    <dataValidation type="decimal" operator="greaterThan" allowBlank="1" showInputMessage="1" showErrorMessage="1" sqref="D7673">
      <formula1>0</formula1>
    </dataValidation>
    <dataValidation type="decimal" operator="greaterThan" allowBlank="1" showInputMessage="1" showErrorMessage="1" sqref="E7673">
      <formula1>0</formula1>
    </dataValidation>
    <dataValidation type="whole" operator="greaterThan" allowBlank="1" showInputMessage="1" showErrorMessage="1" sqref="A7674">
      <formula1>0</formula1>
    </dataValidation>
    <dataValidation type="list" allowBlank="1" showInputMessage="1" showErrorMessage="1" sqref="C7674">
      <formula1>UnidadesList</formula1>
    </dataValidation>
    <dataValidation type="decimal" operator="greaterThan" allowBlank="1" showInputMessage="1" showErrorMessage="1" sqref="D7674">
      <formula1>0</formula1>
    </dataValidation>
    <dataValidation type="decimal" operator="greaterThan" allowBlank="1" showInputMessage="1" showErrorMessage="1" sqref="E7674">
      <formula1>0</formula1>
    </dataValidation>
    <dataValidation type="whole" operator="greaterThan" allowBlank="1" showInputMessage="1" showErrorMessage="1" sqref="A7675">
      <formula1>0</formula1>
    </dataValidation>
    <dataValidation type="list" allowBlank="1" showInputMessage="1" showErrorMessage="1" sqref="C7675">
      <formula1>UnidadesList</formula1>
    </dataValidation>
    <dataValidation type="decimal" operator="greaterThan" allowBlank="1" showInputMessage="1" showErrorMessage="1" sqref="D7675">
      <formula1>0</formula1>
    </dataValidation>
    <dataValidation type="decimal" operator="greaterThan" allowBlank="1" showInputMessage="1" showErrorMessage="1" sqref="E7675">
      <formula1>0</formula1>
    </dataValidation>
    <dataValidation type="whole" operator="greaterThan" allowBlank="1" showInputMessage="1" showErrorMessage="1" sqref="A7676">
      <formula1>0</formula1>
    </dataValidation>
    <dataValidation type="list" allowBlank="1" showInputMessage="1" showErrorMessage="1" sqref="C7676">
      <formula1>UnidadesList</formula1>
    </dataValidation>
    <dataValidation type="decimal" operator="greaterThan" allowBlank="1" showInputMessage="1" showErrorMessage="1" sqref="D7676">
      <formula1>0</formula1>
    </dataValidation>
    <dataValidation type="decimal" operator="greaterThan" allowBlank="1" showInputMessage="1" showErrorMessage="1" sqref="E7676">
      <formula1>0</formula1>
    </dataValidation>
    <dataValidation type="whole" operator="greaterThan" allowBlank="1" showInputMessage="1" showErrorMessage="1" sqref="A7677">
      <formula1>0</formula1>
    </dataValidation>
    <dataValidation type="list" allowBlank="1" showInputMessage="1" showErrorMessage="1" sqref="C7677">
      <formula1>UnidadesList</formula1>
    </dataValidation>
    <dataValidation type="decimal" operator="greaterThan" allowBlank="1" showInputMessage="1" showErrorMessage="1" sqref="D7677">
      <formula1>0</formula1>
    </dataValidation>
    <dataValidation type="decimal" operator="greaterThan" allowBlank="1" showInputMessage="1" showErrorMessage="1" sqref="E7677">
      <formula1>0</formula1>
    </dataValidation>
    <dataValidation type="whole" operator="greaterThan" allowBlank="1" showInputMessage="1" showErrorMessage="1" sqref="A7678">
      <formula1>0</formula1>
    </dataValidation>
    <dataValidation type="list" allowBlank="1" showInputMessage="1" showErrorMessage="1" sqref="C7678">
      <formula1>UnidadesList</formula1>
    </dataValidation>
    <dataValidation type="decimal" operator="greaterThan" allowBlank="1" showInputMessage="1" showErrorMessage="1" sqref="D7678">
      <formula1>0</formula1>
    </dataValidation>
    <dataValidation type="decimal" operator="greaterThan" allowBlank="1" showInputMessage="1" showErrorMessage="1" sqref="E7678">
      <formula1>0</formula1>
    </dataValidation>
    <dataValidation type="whole" operator="greaterThan" allowBlank="1" showInputMessage="1" showErrorMessage="1" sqref="A7679">
      <formula1>0</formula1>
    </dataValidation>
    <dataValidation type="list" allowBlank="1" showInputMessage="1" showErrorMessage="1" sqref="C7679">
      <formula1>UnidadesList</formula1>
    </dataValidation>
    <dataValidation type="decimal" operator="greaterThan" allowBlank="1" showInputMessage="1" showErrorMessage="1" sqref="D7679">
      <formula1>0</formula1>
    </dataValidation>
    <dataValidation type="decimal" operator="greaterThan" allowBlank="1" showInputMessage="1" showErrorMessage="1" sqref="E7679">
      <formula1>0</formula1>
    </dataValidation>
    <dataValidation type="whole" operator="greaterThan" allowBlank="1" showInputMessage="1" showErrorMessage="1" sqref="A7680">
      <formula1>0</formula1>
    </dataValidation>
    <dataValidation type="list" allowBlank="1" showInputMessage="1" showErrorMessage="1" sqref="C7680">
      <formula1>UnidadesList</formula1>
    </dataValidation>
    <dataValidation type="decimal" operator="greaterThan" allowBlank="1" showInputMessage="1" showErrorMessage="1" sqref="D7680">
      <formula1>0</formula1>
    </dataValidation>
    <dataValidation type="decimal" operator="greaterThan" allowBlank="1" showInputMessage="1" showErrorMessage="1" sqref="E7680">
      <formula1>0</formula1>
    </dataValidation>
    <dataValidation type="whole" operator="greaterThan" allowBlank="1" showInputMessage="1" showErrorMessage="1" sqref="A7681">
      <formula1>0</formula1>
    </dataValidation>
    <dataValidation type="list" allowBlank="1" showInputMessage="1" showErrorMessage="1" sqref="C7681">
      <formula1>UnidadesList</formula1>
    </dataValidation>
    <dataValidation type="decimal" operator="greaterThan" allowBlank="1" showInputMessage="1" showErrorMessage="1" sqref="D7681">
      <formula1>0</formula1>
    </dataValidation>
    <dataValidation type="decimal" operator="greaterThan" allowBlank="1" showInputMessage="1" showErrorMessage="1" sqref="E7681">
      <formula1>0</formula1>
    </dataValidation>
    <dataValidation type="whole" operator="greaterThan" allowBlank="1" showInputMessage="1" showErrorMessage="1" sqref="A7682">
      <formula1>0</formula1>
    </dataValidation>
    <dataValidation type="list" allowBlank="1" showInputMessage="1" showErrorMessage="1" sqref="C7682">
      <formula1>UnidadesList</formula1>
    </dataValidation>
    <dataValidation type="decimal" operator="greaterThan" allowBlank="1" showInputMessage="1" showErrorMessage="1" sqref="D7682">
      <formula1>0</formula1>
    </dataValidation>
    <dataValidation type="decimal" operator="greaterThan" allowBlank="1" showInputMessage="1" showErrorMessage="1" sqref="E7682">
      <formula1>0</formula1>
    </dataValidation>
    <dataValidation type="whole" operator="greaterThan" allowBlank="1" showInputMessage="1" showErrorMessage="1" sqref="A7683">
      <formula1>0</formula1>
    </dataValidation>
    <dataValidation type="list" allowBlank="1" showInputMessage="1" showErrorMessage="1" sqref="C7683">
      <formula1>UnidadesList</formula1>
    </dataValidation>
    <dataValidation type="decimal" operator="greaterThan" allowBlank="1" showInputMessage="1" showErrorMessage="1" sqref="D7683">
      <formula1>0</formula1>
    </dataValidation>
    <dataValidation type="decimal" operator="greaterThan" allowBlank="1" showInputMessage="1" showErrorMessage="1" sqref="E7683">
      <formula1>0</formula1>
    </dataValidation>
    <dataValidation type="whole" operator="greaterThan" allowBlank="1" showInputMessage="1" showErrorMessage="1" sqref="A7684">
      <formula1>0</formula1>
    </dataValidation>
    <dataValidation type="list" allowBlank="1" showInputMessage="1" showErrorMessage="1" sqref="C7684">
      <formula1>UnidadesList</formula1>
    </dataValidation>
    <dataValidation type="decimal" operator="greaterThan" allowBlank="1" showInputMessage="1" showErrorMessage="1" sqref="D7684">
      <formula1>0</formula1>
    </dataValidation>
    <dataValidation type="decimal" operator="greaterThan" allowBlank="1" showInputMessage="1" showErrorMessage="1" sqref="E7684">
      <formula1>0</formula1>
    </dataValidation>
    <dataValidation type="whole" operator="greaterThan" allowBlank="1" showInputMessage="1" showErrorMessage="1" sqref="A7685">
      <formula1>0</formula1>
    </dataValidation>
    <dataValidation type="list" allowBlank="1" showInputMessage="1" showErrorMessage="1" sqref="C7685">
      <formula1>UnidadesList</formula1>
    </dataValidation>
    <dataValidation type="decimal" operator="greaterThan" allowBlank="1" showInputMessage="1" showErrorMessage="1" sqref="D7685">
      <formula1>0</formula1>
    </dataValidation>
    <dataValidation type="decimal" operator="greaterThan" allowBlank="1" showInputMessage="1" showErrorMessage="1" sqref="E7685">
      <formula1>0</formula1>
    </dataValidation>
    <dataValidation type="whole" operator="greaterThan" allowBlank="1" showInputMessage="1" showErrorMessage="1" sqref="A7686">
      <formula1>0</formula1>
    </dataValidation>
    <dataValidation type="list" allowBlank="1" showInputMessage="1" showErrorMessage="1" sqref="C7686">
      <formula1>UnidadesList</formula1>
    </dataValidation>
    <dataValidation type="decimal" operator="greaterThan" allowBlank="1" showInputMessage="1" showErrorMessage="1" sqref="D7686">
      <formula1>0</formula1>
    </dataValidation>
    <dataValidation type="decimal" operator="greaterThan" allowBlank="1" showInputMessage="1" showErrorMessage="1" sqref="E7686">
      <formula1>0</formula1>
    </dataValidation>
    <dataValidation type="whole" operator="greaterThan" allowBlank="1" showInputMessage="1" showErrorMessage="1" sqref="A7687">
      <formula1>0</formula1>
    </dataValidation>
    <dataValidation type="list" allowBlank="1" showInputMessage="1" showErrorMessage="1" sqref="C7687">
      <formula1>UnidadesList</formula1>
    </dataValidation>
    <dataValidation type="decimal" operator="greaterThan" allowBlank="1" showInputMessage="1" showErrorMessage="1" sqref="D7687">
      <formula1>0</formula1>
    </dataValidation>
    <dataValidation type="decimal" operator="greaterThan" allowBlank="1" showInputMessage="1" showErrorMessage="1" sqref="E7687">
      <formula1>0</formula1>
    </dataValidation>
    <dataValidation type="whole" operator="greaterThan" allowBlank="1" showInputMessage="1" showErrorMessage="1" sqref="A7688">
      <formula1>0</formula1>
    </dataValidation>
    <dataValidation type="list" allowBlank="1" showInputMessage="1" showErrorMessage="1" sqref="C7688">
      <formula1>UnidadesList</formula1>
    </dataValidation>
    <dataValidation type="decimal" operator="greaterThan" allowBlank="1" showInputMessage="1" showErrorMessage="1" sqref="D7688">
      <formula1>0</formula1>
    </dataValidation>
    <dataValidation type="decimal" operator="greaterThan" allowBlank="1" showInputMessage="1" showErrorMessage="1" sqref="E7688">
      <formula1>0</formula1>
    </dataValidation>
    <dataValidation type="whole" operator="greaterThan" allowBlank="1" showInputMessage="1" showErrorMessage="1" sqref="A7689">
      <formula1>0</formula1>
    </dataValidation>
    <dataValidation type="list" allowBlank="1" showInputMessage="1" showErrorMessage="1" sqref="C7689">
      <formula1>UnidadesList</formula1>
    </dataValidation>
    <dataValidation type="decimal" operator="greaterThan" allowBlank="1" showInputMessage="1" showErrorMessage="1" sqref="D7689">
      <formula1>0</formula1>
    </dataValidation>
    <dataValidation type="decimal" operator="greaterThan" allowBlank="1" showInputMessage="1" showErrorMessage="1" sqref="E7689">
      <formula1>0</formula1>
    </dataValidation>
    <dataValidation type="whole" operator="greaterThan" allowBlank="1" showInputMessage="1" showErrorMessage="1" sqref="A7690">
      <formula1>0</formula1>
    </dataValidation>
    <dataValidation type="list" allowBlank="1" showInputMessage="1" showErrorMessage="1" sqref="C7690">
      <formula1>UnidadesList</formula1>
    </dataValidation>
    <dataValidation type="decimal" operator="greaterThan" allowBlank="1" showInputMessage="1" showErrorMessage="1" sqref="D7690">
      <formula1>0</formula1>
    </dataValidation>
    <dataValidation type="decimal" operator="greaterThan" allowBlank="1" showInputMessage="1" showErrorMessage="1" sqref="E7690">
      <formula1>0</formula1>
    </dataValidation>
    <dataValidation type="whole" operator="greaterThan" allowBlank="1" showInputMessage="1" showErrorMessage="1" sqref="A7691">
      <formula1>0</formula1>
    </dataValidation>
    <dataValidation type="list" allowBlank="1" showInputMessage="1" showErrorMessage="1" sqref="C7691">
      <formula1>UnidadesList</formula1>
    </dataValidation>
    <dataValidation type="decimal" operator="greaterThan" allowBlank="1" showInputMessage="1" showErrorMessage="1" sqref="D7691">
      <formula1>0</formula1>
    </dataValidation>
    <dataValidation type="decimal" operator="greaterThan" allowBlank="1" showInputMessage="1" showErrorMessage="1" sqref="E7691">
      <formula1>0</formula1>
    </dataValidation>
    <dataValidation type="whole" operator="greaterThan" allowBlank="1" showInputMessage="1" showErrorMessage="1" sqref="A7692">
      <formula1>0</formula1>
    </dataValidation>
    <dataValidation type="list" allowBlank="1" showInputMessage="1" showErrorMessage="1" sqref="C7692">
      <formula1>UnidadesList</formula1>
    </dataValidation>
    <dataValidation type="decimal" operator="greaterThan" allowBlank="1" showInputMessage="1" showErrorMessage="1" sqref="D7692">
      <formula1>0</formula1>
    </dataValidation>
    <dataValidation type="decimal" operator="greaterThan" allowBlank="1" showInputMessage="1" showErrorMessage="1" sqref="E7692">
      <formula1>0</formula1>
    </dataValidation>
    <dataValidation type="whole" operator="greaterThan" allowBlank="1" showInputMessage="1" showErrorMessage="1" sqref="A7693">
      <formula1>0</formula1>
    </dataValidation>
    <dataValidation type="list" allowBlank="1" showInputMessage="1" showErrorMessage="1" sqref="C7693">
      <formula1>UnidadesList</formula1>
    </dataValidation>
    <dataValidation type="decimal" operator="greaterThan" allowBlank="1" showInputMessage="1" showErrorMessage="1" sqref="D7693">
      <formula1>0</formula1>
    </dataValidation>
    <dataValidation type="decimal" operator="greaterThan" allowBlank="1" showInputMessage="1" showErrorMessage="1" sqref="E7693">
      <formula1>0</formula1>
    </dataValidation>
    <dataValidation type="whole" operator="greaterThan" allowBlank="1" showInputMessage="1" showErrorMessage="1" sqref="A7694">
      <formula1>0</formula1>
    </dataValidation>
    <dataValidation type="list" allowBlank="1" showInputMessage="1" showErrorMessage="1" sqref="C7694">
      <formula1>UnidadesList</formula1>
    </dataValidation>
    <dataValidation type="decimal" operator="greaterThan" allowBlank="1" showInputMessage="1" showErrorMessage="1" sqref="D7694">
      <formula1>0</formula1>
    </dataValidation>
    <dataValidation type="decimal" operator="greaterThan" allowBlank="1" showInputMessage="1" showErrorMessage="1" sqref="E7694">
      <formula1>0</formula1>
    </dataValidation>
    <dataValidation type="whole" operator="greaterThan" allowBlank="1" showInputMessage="1" showErrorMessage="1" sqref="A7695">
      <formula1>0</formula1>
    </dataValidation>
    <dataValidation type="list" allowBlank="1" showInputMessage="1" showErrorMessage="1" sqref="C7695">
      <formula1>UnidadesList</formula1>
    </dataValidation>
    <dataValidation type="decimal" operator="greaterThan" allowBlank="1" showInputMessage="1" showErrorMessage="1" sqref="D7695">
      <formula1>0</formula1>
    </dataValidation>
    <dataValidation type="decimal" operator="greaterThan" allowBlank="1" showInputMessage="1" showErrorMessage="1" sqref="E7695">
      <formula1>0</formula1>
    </dataValidation>
    <dataValidation type="whole" operator="greaterThan" allowBlank="1" showInputMessage="1" showErrorMessage="1" sqref="A7696">
      <formula1>0</formula1>
    </dataValidation>
    <dataValidation type="list" allowBlank="1" showInputMessage="1" showErrorMessage="1" sqref="C7696">
      <formula1>UnidadesList</formula1>
    </dataValidation>
    <dataValidation type="decimal" operator="greaterThan" allowBlank="1" showInputMessage="1" showErrorMessage="1" sqref="D7696">
      <formula1>0</formula1>
    </dataValidation>
    <dataValidation type="decimal" operator="greaterThan" allowBlank="1" showInputMessage="1" showErrorMessage="1" sqref="E7696">
      <formula1>0</formula1>
    </dataValidation>
    <dataValidation type="whole" operator="greaterThan" allowBlank="1" showInputMessage="1" showErrorMessage="1" sqref="A7697">
      <formula1>0</formula1>
    </dataValidation>
    <dataValidation type="list" allowBlank="1" showInputMessage="1" showErrorMessage="1" sqref="C7697">
      <formula1>UnidadesList</formula1>
    </dataValidation>
    <dataValidation type="decimal" operator="greaterThan" allowBlank="1" showInputMessage="1" showErrorMessage="1" sqref="D7697">
      <formula1>0</formula1>
    </dataValidation>
    <dataValidation type="decimal" operator="greaterThan" allowBlank="1" showInputMessage="1" showErrorMessage="1" sqref="E7697">
      <formula1>0</formula1>
    </dataValidation>
    <dataValidation type="whole" operator="greaterThan" allowBlank="1" showInputMessage="1" showErrorMessage="1" sqref="A7698">
      <formula1>0</formula1>
    </dataValidation>
    <dataValidation type="list" allowBlank="1" showInputMessage="1" showErrorMessage="1" sqref="C7698">
      <formula1>UnidadesList</formula1>
    </dataValidation>
    <dataValidation type="decimal" operator="greaterThan" allowBlank="1" showInputMessage="1" showErrorMessage="1" sqref="D7698">
      <formula1>0</formula1>
    </dataValidation>
    <dataValidation type="decimal" operator="greaterThan" allowBlank="1" showInputMessage="1" showErrorMessage="1" sqref="E7698">
      <formula1>0</formula1>
    </dataValidation>
    <dataValidation type="whole" operator="greaterThan" allowBlank="1" showInputMessage="1" showErrorMessage="1" sqref="A7699">
      <formula1>0</formula1>
    </dataValidation>
    <dataValidation type="list" allowBlank="1" showInputMessage="1" showErrorMessage="1" sqref="C7699">
      <formula1>UnidadesList</formula1>
    </dataValidation>
    <dataValidation type="decimal" operator="greaterThan" allowBlank="1" showInputMessage="1" showErrorMessage="1" sqref="D7699">
      <formula1>0</formula1>
    </dataValidation>
    <dataValidation type="decimal" operator="greaterThan" allowBlank="1" showInputMessage="1" showErrorMessage="1" sqref="E7699">
      <formula1>0</formula1>
    </dataValidation>
    <dataValidation type="whole" operator="greaterThan" allowBlank="1" showInputMessage="1" showErrorMessage="1" sqref="A7700">
      <formula1>0</formula1>
    </dataValidation>
    <dataValidation type="list" allowBlank="1" showInputMessage="1" showErrorMessage="1" sqref="C7700">
      <formula1>UnidadesList</formula1>
    </dataValidation>
    <dataValidation type="decimal" operator="greaterThan" allowBlank="1" showInputMessage="1" showErrorMessage="1" sqref="D7700">
      <formula1>0</formula1>
    </dataValidation>
    <dataValidation type="decimal" operator="greaterThan" allowBlank="1" showInputMessage="1" showErrorMessage="1" sqref="E7700">
      <formula1>0</formula1>
    </dataValidation>
    <dataValidation type="whole" operator="greaterThan" allowBlank="1" showInputMessage="1" showErrorMessage="1" sqref="A7701">
      <formula1>0</formula1>
    </dataValidation>
    <dataValidation type="list" allowBlank="1" showInputMessage="1" showErrorMessage="1" sqref="C7701">
      <formula1>UnidadesList</formula1>
    </dataValidation>
    <dataValidation type="decimal" operator="greaterThan" allowBlank="1" showInputMessage="1" showErrorMessage="1" sqref="D7701">
      <formula1>0</formula1>
    </dataValidation>
    <dataValidation type="decimal" operator="greaterThan" allowBlank="1" showInputMessage="1" showErrorMessage="1" sqref="E7701">
      <formula1>0</formula1>
    </dataValidation>
    <dataValidation type="whole" operator="greaterThan" allowBlank="1" showInputMessage="1" showErrorMessage="1" sqref="A7702">
      <formula1>0</formula1>
    </dataValidation>
    <dataValidation type="list" allowBlank="1" showInputMessage="1" showErrorMessage="1" sqref="C7702">
      <formula1>UnidadesList</formula1>
    </dataValidation>
    <dataValidation type="decimal" operator="greaterThan" allowBlank="1" showInputMessage="1" showErrorMessage="1" sqref="D7702">
      <formula1>0</formula1>
    </dataValidation>
    <dataValidation type="decimal" operator="greaterThan" allowBlank="1" showInputMessage="1" showErrorMessage="1" sqref="E7702">
      <formula1>0</formula1>
    </dataValidation>
    <dataValidation type="whole" operator="greaterThan" allowBlank="1" showInputMessage="1" showErrorMessage="1" sqref="A7703">
      <formula1>0</formula1>
    </dataValidation>
    <dataValidation type="list" allowBlank="1" showInputMessage="1" showErrorMessage="1" sqref="C7703">
      <formula1>UnidadesList</formula1>
    </dataValidation>
    <dataValidation type="decimal" operator="greaterThan" allowBlank="1" showInputMessage="1" showErrorMessage="1" sqref="D7703">
      <formula1>0</formula1>
    </dataValidation>
    <dataValidation type="decimal" operator="greaterThan" allowBlank="1" showInputMessage="1" showErrorMessage="1" sqref="E7703">
      <formula1>0</formula1>
    </dataValidation>
    <dataValidation type="whole" operator="greaterThan" allowBlank="1" showInputMessage="1" showErrorMessage="1" sqref="A7704">
      <formula1>0</formula1>
    </dataValidation>
    <dataValidation type="list" allowBlank="1" showInputMessage="1" showErrorMessage="1" sqref="C7704">
      <formula1>UnidadesList</formula1>
    </dataValidation>
    <dataValidation type="decimal" operator="greaterThan" allowBlank="1" showInputMessage="1" showErrorMessage="1" sqref="D7704">
      <formula1>0</formula1>
    </dataValidation>
    <dataValidation type="decimal" operator="greaterThan" allowBlank="1" showInputMessage="1" showErrorMessage="1" sqref="E7704">
      <formula1>0</formula1>
    </dataValidation>
    <dataValidation type="whole" operator="greaterThan" allowBlank="1" showInputMessage="1" showErrorMessage="1" sqref="A7705">
      <formula1>0</formula1>
    </dataValidation>
    <dataValidation type="list" allowBlank="1" showInputMessage="1" showErrorMessage="1" sqref="C7705">
      <formula1>UnidadesList</formula1>
    </dataValidation>
    <dataValidation type="decimal" operator="greaterThan" allowBlank="1" showInputMessage="1" showErrorMessage="1" sqref="D7705">
      <formula1>0</formula1>
    </dataValidation>
    <dataValidation type="decimal" operator="greaterThan" allowBlank="1" showInputMessage="1" showErrorMessage="1" sqref="E7705">
      <formula1>0</formula1>
    </dataValidation>
    <dataValidation type="whole" operator="greaterThan" allowBlank="1" showInputMessage="1" showErrorMessage="1" sqref="A7706">
      <formula1>0</formula1>
    </dataValidation>
    <dataValidation type="list" allowBlank="1" showInputMessage="1" showErrorMessage="1" sqref="C7706">
      <formula1>UnidadesList</formula1>
    </dataValidation>
    <dataValidation type="decimal" operator="greaterThan" allowBlank="1" showInputMessage="1" showErrorMessage="1" sqref="D7706">
      <formula1>0</formula1>
    </dataValidation>
    <dataValidation type="decimal" operator="greaterThan" allowBlank="1" showInputMessage="1" showErrorMessage="1" sqref="E7706">
      <formula1>0</formula1>
    </dataValidation>
    <dataValidation type="whole" operator="greaterThan" allowBlank="1" showInputMessage="1" showErrorMessage="1" sqref="A7707">
      <formula1>0</formula1>
    </dataValidation>
    <dataValidation type="list" allowBlank="1" showInputMessage="1" showErrorMessage="1" sqref="C7707">
      <formula1>UnidadesList</formula1>
    </dataValidation>
    <dataValidation type="decimal" operator="greaterThan" allowBlank="1" showInputMessage="1" showErrorMessage="1" sqref="D7707">
      <formula1>0</formula1>
    </dataValidation>
    <dataValidation type="decimal" operator="greaterThan" allowBlank="1" showInputMessage="1" showErrorMessage="1" sqref="E7707">
      <formula1>0</formula1>
    </dataValidation>
    <dataValidation type="whole" operator="greaterThan" allowBlank="1" showInputMessage="1" showErrorMessage="1" sqref="A7708">
      <formula1>0</formula1>
    </dataValidation>
    <dataValidation type="list" allowBlank="1" showInputMessage="1" showErrorMessage="1" sqref="C7708">
      <formula1>UnidadesList</formula1>
    </dataValidation>
    <dataValidation type="decimal" operator="greaterThan" allowBlank="1" showInputMessage="1" showErrorMessage="1" sqref="D7708">
      <formula1>0</formula1>
    </dataValidation>
    <dataValidation type="decimal" operator="greaterThan" allowBlank="1" showInputMessage="1" showErrorMessage="1" sqref="E7708">
      <formula1>0</formula1>
    </dataValidation>
    <dataValidation type="whole" operator="greaterThan" allowBlank="1" showInputMessage="1" showErrorMessage="1" sqref="A7709">
      <formula1>0</formula1>
    </dataValidation>
    <dataValidation type="list" allowBlank="1" showInputMessage="1" showErrorMessage="1" sqref="C7709">
      <formula1>UnidadesList</formula1>
    </dataValidation>
    <dataValidation type="decimal" operator="greaterThan" allowBlank="1" showInputMessage="1" showErrorMessage="1" sqref="D7709">
      <formula1>0</formula1>
    </dataValidation>
    <dataValidation type="decimal" operator="greaterThan" allowBlank="1" showInputMessage="1" showErrorMessage="1" sqref="E7709">
      <formula1>0</formula1>
    </dataValidation>
    <dataValidation type="whole" operator="greaterThan" allowBlank="1" showInputMessage="1" showErrorMessage="1" sqref="A7710">
      <formula1>0</formula1>
    </dataValidation>
    <dataValidation type="list" allowBlank="1" showInputMessage="1" showErrorMessage="1" sqref="C7710">
      <formula1>UnidadesList</formula1>
    </dataValidation>
    <dataValidation type="decimal" operator="greaterThan" allowBlank="1" showInputMessage="1" showErrorMessage="1" sqref="D7710">
      <formula1>0</formula1>
    </dataValidation>
    <dataValidation type="decimal" operator="greaterThan" allowBlank="1" showInputMessage="1" showErrorMessage="1" sqref="E7710">
      <formula1>0</formula1>
    </dataValidation>
    <dataValidation type="whole" operator="greaterThan" allowBlank="1" showInputMessage="1" showErrorMessage="1" sqref="A7711">
      <formula1>0</formula1>
    </dataValidation>
    <dataValidation type="list" allowBlank="1" showInputMessage="1" showErrorMessage="1" sqref="C7711">
      <formula1>UnidadesList</formula1>
    </dataValidation>
    <dataValidation type="decimal" operator="greaterThan" allowBlank="1" showInputMessage="1" showErrorMessage="1" sqref="D7711">
      <formula1>0</formula1>
    </dataValidation>
    <dataValidation type="decimal" operator="greaterThan" allowBlank="1" showInputMessage="1" showErrorMessage="1" sqref="E7711">
      <formula1>0</formula1>
    </dataValidation>
    <dataValidation type="whole" operator="greaterThan" allowBlank="1" showInputMessage="1" showErrorMessage="1" sqref="A7712">
      <formula1>0</formula1>
    </dataValidation>
    <dataValidation type="list" allowBlank="1" showInputMessage="1" showErrorMessage="1" sqref="C7712">
      <formula1>UnidadesList</formula1>
    </dataValidation>
    <dataValidation type="decimal" operator="greaterThan" allowBlank="1" showInputMessage="1" showErrorMessage="1" sqref="D7712">
      <formula1>0</formula1>
    </dataValidation>
    <dataValidation type="decimal" operator="greaterThan" allowBlank="1" showInputMessage="1" showErrorMessage="1" sqref="E7712">
      <formula1>0</formula1>
    </dataValidation>
    <dataValidation type="whole" operator="greaterThan" allowBlank="1" showInputMessage="1" showErrorMessage="1" sqref="A7713">
      <formula1>0</formula1>
    </dataValidation>
    <dataValidation type="list" allowBlank="1" showInputMessage="1" showErrorMessage="1" sqref="C7713">
      <formula1>UnidadesList</formula1>
    </dataValidation>
    <dataValidation type="decimal" operator="greaterThan" allowBlank="1" showInputMessage="1" showErrorMessage="1" sqref="D7713">
      <formula1>0</formula1>
    </dataValidation>
    <dataValidation type="decimal" operator="greaterThan" allowBlank="1" showInputMessage="1" showErrorMessage="1" sqref="E7713">
      <formula1>0</formula1>
    </dataValidation>
    <dataValidation type="whole" operator="greaterThan" allowBlank="1" showInputMessage="1" showErrorMessage="1" sqref="A7714">
      <formula1>0</formula1>
    </dataValidation>
    <dataValidation type="list" allowBlank="1" showInputMessage="1" showErrorMessage="1" sqref="C7714">
      <formula1>UnidadesList</formula1>
    </dataValidation>
    <dataValidation type="decimal" operator="greaterThan" allowBlank="1" showInputMessage="1" showErrorMessage="1" sqref="D7714">
      <formula1>0</formula1>
    </dataValidation>
    <dataValidation type="decimal" operator="greaterThan" allowBlank="1" showInputMessage="1" showErrorMessage="1" sqref="E7714">
      <formula1>0</formula1>
    </dataValidation>
    <dataValidation type="whole" operator="greaterThan" allowBlank="1" showInputMessage="1" showErrorMessage="1" sqref="A7715">
      <formula1>0</formula1>
    </dataValidation>
    <dataValidation type="list" allowBlank="1" showInputMessage="1" showErrorMessage="1" sqref="C7715">
      <formula1>UnidadesList</formula1>
    </dataValidation>
    <dataValidation type="decimal" operator="greaterThan" allowBlank="1" showInputMessage="1" showErrorMessage="1" sqref="D7715">
      <formula1>0</formula1>
    </dataValidation>
    <dataValidation type="decimal" operator="greaterThan" allowBlank="1" showInputMessage="1" showErrorMessage="1" sqref="E7715">
      <formula1>0</formula1>
    </dataValidation>
    <dataValidation type="whole" operator="greaterThan" allowBlank="1" showInputMessage="1" showErrorMessage="1" sqref="A7716">
      <formula1>0</formula1>
    </dataValidation>
    <dataValidation type="list" allowBlank="1" showInputMessage="1" showErrorMessage="1" sqref="C7716">
      <formula1>UnidadesList</formula1>
    </dataValidation>
    <dataValidation type="decimal" operator="greaterThan" allowBlank="1" showInputMessage="1" showErrorMessage="1" sqref="D7716">
      <formula1>0</formula1>
    </dataValidation>
    <dataValidation type="decimal" operator="greaterThan" allowBlank="1" showInputMessage="1" showErrorMessage="1" sqref="E7716">
      <formula1>0</formula1>
    </dataValidation>
    <dataValidation type="whole" operator="greaterThan" allowBlank="1" showInputMessage="1" showErrorMessage="1" sqref="A7717">
      <formula1>0</formula1>
    </dataValidation>
    <dataValidation type="list" allowBlank="1" showInputMessage="1" showErrorMessage="1" sqref="C7717">
      <formula1>UnidadesList</formula1>
    </dataValidation>
    <dataValidation type="decimal" operator="greaterThan" allowBlank="1" showInputMessage="1" showErrorMessage="1" sqref="D7717">
      <formula1>0</formula1>
    </dataValidation>
    <dataValidation type="decimal" operator="greaterThan" allowBlank="1" showInputMessage="1" showErrorMessage="1" sqref="E7717">
      <formula1>0</formula1>
    </dataValidation>
    <dataValidation type="whole" operator="greaterThan" allowBlank="1" showInputMessage="1" showErrorMessage="1" sqref="A7718">
      <formula1>0</formula1>
    </dataValidation>
    <dataValidation type="list" allowBlank="1" showInputMessage="1" showErrorMessage="1" sqref="C7718">
      <formula1>UnidadesList</formula1>
    </dataValidation>
    <dataValidation type="decimal" operator="greaterThan" allowBlank="1" showInputMessage="1" showErrorMessage="1" sqref="D7718">
      <formula1>0</formula1>
    </dataValidation>
    <dataValidation type="decimal" operator="greaterThan" allowBlank="1" showInputMessage="1" showErrorMessage="1" sqref="E7718">
      <formula1>0</formula1>
    </dataValidation>
    <dataValidation type="whole" operator="greaterThan" allowBlank="1" showInputMessage="1" showErrorMessage="1" sqref="A7719">
      <formula1>0</formula1>
    </dataValidation>
    <dataValidation type="list" allowBlank="1" showInputMessage="1" showErrorMessage="1" sqref="C7719">
      <formula1>UnidadesList</formula1>
    </dataValidation>
    <dataValidation type="decimal" operator="greaterThan" allowBlank="1" showInputMessage="1" showErrorMessage="1" sqref="D7719">
      <formula1>0</formula1>
    </dataValidation>
    <dataValidation type="decimal" operator="greaterThan" allowBlank="1" showInputMessage="1" showErrorMessage="1" sqref="E7719">
      <formula1>0</formula1>
    </dataValidation>
    <dataValidation type="whole" operator="greaterThan" allowBlank="1" showInputMessage="1" showErrorMessage="1" sqref="A7720">
      <formula1>0</formula1>
    </dataValidation>
    <dataValidation type="list" allowBlank="1" showInputMessage="1" showErrorMessage="1" sqref="C7720">
      <formula1>UnidadesList</formula1>
    </dataValidation>
    <dataValidation type="decimal" operator="greaterThan" allowBlank="1" showInputMessage="1" showErrorMessage="1" sqref="D7720">
      <formula1>0</formula1>
    </dataValidation>
    <dataValidation type="decimal" operator="greaterThan" allowBlank="1" showInputMessage="1" showErrorMessage="1" sqref="E7720">
      <formula1>0</formula1>
    </dataValidation>
    <dataValidation type="whole" operator="greaterThan" allowBlank="1" showInputMessage="1" showErrorMessage="1" sqref="A7721">
      <formula1>0</formula1>
    </dataValidation>
    <dataValidation type="list" allowBlank="1" showInputMessage="1" showErrorMessage="1" sqref="C7721">
      <formula1>UnidadesList</formula1>
    </dataValidation>
    <dataValidation type="decimal" operator="greaterThan" allowBlank="1" showInputMessage="1" showErrorMessage="1" sqref="D7721">
      <formula1>0</formula1>
    </dataValidation>
    <dataValidation type="decimal" operator="greaterThan" allowBlank="1" showInputMessage="1" showErrorMessage="1" sqref="E7721">
      <formula1>0</formula1>
    </dataValidation>
    <dataValidation type="whole" operator="greaterThan" allowBlank="1" showInputMessage="1" showErrorMessage="1" sqref="A7722">
      <formula1>0</formula1>
    </dataValidation>
    <dataValidation type="list" allowBlank="1" showInputMessage="1" showErrorMessage="1" sqref="C7722">
      <formula1>UnidadesList</formula1>
    </dataValidation>
    <dataValidation type="decimal" operator="greaterThan" allowBlank="1" showInputMessage="1" showErrorMessage="1" sqref="D7722">
      <formula1>0</formula1>
    </dataValidation>
    <dataValidation type="decimal" operator="greaterThan" allowBlank="1" showInputMessage="1" showErrorMessage="1" sqref="E7722">
      <formula1>0</formula1>
    </dataValidation>
    <dataValidation type="whole" operator="greaterThan" allowBlank="1" showInputMessage="1" showErrorMessage="1" sqref="A7723">
      <formula1>0</formula1>
    </dataValidation>
    <dataValidation type="list" allowBlank="1" showInputMessage="1" showErrorMessage="1" sqref="C7723">
      <formula1>UnidadesList</formula1>
    </dataValidation>
    <dataValidation type="decimal" operator="greaterThan" allowBlank="1" showInputMessage="1" showErrorMessage="1" sqref="D7723">
      <formula1>0</formula1>
    </dataValidation>
    <dataValidation type="decimal" operator="greaterThan" allowBlank="1" showInputMessage="1" showErrorMessage="1" sqref="E7723">
      <formula1>0</formula1>
    </dataValidation>
    <dataValidation type="whole" operator="greaterThan" allowBlank="1" showInputMessage="1" showErrorMessage="1" sqref="A7724">
      <formula1>0</formula1>
    </dataValidation>
    <dataValidation type="list" allowBlank="1" showInputMessage="1" showErrorMessage="1" sqref="C7724">
      <formula1>UnidadesList</formula1>
    </dataValidation>
    <dataValidation type="decimal" operator="greaterThan" allowBlank="1" showInputMessage="1" showErrorMessage="1" sqref="D7724">
      <formula1>0</formula1>
    </dataValidation>
    <dataValidation type="decimal" operator="greaterThan" allowBlank="1" showInputMessage="1" showErrorMessage="1" sqref="E7724">
      <formula1>0</formula1>
    </dataValidation>
    <dataValidation type="whole" operator="greaterThan" allowBlank="1" showInputMessage="1" showErrorMessage="1" sqref="A7725">
      <formula1>0</formula1>
    </dataValidation>
    <dataValidation type="list" allowBlank="1" showInputMessage="1" showErrorMessage="1" sqref="C7725">
      <formula1>UnidadesList</formula1>
    </dataValidation>
    <dataValidation type="decimal" operator="greaterThan" allowBlank="1" showInputMessage="1" showErrorMessage="1" sqref="D7725">
      <formula1>0</formula1>
    </dataValidation>
    <dataValidation type="decimal" operator="greaterThan" allowBlank="1" showInputMessage="1" showErrorMessage="1" sqref="E7725">
      <formula1>0</formula1>
    </dataValidation>
    <dataValidation type="whole" operator="greaterThan" allowBlank="1" showInputMessage="1" showErrorMessage="1" sqref="A7726">
      <formula1>0</formula1>
    </dataValidation>
    <dataValidation type="list" allowBlank="1" showInputMessage="1" showErrorMessage="1" sqref="C7726">
      <formula1>UnidadesList</formula1>
    </dataValidation>
    <dataValidation type="decimal" operator="greaterThan" allowBlank="1" showInputMessage="1" showErrorMessage="1" sqref="D7726">
      <formula1>0</formula1>
    </dataValidation>
    <dataValidation type="decimal" operator="greaterThan" allowBlank="1" showInputMessage="1" showErrorMessage="1" sqref="E7726">
      <formula1>0</formula1>
    </dataValidation>
    <dataValidation type="whole" operator="greaterThan" allowBlank="1" showInputMessage="1" showErrorMessage="1" sqref="A7727">
      <formula1>0</formula1>
    </dataValidation>
    <dataValidation type="list" allowBlank="1" showInputMessage="1" showErrorMessage="1" sqref="C7727">
      <formula1>UnidadesList</formula1>
    </dataValidation>
    <dataValidation type="decimal" operator="greaterThan" allowBlank="1" showInputMessage="1" showErrorMessage="1" sqref="D7727">
      <formula1>0</formula1>
    </dataValidation>
    <dataValidation type="decimal" operator="greaterThan" allowBlank="1" showInputMessage="1" showErrorMessage="1" sqref="E7727">
      <formula1>0</formula1>
    </dataValidation>
    <dataValidation type="whole" operator="greaterThan" allowBlank="1" showInputMessage="1" showErrorMessage="1" sqref="A7728">
      <formula1>0</formula1>
    </dataValidation>
    <dataValidation type="list" allowBlank="1" showInputMessage="1" showErrorMessage="1" sqref="C7728">
      <formula1>UnidadesList</formula1>
    </dataValidation>
    <dataValidation type="decimal" operator="greaterThan" allowBlank="1" showInputMessage="1" showErrorMessage="1" sqref="D7728">
      <formula1>0</formula1>
    </dataValidation>
    <dataValidation type="decimal" operator="greaterThan" allowBlank="1" showInputMessage="1" showErrorMessage="1" sqref="E7728">
      <formula1>0</formula1>
    </dataValidation>
    <dataValidation type="whole" operator="greaterThan" allowBlank="1" showInputMessage="1" showErrorMessage="1" sqref="A7729">
      <formula1>0</formula1>
    </dataValidation>
    <dataValidation type="list" allowBlank="1" showInputMessage="1" showErrorMessage="1" sqref="C7729">
      <formula1>UnidadesList</formula1>
    </dataValidation>
    <dataValidation type="decimal" operator="greaterThan" allowBlank="1" showInputMessage="1" showErrorMessage="1" sqref="D7729">
      <formula1>0</formula1>
    </dataValidation>
    <dataValidation type="decimal" operator="greaterThan" allowBlank="1" showInputMessage="1" showErrorMessage="1" sqref="E7729">
      <formula1>0</formula1>
    </dataValidation>
    <dataValidation type="whole" operator="greaterThan" allowBlank="1" showInputMessage="1" showErrorMessage="1" sqref="A7730">
      <formula1>0</formula1>
    </dataValidation>
    <dataValidation type="list" allowBlank="1" showInputMessage="1" showErrorMessage="1" sqref="C7730">
      <formula1>UnidadesList</formula1>
    </dataValidation>
    <dataValidation type="decimal" operator="greaterThan" allowBlank="1" showInputMessage="1" showErrorMessage="1" sqref="D7730">
      <formula1>0</formula1>
    </dataValidation>
    <dataValidation type="decimal" operator="greaterThan" allowBlank="1" showInputMessage="1" showErrorMessage="1" sqref="E7730">
      <formula1>0</formula1>
    </dataValidation>
    <dataValidation type="whole" operator="greaterThan" allowBlank="1" showInputMessage="1" showErrorMessage="1" sqref="A7731">
      <formula1>0</formula1>
    </dataValidation>
    <dataValidation type="list" allowBlank="1" showInputMessage="1" showErrorMessage="1" sqref="C7731">
      <formula1>UnidadesList</formula1>
    </dataValidation>
    <dataValidation type="decimal" operator="greaterThan" allowBlank="1" showInputMessage="1" showErrorMessage="1" sqref="D7731">
      <formula1>0</formula1>
    </dataValidation>
    <dataValidation type="decimal" operator="greaterThan" allowBlank="1" showInputMessage="1" showErrorMessage="1" sqref="E7731">
      <formula1>0</formula1>
    </dataValidation>
    <dataValidation type="whole" operator="greaterThan" allowBlank="1" showInputMessage="1" showErrorMessage="1" sqref="A7732">
      <formula1>0</formula1>
    </dataValidation>
    <dataValidation type="list" allowBlank="1" showInputMessage="1" showErrorMessage="1" sqref="C7732">
      <formula1>UnidadesList</formula1>
    </dataValidation>
    <dataValidation type="decimal" operator="greaterThan" allowBlank="1" showInputMessage="1" showErrorMessage="1" sqref="D7732">
      <formula1>0</formula1>
    </dataValidation>
    <dataValidation type="decimal" operator="greaterThan" allowBlank="1" showInputMessage="1" showErrorMessage="1" sqref="E7732">
      <formula1>0</formula1>
    </dataValidation>
    <dataValidation type="whole" operator="greaterThan" allowBlank="1" showInputMessage="1" showErrorMessage="1" sqref="A7733">
      <formula1>0</formula1>
    </dataValidation>
    <dataValidation type="list" allowBlank="1" showInputMessage="1" showErrorMessage="1" sqref="C7733">
      <formula1>UnidadesList</formula1>
    </dataValidation>
    <dataValidation type="decimal" operator="greaterThan" allowBlank="1" showInputMessage="1" showErrorMessage="1" sqref="D7733">
      <formula1>0</formula1>
    </dataValidation>
    <dataValidation type="decimal" operator="greaterThan" allowBlank="1" showInputMessage="1" showErrorMessage="1" sqref="E7733">
      <formula1>0</formula1>
    </dataValidation>
    <dataValidation type="whole" operator="greaterThan" allowBlank="1" showInputMessage="1" showErrorMessage="1" sqref="A7734">
      <formula1>0</formula1>
    </dataValidation>
    <dataValidation type="list" allowBlank="1" showInputMessage="1" showErrorMessage="1" sqref="C7734">
      <formula1>UnidadesList</formula1>
    </dataValidation>
    <dataValidation type="decimal" operator="greaterThan" allowBlank="1" showInputMessage="1" showErrorMessage="1" sqref="D7734">
      <formula1>0</formula1>
    </dataValidation>
    <dataValidation type="decimal" operator="greaterThan" allowBlank="1" showInputMessage="1" showErrorMessage="1" sqref="E7734">
      <formula1>0</formula1>
    </dataValidation>
    <dataValidation type="whole" operator="greaterThan" allowBlank="1" showInputMessage="1" showErrorMessage="1" sqref="A7735">
      <formula1>0</formula1>
    </dataValidation>
    <dataValidation type="list" allowBlank="1" showInputMessage="1" showErrorMessage="1" sqref="C7735">
      <formula1>UnidadesList</formula1>
    </dataValidation>
    <dataValidation type="decimal" operator="greaterThan" allowBlank="1" showInputMessage="1" showErrorMessage="1" sqref="D7735">
      <formula1>0</formula1>
    </dataValidation>
    <dataValidation type="decimal" operator="greaterThan" allowBlank="1" showInputMessage="1" showErrorMessage="1" sqref="E7735">
      <formula1>0</formula1>
    </dataValidation>
    <dataValidation type="whole" operator="greaterThan" allowBlank="1" showInputMessage="1" showErrorMessage="1" sqref="A7736">
      <formula1>0</formula1>
    </dataValidation>
    <dataValidation type="list" allowBlank="1" showInputMessage="1" showErrorMessage="1" sqref="C7736">
      <formula1>UnidadesList</formula1>
    </dataValidation>
    <dataValidation type="decimal" operator="greaterThan" allowBlank="1" showInputMessage="1" showErrorMessage="1" sqref="D7736">
      <formula1>0</formula1>
    </dataValidation>
    <dataValidation type="decimal" operator="greaterThan" allowBlank="1" showInputMessage="1" showErrorMessage="1" sqref="E7736">
      <formula1>0</formula1>
    </dataValidation>
    <dataValidation type="whole" operator="greaterThan" allowBlank="1" showInputMessage="1" showErrorMessage="1" sqref="A7737">
      <formula1>0</formula1>
    </dataValidation>
    <dataValidation type="list" allowBlank="1" showInputMessage="1" showErrorMessage="1" sqref="C7737">
      <formula1>UnidadesList</formula1>
    </dataValidation>
    <dataValidation type="decimal" operator="greaterThan" allowBlank="1" showInputMessage="1" showErrorMessage="1" sqref="D7737">
      <formula1>0</formula1>
    </dataValidation>
    <dataValidation type="decimal" operator="greaterThan" allowBlank="1" showInputMessage="1" showErrorMessage="1" sqref="E7737">
      <formula1>0</formula1>
    </dataValidation>
    <dataValidation type="whole" operator="greaterThan" allowBlank="1" showInputMessage="1" showErrorMessage="1" sqref="A7738">
      <formula1>0</formula1>
    </dataValidation>
    <dataValidation type="list" allowBlank="1" showInputMessage="1" showErrorMessage="1" sqref="C7738">
      <formula1>UnidadesList</formula1>
    </dataValidation>
    <dataValidation type="decimal" operator="greaterThan" allowBlank="1" showInputMessage="1" showErrorMessage="1" sqref="D7738">
      <formula1>0</formula1>
    </dataValidation>
    <dataValidation type="decimal" operator="greaterThan" allowBlank="1" showInputMessage="1" showErrorMessage="1" sqref="E7738">
      <formula1>0</formula1>
    </dataValidation>
    <dataValidation type="whole" operator="greaterThan" allowBlank="1" showInputMessage="1" showErrorMessage="1" sqref="A7739">
      <formula1>0</formula1>
    </dataValidation>
    <dataValidation type="list" allowBlank="1" showInputMessage="1" showErrorMessage="1" sqref="C7739">
      <formula1>UnidadesList</formula1>
    </dataValidation>
    <dataValidation type="decimal" operator="greaterThan" allowBlank="1" showInputMessage="1" showErrorMessage="1" sqref="D7739">
      <formula1>0</formula1>
    </dataValidation>
    <dataValidation type="decimal" operator="greaterThan" allowBlank="1" showInputMessage="1" showErrorMessage="1" sqref="E7739">
      <formula1>0</formula1>
    </dataValidation>
    <dataValidation type="whole" operator="greaterThan" allowBlank="1" showInputMessage="1" showErrorMessage="1" sqref="A7740">
      <formula1>0</formula1>
    </dataValidation>
    <dataValidation type="list" allowBlank="1" showInputMessage="1" showErrorMessage="1" sqref="C7740">
      <formula1>UnidadesList</formula1>
    </dataValidation>
    <dataValidation type="decimal" operator="greaterThan" allowBlank="1" showInputMessage="1" showErrorMessage="1" sqref="D7740">
      <formula1>0</formula1>
    </dataValidation>
    <dataValidation type="decimal" operator="greaterThan" allowBlank="1" showInputMessage="1" showErrorMessage="1" sqref="E7740">
      <formula1>0</formula1>
    </dataValidation>
    <dataValidation type="whole" operator="greaterThan" allowBlank="1" showInputMessage="1" showErrorMessage="1" sqref="A7741">
      <formula1>0</formula1>
    </dataValidation>
    <dataValidation type="list" allowBlank="1" showInputMessage="1" showErrorMessage="1" sqref="C7741">
      <formula1>UnidadesList</formula1>
    </dataValidation>
    <dataValidation type="decimal" operator="greaterThan" allowBlank="1" showInputMessage="1" showErrorMessage="1" sqref="D7741">
      <formula1>0</formula1>
    </dataValidation>
    <dataValidation type="decimal" operator="greaterThan" allowBlank="1" showInputMessage="1" showErrorMessage="1" sqref="E7741">
      <formula1>0</formula1>
    </dataValidation>
    <dataValidation type="whole" operator="greaterThan" allowBlank="1" showInputMessage="1" showErrorMessage="1" sqref="A7742">
      <formula1>0</formula1>
    </dataValidation>
    <dataValidation type="list" allowBlank="1" showInputMessage="1" showErrorMessage="1" sqref="C7742">
      <formula1>UnidadesList</formula1>
    </dataValidation>
    <dataValidation type="decimal" operator="greaterThan" allowBlank="1" showInputMessage="1" showErrorMessage="1" sqref="D7742">
      <formula1>0</formula1>
    </dataValidation>
    <dataValidation type="decimal" operator="greaterThan" allowBlank="1" showInputMessage="1" showErrorMessage="1" sqref="E7742">
      <formula1>0</formula1>
    </dataValidation>
    <dataValidation type="whole" operator="greaterThan" allowBlank="1" showInputMessage="1" showErrorMessage="1" sqref="A7743">
      <formula1>0</formula1>
    </dataValidation>
    <dataValidation type="list" allowBlank="1" showInputMessage="1" showErrorMessage="1" sqref="C7743">
      <formula1>UnidadesList</formula1>
    </dataValidation>
    <dataValidation type="decimal" operator="greaterThan" allowBlank="1" showInputMessage="1" showErrorMessage="1" sqref="D7743">
      <formula1>0</formula1>
    </dataValidation>
    <dataValidation type="decimal" operator="greaterThan" allowBlank="1" showInputMessage="1" showErrorMessage="1" sqref="E7743">
      <formula1>0</formula1>
    </dataValidation>
    <dataValidation type="whole" operator="greaterThan" allowBlank="1" showInputMessage="1" showErrorMessage="1" sqref="A7744">
      <formula1>0</formula1>
    </dataValidation>
    <dataValidation type="list" allowBlank="1" showInputMessage="1" showErrorMessage="1" sqref="C7744">
      <formula1>UnidadesList</formula1>
    </dataValidation>
    <dataValidation type="decimal" operator="greaterThan" allowBlank="1" showInputMessage="1" showErrorMessage="1" sqref="D7744">
      <formula1>0</formula1>
    </dataValidation>
    <dataValidation type="decimal" operator="greaterThan" allowBlank="1" showInputMessage="1" showErrorMessage="1" sqref="E7744">
      <formula1>0</formula1>
    </dataValidation>
    <dataValidation type="whole" operator="greaterThan" allowBlank="1" showInputMessage="1" showErrorMessage="1" sqref="A7745">
      <formula1>0</formula1>
    </dataValidation>
    <dataValidation type="list" allowBlank="1" showInputMessage="1" showErrorMessage="1" sqref="C7745">
      <formula1>UnidadesList</formula1>
    </dataValidation>
    <dataValidation type="decimal" operator="greaterThan" allowBlank="1" showInputMessage="1" showErrorMessage="1" sqref="D7745">
      <formula1>0</formula1>
    </dataValidation>
    <dataValidation type="decimal" operator="greaterThan" allowBlank="1" showInputMessage="1" showErrorMessage="1" sqref="E7745">
      <formula1>0</formula1>
    </dataValidation>
    <dataValidation type="whole" operator="greaterThan" allowBlank="1" showInputMessage="1" showErrorMessage="1" sqref="A7746">
      <formula1>0</formula1>
    </dataValidation>
    <dataValidation type="list" allowBlank="1" showInputMessage="1" showErrorMessage="1" sqref="C7746">
      <formula1>UnidadesList</formula1>
    </dataValidation>
    <dataValidation type="decimal" operator="greaterThan" allowBlank="1" showInputMessage="1" showErrorMessage="1" sqref="D7746">
      <formula1>0</formula1>
    </dataValidation>
    <dataValidation type="decimal" operator="greaterThan" allowBlank="1" showInputMessage="1" showErrorMessage="1" sqref="E7746">
      <formula1>0</formula1>
    </dataValidation>
    <dataValidation type="whole" operator="greaterThan" allowBlank="1" showInputMessage="1" showErrorMessage="1" sqref="A7747">
      <formula1>0</formula1>
    </dataValidation>
    <dataValidation type="list" allowBlank="1" showInputMessage="1" showErrorMessage="1" sqref="C7747">
      <formula1>UnidadesList</formula1>
    </dataValidation>
    <dataValidation type="decimal" operator="greaterThan" allowBlank="1" showInputMessage="1" showErrorMessage="1" sqref="D7747">
      <formula1>0</formula1>
    </dataValidation>
    <dataValidation type="decimal" operator="greaterThan" allowBlank="1" showInputMessage="1" showErrorMessage="1" sqref="E7747">
      <formula1>0</formula1>
    </dataValidation>
    <dataValidation type="whole" operator="greaterThan" allowBlank="1" showInputMessage="1" showErrorMessage="1" sqref="A7748">
      <formula1>0</formula1>
    </dataValidation>
    <dataValidation type="list" allowBlank="1" showInputMessage="1" showErrorMessage="1" sqref="C7748">
      <formula1>UnidadesList</formula1>
    </dataValidation>
    <dataValidation type="decimal" operator="greaterThan" allowBlank="1" showInputMessage="1" showErrorMessage="1" sqref="D7748">
      <formula1>0</formula1>
    </dataValidation>
    <dataValidation type="decimal" operator="greaterThan" allowBlank="1" showInputMessage="1" showErrorMessage="1" sqref="E7748">
      <formula1>0</formula1>
    </dataValidation>
    <dataValidation type="whole" operator="greaterThan" allowBlank="1" showInputMessage="1" showErrorMessage="1" sqref="A7749">
      <formula1>0</formula1>
    </dataValidation>
    <dataValidation type="list" allowBlank="1" showInputMessage="1" showErrorMessage="1" sqref="C7749">
      <formula1>UnidadesList</formula1>
    </dataValidation>
    <dataValidation type="decimal" operator="greaterThan" allowBlank="1" showInputMessage="1" showErrorMessage="1" sqref="D7749">
      <formula1>0</formula1>
    </dataValidation>
    <dataValidation type="decimal" operator="greaterThan" allowBlank="1" showInputMessage="1" showErrorMessage="1" sqref="E7749">
      <formula1>0</formula1>
    </dataValidation>
    <dataValidation type="whole" operator="greaterThan" allowBlank="1" showInputMessage="1" showErrorMessage="1" sqref="A7750">
      <formula1>0</formula1>
    </dataValidation>
    <dataValidation type="list" allowBlank="1" showInputMessage="1" showErrorMessage="1" sqref="C7750">
      <formula1>UnidadesList</formula1>
    </dataValidation>
    <dataValidation type="decimal" operator="greaterThan" allowBlank="1" showInputMessage="1" showErrorMessage="1" sqref="D7750">
      <formula1>0</formula1>
    </dataValidation>
    <dataValidation type="decimal" operator="greaterThan" allowBlank="1" showInputMessage="1" showErrorMessage="1" sqref="E7750">
      <formula1>0</formula1>
    </dataValidation>
    <dataValidation type="whole" operator="greaterThan" allowBlank="1" showInputMessage="1" showErrorMessage="1" sqref="A7751">
      <formula1>0</formula1>
    </dataValidation>
    <dataValidation type="list" allowBlank="1" showInputMessage="1" showErrorMessage="1" sqref="C7751">
      <formula1>UnidadesList</formula1>
    </dataValidation>
    <dataValidation type="decimal" operator="greaterThan" allowBlank="1" showInputMessage="1" showErrorMessage="1" sqref="D7751">
      <formula1>0</formula1>
    </dataValidation>
    <dataValidation type="decimal" operator="greaterThan" allowBlank="1" showInputMessage="1" showErrorMessage="1" sqref="E7751">
      <formula1>0</formula1>
    </dataValidation>
    <dataValidation type="whole" operator="greaterThan" allowBlank="1" showInputMessage="1" showErrorMessage="1" sqref="A7752">
      <formula1>0</formula1>
    </dataValidation>
    <dataValidation type="list" allowBlank="1" showInputMessage="1" showErrorMessage="1" sqref="C7752">
      <formula1>UnidadesList</formula1>
    </dataValidation>
    <dataValidation type="decimal" operator="greaterThan" allowBlank="1" showInputMessage="1" showErrorMessage="1" sqref="D7752">
      <formula1>0</formula1>
    </dataValidation>
    <dataValidation type="decimal" operator="greaterThan" allowBlank="1" showInputMessage="1" showErrorMessage="1" sqref="E7752">
      <formula1>0</formula1>
    </dataValidation>
    <dataValidation type="whole" operator="greaterThan" allowBlank="1" showInputMessage="1" showErrorMessage="1" sqref="A7753">
      <formula1>0</formula1>
    </dataValidation>
    <dataValidation type="list" allowBlank="1" showInputMessage="1" showErrorMessage="1" sqref="C7753">
      <formula1>UnidadesList</formula1>
    </dataValidation>
    <dataValidation type="decimal" operator="greaterThan" allowBlank="1" showInputMessage="1" showErrorMessage="1" sqref="D7753">
      <formula1>0</formula1>
    </dataValidation>
    <dataValidation type="decimal" operator="greaterThan" allowBlank="1" showInputMessage="1" showErrorMessage="1" sqref="E7753">
      <formula1>0</formula1>
    </dataValidation>
    <dataValidation type="whole" operator="greaterThan" allowBlank="1" showInputMessage="1" showErrorMessage="1" sqref="A7754">
      <formula1>0</formula1>
    </dataValidation>
    <dataValidation type="list" allowBlank="1" showInputMessage="1" showErrorMessage="1" sqref="C7754">
      <formula1>UnidadesList</formula1>
    </dataValidation>
    <dataValidation type="decimal" operator="greaterThan" allowBlank="1" showInputMessage="1" showErrorMessage="1" sqref="D7754">
      <formula1>0</formula1>
    </dataValidation>
    <dataValidation type="decimal" operator="greaterThan" allowBlank="1" showInputMessage="1" showErrorMessage="1" sqref="E7754">
      <formula1>0</formula1>
    </dataValidation>
    <dataValidation type="whole" operator="greaterThan" allowBlank="1" showInputMessage="1" showErrorMessage="1" sqref="A7755">
      <formula1>0</formula1>
    </dataValidation>
    <dataValidation type="list" allowBlank="1" showInputMessage="1" showErrorMessage="1" sqref="C7755">
      <formula1>UnidadesList</formula1>
    </dataValidation>
    <dataValidation type="decimal" operator="greaterThan" allowBlank="1" showInputMessage="1" showErrorMessage="1" sqref="D7755">
      <formula1>0</formula1>
    </dataValidation>
    <dataValidation type="decimal" operator="greaterThan" allowBlank="1" showInputMessage="1" showErrorMessage="1" sqref="E7755">
      <formula1>0</formula1>
    </dataValidation>
    <dataValidation type="whole" operator="greaterThan" allowBlank="1" showInputMessage="1" showErrorMessage="1" sqref="A7756">
      <formula1>0</formula1>
    </dataValidation>
    <dataValidation type="list" allowBlank="1" showInputMessage="1" showErrorMessage="1" sqref="C7756">
      <formula1>UnidadesList</formula1>
    </dataValidation>
    <dataValidation type="decimal" operator="greaterThan" allowBlank="1" showInputMessage="1" showErrorMessage="1" sqref="D7756">
      <formula1>0</formula1>
    </dataValidation>
    <dataValidation type="decimal" operator="greaterThan" allowBlank="1" showInputMessage="1" showErrorMessage="1" sqref="E7756">
      <formula1>0</formula1>
    </dataValidation>
    <dataValidation type="whole" operator="greaterThan" allowBlank="1" showInputMessage="1" showErrorMessage="1" sqref="A7757">
      <formula1>0</formula1>
    </dataValidation>
    <dataValidation type="list" allowBlank="1" showInputMessage="1" showErrorMessage="1" sqref="C7757">
      <formula1>UnidadesList</formula1>
    </dataValidation>
    <dataValidation type="decimal" operator="greaterThan" allowBlank="1" showInputMessage="1" showErrorMessage="1" sqref="D7757">
      <formula1>0</formula1>
    </dataValidation>
    <dataValidation type="decimal" operator="greaterThan" allowBlank="1" showInputMessage="1" showErrorMessage="1" sqref="E7757">
      <formula1>0</formula1>
    </dataValidation>
    <dataValidation type="whole" operator="greaterThan" allowBlank="1" showInputMessage="1" showErrorMessage="1" sqref="A7758">
      <formula1>0</formula1>
    </dataValidation>
    <dataValidation type="list" allowBlank="1" showInputMessage="1" showErrorMessage="1" sqref="C7758">
      <formula1>UnidadesList</formula1>
    </dataValidation>
    <dataValidation type="decimal" operator="greaterThan" allowBlank="1" showInputMessage="1" showErrorMessage="1" sqref="D7758">
      <formula1>0</formula1>
    </dataValidation>
    <dataValidation type="decimal" operator="greaterThan" allowBlank="1" showInputMessage="1" showErrorMessage="1" sqref="E7758">
      <formula1>0</formula1>
    </dataValidation>
    <dataValidation type="whole" operator="greaterThan" allowBlank="1" showInputMessage="1" showErrorMessage="1" sqref="A7759">
      <formula1>0</formula1>
    </dataValidation>
    <dataValidation type="list" allowBlank="1" showInputMessage="1" showErrorMessage="1" sqref="C7759">
      <formula1>UnidadesList</formula1>
    </dataValidation>
    <dataValidation type="decimal" operator="greaterThan" allowBlank="1" showInputMessage="1" showErrorMessage="1" sqref="D7759">
      <formula1>0</formula1>
    </dataValidation>
    <dataValidation type="decimal" operator="greaterThan" allowBlank="1" showInputMessage="1" showErrorMessage="1" sqref="E7759">
      <formula1>0</formula1>
    </dataValidation>
    <dataValidation type="whole" operator="greaterThan" allowBlank="1" showInputMessage="1" showErrorMessage="1" sqref="A7760">
      <formula1>0</formula1>
    </dataValidation>
    <dataValidation type="list" allowBlank="1" showInputMessage="1" showErrorMessage="1" sqref="C7760">
      <formula1>UnidadesList</formula1>
    </dataValidation>
    <dataValidation type="decimal" operator="greaterThan" allowBlank="1" showInputMessage="1" showErrorMessage="1" sqref="D7760">
      <formula1>0</formula1>
    </dataValidation>
    <dataValidation type="decimal" operator="greaterThan" allowBlank="1" showInputMessage="1" showErrorMessage="1" sqref="E7760">
      <formula1>0</formula1>
    </dataValidation>
    <dataValidation type="whole" operator="greaterThan" allowBlank="1" showInputMessage="1" showErrorMessage="1" sqref="A7761">
      <formula1>0</formula1>
    </dataValidation>
    <dataValidation type="list" allowBlank="1" showInputMessage="1" showErrorMessage="1" sqref="C7761">
      <formula1>UnidadesList</formula1>
    </dataValidation>
    <dataValidation type="decimal" operator="greaterThan" allowBlank="1" showInputMessage="1" showErrorMessage="1" sqref="D7761">
      <formula1>0</formula1>
    </dataValidation>
    <dataValidation type="decimal" operator="greaterThan" allowBlank="1" showInputMessage="1" showErrorMessage="1" sqref="E7761">
      <formula1>0</formula1>
    </dataValidation>
    <dataValidation type="whole" operator="greaterThan" allowBlank="1" showInputMessage="1" showErrorMessage="1" sqref="A7762">
      <formula1>0</formula1>
    </dataValidation>
    <dataValidation type="list" allowBlank="1" showInputMessage="1" showErrorMessage="1" sqref="C7762">
      <formula1>UnidadesList</formula1>
    </dataValidation>
    <dataValidation type="decimal" operator="greaterThan" allowBlank="1" showInputMessage="1" showErrorMessage="1" sqref="D7762">
      <formula1>0</formula1>
    </dataValidation>
    <dataValidation type="decimal" operator="greaterThan" allowBlank="1" showInputMessage="1" showErrorMessage="1" sqref="E7762">
      <formula1>0</formula1>
    </dataValidation>
    <dataValidation type="whole" operator="greaterThan" allowBlank="1" showInputMessage="1" showErrorMessage="1" sqref="A7763">
      <formula1>0</formula1>
    </dataValidation>
    <dataValidation type="list" allowBlank="1" showInputMessage="1" showErrorMessage="1" sqref="C7763">
      <formula1>UnidadesList</formula1>
    </dataValidation>
    <dataValidation type="decimal" operator="greaterThan" allowBlank="1" showInputMessage="1" showErrorMessage="1" sqref="D7763">
      <formula1>0</formula1>
    </dataValidation>
    <dataValidation type="decimal" operator="greaterThan" allowBlank="1" showInputMessage="1" showErrorMessage="1" sqref="E7763">
      <formula1>0</formula1>
    </dataValidation>
    <dataValidation type="whole" operator="greaterThan" allowBlank="1" showInputMessage="1" showErrorMessage="1" sqref="A7764">
      <formula1>0</formula1>
    </dataValidation>
    <dataValidation type="list" allowBlank="1" showInputMessage="1" showErrorMessage="1" sqref="C7764">
      <formula1>UnidadesList</formula1>
    </dataValidation>
    <dataValidation type="decimal" operator="greaterThan" allowBlank="1" showInputMessage="1" showErrorMessage="1" sqref="D7764">
      <formula1>0</formula1>
    </dataValidation>
    <dataValidation type="decimal" operator="greaterThan" allowBlank="1" showInputMessage="1" showErrorMessage="1" sqref="E7764">
      <formula1>0</formula1>
    </dataValidation>
    <dataValidation type="whole" operator="greaterThan" allowBlank="1" showInputMessage="1" showErrorMessage="1" sqref="A7765">
      <formula1>0</formula1>
    </dataValidation>
    <dataValidation type="list" allowBlank="1" showInputMessage="1" showErrorMessage="1" sqref="C7765">
      <formula1>UnidadesList</formula1>
    </dataValidation>
    <dataValidation type="decimal" operator="greaterThan" allowBlank="1" showInputMessage="1" showErrorMessage="1" sqref="D7765">
      <formula1>0</formula1>
    </dataValidation>
    <dataValidation type="decimal" operator="greaterThan" allowBlank="1" showInputMessage="1" showErrorMessage="1" sqref="E7765">
      <formula1>0</formula1>
    </dataValidation>
    <dataValidation type="whole" operator="greaterThan" allowBlank="1" showInputMessage="1" showErrorMessage="1" sqref="A7766">
      <formula1>0</formula1>
    </dataValidation>
    <dataValidation type="list" allowBlank="1" showInputMessage="1" showErrorMessage="1" sqref="C7766">
      <formula1>UnidadesList</formula1>
    </dataValidation>
    <dataValidation type="decimal" operator="greaterThan" allowBlank="1" showInputMessage="1" showErrorMessage="1" sqref="D7766">
      <formula1>0</formula1>
    </dataValidation>
    <dataValidation type="decimal" operator="greaterThan" allowBlank="1" showInputMessage="1" showErrorMessage="1" sqref="E7766">
      <formula1>0</formula1>
    </dataValidation>
    <dataValidation type="whole" operator="greaterThan" allowBlank="1" showInputMessage="1" showErrorMessage="1" sqref="A7767">
      <formula1>0</formula1>
    </dataValidation>
    <dataValidation type="list" allowBlank="1" showInputMessage="1" showErrorMessage="1" sqref="C7767">
      <formula1>UnidadesList</formula1>
    </dataValidation>
    <dataValidation type="decimal" operator="greaterThan" allowBlank="1" showInputMessage="1" showErrorMessage="1" sqref="D7767">
      <formula1>0</formula1>
    </dataValidation>
    <dataValidation type="decimal" operator="greaterThan" allowBlank="1" showInputMessage="1" showErrorMessage="1" sqref="E7767">
      <formula1>0</formula1>
    </dataValidation>
    <dataValidation type="date" operator="lessThanOrEqual" allowBlank="1" showInputMessage="1" showErrorMessage="1" sqref="C7772">
      <formula1>C7774</formula1>
    </dataValidation>
    <dataValidation type="date" operator="greaterThanOrEqual" allowBlank="1" showInputMessage="1" showErrorMessage="1" sqref="C7774">
      <formula1>C7772</formula1>
    </dataValidation>
    <dataValidation type="list" allowBlank="1" showInputMessage="1" showErrorMessage="1" sqref="F777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77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77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77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778">
      <formula1>0</formula1>
    </dataValidation>
    <dataValidation type="list" allowBlank="1" showInputMessage="1" showErrorMessage="1" sqref="C7778">
      <formula1>UnidadesList</formula1>
    </dataValidation>
    <dataValidation type="decimal" operator="greaterThan" allowBlank="1" showInputMessage="1" showErrorMessage="1" sqref="D7778">
      <formula1>0</formula1>
    </dataValidation>
    <dataValidation type="decimal" operator="greaterThan" allowBlank="1" showInputMessage="1" showErrorMessage="1" sqref="E7778">
      <formula1>0</formula1>
    </dataValidation>
    <dataValidation type="whole" operator="greaterThan" allowBlank="1" showInputMessage="1" showErrorMessage="1" sqref="A7779">
      <formula1>0</formula1>
    </dataValidation>
    <dataValidation type="list" allowBlank="1" showInputMessage="1" showErrorMessage="1" sqref="C7779">
      <formula1>UnidadesList</formula1>
    </dataValidation>
    <dataValidation type="decimal" operator="greaterThan" allowBlank="1" showInputMessage="1" showErrorMessage="1" sqref="D7779">
      <formula1>0</formula1>
    </dataValidation>
    <dataValidation type="decimal" operator="greaterThan" allowBlank="1" showInputMessage="1" showErrorMessage="1" sqref="E7779">
      <formula1>0</formula1>
    </dataValidation>
    <dataValidation type="whole" operator="greaterThan" allowBlank="1" showInputMessage="1" showErrorMessage="1" sqref="A7780">
      <formula1>0</formula1>
    </dataValidation>
    <dataValidation type="list" allowBlank="1" showInputMessage="1" showErrorMessage="1" sqref="C7780">
      <formula1>UnidadesList</formula1>
    </dataValidation>
    <dataValidation type="decimal" operator="greaterThan" allowBlank="1" showInputMessage="1" showErrorMessage="1" sqref="D7780">
      <formula1>0</formula1>
    </dataValidation>
    <dataValidation type="decimal" operator="greaterThan" allowBlank="1" showInputMessage="1" showErrorMessage="1" sqref="E7780">
      <formula1>0</formula1>
    </dataValidation>
    <dataValidation type="whole" operator="greaterThan" allowBlank="1" showInputMessage="1" showErrorMessage="1" sqref="A7781">
      <formula1>0</formula1>
    </dataValidation>
    <dataValidation type="list" allowBlank="1" showInputMessage="1" showErrorMessage="1" sqref="C7781">
      <formula1>UnidadesList</formula1>
    </dataValidation>
    <dataValidation type="decimal" operator="greaterThan" allowBlank="1" showInputMessage="1" showErrorMessage="1" sqref="D7781">
      <formula1>0</formula1>
    </dataValidation>
    <dataValidation type="decimal" operator="greaterThan" allowBlank="1" showInputMessage="1" showErrorMessage="1" sqref="E7781">
      <formula1>0</formula1>
    </dataValidation>
    <dataValidation type="whole" operator="greaterThan" allowBlank="1" showInputMessage="1" showErrorMessage="1" sqref="A7782">
      <formula1>0</formula1>
    </dataValidation>
    <dataValidation type="list" allowBlank="1" showInputMessage="1" showErrorMessage="1" sqref="C7782">
      <formula1>UnidadesList</formula1>
    </dataValidation>
    <dataValidation type="decimal" operator="greaterThan" allowBlank="1" showInputMessage="1" showErrorMessage="1" sqref="D7782">
      <formula1>0</formula1>
    </dataValidation>
    <dataValidation type="decimal" operator="greaterThan" allowBlank="1" showInputMessage="1" showErrorMessage="1" sqref="E7782">
      <formula1>0</formula1>
    </dataValidation>
    <dataValidation type="whole" operator="greaterThan" allowBlank="1" showInputMessage="1" showErrorMessage="1" sqref="A7783">
      <formula1>0</formula1>
    </dataValidation>
    <dataValidation type="list" allowBlank="1" showInputMessage="1" showErrorMessage="1" sqref="C7783">
      <formula1>UnidadesList</formula1>
    </dataValidation>
    <dataValidation type="decimal" operator="greaterThan" allowBlank="1" showInputMessage="1" showErrorMessage="1" sqref="D7783">
      <formula1>0</formula1>
    </dataValidation>
    <dataValidation type="decimal" operator="greaterThan" allowBlank="1" showInputMessage="1" showErrorMessage="1" sqref="E7783">
      <formula1>0</formula1>
    </dataValidation>
    <dataValidation type="whole" operator="greaterThan" allowBlank="1" showInputMessage="1" showErrorMessage="1" sqref="A7784">
      <formula1>0</formula1>
    </dataValidation>
    <dataValidation type="list" allowBlank="1" showInputMessage="1" showErrorMessage="1" sqref="C7784">
      <formula1>UnidadesList</formula1>
    </dataValidation>
    <dataValidation type="decimal" operator="greaterThan" allowBlank="1" showInputMessage="1" showErrorMessage="1" sqref="D7784">
      <formula1>0</formula1>
    </dataValidation>
    <dataValidation type="decimal" operator="greaterThan" allowBlank="1" showInputMessage="1" showErrorMessage="1" sqref="E7784">
      <formula1>0</formula1>
    </dataValidation>
    <dataValidation type="whole" operator="greaterThan" allowBlank="1" showInputMessage="1" showErrorMessage="1" sqref="A7785">
      <formula1>0</formula1>
    </dataValidation>
    <dataValidation type="list" allowBlank="1" showInputMessage="1" showErrorMessage="1" sqref="C7785">
      <formula1>UnidadesList</formula1>
    </dataValidation>
    <dataValidation type="decimal" operator="greaterThan" allowBlank="1" showInputMessage="1" showErrorMessage="1" sqref="D7785">
      <formula1>0</formula1>
    </dataValidation>
    <dataValidation type="decimal" operator="greaterThan" allowBlank="1" showInputMessage="1" showErrorMessage="1" sqref="E7785">
      <formula1>0</formula1>
    </dataValidation>
    <dataValidation type="whole" operator="greaterThan" allowBlank="1" showInputMessage="1" showErrorMessage="1" sqref="A7786">
      <formula1>0</formula1>
    </dataValidation>
    <dataValidation type="list" allowBlank="1" showInputMessage="1" showErrorMessage="1" sqref="C7786">
      <formula1>UnidadesList</formula1>
    </dataValidation>
    <dataValidation type="decimal" operator="greaterThan" allowBlank="1" showInputMessage="1" showErrorMessage="1" sqref="D7786">
      <formula1>0</formula1>
    </dataValidation>
    <dataValidation type="decimal" operator="greaterThan" allowBlank="1" showInputMessage="1" showErrorMessage="1" sqref="E7786">
      <formula1>0</formula1>
    </dataValidation>
    <dataValidation type="whole" operator="greaterThan" allowBlank="1" showInputMessage="1" showErrorMessage="1" sqref="A7787">
      <formula1>0</formula1>
    </dataValidation>
    <dataValidation type="list" allowBlank="1" showInputMessage="1" showErrorMessage="1" sqref="C7787">
      <formula1>UnidadesList</formula1>
    </dataValidation>
    <dataValidation type="decimal" operator="greaterThan" allowBlank="1" showInputMessage="1" showErrorMessage="1" sqref="D7787">
      <formula1>0</formula1>
    </dataValidation>
    <dataValidation type="decimal" operator="greaterThan" allowBlank="1" showInputMessage="1" showErrorMessage="1" sqref="E7787">
      <formula1>0</formula1>
    </dataValidation>
    <dataValidation type="whole" operator="greaterThan" allowBlank="1" showInputMessage="1" showErrorMessage="1" sqref="A7788">
      <formula1>0</formula1>
    </dataValidation>
    <dataValidation type="list" allowBlank="1" showInputMessage="1" showErrorMessage="1" sqref="C7788">
      <formula1>UnidadesList</formula1>
    </dataValidation>
    <dataValidation type="decimal" operator="greaterThan" allowBlank="1" showInputMessage="1" showErrorMessage="1" sqref="D7788">
      <formula1>0</formula1>
    </dataValidation>
    <dataValidation type="decimal" operator="greaterThan" allowBlank="1" showInputMessage="1" showErrorMessage="1" sqref="E7788">
      <formula1>0</formula1>
    </dataValidation>
    <dataValidation type="whole" operator="greaterThan" allowBlank="1" showInputMessage="1" showErrorMessage="1" sqref="A7789">
      <formula1>0</formula1>
    </dataValidation>
    <dataValidation type="list" allowBlank="1" showInputMessage="1" showErrorMessage="1" sqref="C7789">
      <formula1>UnidadesList</formula1>
    </dataValidation>
    <dataValidation type="decimal" operator="greaterThan" allowBlank="1" showInputMessage="1" showErrorMessage="1" sqref="D7789">
      <formula1>0</formula1>
    </dataValidation>
    <dataValidation type="decimal" operator="greaterThan" allowBlank="1" showInputMessage="1" showErrorMessage="1" sqref="E7789">
      <formula1>0</formula1>
    </dataValidation>
    <dataValidation type="whole" operator="greaterThan" allowBlank="1" showInputMessage="1" showErrorMessage="1" sqref="A7790">
      <formula1>0</formula1>
    </dataValidation>
    <dataValidation type="list" allowBlank="1" showInputMessage="1" showErrorMessage="1" sqref="C7790">
      <formula1>UnidadesList</formula1>
    </dataValidation>
    <dataValidation type="decimal" operator="greaterThan" allowBlank="1" showInputMessage="1" showErrorMessage="1" sqref="D7790">
      <formula1>0</formula1>
    </dataValidation>
    <dataValidation type="decimal" operator="greaterThan" allowBlank="1" showInputMessage="1" showErrorMessage="1" sqref="E7790">
      <formula1>0</formula1>
    </dataValidation>
    <dataValidation type="whole" operator="greaterThan" allowBlank="1" showInputMessage="1" showErrorMessage="1" sqref="A7791">
      <formula1>0</formula1>
    </dataValidation>
    <dataValidation type="list" allowBlank="1" showInputMessage="1" showErrorMessage="1" sqref="C7791">
      <formula1>UnidadesList</formula1>
    </dataValidation>
    <dataValidation type="decimal" operator="greaterThan" allowBlank="1" showInputMessage="1" showErrorMessage="1" sqref="D7791">
      <formula1>0</formula1>
    </dataValidation>
    <dataValidation type="decimal" operator="greaterThan" allowBlank="1" showInputMessage="1" showErrorMessage="1" sqref="E7791">
      <formula1>0</formula1>
    </dataValidation>
    <dataValidation type="whole" operator="greaterThan" allowBlank="1" showInputMessage="1" showErrorMessage="1" sqref="A7792">
      <formula1>0</formula1>
    </dataValidation>
    <dataValidation type="list" allowBlank="1" showInputMessage="1" showErrorMessage="1" sqref="C7792">
      <formula1>UnidadesList</formula1>
    </dataValidation>
    <dataValidation type="decimal" operator="greaterThan" allowBlank="1" showInputMessage="1" showErrorMessage="1" sqref="D7792">
      <formula1>0</formula1>
    </dataValidation>
    <dataValidation type="decimal" operator="greaterThan" allowBlank="1" showInputMessage="1" showErrorMessage="1" sqref="E7792">
      <formula1>0</formula1>
    </dataValidation>
    <dataValidation type="whole" operator="greaterThan" allowBlank="1" showInputMessage="1" showErrorMessage="1" sqref="A7793">
      <formula1>0</formula1>
    </dataValidation>
    <dataValidation type="list" allowBlank="1" showInputMessage="1" showErrorMessage="1" sqref="C7793">
      <formula1>UnidadesList</formula1>
    </dataValidation>
    <dataValidation type="decimal" operator="greaterThan" allowBlank="1" showInputMessage="1" showErrorMessage="1" sqref="D7793">
      <formula1>0</formula1>
    </dataValidation>
    <dataValidation type="decimal" operator="greaterThan" allowBlank="1" showInputMessage="1" showErrorMessage="1" sqref="E7793">
      <formula1>0</formula1>
    </dataValidation>
    <dataValidation type="whole" operator="greaterThan" allowBlank="1" showInputMessage="1" showErrorMessage="1" sqref="A7794">
      <formula1>0</formula1>
    </dataValidation>
    <dataValidation type="list" allowBlank="1" showInputMessage="1" showErrorMessage="1" sqref="C7794">
      <formula1>UnidadesList</formula1>
    </dataValidation>
    <dataValidation type="decimal" operator="greaterThan" allowBlank="1" showInputMessage="1" showErrorMessage="1" sqref="D7794">
      <formula1>0</formula1>
    </dataValidation>
    <dataValidation type="decimal" operator="greaterThan" allowBlank="1" showInputMessage="1" showErrorMessage="1" sqref="E7794">
      <formula1>0</formula1>
    </dataValidation>
    <dataValidation type="whole" operator="greaterThan" allowBlank="1" showInputMessage="1" showErrorMessage="1" sqref="A7795">
      <formula1>0</formula1>
    </dataValidation>
    <dataValidation type="list" allowBlank="1" showInputMessage="1" showErrorMessage="1" sqref="C7795">
      <formula1>UnidadesList</formula1>
    </dataValidation>
    <dataValidation type="decimal" operator="greaterThan" allowBlank="1" showInputMessage="1" showErrorMessage="1" sqref="D7795">
      <formula1>0</formula1>
    </dataValidation>
    <dataValidation type="decimal" operator="greaterThan" allowBlank="1" showInputMessage="1" showErrorMessage="1" sqref="E7795">
      <formula1>0</formula1>
    </dataValidation>
    <dataValidation type="whole" operator="greaterThan" allowBlank="1" showInputMessage="1" showErrorMessage="1" sqref="A7796">
      <formula1>0</formula1>
    </dataValidation>
    <dataValidation type="list" allowBlank="1" showInputMessage="1" showErrorMessage="1" sqref="C7796">
      <formula1>UnidadesList</formula1>
    </dataValidation>
    <dataValidation type="decimal" operator="greaterThan" allowBlank="1" showInputMessage="1" showErrorMessage="1" sqref="D7796">
      <formula1>0</formula1>
    </dataValidation>
    <dataValidation type="decimal" operator="greaterThan" allowBlank="1" showInputMessage="1" showErrorMessage="1" sqref="E7796">
      <formula1>0</formula1>
    </dataValidation>
    <dataValidation type="whole" operator="greaterThan" allowBlank="1" showInputMessage="1" showErrorMessage="1" sqref="A7797">
      <formula1>0</formula1>
    </dataValidation>
    <dataValidation type="list" allowBlank="1" showInputMessage="1" showErrorMessage="1" sqref="C7797">
      <formula1>UnidadesList</formula1>
    </dataValidation>
    <dataValidation type="decimal" operator="greaterThan" allowBlank="1" showInputMessage="1" showErrorMessage="1" sqref="D7797">
      <formula1>0</formula1>
    </dataValidation>
    <dataValidation type="decimal" operator="greaterThan" allowBlank="1" showInputMessage="1" showErrorMessage="1" sqref="E7797">
      <formula1>0</formula1>
    </dataValidation>
    <dataValidation type="whole" operator="greaterThan" allowBlank="1" showInputMessage="1" showErrorMessage="1" sqref="A7798">
      <formula1>0</formula1>
    </dataValidation>
    <dataValidation type="list" allowBlank="1" showInputMessage="1" showErrorMessage="1" sqref="C7798">
      <formula1>UnidadesList</formula1>
    </dataValidation>
    <dataValidation type="decimal" operator="greaterThan" allowBlank="1" showInputMessage="1" showErrorMessage="1" sqref="D7798">
      <formula1>0</formula1>
    </dataValidation>
    <dataValidation type="decimal" operator="greaterThan" allowBlank="1" showInputMessage="1" showErrorMessage="1" sqref="E7798">
      <formula1>0</formula1>
    </dataValidation>
    <dataValidation type="whole" operator="greaterThan" allowBlank="1" showInputMessage="1" showErrorMessage="1" sqref="A7799">
      <formula1>0</formula1>
    </dataValidation>
    <dataValidation type="list" allowBlank="1" showInputMessage="1" showErrorMessage="1" sqref="C7799">
      <formula1>UnidadesList</formula1>
    </dataValidation>
    <dataValidation type="decimal" operator="greaterThan" allowBlank="1" showInputMessage="1" showErrorMessage="1" sqref="D7799">
      <formula1>0</formula1>
    </dataValidation>
    <dataValidation type="decimal" operator="greaterThan" allowBlank="1" showInputMessage="1" showErrorMessage="1" sqref="E7799">
      <formula1>0</formula1>
    </dataValidation>
    <dataValidation type="whole" operator="greaterThan" allowBlank="1" showInputMessage="1" showErrorMessage="1" sqref="A7800">
      <formula1>0</formula1>
    </dataValidation>
    <dataValidation type="list" allowBlank="1" showInputMessage="1" showErrorMessage="1" sqref="C7800">
      <formula1>UnidadesList</formula1>
    </dataValidation>
    <dataValidation type="decimal" operator="greaterThan" allowBlank="1" showInputMessage="1" showErrorMessage="1" sqref="D7800">
      <formula1>0</formula1>
    </dataValidation>
    <dataValidation type="decimal" operator="greaterThan" allowBlank="1" showInputMessage="1" showErrorMessage="1" sqref="E7800">
      <formula1>0</formula1>
    </dataValidation>
    <dataValidation type="whole" operator="greaterThan" allowBlank="1" showInputMessage="1" showErrorMessage="1" sqref="A7801">
      <formula1>0</formula1>
    </dataValidation>
    <dataValidation type="list" allowBlank="1" showInputMessage="1" showErrorMessage="1" sqref="C7801">
      <formula1>UnidadesList</formula1>
    </dataValidation>
    <dataValidation type="decimal" operator="greaterThan" allowBlank="1" showInputMessage="1" showErrorMessage="1" sqref="D7801">
      <formula1>0</formula1>
    </dataValidation>
    <dataValidation type="decimal" operator="greaterThan" allowBlank="1" showInputMessage="1" showErrorMessage="1" sqref="E7801">
      <formula1>0</formula1>
    </dataValidation>
    <dataValidation type="whole" operator="greaterThan" allowBlank="1" showInputMessage="1" showErrorMessage="1" sqref="A7802">
      <formula1>0</formula1>
    </dataValidation>
    <dataValidation type="list" allowBlank="1" showInputMessage="1" showErrorMessage="1" sqref="C7802">
      <formula1>UnidadesList</formula1>
    </dataValidation>
    <dataValidation type="decimal" operator="greaterThan" allowBlank="1" showInputMessage="1" showErrorMessage="1" sqref="D7802">
      <formula1>0</formula1>
    </dataValidation>
    <dataValidation type="decimal" operator="greaterThan" allowBlank="1" showInputMessage="1" showErrorMessage="1" sqref="E7802">
      <formula1>0</formula1>
    </dataValidation>
    <dataValidation type="whole" operator="greaterThan" allowBlank="1" showInputMessage="1" showErrorMessage="1" sqref="A7803">
      <formula1>0</formula1>
    </dataValidation>
    <dataValidation type="list" allowBlank="1" showInputMessage="1" showErrorMessage="1" sqref="C7803">
      <formula1>UnidadesList</formula1>
    </dataValidation>
    <dataValidation type="decimal" operator="greaterThan" allowBlank="1" showInputMessage="1" showErrorMessage="1" sqref="D7803">
      <formula1>0</formula1>
    </dataValidation>
    <dataValidation type="decimal" operator="greaterThan" allowBlank="1" showInputMessage="1" showErrorMessage="1" sqref="E7803">
      <formula1>0</formula1>
    </dataValidation>
    <dataValidation type="whole" operator="greaterThan" allowBlank="1" showInputMessage="1" showErrorMessage="1" sqref="A7804">
      <formula1>0</formula1>
    </dataValidation>
    <dataValidation type="list" allowBlank="1" showInputMessage="1" showErrorMessage="1" sqref="C7804">
      <formula1>UnidadesList</formula1>
    </dataValidation>
    <dataValidation type="decimal" operator="greaterThan" allowBlank="1" showInputMessage="1" showErrorMessage="1" sqref="D7804">
      <formula1>0</formula1>
    </dataValidation>
    <dataValidation type="decimal" operator="greaterThan" allowBlank="1" showInputMessage="1" showErrorMessage="1" sqref="E7804">
      <formula1>0</formula1>
    </dataValidation>
    <dataValidation type="whole" operator="greaterThan" allowBlank="1" showInputMessage="1" showErrorMessage="1" sqref="A7805">
      <formula1>0</formula1>
    </dataValidation>
    <dataValidation type="list" allowBlank="1" showInputMessage="1" showErrorMessage="1" sqref="C7805">
      <formula1>UnidadesList</formula1>
    </dataValidation>
    <dataValidation type="decimal" operator="greaterThan" allowBlank="1" showInputMessage="1" showErrorMessage="1" sqref="D7805">
      <formula1>0</formula1>
    </dataValidation>
    <dataValidation type="decimal" operator="greaterThan" allowBlank="1" showInputMessage="1" showErrorMessage="1" sqref="E7805">
      <formula1>0</formula1>
    </dataValidation>
    <dataValidation type="whole" operator="greaterThan" allowBlank="1" showInputMessage="1" showErrorMessage="1" sqref="A7806">
      <formula1>0</formula1>
    </dataValidation>
    <dataValidation type="list" allowBlank="1" showInputMessage="1" showErrorMessage="1" sqref="C7806">
      <formula1>UnidadesList</formula1>
    </dataValidation>
    <dataValidation type="decimal" operator="greaterThan" allowBlank="1" showInputMessage="1" showErrorMessage="1" sqref="D7806">
      <formula1>0</formula1>
    </dataValidation>
    <dataValidation type="decimal" operator="greaterThan" allowBlank="1" showInputMessage="1" showErrorMessage="1" sqref="E7806">
      <formula1>0</formula1>
    </dataValidation>
    <dataValidation type="whole" operator="greaterThan" allowBlank="1" showInputMessage="1" showErrorMessage="1" sqref="A7807">
      <formula1>0</formula1>
    </dataValidation>
    <dataValidation type="list" allowBlank="1" showInputMessage="1" showErrorMessage="1" sqref="C7807">
      <formula1>UnidadesList</formula1>
    </dataValidation>
    <dataValidation type="decimal" operator="greaterThan" allowBlank="1" showInputMessage="1" showErrorMessage="1" sqref="D7807">
      <formula1>0</formula1>
    </dataValidation>
    <dataValidation type="decimal" operator="greaterThan" allowBlank="1" showInputMessage="1" showErrorMessage="1" sqref="E7807">
      <formula1>0</formula1>
    </dataValidation>
    <dataValidation type="whole" operator="greaterThan" allowBlank="1" showInputMessage="1" showErrorMessage="1" sqref="A7808">
      <formula1>0</formula1>
    </dataValidation>
    <dataValidation type="list" allowBlank="1" showInputMessage="1" showErrorMessage="1" sqref="C7808">
      <formula1>UnidadesList</formula1>
    </dataValidation>
    <dataValidation type="decimal" operator="greaterThan" allowBlank="1" showInputMessage="1" showErrorMessage="1" sqref="D7808">
      <formula1>0</formula1>
    </dataValidation>
    <dataValidation type="decimal" operator="greaterThan" allowBlank="1" showInputMessage="1" showErrorMessage="1" sqref="E7808">
      <formula1>0</formula1>
    </dataValidation>
    <dataValidation type="whole" operator="greaterThan" allowBlank="1" showInputMessage="1" showErrorMessage="1" sqref="A7809">
      <formula1>0</formula1>
    </dataValidation>
    <dataValidation type="list" allowBlank="1" showInputMessage="1" showErrorMessage="1" sqref="C7809">
      <formula1>UnidadesList</formula1>
    </dataValidation>
    <dataValidation type="decimal" operator="greaterThan" allowBlank="1" showInputMessage="1" showErrorMessage="1" sqref="D7809">
      <formula1>0</formula1>
    </dataValidation>
    <dataValidation type="decimal" operator="greaterThan" allowBlank="1" showInputMessage="1" showErrorMessage="1" sqref="E7809">
      <formula1>0</formula1>
    </dataValidation>
    <dataValidation type="whole" operator="greaterThan" allowBlank="1" showInputMessage="1" showErrorMessage="1" sqref="A7810">
      <formula1>0</formula1>
    </dataValidation>
    <dataValidation type="list" allowBlank="1" showInputMessage="1" showErrorMessage="1" sqref="C7810">
      <formula1>UnidadesList</formula1>
    </dataValidation>
    <dataValidation type="decimal" operator="greaterThan" allowBlank="1" showInputMessage="1" showErrorMessage="1" sqref="D7810">
      <formula1>0</formula1>
    </dataValidation>
    <dataValidation type="decimal" operator="greaterThan" allowBlank="1" showInputMessage="1" showErrorMessage="1" sqref="E7810">
      <formula1>0</formula1>
    </dataValidation>
    <dataValidation type="whole" operator="greaterThan" allowBlank="1" showInputMessage="1" showErrorMessage="1" sqref="A7811">
      <formula1>0</formula1>
    </dataValidation>
    <dataValidation type="list" allowBlank="1" showInputMessage="1" showErrorMessage="1" sqref="C7811">
      <formula1>UnidadesList</formula1>
    </dataValidation>
    <dataValidation type="decimal" operator="greaterThan" allowBlank="1" showInputMessage="1" showErrorMessage="1" sqref="D7811">
      <formula1>0</formula1>
    </dataValidation>
    <dataValidation type="decimal" operator="greaterThan" allowBlank="1" showInputMessage="1" showErrorMessage="1" sqref="E7811">
      <formula1>0</formula1>
    </dataValidation>
    <dataValidation type="whole" operator="greaterThan" allowBlank="1" showInputMessage="1" showErrorMessage="1" sqref="A7812">
      <formula1>0</formula1>
    </dataValidation>
    <dataValidation type="list" allowBlank="1" showInputMessage="1" showErrorMessage="1" sqref="C7812">
      <formula1>UnidadesList</formula1>
    </dataValidation>
    <dataValidation type="decimal" operator="greaterThan" allowBlank="1" showInputMessage="1" showErrorMessage="1" sqref="D7812">
      <formula1>0</formula1>
    </dataValidation>
    <dataValidation type="decimal" operator="greaterThan" allowBlank="1" showInputMessage="1" showErrorMessage="1" sqref="E7812">
      <formula1>0</formula1>
    </dataValidation>
    <dataValidation type="whole" operator="greaterThan" allowBlank="1" showInputMessage="1" showErrorMessage="1" sqref="A7813">
      <formula1>0</formula1>
    </dataValidation>
    <dataValidation type="list" allowBlank="1" showInputMessage="1" showErrorMessage="1" sqref="C7813">
      <formula1>UnidadesList</formula1>
    </dataValidation>
    <dataValidation type="decimal" operator="greaterThan" allowBlank="1" showInputMessage="1" showErrorMessage="1" sqref="D7813">
      <formula1>0</formula1>
    </dataValidation>
    <dataValidation type="decimal" operator="greaterThan" allowBlank="1" showInputMessage="1" showErrorMessage="1" sqref="E7813">
      <formula1>0</formula1>
    </dataValidation>
    <dataValidation type="whole" operator="greaterThan" allowBlank="1" showInputMessage="1" showErrorMessage="1" sqref="A7814">
      <formula1>0</formula1>
    </dataValidation>
    <dataValidation type="list" allowBlank="1" showInputMessage="1" showErrorMessage="1" sqref="C7814">
      <formula1>UnidadesList</formula1>
    </dataValidation>
    <dataValidation type="decimal" operator="greaterThan" allowBlank="1" showInputMessage="1" showErrorMessage="1" sqref="D7814">
      <formula1>0</formula1>
    </dataValidation>
    <dataValidation type="decimal" operator="greaterThan" allowBlank="1" showInputMessage="1" showErrorMessage="1" sqref="E7814">
      <formula1>0</formula1>
    </dataValidation>
    <dataValidation type="whole" operator="greaterThan" allowBlank="1" showInputMessage="1" showErrorMessage="1" sqref="A7815">
      <formula1>0</formula1>
    </dataValidation>
    <dataValidation type="list" allowBlank="1" showInputMessage="1" showErrorMessage="1" sqref="C7815">
      <formula1>UnidadesList</formula1>
    </dataValidation>
    <dataValidation type="decimal" operator="greaterThan" allowBlank="1" showInputMessage="1" showErrorMessage="1" sqref="D7815">
      <formula1>0</formula1>
    </dataValidation>
    <dataValidation type="decimal" operator="greaterThan" allowBlank="1" showInputMessage="1" showErrorMessage="1" sqref="E7815">
      <formula1>0</formula1>
    </dataValidation>
    <dataValidation type="whole" operator="greaterThan" allowBlank="1" showInputMessage="1" showErrorMessage="1" sqref="A7816">
      <formula1>0</formula1>
    </dataValidation>
    <dataValidation type="list" allowBlank="1" showInputMessage="1" showErrorMessage="1" sqref="C7816">
      <formula1>UnidadesList</formula1>
    </dataValidation>
    <dataValidation type="decimal" operator="greaterThan" allowBlank="1" showInputMessage="1" showErrorMessage="1" sqref="D7816">
      <formula1>0</formula1>
    </dataValidation>
    <dataValidation type="decimal" operator="greaterThan" allowBlank="1" showInputMessage="1" showErrorMessage="1" sqref="E7816">
      <formula1>0</formula1>
    </dataValidation>
    <dataValidation type="whole" operator="greaterThan" allowBlank="1" showInputMessage="1" showErrorMessage="1" sqref="A7817">
      <formula1>0</formula1>
    </dataValidation>
    <dataValidation type="list" allowBlank="1" showInputMessage="1" showErrorMessage="1" sqref="C7817">
      <formula1>UnidadesList</formula1>
    </dataValidation>
    <dataValidation type="decimal" operator="greaterThan" allowBlank="1" showInputMessage="1" showErrorMessage="1" sqref="D7817">
      <formula1>0</formula1>
    </dataValidation>
    <dataValidation type="decimal" operator="greaterThan" allowBlank="1" showInputMessage="1" showErrorMessage="1" sqref="E7817">
      <formula1>0</formula1>
    </dataValidation>
    <dataValidation type="whole" operator="greaterThan" allowBlank="1" showInputMessage="1" showErrorMessage="1" sqref="A7818">
      <formula1>0</formula1>
    </dataValidation>
    <dataValidation type="list" allowBlank="1" showInputMessage="1" showErrorMessage="1" sqref="C7818">
      <formula1>UnidadesList</formula1>
    </dataValidation>
    <dataValidation type="decimal" operator="greaterThan" allowBlank="1" showInputMessage="1" showErrorMessage="1" sqref="D7818">
      <formula1>0</formula1>
    </dataValidation>
    <dataValidation type="decimal" operator="greaterThan" allowBlank="1" showInputMessage="1" showErrorMessage="1" sqref="E7818">
      <formula1>0</formula1>
    </dataValidation>
    <dataValidation type="whole" operator="greaterThan" allowBlank="1" showInputMessage="1" showErrorMessage="1" sqref="A7819">
      <formula1>0</formula1>
    </dataValidation>
    <dataValidation type="list" allowBlank="1" showInputMessage="1" showErrorMessage="1" sqref="C7819">
      <formula1>UnidadesList</formula1>
    </dataValidation>
    <dataValidation type="decimal" operator="greaterThan" allowBlank="1" showInputMessage="1" showErrorMessage="1" sqref="D7819">
      <formula1>0</formula1>
    </dataValidation>
    <dataValidation type="decimal" operator="greaterThan" allowBlank="1" showInputMessage="1" showErrorMessage="1" sqref="E7819">
      <formula1>0</formula1>
    </dataValidation>
    <dataValidation type="whole" operator="greaterThan" allowBlank="1" showInputMessage="1" showErrorMessage="1" sqref="A7820">
      <formula1>0</formula1>
    </dataValidation>
    <dataValidation type="list" allowBlank="1" showInputMessage="1" showErrorMessage="1" sqref="C7820">
      <formula1>UnidadesList</formula1>
    </dataValidation>
    <dataValidation type="decimal" operator="greaterThan" allowBlank="1" showInputMessage="1" showErrorMessage="1" sqref="D7820">
      <formula1>0</formula1>
    </dataValidation>
    <dataValidation type="decimal" operator="greaterThan" allowBlank="1" showInputMessage="1" showErrorMessage="1" sqref="E7820">
      <formula1>0</formula1>
    </dataValidation>
    <dataValidation type="whole" operator="greaterThan" allowBlank="1" showInputMessage="1" showErrorMessage="1" sqref="A7821">
      <formula1>0</formula1>
    </dataValidation>
    <dataValidation type="list" allowBlank="1" showInputMessage="1" showErrorMessage="1" sqref="C7821">
      <formula1>UnidadesList</formula1>
    </dataValidation>
    <dataValidation type="decimal" operator="greaterThan" allowBlank="1" showInputMessage="1" showErrorMessage="1" sqref="D7821">
      <formula1>0</formula1>
    </dataValidation>
    <dataValidation type="decimal" operator="greaterThan" allowBlank="1" showInputMessage="1" showErrorMessage="1" sqref="E7821">
      <formula1>0</formula1>
    </dataValidation>
    <dataValidation type="whole" operator="greaterThan" allowBlank="1" showInputMessage="1" showErrorMessage="1" sqref="A7822">
      <formula1>0</formula1>
    </dataValidation>
    <dataValidation type="list" allowBlank="1" showInputMessage="1" showErrorMessage="1" sqref="C7822">
      <formula1>UnidadesList</formula1>
    </dataValidation>
    <dataValidation type="decimal" operator="greaterThan" allowBlank="1" showInputMessage="1" showErrorMessage="1" sqref="D7822">
      <formula1>0</formula1>
    </dataValidation>
    <dataValidation type="decimal" operator="greaterThan" allowBlank="1" showInputMessage="1" showErrorMessage="1" sqref="E7822">
      <formula1>0</formula1>
    </dataValidation>
    <dataValidation type="whole" operator="greaterThan" allowBlank="1" showInputMessage="1" showErrorMessage="1" sqref="A7823">
      <formula1>0</formula1>
    </dataValidation>
    <dataValidation type="list" allowBlank="1" showInputMessage="1" showErrorMessage="1" sqref="C7823">
      <formula1>UnidadesList</formula1>
    </dataValidation>
    <dataValidation type="decimal" operator="greaterThan" allowBlank="1" showInputMessage="1" showErrorMessage="1" sqref="D7823">
      <formula1>0</formula1>
    </dataValidation>
    <dataValidation type="decimal" operator="greaterThan" allowBlank="1" showInputMessage="1" showErrorMessage="1" sqref="E7823">
      <formula1>0</formula1>
    </dataValidation>
    <dataValidation type="whole" operator="greaterThan" allowBlank="1" showInputMessage="1" showErrorMessage="1" sqref="A7824">
      <formula1>0</formula1>
    </dataValidation>
    <dataValidation type="list" allowBlank="1" showInputMessage="1" showErrorMessage="1" sqref="C7824">
      <formula1>UnidadesList</formula1>
    </dataValidation>
    <dataValidation type="decimal" operator="greaterThan" allowBlank="1" showInputMessage="1" showErrorMessage="1" sqref="D7824">
      <formula1>0</formula1>
    </dataValidation>
    <dataValidation type="decimal" operator="greaterThan" allowBlank="1" showInputMessage="1" showErrorMessage="1" sqref="E7824">
      <formula1>0</formula1>
    </dataValidation>
    <dataValidation type="whole" operator="greaterThan" allowBlank="1" showInputMessage="1" showErrorMessage="1" sqref="A7825">
      <formula1>0</formula1>
    </dataValidation>
    <dataValidation type="list" allowBlank="1" showInputMessage="1" showErrorMessage="1" sqref="C7825">
      <formula1>UnidadesList</formula1>
    </dataValidation>
    <dataValidation type="decimal" operator="greaterThan" allowBlank="1" showInputMessage="1" showErrorMessage="1" sqref="D7825">
      <formula1>0</formula1>
    </dataValidation>
    <dataValidation type="decimal" operator="greaterThan" allowBlank="1" showInputMessage="1" showErrorMessage="1" sqref="E7825">
      <formula1>0</formula1>
    </dataValidation>
    <dataValidation type="whole" operator="greaterThan" allowBlank="1" showInputMessage="1" showErrorMessage="1" sqref="A7826">
      <formula1>0</formula1>
    </dataValidation>
    <dataValidation type="list" allowBlank="1" showInputMessage="1" showErrorMessage="1" sqref="C7826">
      <formula1>UnidadesList</formula1>
    </dataValidation>
    <dataValidation type="decimal" operator="greaterThan" allowBlank="1" showInputMessage="1" showErrorMessage="1" sqref="D7826">
      <formula1>0</formula1>
    </dataValidation>
    <dataValidation type="decimal" operator="greaterThan" allowBlank="1" showInputMessage="1" showErrorMessage="1" sqref="E7826">
      <formula1>0</formula1>
    </dataValidation>
    <dataValidation type="whole" operator="greaterThan" allowBlank="1" showInputMessage="1" showErrorMessage="1" sqref="A7827">
      <formula1>0</formula1>
    </dataValidation>
    <dataValidation type="list" allowBlank="1" showInputMessage="1" showErrorMessage="1" sqref="C7827">
      <formula1>UnidadesList</formula1>
    </dataValidation>
    <dataValidation type="decimal" operator="greaterThan" allowBlank="1" showInputMessage="1" showErrorMessage="1" sqref="D7827">
      <formula1>0</formula1>
    </dataValidation>
    <dataValidation type="decimal" operator="greaterThan" allowBlank="1" showInputMessage="1" showErrorMessage="1" sqref="E7827">
      <formula1>0</formula1>
    </dataValidation>
    <dataValidation type="whole" operator="greaterThan" allowBlank="1" showInputMessage="1" showErrorMessage="1" sqref="A7828">
      <formula1>0</formula1>
    </dataValidation>
    <dataValidation type="list" allowBlank="1" showInputMessage="1" showErrorMessage="1" sqref="C7828">
      <formula1>UnidadesList</formula1>
    </dataValidation>
    <dataValidation type="decimal" operator="greaterThan" allowBlank="1" showInputMessage="1" showErrorMessage="1" sqref="D7828">
      <formula1>0</formula1>
    </dataValidation>
    <dataValidation type="decimal" operator="greaterThan" allowBlank="1" showInputMessage="1" showErrorMessage="1" sqref="E7828">
      <formula1>0</formula1>
    </dataValidation>
    <dataValidation type="whole" operator="greaterThan" allowBlank="1" showInputMessage="1" showErrorMessage="1" sqref="A7829">
      <formula1>0</formula1>
    </dataValidation>
    <dataValidation type="list" allowBlank="1" showInputMessage="1" showErrorMessage="1" sqref="C7829">
      <formula1>UnidadesList</formula1>
    </dataValidation>
    <dataValidation type="decimal" operator="greaterThan" allowBlank="1" showInputMessage="1" showErrorMessage="1" sqref="D7829">
      <formula1>0</formula1>
    </dataValidation>
    <dataValidation type="decimal" operator="greaterThan" allowBlank="1" showInputMessage="1" showErrorMessage="1" sqref="E7829">
      <formula1>0</formula1>
    </dataValidation>
    <dataValidation type="whole" operator="greaterThan" allowBlank="1" showInputMessage="1" showErrorMessage="1" sqref="A7830">
      <formula1>0</formula1>
    </dataValidation>
    <dataValidation type="list" allowBlank="1" showInputMessage="1" showErrorMessage="1" sqref="C7830">
      <formula1>UnidadesList</formula1>
    </dataValidation>
    <dataValidation type="decimal" operator="greaterThan" allowBlank="1" showInputMessage="1" showErrorMessage="1" sqref="D7830">
      <formula1>0</formula1>
    </dataValidation>
    <dataValidation type="decimal" operator="greaterThan" allowBlank="1" showInputMessage="1" showErrorMessage="1" sqref="E7830">
      <formula1>0</formula1>
    </dataValidation>
    <dataValidation type="whole" operator="greaterThan" allowBlank="1" showInputMessage="1" showErrorMessage="1" sqref="A7831">
      <formula1>0</formula1>
    </dataValidation>
    <dataValidation type="list" allowBlank="1" showInputMessage="1" showErrorMessage="1" sqref="C7831">
      <formula1>UnidadesList</formula1>
    </dataValidation>
    <dataValidation type="decimal" operator="greaterThan" allowBlank="1" showInputMessage="1" showErrorMessage="1" sqref="D7831">
      <formula1>0</formula1>
    </dataValidation>
    <dataValidation type="decimal" operator="greaterThan" allowBlank="1" showInputMessage="1" showErrorMessage="1" sqref="E7831">
      <formula1>0</formula1>
    </dataValidation>
    <dataValidation type="whole" operator="greaterThan" allowBlank="1" showInputMessage="1" showErrorMessage="1" sqref="A7832">
      <formula1>0</formula1>
    </dataValidation>
    <dataValidation type="list" allowBlank="1" showInputMessage="1" showErrorMessage="1" sqref="C7832">
      <formula1>UnidadesList</formula1>
    </dataValidation>
    <dataValidation type="decimal" operator="greaterThan" allowBlank="1" showInputMessage="1" showErrorMessage="1" sqref="D7832">
      <formula1>0</formula1>
    </dataValidation>
    <dataValidation type="decimal" operator="greaterThan" allowBlank="1" showInputMessage="1" showErrorMessage="1" sqref="E7832">
      <formula1>0</formula1>
    </dataValidation>
    <dataValidation type="whole" operator="greaterThan" allowBlank="1" showInputMessage="1" showErrorMessage="1" sqref="A7833">
      <formula1>0</formula1>
    </dataValidation>
    <dataValidation type="list" allowBlank="1" showInputMessage="1" showErrorMessage="1" sqref="C7833">
      <formula1>UnidadesList</formula1>
    </dataValidation>
    <dataValidation type="decimal" operator="greaterThan" allowBlank="1" showInputMessage="1" showErrorMessage="1" sqref="D7833">
      <formula1>0</formula1>
    </dataValidation>
    <dataValidation type="decimal" operator="greaterThan" allowBlank="1" showInputMessage="1" showErrorMessage="1" sqref="E7833">
      <formula1>0</formula1>
    </dataValidation>
    <dataValidation type="whole" operator="greaterThan" allowBlank="1" showInputMessage="1" showErrorMessage="1" sqref="A7834">
      <formula1>0</formula1>
    </dataValidation>
    <dataValidation type="list" allowBlank="1" showInputMessage="1" showErrorMessage="1" sqref="C7834">
      <formula1>UnidadesList</formula1>
    </dataValidation>
    <dataValidation type="decimal" operator="greaterThan" allowBlank="1" showInputMessage="1" showErrorMessage="1" sqref="D7834">
      <formula1>0</formula1>
    </dataValidation>
    <dataValidation type="decimal" operator="greaterThan" allowBlank="1" showInputMessage="1" showErrorMessage="1" sqref="E7834">
      <formula1>0</formula1>
    </dataValidation>
    <dataValidation type="whole" operator="greaterThan" allowBlank="1" showInputMessage="1" showErrorMessage="1" sqref="A7835">
      <formula1>0</formula1>
    </dataValidation>
    <dataValidation type="list" allowBlank="1" showInputMessage="1" showErrorMessage="1" sqref="C7835">
      <formula1>UnidadesList</formula1>
    </dataValidation>
    <dataValidation type="decimal" operator="greaterThan" allowBlank="1" showInputMessage="1" showErrorMessage="1" sqref="D7835">
      <formula1>0</formula1>
    </dataValidation>
    <dataValidation type="decimal" operator="greaterThan" allowBlank="1" showInputMessage="1" showErrorMessage="1" sqref="E7835">
      <formula1>0</formula1>
    </dataValidation>
    <dataValidation type="whole" operator="greaterThan" allowBlank="1" showInputMessage="1" showErrorMessage="1" sqref="A7836">
      <formula1>0</formula1>
    </dataValidation>
    <dataValidation type="list" allowBlank="1" showInputMessage="1" showErrorMessage="1" sqref="C7836">
      <formula1>UnidadesList</formula1>
    </dataValidation>
    <dataValidation type="decimal" operator="greaterThan" allowBlank="1" showInputMessage="1" showErrorMessage="1" sqref="D7836">
      <formula1>0</formula1>
    </dataValidation>
    <dataValidation type="decimal" operator="greaterThan" allowBlank="1" showInputMessage="1" showErrorMessage="1" sqref="E7836">
      <formula1>0</formula1>
    </dataValidation>
    <dataValidation type="whole" operator="greaterThan" allowBlank="1" showInputMessage="1" showErrorMessage="1" sqref="A7837">
      <formula1>0</formula1>
    </dataValidation>
    <dataValidation type="list" allowBlank="1" showInputMessage="1" showErrorMessage="1" sqref="C7837">
      <formula1>UnidadesList</formula1>
    </dataValidation>
    <dataValidation type="decimal" operator="greaterThan" allowBlank="1" showInputMessage="1" showErrorMessage="1" sqref="D7837">
      <formula1>0</formula1>
    </dataValidation>
    <dataValidation type="decimal" operator="greaterThan" allowBlank="1" showInputMessage="1" showErrorMessage="1" sqref="E7837">
      <formula1>0</formula1>
    </dataValidation>
    <dataValidation type="whole" operator="greaterThan" allowBlank="1" showInputMessage="1" showErrorMessage="1" sqref="A7838">
      <formula1>0</formula1>
    </dataValidation>
    <dataValidation type="list" allowBlank="1" showInputMessage="1" showErrorMessage="1" sqref="C7838">
      <formula1>UnidadesList</formula1>
    </dataValidation>
    <dataValidation type="decimal" operator="greaterThan" allowBlank="1" showInputMessage="1" showErrorMessage="1" sqref="D7838">
      <formula1>0</formula1>
    </dataValidation>
    <dataValidation type="decimal" operator="greaterThan" allowBlank="1" showInputMessage="1" showErrorMessage="1" sqref="E7838">
      <formula1>0</formula1>
    </dataValidation>
    <dataValidation type="whole" operator="greaterThan" allowBlank="1" showInputMessage="1" showErrorMessage="1" sqref="A7839">
      <formula1>0</formula1>
    </dataValidation>
    <dataValidation type="list" allowBlank="1" showInputMessage="1" showErrorMessage="1" sqref="C7839">
      <formula1>UnidadesList</formula1>
    </dataValidation>
    <dataValidation type="decimal" operator="greaterThan" allowBlank="1" showInputMessage="1" showErrorMessage="1" sqref="D7839">
      <formula1>0</formula1>
    </dataValidation>
    <dataValidation type="decimal" operator="greaterThan" allowBlank="1" showInputMessage="1" showErrorMessage="1" sqref="E7839">
      <formula1>0</formula1>
    </dataValidation>
    <dataValidation type="whole" operator="greaterThan" allowBlank="1" showInputMessage="1" showErrorMessage="1" sqref="A7840">
      <formula1>0</formula1>
    </dataValidation>
    <dataValidation type="list" allowBlank="1" showInputMessage="1" showErrorMessage="1" sqref="C7840">
      <formula1>UnidadesList</formula1>
    </dataValidation>
    <dataValidation type="decimal" operator="greaterThan" allowBlank="1" showInputMessage="1" showErrorMessage="1" sqref="D7840">
      <formula1>0</formula1>
    </dataValidation>
    <dataValidation type="decimal" operator="greaterThan" allowBlank="1" showInputMessage="1" showErrorMessage="1" sqref="E7840">
      <formula1>0</formula1>
    </dataValidation>
    <dataValidation type="whole" operator="greaterThan" allowBlank="1" showInputMessage="1" showErrorMessage="1" sqref="A7841">
      <formula1>0</formula1>
    </dataValidation>
    <dataValidation type="list" allowBlank="1" showInputMessage="1" showErrorMessage="1" sqref="C7841">
      <formula1>UnidadesList</formula1>
    </dataValidation>
    <dataValidation type="decimal" operator="greaterThan" allowBlank="1" showInputMessage="1" showErrorMessage="1" sqref="D7841">
      <formula1>0</formula1>
    </dataValidation>
    <dataValidation type="decimal" operator="greaterThan" allowBlank="1" showInputMessage="1" showErrorMessage="1" sqref="E7841">
      <formula1>0</formula1>
    </dataValidation>
    <dataValidation type="whole" operator="greaterThan" allowBlank="1" showInputMessage="1" showErrorMessage="1" sqref="A7842">
      <formula1>0</formula1>
    </dataValidation>
    <dataValidation type="list" allowBlank="1" showInputMessage="1" showErrorMessage="1" sqref="C7842">
      <formula1>UnidadesList</formula1>
    </dataValidation>
    <dataValidation type="decimal" operator="greaterThan" allowBlank="1" showInputMessage="1" showErrorMessage="1" sqref="D7842">
      <formula1>0</formula1>
    </dataValidation>
    <dataValidation type="decimal" operator="greaterThan" allowBlank="1" showInputMessage="1" showErrorMessage="1" sqref="E7842">
      <formula1>0</formula1>
    </dataValidation>
    <dataValidation type="whole" operator="greaterThan" allowBlank="1" showInputMessage="1" showErrorMessage="1" sqref="A7843">
      <formula1>0</formula1>
    </dataValidation>
    <dataValidation type="list" allowBlank="1" showInputMessage="1" showErrorMessage="1" sqref="C7843">
      <formula1>UnidadesList</formula1>
    </dataValidation>
    <dataValidation type="decimal" operator="greaterThan" allowBlank="1" showInputMessage="1" showErrorMessage="1" sqref="D7843">
      <formula1>0</formula1>
    </dataValidation>
    <dataValidation type="decimal" operator="greaterThan" allowBlank="1" showInputMessage="1" showErrorMessage="1" sqref="E7843">
      <formula1>0</formula1>
    </dataValidation>
    <dataValidation type="whole" operator="greaterThan" allowBlank="1" showInputMessage="1" showErrorMessage="1" sqref="A7844">
      <formula1>0</formula1>
    </dataValidation>
    <dataValidation type="list" allowBlank="1" showInputMessage="1" showErrorMessage="1" sqref="C7844">
      <formula1>UnidadesList</formula1>
    </dataValidation>
    <dataValidation type="decimal" operator="greaterThan" allowBlank="1" showInputMessage="1" showErrorMessage="1" sqref="D7844">
      <formula1>0</formula1>
    </dataValidation>
    <dataValidation type="decimal" operator="greaterThan" allowBlank="1" showInputMessage="1" showErrorMessage="1" sqref="E7844">
      <formula1>0</formula1>
    </dataValidation>
    <dataValidation type="whole" operator="greaterThan" allowBlank="1" showInputMessage="1" showErrorMessage="1" sqref="A7845">
      <formula1>0</formula1>
    </dataValidation>
    <dataValidation type="list" allowBlank="1" showInputMessage="1" showErrorMessage="1" sqref="C7845">
      <formula1>UnidadesList</formula1>
    </dataValidation>
    <dataValidation type="decimal" operator="greaterThan" allowBlank="1" showInputMessage="1" showErrorMessage="1" sqref="D7845">
      <formula1>0</formula1>
    </dataValidation>
    <dataValidation type="decimal" operator="greaterThan" allowBlank="1" showInputMessage="1" showErrorMessage="1" sqref="E7845">
      <formula1>0</formula1>
    </dataValidation>
    <dataValidation type="whole" operator="greaterThan" allowBlank="1" showInputMessage="1" showErrorMessage="1" sqref="A7846">
      <formula1>0</formula1>
    </dataValidation>
    <dataValidation type="list" allowBlank="1" showInputMessage="1" showErrorMessage="1" sqref="C7846">
      <formula1>UnidadesList</formula1>
    </dataValidation>
    <dataValidation type="decimal" operator="greaterThan" allowBlank="1" showInputMessage="1" showErrorMessage="1" sqref="D7846">
      <formula1>0</formula1>
    </dataValidation>
    <dataValidation type="decimal" operator="greaterThan" allowBlank="1" showInputMessage="1" showErrorMessage="1" sqref="E7846">
      <formula1>0</formula1>
    </dataValidation>
    <dataValidation type="whole" operator="greaterThan" allowBlank="1" showInputMessage="1" showErrorMessage="1" sqref="A7847">
      <formula1>0</formula1>
    </dataValidation>
    <dataValidation type="list" allowBlank="1" showInputMessage="1" showErrorMessage="1" sqref="C7847">
      <formula1>UnidadesList</formula1>
    </dataValidation>
    <dataValidation type="decimal" operator="greaterThan" allowBlank="1" showInputMessage="1" showErrorMessage="1" sqref="D7847">
      <formula1>0</formula1>
    </dataValidation>
    <dataValidation type="decimal" operator="greaterThan" allowBlank="1" showInputMessage="1" showErrorMessage="1" sqref="E7847">
      <formula1>0</formula1>
    </dataValidation>
    <dataValidation type="whole" operator="greaterThan" allowBlank="1" showInputMessage="1" showErrorMessage="1" sqref="A7848">
      <formula1>0</formula1>
    </dataValidation>
    <dataValidation type="list" allowBlank="1" showInputMessage="1" showErrorMessage="1" sqref="C7848">
      <formula1>UnidadesList</formula1>
    </dataValidation>
    <dataValidation type="decimal" operator="greaterThan" allowBlank="1" showInputMessage="1" showErrorMessage="1" sqref="D7848">
      <formula1>0</formula1>
    </dataValidation>
    <dataValidation type="decimal" operator="greaterThan" allowBlank="1" showInputMessage="1" showErrorMessage="1" sqref="E7848">
      <formula1>0</formula1>
    </dataValidation>
    <dataValidation type="whole" operator="greaterThan" allowBlank="1" showInputMessage="1" showErrorMessage="1" sqref="A7849">
      <formula1>0</formula1>
    </dataValidation>
    <dataValidation type="list" allowBlank="1" showInputMessage="1" showErrorMessage="1" sqref="C7849">
      <formula1>UnidadesList</formula1>
    </dataValidation>
    <dataValidation type="decimal" operator="greaterThan" allowBlank="1" showInputMessage="1" showErrorMessage="1" sqref="D7849">
      <formula1>0</formula1>
    </dataValidation>
    <dataValidation type="decimal" operator="greaterThan" allowBlank="1" showInputMessage="1" showErrorMessage="1" sqref="E7849">
      <formula1>0</formula1>
    </dataValidation>
    <dataValidation type="whole" operator="greaterThan" allowBlank="1" showInputMessage="1" showErrorMessage="1" sqref="A7850">
      <formula1>0</formula1>
    </dataValidation>
    <dataValidation type="list" allowBlank="1" showInputMessage="1" showErrorMessage="1" sqref="C7850">
      <formula1>UnidadesList</formula1>
    </dataValidation>
    <dataValidation type="decimal" operator="greaterThan" allowBlank="1" showInputMessage="1" showErrorMessage="1" sqref="D7850">
      <formula1>0</formula1>
    </dataValidation>
    <dataValidation type="decimal" operator="greaterThan" allowBlank="1" showInputMessage="1" showErrorMessage="1" sqref="E7850">
      <formula1>0</formula1>
    </dataValidation>
    <dataValidation type="whole" operator="greaterThan" allowBlank="1" showInputMessage="1" showErrorMessage="1" sqref="A7851">
      <formula1>0</formula1>
    </dataValidation>
    <dataValidation type="list" allowBlank="1" showInputMessage="1" showErrorMessage="1" sqref="C7851">
      <formula1>UnidadesList</formula1>
    </dataValidation>
    <dataValidation type="decimal" operator="greaterThan" allowBlank="1" showInputMessage="1" showErrorMessage="1" sqref="D7851">
      <formula1>0</formula1>
    </dataValidation>
    <dataValidation type="decimal" operator="greaterThan" allowBlank="1" showInputMessage="1" showErrorMessage="1" sqref="E7851">
      <formula1>0</formula1>
    </dataValidation>
    <dataValidation type="whole" operator="greaterThan" allowBlank="1" showInputMessage="1" showErrorMessage="1" sqref="A7852">
      <formula1>0</formula1>
    </dataValidation>
    <dataValidation type="list" allowBlank="1" showInputMessage="1" showErrorMessage="1" sqref="C7852">
      <formula1>UnidadesList</formula1>
    </dataValidation>
    <dataValidation type="decimal" operator="greaterThan" allowBlank="1" showInputMessage="1" showErrorMessage="1" sqref="D7852">
      <formula1>0</formula1>
    </dataValidation>
    <dataValidation type="decimal" operator="greaterThan" allowBlank="1" showInputMessage="1" showErrorMessage="1" sqref="E7852">
      <formula1>0</formula1>
    </dataValidation>
    <dataValidation type="whole" operator="greaterThan" allowBlank="1" showInputMessage="1" showErrorMessage="1" sqref="A7853">
      <formula1>0</formula1>
    </dataValidation>
    <dataValidation type="list" allowBlank="1" showInputMessage="1" showErrorMessage="1" sqref="C7853">
      <formula1>UnidadesList</formula1>
    </dataValidation>
    <dataValidation type="decimal" operator="greaterThan" allowBlank="1" showInputMessage="1" showErrorMessage="1" sqref="D7853">
      <formula1>0</formula1>
    </dataValidation>
    <dataValidation type="decimal" operator="greaterThan" allowBlank="1" showInputMessage="1" showErrorMessage="1" sqref="E7853">
      <formula1>0</formula1>
    </dataValidation>
    <dataValidation type="whole" operator="greaterThan" allowBlank="1" showInputMessage="1" showErrorMessage="1" sqref="A7854">
      <formula1>0</formula1>
    </dataValidation>
    <dataValidation type="list" allowBlank="1" showInputMessage="1" showErrorMessage="1" sqref="C7854">
      <formula1>UnidadesList</formula1>
    </dataValidation>
    <dataValidation type="decimal" operator="greaterThan" allowBlank="1" showInputMessage="1" showErrorMessage="1" sqref="D7854">
      <formula1>0</formula1>
    </dataValidation>
    <dataValidation type="decimal" operator="greaterThan" allowBlank="1" showInputMessage="1" showErrorMessage="1" sqref="E7854">
      <formula1>0</formula1>
    </dataValidation>
    <dataValidation type="whole" operator="greaterThan" allowBlank="1" showInputMessage="1" showErrorMessage="1" sqref="A7855">
      <formula1>0</formula1>
    </dataValidation>
    <dataValidation type="list" allowBlank="1" showInputMessage="1" showErrorMessage="1" sqref="C7855">
      <formula1>UnidadesList</formula1>
    </dataValidation>
    <dataValidation type="decimal" operator="greaterThan" allowBlank="1" showInputMessage="1" showErrorMessage="1" sqref="D7855">
      <formula1>0</formula1>
    </dataValidation>
    <dataValidation type="decimal" operator="greaterThan" allowBlank="1" showInputMessage="1" showErrorMessage="1" sqref="E7855">
      <formula1>0</formula1>
    </dataValidation>
    <dataValidation type="whole" operator="greaterThan" allowBlank="1" showInputMessage="1" showErrorMessage="1" sqref="A7856">
      <formula1>0</formula1>
    </dataValidation>
    <dataValidation type="list" allowBlank="1" showInputMessage="1" showErrorMessage="1" sqref="C7856">
      <formula1>UnidadesList</formula1>
    </dataValidation>
    <dataValidation type="decimal" operator="greaterThan" allowBlank="1" showInputMessage="1" showErrorMessage="1" sqref="D7856">
      <formula1>0</formula1>
    </dataValidation>
    <dataValidation type="decimal" operator="greaterThan" allowBlank="1" showInputMessage="1" showErrorMessage="1" sqref="E7856">
      <formula1>0</formula1>
    </dataValidation>
    <dataValidation type="whole" operator="greaterThan" allowBlank="1" showInputMessage="1" showErrorMessage="1" sqref="A7857">
      <formula1>0</formula1>
    </dataValidation>
    <dataValidation type="list" allowBlank="1" showInputMessage="1" showErrorMessage="1" sqref="C7857">
      <formula1>UnidadesList</formula1>
    </dataValidation>
    <dataValidation type="decimal" operator="greaterThan" allowBlank="1" showInputMessage="1" showErrorMessage="1" sqref="D7857">
      <formula1>0</formula1>
    </dataValidation>
    <dataValidation type="decimal" operator="greaterThan" allowBlank="1" showInputMessage="1" showErrorMessage="1" sqref="E7857">
      <formula1>0</formula1>
    </dataValidation>
    <dataValidation type="whole" operator="greaterThan" allowBlank="1" showInputMessage="1" showErrorMessage="1" sqref="A7858">
      <formula1>0</formula1>
    </dataValidation>
    <dataValidation type="list" allowBlank="1" showInputMessage="1" showErrorMessage="1" sqref="C7858">
      <formula1>UnidadesList</formula1>
    </dataValidation>
    <dataValidation type="decimal" operator="greaterThan" allowBlank="1" showInputMessage="1" showErrorMessage="1" sqref="D7858">
      <formula1>0</formula1>
    </dataValidation>
    <dataValidation type="decimal" operator="greaterThan" allowBlank="1" showInputMessage="1" showErrorMessage="1" sqref="E7858">
      <formula1>0</formula1>
    </dataValidation>
    <dataValidation type="whole" operator="greaterThan" allowBlank="1" showInputMessage="1" showErrorMessage="1" sqref="A7859">
      <formula1>0</formula1>
    </dataValidation>
    <dataValidation type="list" allowBlank="1" showInputMessage="1" showErrorMessage="1" sqref="C7859">
      <formula1>UnidadesList</formula1>
    </dataValidation>
    <dataValidation type="decimal" operator="greaterThan" allowBlank="1" showInputMessage="1" showErrorMessage="1" sqref="D7859">
      <formula1>0</formula1>
    </dataValidation>
    <dataValidation type="decimal" operator="greaterThan" allowBlank="1" showInputMessage="1" showErrorMessage="1" sqref="E7859">
      <formula1>0</formula1>
    </dataValidation>
    <dataValidation type="whole" operator="greaterThan" allowBlank="1" showInputMessage="1" showErrorMessage="1" sqref="A7860">
      <formula1>0</formula1>
    </dataValidation>
    <dataValidation type="list" allowBlank="1" showInputMessage="1" showErrorMessage="1" sqref="C7860">
      <formula1>UnidadesList</formula1>
    </dataValidation>
    <dataValidation type="decimal" operator="greaterThan" allowBlank="1" showInputMessage="1" showErrorMessage="1" sqref="D7860">
      <formula1>0</formula1>
    </dataValidation>
    <dataValidation type="decimal" operator="greaterThan" allowBlank="1" showInputMessage="1" showErrorMessage="1" sqref="E7860">
      <formula1>0</formula1>
    </dataValidation>
    <dataValidation type="whole" operator="greaterThan" allowBlank="1" showInputMessage="1" showErrorMessage="1" sqref="A7861">
      <formula1>0</formula1>
    </dataValidation>
    <dataValidation type="list" allowBlank="1" showInputMessage="1" showErrorMessage="1" sqref="C7861">
      <formula1>UnidadesList</formula1>
    </dataValidation>
    <dataValidation type="decimal" operator="greaterThan" allowBlank="1" showInputMessage="1" showErrorMessage="1" sqref="D7861">
      <formula1>0</formula1>
    </dataValidation>
    <dataValidation type="decimal" operator="greaterThan" allowBlank="1" showInputMessage="1" showErrorMessage="1" sqref="E7861">
      <formula1>0</formula1>
    </dataValidation>
    <dataValidation type="whole" operator="greaterThan" allowBlank="1" showInputMessage="1" showErrorMessage="1" sqref="A7862">
      <formula1>0</formula1>
    </dataValidation>
    <dataValidation type="list" allowBlank="1" showInputMessage="1" showErrorMessage="1" sqref="C7862">
      <formula1>UnidadesList</formula1>
    </dataValidation>
    <dataValidation type="decimal" operator="greaterThan" allowBlank="1" showInputMessage="1" showErrorMessage="1" sqref="D7862">
      <formula1>0</formula1>
    </dataValidation>
    <dataValidation type="decimal" operator="greaterThan" allowBlank="1" showInputMessage="1" showErrorMessage="1" sqref="E7862">
      <formula1>0</formula1>
    </dataValidation>
    <dataValidation type="whole" operator="greaterThan" allowBlank="1" showInputMessage="1" showErrorMessage="1" sqref="A7863">
      <formula1>0</formula1>
    </dataValidation>
    <dataValidation type="list" allowBlank="1" showInputMessage="1" showErrorMessage="1" sqref="C7863">
      <formula1>UnidadesList</formula1>
    </dataValidation>
    <dataValidation type="decimal" operator="greaterThan" allowBlank="1" showInputMessage="1" showErrorMessage="1" sqref="D7863">
      <formula1>0</formula1>
    </dataValidation>
    <dataValidation type="decimal" operator="greaterThan" allowBlank="1" showInputMessage="1" showErrorMessage="1" sqref="E7863">
      <formula1>0</formula1>
    </dataValidation>
    <dataValidation type="whole" operator="greaterThan" allowBlank="1" showInputMessage="1" showErrorMessage="1" sqref="A7864">
      <formula1>0</formula1>
    </dataValidation>
    <dataValidation type="list" allowBlank="1" showInputMessage="1" showErrorMessage="1" sqref="C7864">
      <formula1>UnidadesList</formula1>
    </dataValidation>
    <dataValidation type="decimal" operator="greaterThan" allowBlank="1" showInputMessage="1" showErrorMessage="1" sqref="D7864">
      <formula1>0</formula1>
    </dataValidation>
    <dataValidation type="decimal" operator="greaterThan" allowBlank="1" showInputMessage="1" showErrorMessage="1" sqref="E7864">
      <formula1>0</formula1>
    </dataValidation>
    <dataValidation type="whole" operator="greaterThan" allowBlank="1" showInputMessage="1" showErrorMessage="1" sqref="A7865">
      <formula1>0</formula1>
    </dataValidation>
    <dataValidation type="list" allowBlank="1" showInputMessage="1" showErrorMessage="1" sqref="C7865">
      <formula1>UnidadesList</formula1>
    </dataValidation>
    <dataValidation type="decimal" operator="greaterThan" allowBlank="1" showInputMessage="1" showErrorMessage="1" sqref="D7865">
      <formula1>0</formula1>
    </dataValidation>
    <dataValidation type="decimal" operator="greaterThan" allowBlank="1" showInputMessage="1" showErrorMessage="1" sqref="E7865">
      <formula1>0</formula1>
    </dataValidation>
    <dataValidation type="whole" operator="greaterThan" allowBlank="1" showInputMessage="1" showErrorMessage="1" sqref="A7866">
      <formula1>0</formula1>
    </dataValidation>
    <dataValidation type="list" allowBlank="1" showInputMessage="1" showErrorMessage="1" sqref="C7866">
      <formula1>UnidadesList</formula1>
    </dataValidation>
    <dataValidation type="decimal" operator="greaterThan" allowBlank="1" showInputMessage="1" showErrorMessage="1" sqref="D7866">
      <formula1>0</formula1>
    </dataValidation>
    <dataValidation type="decimal" operator="greaterThan" allowBlank="1" showInputMessage="1" showErrorMessage="1" sqref="E7866">
      <formula1>0</formula1>
    </dataValidation>
    <dataValidation type="whole" operator="greaterThan" allowBlank="1" showInputMessage="1" showErrorMessage="1" sqref="A7867">
      <formula1>0</formula1>
    </dataValidation>
    <dataValidation type="list" allowBlank="1" showInputMessage="1" showErrorMessage="1" sqref="C7867">
      <formula1>UnidadesList</formula1>
    </dataValidation>
    <dataValidation type="decimal" operator="greaterThan" allowBlank="1" showInputMessage="1" showErrorMessage="1" sqref="D7867">
      <formula1>0</formula1>
    </dataValidation>
    <dataValidation type="decimal" operator="greaterThan" allowBlank="1" showInputMessage="1" showErrorMessage="1" sqref="E7867">
      <formula1>0</formula1>
    </dataValidation>
    <dataValidation type="whole" operator="greaterThan" allowBlank="1" showInputMessage="1" showErrorMessage="1" sqref="A7868">
      <formula1>0</formula1>
    </dataValidation>
    <dataValidation type="list" allowBlank="1" showInputMessage="1" showErrorMessage="1" sqref="C7868">
      <formula1>UnidadesList</formula1>
    </dataValidation>
    <dataValidation type="decimal" operator="greaterThan" allowBlank="1" showInputMessage="1" showErrorMessage="1" sqref="D7868">
      <formula1>0</formula1>
    </dataValidation>
    <dataValidation type="decimal" operator="greaterThan" allowBlank="1" showInputMessage="1" showErrorMessage="1" sqref="E7868">
      <formula1>0</formula1>
    </dataValidation>
    <dataValidation type="date" operator="lessThanOrEqual" allowBlank="1" showInputMessage="1" showErrorMessage="1" sqref="C7873">
      <formula1>C7875</formula1>
    </dataValidation>
    <dataValidation type="date" operator="greaterThanOrEqual" allowBlank="1" showInputMessage="1" showErrorMessage="1" sqref="C7875">
      <formula1>C7873</formula1>
    </dataValidation>
    <dataValidation type="list" allowBlank="1" showInputMessage="1" showErrorMessage="1" sqref="F787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87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87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87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879">
      <formula1>0</formula1>
    </dataValidation>
    <dataValidation type="list" allowBlank="1" showInputMessage="1" showErrorMessage="1" sqref="C7879">
      <formula1>UnidadesList</formula1>
    </dataValidation>
    <dataValidation type="decimal" operator="greaterThan" allowBlank="1" showInputMessage="1" showErrorMessage="1" sqref="D7879">
      <formula1>0</formula1>
    </dataValidation>
    <dataValidation type="decimal" operator="greaterThan" allowBlank="1" showInputMessage="1" showErrorMessage="1" sqref="E7879">
      <formula1>0</formula1>
    </dataValidation>
    <dataValidation type="whole" operator="greaterThan" allowBlank="1" showInputMessage="1" showErrorMessage="1" sqref="A7880">
      <formula1>0</formula1>
    </dataValidation>
    <dataValidation type="list" allowBlank="1" showInputMessage="1" showErrorMessage="1" sqref="C7880">
      <formula1>UnidadesList</formula1>
    </dataValidation>
    <dataValidation type="decimal" operator="greaterThan" allowBlank="1" showInputMessage="1" showErrorMessage="1" sqref="D7880">
      <formula1>0</formula1>
    </dataValidation>
    <dataValidation type="decimal" operator="greaterThan" allowBlank="1" showInputMessage="1" showErrorMessage="1" sqref="E7880">
      <formula1>0</formula1>
    </dataValidation>
    <dataValidation type="whole" operator="greaterThan" allowBlank="1" showInputMessage="1" showErrorMessage="1" sqref="A7881">
      <formula1>0</formula1>
    </dataValidation>
    <dataValidation type="list" allowBlank="1" showInputMessage="1" showErrorMessage="1" sqref="C7881">
      <formula1>UnidadesList</formula1>
    </dataValidation>
    <dataValidation type="decimal" operator="greaterThan" allowBlank="1" showInputMessage="1" showErrorMessage="1" sqref="D7881">
      <formula1>0</formula1>
    </dataValidation>
    <dataValidation type="decimal" operator="greaterThan" allowBlank="1" showInputMessage="1" showErrorMessage="1" sqref="E7881">
      <formula1>0</formula1>
    </dataValidation>
    <dataValidation type="whole" operator="greaterThan" allowBlank="1" showInputMessage="1" showErrorMessage="1" sqref="A7882">
      <formula1>0</formula1>
    </dataValidation>
    <dataValidation type="list" allowBlank="1" showInputMessage="1" showErrorMessage="1" sqref="C7882">
      <formula1>UnidadesList</formula1>
    </dataValidation>
    <dataValidation type="decimal" operator="greaterThan" allowBlank="1" showInputMessage="1" showErrorMessage="1" sqref="D7882">
      <formula1>0</formula1>
    </dataValidation>
    <dataValidation type="decimal" operator="greaterThan" allowBlank="1" showInputMessage="1" showErrorMessage="1" sqref="E7882">
      <formula1>0</formula1>
    </dataValidation>
    <dataValidation type="whole" operator="greaterThan" allowBlank="1" showInputMessage="1" showErrorMessage="1" sqref="A7883">
      <formula1>0</formula1>
    </dataValidation>
    <dataValidation type="list" allowBlank="1" showInputMessage="1" showErrorMessage="1" sqref="C7883">
      <formula1>UnidadesList</formula1>
    </dataValidation>
    <dataValidation type="decimal" operator="greaterThan" allowBlank="1" showInputMessage="1" showErrorMessage="1" sqref="D7883">
      <formula1>0</formula1>
    </dataValidation>
    <dataValidation type="decimal" operator="greaterThan" allowBlank="1" showInputMessage="1" showErrorMessage="1" sqref="E7883">
      <formula1>0</formula1>
    </dataValidation>
    <dataValidation type="whole" operator="greaterThan" allowBlank="1" showInputMessage="1" showErrorMessage="1" sqref="A7884">
      <formula1>0</formula1>
    </dataValidation>
    <dataValidation type="list" allowBlank="1" showInputMessage="1" showErrorMessage="1" sqref="C7884">
      <formula1>UnidadesList</formula1>
    </dataValidation>
    <dataValidation type="decimal" operator="greaterThan" allowBlank="1" showInputMessage="1" showErrorMessage="1" sqref="D7884">
      <formula1>0</formula1>
    </dataValidation>
    <dataValidation type="decimal" operator="greaterThan" allowBlank="1" showInputMessage="1" showErrorMessage="1" sqref="E7884">
      <formula1>0</formula1>
    </dataValidation>
    <dataValidation type="whole" operator="greaterThan" allowBlank="1" showInputMessage="1" showErrorMessage="1" sqref="A7885">
      <formula1>0</formula1>
    </dataValidation>
    <dataValidation type="list" allowBlank="1" showInputMessage="1" showErrorMessage="1" sqref="C7885">
      <formula1>UnidadesList</formula1>
    </dataValidation>
    <dataValidation type="decimal" operator="greaterThan" allowBlank="1" showInputMessage="1" showErrorMessage="1" sqref="D7885">
      <formula1>0</formula1>
    </dataValidation>
    <dataValidation type="decimal" operator="greaterThan" allowBlank="1" showInputMessage="1" showErrorMessage="1" sqref="E7885">
      <formula1>0</formula1>
    </dataValidation>
    <dataValidation type="whole" operator="greaterThan" allowBlank="1" showInputMessage="1" showErrorMessage="1" sqref="A7886">
      <formula1>0</formula1>
    </dataValidation>
    <dataValidation type="list" allowBlank="1" showInputMessage="1" showErrorMessage="1" sqref="C7886">
      <formula1>UnidadesList</formula1>
    </dataValidation>
    <dataValidation type="decimal" operator="greaterThan" allowBlank="1" showInputMessage="1" showErrorMessage="1" sqref="D7886">
      <formula1>0</formula1>
    </dataValidation>
    <dataValidation type="decimal" operator="greaterThan" allowBlank="1" showInputMessage="1" showErrorMessage="1" sqref="E7886">
      <formula1>0</formula1>
    </dataValidation>
    <dataValidation type="whole" operator="greaterThan" allowBlank="1" showInputMessage="1" showErrorMessage="1" sqref="A7887">
      <formula1>0</formula1>
    </dataValidation>
    <dataValidation type="list" allowBlank="1" showInputMessage="1" showErrorMessage="1" sqref="C7887">
      <formula1>UnidadesList</formula1>
    </dataValidation>
    <dataValidation type="decimal" operator="greaterThan" allowBlank="1" showInputMessage="1" showErrorMessage="1" sqref="D7887">
      <formula1>0</formula1>
    </dataValidation>
    <dataValidation type="decimal" operator="greaterThan" allowBlank="1" showInputMessage="1" showErrorMessage="1" sqref="E7887">
      <formula1>0</formula1>
    </dataValidation>
    <dataValidation type="whole" operator="greaterThan" allowBlank="1" showInputMessage="1" showErrorMessage="1" sqref="A7888">
      <formula1>0</formula1>
    </dataValidation>
    <dataValidation type="list" allowBlank="1" showInputMessage="1" showErrorMessage="1" sqref="C7888">
      <formula1>UnidadesList</formula1>
    </dataValidation>
    <dataValidation type="decimal" operator="greaterThan" allowBlank="1" showInputMessage="1" showErrorMessage="1" sqref="D7888">
      <formula1>0</formula1>
    </dataValidation>
    <dataValidation type="decimal" operator="greaterThan" allowBlank="1" showInputMessage="1" showErrorMessage="1" sqref="E7888">
      <formula1>0</formula1>
    </dataValidation>
    <dataValidation type="whole" operator="greaterThan" allowBlank="1" showInputMessage="1" showErrorMessage="1" sqref="A7889">
      <formula1>0</formula1>
    </dataValidation>
    <dataValidation type="list" allowBlank="1" showInputMessage="1" showErrorMessage="1" sqref="C7889">
      <formula1>UnidadesList</formula1>
    </dataValidation>
    <dataValidation type="decimal" operator="greaterThan" allowBlank="1" showInputMessage="1" showErrorMessage="1" sqref="D7889">
      <formula1>0</formula1>
    </dataValidation>
    <dataValidation type="decimal" operator="greaterThan" allowBlank="1" showInputMessage="1" showErrorMessage="1" sqref="E7889">
      <formula1>0</formula1>
    </dataValidation>
    <dataValidation type="whole" operator="greaterThan" allowBlank="1" showInputMessage="1" showErrorMessage="1" sqref="A7890">
      <formula1>0</formula1>
    </dataValidation>
    <dataValidation type="list" allowBlank="1" showInputMessage="1" showErrorMessage="1" sqref="C7890">
      <formula1>UnidadesList</formula1>
    </dataValidation>
    <dataValidation type="decimal" operator="greaterThan" allowBlank="1" showInputMessage="1" showErrorMessage="1" sqref="D7890">
      <formula1>0</formula1>
    </dataValidation>
    <dataValidation type="decimal" operator="greaterThan" allowBlank="1" showInputMessage="1" showErrorMessage="1" sqref="E7890">
      <formula1>0</formula1>
    </dataValidation>
    <dataValidation type="whole" operator="greaterThan" allowBlank="1" showInputMessage="1" showErrorMessage="1" sqref="A7891">
      <formula1>0</formula1>
    </dataValidation>
    <dataValidation type="list" allowBlank="1" showInputMessage="1" showErrorMessage="1" sqref="C7891">
      <formula1>UnidadesList</formula1>
    </dataValidation>
    <dataValidation type="decimal" operator="greaterThan" allowBlank="1" showInputMessage="1" showErrorMessage="1" sqref="D7891">
      <formula1>0</formula1>
    </dataValidation>
    <dataValidation type="decimal" operator="greaterThan" allowBlank="1" showInputMessage="1" showErrorMessage="1" sqref="E7891">
      <formula1>0</formula1>
    </dataValidation>
    <dataValidation type="whole" operator="greaterThan" allowBlank="1" showInputMessage="1" showErrorMessage="1" sqref="A7892">
      <formula1>0</formula1>
    </dataValidation>
    <dataValidation type="list" allowBlank="1" showInputMessage="1" showErrorMessage="1" sqref="C7892">
      <formula1>UnidadesList</formula1>
    </dataValidation>
    <dataValidation type="decimal" operator="greaterThan" allowBlank="1" showInputMessage="1" showErrorMessage="1" sqref="D7892">
      <formula1>0</formula1>
    </dataValidation>
    <dataValidation type="decimal" operator="greaterThan" allowBlank="1" showInputMessage="1" showErrorMessage="1" sqref="E7892">
      <formula1>0</formula1>
    </dataValidation>
    <dataValidation type="whole" operator="greaterThan" allowBlank="1" showInputMessage="1" showErrorMessage="1" sqref="A7893">
      <formula1>0</formula1>
    </dataValidation>
    <dataValidation type="list" allowBlank="1" showInputMessage="1" showErrorMessage="1" sqref="C7893">
      <formula1>UnidadesList</formula1>
    </dataValidation>
    <dataValidation type="decimal" operator="greaterThan" allowBlank="1" showInputMessage="1" showErrorMessage="1" sqref="D7893">
      <formula1>0</formula1>
    </dataValidation>
    <dataValidation type="decimal" operator="greaterThan" allowBlank="1" showInputMessage="1" showErrorMessage="1" sqref="E7893">
      <formula1>0</formula1>
    </dataValidation>
    <dataValidation type="whole" operator="greaterThan" allowBlank="1" showInputMessage="1" showErrorMessage="1" sqref="A7894">
      <formula1>0</formula1>
    </dataValidation>
    <dataValidation type="list" allowBlank="1" showInputMessage="1" showErrorMessage="1" sqref="C7894">
      <formula1>UnidadesList</formula1>
    </dataValidation>
    <dataValidation type="decimal" operator="greaterThan" allowBlank="1" showInputMessage="1" showErrorMessage="1" sqref="D7894">
      <formula1>0</formula1>
    </dataValidation>
    <dataValidation type="decimal" operator="greaterThan" allowBlank="1" showInputMessage="1" showErrorMessage="1" sqref="E7894">
      <formula1>0</formula1>
    </dataValidation>
    <dataValidation type="whole" operator="greaterThan" allowBlank="1" showInputMessage="1" showErrorMessage="1" sqref="A7895">
      <formula1>0</formula1>
    </dataValidation>
    <dataValidation type="list" allowBlank="1" showInputMessage="1" showErrorMessage="1" sqref="C7895">
      <formula1>UnidadesList</formula1>
    </dataValidation>
    <dataValidation type="decimal" operator="greaterThan" allowBlank="1" showInputMessage="1" showErrorMessage="1" sqref="D7895">
      <formula1>0</formula1>
    </dataValidation>
    <dataValidation type="decimal" operator="greaterThan" allowBlank="1" showInputMessage="1" showErrorMessage="1" sqref="E7895">
      <formula1>0</formula1>
    </dataValidation>
    <dataValidation type="whole" operator="greaterThan" allowBlank="1" showInputMessage="1" showErrorMessage="1" sqref="A7896">
      <formula1>0</formula1>
    </dataValidation>
    <dataValidation type="list" allowBlank="1" showInputMessage="1" showErrorMessage="1" sqref="C7896">
      <formula1>UnidadesList</formula1>
    </dataValidation>
    <dataValidation type="decimal" operator="greaterThan" allowBlank="1" showInputMessage="1" showErrorMessage="1" sqref="D7896">
      <formula1>0</formula1>
    </dataValidation>
    <dataValidation type="decimal" operator="greaterThan" allowBlank="1" showInputMessage="1" showErrorMessage="1" sqref="E7896">
      <formula1>0</formula1>
    </dataValidation>
    <dataValidation type="whole" operator="greaterThan" allowBlank="1" showInputMessage="1" showErrorMessage="1" sqref="A7897">
      <formula1>0</formula1>
    </dataValidation>
    <dataValidation type="list" allowBlank="1" showInputMessage="1" showErrorMessage="1" sqref="C7897">
      <formula1>UnidadesList</formula1>
    </dataValidation>
    <dataValidation type="decimal" operator="greaterThan" allowBlank="1" showInputMessage="1" showErrorMessage="1" sqref="D7897">
      <formula1>0</formula1>
    </dataValidation>
    <dataValidation type="decimal" operator="greaterThan" allowBlank="1" showInputMessage="1" showErrorMessage="1" sqref="E7897">
      <formula1>0</formula1>
    </dataValidation>
    <dataValidation type="whole" operator="greaterThan" allowBlank="1" showInputMessage="1" showErrorMessage="1" sqref="A7898">
      <formula1>0</formula1>
    </dataValidation>
    <dataValidation type="list" allowBlank="1" showInputMessage="1" showErrorMessage="1" sqref="C7898">
      <formula1>UnidadesList</formula1>
    </dataValidation>
    <dataValidation type="decimal" operator="greaterThan" allowBlank="1" showInputMessage="1" showErrorMessage="1" sqref="D7898">
      <formula1>0</formula1>
    </dataValidation>
    <dataValidation type="decimal" operator="greaterThan" allowBlank="1" showInputMessage="1" showErrorMessage="1" sqref="E7898">
      <formula1>0</formula1>
    </dataValidation>
    <dataValidation type="whole" operator="greaterThan" allowBlank="1" showInputMessage="1" showErrorMessage="1" sqref="A7899">
      <formula1>0</formula1>
    </dataValidation>
    <dataValidation type="list" allowBlank="1" showInputMessage="1" showErrorMessage="1" sqref="C7899">
      <formula1>UnidadesList</formula1>
    </dataValidation>
    <dataValidation type="decimal" operator="greaterThan" allowBlank="1" showInputMessage="1" showErrorMessage="1" sqref="D7899">
      <formula1>0</formula1>
    </dataValidation>
    <dataValidation type="decimal" operator="greaterThan" allowBlank="1" showInputMessage="1" showErrorMessage="1" sqref="E7899">
      <formula1>0</formula1>
    </dataValidation>
    <dataValidation type="whole" operator="greaterThan" allowBlank="1" showInputMessage="1" showErrorMessage="1" sqref="A7900">
      <formula1>0</formula1>
    </dataValidation>
    <dataValidation type="list" allowBlank="1" showInputMessage="1" showErrorMessage="1" sqref="C7900">
      <formula1>UnidadesList</formula1>
    </dataValidation>
    <dataValidation type="decimal" operator="greaterThan" allowBlank="1" showInputMessage="1" showErrorMessage="1" sqref="D7900">
      <formula1>0</formula1>
    </dataValidation>
    <dataValidation type="decimal" operator="greaterThan" allowBlank="1" showInputMessage="1" showErrorMessage="1" sqref="E7900">
      <formula1>0</formula1>
    </dataValidation>
    <dataValidation type="whole" operator="greaterThan" allowBlank="1" showInputMessage="1" showErrorMessage="1" sqref="A7901">
      <formula1>0</formula1>
    </dataValidation>
    <dataValidation type="list" allowBlank="1" showInputMessage="1" showErrorMessage="1" sqref="C7901">
      <formula1>UnidadesList</formula1>
    </dataValidation>
    <dataValidation type="decimal" operator="greaterThan" allowBlank="1" showInputMessage="1" showErrorMessage="1" sqref="D7901">
      <formula1>0</formula1>
    </dataValidation>
    <dataValidation type="decimal" operator="greaterThan" allowBlank="1" showInputMessage="1" showErrorMessage="1" sqref="E7901">
      <formula1>0</formula1>
    </dataValidation>
    <dataValidation type="whole" operator="greaterThan" allowBlank="1" showInputMessage="1" showErrorMessage="1" sqref="A7902">
      <formula1>0</formula1>
    </dataValidation>
    <dataValidation type="list" allowBlank="1" showInputMessage="1" showErrorMessage="1" sqref="C7902">
      <formula1>UnidadesList</formula1>
    </dataValidation>
    <dataValidation type="decimal" operator="greaterThan" allowBlank="1" showInputMessage="1" showErrorMessage="1" sqref="D7902">
      <formula1>0</formula1>
    </dataValidation>
    <dataValidation type="decimal" operator="greaterThan" allowBlank="1" showInputMessage="1" showErrorMessage="1" sqref="E7902">
      <formula1>0</formula1>
    </dataValidation>
    <dataValidation type="whole" operator="greaterThan" allowBlank="1" showInputMessage="1" showErrorMessage="1" sqref="A7903">
      <formula1>0</formula1>
    </dataValidation>
    <dataValidation type="list" allowBlank="1" showInputMessage="1" showErrorMessage="1" sqref="C7903">
      <formula1>UnidadesList</formula1>
    </dataValidation>
    <dataValidation type="decimal" operator="greaterThan" allowBlank="1" showInputMessage="1" showErrorMessage="1" sqref="D7903">
      <formula1>0</formula1>
    </dataValidation>
    <dataValidation type="decimal" operator="greaterThan" allowBlank="1" showInputMessage="1" showErrorMessage="1" sqref="E7903">
      <formula1>0</formula1>
    </dataValidation>
    <dataValidation type="whole" operator="greaterThan" allowBlank="1" showInputMessage="1" showErrorMessage="1" sqref="A7904">
      <formula1>0</formula1>
    </dataValidation>
    <dataValidation type="list" allowBlank="1" showInputMessage="1" showErrorMessage="1" sqref="C7904">
      <formula1>UnidadesList</formula1>
    </dataValidation>
    <dataValidation type="decimal" operator="greaterThan" allowBlank="1" showInputMessage="1" showErrorMessage="1" sqref="D7904">
      <formula1>0</formula1>
    </dataValidation>
    <dataValidation type="decimal" operator="greaterThan" allowBlank="1" showInputMessage="1" showErrorMessage="1" sqref="E7904">
      <formula1>0</formula1>
    </dataValidation>
    <dataValidation type="whole" operator="greaterThan" allowBlank="1" showInputMessage="1" showErrorMessage="1" sqref="A7905">
      <formula1>0</formula1>
    </dataValidation>
    <dataValidation type="list" allowBlank="1" showInputMessage="1" showErrorMessage="1" sqref="C7905">
      <formula1>UnidadesList</formula1>
    </dataValidation>
    <dataValidation type="decimal" operator="greaterThan" allowBlank="1" showInputMessage="1" showErrorMessage="1" sqref="D7905">
      <formula1>0</formula1>
    </dataValidation>
    <dataValidation type="decimal" operator="greaterThan" allowBlank="1" showInputMessage="1" showErrorMessage="1" sqref="E7905">
      <formula1>0</formula1>
    </dataValidation>
    <dataValidation type="whole" operator="greaterThan" allowBlank="1" showInputMessage="1" showErrorMessage="1" sqref="A7906">
      <formula1>0</formula1>
    </dataValidation>
    <dataValidation type="list" allowBlank="1" showInputMessage="1" showErrorMessage="1" sqref="C7906">
      <formula1>UnidadesList</formula1>
    </dataValidation>
    <dataValidation type="decimal" operator="greaterThan" allowBlank="1" showInputMessage="1" showErrorMessage="1" sqref="D7906">
      <formula1>0</formula1>
    </dataValidation>
    <dataValidation type="decimal" operator="greaterThan" allowBlank="1" showInputMessage="1" showErrorMessage="1" sqref="E7906">
      <formula1>0</formula1>
    </dataValidation>
    <dataValidation type="whole" operator="greaterThan" allowBlank="1" showInputMessage="1" showErrorMessage="1" sqref="A7907">
      <formula1>0</formula1>
    </dataValidation>
    <dataValidation type="list" allowBlank="1" showInputMessage="1" showErrorMessage="1" sqref="C7907">
      <formula1>UnidadesList</formula1>
    </dataValidation>
    <dataValidation type="decimal" operator="greaterThan" allowBlank="1" showInputMessage="1" showErrorMessage="1" sqref="D7907">
      <formula1>0</formula1>
    </dataValidation>
    <dataValidation type="decimal" operator="greaterThan" allowBlank="1" showInputMessage="1" showErrorMessage="1" sqref="E7907">
      <formula1>0</formula1>
    </dataValidation>
    <dataValidation type="whole" operator="greaterThan" allowBlank="1" showInputMessage="1" showErrorMessage="1" sqref="A7908">
      <formula1>0</formula1>
    </dataValidation>
    <dataValidation type="list" allowBlank="1" showInputMessage="1" showErrorMessage="1" sqref="C7908">
      <formula1>UnidadesList</formula1>
    </dataValidation>
    <dataValidation type="decimal" operator="greaterThan" allowBlank="1" showInputMessage="1" showErrorMessage="1" sqref="D7908">
      <formula1>0</formula1>
    </dataValidation>
    <dataValidation type="decimal" operator="greaterThan" allowBlank="1" showInputMessage="1" showErrorMessage="1" sqref="E7908">
      <formula1>0</formula1>
    </dataValidation>
    <dataValidation type="whole" operator="greaterThan" allowBlank="1" showInputMessage="1" showErrorMessage="1" sqref="A7909">
      <formula1>0</formula1>
    </dataValidation>
    <dataValidation type="list" allowBlank="1" showInputMessage="1" showErrorMessage="1" sqref="C7909">
      <formula1>UnidadesList</formula1>
    </dataValidation>
    <dataValidation type="decimal" operator="greaterThan" allowBlank="1" showInputMessage="1" showErrorMessage="1" sqref="D7909">
      <formula1>0</formula1>
    </dataValidation>
    <dataValidation type="decimal" operator="greaterThan" allowBlank="1" showInputMessage="1" showErrorMessage="1" sqref="E7909">
      <formula1>0</formula1>
    </dataValidation>
    <dataValidation type="whole" operator="greaterThan" allowBlank="1" showInputMessage="1" showErrorMessage="1" sqref="A7910">
      <formula1>0</formula1>
    </dataValidation>
    <dataValidation type="list" allowBlank="1" showInputMessage="1" showErrorMessage="1" sqref="C7910">
      <formula1>UnidadesList</formula1>
    </dataValidation>
    <dataValidation type="decimal" operator="greaterThan" allowBlank="1" showInputMessage="1" showErrorMessage="1" sqref="D7910">
      <formula1>0</formula1>
    </dataValidation>
    <dataValidation type="decimal" operator="greaterThan" allowBlank="1" showInputMessage="1" showErrorMessage="1" sqref="E7910">
      <formula1>0</formula1>
    </dataValidation>
    <dataValidation type="whole" operator="greaterThan" allowBlank="1" showInputMessage="1" showErrorMessage="1" sqref="A7911">
      <formula1>0</formula1>
    </dataValidation>
    <dataValidation type="list" allowBlank="1" showInputMessage="1" showErrorMessage="1" sqref="C7911">
      <formula1>UnidadesList</formula1>
    </dataValidation>
    <dataValidation type="decimal" operator="greaterThan" allowBlank="1" showInputMessage="1" showErrorMessage="1" sqref="D7911">
      <formula1>0</formula1>
    </dataValidation>
    <dataValidation type="decimal" operator="greaterThan" allowBlank="1" showInputMessage="1" showErrorMessage="1" sqref="E7911">
      <formula1>0</formula1>
    </dataValidation>
    <dataValidation type="whole" operator="greaterThan" allowBlank="1" showInputMessage="1" showErrorMessage="1" sqref="A7912">
      <formula1>0</formula1>
    </dataValidation>
    <dataValidation type="list" allowBlank="1" showInputMessage="1" showErrorMessage="1" sqref="C7912">
      <formula1>UnidadesList</formula1>
    </dataValidation>
    <dataValidation type="decimal" operator="greaterThan" allowBlank="1" showInputMessage="1" showErrorMessage="1" sqref="D7912">
      <formula1>0</formula1>
    </dataValidation>
    <dataValidation type="decimal" operator="greaterThan" allowBlank="1" showInputMessage="1" showErrorMessage="1" sqref="E7912">
      <formula1>0</formula1>
    </dataValidation>
    <dataValidation type="whole" operator="greaterThan" allowBlank="1" showInputMessage="1" showErrorMessage="1" sqref="A7913">
      <formula1>0</formula1>
    </dataValidation>
    <dataValidation type="list" allowBlank="1" showInputMessage="1" showErrorMessage="1" sqref="C7913">
      <formula1>UnidadesList</formula1>
    </dataValidation>
    <dataValidation type="decimal" operator="greaterThan" allowBlank="1" showInputMessage="1" showErrorMessage="1" sqref="D7913">
      <formula1>0</formula1>
    </dataValidation>
    <dataValidation type="decimal" operator="greaterThan" allowBlank="1" showInputMessage="1" showErrorMessage="1" sqref="E7913">
      <formula1>0</formula1>
    </dataValidation>
    <dataValidation type="whole" operator="greaterThan" allowBlank="1" showInputMessage="1" showErrorMessage="1" sqref="A7914">
      <formula1>0</formula1>
    </dataValidation>
    <dataValidation type="list" allowBlank="1" showInputMessage="1" showErrorMessage="1" sqref="C7914">
      <formula1>UnidadesList</formula1>
    </dataValidation>
    <dataValidation type="decimal" operator="greaterThan" allowBlank="1" showInputMessage="1" showErrorMessage="1" sqref="D7914">
      <formula1>0</formula1>
    </dataValidation>
    <dataValidation type="decimal" operator="greaterThan" allowBlank="1" showInputMessage="1" showErrorMessage="1" sqref="E7914">
      <formula1>0</formula1>
    </dataValidation>
    <dataValidation type="whole" operator="greaterThan" allowBlank="1" showInputMessage="1" showErrorMessage="1" sqref="A7915">
      <formula1>0</formula1>
    </dataValidation>
    <dataValidation type="list" allowBlank="1" showInputMessage="1" showErrorMessage="1" sqref="C7915">
      <formula1>UnidadesList</formula1>
    </dataValidation>
    <dataValidation type="decimal" operator="greaterThan" allowBlank="1" showInputMessage="1" showErrorMessage="1" sqref="D7915">
      <formula1>0</formula1>
    </dataValidation>
    <dataValidation type="decimal" operator="greaterThan" allowBlank="1" showInputMessage="1" showErrorMessage="1" sqref="E7915">
      <formula1>0</formula1>
    </dataValidation>
    <dataValidation type="whole" operator="greaterThan" allowBlank="1" showInputMessage="1" showErrorMessage="1" sqref="A7916">
      <formula1>0</formula1>
    </dataValidation>
    <dataValidation type="list" allowBlank="1" showInputMessage="1" showErrorMessage="1" sqref="C7916">
      <formula1>UnidadesList</formula1>
    </dataValidation>
    <dataValidation type="decimal" operator="greaterThan" allowBlank="1" showInputMessage="1" showErrorMessage="1" sqref="D7916">
      <formula1>0</formula1>
    </dataValidation>
    <dataValidation type="decimal" operator="greaterThan" allowBlank="1" showInputMessage="1" showErrorMessage="1" sqref="E7916">
      <formula1>0</formula1>
    </dataValidation>
    <dataValidation type="whole" operator="greaterThan" allowBlank="1" showInputMessage="1" showErrorMessage="1" sqref="A7917">
      <formula1>0</formula1>
    </dataValidation>
    <dataValidation type="list" allowBlank="1" showInputMessage="1" showErrorMessage="1" sqref="C7917">
      <formula1>UnidadesList</formula1>
    </dataValidation>
    <dataValidation type="decimal" operator="greaterThan" allowBlank="1" showInputMessage="1" showErrorMessage="1" sqref="D7917">
      <formula1>0</formula1>
    </dataValidation>
    <dataValidation type="decimal" operator="greaterThan" allowBlank="1" showInputMessage="1" showErrorMessage="1" sqref="E7917">
      <formula1>0</formula1>
    </dataValidation>
    <dataValidation type="whole" operator="greaterThan" allowBlank="1" showInputMessage="1" showErrorMessage="1" sqref="A7918">
      <formula1>0</formula1>
    </dataValidation>
    <dataValidation type="list" allowBlank="1" showInputMessage="1" showErrorMessage="1" sqref="C7918">
      <formula1>UnidadesList</formula1>
    </dataValidation>
    <dataValidation type="decimal" operator="greaterThan" allowBlank="1" showInputMessage="1" showErrorMessage="1" sqref="D7918">
      <formula1>0</formula1>
    </dataValidation>
    <dataValidation type="decimal" operator="greaterThan" allowBlank="1" showInputMessage="1" showErrorMessage="1" sqref="E7918">
      <formula1>0</formula1>
    </dataValidation>
    <dataValidation type="whole" operator="greaterThan" allowBlank="1" showInputMessage="1" showErrorMessage="1" sqref="A7919">
      <formula1>0</formula1>
    </dataValidation>
    <dataValidation type="list" allowBlank="1" showInputMessage="1" showErrorMessage="1" sqref="C7919">
      <formula1>UnidadesList</formula1>
    </dataValidation>
    <dataValidation type="decimal" operator="greaterThan" allowBlank="1" showInputMessage="1" showErrorMessage="1" sqref="D7919">
      <formula1>0</formula1>
    </dataValidation>
    <dataValidation type="decimal" operator="greaterThan" allowBlank="1" showInputMessage="1" showErrorMessage="1" sqref="E7919">
      <formula1>0</formula1>
    </dataValidation>
    <dataValidation type="whole" operator="greaterThan" allowBlank="1" showInputMessage="1" showErrorMessage="1" sqref="A7920">
      <formula1>0</formula1>
    </dataValidation>
    <dataValidation type="list" allowBlank="1" showInputMessage="1" showErrorMessage="1" sqref="C7920">
      <formula1>UnidadesList</formula1>
    </dataValidation>
    <dataValidation type="decimal" operator="greaterThan" allowBlank="1" showInputMessage="1" showErrorMessage="1" sqref="D7920">
      <formula1>0</formula1>
    </dataValidation>
    <dataValidation type="decimal" operator="greaterThan" allowBlank="1" showInputMessage="1" showErrorMessage="1" sqref="E7920">
      <formula1>0</formula1>
    </dataValidation>
    <dataValidation type="whole" operator="greaterThan" allowBlank="1" showInputMessage="1" showErrorMessage="1" sqref="A7921">
      <formula1>0</formula1>
    </dataValidation>
    <dataValidation type="list" allowBlank="1" showInputMessage="1" showErrorMessage="1" sqref="C7921">
      <formula1>UnidadesList</formula1>
    </dataValidation>
    <dataValidation type="decimal" operator="greaterThan" allowBlank="1" showInputMessage="1" showErrorMessage="1" sqref="D7921">
      <formula1>0</formula1>
    </dataValidation>
    <dataValidation type="decimal" operator="greaterThan" allowBlank="1" showInputMessage="1" showErrorMessage="1" sqref="E7921">
      <formula1>0</formula1>
    </dataValidation>
    <dataValidation type="whole" operator="greaterThan" allowBlank="1" showInputMessage="1" showErrorMessage="1" sqref="A7922">
      <formula1>0</formula1>
    </dataValidation>
    <dataValidation type="list" allowBlank="1" showInputMessage="1" showErrorMessage="1" sqref="C7922">
      <formula1>UnidadesList</formula1>
    </dataValidation>
    <dataValidation type="decimal" operator="greaterThan" allowBlank="1" showInputMessage="1" showErrorMessage="1" sqref="D7922">
      <formula1>0</formula1>
    </dataValidation>
    <dataValidation type="decimal" operator="greaterThan" allowBlank="1" showInputMessage="1" showErrorMessage="1" sqref="E7922">
      <formula1>0</formula1>
    </dataValidation>
    <dataValidation type="whole" operator="greaterThan" allowBlank="1" showInputMessage="1" showErrorMessage="1" sqref="A7923">
      <formula1>0</formula1>
    </dataValidation>
    <dataValidation type="list" allowBlank="1" showInputMessage="1" showErrorMessage="1" sqref="C7923">
      <formula1>UnidadesList</formula1>
    </dataValidation>
    <dataValidation type="decimal" operator="greaterThan" allowBlank="1" showInputMessage="1" showErrorMessage="1" sqref="D7923">
      <formula1>0</formula1>
    </dataValidation>
    <dataValidation type="decimal" operator="greaterThan" allowBlank="1" showInputMessage="1" showErrorMessage="1" sqref="E7923">
      <formula1>0</formula1>
    </dataValidation>
    <dataValidation type="whole" operator="greaterThan" allowBlank="1" showInputMessage="1" showErrorMessage="1" sqref="A7924">
      <formula1>0</formula1>
    </dataValidation>
    <dataValidation type="list" allowBlank="1" showInputMessage="1" showErrorMessage="1" sqref="C7924">
      <formula1>UnidadesList</formula1>
    </dataValidation>
    <dataValidation type="decimal" operator="greaterThan" allowBlank="1" showInputMessage="1" showErrorMessage="1" sqref="D7924">
      <formula1>0</formula1>
    </dataValidation>
    <dataValidation type="decimal" operator="greaterThan" allowBlank="1" showInputMessage="1" showErrorMessage="1" sqref="E7924">
      <formula1>0</formula1>
    </dataValidation>
    <dataValidation type="whole" operator="greaterThan" allowBlank="1" showInputMessage="1" showErrorMessage="1" sqref="A7925">
      <formula1>0</formula1>
    </dataValidation>
    <dataValidation type="list" allowBlank="1" showInputMessage="1" showErrorMessage="1" sqref="C7925">
      <formula1>UnidadesList</formula1>
    </dataValidation>
    <dataValidation type="decimal" operator="greaterThan" allowBlank="1" showInputMessage="1" showErrorMessage="1" sqref="D7925">
      <formula1>0</formula1>
    </dataValidation>
    <dataValidation type="decimal" operator="greaterThan" allowBlank="1" showInputMessage="1" showErrorMessage="1" sqref="E7925">
      <formula1>0</formula1>
    </dataValidation>
    <dataValidation type="whole" operator="greaterThan" allowBlank="1" showInputMessage="1" showErrorMessage="1" sqref="A7926">
      <formula1>0</formula1>
    </dataValidation>
    <dataValidation type="list" allowBlank="1" showInputMessage="1" showErrorMessage="1" sqref="C7926">
      <formula1>UnidadesList</formula1>
    </dataValidation>
    <dataValidation type="decimal" operator="greaterThan" allowBlank="1" showInputMessage="1" showErrorMessage="1" sqref="D7926">
      <formula1>0</formula1>
    </dataValidation>
    <dataValidation type="decimal" operator="greaterThan" allowBlank="1" showInputMessage="1" showErrorMessage="1" sqref="E7926">
      <formula1>0</formula1>
    </dataValidation>
    <dataValidation type="whole" operator="greaterThan" allowBlank="1" showInputMessage="1" showErrorMessage="1" sqref="A7927">
      <formula1>0</formula1>
    </dataValidation>
    <dataValidation type="list" allowBlank="1" showInputMessage="1" showErrorMessage="1" sqref="C7927">
      <formula1>UnidadesList</formula1>
    </dataValidation>
    <dataValidation type="decimal" operator="greaterThan" allowBlank="1" showInputMessage="1" showErrorMessage="1" sqref="D7927">
      <formula1>0</formula1>
    </dataValidation>
    <dataValidation type="decimal" operator="greaterThan" allowBlank="1" showInputMessage="1" showErrorMessage="1" sqref="E7927">
      <formula1>0</formula1>
    </dataValidation>
    <dataValidation type="whole" operator="greaterThan" allowBlank="1" showInputMessage="1" showErrorMessage="1" sqref="A7928">
      <formula1>0</formula1>
    </dataValidation>
    <dataValidation type="list" allowBlank="1" showInputMessage="1" showErrorMessage="1" sqref="C7928">
      <formula1>UnidadesList</formula1>
    </dataValidation>
    <dataValidation type="decimal" operator="greaterThan" allowBlank="1" showInputMessage="1" showErrorMessage="1" sqref="D7928">
      <formula1>0</formula1>
    </dataValidation>
    <dataValidation type="decimal" operator="greaterThan" allowBlank="1" showInputMessage="1" showErrorMessage="1" sqref="E7928">
      <formula1>0</formula1>
    </dataValidation>
    <dataValidation type="whole" operator="greaterThan" allowBlank="1" showInputMessage="1" showErrorMessage="1" sqref="A7929">
      <formula1>0</formula1>
    </dataValidation>
    <dataValidation type="list" allowBlank="1" showInputMessage="1" showErrorMessage="1" sqref="C7929">
      <formula1>UnidadesList</formula1>
    </dataValidation>
    <dataValidation type="decimal" operator="greaterThan" allowBlank="1" showInputMessage="1" showErrorMessage="1" sqref="D7929">
      <formula1>0</formula1>
    </dataValidation>
    <dataValidation type="decimal" operator="greaterThan" allowBlank="1" showInputMessage="1" showErrorMessage="1" sqref="E7929">
      <formula1>0</formula1>
    </dataValidation>
    <dataValidation type="whole" operator="greaterThan" allowBlank="1" showInputMessage="1" showErrorMessage="1" sqref="A7930">
      <formula1>0</formula1>
    </dataValidation>
    <dataValidation type="list" allowBlank="1" showInputMessage="1" showErrorMessage="1" sqref="C7930">
      <formula1>UnidadesList</formula1>
    </dataValidation>
    <dataValidation type="decimal" operator="greaterThan" allowBlank="1" showInputMessage="1" showErrorMessage="1" sqref="D7930">
      <formula1>0</formula1>
    </dataValidation>
    <dataValidation type="decimal" operator="greaterThan" allowBlank="1" showInputMessage="1" showErrorMessage="1" sqref="E7930">
      <formula1>0</formula1>
    </dataValidation>
    <dataValidation type="whole" operator="greaterThan" allowBlank="1" showInputMessage="1" showErrorMessage="1" sqref="A7931">
      <formula1>0</formula1>
    </dataValidation>
    <dataValidation type="list" allowBlank="1" showInputMessage="1" showErrorMessage="1" sqref="C7931">
      <formula1>UnidadesList</formula1>
    </dataValidation>
    <dataValidation type="decimal" operator="greaterThan" allowBlank="1" showInputMessage="1" showErrorMessage="1" sqref="D7931">
      <formula1>0</formula1>
    </dataValidation>
    <dataValidation type="decimal" operator="greaterThan" allowBlank="1" showInputMessage="1" showErrorMessage="1" sqref="E7931">
      <formula1>0</formula1>
    </dataValidation>
    <dataValidation type="whole" operator="greaterThan" allowBlank="1" showInputMessage="1" showErrorMessage="1" sqref="A7932">
      <formula1>0</formula1>
    </dataValidation>
    <dataValidation type="list" allowBlank="1" showInputMessage="1" showErrorMessage="1" sqref="C7932">
      <formula1>UnidadesList</formula1>
    </dataValidation>
    <dataValidation type="decimal" operator="greaterThan" allowBlank="1" showInputMessage="1" showErrorMessage="1" sqref="D7932">
      <formula1>0</formula1>
    </dataValidation>
    <dataValidation type="decimal" operator="greaterThan" allowBlank="1" showInputMessage="1" showErrorMessage="1" sqref="E7932">
      <formula1>0</formula1>
    </dataValidation>
    <dataValidation type="whole" operator="greaterThan" allowBlank="1" showInputMessage="1" showErrorMessage="1" sqref="A7933">
      <formula1>0</formula1>
    </dataValidation>
    <dataValidation type="list" allowBlank="1" showInputMessage="1" showErrorMessage="1" sqref="C7933">
      <formula1>UnidadesList</formula1>
    </dataValidation>
    <dataValidation type="decimal" operator="greaterThan" allowBlank="1" showInputMessage="1" showErrorMessage="1" sqref="D7933">
      <formula1>0</formula1>
    </dataValidation>
    <dataValidation type="decimal" operator="greaterThan" allowBlank="1" showInputMessage="1" showErrorMessage="1" sqref="E7933">
      <formula1>0</formula1>
    </dataValidation>
    <dataValidation type="whole" operator="greaterThan" allowBlank="1" showInputMessage="1" showErrorMessage="1" sqref="A7934">
      <formula1>0</formula1>
    </dataValidation>
    <dataValidation type="list" allowBlank="1" showInputMessage="1" showErrorMessage="1" sqref="C7934">
      <formula1>UnidadesList</formula1>
    </dataValidation>
    <dataValidation type="decimal" operator="greaterThan" allowBlank="1" showInputMessage="1" showErrorMessage="1" sqref="D7934">
      <formula1>0</formula1>
    </dataValidation>
    <dataValidation type="decimal" operator="greaterThan" allowBlank="1" showInputMessage="1" showErrorMessage="1" sqref="E7934">
      <formula1>0</formula1>
    </dataValidation>
    <dataValidation type="whole" operator="greaterThan" allowBlank="1" showInputMessage="1" showErrorMessage="1" sqref="A7935">
      <formula1>0</formula1>
    </dataValidation>
    <dataValidation type="list" allowBlank="1" showInputMessage="1" showErrorMessage="1" sqref="C7935">
      <formula1>UnidadesList</formula1>
    </dataValidation>
    <dataValidation type="decimal" operator="greaterThan" allowBlank="1" showInputMessage="1" showErrorMessage="1" sqref="D7935">
      <formula1>0</formula1>
    </dataValidation>
    <dataValidation type="decimal" operator="greaterThan" allowBlank="1" showInputMessage="1" showErrorMessage="1" sqref="E7935">
      <formula1>0</formula1>
    </dataValidation>
    <dataValidation type="whole" operator="greaterThan" allowBlank="1" showInputMessage="1" showErrorMessage="1" sqref="A7936">
      <formula1>0</formula1>
    </dataValidation>
    <dataValidation type="list" allowBlank="1" showInputMessage="1" showErrorMessage="1" sqref="C7936">
      <formula1>UnidadesList</formula1>
    </dataValidation>
    <dataValidation type="decimal" operator="greaterThan" allowBlank="1" showInputMessage="1" showErrorMessage="1" sqref="D7936">
      <formula1>0</formula1>
    </dataValidation>
    <dataValidation type="decimal" operator="greaterThan" allowBlank="1" showInputMessage="1" showErrorMessage="1" sqref="E7936">
      <formula1>0</formula1>
    </dataValidation>
    <dataValidation type="whole" operator="greaterThan" allowBlank="1" showInputMessage="1" showErrorMessage="1" sqref="A7937">
      <formula1>0</formula1>
    </dataValidation>
    <dataValidation type="list" allowBlank="1" showInputMessage="1" showErrorMessage="1" sqref="C7937">
      <formula1>UnidadesList</formula1>
    </dataValidation>
    <dataValidation type="decimal" operator="greaterThan" allowBlank="1" showInputMessage="1" showErrorMessage="1" sqref="D7937">
      <formula1>0</formula1>
    </dataValidation>
    <dataValidation type="decimal" operator="greaterThan" allowBlank="1" showInputMessage="1" showErrorMessage="1" sqref="E7937">
      <formula1>0</formula1>
    </dataValidation>
    <dataValidation type="whole" operator="greaterThan" allowBlank="1" showInputMessage="1" showErrorMessage="1" sqref="A7938">
      <formula1>0</formula1>
    </dataValidation>
    <dataValidation type="list" allowBlank="1" showInputMessage="1" showErrorMessage="1" sqref="C7938">
      <formula1>UnidadesList</formula1>
    </dataValidation>
    <dataValidation type="decimal" operator="greaterThan" allowBlank="1" showInputMessage="1" showErrorMessage="1" sqref="D7938">
      <formula1>0</formula1>
    </dataValidation>
    <dataValidation type="decimal" operator="greaterThan" allowBlank="1" showInputMessage="1" showErrorMessage="1" sqref="E7938">
      <formula1>0</formula1>
    </dataValidation>
    <dataValidation type="whole" operator="greaterThan" allowBlank="1" showInputMessage="1" showErrorMessage="1" sqref="A7939">
      <formula1>0</formula1>
    </dataValidation>
    <dataValidation type="list" allowBlank="1" showInputMessage="1" showErrorMessage="1" sqref="C7939">
      <formula1>UnidadesList</formula1>
    </dataValidation>
    <dataValidation type="decimal" operator="greaterThan" allowBlank="1" showInputMessage="1" showErrorMessage="1" sqref="D7939">
      <formula1>0</formula1>
    </dataValidation>
    <dataValidation type="decimal" operator="greaterThan" allowBlank="1" showInputMessage="1" showErrorMessage="1" sqref="E7939">
      <formula1>0</formula1>
    </dataValidation>
    <dataValidation type="whole" operator="greaterThan" allowBlank="1" showInputMessage="1" showErrorMessage="1" sqref="A7940">
      <formula1>0</formula1>
    </dataValidation>
    <dataValidation type="list" allowBlank="1" showInputMessage="1" showErrorMessage="1" sqref="C7940">
      <formula1>UnidadesList</formula1>
    </dataValidation>
    <dataValidation type="decimal" operator="greaterThan" allowBlank="1" showInputMessage="1" showErrorMessage="1" sqref="D7940">
      <formula1>0</formula1>
    </dataValidation>
    <dataValidation type="decimal" operator="greaterThan" allowBlank="1" showInputMessage="1" showErrorMessage="1" sqref="E7940">
      <formula1>0</formula1>
    </dataValidation>
    <dataValidation type="whole" operator="greaterThan" allowBlank="1" showInputMessage="1" showErrorMessage="1" sqref="A7941">
      <formula1>0</formula1>
    </dataValidation>
    <dataValidation type="list" allowBlank="1" showInputMessage="1" showErrorMessage="1" sqref="C7941">
      <formula1>UnidadesList</formula1>
    </dataValidation>
    <dataValidation type="decimal" operator="greaterThan" allowBlank="1" showInputMessage="1" showErrorMessage="1" sqref="D7941">
      <formula1>0</formula1>
    </dataValidation>
    <dataValidation type="decimal" operator="greaterThan" allowBlank="1" showInputMessage="1" showErrorMessage="1" sqref="E7941">
      <formula1>0</formula1>
    </dataValidation>
    <dataValidation type="whole" operator="greaterThan" allowBlank="1" showInputMessage="1" showErrorMessage="1" sqref="A7942">
      <formula1>0</formula1>
    </dataValidation>
    <dataValidation type="list" allowBlank="1" showInputMessage="1" showErrorMessage="1" sqref="C7942">
      <formula1>UnidadesList</formula1>
    </dataValidation>
    <dataValidation type="decimal" operator="greaterThan" allowBlank="1" showInputMessage="1" showErrorMessage="1" sqref="D7942">
      <formula1>0</formula1>
    </dataValidation>
    <dataValidation type="decimal" operator="greaterThan" allowBlank="1" showInputMessage="1" showErrorMessage="1" sqref="E7942">
      <formula1>0</formula1>
    </dataValidation>
    <dataValidation type="whole" operator="greaterThan" allowBlank="1" showInputMessage="1" showErrorMessage="1" sqref="A7943">
      <formula1>0</formula1>
    </dataValidation>
    <dataValidation type="list" allowBlank="1" showInputMessage="1" showErrorMessage="1" sqref="C7943">
      <formula1>UnidadesList</formula1>
    </dataValidation>
    <dataValidation type="decimal" operator="greaterThan" allowBlank="1" showInputMessage="1" showErrorMessage="1" sqref="D7943">
      <formula1>0</formula1>
    </dataValidation>
    <dataValidation type="decimal" operator="greaterThan" allowBlank="1" showInputMessage="1" showErrorMessage="1" sqref="E7943">
      <formula1>0</formula1>
    </dataValidation>
    <dataValidation type="whole" operator="greaterThan" allowBlank="1" showInputMessage="1" showErrorMessage="1" sqref="A7944">
      <formula1>0</formula1>
    </dataValidation>
    <dataValidation type="list" allowBlank="1" showInputMessage="1" showErrorMessage="1" sqref="C7944">
      <formula1>UnidadesList</formula1>
    </dataValidation>
    <dataValidation type="decimal" operator="greaterThan" allowBlank="1" showInputMessage="1" showErrorMessage="1" sqref="D7944">
      <formula1>0</formula1>
    </dataValidation>
    <dataValidation type="decimal" operator="greaterThan" allowBlank="1" showInputMessage="1" showErrorMessage="1" sqref="E7944">
      <formula1>0</formula1>
    </dataValidation>
    <dataValidation type="whole" operator="greaterThan" allowBlank="1" showInputMessage="1" showErrorMessage="1" sqref="A7945">
      <formula1>0</formula1>
    </dataValidation>
    <dataValidation type="list" allowBlank="1" showInputMessage="1" showErrorMessage="1" sqref="C7945">
      <formula1>UnidadesList</formula1>
    </dataValidation>
    <dataValidation type="decimal" operator="greaterThan" allowBlank="1" showInputMessage="1" showErrorMessage="1" sqref="D7945">
      <formula1>0</formula1>
    </dataValidation>
    <dataValidation type="decimal" operator="greaterThan" allowBlank="1" showInputMessage="1" showErrorMessage="1" sqref="E7945">
      <formula1>0</formula1>
    </dataValidation>
    <dataValidation type="whole" operator="greaterThan" allowBlank="1" showInputMessage="1" showErrorMessage="1" sqref="A7946">
      <formula1>0</formula1>
    </dataValidation>
    <dataValidation type="list" allowBlank="1" showInputMessage="1" showErrorMessage="1" sqref="C7946">
      <formula1>UnidadesList</formula1>
    </dataValidation>
    <dataValidation type="decimal" operator="greaterThan" allowBlank="1" showInputMessage="1" showErrorMessage="1" sqref="D7946">
      <formula1>0</formula1>
    </dataValidation>
    <dataValidation type="decimal" operator="greaterThan" allowBlank="1" showInputMessage="1" showErrorMessage="1" sqref="E7946">
      <formula1>0</formula1>
    </dataValidation>
    <dataValidation type="whole" operator="greaterThan" allowBlank="1" showInputMessage="1" showErrorMessage="1" sqref="A7947">
      <formula1>0</formula1>
    </dataValidation>
    <dataValidation type="list" allowBlank="1" showInputMessage="1" showErrorMessage="1" sqref="C7947">
      <formula1>UnidadesList</formula1>
    </dataValidation>
    <dataValidation type="decimal" operator="greaterThan" allowBlank="1" showInputMessage="1" showErrorMessage="1" sqref="D7947">
      <formula1>0</formula1>
    </dataValidation>
    <dataValidation type="decimal" operator="greaterThan" allowBlank="1" showInputMessage="1" showErrorMessage="1" sqref="E7947">
      <formula1>0</formula1>
    </dataValidation>
    <dataValidation type="whole" operator="greaterThan" allowBlank="1" showInputMessage="1" showErrorMessage="1" sqref="A7948">
      <formula1>0</formula1>
    </dataValidation>
    <dataValidation type="list" allowBlank="1" showInputMessage="1" showErrorMessage="1" sqref="C7948">
      <formula1>UnidadesList</formula1>
    </dataValidation>
    <dataValidation type="decimal" operator="greaterThan" allowBlank="1" showInputMessage="1" showErrorMessage="1" sqref="D7948">
      <formula1>0</formula1>
    </dataValidation>
    <dataValidation type="decimal" operator="greaterThan" allowBlank="1" showInputMessage="1" showErrorMessage="1" sqref="E7948">
      <formula1>0</formula1>
    </dataValidation>
    <dataValidation type="whole" operator="greaterThan" allowBlank="1" showInputMessage="1" showErrorMessage="1" sqref="A7949">
      <formula1>0</formula1>
    </dataValidation>
    <dataValidation type="list" allowBlank="1" showInputMessage="1" showErrorMessage="1" sqref="C7949">
      <formula1>UnidadesList</formula1>
    </dataValidation>
    <dataValidation type="decimal" operator="greaterThan" allowBlank="1" showInputMessage="1" showErrorMessage="1" sqref="D7949">
      <formula1>0</formula1>
    </dataValidation>
    <dataValidation type="decimal" operator="greaterThan" allowBlank="1" showInputMessage="1" showErrorMessage="1" sqref="E7949">
      <formula1>0</formula1>
    </dataValidation>
    <dataValidation type="whole" operator="greaterThan" allowBlank="1" showInputMessage="1" showErrorMessage="1" sqref="A7950">
      <formula1>0</formula1>
    </dataValidation>
    <dataValidation type="list" allowBlank="1" showInputMessage="1" showErrorMessage="1" sqref="C7950">
      <formula1>UnidadesList</formula1>
    </dataValidation>
    <dataValidation type="decimal" operator="greaterThan" allowBlank="1" showInputMessage="1" showErrorMessage="1" sqref="D7950">
      <formula1>0</formula1>
    </dataValidation>
    <dataValidation type="decimal" operator="greaterThan" allowBlank="1" showInputMessage="1" showErrorMessage="1" sqref="E7950">
      <formula1>0</formula1>
    </dataValidation>
    <dataValidation type="whole" operator="greaterThan" allowBlank="1" showInputMessage="1" showErrorMessage="1" sqref="A7951">
      <formula1>0</formula1>
    </dataValidation>
    <dataValidation type="list" allowBlank="1" showInputMessage="1" showErrorMessage="1" sqref="C7951">
      <formula1>UnidadesList</formula1>
    </dataValidation>
    <dataValidation type="decimal" operator="greaterThan" allowBlank="1" showInputMessage="1" showErrorMessage="1" sqref="D7951">
      <formula1>0</formula1>
    </dataValidation>
    <dataValidation type="decimal" operator="greaterThan" allowBlank="1" showInputMessage="1" showErrorMessage="1" sqref="E7951">
      <formula1>0</formula1>
    </dataValidation>
    <dataValidation type="whole" operator="greaterThan" allowBlank="1" showInputMessage="1" showErrorMessage="1" sqref="A7952">
      <formula1>0</formula1>
    </dataValidation>
    <dataValidation type="list" allowBlank="1" showInputMessage="1" showErrorMessage="1" sqref="C7952">
      <formula1>UnidadesList</formula1>
    </dataValidation>
    <dataValidation type="decimal" operator="greaterThan" allowBlank="1" showInputMessage="1" showErrorMessage="1" sqref="D7952">
      <formula1>0</formula1>
    </dataValidation>
    <dataValidation type="decimal" operator="greaterThan" allowBlank="1" showInputMessage="1" showErrorMessage="1" sqref="E7952">
      <formula1>0</formula1>
    </dataValidation>
    <dataValidation type="whole" operator="greaterThan" allowBlank="1" showInputMessage="1" showErrorMessage="1" sqref="A7953">
      <formula1>0</formula1>
    </dataValidation>
    <dataValidation type="list" allowBlank="1" showInputMessage="1" showErrorMessage="1" sqref="C7953">
      <formula1>UnidadesList</formula1>
    </dataValidation>
    <dataValidation type="decimal" operator="greaterThan" allowBlank="1" showInputMessage="1" showErrorMessage="1" sqref="D7953">
      <formula1>0</formula1>
    </dataValidation>
    <dataValidation type="decimal" operator="greaterThan" allowBlank="1" showInputMessage="1" showErrorMessage="1" sqref="E7953">
      <formula1>0</formula1>
    </dataValidation>
    <dataValidation type="whole" operator="greaterThan" allowBlank="1" showInputMessage="1" showErrorMessage="1" sqref="A7954">
      <formula1>0</formula1>
    </dataValidation>
    <dataValidation type="list" allowBlank="1" showInputMessage="1" showErrorMessage="1" sqref="C7954">
      <formula1>UnidadesList</formula1>
    </dataValidation>
    <dataValidation type="decimal" operator="greaterThan" allowBlank="1" showInputMessage="1" showErrorMessage="1" sqref="D7954">
      <formula1>0</formula1>
    </dataValidation>
    <dataValidation type="decimal" operator="greaterThan" allowBlank="1" showInputMessage="1" showErrorMessage="1" sqref="E7954">
      <formula1>0</formula1>
    </dataValidation>
    <dataValidation type="whole" operator="greaterThan" allowBlank="1" showInputMessage="1" showErrorMessage="1" sqref="A7955">
      <formula1>0</formula1>
    </dataValidation>
    <dataValidation type="list" allowBlank="1" showInputMessage="1" showErrorMessage="1" sqref="C7955">
      <formula1>UnidadesList</formula1>
    </dataValidation>
    <dataValidation type="decimal" operator="greaterThan" allowBlank="1" showInputMessage="1" showErrorMessage="1" sqref="D7955">
      <formula1>0</formula1>
    </dataValidation>
    <dataValidation type="decimal" operator="greaterThan" allowBlank="1" showInputMessage="1" showErrorMessage="1" sqref="E7955">
      <formula1>0</formula1>
    </dataValidation>
    <dataValidation type="whole" operator="greaterThan" allowBlank="1" showInputMessage="1" showErrorMessage="1" sqref="A7956">
      <formula1>0</formula1>
    </dataValidation>
    <dataValidation type="list" allowBlank="1" showInputMessage="1" showErrorMessage="1" sqref="C7956">
      <formula1>UnidadesList</formula1>
    </dataValidation>
    <dataValidation type="decimal" operator="greaterThan" allowBlank="1" showInputMessage="1" showErrorMessage="1" sqref="D7956">
      <formula1>0</formula1>
    </dataValidation>
    <dataValidation type="decimal" operator="greaterThan" allowBlank="1" showInputMessage="1" showErrorMessage="1" sqref="E7956">
      <formula1>0</formula1>
    </dataValidation>
    <dataValidation type="whole" operator="greaterThan" allowBlank="1" showInputMessage="1" showErrorMessage="1" sqref="A7957">
      <formula1>0</formula1>
    </dataValidation>
    <dataValidation type="list" allowBlank="1" showInputMessage="1" showErrorMessage="1" sqref="C7957">
      <formula1>UnidadesList</formula1>
    </dataValidation>
    <dataValidation type="decimal" operator="greaterThan" allowBlank="1" showInputMessage="1" showErrorMessage="1" sqref="D7957">
      <formula1>0</formula1>
    </dataValidation>
    <dataValidation type="decimal" operator="greaterThan" allowBlank="1" showInputMessage="1" showErrorMessage="1" sqref="E7957">
      <formula1>0</formula1>
    </dataValidation>
    <dataValidation type="whole" operator="greaterThan" allowBlank="1" showInputMessage="1" showErrorMessage="1" sqref="A7958">
      <formula1>0</formula1>
    </dataValidation>
    <dataValidation type="list" allowBlank="1" showInputMessage="1" showErrorMessage="1" sqref="C7958">
      <formula1>UnidadesList</formula1>
    </dataValidation>
    <dataValidation type="decimal" operator="greaterThan" allowBlank="1" showInputMessage="1" showErrorMessage="1" sqref="D7958">
      <formula1>0</formula1>
    </dataValidation>
    <dataValidation type="decimal" operator="greaterThan" allowBlank="1" showInputMessage="1" showErrorMessage="1" sqref="E7958">
      <formula1>0</formula1>
    </dataValidation>
    <dataValidation type="whole" operator="greaterThan" allowBlank="1" showInputMessage="1" showErrorMessage="1" sqref="A7959">
      <formula1>0</formula1>
    </dataValidation>
    <dataValidation type="list" allowBlank="1" showInputMessage="1" showErrorMessage="1" sqref="C7959">
      <formula1>UnidadesList</formula1>
    </dataValidation>
    <dataValidation type="decimal" operator="greaterThan" allowBlank="1" showInputMessage="1" showErrorMessage="1" sqref="D7959">
      <formula1>0</formula1>
    </dataValidation>
    <dataValidation type="decimal" operator="greaterThan" allowBlank="1" showInputMessage="1" showErrorMessage="1" sqref="E7959">
      <formula1>0</formula1>
    </dataValidation>
    <dataValidation type="whole" operator="greaterThan" allowBlank="1" showInputMessage="1" showErrorMessage="1" sqref="A7960">
      <formula1>0</formula1>
    </dataValidation>
    <dataValidation type="list" allowBlank="1" showInputMessage="1" showErrorMessage="1" sqref="C7960">
      <formula1>UnidadesList</formula1>
    </dataValidation>
    <dataValidation type="decimal" operator="greaterThan" allowBlank="1" showInputMessage="1" showErrorMessage="1" sqref="D7960">
      <formula1>0</formula1>
    </dataValidation>
    <dataValidation type="decimal" operator="greaterThan" allowBlank="1" showInputMessage="1" showErrorMessage="1" sqref="E7960">
      <formula1>0</formula1>
    </dataValidation>
    <dataValidation type="whole" operator="greaterThan" allowBlank="1" showInputMessage="1" showErrorMessage="1" sqref="A7961">
      <formula1>0</formula1>
    </dataValidation>
    <dataValidation type="list" allowBlank="1" showInputMessage="1" showErrorMessage="1" sqref="C7961">
      <formula1>UnidadesList</formula1>
    </dataValidation>
    <dataValidation type="decimal" operator="greaterThan" allowBlank="1" showInputMessage="1" showErrorMessage="1" sqref="D7961">
      <formula1>0</formula1>
    </dataValidation>
    <dataValidation type="decimal" operator="greaterThan" allowBlank="1" showInputMessage="1" showErrorMessage="1" sqref="E7961">
      <formula1>0</formula1>
    </dataValidation>
    <dataValidation type="whole" operator="greaterThan" allowBlank="1" showInputMessage="1" showErrorMessage="1" sqref="A7962">
      <formula1>0</formula1>
    </dataValidation>
    <dataValidation type="list" allowBlank="1" showInputMessage="1" showErrorMessage="1" sqref="C7962">
      <formula1>UnidadesList</formula1>
    </dataValidation>
    <dataValidation type="decimal" operator="greaterThan" allowBlank="1" showInputMessage="1" showErrorMessage="1" sqref="D7962">
      <formula1>0</formula1>
    </dataValidation>
    <dataValidation type="decimal" operator="greaterThan" allowBlank="1" showInputMessage="1" showErrorMessage="1" sqref="E7962">
      <formula1>0</formula1>
    </dataValidation>
    <dataValidation type="whole" operator="greaterThan" allowBlank="1" showInputMessage="1" showErrorMessage="1" sqref="A7963">
      <formula1>0</formula1>
    </dataValidation>
    <dataValidation type="list" allowBlank="1" showInputMessage="1" showErrorMessage="1" sqref="C7963">
      <formula1>UnidadesList</formula1>
    </dataValidation>
    <dataValidation type="decimal" operator="greaterThan" allowBlank="1" showInputMessage="1" showErrorMessage="1" sqref="D7963">
      <formula1>0</formula1>
    </dataValidation>
    <dataValidation type="decimal" operator="greaterThan" allowBlank="1" showInputMessage="1" showErrorMessage="1" sqref="E7963">
      <formula1>0</formula1>
    </dataValidation>
    <dataValidation type="whole" operator="greaterThan" allowBlank="1" showInputMessage="1" showErrorMessage="1" sqref="A7964">
      <formula1>0</formula1>
    </dataValidation>
    <dataValidation type="list" allowBlank="1" showInputMessage="1" showErrorMessage="1" sqref="C7964">
      <formula1>UnidadesList</formula1>
    </dataValidation>
    <dataValidation type="decimal" operator="greaterThan" allowBlank="1" showInputMessage="1" showErrorMessage="1" sqref="D7964">
      <formula1>0</formula1>
    </dataValidation>
    <dataValidation type="decimal" operator="greaterThan" allowBlank="1" showInputMessage="1" showErrorMessage="1" sqref="E7964">
      <formula1>0</formula1>
    </dataValidation>
    <dataValidation type="whole" operator="greaterThan" allowBlank="1" showInputMessage="1" showErrorMessage="1" sqref="A7965">
      <formula1>0</formula1>
    </dataValidation>
    <dataValidation type="list" allowBlank="1" showInputMessage="1" showErrorMessage="1" sqref="C7965">
      <formula1>UnidadesList</formula1>
    </dataValidation>
    <dataValidation type="decimal" operator="greaterThan" allowBlank="1" showInputMessage="1" showErrorMessage="1" sqref="D7965">
      <formula1>0</formula1>
    </dataValidation>
    <dataValidation type="decimal" operator="greaterThan" allowBlank="1" showInputMessage="1" showErrorMessage="1" sqref="E7965">
      <formula1>0</formula1>
    </dataValidation>
    <dataValidation type="whole" operator="greaterThan" allowBlank="1" showInputMessage="1" showErrorMessage="1" sqref="A7966">
      <formula1>0</formula1>
    </dataValidation>
    <dataValidation type="list" allowBlank="1" showInputMessage="1" showErrorMessage="1" sqref="C7966">
      <formula1>UnidadesList</formula1>
    </dataValidation>
    <dataValidation type="decimal" operator="greaterThan" allowBlank="1" showInputMessage="1" showErrorMessage="1" sqref="D7966">
      <formula1>0</formula1>
    </dataValidation>
    <dataValidation type="decimal" operator="greaterThan" allowBlank="1" showInputMessage="1" showErrorMessage="1" sqref="E7966">
      <formula1>0</formula1>
    </dataValidation>
    <dataValidation type="whole" operator="greaterThan" allowBlank="1" showInputMessage="1" showErrorMessage="1" sqref="A7967">
      <formula1>0</formula1>
    </dataValidation>
    <dataValidation type="list" allowBlank="1" showInputMessage="1" showErrorMessage="1" sqref="C7967">
      <formula1>UnidadesList</formula1>
    </dataValidation>
    <dataValidation type="decimal" operator="greaterThan" allowBlank="1" showInputMessage="1" showErrorMessage="1" sqref="D7967">
      <formula1>0</formula1>
    </dataValidation>
    <dataValidation type="decimal" operator="greaterThan" allowBlank="1" showInputMessage="1" showErrorMessage="1" sqref="E7967">
      <formula1>0</formula1>
    </dataValidation>
    <dataValidation type="whole" operator="greaterThan" allowBlank="1" showInputMessage="1" showErrorMessage="1" sqref="A7968">
      <formula1>0</formula1>
    </dataValidation>
    <dataValidation type="list" allowBlank="1" showInputMessage="1" showErrorMessage="1" sqref="C7968">
      <formula1>UnidadesList</formula1>
    </dataValidation>
    <dataValidation type="decimal" operator="greaterThan" allowBlank="1" showInputMessage="1" showErrorMessage="1" sqref="D7968">
      <formula1>0</formula1>
    </dataValidation>
    <dataValidation type="decimal" operator="greaterThan" allowBlank="1" showInputMessage="1" showErrorMessage="1" sqref="E7968">
      <formula1>0</formula1>
    </dataValidation>
    <dataValidation type="whole" operator="greaterThan" allowBlank="1" showInputMessage="1" showErrorMessage="1" sqref="A7969">
      <formula1>0</formula1>
    </dataValidation>
    <dataValidation type="list" allowBlank="1" showInputMessage="1" showErrorMessage="1" sqref="C7969">
      <formula1>UnidadesList</formula1>
    </dataValidation>
    <dataValidation type="decimal" operator="greaterThan" allowBlank="1" showInputMessage="1" showErrorMessage="1" sqref="D7969">
      <formula1>0</formula1>
    </dataValidation>
    <dataValidation type="decimal" operator="greaterThan" allowBlank="1" showInputMessage="1" showErrorMessage="1" sqref="E7969">
      <formula1>0</formula1>
    </dataValidation>
    <dataValidation type="date" operator="lessThanOrEqual" allowBlank="1" showInputMessage="1" showErrorMessage="1" sqref="C7974">
      <formula1>C7976</formula1>
    </dataValidation>
    <dataValidation type="date" operator="greaterThanOrEqual" allowBlank="1" showInputMessage="1" showErrorMessage="1" sqref="C7976">
      <formula1>C7974</formula1>
    </dataValidation>
    <dataValidation type="list" allowBlank="1" showInputMessage="1" showErrorMessage="1" sqref="F797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97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97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97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980">
      <formula1>0</formula1>
    </dataValidation>
    <dataValidation type="list" allowBlank="1" showInputMessage="1" showErrorMessage="1" sqref="C7980">
      <formula1>UnidadesList</formula1>
    </dataValidation>
    <dataValidation type="decimal" operator="greaterThan" allowBlank="1" showInputMessage="1" showErrorMessage="1" sqref="D7980">
      <formula1>0</formula1>
    </dataValidation>
    <dataValidation type="decimal" operator="greaterThan" allowBlank="1" showInputMessage="1" showErrorMessage="1" sqref="E7980">
      <formula1>0</formula1>
    </dataValidation>
    <dataValidation type="whole" operator="greaterThan" allowBlank="1" showInputMessage="1" showErrorMessage="1" sqref="A7981">
      <formula1>0</formula1>
    </dataValidation>
    <dataValidation type="list" allowBlank="1" showInputMessage="1" showErrorMessage="1" sqref="C7981">
      <formula1>UnidadesList</formula1>
    </dataValidation>
    <dataValidation type="decimal" operator="greaterThan" allowBlank="1" showInputMessage="1" showErrorMessage="1" sqref="D7981">
      <formula1>0</formula1>
    </dataValidation>
    <dataValidation type="decimal" operator="greaterThan" allowBlank="1" showInputMessage="1" showErrorMessage="1" sqref="E7981">
      <formula1>0</formula1>
    </dataValidation>
    <dataValidation type="whole" operator="greaterThan" allowBlank="1" showInputMessage="1" showErrorMessage="1" sqref="A7982">
      <formula1>0</formula1>
    </dataValidation>
    <dataValidation type="list" allowBlank="1" showInputMessage="1" showErrorMessage="1" sqref="C7982">
      <formula1>UnidadesList</formula1>
    </dataValidation>
    <dataValidation type="decimal" operator="greaterThan" allowBlank="1" showInputMessage="1" showErrorMessage="1" sqref="D7982">
      <formula1>0</formula1>
    </dataValidation>
    <dataValidation type="decimal" operator="greaterThan" allowBlank="1" showInputMessage="1" showErrorMessage="1" sqref="E7982">
      <formula1>0</formula1>
    </dataValidation>
    <dataValidation type="whole" operator="greaterThan" allowBlank="1" showInputMessage="1" showErrorMessage="1" sqref="A7983">
      <formula1>0</formula1>
    </dataValidation>
    <dataValidation type="list" allowBlank="1" showInputMessage="1" showErrorMessage="1" sqref="C7983">
      <formula1>UnidadesList</formula1>
    </dataValidation>
    <dataValidation type="decimal" operator="greaterThan" allowBlank="1" showInputMessage="1" showErrorMessage="1" sqref="D7983">
      <formula1>0</formula1>
    </dataValidation>
    <dataValidation type="decimal" operator="greaterThan" allowBlank="1" showInputMessage="1" showErrorMessage="1" sqref="E7983">
      <formula1>0</formula1>
    </dataValidation>
    <dataValidation type="whole" operator="greaterThan" allowBlank="1" showInputMessage="1" showErrorMessage="1" sqref="A7984">
      <formula1>0</formula1>
    </dataValidation>
    <dataValidation type="list" allowBlank="1" showInputMessage="1" showErrorMessage="1" sqref="C7984">
      <formula1>UnidadesList</formula1>
    </dataValidation>
    <dataValidation type="decimal" operator="greaterThan" allowBlank="1" showInputMessage="1" showErrorMessage="1" sqref="D7984">
      <formula1>0</formula1>
    </dataValidation>
    <dataValidation type="decimal" operator="greaterThan" allowBlank="1" showInputMessage="1" showErrorMessage="1" sqref="E7984">
      <formula1>0</formula1>
    </dataValidation>
    <dataValidation type="whole" operator="greaterThan" allowBlank="1" showInputMessage="1" showErrorMessage="1" sqref="A7985">
      <formula1>0</formula1>
    </dataValidation>
    <dataValidation type="list" allowBlank="1" showInputMessage="1" showErrorMessage="1" sqref="C7985">
      <formula1>UnidadesList</formula1>
    </dataValidation>
    <dataValidation type="decimal" operator="greaterThan" allowBlank="1" showInputMessage="1" showErrorMessage="1" sqref="D7985">
      <formula1>0</formula1>
    </dataValidation>
    <dataValidation type="decimal" operator="greaterThan" allowBlank="1" showInputMessage="1" showErrorMessage="1" sqref="E7985">
      <formula1>0</formula1>
    </dataValidation>
    <dataValidation type="whole" operator="greaterThan" allowBlank="1" showInputMessage="1" showErrorMessage="1" sqref="A7986">
      <formula1>0</formula1>
    </dataValidation>
    <dataValidation type="list" allowBlank="1" showInputMessage="1" showErrorMessage="1" sqref="C7986">
      <formula1>UnidadesList</formula1>
    </dataValidation>
    <dataValidation type="decimal" operator="greaterThan" allowBlank="1" showInputMessage="1" showErrorMessage="1" sqref="D7986">
      <formula1>0</formula1>
    </dataValidation>
    <dataValidation type="decimal" operator="greaterThan" allowBlank="1" showInputMessage="1" showErrorMessage="1" sqref="E7986">
      <formula1>0</formula1>
    </dataValidation>
    <dataValidation type="whole" operator="greaterThan" allowBlank="1" showInputMessage="1" showErrorMessage="1" sqref="A7987">
      <formula1>0</formula1>
    </dataValidation>
    <dataValidation type="list" allowBlank="1" showInputMessage="1" showErrorMessage="1" sqref="C7987">
      <formula1>UnidadesList</formula1>
    </dataValidation>
    <dataValidation type="decimal" operator="greaterThan" allowBlank="1" showInputMessage="1" showErrorMessage="1" sqref="D7987">
      <formula1>0</formula1>
    </dataValidation>
    <dataValidation type="decimal" operator="greaterThan" allowBlank="1" showInputMessage="1" showErrorMessage="1" sqref="E7987">
      <formula1>0</formula1>
    </dataValidation>
    <dataValidation type="whole" operator="greaterThan" allowBlank="1" showInputMessage="1" showErrorMessage="1" sqref="A7988">
      <formula1>0</formula1>
    </dataValidation>
    <dataValidation type="list" allowBlank="1" showInputMessage="1" showErrorMessage="1" sqref="C7988">
      <formula1>UnidadesList</formula1>
    </dataValidation>
    <dataValidation type="decimal" operator="greaterThan" allowBlank="1" showInputMessage="1" showErrorMessage="1" sqref="D7988">
      <formula1>0</formula1>
    </dataValidation>
    <dataValidation type="decimal" operator="greaterThan" allowBlank="1" showInputMessage="1" showErrorMessage="1" sqref="E7988">
      <formula1>0</formula1>
    </dataValidation>
    <dataValidation type="whole" operator="greaterThan" allowBlank="1" showInputMessage="1" showErrorMessage="1" sqref="A7989">
      <formula1>0</formula1>
    </dataValidation>
    <dataValidation type="list" allowBlank="1" showInputMessage="1" showErrorMessage="1" sqref="C7989">
      <formula1>UnidadesList</formula1>
    </dataValidation>
    <dataValidation type="decimal" operator="greaterThan" allowBlank="1" showInputMessage="1" showErrorMessage="1" sqref="D7989">
      <formula1>0</formula1>
    </dataValidation>
    <dataValidation type="decimal" operator="greaterThan" allowBlank="1" showInputMessage="1" showErrorMessage="1" sqref="E7989">
      <formula1>0</formula1>
    </dataValidation>
    <dataValidation type="whole" operator="greaterThan" allowBlank="1" showInputMessage="1" showErrorMessage="1" sqref="A7990">
      <formula1>0</formula1>
    </dataValidation>
    <dataValidation type="list" allowBlank="1" showInputMessage="1" showErrorMessage="1" sqref="C7990">
      <formula1>UnidadesList</formula1>
    </dataValidation>
    <dataValidation type="decimal" operator="greaterThan" allowBlank="1" showInputMessage="1" showErrorMessage="1" sqref="D7990">
      <formula1>0</formula1>
    </dataValidation>
    <dataValidation type="decimal" operator="greaterThan" allowBlank="1" showInputMessage="1" showErrorMessage="1" sqref="E7990">
      <formula1>0</formula1>
    </dataValidation>
    <dataValidation type="whole" operator="greaterThan" allowBlank="1" showInputMessage="1" showErrorMessage="1" sqref="A7991">
      <formula1>0</formula1>
    </dataValidation>
    <dataValidation type="list" allowBlank="1" showInputMessage="1" showErrorMessage="1" sqref="C7991">
      <formula1>UnidadesList</formula1>
    </dataValidation>
    <dataValidation type="decimal" operator="greaterThan" allowBlank="1" showInputMessage="1" showErrorMessage="1" sqref="D7991">
      <formula1>0</formula1>
    </dataValidation>
    <dataValidation type="decimal" operator="greaterThan" allowBlank="1" showInputMessage="1" showErrorMessage="1" sqref="E7991">
      <formula1>0</formula1>
    </dataValidation>
    <dataValidation type="whole" operator="greaterThan" allowBlank="1" showInputMessage="1" showErrorMessage="1" sqref="A7992">
      <formula1>0</formula1>
    </dataValidation>
    <dataValidation type="list" allowBlank="1" showInputMessage="1" showErrorMessage="1" sqref="C7992">
      <formula1>UnidadesList</formula1>
    </dataValidation>
    <dataValidation type="decimal" operator="greaterThan" allowBlank="1" showInputMessage="1" showErrorMessage="1" sqref="D7992">
      <formula1>0</formula1>
    </dataValidation>
    <dataValidation type="decimal" operator="greaterThan" allowBlank="1" showInputMessage="1" showErrorMessage="1" sqref="E7992">
      <formula1>0</formula1>
    </dataValidation>
    <dataValidation type="whole" operator="greaterThan" allowBlank="1" showInputMessage="1" showErrorMessage="1" sqref="A7993">
      <formula1>0</formula1>
    </dataValidation>
    <dataValidation type="list" allowBlank="1" showInputMessage="1" showErrorMessage="1" sqref="C7993">
      <formula1>UnidadesList</formula1>
    </dataValidation>
    <dataValidation type="decimal" operator="greaterThan" allowBlank="1" showInputMessage="1" showErrorMessage="1" sqref="D7993">
      <formula1>0</formula1>
    </dataValidation>
    <dataValidation type="decimal" operator="greaterThan" allowBlank="1" showInputMessage="1" showErrorMessage="1" sqref="E7993">
      <formula1>0</formula1>
    </dataValidation>
    <dataValidation type="whole" operator="greaterThan" allowBlank="1" showInputMessage="1" showErrorMessage="1" sqref="A7994">
      <formula1>0</formula1>
    </dataValidation>
    <dataValidation type="list" allowBlank="1" showInputMessage="1" showErrorMessage="1" sqref="C7994">
      <formula1>UnidadesList</formula1>
    </dataValidation>
    <dataValidation type="decimal" operator="greaterThan" allowBlank="1" showInputMessage="1" showErrorMessage="1" sqref="D7994">
      <formula1>0</formula1>
    </dataValidation>
    <dataValidation type="decimal" operator="greaterThan" allowBlank="1" showInputMessage="1" showErrorMessage="1" sqref="E7994">
      <formula1>0</formula1>
    </dataValidation>
    <dataValidation type="whole" operator="greaterThan" allowBlank="1" showInputMessage="1" showErrorMessage="1" sqref="A7995">
      <formula1>0</formula1>
    </dataValidation>
    <dataValidation type="list" allowBlank="1" showInputMessage="1" showErrorMessage="1" sqref="C7995">
      <formula1>UnidadesList</formula1>
    </dataValidation>
    <dataValidation type="decimal" operator="greaterThan" allowBlank="1" showInputMessage="1" showErrorMessage="1" sqref="D7995">
      <formula1>0</formula1>
    </dataValidation>
    <dataValidation type="decimal" operator="greaterThan" allowBlank="1" showInputMessage="1" showErrorMessage="1" sqref="E7995">
      <formula1>0</formula1>
    </dataValidation>
    <dataValidation type="whole" operator="greaterThan" allowBlank="1" showInputMessage="1" showErrorMessage="1" sqref="A7996">
      <formula1>0</formula1>
    </dataValidation>
    <dataValidation type="list" allowBlank="1" showInputMessage="1" showErrorMessage="1" sqref="C7996">
      <formula1>UnidadesList</formula1>
    </dataValidation>
    <dataValidation type="decimal" operator="greaterThan" allowBlank="1" showInputMessage="1" showErrorMessage="1" sqref="D7996">
      <formula1>0</formula1>
    </dataValidation>
    <dataValidation type="decimal" operator="greaterThan" allowBlank="1" showInputMessage="1" showErrorMessage="1" sqref="E7996">
      <formula1>0</formula1>
    </dataValidation>
    <dataValidation type="whole" operator="greaterThan" allowBlank="1" showInputMessage="1" showErrorMessage="1" sqref="A7997">
      <formula1>0</formula1>
    </dataValidation>
    <dataValidation type="list" allowBlank="1" showInputMessage="1" showErrorMessage="1" sqref="C7997">
      <formula1>UnidadesList</formula1>
    </dataValidation>
    <dataValidation type="decimal" operator="greaterThan" allowBlank="1" showInputMessage="1" showErrorMessage="1" sqref="D7997">
      <formula1>0</formula1>
    </dataValidation>
    <dataValidation type="decimal" operator="greaterThan" allowBlank="1" showInputMessage="1" showErrorMessage="1" sqref="E7997">
      <formula1>0</formula1>
    </dataValidation>
    <dataValidation type="whole" operator="greaterThan" allowBlank="1" showInputMessage="1" showErrorMessage="1" sqref="A7998">
      <formula1>0</formula1>
    </dataValidation>
    <dataValidation type="list" allowBlank="1" showInputMessage="1" showErrorMessage="1" sqref="C7998">
      <formula1>UnidadesList</formula1>
    </dataValidation>
    <dataValidation type="decimal" operator="greaterThan" allowBlank="1" showInputMessage="1" showErrorMessage="1" sqref="D7998">
      <formula1>0</formula1>
    </dataValidation>
    <dataValidation type="decimal" operator="greaterThan" allowBlank="1" showInputMessage="1" showErrorMessage="1" sqref="E7998">
      <formula1>0</formula1>
    </dataValidation>
    <dataValidation type="whole" operator="greaterThan" allowBlank="1" showInputMessage="1" showErrorMessage="1" sqref="A7999">
      <formula1>0</formula1>
    </dataValidation>
    <dataValidation type="list" allowBlank="1" showInputMessage="1" showErrorMessage="1" sqref="C7999">
      <formula1>UnidadesList</formula1>
    </dataValidation>
    <dataValidation type="decimal" operator="greaterThan" allowBlank="1" showInputMessage="1" showErrorMessage="1" sqref="D7999">
      <formula1>0</formula1>
    </dataValidation>
    <dataValidation type="decimal" operator="greaterThan" allowBlank="1" showInputMessage="1" showErrorMessage="1" sqref="E7999">
      <formula1>0</formula1>
    </dataValidation>
    <dataValidation type="whole" operator="greaterThan" allowBlank="1" showInputMessage="1" showErrorMessage="1" sqref="A8000">
      <formula1>0</formula1>
    </dataValidation>
    <dataValidation type="list" allowBlank="1" showInputMessage="1" showErrorMessage="1" sqref="C8000">
      <formula1>UnidadesList</formula1>
    </dataValidation>
    <dataValidation type="decimal" operator="greaterThan" allowBlank="1" showInputMessage="1" showErrorMessage="1" sqref="D8000">
      <formula1>0</formula1>
    </dataValidation>
    <dataValidation type="decimal" operator="greaterThan" allowBlank="1" showInputMessage="1" showErrorMessage="1" sqref="E8000">
      <formula1>0</formula1>
    </dataValidation>
    <dataValidation type="whole" operator="greaterThan" allowBlank="1" showInputMessage="1" showErrorMessage="1" sqref="A8001">
      <formula1>0</formula1>
    </dataValidation>
    <dataValidation type="list" allowBlank="1" showInputMessage="1" showErrorMessage="1" sqref="C8001">
      <formula1>UnidadesList</formula1>
    </dataValidation>
    <dataValidation type="decimal" operator="greaterThan" allowBlank="1" showInputMessage="1" showErrorMessage="1" sqref="D8001">
      <formula1>0</formula1>
    </dataValidation>
    <dataValidation type="decimal" operator="greaterThan" allowBlank="1" showInputMessage="1" showErrorMessage="1" sqref="E8001">
      <formula1>0</formula1>
    </dataValidation>
    <dataValidation type="whole" operator="greaterThan" allowBlank="1" showInputMessage="1" showErrorMessage="1" sqref="A8002">
      <formula1>0</formula1>
    </dataValidation>
    <dataValidation type="list" allowBlank="1" showInputMessage="1" showErrorMessage="1" sqref="C8002">
      <formula1>UnidadesList</formula1>
    </dataValidation>
    <dataValidation type="decimal" operator="greaterThan" allowBlank="1" showInputMessage="1" showErrorMessage="1" sqref="D8002">
      <formula1>0</formula1>
    </dataValidation>
    <dataValidation type="decimal" operator="greaterThan" allowBlank="1" showInputMessage="1" showErrorMessage="1" sqref="E8002">
      <formula1>0</formula1>
    </dataValidation>
    <dataValidation type="whole" operator="greaterThan" allowBlank="1" showInputMessage="1" showErrorMessage="1" sqref="A8003">
      <formula1>0</formula1>
    </dataValidation>
    <dataValidation type="list" allowBlank="1" showInputMessage="1" showErrorMessage="1" sqref="C8003">
      <formula1>UnidadesList</formula1>
    </dataValidation>
    <dataValidation type="decimal" operator="greaterThan" allowBlank="1" showInputMessage="1" showErrorMessage="1" sqref="D8003">
      <formula1>0</formula1>
    </dataValidation>
    <dataValidation type="decimal" operator="greaterThan" allowBlank="1" showInputMessage="1" showErrorMessage="1" sqref="E8003">
      <formula1>0</formula1>
    </dataValidation>
    <dataValidation type="whole" operator="greaterThan" allowBlank="1" showInputMessage="1" showErrorMessage="1" sqref="A8004">
      <formula1>0</formula1>
    </dataValidation>
    <dataValidation type="list" allowBlank="1" showInputMessage="1" showErrorMessage="1" sqref="C8004">
      <formula1>UnidadesList</formula1>
    </dataValidation>
    <dataValidation type="decimal" operator="greaterThan" allowBlank="1" showInputMessage="1" showErrorMessage="1" sqref="D8004">
      <formula1>0</formula1>
    </dataValidation>
    <dataValidation type="decimal" operator="greaterThan" allowBlank="1" showInputMessage="1" showErrorMessage="1" sqref="E8004">
      <formula1>0</formula1>
    </dataValidation>
    <dataValidation type="whole" operator="greaterThan" allowBlank="1" showInputMessage="1" showErrorMessage="1" sqref="A8005">
      <formula1>0</formula1>
    </dataValidation>
    <dataValidation type="list" allowBlank="1" showInputMessage="1" showErrorMessage="1" sqref="C8005">
      <formula1>UnidadesList</formula1>
    </dataValidation>
    <dataValidation type="decimal" operator="greaterThan" allowBlank="1" showInputMessage="1" showErrorMessage="1" sqref="D8005">
      <formula1>0</formula1>
    </dataValidation>
    <dataValidation type="decimal" operator="greaterThan" allowBlank="1" showInputMessage="1" showErrorMessage="1" sqref="E8005">
      <formula1>0</formula1>
    </dataValidation>
    <dataValidation type="whole" operator="greaterThan" allowBlank="1" showInputMessage="1" showErrorMessage="1" sqref="A8006">
      <formula1>0</formula1>
    </dataValidation>
    <dataValidation type="list" allowBlank="1" showInputMessage="1" showErrorMessage="1" sqref="C8006">
      <formula1>UnidadesList</formula1>
    </dataValidation>
    <dataValidation type="decimal" operator="greaterThan" allowBlank="1" showInputMessage="1" showErrorMessage="1" sqref="D8006">
      <formula1>0</formula1>
    </dataValidation>
    <dataValidation type="decimal" operator="greaterThan" allowBlank="1" showInputMessage="1" showErrorMessage="1" sqref="E8006">
      <formula1>0</formula1>
    </dataValidation>
    <dataValidation type="whole" operator="greaterThan" allowBlank="1" showInputMessage="1" showErrorMessage="1" sqref="A8007">
      <formula1>0</formula1>
    </dataValidation>
    <dataValidation type="list" allowBlank="1" showInputMessage="1" showErrorMessage="1" sqref="C8007">
      <formula1>UnidadesList</formula1>
    </dataValidation>
    <dataValidation type="decimal" operator="greaterThan" allowBlank="1" showInputMessage="1" showErrorMessage="1" sqref="D8007">
      <formula1>0</formula1>
    </dataValidation>
    <dataValidation type="decimal" operator="greaterThan" allowBlank="1" showInputMessage="1" showErrorMessage="1" sqref="E8007">
      <formula1>0</formula1>
    </dataValidation>
    <dataValidation type="whole" operator="greaterThan" allowBlank="1" showInputMessage="1" showErrorMessage="1" sqref="A8008">
      <formula1>0</formula1>
    </dataValidation>
    <dataValidation type="list" allowBlank="1" showInputMessage="1" showErrorMessage="1" sqref="C8008">
      <formula1>UnidadesList</formula1>
    </dataValidation>
    <dataValidation type="decimal" operator="greaterThan" allowBlank="1" showInputMessage="1" showErrorMessage="1" sqref="D8008">
      <formula1>0</formula1>
    </dataValidation>
    <dataValidation type="decimal" operator="greaterThan" allowBlank="1" showInputMessage="1" showErrorMessage="1" sqref="E8008">
      <formula1>0</formula1>
    </dataValidation>
    <dataValidation type="whole" operator="greaterThan" allowBlank="1" showInputMessage="1" showErrorMessage="1" sqref="A8009">
      <formula1>0</formula1>
    </dataValidation>
    <dataValidation type="list" allowBlank="1" showInputMessage="1" showErrorMessage="1" sqref="C8009">
      <formula1>UnidadesList</formula1>
    </dataValidation>
    <dataValidation type="decimal" operator="greaterThan" allowBlank="1" showInputMessage="1" showErrorMessage="1" sqref="D8009">
      <formula1>0</formula1>
    </dataValidation>
    <dataValidation type="decimal" operator="greaterThan" allowBlank="1" showInputMessage="1" showErrorMessage="1" sqref="E8009">
      <formula1>0</formula1>
    </dataValidation>
    <dataValidation type="whole" operator="greaterThan" allowBlank="1" showInputMessage="1" showErrorMessage="1" sqref="A8010">
      <formula1>0</formula1>
    </dataValidation>
    <dataValidation type="list" allowBlank="1" showInputMessage="1" showErrorMessage="1" sqref="C8010">
      <formula1>UnidadesList</formula1>
    </dataValidation>
    <dataValidation type="decimal" operator="greaterThan" allowBlank="1" showInputMessage="1" showErrorMessage="1" sqref="D8010">
      <formula1>0</formula1>
    </dataValidation>
    <dataValidation type="decimal" operator="greaterThan" allowBlank="1" showInputMessage="1" showErrorMessage="1" sqref="E8010">
      <formula1>0</formula1>
    </dataValidation>
    <dataValidation type="whole" operator="greaterThan" allowBlank="1" showInputMessage="1" showErrorMessage="1" sqref="A8011">
      <formula1>0</formula1>
    </dataValidation>
    <dataValidation type="list" allowBlank="1" showInputMessage="1" showErrorMessage="1" sqref="C8011">
      <formula1>UnidadesList</formula1>
    </dataValidation>
    <dataValidation type="decimal" operator="greaterThan" allowBlank="1" showInputMessage="1" showErrorMessage="1" sqref="D8011">
      <formula1>0</formula1>
    </dataValidation>
    <dataValidation type="decimal" operator="greaterThan" allowBlank="1" showInputMessage="1" showErrorMessage="1" sqref="E8011">
      <formula1>0</formula1>
    </dataValidation>
    <dataValidation type="whole" operator="greaterThan" allowBlank="1" showInputMessage="1" showErrorMessage="1" sqref="A8012">
      <formula1>0</formula1>
    </dataValidation>
    <dataValidation type="list" allowBlank="1" showInputMessage="1" showErrorMessage="1" sqref="C8012">
      <formula1>UnidadesList</formula1>
    </dataValidation>
    <dataValidation type="decimal" operator="greaterThan" allowBlank="1" showInputMessage="1" showErrorMessage="1" sqref="D8012">
      <formula1>0</formula1>
    </dataValidation>
    <dataValidation type="decimal" operator="greaterThan" allowBlank="1" showInputMessage="1" showErrorMessage="1" sqref="E8012">
      <formula1>0</formula1>
    </dataValidation>
    <dataValidation type="whole" operator="greaterThan" allowBlank="1" showInputMessage="1" showErrorMessage="1" sqref="A8013">
      <formula1>0</formula1>
    </dataValidation>
    <dataValidation type="list" allowBlank="1" showInputMessage="1" showErrorMessage="1" sqref="C8013">
      <formula1>UnidadesList</formula1>
    </dataValidation>
    <dataValidation type="decimal" operator="greaterThan" allowBlank="1" showInputMessage="1" showErrorMessage="1" sqref="D8013">
      <formula1>0</formula1>
    </dataValidation>
    <dataValidation type="decimal" operator="greaterThan" allowBlank="1" showInputMessage="1" showErrorMessage="1" sqref="E8013">
      <formula1>0</formula1>
    </dataValidation>
    <dataValidation type="whole" operator="greaterThan" allowBlank="1" showInputMessage="1" showErrorMessage="1" sqref="A8014">
      <formula1>0</formula1>
    </dataValidation>
    <dataValidation type="list" allowBlank="1" showInputMessage="1" showErrorMessage="1" sqref="C8014">
      <formula1>UnidadesList</formula1>
    </dataValidation>
    <dataValidation type="decimal" operator="greaterThan" allowBlank="1" showInputMessage="1" showErrorMessage="1" sqref="D8014">
      <formula1>0</formula1>
    </dataValidation>
    <dataValidation type="decimal" operator="greaterThan" allowBlank="1" showInputMessage="1" showErrorMessage="1" sqref="E8014">
      <formula1>0</formula1>
    </dataValidation>
    <dataValidation type="whole" operator="greaterThan" allowBlank="1" showInputMessage="1" showErrorMessage="1" sqref="A8015">
      <formula1>0</formula1>
    </dataValidation>
    <dataValidation type="list" allowBlank="1" showInputMessage="1" showErrorMessage="1" sqref="C8015">
      <formula1>UnidadesList</formula1>
    </dataValidation>
    <dataValidation type="decimal" operator="greaterThan" allowBlank="1" showInputMessage="1" showErrorMessage="1" sqref="D8015">
      <formula1>0</formula1>
    </dataValidation>
    <dataValidation type="decimal" operator="greaterThan" allowBlank="1" showInputMessage="1" showErrorMessage="1" sqref="E8015">
      <formula1>0</formula1>
    </dataValidation>
    <dataValidation type="whole" operator="greaterThan" allowBlank="1" showInputMessage="1" showErrorMessage="1" sqref="A8016">
      <formula1>0</formula1>
    </dataValidation>
    <dataValidation type="list" allowBlank="1" showInputMessage="1" showErrorMessage="1" sqref="C8016">
      <formula1>UnidadesList</formula1>
    </dataValidation>
    <dataValidation type="decimal" operator="greaterThan" allowBlank="1" showInputMessage="1" showErrorMessage="1" sqref="D8016">
      <formula1>0</formula1>
    </dataValidation>
    <dataValidation type="decimal" operator="greaterThan" allowBlank="1" showInputMessage="1" showErrorMessage="1" sqref="E8016">
      <formula1>0</formula1>
    </dataValidation>
    <dataValidation type="date" operator="lessThanOrEqual" allowBlank="1" showInputMessage="1" showErrorMessage="1" sqref="C8021">
      <formula1>C8023</formula1>
    </dataValidation>
    <dataValidation type="date" operator="greaterThanOrEqual" allowBlank="1" showInputMessage="1" showErrorMessage="1" sqref="C8023">
      <formula1>C8021</formula1>
    </dataValidation>
    <dataValidation type="list" allowBlank="1" showInputMessage="1" showErrorMessage="1" sqref="F80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0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0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0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027">
      <formula1>0</formula1>
    </dataValidation>
    <dataValidation type="list" allowBlank="1" showInputMessage="1" showErrorMessage="1" sqref="C8027">
      <formula1>UnidadesList</formula1>
    </dataValidation>
    <dataValidation type="decimal" operator="greaterThan" allowBlank="1" showInputMessage="1" showErrorMessage="1" sqref="D8027">
      <formula1>0</formula1>
    </dataValidation>
    <dataValidation type="decimal" operator="greaterThan" allowBlank="1" showInputMessage="1" showErrorMessage="1" sqref="E8027">
      <formula1>0</formula1>
    </dataValidation>
    <dataValidation type="whole" operator="greaterThan" allowBlank="1" showInputMessage="1" showErrorMessage="1" sqref="A8028">
      <formula1>0</formula1>
    </dataValidation>
    <dataValidation type="list" allowBlank="1" showInputMessage="1" showErrorMessage="1" sqref="C8028">
      <formula1>UnidadesList</formula1>
    </dataValidation>
    <dataValidation type="decimal" operator="greaterThan" allowBlank="1" showInputMessage="1" showErrorMessage="1" sqref="D8028">
      <formula1>0</formula1>
    </dataValidation>
    <dataValidation type="decimal" operator="greaterThan" allowBlank="1" showInputMessage="1" showErrorMessage="1" sqref="E8028">
      <formula1>0</formula1>
    </dataValidation>
    <dataValidation type="whole" operator="greaterThan" allowBlank="1" showInputMessage="1" showErrorMessage="1" sqref="A8029">
      <formula1>0</formula1>
    </dataValidation>
    <dataValidation type="list" allowBlank="1" showInputMessage="1" showErrorMessage="1" sqref="C8029">
      <formula1>UnidadesList</formula1>
    </dataValidation>
    <dataValidation type="decimal" operator="greaterThan" allowBlank="1" showInputMessage="1" showErrorMessage="1" sqref="D8029">
      <formula1>0</formula1>
    </dataValidation>
    <dataValidation type="decimal" operator="greaterThan" allowBlank="1" showInputMessage="1" showErrorMessage="1" sqref="E8029">
      <formula1>0</formula1>
    </dataValidation>
    <dataValidation type="whole" operator="greaterThan" allowBlank="1" showInputMessage="1" showErrorMessage="1" sqref="A8030">
      <formula1>0</formula1>
    </dataValidation>
    <dataValidation type="list" allowBlank="1" showInputMessage="1" showErrorMessage="1" sqref="C8030">
      <formula1>UnidadesList</formula1>
    </dataValidation>
    <dataValidation type="decimal" operator="greaterThan" allowBlank="1" showInputMessage="1" showErrorMessage="1" sqref="D8030">
      <formula1>0</formula1>
    </dataValidation>
    <dataValidation type="decimal" operator="greaterThan" allowBlank="1" showInputMessage="1" showErrorMessage="1" sqref="E8030">
      <formula1>0</formula1>
    </dataValidation>
    <dataValidation type="whole" operator="greaterThan" allowBlank="1" showInputMessage="1" showErrorMessage="1" sqref="A8031">
      <formula1>0</formula1>
    </dataValidation>
    <dataValidation type="list" allowBlank="1" showInputMessage="1" showErrorMessage="1" sqref="C8031">
      <formula1>UnidadesList</formula1>
    </dataValidation>
    <dataValidation type="decimal" operator="greaterThan" allowBlank="1" showInputMessage="1" showErrorMessage="1" sqref="D8031">
      <formula1>0</formula1>
    </dataValidation>
    <dataValidation type="decimal" operator="greaterThan" allowBlank="1" showInputMessage="1" showErrorMessage="1" sqref="E8031">
      <formula1>0</formula1>
    </dataValidation>
    <dataValidation type="whole" operator="greaterThan" allowBlank="1" showInputMessage="1" showErrorMessage="1" sqref="A8032">
      <formula1>0</formula1>
    </dataValidation>
    <dataValidation type="list" allowBlank="1" showInputMessage="1" showErrorMessage="1" sqref="C8032">
      <formula1>UnidadesList</formula1>
    </dataValidation>
    <dataValidation type="decimal" operator="greaterThan" allowBlank="1" showInputMessage="1" showErrorMessage="1" sqref="D8032">
      <formula1>0</formula1>
    </dataValidation>
    <dataValidation type="decimal" operator="greaterThan" allowBlank="1" showInputMessage="1" showErrorMessage="1" sqref="E8032">
      <formula1>0</formula1>
    </dataValidation>
    <dataValidation type="whole" operator="greaterThan" allowBlank="1" showInputMessage="1" showErrorMessage="1" sqref="A8033">
      <formula1>0</formula1>
    </dataValidation>
    <dataValidation type="list" allowBlank="1" showInputMessage="1" showErrorMessage="1" sqref="C8033">
      <formula1>UnidadesList</formula1>
    </dataValidation>
    <dataValidation type="decimal" operator="greaterThan" allowBlank="1" showInputMessage="1" showErrorMessage="1" sqref="D8033">
      <formula1>0</formula1>
    </dataValidation>
    <dataValidation type="decimal" operator="greaterThan" allowBlank="1" showInputMessage="1" showErrorMessage="1" sqref="E8033">
      <formula1>0</formula1>
    </dataValidation>
    <dataValidation type="whole" operator="greaterThan" allowBlank="1" showInputMessage="1" showErrorMessage="1" sqref="A8034">
      <formula1>0</formula1>
    </dataValidation>
    <dataValidation type="list" allowBlank="1" showInputMessage="1" showErrorMessage="1" sqref="C8034">
      <formula1>UnidadesList</formula1>
    </dataValidation>
    <dataValidation type="decimal" operator="greaterThan" allowBlank="1" showInputMessage="1" showErrorMessage="1" sqref="D8034">
      <formula1>0</formula1>
    </dataValidation>
    <dataValidation type="decimal" operator="greaterThan" allowBlank="1" showInputMessage="1" showErrorMessage="1" sqref="E8034">
      <formula1>0</formula1>
    </dataValidation>
    <dataValidation type="whole" operator="greaterThan" allowBlank="1" showInputMessage="1" showErrorMessage="1" sqref="A8035">
      <formula1>0</formula1>
    </dataValidation>
    <dataValidation type="list" allowBlank="1" showInputMessage="1" showErrorMessage="1" sqref="C8035">
      <formula1>UnidadesList</formula1>
    </dataValidation>
    <dataValidation type="decimal" operator="greaterThan" allowBlank="1" showInputMessage="1" showErrorMessage="1" sqref="D8035">
      <formula1>0</formula1>
    </dataValidation>
    <dataValidation type="decimal" operator="greaterThan" allowBlank="1" showInputMessage="1" showErrorMessage="1" sqref="E8035">
      <formula1>0</formula1>
    </dataValidation>
    <dataValidation type="whole" operator="greaterThan" allowBlank="1" showInputMessage="1" showErrorMessage="1" sqref="A8036">
      <formula1>0</formula1>
    </dataValidation>
    <dataValidation type="list" allowBlank="1" showInputMessage="1" showErrorMessage="1" sqref="C8036">
      <formula1>UnidadesList</formula1>
    </dataValidation>
    <dataValidation type="decimal" operator="greaterThan" allowBlank="1" showInputMessage="1" showErrorMessage="1" sqref="D8036">
      <formula1>0</formula1>
    </dataValidation>
    <dataValidation type="decimal" operator="greaterThan" allowBlank="1" showInputMessage="1" showErrorMessage="1" sqref="E8036">
      <formula1>0</formula1>
    </dataValidation>
    <dataValidation type="whole" operator="greaterThan" allowBlank="1" showInputMessage="1" showErrorMessage="1" sqref="A8037">
      <formula1>0</formula1>
    </dataValidation>
    <dataValidation type="list" allowBlank="1" showInputMessage="1" showErrorMessage="1" sqref="C8037">
      <formula1>UnidadesList</formula1>
    </dataValidation>
    <dataValidation type="decimal" operator="greaterThan" allowBlank="1" showInputMessage="1" showErrorMessage="1" sqref="D8037">
      <formula1>0</formula1>
    </dataValidation>
    <dataValidation type="decimal" operator="greaterThan" allowBlank="1" showInputMessage="1" showErrorMessage="1" sqref="E8037">
      <formula1>0</formula1>
    </dataValidation>
    <dataValidation type="whole" operator="greaterThan" allowBlank="1" showInputMessage="1" showErrorMessage="1" sqref="A8038">
      <formula1>0</formula1>
    </dataValidation>
    <dataValidation type="list" allowBlank="1" showInputMessage="1" showErrorMessage="1" sqref="C8038">
      <formula1>UnidadesList</formula1>
    </dataValidation>
    <dataValidation type="decimal" operator="greaterThan" allowBlank="1" showInputMessage="1" showErrorMessage="1" sqref="D8038">
      <formula1>0</formula1>
    </dataValidation>
    <dataValidation type="decimal" operator="greaterThan" allowBlank="1" showInputMessage="1" showErrorMessage="1" sqref="E8038">
      <formula1>0</formula1>
    </dataValidation>
    <dataValidation type="whole" operator="greaterThan" allowBlank="1" showInputMessage="1" showErrorMessage="1" sqref="A8039">
      <formula1>0</formula1>
    </dataValidation>
    <dataValidation type="list" allowBlank="1" showInputMessage="1" showErrorMessage="1" sqref="C8039">
      <formula1>UnidadesList</formula1>
    </dataValidation>
    <dataValidation type="decimal" operator="greaterThan" allowBlank="1" showInputMessage="1" showErrorMessage="1" sqref="D8039">
      <formula1>0</formula1>
    </dataValidation>
    <dataValidation type="decimal" operator="greaterThan" allowBlank="1" showInputMessage="1" showErrorMessage="1" sqref="E8039">
      <formula1>0</formula1>
    </dataValidation>
    <dataValidation type="whole" operator="greaterThan" allowBlank="1" showInputMessage="1" showErrorMessage="1" sqref="A8040">
      <formula1>0</formula1>
    </dataValidation>
    <dataValidation type="list" allowBlank="1" showInputMessage="1" showErrorMessage="1" sqref="C8040">
      <formula1>UnidadesList</formula1>
    </dataValidation>
    <dataValidation type="decimal" operator="greaterThan" allowBlank="1" showInputMessage="1" showErrorMessage="1" sqref="D8040">
      <formula1>0</formula1>
    </dataValidation>
    <dataValidation type="decimal" operator="greaterThan" allowBlank="1" showInputMessage="1" showErrorMessage="1" sqref="E8040">
      <formula1>0</formula1>
    </dataValidation>
    <dataValidation type="whole" operator="greaterThan" allowBlank="1" showInputMessage="1" showErrorMessage="1" sqref="A8041">
      <formula1>0</formula1>
    </dataValidation>
    <dataValidation type="list" allowBlank="1" showInputMessage="1" showErrorMessage="1" sqref="C8041">
      <formula1>UnidadesList</formula1>
    </dataValidation>
    <dataValidation type="decimal" operator="greaterThan" allowBlank="1" showInputMessage="1" showErrorMessage="1" sqref="D8041">
      <formula1>0</formula1>
    </dataValidation>
    <dataValidation type="decimal" operator="greaterThan" allowBlank="1" showInputMessage="1" showErrorMessage="1" sqref="E8041">
      <formula1>0</formula1>
    </dataValidation>
    <dataValidation type="whole" operator="greaterThan" allowBlank="1" showInputMessage="1" showErrorMessage="1" sqref="A8042">
      <formula1>0</formula1>
    </dataValidation>
    <dataValidation type="list" allowBlank="1" showInputMessage="1" showErrorMessage="1" sqref="C8042">
      <formula1>UnidadesList</formula1>
    </dataValidation>
    <dataValidation type="decimal" operator="greaterThan" allowBlank="1" showInputMessage="1" showErrorMessage="1" sqref="D8042">
      <formula1>0</formula1>
    </dataValidation>
    <dataValidation type="decimal" operator="greaterThan" allowBlank="1" showInputMessage="1" showErrorMessage="1" sqref="E8042">
      <formula1>0</formula1>
    </dataValidation>
    <dataValidation type="whole" operator="greaterThan" allowBlank="1" showInputMessage="1" showErrorMessage="1" sqref="A8043">
      <formula1>0</formula1>
    </dataValidation>
    <dataValidation type="list" allowBlank="1" showInputMessage="1" showErrorMessage="1" sqref="C8043">
      <formula1>UnidadesList</formula1>
    </dataValidation>
    <dataValidation type="decimal" operator="greaterThan" allowBlank="1" showInputMessage="1" showErrorMessage="1" sqref="D8043">
      <formula1>0</formula1>
    </dataValidation>
    <dataValidation type="decimal" operator="greaterThan" allowBlank="1" showInputMessage="1" showErrorMessage="1" sqref="E8043">
      <formula1>0</formula1>
    </dataValidation>
    <dataValidation type="whole" operator="greaterThan" allowBlank="1" showInputMessage="1" showErrorMessage="1" sqref="A8044">
      <formula1>0</formula1>
    </dataValidation>
    <dataValidation type="list" allowBlank="1" showInputMessage="1" showErrorMessage="1" sqref="C8044">
      <formula1>UnidadesList</formula1>
    </dataValidation>
    <dataValidation type="decimal" operator="greaterThan" allowBlank="1" showInputMessage="1" showErrorMessage="1" sqref="D8044">
      <formula1>0</formula1>
    </dataValidation>
    <dataValidation type="decimal" operator="greaterThan" allowBlank="1" showInputMessage="1" showErrorMessage="1" sqref="E8044">
      <formula1>0</formula1>
    </dataValidation>
    <dataValidation type="whole" operator="greaterThan" allowBlank="1" showInputMessage="1" showErrorMessage="1" sqref="A8045">
      <formula1>0</formula1>
    </dataValidation>
    <dataValidation type="list" allowBlank="1" showInputMessage="1" showErrorMessage="1" sqref="C8045">
      <formula1>UnidadesList</formula1>
    </dataValidation>
    <dataValidation type="decimal" operator="greaterThan" allowBlank="1" showInputMessage="1" showErrorMessage="1" sqref="D8045">
      <formula1>0</formula1>
    </dataValidation>
    <dataValidation type="decimal" operator="greaterThan" allowBlank="1" showInputMessage="1" showErrorMessage="1" sqref="E8045">
      <formula1>0</formula1>
    </dataValidation>
    <dataValidation type="whole" operator="greaterThan" allowBlank="1" showInputMessage="1" showErrorMessage="1" sqref="A8046">
      <formula1>0</formula1>
    </dataValidation>
    <dataValidation type="list" allowBlank="1" showInputMessage="1" showErrorMessage="1" sqref="C8046">
      <formula1>UnidadesList</formula1>
    </dataValidation>
    <dataValidation type="decimal" operator="greaterThan" allowBlank="1" showInputMessage="1" showErrorMessage="1" sqref="D8046">
      <formula1>0</formula1>
    </dataValidation>
    <dataValidation type="decimal" operator="greaterThan" allowBlank="1" showInputMessage="1" showErrorMessage="1" sqref="E8046">
      <formula1>0</formula1>
    </dataValidation>
    <dataValidation type="whole" operator="greaterThan" allowBlank="1" showInputMessage="1" showErrorMessage="1" sqref="A8047">
      <formula1>0</formula1>
    </dataValidation>
    <dataValidation type="list" allowBlank="1" showInputMessage="1" showErrorMessage="1" sqref="C8047">
      <formula1>UnidadesList</formula1>
    </dataValidation>
    <dataValidation type="decimal" operator="greaterThan" allowBlank="1" showInputMessage="1" showErrorMessage="1" sqref="D8047">
      <formula1>0</formula1>
    </dataValidation>
    <dataValidation type="decimal" operator="greaterThan" allowBlank="1" showInputMessage="1" showErrorMessage="1" sqref="E8047">
      <formula1>0</formula1>
    </dataValidation>
    <dataValidation type="whole" operator="greaterThan" allowBlank="1" showInputMessage="1" showErrorMessage="1" sqref="A8048">
      <formula1>0</formula1>
    </dataValidation>
    <dataValidation type="list" allowBlank="1" showInputMessage="1" showErrorMessage="1" sqref="C8048">
      <formula1>UnidadesList</formula1>
    </dataValidation>
    <dataValidation type="decimal" operator="greaterThan" allowBlank="1" showInputMessage="1" showErrorMessage="1" sqref="D8048">
      <formula1>0</formula1>
    </dataValidation>
    <dataValidation type="decimal" operator="greaterThan" allowBlank="1" showInputMessage="1" showErrorMessage="1" sqref="E8048">
      <formula1>0</formula1>
    </dataValidation>
    <dataValidation type="whole" operator="greaterThan" allowBlank="1" showInputMessage="1" showErrorMessage="1" sqref="A8049">
      <formula1>0</formula1>
    </dataValidation>
    <dataValidation type="list" allowBlank="1" showInputMessage="1" showErrorMessage="1" sqref="C8049">
      <formula1>UnidadesList</formula1>
    </dataValidation>
    <dataValidation type="decimal" operator="greaterThan" allowBlank="1" showInputMessage="1" showErrorMessage="1" sqref="D8049">
      <formula1>0</formula1>
    </dataValidation>
    <dataValidation type="decimal" operator="greaterThan" allowBlank="1" showInputMessage="1" showErrorMessage="1" sqref="E8049">
      <formula1>0</formula1>
    </dataValidation>
    <dataValidation type="whole" operator="greaterThan" allowBlank="1" showInputMessage="1" showErrorMessage="1" sqref="A8050">
      <formula1>0</formula1>
    </dataValidation>
    <dataValidation type="list" allowBlank="1" showInputMessage="1" showErrorMessage="1" sqref="C8050">
      <formula1>UnidadesList</formula1>
    </dataValidation>
    <dataValidation type="decimal" operator="greaterThan" allowBlank="1" showInputMessage="1" showErrorMessage="1" sqref="D8050">
      <formula1>0</formula1>
    </dataValidation>
    <dataValidation type="decimal" operator="greaterThan" allowBlank="1" showInputMessage="1" showErrorMessage="1" sqref="E8050">
      <formula1>0</formula1>
    </dataValidation>
    <dataValidation type="whole" operator="greaterThan" allowBlank="1" showInputMessage="1" showErrorMessage="1" sqref="A8051">
      <formula1>0</formula1>
    </dataValidation>
    <dataValidation type="list" allowBlank="1" showInputMessage="1" showErrorMessage="1" sqref="C8051">
      <formula1>UnidadesList</formula1>
    </dataValidation>
    <dataValidation type="decimal" operator="greaterThan" allowBlank="1" showInputMessage="1" showErrorMessage="1" sqref="D8051">
      <formula1>0</formula1>
    </dataValidation>
    <dataValidation type="decimal" operator="greaterThan" allowBlank="1" showInputMessage="1" showErrorMessage="1" sqref="E8051">
      <formula1>0</formula1>
    </dataValidation>
    <dataValidation type="whole" operator="greaterThan" allowBlank="1" showInputMessage="1" showErrorMessage="1" sqref="A8052">
      <formula1>0</formula1>
    </dataValidation>
    <dataValidation type="list" allowBlank="1" showInputMessage="1" showErrorMessage="1" sqref="C8052">
      <formula1>UnidadesList</formula1>
    </dataValidation>
    <dataValidation type="decimal" operator="greaterThan" allowBlank="1" showInputMessage="1" showErrorMessage="1" sqref="D8052">
      <formula1>0</formula1>
    </dataValidation>
    <dataValidation type="decimal" operator="greaterThan" allowBlank="1" showInputMessage="1" showErrorMessage="1" sqref="E8052">
      <formula1>0</formula1>
    </dataValidation>
    <dataValidation type="whole" operator="greaterThan" allowBlank="1" showInputMessage="1" showErrorMessage="1" sqref="A8053">
      <formula1>0</formula1>
    </dataValidation>
    <dataValidation type="list" allowBlank="1" showInputMessage="1" showErrorMessage="1" sqref="C8053">
      <formula1>UnidadesList</formula1>
    </dataValidation>
    <dataValidation type="decimal" operator="greaterThan" allowBlank="1" showInputMessage="1" showErrorMessage="1" sqref="D8053">
      <formula1>0</formula1>
    </dataValidation>
    <dataValidation type="decimal" operator="greaterThan" allowBlank="1" showInputMessage="1" showErrorMessage="1" sqref="E8053">
      <formula1>0</formula1>
    </dataValidation>
    <dataValidation type="whole" operator="greaterThan" allowBlank="1" showInputMessage="1" showErrorMessage="1" sqref="A8054">
      <formula1>0</formula1>
    </dataValidation>
    <dataValidation type="list" allowBlank="1" showInputMessage="1" showErrorMessage="1" sqref="C8054">
      <formula1>UnidadesList</formula1>
    </dataValidation>
    <dataValidation type="decimal" operator="greaterThan" allowBlank="1" showInputMessage="1" showErrorMessage="1" sqref="D8054">
      <formula1>0</formula1>
    </dataValidation>
    <dataValidation type="decimal" operator="greaterThan" allowBlank="1" showInputMessage="1" showErrorMessage="1" sqref="E8054">
      <formula1>0</formula1>
    </dataValidation>
    <dataValidation type="whole" operator="greaterThan" allowBlank="1" showInputMessage="1" showErrorMessage="1" sqref="A8055">
      <formula1>0</formula1>
    </dataValidation>
    <dataValidation type="list" allowBlank="1" showInputMessage="1" showErrorMessage="1" sqref="C8055">
      <formula1>UnidadesList</formula1>
    </dataValidation>
    <dataValidation type="decimal" operator="greaterThan" allowBlank="1" showInputMessage="1" showErrorMessage="1" sqref="D8055">
      <formula1>0</formula1>
    </dataValidation>
    <dataValidation type="decimal" operator="greaterThan" allowBlank="1" showInputMessage="1" showErrorMessage="1" sqref="E8055">
      <formula1>0</formula1>
    </dataValidation>
    <dataValidation type="whole" operator="greaterThan" allowBlank="1" showInputMessage="1" showErrorMessage="1" sqref="A8056">
      <formula1>0</formula1>
    </dataValidation>
    <dataValidation type="list" allowBlank="1" showInputMessage="1" showErrorMessage="1" sqref="C8056">
      <formula1>UnidadesList</formula1>
    </dataValidation>
    <dataValidation type="decimal" operator="greaterThan" allowBlank="1" showInputMessage="1" showErrorMessage="1" sqref="D8056">
      <formula1>0</formula1>
    </dataValidation>
    <dataValidation type="decimal" operator="greaterThan" allowBlank="1" showInputMessage="1" showErrorMessage="1" sqref="E8056">
      <formula1>0</formula1>
    </dataValidation>
    <dataValidation type="whole" operator="greaterThan" allowBlank="1" showInputMessage="1" showErrorMessage="1" sqref="A8057">
      <formula1>0</formula1>
    </dataValidation>
    <dataValidation type="list" allowBlank="1" showInputMessage="1" showErrorMessage="1" sqref="C8057">
      <formula1>UnidadesList</formula1>
    </dataValidation>
    <dataValidation type="decimal" operator="greaterThan" allowBlank="1" showInputMessage="1" showErrorMessage="1" sqref="D8057">
      <formula1>0</formula1>
    </dataValidation>
    <dataValidation type="decimal" operator="greaterThan" allowBlank="1" showInputMessage="1" showErrorMessage="1" sqref="E8057">
      <formula1>0</formula1>
    </dataValidation>
    <dataValidation type="whole" operator="greaterThan" allowBlank="1" showInputMessage="1" showErrorMessage="1" sqref="A8058">
      <formula1>0</formula1>
    </dataValidation>
    <dataValidation type="list" allowBlank="1" showInputMessage="1" showErrorMessage="1" sqref="C8058">
      <formula1>UnidadesList</formula1>
    </dataValidation>
    <dataValidation type="decimal" operator="greaterThan" allowBlank="1" showInputMessage="1" showErrorMessage="1" sqref="D8058">
      <formula1>0</formula1>
    </dataValidation>
    <dataValidation type="decimal" operator="greaterThan" allowBlank="1" showInputMessage="1" showErrorMessage="1" sqref="E8058">
      <formula1>0</formula1>
    </dataValidation>
    <dataValidation type="whole" operator="greaterThan" allowBlank="1" showInputMessage="1" showErrorMessage="1" sqref="A8059">
      <formula1>0</formula1>
    </dataValidation>
    <dataValidation type="list" allowBlank="1" showInputMessage="1" showErrorMessage="1" sqref="C8059">
      <formula1>UnidadesList</formula1>
    </dataValidation>
    <dataValidation type="decimal" operator="greaterThan" allowBlank="1" showInputMessage="1" showErrorMessage="1" sqref="D8059">
      <formula1>0</formula1>
    </dataValidation>
    <dataValidation type="decimal" operator="greaterThan" allowBlank="1" showInputMessage="1" showErrorMessage="1" sqref="E8059">
      <formula1>0</formula1>
    </dataValidation>
    <dataValidation type="whole" operator="greaterThan" allowBlank="1" showInputMessage="1" showErrorMessage="1" sqref="A8060">
      <formula1>0</formula1>
    </dataValidation>
    <dataValidation type="list" allowBlank="1" showInputMessage="1" showErrorMessage="1" sqref="C8060">
      <formula1>UnidadesList</formula1>
    </dataValidation>
    <dataValidation type="decimal" operator="greaterThan" allowBlank="1" showInputMessage="1" showErrorMessage="1" sqref="D8060">
      <formula1>0</formula1>
    </dataValidation>
    <dataValidation type="decimal" operator="greaterThan" allowBlank="1" showInputMessage="1" showErrorMessage="1" sqref="E8060">
      <formula1>0</formula1>
    </dataValidation>
    <dataValidation type="whole" operator="greaterThan" allowBlank="1" showInputMessage="1" showErrorMessage="1" sqref="A8061">
      <formula1>0</formula1>
    </dataValidation>
    <dataValidation type="list" allowBlank="1" showInputMessage="1" showErrorMessage="1" sqref="C8061">
      <formula1>UnidadesList</formula1>
    </dataValidation>
    <dataValidation type="decimal" operator="greaterThan" allowBlank="1" showInputMessage="1" showErrorMessage="1" sqref="D8061">
      <formula1>0</formula1>
    </dataValidation>
    <dataValidation type="decimal" operator="greaterThan" allowBlank="1" showInputMessage="1" showErrorMessage="1" sqref="E8061">
      <formula1>0</formula1>
    </dataValidation>
    <dataValidation type="whole" operator="greaterThan" allowBlank="1" showInputMessage="1" showErrorMessage="1" sqref="A8062">
      <formula1>0</formula1>
    </dataValidation>
    <dataValidation type="list" allowBlank="1" showInputMessage="1" showErrorMessage="1" sqref="C8062">
      <formula1>UnidadesList</formula1>
    </dataValidation>
    <dataValidation type="decimal" operator="greaterThan" allowBlank="1" showInputMessage="1" showErrorMessage="1" sqref="D8062">
      <formula1>0</formula1>
    </dataValidation>
    <dataValidation type="decimal" operator="greaterThan" allowBlank="1" showInputMessage="1" showErrorMessage="1" sqref="E8062">
      <formula1>0</formula1>
    </dataValidation>
    <dataValidation type="whole" operator="greaterThan" allowBlank="1" showInputMessage="1" showErrorMessage="1" sqref="A8063">
      <formula1>0</formula1>
    </dataValidation>
    <dataValidation type="list" allowBlank="1" showInputMessage="1" showErrorMessage="1" sqref="C8063">
      <formula1>UnidadesList</formula1>
    </dataValidation>
    <dataValidation type="decimal" operator="greaterThan" allowBlank="1" showInputMessage="1" showErrorMessage="1" sqref="D8063">
      <formula1>0</formula1>
    </dataValidation>
    <dataValidation type="decimal" operator="greaterThan" allowBlank="1" showInputMessage="1" showErrorMessage="1" sqref="E8063">
      <formula1>0</formula1>
    </dataValidation>
    <dataValidation type="whole" operator="greaterThan" allowBlank="1" showInputMessage="1" showErrorMessage="1" sqref="A8064">
      <formula1>0</formula1>
    </dataValidation>
    <dataValidation type="list" allowBlank="1" showInputMessage="1" showErrorMessage="1" sqref="C8064">
      <formula1>UnidadesList</formula1>
    </dataValidation>
    <dataValidation type="decimal" operator="greaterThan" allowBlank="1" showInputMessage="1" showErrorMessage="1" sqref="D8064">
      <formula1>0</formula1>
    </dataValidation>
    <dataValidation type="decimal" operator="greaterThan" allowBlank="1" showInputMessage="1" showErrorMessage="1" sqref="E8064">
      <formula1>0</formula1>
    </dataValidation>
    <dataValidation type="whole" operator="greaterThan" allowBlank="1" showInputMessage="1" showErrorMessage="1" sqref="A8065">
      <formula1>0</formula1>
    </dataValidation>
    <dataValidation type="list" allowBlank="1" showInputMessage="1" showErrorMessage="1" sqref="C8065">
      <formula1>UnidadesList</formula1>
    </dataValidation>
    <dataValidation type="decimal" operator="greaterThan" allowBlank="1" showInputMessage="1" showErrorMessage="1" sqref="D8065">
      <formula1>0</formula1>
    </dataValidation>
    <dataValidation type="decimal" operator="greaterThan" allowBlank="1" showInputMessage="1" showErrorMessage="1" sqref="E8065">
      <formula1>0</formula1>
    </dataValidation>
    <dataValidation type="whole" operator="greaterThan" allowBlank="1" showInputMessage="1" showErrorMessage="1" sqref="A8066">
      <formula1>0</formula1>
    </dataValidation>
    <dataValidation type="list" allowBlank="1" showInputMessage="1" showErrorMessage="1" sqref="C8066">
      <formula1>UnidadesList</formula1>
    </dataValidation>
    <dataValidation type="decimal" operator="greaterThan" allowBlank="1" showInputMessage="1" showErrorMessage="1" sqref="D8066">
      <formula1>0</formula1>
    </dataValidation>
    <dataValidation type="decimal" operator="greaterThan" allowBlank="1" showInputMessage="1" showErrorMessage="1" sqref="E8066">
      <formula1>0</formula1>
    </dataValidation>
    <dataValidation type="whole" operator="greaterThan" allowBlank="1" showInputMessage="1" showErrorMessage="1" sqref="A8067">
      <formula1>0</formula1>
    </dataValidation>
    <dataValidation type="list" allowBlank="1" showInputMessage="1" showErrorMessage="1" sqref="C8067">
      <formula1>UnidadesList</formula1>
    </dataValidation>
    <dataValidation type="decimal" operator="greaterThan" allowBlank="1" showInputMessage="1" showErrorMessage="1" sqref="D8067">
      <formula1>0</formula1>
    </dataValidation>
    <dataValidation type="decimal" operator="greaterThan" allowBlank="1" showInputMessage="1" showErrorMessage="1" sqref="E8067">
      <formula1>0</formula1>
    </dataValidation>
    <dataValidation type="whole" operator="greaterThan" allowBlank="1" showInputMessage="1" showErrorMessage="1" sqref="A8068">
      <formula1>0</formula1>
    </dataValidation>
    <dataValidation type="list" allowBlank="1" showInputMessage="1" showErrorMessage="1" sqref="C8068">
      <formula1>UnidadesList</formula1>
    </dataValidation>
    <dataValidation type="decimal" operator="greaterThan" allowBlank="1" showInputMessage="1" showErrorMessage="1" sqref="D8068">
      <formula1>0</formula1>
    </dataValidation>
    <dataValidation type="decimal" operator="greaterThan" allowBlank="1" showInputMessage="1" showErrorMessage="1" sqref="E8068">
      <formula1>0</formula1>
    </dataValidation>
    <dataValidation type="whole" operator="greaterThan" allowBlank="1" showInputMessage="1" showErrorMessage="1" sqref="A8069">
      <formula1>0</formula1>
    </dataValidation>
    <dataValidation type="list" allowBlank="1" showInputMessage="1" showErrorMessage="1" sqref="C8069">
      <formula1>UnidadesList</formula1>
    </dataValidation>
    <dataValidation type="decimal" operator="greaterThan" allowBlank="1" showInputMessage="1" showErrorMessage="1" sqref="D8069">
      <formula1>0</formula1>
    </dataValidation>
    <dataValidation type="decimal" operator="greaterThan" allowBlank="1" showInputMessage="1" showErrorMessage="1" sqref="E8069">
      <formula1>0</formula1>
    </dataValidation>
    <dataValidation type="whole" operator="greaterThan" allowBlank="1" showInputMessage="1" showErrorMessage="1" sqref="A8070">
      <formula1>0</formula1>
    </dataValidation>
    <dataValidation type="list" allowBlank="1" showInputMessage="1" showErrorMessage="1" sqref="C8070">
      <formula1>UnidadesList</formula1>
    </dataValidation>
    <dataValidation type="decimal" operator="greaterThan" allowBlank="1" showInputMessage="1" showErrorMessage="1" sqref="D8070">
      <formula1>0</formula1>
    </dataValidation>
    <dataValidation type="decimal" operator="greaterThan" allowBlank="1" showInputMessage="1" showErrorMessage="1" sqref="E8070">
      <formula1>0</formula1>
    </dataValidation>
    <dataValidation type="whole" operator="greaterThan" allowBlank="1" showInputMessage="1" showErrorMessage="1" sqref="A8071">
      <formula1>0</formula1>
    </dataValidation>
    <dataValidation type="list" allowBlank="1" showInputMessage="1" showErrorMessage="1" sqref="C8071">
      <formula1>UnidadesList</formula1>
    </dataValidation>
    <dataValidation type="decimal" operator="greaterThan" allowBlank="1" showInputMessage="1" showErrorMessage="1" sqref="D8071">
      <formula1>0</formula1>
    </dataValidation>
    <dataValidation type="decimal" operator="greaterThan" allowBlank="1" showInputMessage="1" showErrorMessage="1" sqref="E8071">
      <formula1>0</formula1>
    </dataValidation>
    <dataValidation type="whole" operator="greaterThan" allowBlank="1" showInputMessage="1" showErrorMessage="1" sqref="A8072">
      <formula1>0</formula1>
    </dataValidation>
    <dataValidation type="list" allowBlank="1" showInputMessage="1" showErrorMessage="1" sqref="C8072">
      <formula1>UnidadesList</formula1>
    </dataValidation>
    <dataValidation type="decimal" operator="greaterThan" allowBlank="1" showInputMessage="1" showErrorMessage="1" sqref="D8072">
      <formula1>0</formula1>
    </dataValidation>
    <dataValidation type="decimal" operator="greaterThan" allowBlank="1" showInputMessage="1" showErrorMessage="1" sqref="E8072">
      <formula1>0</formula1>
    </dataValidation>
    <dataValidation type="whole" operator="greaterThan" allowBlank="1" showInputMessage="1" showErrorMessage="1" sqref="A8073">
      <formula1>0</formula1>
    </dataValidation>
    <dataValidation type="list" allowBlank="1" showInputMessage="1" showErrorMessage="1" sqref="C8073">
      <formula1>UnidadesList</formula1>
    </dataValidation>
    <dataValidation type="decimal" operator="greaterThan" allowBlank="1" showInputMessage="1" showErrorMessage="1" sqref="D8073">
      <formula1>0</formula1>
    </dataValidation>
    <dataValidation type="decimal" operator="greaterThan" allowBlank="1" showInputMessage="1" showErrorMessage="1" sqref="E8073">
      <formula1>0</formula1>
    </dataValidation>
    <dataValidation type="whole" operator="greaterThan" allowBlank="1" showInputMessage="1" showErrorMessage="1" sqref="A8074">
      <formula1>0</formula1>
    </dataValidation>
    <dataValidation type="list" allowBlank="1" showInputMessage="1" showErrorMessage="1" sqref="C8074">
      <formula1>UnidadesList</formula1>
    </dataValidation>
    <dataValidation type="decimal" operator="greaterThan" allowBlank="1" showInputMessage="1" showErrorMessage="1" sqref="D8074">
      <formula1>0</formula1>
    </dataValidation>
    <dataValidation type="decimal" operator="greaterThan" allowBlank="1" showInputMessage="1" showErrorMessage="1" sqref="E8074">
      <formula1>0</formula1>
    </dataValidation>
    <dataValidation type="whole" operator="greaterThan" allowBlank="1" showInputMessage="1" showErrorMessage="1" sqref="A8075">
      <formula1>0</formula1>
    </dataValidation>
    <dataValidation type="list" allowBlank="1" showInputMessage="1" showErrorMessage="1" sqref="C8075">
      <formula1>UnidadesList</formula1>
    </dataValidation>
    <dataValidation type="decimal" operator="greaterThan" allowBlank="1" showInputMessage="1" showErrorMessage="1" sqref="D8075">
      <formula1>0</formula1>
    </dataValidation>
    <dataValidation type="decimal" operator="greaterThan" allowBlank="1" showInputMessage="1" showErrorMessage="1" sqref="E8075">
      <formula1>0</formula1>
    </dataValidation>
    <dataValidation type="whole" operator="greaterThan" allowBlank="1" showInputMessage="1" showErrorMessage="1" sqref="A8076">
      <formula1>0</formula1>
    </dataValidation>
    <dataValidation type="list" allowBlank="1" showInputMessage="1" showErrorMessage="1" sqref="C8076">
      <formula1>UnidadesList</formula1>
    </dataValidation>
    <dataValidation type="decimal" operator="greaterThan" allowBlank="1" showInputMessage="1" showErrorMessage="1" sqref="D8076">
      <formula1>0</formula1>
    </dataValidation>
    <dataValidation type="decimal" operator="greaterThan" allowBlank="1" showInputMessage="1" showErrorMessage="1" sqref="E8076">
      <formula1>0</formula1>
    </dataValidation>
    <dataValidation type="whole" operator="greaterThan" allowBlank="1" showInputMessage="1" showErrorMessage="1" sqref="A8077">
      <formula1>0</formula1>
    </dataValidation>
    <dataValidation type="list" allowBlank="1" showInputMessage="1" showErrorMessage="1" sqref="C8077">
      <formula1>UnidadesList</formula1>
    </dataValidation>
    <dataValidation type="decimal" operator="greaterThan" allowBlank="1" showInputMessage="1" showErrorMessage="1" sqref="D8077">
      <formula1>0</formula1>
    </dataValidation>
    <dataValidation type="decimal" operator="greaterThan" allowBlank="1" showInputMessage="1" showErrorMessage="1" sqref="E8077">
      <formula1>0</formula1>
    </dataValidation>
    <dataValidation type="whole" operator="greaterThan" allowBlank="1" showInputMessage="1" showErrorMessage="1" sqref="A8078">
      <formula1>0</formula1>
    </dataValidation>
    <dataValidation type="list" allowBlank="1" showInputMessage="1" showErrorMessage="1" sqref="C8078">
      <formula1>UnidadesList</formula1>
    </dataValidation>
    <dataValidation type="decimal" operator="greaterThan" allowBlank="1" showInputMessage="1" showErrorMessage="1" sqref="D8078">
      <formula1>0</formula1>
    </dataValidation>
    <dataValidation type="decimal" operator="greaterThan" allowBlank="1" showInputMessage="1" showErrorMessage="1" sqref="E8078">
      <formula1>0</formula1>
    </dataValidation>
    <dataValidation type="whole" operator="greaterThan" allowBlank="1" showInputMessage="1" showErrorMessage="1" sqref="A8079">
      <formula1>0</formula1>
    </dataValidation>
    <dataValidation type="list" allowBlank="1" showInputMessage="1" showErrorMessage="1" sqref="C8079">
      <formula1>UnidadesList</formula1>
    </dataValidation>
    <dataValidation type="decimal" operator="greaterThan" allowBlank="1" showInputMessage="1" showErrorMessage="1" sqref="D8079">
      <formula1>0</formula1>
    </dataValidation>
    <dataValidation type="decimal" operator="greaterThan" allowBlank="1" showInputMessage="1" showErrorMessage="1" sqref="E8079">
      <formula1>0</formula1>
    </dataValidation>
    <dataValidation type="whole" operator="greaterThan" allowBlank="1" showInputMessage="1" showErrorMessage="1" sqref="A8080">
      <formula1>0</formula1>
    </dataValidation>
    <dataValidation type="list" allowBlank="1" showInputMessage="1" showErrorMessage="1" sqref="C8080">
      <formula1>UnidadesList</formula1>
    </dataValidation>
    <dataValidation type="decimal" operator="greaterThan" allowBlank="1" showInputMessage="1" showErrorMessage="1" sqref="D8080">
      <formula1>0</formula1>
    </dataValidation>
    <dataValidation type="decimal" operator="greaterThan" allowBlank="1" showInputMessage="1" showErrorMessage="1" sqref="E8080">
      <formula1>0</formula1>
    </dataValidation>
    <dataValidation type="whole" operator="greaterThan" allowBlank="1" showInputMessage="1" showErrorMessage="1" sqref="A8081">
      <formula1>0</formula1>
    </dataValidation>
    <dataValidation type="list" allowBlank="1" showInputMessage="1" showErrorMessage="1" sqref="C8081">
      <formula1>UnidadesList</formula1>
    </dataValidation>
    <dataValidation type="decimal" operator="greaterThan" allowBlank="1" showInputMessage="1" showErrorMessage="1" sqref="D8081">
      <formula1>0</formula1>
    </dataValidation>
    <dataValidation type="decimal" operator="greaterThan" allowBlank="1" showInputMessage="1" showErrorMessage="1" sqref="E8081">
      <formula1>0</formula1>
    </dataValidation>
    <dataValidation type="whole" operator="greaterThan" allowBlank="1" showInputMessage="1" showErrorMessage="1" sqref="A8082">
      <formula1>0</formula1>
    </dataValidation>
    <dataValidation type="list" allowBlank="1" showInputMessage="1" showErrorMessage="1" sqref="C8082">
      <formula1>UnidadesList</formula1>
    </dataValidation>
    <dataValidation type="decimal" operator="greaterThan" allowBlank="1" showInputMessage="1" showErrorMessage="1" sqref="D8082">
      <formula1>0</formula1>
    </dataValidation>
    <dataValidation type="decimal" operator="greaterThan" allowBlank="1" showInputMessage="1" showErrorMessage="1" sqref="E8082">
      <formula1>0</formula1>
    </dataValidation>
    <dataValidation type="whole" operator="greaterThan" allowBlank="1" showInputMessage="1" showErrorMessage="1" sqref="A8083">
      <formula1>0</formula1>
    </dataValidation>
    <dataValidation type="list" allowBlank="1" showInputMessage="1" showErrorMessage="1" sqref="C8083">
      <formula1>UnidadesList</formula1>
    </dataValidation>
    <dataValidation type="decimal" operator="greaterThan" allowBlank="1" showInputMessage="1" showErrorMessage="1" sqref="D8083">
      <formula1>0</formula1>
    </dataValidation>
    <dataValidation type="decimal" operator="greaterThan" allowBlank="1" showInputMessage="1" showErrorMessage="1" sqref="E8083">
      <formula1>0</formula1>
    </dataValidation>
    <dataValidation type="whole" operator="greaterThan" allowBlank="1" showInputMessage="1" showErrorMessage="1" sqref="A8084">
      <formula1>0</formula1>
    </dataValidation>
    <dataValidation type="list" allowBlank="1" showInputMessage="1" showErrorMessage="1" sqref="C8084">
      <formula1>UnidadesList</formula1>
    </dataValidation>
    <dataValidation type="decimal" operator="greaterThan" allowBlank="1" showInputMessage="1" showErrorMessage="1" sqref="D8084">
      <formula1>0</formula1>
    </dataValidation>
    <dataValidation type="decimal" operator="greaterThan" allowBlank="1" showInputMessage="1" showErrorMessage="1" sqref="E8084">
      <formula1>0</formula1>
    </dataValidation>
    <dataValidation type="whole" operator="greaterThan" allowBlank="1" showInputMessage="1" showErrorMessage="1" sqref="A8085">
      <formula1>0</formula1>
    </dataValidation>
    <dataValidation type="list" allowBlank="1" showInputMessage="1" showErrorMessage="1" sqref="C8085">
      <formula1>UnidadesList</formula1>
    </dataValidation>
    <dataValidation type="decimal" operator="greaterThan" allowBlank="1" showInputMessage="1" showErrorMessage="1" sqref="D8085">
      <formula1>0</formula1>
    </dataValidation>
    <dataValidation type="decimal" operator="greaterThan" allowBlank="1" showInputMessage="1" showErrorMessage="1" sqref="E8085">
      <formula1>0</formula1>
    </dataValidation>
    <dataValidation type="whole" operator="greaterThan" allowBlank="1" showInputMessage="1" showErrorMessage="1" sqref="A8086">
      <formula1>0</formula1>
    </dataValidation>
    <dataValidation type="list" allowBlank="1" showInputMessage="1" showErrorMessage="1" sqref="C8086">
      <formula1>UnidadesList</formula1>
    </dataValidation>
    <dataValidation type="decimal" operator="greaterThan" allowBlank="1" showInputMessage="1" showErrorMessage="1" sqref="D8086">
      <formula1>0</formula1>
    </dataValidation>
    <dataValidation type="decimal" operator="greaterThan" allowBlank="1" showInputMessage="1" showErrorMessage="1" sqref="E8086">
      <formula1>0</formula1>
    </dataValidation>
    <dataValidation type="whole" operator="greaterThan" allowBlank="1" showInputMessage="1" showErrorMessage="1" sqref="A8087">
      <formula1>0</formula1>
    </dataValidation>
    <dataValidation type="list" allowBlank="1" showInputMessage="1" showErrorMessage="1" sqref="C8087">
      <formula1>UnidadesList</formula1>
    </dataValidation>
    <dataValidation type="decimal" operator="greaterThan" allowBlank="1" showInputMessage="1" showErrorMessage="1" sqref="D8087">
      <formula1>0</formula1>
    </dataValidation>
    <dataValidation type="decimal" operator="greaterThan" allowBlank="1" showInputMessage="1" showErrorMessage="1" sqref="E8087">
      <formula1>0</formula1>
    </dataValidation>
    <dataValidation type="whole" operator="greaterThan" allowBlank="1" showInputMessage="1" showErrorMessage="1" sqref="A8088">
      <formula1>0</formula1>
    </dataValidation>
    <dataValidation type="list" allowBlank="1" showInputMessage="1" showErrorMessage="1" sqref="C8088">
      <formula1>UnidadesList</formula1>
    </dataValidation>
    <dataValidation type="decimal" operator="greaterThan" allowBlank="1" showInputMessage="1" showErrorMessage="1" sqref="D8088">
      <formula1>0</formula1>
    </dataValidation>
    <dataValidation type="decimal" operator="greaterThan" allowBlank="1" showInputMessage="1" showErrorMessage="1" sqref="E8088">
      <formula1>0</formula1>
    </dataValidation>
    <dataValidation type="whole" operator="greaterThan" allowBlank="1" showInputMessage="1" showErrorMessage="1" sqref="A8089">
      <formula1>0</formula1>
    </dataValidation>
    <dataValidation type="list" allowBlank="1" showInputMessage="1" showErrorMessage="1" sqref="C8089">
      <formula1>UnidadesList</formula1>
    </dataValidation>
    <dataValidation type="decimal" operator="greaterThan" allowBlank="1" showInputMessage="1" showErrorMessage="1" sqref="D8089">
      <formula1>0</formula1>
    </dataValidation>
    <dataValidation type="decimal" operator="greaterThan" allowBlank="1" showInputMessage="1" showErrorMessage="1" sqref="E8089">
      <formula1>0</formula1>
    </dataValidation>
    <dataValidation type="whole" operator="greaterThan" allowBlank="1" showInputMessage="1" showErrorMessage="1" sqref="A8090">
      <formula1>0</formula1>
    </dataValidation>
    <dataValidation type="list" allowBlank="1" showInputMessage="1" showErrorMessage="1" sqref="C8090">
      <formula1>UnidadesList</formula1>
    </dataValidation>
    <dataValidation type="decimal" operator="greaterThan" allowBlank="1" showInputMessage="1" showErrorMessage="1" sqref="D8090">
      <formula1>0</formula1>
    </dataValidation>
    <dataValidation type="decimal" operator="greaterThan" allowBlank="1" showInputMessage="1" showErrorMessage="1" sqref="E8090">
      <formula1>0</formula1>
    </dataValidation>
    <dataValidation type="whole" operator="greaterThan" allowBlank="1" showInputMessage="1" showErrorMessage="1" sqref="A8091">
      <formula1>0</formula1>
    </dataValidation>
    <dataValidation type="list" allowBlank="1" showInputMessage="1" showErrorMessage="1" sqref="C8091">
      <formula1>UnidadesList</formula1>
    </dataValidation>
    <dataValidation type="decimal" operator="greaterThan" allowBlank="1" showInputMessage="1" showErrorMessage="1" sqref="D8091">
      <formula1>0</formula1>
    </dataValidation>
    <dataValidation type="decimal" operator="greaterThan" allowBlank="1" showInputMessage="1" showErrorMessage="1" sqref="E8091">
      <formula1>0</formula1>
    </dataValidation>
    <dataValidation type="whole" operator="greaterThan" allowBlank="1" showInputMessage="1" showErrorMessage="1" sqref="A8092">
      <formula1>0</formula1>
    </dataValidation>
    <dataValidation type="list" allowBlank="1" showInputMessage="1" showErrorMessage="1" sqref="C8092">
      <formula1>UnidadesList</formula1>
    </dataValidation>
    <dataValidation type="decimal" operator="greaterThan" allowBlank="1" showInputMessage="1" showErrorMessage="1" sqref="D8092">
      <formula1>0</formula1>
    </dataValidation>
    <dataValidation type="decimal" operator="greaterThan" allowBlank="1" showInputMessage="1" showErrorMessage="1" sqref="E8092">
      <formula1>0</formula1>
    </dataValidation>
    <dataValidation type="whole" operator="greaterThan" allowBlank="1" showInputMessage="1" showErrorMessage="1" sqref="A8093">
      <formula1>0</formula1>
    </dataValidation>
    <dataValidation type="list" allowBlank="1" showInputMessage="1" showErrorMessage="1" sqref="C8093">
      <formula1>UnidadesList</formula1>
    </dataValidation>
    <dataValidation type="decimal" operator="greaterThan" allowBlank="1" showInputMessage="1" showErrorMessage="1" sqref="D8093">
      <formula1>0</formula1>
    </dataValidation>
    <dataValidation type="decimal" operator="greaterThan" allowBlank="1" showInputMessage="1" showErrorMessage="1" sqref="E8093">
      <formula1>0</formula1>
    </dataValidation>
    <dataValidation type="whole" operator="greaterThan" allowBlank="1" showInputMessage="1" showErrorMessage="1" sqref="A8094">
      <formula1>0</formula1>
    </dataValidation>
    <dataValidation type="list" allowBlank="1" showInputMessage="1" showErrorMessage="1" sqref="C8094">
      <formula1>UnidadesList</formula1>
    </dataValidation>
    <dataValidation type="decimal" operator="greaterThan" allowBlank="1" showInputMessage="1" showErrorMessage="1" sqref="D8094">
      <formula1>0</formula1>
    </dataValidation>
    <dataValidation type="decimal" operator="greaterThan" allowBlank="1" showInputMessage="1" showErrorMessage="1" sqref="E8094">
      <formula1>0</formula1>
    </dataValidation>
    <dataValidation type="whole" operator="greaterThan" allowBlank="1" showInputMessage="1" showErrorMessage="1" sqref="A8095">
      <formula1>0</formula1>
    </dataValidation>
    <dataValidation type="list" allowBlank="1" showInputMessage="1" showErrorMessage="1" sqref="C8095">
      <formula1>UnidadesList</formula1>
    </dataValidation>
    <dataValidation type="decimal" operator="greaterThan" allowBlank="1" showInputMessage="1" showErrorMessage="1" sqref="D8095">
      <formula1>0</formula1>
    </dataValidation>
    <dataValidation type="decimal" operator="greaterThan" allowBlank="1" showInputMessage="1" showErrorMessage="1" sqref="E8095">
      <formula1>0</formula1>
    </dataValidation>
    <dataValidation type="whole" operator="greaterThan" allowBlank="1" showInputMessage="1" showErrorMessage="1" sqref="A8096">
      <formula1>0</formula1>
    </dataValidation>
    <dataValidation type="list" allowBlank="1" showInputMessage="1" showErrorMessage="1" sqref="C8096">
      <formula1>UnidadesList</formula1>
    </dataValidation>
    <dataValidation type="decimal" operator="greaterThan" allowBlank="1" showInputMessage="1" showErrorMessage="1" sqref="D8096">
      <formula1>0</formula1>
    </dataValidation>
    <dataValidation type="decimal" operator="greaterThan" allowBlank="1" showInputMessage="1" showErrorMessage="1" sqref="E8096">
      <formula1>0</formula1>
    </dataValidation>
    <dataValidation type="whole" operator="greaterThan" allowBlank="1" showInputMessage="1" showErrorMessage="1" sqref="A8097">
      <formula1>0</formula1>
    </dataValidation>
    <dataValidation type="list" allowBlank="1" showInputMessage="1" showErrorMessage="1" sqref="C8097">
      <formula1>UnidadesList</formula1>
    </dataValidation>
    <dataValidation type="decimal" operator="greaterThan" allowBlank="1" showInputMessage="1" showErrorMessage="1" sqref="D8097">
      <formula1>0</formula1>
    </dataValidation>
    <dataValidation type="decimal" operator="greaterThan" allowBlank="1" showInputMessage="1" showErrorMessage="1" sqref="E8097">
      <formula1>0</formula1>
    </dataValidation>
    <dataValidation type="whole" operator="greaterThan" allowBlank="1" showInputMessage="1" showErrorMessage="1" sqref="A8098">
      <formula1>0</formula1>
    </dataValidation>
    <dataValidation type="list" allowBlank="1" showInputMessage="1" showErrorMessage="1" sqref="C8098">
      <formula1>UnidadesList</formula1>
    </dataValidation>
    <dataValidation type="decimal" operator="greaterThan" allowBlank="1" showInputMessage="1" showErrorMessage="1" sqref="D8098">
      <formula1>0</formula1>
    </dataValidation>
    <dataValidation type="decimal" operator="greaterThan" allowBlank="1" showInputMessage="1" showErrorMessage="1" sqref="E8098">
      <formula1>0</formula1>
    </dataValidation>
    <dataValidation type="whole" operator="greaterThan" allowBlank="1" showInputMessage="1" showErrorMessage="1" sqref="A8099">
      <formula1>0</formula1>
    </dataValidation>
    <dataValidation type="list" allowBlank="1" showInputMessage="1" showErrorMessage="1" sqref="C8099">
      <formula1>UnidadesList</formula1>
    </dataValidation>
    <dataValidation type="decimal" operator="greaterThan" allowBlank="1" showInputMessage="1" showErrorMessage="1" sqref="D8099">
      <formula1>0</formula1>
    </dataValidation>
    <dataValidation type="decimal" operator="greaterThan" allowBlank="1" showInputMessage="1" showErrorMessage="1" sqref="E8099">
      <formula1>0</formula1>
    </dataValidation>
    <dataValidation type="whole" operator="greaterThan" allowBlank="1" showInputMessage="1" showErrorMessage="1" sqref="A8100">
      <formula1>0</formula1>
    </dataValidation>
    <dataValidation type="list" allowBlank="1" showInputMessage="1" showErrorMessage="1" sqref="C8100">
      <formula1>UnidadesList</formula1>
    </dataValidation>
    <dataValidation type="decimal" operator="greaterThan" allowBlank="1" showInputMessage="1" showErrorMessage="1" sqref="D8100">
      <formula1>0</formula1>
    </dataValidation>
    <dataValidation type="decimal" operator="greaterThan" allowBlank="1" showInputMessage="1" showErrorMessage="1" sqref="E8100">
      <formula1>0</formula1>
    </dataValidation>
    <dataValidation type="whole" operator="greaterThan" allowBlank="1" showInputMessage="1" showErrorMessage="1" sqref="A8101">
      <formula1>0</formula1>
    </dataValidation>
    <dataValidation type="list" allowBlank="1" showInputMessage="1" showErrorMessage="1" sqref="C8101">
      <formula1>UnidadesList</formula1>
    </dataValidation>
    <dataValidation type="decimal" operator="greaterThan" allowBlank="1" showInputMessage="1" showErrorMessage="1" sqref="D8101">
      <formula1>0</formula1>
    </dataValidation>
    <dataValidation type="decimal" operator="greaterThan" allowBlank="1" showInputMessage="1" showErrorMessage="1" sqref="E8101">
      <formula1>0</formula1>
    </dataValidation>
    <dataValidation type="whole" operator="greaterThan" allowBlank="1" showInputMessage="1" showErrorMessage="1" sqref="A8102">
      <formula1>0</formula1>
    </dataValidation>
    <dataValidation type="list" allowBlank="1" showInputMessage="1" showErrorMessage="1" sqref="C8102">
      <formula1>UnidadesList</formula1>
    </dataValidation>
    <dataValidation type="decimal" operator="greaterThan" allowBlank="1" showInputMessage="1" showErrorMessage="1" sqref="D8102">
      <formula1>0</formula1>
    </dataValidation>
    <dataValidation type="decimal" operator="greaterThan" allowBlank="1" showInputMessage="1" showErrorMessage="1" sqref="E8102">
      <formula1>0</formula1>
    </dataValidation>
    <dataValidation type="whole" operator="greaterThan" allowBlank="1" showInputMessage="1" showErrorMessage="1" sqref="A8103">
      <formula1>0</formula1>
    </dataValidation>
    <dataValidation type="list" allowBlank="1" showInputMessage="1" showErrorMessage="1" sqref="C8103">
      <formula1>UnidadesList</formula1>
    </dataValidation>
    <dataValidation type="decimal" operator="greaterThan" allowBlank="1" showInputMessage="1" showErrorMessage="1" sqref="D8103">
      <formula1>0</formula1>
    </dataValidation>
    <dataValidation type="decimal" operator="greaterThan" allowBlank="1" showInputMessage="1" showErrorMessage="1" sqref="E8103">
      <formula1>0</formula1>
    </dataValidation>
    <dataValidation type="whole" operator="greaterThan" allowBlank="1" showInputMessage="1" showErrorMessage="1" sqref="A8104">
      <formula1>0</formula1>
    </dataValidation>
    <dataValidation type="list" allowBlank="1" showInputMessage="1" showErrorMessage="1" sqref="C8104">
      <formula1>UnidadesList</formula1>
    </dataValidation>
    <dataValidation type="decimal" operator="greaterThan" allowBlank="1" showInputMessage="1" showErrorMessage="1" sqref="D8104">
      <formula1>0</formula1>
    </dataValidation>
    <dataValidation type="decimal" operator="greaterThan" allowBlank="1" showInputMessage="1" showErrorMessage="1" sqref="E8104">
      <formula1>0</formula1>
    </dataValidation>
    <dataValidation type="whole" operator="greaterThan" allowBlank="1" showInputMessage="1" showErrorMessage="1" sqref="A8105">
      <formula1>0</formula1>
    </dataValidation>
    <dataValidation type="list" allowBlank="1" showInputMessage="1" showErrorMessage="1" sqref="C8105">
      <formula1>UnidadesList</formula1>
    </dataValidation>
    <dataValidation type="decimal" operator="greaterThan" allowBlank="1" showInputMessage="1" showErrorMessage="1" sqref="D8105">
      <formula1>0</formula1>
    </dataValidation>
    <dataValidation type="decimal" operator="greaterThan" allowBlank="1" showInputMessage="1" showErrorMessage="1" sqref="E8105">
      <formula1>0</formula1>
    </dataValidation>
    <dataValidation type="whole" operator="greaterThan" allowBlank="1" showInputMessage="1" showErrorMessage="1" sqref="A8106">
      <formula1>0</formula1>
    </dataValidation>
    <dataValidation type="list" allowBlank="1" showInputMessage="1" showErrorMessage="1" sqref="C8106">
      <formula1>UnidadesList</formula1>
    </dataValidation>
    <dataValidation type="decimal" operator="greaterThan" allowBlank="1" showInputMessage="1" showErrorMessage="1" sqref="D8106">
      <formula1>0</formula1>
    </dataValidation>
    <dataValidation type="decimal" operator="greaterThan" allowBlank="1" showInputMessage="1" showErrorMessage="1" sqref="E8106">
      <formula1>0</formula1>
    </dataValidation>
    <dataValidation type="whole" operator="greaterThan" allowBlank="1" showInputMessage="1" showErrorMessage="1" sqref="A8107">
      <formula1>0</formula1>
    </dataValidation>
    <dataValidation type="list" allowBlank="1" showInputMessage="1" showErrorMessage="1" sqref="C8107">
      <formula1>UnidadesList</formula1>
    </dataValidation>
    <dataValidation type="decimal" operator="greaterThan" allowBlank="1" showInputMessage="1" showErrorMessage="1" sqref="D8107">
      <formula1>0</formula1>
    </dataValidation>
    <dataValidation type="decimal" operator="greaterThan" allowBlank="1" showInputMessage="1" showErrorMessage="1" sqref="E8107">
      <formula1>0</formula1>
    </dataValidation>
    <dataValidation type="whole" operator="greaterThan" allowBlank="1" showInputMessage="1" showErrorMessage="1" sqref="A8108">
      <formula1>0</formula1>
    </dataValidation>
    <dataValidation type="list" allowBlank="1" showInputMessage="1" showErrorMessage="1" sqref="C8108">
      <formula1>UnidadesList</formula1>
    </dataValidation>
    <dataValidation type="decimal" operator="greaterThan" allowBlank="1" showInputMessage="1" showErrorMessage="1" sqref="D8108">
      <formula1>0</formula1>
    </dataValidation>
    <dataValidation type="decimal" operator="greaterThan" allowBlank="1" showInputMessage="1" showErrorMessage="1" sqref="E8108">
      <formula1>0</formula1>
    </dataValidation>
    <dataValidation type="whole" operator="greaterThan" allowBlank="1" showInputMessage="1" showErrorMessage="1" sqref="A8109">
      <formula1>0</formula1>
    </dataValidation>
    <dataValidation type="list" allowBlank="1" showInputMessage="1" showErrorMessage="1" sqref="C8109">
      <formula1>UnidadesList</formula1>
    </dataValidation>
    <dataValidation type="decimal" operator="greaterThan" allowBlank="1" showInputMessage="1" showErrorMessage="1" sqref="D8109">
      <formula1>0</formula1>
    </dataValidation>
    <dataValidation type="decimal" operator="greaterThan" allowBlank="1" showInputMessage="1" showErrorMessage="1" sqref="E8109">
      <formula1>0</formula1>
    </dataValidation>
    <dataValidation type="whole" operator="greaterThan" allowBlank="1" showInputMessage="1" showErrorMessage="1" sqref="A8110">
      <formula1>0</formula1>
    </dataValidation>
    <dataValidation type="list" allowBlank="1" showInputMessage="1" showErrorMessage="1" sqref="C8110">
      <formula1>UnidadesList</formula1>
    </dataValidation>
    <dataValidation type="decimal" operator="greaterThan" allowBlank="1" showInputMessage="1" showErrorMessage="1" sqref="D8110">
      <formula1>0</formula1>
    </dataValidation>
    <dataValidation type="decimal" operator="greaterThan" allowBlank="1" showInputMessage="1" showErrorMessage="1" sqref="E8110">
      <formula1>0</formula1>
    </dataValidation>
    <dataValidation type="whole" operator="greaterThan" allowBlank="1" showInputMessage="1" showErrorMessage="1" sqref="A8111">
      <formula1>0</formula1>
    </dataValidation>
    <dataValidation type="list" allowBlank="1" showInputMessage="1" showErrorMessage="1" sqref="C8111">
      <formula1>UnidadesList</formula1>
    </dataValidation>
    <dataValidation type="decimal" operator="greaterThan" allowBlank="1" showInputMessage="1" showErrorMessage="1" sqref="D8111">
      <formula1>0</formula1>
    </dataValidation>
    <dataValidation type="decimal" operator="greaterThan" allowBlank="1" showInputMessage="1" showErrorMessage="1" sqref="E8111">
      <formula1>0</formula1>
    </dataValidation>
    <dataValidation type="whole" operator="greaterThan" allowBlank="1" showInputMessage="1" showErrorMessage="1" sqref="A8112">
      <formula1>0</formula1>
    </dataValidation>
    <dataValidation type="list" allowBlank="1" showInputMessage="1" showErrorMessage="1" sqref="C8112">
      <formula1>UnidadesList</formula1>
    </dataValidation>
    <dataValidation type="decimal" operator="greaterThan" allowBlank="1" showInputMessage="1" showErrorMessage="1" sqref="D8112">
      <formula1>0</formula1>
    </dataValidation>
    <dataValidation type="decimal" operator="greaterThan" allowBlank="1" showInputMessage="1" showErrorMessage="1" sqref="E8112">
      <formula1>0</formula1>
    </dataValidation>
    <dataValidation type="whole" operator="greaterThan" allowBlank="1" showInputMessage="1" showErrorMessage="1" sqref="A8113">
      <formula1>0</formula1>
    </dataValidation>
    <dataValidation type="list" allowBlank="1" showInputMessage="1" showErrorMessage="1" sqref="C8113">
      <formula1>UnidadesList</formula1>
    </dataValidation>
    <dataValidation type="decimal" operator="greaterThan" allowBlank="1" showInputMessage="1" showErrorMessage="1" sqref="D8113">
      <formula1>0</formula1>
    </dataValidation>
    <dataValidation type="decimal" operator="greaterThan" allowBlank="1" showInputMessage="1" showErrorMessage="1" sqref="E8113">
      <formula1>0</formula1>
    </dataValidation>
    <dataValidation type="whole" operator="greaterThan" allowBlank="1" showInputMessage="1" showErrorMessage="1" sqref="A8114">
      <formula1>0</formula1>
    </dataValidation>
    <dataValidation type="list" allowBlank="1" showInputMessage="1" showErrorMessage="1" sqref="C8114">
      <formula1>UnidadesList</formula1>
    </dataValidation>
    <dataValidation type="decimal" operator="greaterThan" allowBlank="1" showInputMessage="1" showErrorMessage="1" sqref="D8114">
      <formula1>0</formula1>
    </dataValidation>
    <dataValidation type="decimal" operator="greaterThan" allowBlank="1" showInputMessage="1" showErrorMessage="1" sqref="E8114">
      <formula1>0</formula1>
    </dataValidation>
    <dataValidation type="whole" operator="greaterThan" allowBlank="1" showInputMessage="1" showErrorMessage="1" sqref="A8115">
      <formula1>0</formula1>
    </dataValidation>
    <dataValidation type="list" allowBlank="1" showInputMessage="1" showErrorMessage="1" sqref="C8115">
      <formula1>UnidadesList</formula1>
    </dataValidation>
    <dataValidation type="decimal" operator="greaterThan" allowBlank="1" showInputMessage="1" showErrorMessage="1" sqref="D8115">
      <formula1>0</formula1>
    </dataValidation>
    <dataValidation type="decimal" operator="greaterThan" allowBlank="1" showInputMessage="1" showErrorMessage="1" sqref="E8115">
      <formula1>0</formula1>
    </dataValidation>
    <dataValidation type="whole" operator="greaterThan" allowBlank="1" showInputMessage="1" showErrorMessage="1" sqref="A8116">
      <formula1>0</formula1>
    </dataValidation>
    <dataValidation type="list" allowBlank="1" showInputMessage="1" showErrorMessage="1" sqref="C8116">
      <formula1>UnidadesList</formula1>
    </dataValidation>
    <dataValidation type="decimal" operator="greaterThan" allowBlank="1" showInputMessage="1" showErrorMessage="1" sqref="D8116">
      <formula1>0</formula1>
    </dataValidation>
    <dataValidation type="decimal" operator="greaterThan" allowBlank="1" showInputMessage="1" showErrorMessage="1" sqref="E8116">
      <formula1>0</formula1>
    </dataValidation>
    <dataValidation type="whole" operator="greaterThan" allowBlank="1" showInputMessage="1" showErrorMessage="1" sqref="A8117">
      <formula1>0</formula1>
    </dataValidation>
    <dataValidation type="list" allowBlank="1" showInputMessage="1" showErrorMessage="1" sqref="C8117">
      <formula1>UnidadesList</formula1>
    </dataValidation>
    <dataValidation type="decimal" operator="greaterThan" allowBlank="1" showInputMessage="1" showErrorMessage="1" sqref="D8117">
      <formula1>0</formula1>
    </dataValidation>
    <dataValidation type="decimal" operator="greaterThan" allowBlank="1" showInputMessage="1" showErrorMessage="1" sqref="E8117">
      <formula1>0</formula1>
    </dataValidation>
    <dataValidation type="date" operator="lessThanOrEqual" allowBlank="1" showInputMessage="1" showErrorMessage="1" sqref="C8122">
      <formula1>C8124</formula1>
    </dataValidation>
    <dataValidation type="date" operator="greaterThanOrEqual" allowBlank="1" showInputMessage="1" showErrorMessage="1" sqref="C8124">
      <formula1>C8122</formula1>
    </dataValidation>
    <dataValidation type="list" allowBlank="1" showInputMessage="1" showErrorMessage="1" sqref="F812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12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12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12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128">
      <formula1>0</formula1>
    </dataValidation>
    <dataValidation type="list" allowBlank="1" showInputMessage="1" showErrorMessage="1" sqref="C8128">
      <formula1>UnidadesList</formula1>
    </dataValidation>
    <dataValidation type="decimal" operator="greaterThan" allowBlank="1" showInputMessage="1" showErrorMessage="1" sqref="D8128">
      <formula1>0</formula1>
    </dataValidation>
    <dataValidation type="decimal" operator="greaterThan" allowBlank="1" showInputMessage="1" showErrorMessage="1" sqref="E8128">
      <formula1>0</formula1>
    </dataValidation>
    <dataValidation type="whole" operator="greaterThan" allowBlank="1" showInputMessage="1" showErrorMessage="1" sqref="A8129">
      <formula1>0</formula1>
    </dataValidation>
    <dataValidation type="list" allowBlank="1" showInputMessage="1" showErrorMessage="1" sqref="C8129">
      <formula1>UnidadesList</formula1>
    </dataValidation>
    <dataValidation type="decimal" operator="greaterThan" allowBlank="1" showInputMessage="1" showErrorMessage="1" sqref="D8129">
      <formula1>0</formula1>
    </dataValidation>
    <dataValidation type="decimal" operator="greaterThan" allowBlank="1" showInputMessage="1" showErrorMessage="1" sqref="E8129">
      <formula1>0</formula1>
    </dataValidation>
    <dataValidation type="whole" operator="greaterThan" allowBlank="1" showInputMessage="1" showErrorMessage="1" sqref="A8130">
      <formula1>0</formula1>
    </dataValidation>
    <dataValidation type="list" allowBlank="1" showInputMessage="1" showErrorMessage="1" sqref="C8130">
      <formula1>UnidadesList</formula1>
    </dataValidation>
    <dataValidation type="decimal" operator="greaterThan" allowBlank="1" showInputMessage="1" showErrorMessage="1" sqref="D8130">
      <formula1>0</formula1>
    </dataValidation>
    <dataValidation type="decimal" operator="greaterThan" allowBlank="1" showInputMessage="1" showErrorMessage="1" sqref="E8130">
      <formula1>0</formula1>
    </dataValidation>
    <dataValidation type="whole" operator="greaterThan" allowBlank="1" showInputMessage="1" showErrorMessage="1" sqref="A8131">
      <formula1>0</formula1>
    </dataValidation>
    <dataValidation type="list" allowBlank="1" showInputMessage="1" showErrorMessage="1" sqref="C8131">
      <formula1>UnidadesList</formula1>
    </dataValidation>
    <dataValidation type="decimal" operator="greaterThan" allowBlank="1" showInputMessage="1" showErrorMessage="1" sqref="D8131">
      <formula1>0</formula1>
    </dataValidation>
    <dataValidation type="decimal" operator="greaterThan" allowBlank="1" showInputMessage="1" showErrorMessage="1" sqref="E8131">
      <formula1>0</formula1>
    </dataValidation>
    <dataValidation type="whole" operator="greaterThan" allowBlank="1" showInputMessage="1" showErrorMessage="1" sqref="A8132">
      <formula1>0</formula1>
    </dataValidation>
    <dataValidation type="list" allowBlank="1" showInputMessage="1" showErrorMessage="1" sqref="C8132">
      <formula1>UnidadesList</formula1>
    </dataValidation>
    <dataValidation type="decimal" operator="greaterThan" allowBlank="1" showInputMessage="1" showErrorMessage="1" sqref="D8132">
      <formula1>0</formula1>
    </dataValidation>
    <dataValidation type="decimal" operator="greaterThan" allowBlank="1" showInputMessage="1" showErrorMessage="1" sqref="E8132">
      <formula1>0</formula1>
    </dataValidation>
    <dataValidation type="whole" operator="greaterThan" allowBlank="1" showInputMessage="1" showErrorMessage="1" sqref="A8133">
      <formula1>0</formula1>
    </dataValidation>
    <dataValidation type="list" allowBlank="1" showInputMessage="1" showErrorMessage="1" sqref="C8133">
      <formula1>UnidadesList</formula1>
    </dataValidation>
    <dataValidation type="decimal" operator="greaterThan" allowBlank="1" showInputMessage="1" showErrorMessage="1" sqref="D8133">
      <formula1>0</formula1>
    </dataValidation>
    <dataValidation type="decimal" operator="greaterThan" allowBlank="1" showInputMessage="1" showErrorMessage="1" sqref="E8133">
      <formula1>0</formula1>
    </dataValidation>
    <dataValidation type="whole" operator="greaterThan" allowBlank="1" showInputMessage="1" showErrorMessage="1" sqref="A8134">
      <formula1>0</formula1>
    </dataValidation>
    <dataValidation type="list" allowBlank="1" showInputMessage="1" showErrorMessage="1" sqref="C8134">
      <formula1>UnidadesList</formula1>
    </dataValidation>
    <dataValidation type="decimal" operator="greaterThan" allowBlank="1" showInputMessage="1" showErrorMessage="1" sqref="D8134">
      <formula1>0</formula1>
    </dataValidation>
    <dataValidation type="decimal" operator="greaterThan" allowBlank="1" showInputMessage="1" showErrorMessage="1" sqref="E8134">
      <formula1>0</formula1>
    </dataValidation>
    <dataValidation type="whole" operator="greaterThan" allowBlank="1" showInputMessage="1" showErrorMessage="1" sqref="A8135">
      <formula1>0</formula1>
    </dataValidation>
    <dataValidation type="list" allowBlank="1" showInputMessage="1" showErrorMessage="1" sqref="C8135">
      <formula1>UnidadesList</formula1>
    </dataValidation>
    <dataValidation type="decimal" operator="greaterThan" allowBlank="1" showInputMessage="1" showErrorMessage="1" sqref="D8135">
      <formula1>0</formula1>
    </dataValidation>
    <dataValidation type="decimal" operator="greaterThan" allowBlank="1" showInputMessage="1" showErrorMessage="1" sqref="E8135">
      <formula1>0</formula1>
    </dataValidation>
    <dataValidation type="whole" operator="greaterThan" allowBlank="1" showInputMessage="1" showErrorMessage="1" sqref="A8136">
      <formula1>0</formula1>
    </dataValidation>
    <dataValidation type="list" allowBlank="1" showInputMessage="1" showErrorMessage="1" sqref="C8136">
      <formula1>UnidadesList</formula1>
    </dataValidation>
    <dataValidation type="decimal" operator="greaterThan" allowBlank="1" showInputMessage="1" showErrorMessage="1" sqref="D8136">
      <formula1>0</formula1>
    </dataValidation>
    <dataValidation type="decimal" operator="greaterThan" allowBlank="1" showInputMessage="1" showErrorMessage="1" sqref="E8136">
      <formula1>0</formula1>
    </dataValidation>
    <dataValidation type="whole" operator="greaterThan" allowBlank="1" showInputMessage="1" showErrorMessage="1" sqref="A8137">
      <formula1>0</formula1>
    </dataValidation>
    <dataValidation type="list" allowBlank="1" showInputMessage="1" showErrorMessage="1" sqref="C8137">
      <formula1>UnidadesList</formula1>
    </dataValidation>
    <dataValidation type="decimal" operator="greaterThan" allowBlank="1" showInputMessage="1" showErrorMessage="1" sqref="D8137">
      <formula1>0</formula1>
    </dataValidation>
    <dataValidation type="decimal" operator="greaterThan" allowBlank="1" showInputMessage="1" showErrorMessage="1" sqref="E8137">
      <formula1>0</formula1>
    </dataValidation>
    <dataValidation type="whole" operator="greaterThan" allowBlank="1" showInputMessage="1" showErrorMessage="1" sqref="A8138">
      <formula1>0</formula1>
    </dataValidation>
    <dataValidation type="list" allowBlank="1" showInputMessage="1" showErrorMessage="1" sqref="C8138">
      <formula1>UnidadesList</formula1>
    </dataValidation>
    <dataValidation type="decimal" operator="greaterThan" allowBlank="1" showInputMessage="1" showErrorMessage="1" sqref="D8138">
      <formula1>0</formula1>
    </dataValidation>
    <dataValidation type="decimal" operator="greaterThan" allowBlank="1" showInputMessage="1" showErrorMessage="1" sqref="E8138">
      <formula1>0</formula1>
    </dataValidation>
    <dataValidation type="whole" operator="greaterThan" allowBlank="1" showInputMessage="1" showErrorMessage="1" sqref="A8139">
      <formula1>0</formula1>
    </dataValidation>
    <dataValidation type="list" allowBlank="1" showInputMessage="1" showErrorMessage="1" sqref="C8139">
      <formula1>UnidadesList</formula1>
    </dataValidation>
    <dataValidation type="decimal" operator="greaterThan" allowBlank="1" showInputMessage="1" showErrorMessage="1" sqref="D8139">
      <formula1>0</formula1>
    </dataValidation>
    <dataValidation type="decimal" operator="greaterThan" allowBlank="1" showInputMessage="1" showErrorMessage="1" sqref="E8139">
      <formula1>0</formula1>
    </dataValidation>
    <dataValidation type="whole" operator="greaterThan" allowBlank="1" showInputMessage="1" showErrorMessage="1" sqref="A8140">
      <formula1>0</formula1>
    </dataValidation>
    <dataValidation type="list" allowBlank="1" showInputMessage="1" showErrorMessage="1" sqref="C8140">
      <formula1>UnidadesList</formula1>
    </dataValidation>
    <dataValidation type="decimal" operator="greaterThan" allowBlank="1" showInputMessage="1" showErrorMessage="1" sqref="D8140">
      <formula1>0</formula1>
    </dataValidation>
    <dataValidation type="decimal" operator="greaterThan" allowBlank="1" showInputMessage="1" showErrorMessage="1" sqref="E8140">
      <formula1>0</formula1>
    </dataValidation>
    <dataValidation type="whole" operator="greaterThan" allowBlank="1" showInputMessage="1" showErrorMessage="1" sqref="A8141">
      <formula1>0</formula1>
    </dataValidation>
    <dataValidation type="list" allowBlank="1" showInputMessage="1" showErrorMessage="1" sqref="C8141">
      <formula1>UnidadesList</formula1>
    </dataValidation>
    <dataValidation type="decimal" operator="greaterThan" allowBlank="1" showInputMessage="1" showErrorMessage="1" sqref="D8141">
      <formula1>0</formula1>
    </dataValidation>
    <dataValidation type="decimal" operator="greaterThan" allowBlank="1" showInputMessage="1" showErrorMessage="1" sqref="E8141">
      <formula1>0</formula1>
    </dataValidation>
    <dataValidation type="whole" operator="greaterThan" allowBlank="1" showInputMessage="1" showErrorMessage="1" sqref="A8142">
      <formula1>0</formula1>
    </dataValidation>
    <dataValidation type="list" allowBlank="1" showInputMessage="1" showErrorMessage="1" sqref="C8142">
      <formula1>UnidadesList</formula1>
    </dataValidation>
    <dataValidation type="decimal" operator="greaterThan" allowBlank="1" showInputMessage="1" showErrorMessage="1" sqref="D8142">
      <formula1>0</formula1>
    </dataValidation>
    <dataValidation type="decimal" operator="greaterThan" allowBlank="1" showInputMessage="1" showErrorMessage="1" sqref="E8142">
      <formula1>0</formula1>
    </dataValidation>
    <dataValidation type="whole" operator="greaterThan" allowBlank="1" showInputMessage="1" showErrorMessage="1" sqref="A8143">
      <formula1>0</formula1>
    </dataValidation>
    <dataValidation type="list" allowBlank="1" showInputMessage="1" showErrorMessage="1" sqref="C8143">
      <formula1>UnidadesList</formula1>
    </dataValidation>
    <dataValidation type="decimal" operator="greaterThan" allowBlank="1" showInputMessage="1" showErrorMessage="1" sqref="D8143">
      <formula1>0</formula1>
    </dataValidation>
    <dataValidation type="decimal" operator="greaterThan" allowBlank="1" showInputMessage="1" showErrorMessage="1" sqref="E8143">
      <formula1>0</formula1>
    </dataValidation>
    <dataValidation type="whole" operator="greaterThan" allowBlank="1" showInputMessage="1" showErrorMessage="1" sqref="A8144">
      <formula1>0</formula1>
    </dataValidation>
    <dataValidation type="list" allowBlank="1" showInputMessage="1" showErrorMessage="1" sqref="C8144">
      <formula1>UnidadesList</formula1>
    </dataValidation>
    <dataValidation type="decimal" operator="greaterThan" allowBlank="1" showInputMessage="1" showErrorMessage="1" sqref="D8144">
      <formula1>0</formula1>
    </dataValidation>
    <dataValidation type="decimal" operator="greaterThan" allowBlank="1" showInputMessage="1" showErrorMessage="1" sqref="E8144">
      <formula1>0</formula1>
    </dataValidation>
    <dataValidation type="whole" operator="greaterThan" allowBlank="1" showInputMessage="1" showErrorMessage="1" sqref="A8145">
      <formula1>0</formula1>
    </dataValidation>
    <dataValidation type="list" allowBlank="1" showInputMessage="1" showErrorMessage="1" sqref="C8145">
      <formula1>UnidadesList</formula1>
    </dataValidation>
    <dataValidation type="decimal" operator="greaterThan" allowBlank="1" showInputMessage="1" showErrorMessage="1" sqref="D8145">
      <formula1>0</formula1>
    </dataValidation>
    <dataValidation type="decimal" operator="greaterThan" allowBlank="1" showInputMessage="1" showErrorMessage="1" sqref="E8145">
      <formula1>0</formula1>
    </dataValidation>
    <dataValidation type="whole" operator="greaterThan" allowBlank="1" showInputMessage="1" showErrorMessage="1" sqref="A8146">
      <formula1>0</formula1>
    </dataValidation>
    <dataValidation type="list" allowBlank="1" showInputMessage="1" showErrorMessage="1" sqref="C8146">
      <formula1>UnidadesList</formula1>
    </dataValidation>
    <dataValidation type="decimal" operator="greaterThan" allowBlank="1" showInputMessage="1" showErrorMessage="1" sqref="D8146">
      <formula1>0</formula1>
    </dataValidation>
    <dataValidation type="decimal" operator="greaterThan" allowBlank="1" showInputMessage="1" showErrorMessage="1" sqref="E8146">
      <formula1>0</formula1>
    </dataValidation>
    <dataValidation type="whole" operator="greaterThan" allowBlank="1" showInputMessage="1" showErrorMessage="1" sqref="A8147">
      <formula1>0</formula1>
    </dataValidation>
    <dataValidation type="list" allowBlank="1" showInputMessage="1" showErrorMessage="1" sqref="C8147">
      <formula1>UnidadesList</formula1>
    </dataValidation>
    <dataValidation type="decimal" operator="greaterThan" allowBlank="1" showInputMessage="1" showErrorMessage="1" sqref="D8147">
      <formula1>0</formula1>
    </dataValidation>
    <dataValidation type="decimal" operator="greaterThan" allowBlank="1" showInputMessage="1" showErrorMessage="1" sqref="E8147">
      <formula1>0</formula1>
    </dataValidation>
    <dataValidation type="whole" operator="greaterThan" allowBlank="1" showInputMessage="1" showErrorMessage="1" sqref="A8148">
      <formula1>0</formula1>
    </dataValidation>
    <dataValidation type="list" allowBlank="1" showInputMessage="1" showErrorMessage="1" sqref="C8148">
      <formula1>UnidadesList</formula1>
    </dataValidation>
    <dataValidation type="decimal" operator="greaterThan" allowBlank="1" showInputMessage="1" showErrorMessage="1" sqref="D8148">
      <formula1>0</formula1>
    </dataValidation>
    <dataValidation type="decimal" operator="greaterThan" allowBlank="1" showInputMessage="1" showErrorMessage="1" sqref="E8148">
      <formula1>0</formula1>
    </dataValidation>
    <dataValidation type="whole" operator="greaterThan" allowBlank="1" showInputMessage="1" showErrorMessage="1" sqref="A8149">
      <formula1>0</formula1>
    </dataValidation>
    <dataValidation type="list" allowBlank="1" showInputMessage="1" showErrorMessage="1" sqref="C8149">
      <formula1>UnidadesList</formula1>
    </dataValidation>
    <dataValidation type="decimal" operator="greaterThan" allowBlank="1" showInputMessage="1" showErrorMessage="1" sqref="D8149">
      <formula1>0</formula1>
    </dataValidation>
    <dataValidation type="decimal" operator="greaterThan" allowBlank="1" showInputMessage="1" showErrorMessage="1" sqref="E8149">
      <formula1>0</formula1>
    </dataValidation>
    <dataValidation type="whole" operator="greaterThan" allowBlank="1" showInputMessage="1" showErrorMessage="1" sqref="A8150">
      <formula1>0</formula1>
    </dataValidation>
    <dataValidation type="list" allowBlank="1" showInputMessage="1" showErrorMessage="1" sqref="C8150">
      <formula1>UnidadesList</formula1>
    </dataValidation>
    <dataValidation type="decimal" operator="greaterThan" allowBlank="1" showInputMessage="1" showErrorMessage="1" sqref="D8150">
      <formula1>0</formula1>
    </dataValidation>
    <dataValidation type="decimal" operator="greaterThan" allowBlank="1" showInputMessage="1" showErrorMessage="1" sqref="E8150">
      <formula1>0</formula1>
    </dataValidation>
    <dataValidation type="whole" operator="greaterThan" allowBlank="1" showInputMessage="1" showErrorMessage="1" sqref="A8151">
      <formula1>0</formula1>
    </dataValidation>
    <dataValidation type="list" allowBlank="1" showInputMessage="1" showErrorMessage="1" sqref="C8151">
      <formula1>UnidadesList</formula1>
    </dataValidation>
    <dataValidation type="decimal" operator="greaterThan" allowBlank="1" showInputMessage="1" showErrorMessage="1" sqref="D8151">
      <formula1>0</formula1>
    </dataValidation>
    <dataValidation type="decimal" operator="greaterThan" allowBlank="1" showInputMessage="1" showErrorMessage="1" sqref="E8151">
      <formula1>0</formula1>
    </dataValidation>
    <dataValidation type="whole" operator="greaterThan" allowBlank="1" showInputMessage="1" showErrorMessage="1" sqref="A8152">
      <formula1>0</formula1>
    </dataValidation>
    <dataValidation type="list" allowBlank="1" showInputMessage="1" showErrorMessage="1" sqref="C8152">
      <formula1>UnidadesList</formula1>
    </dataValidation>
    <dataValidation type="decimal" operator="greaterThan" allowBlank="1" showInputMessage="1" showErrorMessage="1" sqref="D8152">
      <formula1>0</formula1>
    </dataValidation>
    <dataValidation type="decimal" operator="greaterThan" allowBlank="1" showInputMessage="1" showErrorMessage="1" sqref="E8152">
      <formula1>0</formula1>
    </dataValidation>
    <dataValidation type="whole" operator="greaterThan" allowBlank="1" showInputMessage="1" showErrorMessage="1" sqref="A8153">
      <formula1>0</formula1>
    </dataValidation>
    <dataValidation type="list" allowBlank="1" showInputMessage="1" showErrorMessage="1" sqref="C8153">
      <formula1>UnidadesList</formula1>
    </dataValidation>
    <dataValidation type="decimal" operator="greaterThan" allowBlank="1" showInputMessage="1" showErrorMessage="1" sqref="D8153">
      <formula1>0</formula1>
    </dataValidation>
    <dataValidation type="decimal" operator="greaterThan" allowBlank="1" showInputMessage="1" showErrorMessage="1" sqref="E8153">
      <formula1>0</formula1>
    </dataValidation>
    <dataValidation type="whole" operator="greaterThan" allowBlank="1" showInputMessage="1" showErrorMessage="1" sqref="A8154">
      <formula1>0</formula1>
    </dataValidation>
    <dataValidation type="list" allowBlank="1" showInputMessage="1" showErrorMessage="1" sqref="C8154">
      <formula1>UnidadesList</formula1>
    </dataValidation>
    <dataValidation type="decimal" operator="greaterThan" allowBlank="1" showInputMessage="1" showErrorMessage="1" sqref="D8154">
      <formula1>0</formula1>
    </dataValidation>
    <dataValidation type="decimal" operator="greaterThan" allowBlank="1" showInputMessage="1" showErrorMessage="1" sqref="E8154">
      <formula1>0</formula1>
    </dataValidation>
    <dataValidation type="whole" operator="greaterThan" allowBlank="1" showInputMessage="1" showErrorMessage="1" sqref="A8155">
      <formula1>0</formula1>
    </dataValidation>
    <dataValidation type="list" allowBlank="1" showInputMessage="1" showErrorMessage="1" sqref="C8155">
      <formula1>UnidadesList</formula1>
    </dataValidation>
    <dataValidation type="decimal" operator="greaterThan" allowBlank="1" showInputMessage="1" showErrorMessage="1" sqref="D8155">
      <formula1>0</formula1>
    </dataValidation>
    <dataValidation type="decimal" operator="greaterThan" allowBlank="1" showInputMessage="1" showErrorMessage="1" sqref="E8155">
      <formula1>0</formula1>
    </dataValidation>
    <dataValidation type="whole" operator="greaterThan" allowBlank="1" showInputMessage="1" showErrorMessage="1" sqref="A8156">
      <formula1>0</formula1>
    </dataValidation>
    <dataValidation type="list" allowBlank="1" showInputMessage="1" showErrorMessage="1" sqref="C8156">
      <formula1>UnidadesList</formula1>
    </dataValidation>
    <dataValidation type="decimal" operator="greaterThan" allowBlank="1" showInputMessage="1" showErrorMessage="1" sqref="D8156">
      <formula1>0</formula1>
    </dataValidation>
    <dataValidation type="decimal" operator="greaterThan" allowBlank="1" showInputMessage="1" showErrorMessage="1" sqref="E8156">
      <formula1>0</formula1>
    </dataValidation>
    <dataValidation type="whole" operator="greaterThan" allowBlank="1" showInputMessage="1" showErrorMessage="1" sqref="A8157">
      <formula1>0</formula1>
    </dataValidation>
    <dataValidation type="list" allowBlank="1" showInputMessage="1" showErrorMessage="1" sqref="C8157">
      <formula1>UnidadesList</formula1>
    </dataValidation>
    <dataValidation type="decimal" operator="greaterThan" allowBlank="1" showInputMessage="1" showErrorMessage="1" sqref="D8157">
      <formula1>0</formula1>
    </dataValidation>
    <dataValidation type="decimal" operator="greaterThan" allowBlank="1" showInputMessage="1" showErrorMessage="1" sqref="E8157">
      <formula1>0</formula1>
    </dataValidation>
    <dataValidation type="whole" operator="greaterThan" allowBlank="1" showInputMessage="1" showErrorMessage="1" sqref="A8158">
      <formula1>0</formula1>
    </dataValidation>
    <dataValidation type="list" allowBlank="1" showInputMessage="1" showErrorMessage="1" sqref="C8158">
      <formula1>UnidadesList</formula1>
    </dataValidation>
    <dataValidation type="decimal" operator="greaterThan" allowBlank="1" showInputMessage="1" showErrorMessage="1" sqref="D8158">
      <formula1>0</formula1>
    </dataValidation>
    <dataValidation type="decimal" operator="greaterThan" allowBlank="1" showInputMessage="1" showErrorMessage="1" sqref="E8158">
      <formula1>0</formula1>
    </dataValidation>
    <dataValidation type="whole" operator="greaterThan" allowBlank="1" showInputMessage="1" showErrorMessage="1" sqref="A8159">
      <formula1>0</formula1>
    </dataValidation>
    <dataValidation type="list" allowBlank="1" showInputMessage="1" showErrorMessage="1" sqref="C8159">
      <formula1>UnidadesList</formula1>
    </dataValidation>
    <dataValidation type="decimal" operator="greaterThan" allowBlank="1" showInputMessage="1" showErrorMessage="1" sqref="D8159">
      <formula1>0</formula1>
    </dataValidation>
    <dataValidation type="decimal" operator="greaterThan" allowBlank="1" showInputMessage="1" showErrorMessage="1" sqref="E8159">
      <formula1>0</formula1>
    </dataValidation>
    <dataValidation type="whole" operator="greaterThan" allowBlank="1" showInputMessage="1" showErrorMessage="1" sqref="A8160">
      <formula1>0</formula1>
    </dataValidation>
    <dataValidation type="list" allowBlank="1" showInputMessage="1" showErrorMessage="1" sqref="C8160">
      <formula1>UnidadesList</formula1>
    </dataValidation>
    <dataValidation type="decimal" operator="greaterThan" allowBlank="1" showInputMessage="1" showErrorMessage="1" sqref="D8160">
      <formula1>0</formula1>
    </dataValidation>
    <dataValidation type="decimal" operator="greaterThan" allowBlank="1" showInputMessage="1" showErrorMessage="1" sqref="E8160">
      <formula1>0</formula1>
    </dataValidation>
    <dataValidation type="whole" operator="greaterThan" allowBlank="1" showInputMessage="1" showErrorMessage="1" sqref="A8161">
      <formula1>0</formula1>
    </dataValidation>
    <dataValidation type="list" allowBlank="1" showInputMessage="1" showErrorMessage="1" sqref="C8161">
      <formula1>UnidadesList</formula1>
    </dataValidation>
    <dataValidation type="decimal" operator="greaterThan" allowBlank="1" showInputMessage="1" showErrorMessage="1" sqref="D8161">
      <formula1>0</formula1>
    </dataValidation>
    <dataValidation type="decimal" operator="greaterThan" allowBlank="1" showInputMessage="1" showErrorMessage="1" sqref="E8161">
      <formula1>0</formula1>
    </dataValidation>
    <dataValidation type="whole" operator="greaterThan" allowBlank="1" showInputMessage="1" showErrorMessage="1" sqref="A8162">
      <formula1>0</formula1>
    </dataValidation>
    <dataValidation type="list" allowBlank="1" showInputMessage="1" showErrorMessage="1" sqref="C8162">
      <formula1>UnidadesList</formula1>
    </dataValidation>
    <dataValidation type="decimal" operator="greaterThan" allowBlank="1" showInputMessage="1" showErrorMessage="1" sqref="D8162">
      <formula1>0</formula1>
    </dataValidation>
    <dataValidation type="decimal" operator="greaterThan" allowBlank="1" showInputMessage="1" showErrorMessage="1" sqref="E8162">
      <formula1>0</formula1>
    </dataValidation>
    <dataValidation type="whole" operator="greaterThan" allowBlank="1" showInputMessage="1" showErrorMessage="1" sqref="A8163">
      <formula1>0</formula1>
    </dataValidation>
    <dataValidation type="list" allowBlank="1" showInputMessage="1" showErrorMessage="1" sqref="C8163">
      <formula1>UnidadesList</formula1>
    </dataValidation>
    <dataValidation type="decimal" operator="greaterThan" allowBlank="1" showInputMessage="1" showErrorMessage="1" sqref="D8163">
      <formula1>0</formula1>
    </dataValidation>
    <dataValidation type="decimal" operator="greaterThan" allowBlank="1" showInputMessage="1" showErrorMessage="1" sqref="E8163">
      <formula1>0</formula1>
    </dataValidation>
    <dataValidation type="whole" operator="greaterThan" allowBlank="1" showInputMessage="1" showErrorMessage="1" sqref="A8164">
      <formula1>0</formula1>
    </dataValidation>
    <dataValidation type="list" allowBlank="1" showInputMessage="1" showErrorMessage="1" sqref="C8164">
      <formula1>UnidadesList</formula1>
    </dataValidation>
    <dataValidation type="decimal" operator="greaterThan" allowBlank="1" showInputMessage="1" showErrorMessage="1" sqref="D8164">
      <formula1>0</formula1>
    </dataValidation>
    <dataValidation type="decimal" operator="greaterThan" allowBlank="1" showInputMessage="1" showErrorMessage="1" sqref="E8164">
      <formula1>0</formula1>
    </dataValidation>
    <dataValidation type="whole" operator="greaterThan" allowBlank="1" showInputMessage="1" showErrorMessage="1" sqref="A8165">
      <formula1>0</formula1>
    </dataValidation>
    <dataValidation type="list" allowBlank="1" showInputMessage="1" showErrorMessage="1" sqref="C8165">
      <formula1>UnidadesList</formula1>
    </dataValidation>
    <dataValidation type="decimal" operator="greaterThan" allowBlank="1" showInputMessage="1" showErrorMessage="1" sqref="D8165">
      <formula1>0</formula1>
    </dataValidation>
    <dataValidation type="decimal" operator="greaterThan" allowBlank="1" showInputMessage="1" showErrorMessage="1" sqref="E8165">
      <formula1>0</formula1>
    </dataValidation>
    <dataValidation type="whole" operator="greaterThan" allowBlank="1" showInputMessage="1" showErrorMessage="1" sqref="A8166">
      <formula1>0</formula1>
    </dataValidation>
    <dataValidation type="list" allowBlank="1" showInputMessage="1" showErrorMessage="1" sqref="C8166">
      <formula1>UnidadesList</formula1>
    </dataValidation>
    <dataValidation type="decimal" operator="greaterThan" allowBlank="1" showInputMessage="1" showErrorMessage="1" sqref="D8166">
      <formula1>0</formula1>
    </dataValidation>
    <dataValidation type="decimal" operator="greaterThan" allowBlank="1" showInputMessage="1" showErrorMessage="1" sqref="E8166">
      <formula1>0</formula1>
    </dataValidation>
    <dataValidation type="whole" operator="greaterThan" allowBlank="1" showInputMessage="1" showErrorMessage="1" sqref="A8167">
      <formula1>0</formula1>
    </dataValidation>
    <dataValidation type="list" allowBlank="1" showInputMessage="1" showErrorMessage="1" sqref="C8167">
      <formula1>UnidadesList</formula1>
    </dataValidation>
    <dataValidation type="decimal" operator="greaterThan" allowBlank="1" showInputMessage="1" showErrorMessage="1" sqref="D8167">
      <formula1>0</formula1>
    </dataValidation>
    <dataValidation type="decimal" operator="greaterThan" allowBlank="1" showInputMessage="1" showErrorMessage="1" sqref="E8167">
      <formula1>0</formula1>
    </dataValidation>
    <dataValidation type="whole" operator="greaterThan" allowBlank="1" showInputMessage="1" showErrorMessage="1" sqref="A8168">
      <formula1>0</formula1>
    </dataValidation>
    <dataValidation type="list" allowBlank="1" showInputMessage="1" showErrorMessage="1" sqref="C8168">
      <formula1>UnidadesList</formula1>
    </dataValidation>
    <dataValidation type="decimal" operator="greaterThan" allowBlank="1" showInputMessage="1" showErrorMessage="1" sqref="D8168">
      <formula1>0</formula1>
    </dataValidation>
    <dataValidation type="decimal" operator="greaterThan" allowBlank="1" showInputMessage="1" showErrorMessage="1" sqref="E8168">
      <formula1>0</formula1>
    </dataValidation>
    <dataValidation type="whole" operator="greaterThan" allowBlank="1" showInputMessage="1" showErrorMessage="1" sqref="A8169">
      <formula1>0</formula1>
    </dataValidation>
    <dataValidation type="list" allowBlank="1" showInputMessage="1" showErrorMessage="1" sqref="C8169">
      <formula1>UnidadesList</formula1>
    </dataValidation>
    <dataValidation type="decimal" operator="greaterThan" allowBlank="1" showInputMessage="1" showErrorMessage="1" sqref="D8169">
      <formula1>0</formula1>
    </dataValidation>
    <dataValidation type="decimal" operator="greaterThan" allowBlank="1" showInputMessage="1" showErrorMessage="1" sqref="E8169">
      <formula1>0</formula1>
    </dataValidation>
    <dataValidation type="whole" operator="greaterThan" allowBlank="1" showInputMessage="1" showErrorMessage="1" sqref="A8170">
      <formula1>0</formula1>
    </dataValidation>
    <dataValidation type="list" allowBlank="1" showInputMessage="1" showErrorMessage="1" sqref="C8170">
      <formula1>UnidadesList</formula1>
    </dataValidation>
    <dataValidation type="decimal" operator="greaterThan" allowBlank="1" showInputMessage="1" showErrorMessage="1" sqref="D8170">
      <formula1>0</formula1>
    </dataValidation>
    <dataValidation type="decimal" operator="greaterThan" allowBlank="1" showInputMessage="1" showErrorMessage="1" sqref="E8170">
      <formula1>0</formula1>
    </dataValidation>
    <dataValidation type="whole" operator="greaterThan" allowBlank="1" showInputMessage="1" showErrorMessage="1" sqref="A8171">
      <formula1>0</formula1>
    </dataValidation>
    <dataValidation type="list" allowBlank="1" showInputMessage="1" showErrorMessage="1" sqref="C8171">
      <formula1>UnidadesList</formula1>
    </dataValidation>
    <dataValidation type="decimal" operator="greaterThan" allowBlank="1" showInputMessage="1" showErrorMessage="1" sqref="D8171">
      <formula1>0</formula1>
    </dataValidation>
    <dataValidation type="decimal" operator="greaterThan" allowBlank="1" showInputMessage="1" showErrorMessage="1" sqref="E8171">
      <formula1>0</formula1>
    </dataValidation>
    <dataValidation type="whole" operator="greaterThan" allowBlank="1" showInputMessage="1" showErrorMessage="1" sqref="A8172">
      <formula1>0</formula1>
    </dataValidation>
    <dataValidation type="list" allowBlank="1" showInputMessage="1" showErrorMessage="1" sqref="C8172">
      <formula1>UnidadesList</formula1>
    </dataValidation>
    <dataValidation type="decimal" operator="greaterThan" allowBlank="1" showInputMessage="1" showErrorMessage="1" sqref="D8172">
      <formula1>0</formula1>
    </dataValidation>
    <dataValidation type="decimal" operator="greaterThan" allowBlank="1" showInputMessage="1" showErrorMessage="1" sqref="E8172">
      <formula1>0</formula1>
    </dataValidation>
    <dataValidation type="whole" operator="greaterThan" allowBlank="1" showInputMessage="1" showErrorMessage="1" sqref="A8173">
      <formula1>0</formula1>
    </dataValidation>
    <dataValidation type="list" allowBlank="1" showInputMessage="1" showErrorMessage="1" sqref="C8173">
      <formula1>UnidadesList</formula1>
    </dataValidation>
    <dataValidation type="decimal" operator="greaterThan" allowBlank="1" showInputMessage="1" showErrorMessage="1" sqref="D8173">
      <formula1>0</formula1>
    </dataValidation>
    <dataValidation type="decimal" operator="greaterThan" allowBlank="1" showInputMessage="1" showErrorMessage="1" sqref="E8173">
      <formula1>0</formula1>
    </dataValidation>
    <dataValidation type="whole" operator="greaterThan" allowBlank="1" showInputMessage="1" showErrorMessage="1" sqref="A8174">
      <formula1>0</formula1>
    </dataValidation>
    <dataValidation type="list" allowBlank="1" showInputMessage="1" showErrorMessage="1" sqref="C8174">
      <formula1>UnidadesList</formula1>
    </dataValidation>
    <dataValidation type="decimal" operator="greaterThan" allowBlank="1" showInputMessage="1" showErrorMessage="1" sqref="D8174">
      <formula1>0</formula1>
    </dataValidation>
    <dataValidation type="decimal" operator="greaterThan" allowBlank="1" showInputMessage="1" showErrorMessage="1" sqref="E8174">
      <formula1>0</formula1>
    </dataValidation>
    <dataValidation type="whole" operator="greaterThan" allowBlank="1" showInputMessage="1" showErrorMessage="1" sqref="A8175">
      <formula1>0</formula1>
    </dataValidation>
    <dataValidation type="list" allowBlank="1" showInputMessage="1" showErrorMessage="1" sqref="C8175">
      <formula1>UnidadesList</formula1>
    </dataValidation>
    <dataValidation type="decimal" operator="greaterThan" allowBlank="1" showInputMessage="1" showErrorMessage="1" sqref="D8175">
      <formula1>0</formula1>
    </dataValidation>
    <dataValidation type="decimal" operator="greaterThan" allowBlank="1" showInputMessage="1" showErrorMessage="1" sqref="E8175">
      <formula1>0</formula1>
    </dataValidation>
    <dataValidation type="whole" operator="greaterThan" allowBlank="1" showInputMessage="1" showErrorMessage="1" sqref="A8176">
      <formula1>0</formula1>
    </dataValidation>
    <dataValidation type="list" allowBlank="1" showInputMessage="1" showErrorMessage="1" sqref="C8176">
      <formula1>UnidadesList</formula1>
    </dataValidation>
    <dataValidation type="decimal" operator="greaterThan" allowBlank="1" showInputMessage="1" showErrorMessage="1" sqref="D8176">
      <formula1>0</formula1>
    </dataValidation>
    <dataValidation type="decimal" operator="greaterThan" allowBlank="1" showInputMessage="1" showErrorMessage="1" sqref="E8176">
      <formula1>0</formula1>
    </dataValidation>
    <dataValidation type="whole" operator="greaterThan" allowBlank="1" showInputMessage="1" showErrorMessage="1" sqref="A8177">
      <formula1>0</formula1>
    </dataValidation>
    <dataValidation type="list" allowBlank="1" showInputMessage="1" showErrorMessage="1" sqref="C8177">
      <formula1>UnidadesList</formula1>
    </dataValidation>
    <dataValidation type="decimal" operator="greaterThan" allowBlank="1" showInputMessage="1" showErrorMessage="1" sqref="D8177">
      <formula1>0</formula1>
    </dataValidation>
    <dataValidation type="decimal" operator="greaterThan" allowBlank="1" showInputMessage="1" showErrorMessage="1" sqref="E8177">
      <formula1>0</formula1>
    </dataValidation>
    <dataValidation type="whole" operator="greaterThan" allowBlank="1" showInputMessage="1" showErrorMessage="1" sqref="A8178">
      <formula1>0</formula1>
    </dataValidation>
    <dataValidation type="list" allowBlank="1" showInputMessage="1" showErrorMessage="1" sqref="C8178">
      <formula1>UnidadesList</formula1>
    </dataValidation>
    <dataValidation type="decimal" operator="greaterThan" allowBlank="1" showInputMessage="1" showErrorMessage="1" sqref="D8178">
      <formula1>0</formula1>
    </dataValidation>
    <dataValidation type="decimal" operator="greaterThan" allowBlank="1" showInputMessage="1" showErrorMessage="1" sqref="E8178">
      <formula1>0</formula1>
    </dataValidation>
    <dataValidation type="whole" operator="greaterThan" allowBlank="1" showInputMessage="1" showErrorMessage="1" sqref="A8179">
      <formula1>0</formula1>
    </dataValidation>
    <dataValidation type="list" allowBlank="1" showInputMessage="1" showErrorMessage="1" sqref="C8179">
      <formula1>UnidadesList</formula1>
    </dataValidation>
    <dataValidation type="decimal" operator="greaterThan" allowBlank="1" showInputMessage="1" showErrorMessage="1" sqref="D8179">
      <formula1>0</formula1>
    </dataValidation>
    <dataValidation type="decimal" operator="greaterThan" allowBlank="1" showInputMessage="1" showErrorMessage="1" sqref="E8179">
      <formula1>0</formula1>
    </dataValidation>
    <dataValidation type="whole" operator="greaterThan" allowBlank="1" showInputMessage="1" showErrorMessage="1" sqref="A8180">
      <formula1>0</formula1>
    </dataValidation>
    <dataValidation type="list" allowBlank="1" showInputMessage="1" showErrorMessage="1" sqref="C8180">
      <formula1>UnidadesList</formula1>
    </dataValidation>
    <dataValidation type="decimal" operator="greaterThan" allowBlank="1" showInputMessage="1" showErrorMessage="1" sqref="D8180">
      <formula1>0</formula1>
    </dataValidation>
    <dataValidation type="decimal" operator="greaterThan" allowBlank="1" showInputMessage="1" showErrorMessage="1" sqref="E8180">
      <formula1>0</formula1>
    </dataValidation>
    <dataValidation type="whole" operator="greaterThan" allowBlank="1" showInputMessage="1" showErrorMessage="1" sqref="A8181">
      <formula1>0</formula1>
    </dataValidation>
    <dataValidation type="list" allowBlank="1" showInputMessage="1" showErrorMessage="1" sqref="C8181">
      <formula1>UnidadesList</formula1>
    </dataValidation>
    <dataValidation type="decimal" operator="greaterThan" allowBlank="1" showInputMessage="1" showErrorMessage="1" sqref="D8181">
      <formula1>0</formula1>
    </dataValidation>
    <dataValidation type="decimal" operator="greaterThan" allowBlank="1" showInputMessage="1" showErrorMessage="1" sqref="E8181">
      <formula1>0</formula1>
    </dataValidation>
    <dataValidation type="whole" operator="greaterThan" allowBlank="1" showInputMessage="1" showErrorMessage="1" sqref="A8182">
      <formula1>0</formula1>
    </dataValidation>
    <dataValidation type="list" allowBlank="1" showInputMessage="1" showErrorMessage="1" sqref="C8182">
      <formula1>UnidadesList</formula1>
    </dataValidation>
    <dataValidation type="decimal" operator="greaterThan" allowBlank="1" showInputMessage="1" showErrorMessage="1" sqref="D8182">
      <formula1>0</formula1>
    </dataValidation>
    <dataValidation type="decimal" operator="greaterThan" allowBlank="1" showInputMessage="1" showErrorMessage="1" sqref="E8182">
      <formula1>0</formula1>
    </dataValidation>
    <dataValidation type="whole" operator="greaterThan" allowBlank="1" showInputMessage="1" showErrorMessage="1" sqref="A8183">
      <formula1>0</formula1>
    </dataValidation>
    <dataValidation type="list" allowBlank="1" showInputMessage="1" showErrorMessage="1" sqref="C8183">
      <formula1>UnidadesList</formula1>
    </dataValidation>
    <dataValidation type="decimal" operator="greaterThan" allowBlank="1" showInputMessage="1" showErrorMessage="1" sqref="D8183">
      <formula1>0</formula1>
    </dataValidation>
    <dataValidation type="decimal" operator="greaterThan" allowBlank="1" showInputMessage="1" showErrorMessage="1" sqref="E8183">
      <formula1>0</formula1>
    </dataValidation>
    <dataValidation type="whole" operator="greaterThan" allowBlank="1" showInputMessage="1" showErrorMessage="1" sqref="A8184">
      <formula1>0</formula1>
    </dataValidation>
    <dataValidation type="list" allowBlank="1" showInputMessage="1" showErrorMessage="1" sqref="C8184">
      <formula1>UnidadesList</formula1>
    </dataValidation>
    <dataValidation type="decimal" operator="greaterThan" allowBlank="1" showInputMessage="1" showErrorMessage="1" sqref="D8184">
      <formula1>0</formula1>
    </dataValidation>
    <dataValidation type="decimal" operator="greaterThan" allowBlank="1" showInputMessage="1" showErrorMessage="1" sqref="E8184">
      <formula1>0</formula1>
    </dataValidation>
    <dataValidation type="whole" operator="greaterThan" allowBlank="1" showInputMessage="1" showErrorMessage="1" sqref="A8185">
      <formula1>0</formula1>
    </dataValidation>
    <dataValidation type="list" allowBlank="1" showInputMessage="1" showErrorMessage="1" sqref="C8185">
      <formula1>UnidadesList</formula1>
    </dataValidation>
    <dataValidation type="decimal" operator="greaterThan" allowBlank="1" showInputMessage="1" showErrorMessage="1" sqref="D8185">
      <formula1>0</formula1>
    </dataValidation>
    <dataValidation type="decimal" operator="greaterThan" allowBlank="1" showInputMessage="1" showErrorMessage="1" sqref="E8185">
      <formula1>0</formula1>
    </dataValidation>
    <dataValidation type="whole" operator="greaterThan" allowBlank="1" showInputMessage="1" showErrorMessage="1" sqref="A8186">
      <formula1>0</formula1>
    </dataValidation>
    <dataValidation type="list" allowBlank="1" showInputMessage="1" showErrorMessage="1" sqref="C8186">
      <formula1>UnidadesList</formula1>
    </dataValidation>
    <dataValidation type="decimal" operator="greaterThan" allowBlank="1" showInputMessage="1" showErrorMessage="1" sqref="D8186">
      <formula1>0</formula1>
    </dataValidation>
    <dataValidation type="decimal" operator="greaterThan" allowBlank="1" showInputMessage="1" showErrorMessage="1" sqref="E8186">
      <formula1>0</formula1>
    </dataValidation>
    <dataValidation type="whole" operator="greaterThan" allowBlank="1" showInputMessage="1" showErrorMessage="1" sqref="A8187">
      <formula1>0</formula1>
    </dataValidation>
    <dataValidation type="list" allowBlank="1" showInputMessage="1" showErrorMessage="1" sqref="C8187">
      <formula1>UnidadesList</formula1>
    </dataValidation>
    <dataValidation type="decimal" operator="greaterThan" allowBlank="1" showInputMessage="1" showErrorMessage="1" sqref="D8187">
      <formula1>0</formula1>
    </dataValidation>
    <dataValidation type="decimal" operator="greaterThan" allowBlank="1" showInputMessage="1" showErrorMessage="1" sqref="E8187">
      <formula1>0</formula1>
    </dataValidation>
    <dataValidation type="whole" operator="greaterThan" allowBlank="1" showInputMessage="1" showErrorMessage="1" sqref="A8188">
      <formula1>0</formula1>
    </dataValidation>
    <dataValidation type="list" allowBlank="1" showInputMessage="1" showErrorMessage="1" sqref="C8188">
      <formula1>UnidadesList</formula1>
    </dataValidation>
    <dataValidation type="decimal" operator="greaterThan" allowBlank="1" showInputMessage="1" showErrorMessage="1" sqref="D8188">
      <formula1>0</formula1>
    </dataValidation>
    <dataValidation type="decimal" operator="greaterThan" allowBlank="1" showInputMessage="1" showErrorMessage="1" sqref="E8188">
      <formula1>0</formula1>
    </dataValidation>
    <dataValidation type="whole" operator="greaterThan" allowBlank="1" showInputMessage="1" showErrorMessage="1" sqref="A8189">
      <formula1>0</formula1>
    </dataValidation>
    <dataValidation type="list" allowBlank="1" showInputMessage="1" showErrorMessage="1" sqref="C8189">
      <formula1>UnidadesList</formula1>
    </dataValidation>
    <dataValidation type="decimal" operator="greaterThan" allowBlank="1" showInputMessage="1" showErrorMessage="1" sqref="D8189">
      <formula1>0</formula1>
    </dataValidation>
    <dataValidation type="decimal" operator="greaterThan" allowBlank="1" showInputMessage="1" showErrorMessage="1" sqref="E8189">
      <formula1>0</formula1>
    </dataValidation>
    <dataValidation type="whole" operator="greaterThan" allowBlank="1" showInputMessage="1" showErrorMessage="1" sqref="A8190">
      <formula1>0</formula1>
    </dataValidation>
    <dataValidation type="list" allowBlank="1" showInputMessage="1" showErrorMessage="1" sqref="C8190">
      <formula1>UnidadesList</formula1>
    </dataValidation>
    <dataValidation type="decimal" operator="greaterThan" allowBlank="1" showInputMessage="1" showErrorMessage="1" sqref="D8190">
      <formula1>0</formula1>
    </dataValidation>
    <dataValidation type="decimal" operator="greaterThan" allowBlank="1" showInputMessage="1" showErrorMessage="1" sqref="E8190">
      <formula1>0</formula1>
    </dataValidation>
    <dataValidation type="whole" operator="greaterThan" allowBlank="1" showInputMessage="1" showErrorMessage="1" sqref="A8191">
      <formula1>0</formula1>
    </dataValidation>
    <dataValidation type="list" allowBlank="1" showInputMessage="1" showErrorMessage="1" sqref="C8191">
      <formula1>UnidadesList</formula1>
    </dataValidation>
    <dataValidation type="decimal" operator="greaterThan" allowBlank="1" showInputMessage="1" showErrorMessage="1" sqref="D8191">
      <formula1>0</formula1>
    </dataValidation>
    <dataValidation type="decimal" operator="greaterThan" allowBlank="1" showInputMessage="1" showErrorMessage="1" sqref="E8191">
      <formula1>0</formula1>
    </dataValidation>
    <dataValidation type="whole" operator="greaterThan" allowBlank="1" showInputMessage="1" showErrorMessage="1" sqref="A8192">
      <formula1>0</formula1>
    </dataValidation>
    <dataValidation type="list" allowBlank="1" showInputMessage="1" showErrorMessage="1" sqref="C8192">
      <formula1>UnidadesList</formula1>
    </dataValidation>
    <dataValidation type="decimal" operator="greaterThan" allowBlank="1" showInputMessage="1" showErrorMessage="1" sqref="D8192">
      <formula1>0</formula1>
    </dataValidation>
    <dataValidation type="decimal" operator="greaterThan" allowBlank="1" showInputMessage="1" showErrorMessage="1" sqref="E8192">
      <formula1>0</formula1>
    </dataValidation>
    <dataValidation type="whole" operator="greaterThan" allowBlank="1" showInputMessage="1" showErrorMessage="1" sqref="A8193">
      <formula1>0</formula1>
    </dataValidation>
    <dataValidation type="list" allowBlank="1" showInputMessage="1" showErrorMessage="1" sqref="C8193">
      <formula1>UnidadesList</formula1>
    </dataValidation>
    <dataValidation type="decimal" operator="greaterThan" allowBlank="1" showInputMessage="1" showErrorMessage="1" sqref="D8193">
      <formula1>0</formula1>
    </dataValidation>
    <dataValidation type="decimal" operator="greaterThan" allowBlank="1" showInputMessage="1" showErrorMessage="1" sqref="E8193">
      <formula1>0</formula1>
    </dataValidation>
    <dataValidation type="whole" operator="greaterThan" allowBlank="1" showInputMessage="1" showErrorMessage="1" sqref="A8194">
      <formula1>0</formula1>
    </dataValidation>
    <dataValidation type="list" allowBlank="1" showInputMessage="1" showErrorMessage="1" sqref="C8194">
      <formula1>UnidadesList</formula1>
    </dataValidation>
    <dataValidation type="decimal" operator="greaterThan" allowBlank="1" showInputMessage="1" showErrorMessage="1" sqref="D8194">
      <formula1>0</formula1>
    </dataValidation>
    <dataValidation type="decimal" operator="greaterThan" allowBlank="1" showInputMessage="1" showErrorMessage="1" sqref="E8194">
      <formula1>0</formula1>
    </dataValidation>
    <dataValidation type="whole" operator="greaterThan" allowBlank="1" showInputMessage="1" showErrorMessage="1" sqref="A8195">
      <formula1>0</formula1>
    </dataValidation>
    <dataValidation type="list" allowBlank="1" showInputMessage="1" showErrorMessage="1" sqref="C8195">
      <formula1>UnidadesList</formula1>
    </dataValidation>
    <dataValidation type="decimal" operator="greaterThan" allowBlank="1" showInputMessage="1" showErrorMessage="1" sqref="D8195">
      <formula1>0</formula1>
    </dataValidation>
    <dataValidation type="decimal" operator="greaterThan" allowBlank="1" showInputMessage="1" showErrorMessage="1" sqref="E8195">
      <formula1>0</formula1>
    </dataValidation>
    <dataValidation type="whole" operator="greaterThan" allowBlank="1" showInputMessage="1" showErrorMessage="1" sqref="A8196">
      <formula1>0</formula1>
    </dataValidation>
    <dataValidation type="list" allowBlank="1" showInputMessage="1" showErrorMessage="1" sqref="C8196">
      <formula1>UnidadesList</formula1>
    </dataValidation>
    <dataValidation type="decimal" operator="greaterThan" allowBlank="1" showInputMessage="1" showErrorMessage="1" sqref="D8196">
      <formula1>0</formula1>
    </dataValidation>
    <dataValidation type="decimal" operator="greaterThan" allowBlank="1" showInputMessage="1" showErrorMessage="1" sqref="E8196">
      <formula1>0</formula1>
    </dataValidation>
    <dataValidation type="whole" operator="greaterThan" allowBlank="1" showInputMessage="1" showErrorMessage="1" sqref="A8197">
      <formula1>0</formula1>
    </dataValidation>
    <dataValidation type="list" allowBlank="1" showInputMessage="1" showErrorMessage="1" sqref="C8197">
      <formula1>UnidadesList</formula1>
    </dataValidation>
    <dataValidation type="decimal" operator="greaterThan" allowBlank="1" showInputMessage="1" showErrorMessage="1" sqref="D8197">
      <formula1>0</formula1>
    </dataValidation>
    <dataValidation type="decimal" operator="greaterThan" allowBlank="1" showInputMessage="1" showErrorMessage="1" sqref="E8197">
      <formula1>0</formula1>
    </dataValidation>
    <dataValidation type="whole" operator="greaterThan" allowBlank="1" showInputMessage="1" showErrorMessage="1" sqref="A8198">
      <formula1>0</formula1>
    </dataValidation>
    <dataValidation type="list" allowBlank="1" showInputMessage="1" showErrorMessage="1" sqref="C8198">
      <formula1>UnidadesList</formula1>
    </dataValidation>
    <dataValidation type="decimal" operator="greaterThan" allowBlank="1" showInputMessage="1" showErrorMessage="1" sqref="D8198">
      <formula1>0</formula1>
    </dataValidation>
    <dataValidation type="decimal" operator="greaterThan" allowBlank="1" showInputMessage="1" showErrorMessage="1" sqref="E8198">
      <formula1>0</formula1>
    </dataValidation>
    <dataValidation type="whole" operator="greaterThan" allowBlank="1" showInputMessage="1" showErrorMessage="1" sqref="A8199">
      <formula1>0</formula1>
    </dataValidation>
    <dataValidation type="list" allowBlank="1" showInputMessage="1" showErrorMessage="1" sqref="C8199">
      <formula1>UnidadesList</formula1>
    </dataValidation>
    <dataValidation type="decimal" operator="greaterThan" allowBlank="1" showInputMessage="1" showErrorMessage="1" sqref="D8199">
      <formula1>0</formula1>
    </dataValidation>
    <dataValidation type="decimal" operator="greaterThan" allowBlank="1" showInputMessage="1" showErrorMessage="1" sqref="E8199">
      <formula1>0</formula1>
    </dataValidation>
    <dataValidation type="whole" operator="greaterThan" allowBlank="1" showInputMessage="1" showErrorMessage="1" sqref="A8200">
      <formula1>0</formula1>
    </dataValidation>
    <dataValidation type="list" allowBlank="1" showInputMessage="1" showErrorMessage="1" sqref="C8200">
      <formula1>UnidadesList</formula1>
    </dataValidation>
    <dataValidation type="decimal" operator="greaterThan" allowBlank="1" showInputMessage="1" showErrorMessage="1" sqref="D8200">
      <formula1>0</formula1>
    </dataValidation>
    <dataValidation type="decimal" operator="greaterThan" allowBlank="1" showInputMessage="1" showErrorMessage="1" sqref="E8200">
      <formula1>0</formula1>
    </dataValidation>
    <dataValidation type="whole" operator="greaterThan" allowBlank="1" showInputMessage="1" showErrorMessage="1" sqref="A8201">
      <formula1>0</formula1>
    </dataValidation>
    <dataValidation type="list" allowBlank="1" showInputMessage="1" showErrorMessage="1" sqref="C8201">
      <formula1>UnidadesList</formula1>
    </dataValidation>
    <dataValidation type="decimal" operator="greaterThan" allowBlank="1" showInputMessage="1" showErrorMessage="1" sqref="D8201">
      <formula1>0</formula1>
    </dataValidation>
    <dataValidation type="decimal" operator="greaterThan" allowBlank="1" showInputMessage="1" showErrorMessage="1" sqref="E8201">
      <formula1>0</formula1>
    </dataValidation>
    <dataValidation type="whole" operator="greaterThan" allowBlank="1" showInputMessage="1" showErrorMessage="1" sqref="A8202">
      <formula1>0</formula1>
    </dataValidation>
    <dataValidation type="list" allowBlank="1" showInputMessage="1" showErrorMessage="1" sqref="C8202">
      <formula1>UnidadesList</formula1>
    </dataValidation>
    <dataValidation type="decimal" operator="greaterThan" allowBlank="1" showInputMessage="1" showErrorMessage="1" sqref="D8202">
      <formula1>0</formula1>
    </dataValidation>
    <dataValidation type="decimal" operator="greaterThan" allowBlank="1" showInputMessage="1" showErrorMessage="1" sqref="E8202">
      <formula1>0</formula1>
    </dataValidation>
    <dataValidation type="whole" operator="greaterThan" allowBlank="1" showInputMessage="1" showErrorMessage="1" sqref="A8203">
      <formula1>0</formula1>
    </dataValidation>
    <dataValidation type="list" allowBlank="1" showInputMessage="1" showErrorMessage="1" sqref="C8203">
      <formula1>UnidadesList</formula1>
    </dataValidation>
    <dataValidation type="decimal" operator="greaterThan" allowBlank="1" showInputMessage="1" showErrorMessage="1" sqref="D8203">
      <formula1>0</formula1>
    </dataValidation>
    <dataValidation type="decimal" operator="greaterThan" allowBlank="1" showInputMessage="1" showErrorMessage="1" sqref="E8203">
      <formula1>0</formula1>
    </dataValidation>
    <dataValidation type="whole" operator="greaterThan" allowBlank="1" showInputMessage="1" showErrorMessage="1" sqref="A8204">
      <formula1>0</formula1>
    </dataValidation>
    <dataValidation type="list" allowBlank="1" showInputMessage="1" showErrorMessage="1" sqref="C8204">
      <formula1>UnidadesList</formula1>
    </dataValidation>
    <dataValidation type="decimal" operator="greaterThan" allowBlank="1" showInputMessage="1" showErrorMessage="1" sqref="D8204">
      <formula1>0</formula1>
    </dataValidation>
    <dataValidation type="decimal" operator="greaterThan" allowBlank="1" showInputMessage="1" showErrorMessage="1" sqref="E8204">
      <formula1>0</formula1>
    </dataValidation>
    <dataValidation type="whole" operator="greaterThan" allowBlank="1" showInputMessage="1" showErrorMessage="1" sqref="A8205">
      <formula1>0</formula1>
    </dataValidation>
    <dataValidation type="list" allowBlank="1" showInputMessage="1" showErrorMessage="1" sqref="C8205">
      <formula1>UnidadesList</formula1>
    </dataValidation>
    <dataValidation type="decimal" operator="greaterThan" allowBlank="1" showInputMessage="1" showErrorMessage="1" sqref="D8205">
      <formula1>0</formula1>
    </dataValidation>
    <dataValidation type="decimal" operator="greaterThan" allowBlank="1" showInputMessage="1" showErrorMessage="1" sqref="E8205">
      <formula1>0</formula1>
    </dataValidation>
    <dataValidation type="whole" operator="greaterThan" allowBlank="1" showInputMessage="1" showErrorMessage="1" sqref="A8206">
      <formula1>0</formula1>
    </dataValidation>
    <dataValidation type="list" allowBlank="1" showInputMessage="1" showErrorMessage="1" sqref="C8206">
      <formula1>UnidadesList</formula1>
    </dataValidation>
    <dataValidation type="decimal" operator="greaterThan" allowBlank="1" showInputMessage="1" showErrorMessage="1" sqref="D8206">
      <formula1>0</formula1>
    </dataValidation>
    <dataValidation type="decimal" operator="greaterThan" allowBlank="1" showInputMessage="1" showErrorMessage="1" sqref="E8206">
      <formula1>0</formula1>
    </dataValidation>
    <dataValidation type="whole" operator="greaterThan" allowBlank="1" showInputMessage="1" showErrorMessage="1" sqref="A8207">
      <formula1>0</formula1>
    </dataValidation>
    <dataValidation type="list" allowBlank="1" showInputMessage="1" showErrorMessage="1" sqref="C8207">
      <formula1>UnidadesList</formula1>
    </dataValidation>
    <dataValidation type="decimal" operator="greaterThan" allowBlank="1" showInputMessage="1" showErrorMessage="1" sqref="D8207">
      <formula1>0</formula1>
    </dataValidation>
    <dataValidation type="decimal" operator="greaterThan" allowBlank="1" showInputMessage="1" showErrorMessage="1" sqref="E8207">
      <formula1>0</formula1>
    </dataValidation>
    <dataValidation type="whole" operator="greaterThan" allowBlank="1" showInputMessage="1" showErrorMessage="1" sqref="A8208">
      <formula1>0</formula1>
    </dataValidation>
    <dataValidation type="list" allowBlank="1" showInputMessage="1" showErrorMessage="1" sqref="C8208">
      <formula1>UnidadesList</formula1>
    </dataValidation>
    <dataValidation type="decimal" operator="greaterThan" allowBlank="1" showInputMessage="1" showErrorMessage="1" sqref="D8208">
      <formula1>0</formula1>
    </dataValidation>
    <dataValidation type="decimal" operator="greaterThan" allowBlank="1" showInputMessage="1" showErrorMessage="1" sqref="E8208">
      <formula1>0</formula1>
    </dataValidation>
    <dataValidation type="whole" operator="greaterThan" allowBlank="1" showInputMessage="1" showErrorMessage="1" sqref="A8209">
      <formula1>0</formula1>
    </dataValidation>
    <dataValidation type="list" allowBlank="1" showInputMessage="1" showErrorMessage="1" sqref="C8209">
      <formula1>UnidadesList</formula1>
    </dataValidation>
    <dataValidation type="decimal" operator="greaterThan" allowBlank="1" showInputMessage="1" showErrorMessage="1" sqref="D8209">
      <formula1>0</formula1>
    </dataValidation>
    <dataValidation type="decimal" operator="greaterThan" allowBlank="1" showInputMessage="1" showErrorMessage="1" sqref="E8209">
      <formula1>0</formula1>
    </dataValidation>
    <dataValidation type="whole" operator="greaterThan" allowBlank="1" showInputMessage="1" showErrorMessage="1" sqref="A8210">
      <formula1>0</formula1>
    </dataValidation>
    <dataValidation type="list" allowBlank="1" showInputMessage="1" showErrorMessage="1" sqref="C8210">
      <formula1>UnidadesList</formula1>
    </dataValidation>
    <dataValidation type="decimal" operator="greaterThan" allowBlank="1" showInputMessage="1" showErrorMessage="1" sqref="D8210">
      <formula1>0</formula1>
    </dataValidation>
    <dataValidation type="decimal" operator="greaterThan" allowBlank="1" showInputMessage="1" showErrorMessage="1" sqref="E8210">
      <formula1>0</formula1>
    </dataValidation>
    <dataValidation type="whole" operator="greaterThan" allowBlank="1" showInputMessage="1" showErrorMessage="1" sqref="A8211">
      <formula1>0</formula1>
    </dataValidation>
    <dataValidation type="list" allowBlank="1" showInputMessage="1" showErrorMessage="1" sqref="C8211">
      <formula1>UnidadesList</formula1>
    </dataValidation>
    <dataValidation type="decimal" operator="greaterThan" allowBlank="1" showInputMessage="1" showErrorMessage="1" sqref="D8211">
      <formula1>0</formula1>
    </dataValidation>
    <dataValidation type="decimal" operator="greaterThan" allowBlank="1" showInputMessage="1" showErrorMessage="1" sqref="E8211">
      <formula1>0</formula1>
    </dataValidation>
    <dataValidation type="whole" operator="greaterThan" allowBlank="1" showInputMessage="1" showErrorMessage="1" sqref="A8212">
      <formula1>0</formula1>
    </dataValidation>
    <dataValidation type="list" allowBlank="1" showInputMessage="1" showErrorMessage="1" sqref="C8212">
      <formula1>UnidadesList</formula1>
    </dataValidation>
    <dataValidation type="decimal" operator="greaterThan" allowBlank="1" showInputMessage="1" showErrorMessage="1" sqref="D8212">
      <formula1>0</formula1>
    </dataValidation>
    <dataValidation type="decimal" operator="greaterThan" allowBlank="1" showInputMessage="1" showErrorMessage="1" sqref="E8212">
      <formula1>0</formula1>
    </dataValidation>
    <dataValidation type="whole" operator="greaterThan" allowBlank="1" showInputMessage="1" showErrorMessage="1" sqref="A8213">
      <formula1>0</formula1>
    </dataValidation>
    <dataValidation type="list" allowBlank="1" showInputMessage="1" showErrorMessage="1" sqref="C8213">
      <formula1>UnidadesList</formula1>
    </dataValidation>
    <dataValidation type="decimal" operator="greaterThan" allowBlank="1" showInputMessage="1" showErrorMessage="1" sqref="D8213">
      <formula1>0</formula1>
    </dataValidation>
    <dataValidation type="decimal" operator="greaterThan" allowBlank="1" showInputMessage="1" showErrorMessage="1" sqref="E8213">
      <formula1>0</formula1>
    </dataValidation>
    <dataValidation type="whole" operator="greaterThan" allowBlank="1" showInputMessage="1" showErrorMessage="1" sqref="A8214">
      <formula1>0</formula1>
    </dataValidation>
    <dataValidation type="list" allowBlank="1" showInputMessage="1" showErrorMessage="1" sqref="C8214">
      <formula1>UnidadesList</formula1>
    </dataValidation>
    <dataValidation type="decimal" operator="greaterThan" allowBlank="1" showInputMessage="1" showErrorMessage="1" sqref="D8214">
      <formula1>0</formula1>
    </dataValidation>
    <dataValidation type="decimal" operator="greaterThan" allowBlank="1" showInputMessage="1" showErrorMessage="1" sqref="E8214">
      <formula1>0</formula1>
    </dataValidation>
    <dataValidation type="whole" operator="greaterThan" allowBlank="1" showInputMessage="1" showErrorMessage="1" sqref="A8215">
      <formula1>0</formula1>
    </dataValidation>
    <dataValidation type="list" allowBlank="1" showInputMessage="1" showErrorMessage="1" sqref="C8215">
      <formula1>UnidadesList</formula1>
    </dataValidation>
    <dataValidation type="decimal" operator="greaterThan" allowBlank="1" showInputMessage="1" showErrorMessage="1" sqref="D8215">
      <formula1>0</formula1>
    </dataValidation>
    <dataValidation type="decimal" operator="greaterThan" allowBlank="1" showInputMessage="1" showErrorMessage="1" sqref="E8215">
      <formula1>0</formula1>
    </dataValidation>
    <dataValidation type="whole" operator="greaterThan" allowBlank="1" showInputMessage="1" showErrorMessage="1" sqref="A8216">
      <formula1>0</formula1>
    </dataValidation>
    <dataValidation type="list" allowBlank="1" showInputMessage="1" showErrorMessage="1" sqref="C8216">
      <formula1>UnidadesList</formula1>
    </dataValidation>
    <dataValidation type="decimal" operator="greaterThan" allowBlank="1" showInputMessage="1" showErrorMessage="1" sqref="D8216">
      <formula1>0</formula1>
    </dataValidation>
    <dataValidation type="decimal" operator="greaterThan" allowBlank="1" showInputMessage="1" showErrorMessage="1" sqref="E8216">
      <formula1>0</formula1>
    </dataValidation>
    <dataValidation type="whole" operator="greaterThan" allowBlank="1" showInputMessage="1" showErrorMessage="1" sqref="A8217">
      <formula1>0</formula1>
    </dataValidation>
    <dataValidation type="list" allowBlank="1" showInputMessage="1" showErrorMessage="1" sqref="C8217">
      <formula1>UnidadesList</formula1>
    </dataValidation>
    <dataValidation type="decimal" operator="greaterThan" allowBlank="1" showInputMessage="1" showErrorMessage="1" sqref="D8217">
      <formula1>0</formula1>
    </dataValidation>
    <dataValidation type="decimal" operator="greaterThan" allowBlank="1" showInputMessage="1" showErrorMessage="1" sqref="E8217">
      <formula1>0</formula1>
    </dataValidation>
    <dataValidation type="whole" operator="greaterThan" allowBlank="1" showInputMessage="1" showErrorMessage="1" sqref="A8218">
      <formula1>0</formula1>
    </dataValidation>
    <dataValidation type="list" allowBlank="1" showInputMessage="1" showErrorMessage="1" sqref="C8218">
      <formula1>UnidadesList</formula1>
    </dataValidation>
    <dataValidation type="decimal" operator="greaterThan" allowBlank="1" showInputMessage="1" showErrorMessage="1" sqref="D8218">
      <formula1>0</formula1>
    </dataValidation>
    <dataValidation type="decimal" operator="greaterThan" allowBlank="1" showInputMessage="1" showErrorMessage="1" sqref="E8218">
      <formula1>0</formula1>
    </dataValidation>
    <dataValidation type="whole" operator="greaterThan" allowBlank="1" showInputMessage="1" showErrorMessage="1" sqref="A8219">
      <formula1>0</formula1>
    </dataValidation>
    <dataValidation type="list" allowBlank="1" showInputMessage="1" showErrorMessage="1" sqref="C8219">
      <formula1>UnidadesList</formula1>
    </dataValidation>
    <dataValidation type="decimal" operator="greaterThan" allowBlank="1" showInputMessage="1" showErrorMessage="1" sqref="D8219">
      <formula1>0</formula1>
    </dataValidation>
    <dataValidation type="decimal" operator="greaterThan" allowBlank="1" showInputMessage="1" showErrorMessage="1" sqref="E8219">
      <formula1>0</formula1>
    </dataValidation>
    <dataValidation type="whole" operator="greaterThan" allowBlank="1" showInputMessage="1" showErrorMessage="1" sqref="A8220">
      <formula1>0</formula1>
    </dataValidation>
    <dataValidation type="list" allowBlank="1" showInputMessage="1" showErrorMessage="1" sqref="C8220">
      <formula1>UnidadesList</formula1>
    </dataValidation>
    <dataValidation type="decimal" operator="greaterThan" allowBlank="1" showInputMessage="1" showErrorMessage="1" sqref="D8220">
      <formula1>0</formula1>
    </dataValidation>
    <dataValidation type="decimal" operator="greaterThan" allowBlank="1" showInputMessage="1" showErrorMessage="1" sqref="E8220">
      <formula1>0</formula1>
    </dataValidation>
    <dataValidation type="whole" operator="greaterThan" allowBlank="1" showInputMessage="1" showErrorMessage="1" sqref="A8221">
      <formula1>0</formula1>
    </dataValidation>
    <dataValidation type="list" allowBlank="1" showInputMessage="1" showErrorMessage="1" sqref="C8221">
      <formula1>UnidadesList</formula1>
    </dataValidation>
    <dataValidation type="decimal" operator="greaterThan" allowBlank="1" showInputMessage="1" showErrorMessage="1" sqref="D8221">
      <formula1>0</formula1>
    </dataValidation>
    <dataValidation type="decimal" operator="greaterThan" allowBlank="1" showInputMessage="1" showErrorMessage="1" sqref="E8221">
      <formula1>0</formula1>
    </dataValidation>
    <dataValidation type="whole" operator="greaterThan" allowBlank="1" showInputMessage="1" showErrorMessage="1" sqref="A8222">
      <formula1>0</formula1>
    </dataValidation>
    <dataValidation type="list" allowBlank="1" showInputMessage="1" showErrorMessage="1" sqref="C8222">
      <formula1>UnidadesList</formula1>
    </dataValidation>
    <dataValidation type="decimal" operator="greaterThan" allowBlank="1" showInputMessage="1" showErrorMessage="1" sqref="D8222">
      <formula1>0</formula1>
    </dataValidation>
    <dataValidation type="decimal" operator="greaterThan" allowBlank="1" showInputMessage="1" showErrorMessage="1" sqref="E8222">
      <formula1>0</formula1>
    </dataValidation>
    <dataValidation type="whole" operator="greaterThan" allowBlank="1" showInputMessage="1" showErrorMessage="1" sqref="A8223">
      <formula1>0</formula1>
    </dataValidation>
    <dataValidation type="list" allowBlank="1" showInputMessage="1" showErrorMessage="1" sqref="C8223">
      <formula1>UnidadesList</formula1>
    </dataValidation>
    <dataValidation type="decimal" operator="greaterThan" allowBlank="1" showInputMessage="1" showErrorMessage="1" sqref="D8223">
      <formula1>0</formula1>
    </dataValidation>
    <dataValidation type="decimal" operator="greaterThan" allowBlank="1" showInputMessage="1" showErrorMessage="1" sqref="E8223">
      <formula1>0</formula1>
    </dataValidation>
    <dataValidation type="whole" operator="greaterThan" allowBlank="1" showInputMessage="1" showErrorMessage="1" sqref="A8224">
      <formula1>0</formula1>
    </dataValidation>
    <dataValidation type="list" allowBlank="1" showInputMessage="1" showErrorMessage="1" sqref="C8224">
      <formula1>UnidadesList</formula1>
    </dataValidation>
    <dataValidation type="decimal" operator="greaterThan" allowBlank="1" showInputMessage="1" showErrorMessage="1" sqref="D8224">
      <formula1>0</formula1>
    </dataValidation>
    <dataValidation type="decimal" operator="greaterThan" allowBlank="1" showInputMessage="1" showErrorMessage="1" sqref="E8224">
      <formula1>0</formula1>
    </dataValidation>
    <dataValidation type="date" operator="lessThanOrEqual" allowBlank="1" showInputMessage="1" showErrorMessage="1" sqref="C8229">
      <formula1>C8231</formula1>
    </dataValidation>
    <dataValidation type="date" operator="greaterThanOrEqual" allowBlank="1" showInputMessage="1" showErrorMessage="1" sqref="C8231">
      <formula1>C8229</formula1>
    </dataValidation>
    <dataValidation type="list" allowBlank="1" showInputMessage="1" showErrorMessage="1" sqref="F822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23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23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23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235">
      <formula1>0</formula1>
    </dataValidation>
    <dataValidation type="list" allowBlank="1" showInputMessage="1" showErrorMessage="1" sqref="C8235">
      <formula1>UnidadesList</formula1>
    </dataValidation>
    <dataValidation type="decimal" operator="greaterThan" allowBlank="1" showInputMessage="1" showErrorMessage="1" sqref="D8235">
      <formula1>0</formula1>
    </dataValidation>
    <dataValidation type="decimal" operator="greaterThan" allowBlank="1" showInputMessage="1" showErrorMessage="1" sqref="E8235">
      <formula1>0</formula1>
    </dataValidation>
    <dataValidation type="whole" operator="greaterThan" allowBlank="1" showInputMessage="1" showErrorMessage="1" sqref="A8236">
      <formula1>0</formula1>
    </dataValidation>
    <dataValidation type="list" allowBlank="1" showInputMessage="1" showErrorMessage="1" sqref="C8236">
      <formula1>UnidadesList</formula1>
    </dataValidation>
    <dataValidation type="decimal" operator="greaterThan" allowBlank="1" showInputMessage="1" showErrorMessage="1" sqref="D8236">
      <formula1>0</formula1>
    </dataValidation>
    <dataValidation type="decimal" operator="greaterThan" allowBlank="1" showInputMessage="1" showErrorMessage="1" sqref="E8236">
      <formula1>0</formula1>
    </dataValidation>
    <dataValidation type="whole" operator="greaterThan" allowBlank="1" showInputMessage="1" showErrorMessage="1" sqref="A8237">
      <formula1>0</formula1>
    </dataValidation>
    <dataValidation type="list" allowBlank="1" showInputMessage="1" showErrorMessage="1" sqref="C8237">
      <formula1>UnidadesList</formula1>
    </dataValidation>
    <dataValidation type="decimal" operator="greaterThan" allowBlank="1" showInputMessage="1" showErrorMessage="1" sqref="D8237">
      <formula1>0</formula1>
    </dataValidation>
    <dataValidation type="decimal" operator="greaterThan" allowBlank="1" showInputMessage="1" showErrorMessage="1" sqref="E8237">
      <formula1>0</formula1>
    </dataValidation>
    <dataValidation type="whole" operator="greaterThan" allowBlank="1" showInputMessage="1" showErrorMessage="1" sqref="A8238">
      <formula1>0</formula1>
    </dataValidation>
    <dataValidation type="list" allowBlank="1" showInputMessage="1" showErrorMessage="1" sqref="C8238">
      <formula1>UnidadesList</formula1>
    </dataValidation>
    <dataValidation type="decimal" operator="greaterThan" allowBlank="1" showInputMessage="1" showErrorMessage="1" sqref="D8238">
      <formula1>0</formula1>
    </dataValidation>
    <dataValidation type="decimal" operator="greaterThan" allowBlank="1" showInputMessage="1" showErrorMessage="1" sqref="E8238">
      <formula1>0</formula1>
    </dataValidation>
    <dataValidation type="whole" operator="greaterThan" allowBlank="1" showInputMessage="1" showErrorMessage="1" sqref="A8239">
      <formula1>0</formula1>
    </dataValidation>
    <dataValidation type="list" allowBlank="1" showInputMessage="1" showErrorMessage="1" sqref="C8239">
      <formula1>UnidadesList</formula1>
    </dataValidation>
    <dataValidation type="decimal" operator="greaterThan" allowBlank="1" showInputMessage="1" showErrorMessage="1" sqref="D8239">
      <formula1>0</formula1>
    </dataValidation>
    <dataValidation type="decimal" operator="greaterThan" allowBlank="1" showInputMessage="1" showErrorMessage="1" sqref="E8239">
      <formula1>0</formula1>
    </dataValidation>
    <dataValidation type="whole" operator="greaterThan" allowBlank="1" showInputMessage="1" showErrorMessage="1" sqref="A8240">
      <formula1>0</formula1>
    </dataValidation>
    <dataValidation type="list" allowBlank="1" showInputMessage="1" showErrorMessage="1" sqref="C8240">
      <formula1>UnidadesList</formula1>
    </dataValidation>
    <dataValidation type="decimal" operator="greaterThan" allowBlank="1" showInputMessage="1" showErrorMessage="1" sqref="D8240">
      <formula1>0</formula1>
    </dataValidation>
    <dataValidation type="decimal" operator="greaterThan" allowBlank="1" showInputMessage="1" showErrorMessage="1" sqref="E8240">
      <formula1>0</formula1>
    </dataValidation>
    <dataValidation type="whole" operator="greaterThan" allowBlank="1" showInputMessage="1" showErrorMessage="1" sqref="A8241">
      <formula1>0</formula1>
    </dataValidation>
    <dataValidation type="list" allowBlank="1" showInputMessage="1" showErrorMessage="1" sqref="C8241">
      <formula1>UnidadesList</formula1>
    </dataValidation>
    <dataValidation type="decimal" operator="greaterThan" allowBlank="1" showInputMessage="1" showErrorMessage="1" sqref="D8241">
      <formula1>0</formula1>
    </dataValidation>
    <dataValidation type="decimal" operator="greaterThan" allowBlank="1" showInputMessage="1" showErrorMessage="1" sqref="E8241">
      <formula1>0</formula1>
    </dataValidation>
    <dataValidation type="whole" operator="greaterThan" allowBlank="1" showInputMessage="1" showErrorMessage="1" sqref="A8242">
      <formula1>0</formula1>
    </dataValidation>
    <dataValidation type="list" allowBlank="1" showInputMessage="1" showErrorMessage="1" sqref="C8242">
      <formula1>UnidadesList</formula1>
    </dataValidation>
    <dataValidation type="decimal" operator="greaterThan" allowBlank="1" showInputMessage="1" showErrorMessage="1" sqref="D8242">
      <formula1>0</formula1>
    </dataValidation>
    <dataValidation type="decimal" operator="greaterThan" allowBlank="1" showInputMessage="1" showErrorMessage="1" sqref="E8242">
      <formula1>0</formula1>
    </dataValidation>
    <dataValidation type="whole" operator="greaterThan" allowBlank="1" showInputMessage="1" showErrorMessage="1" sqref="A8243">
      <formula1>0</formula1>
    </dataValidation>
    <dataValidation type="list" allowBlank="1" showInputMessage="1" showErrorMessage="1" sqref="C8243">
      <formula1>UnidadesList</formula1>
    </dataValidation>
    <dataValidation type="decimal" operator="greaterThan" allowBlank="1" showInputMessage="1" showErrorMessage="1" sqref="D8243">
      <formula1>0</formula1>
    </dataValidation>
    <dataValidation type="decimal" operator="greaterThan" allowBlank="1" showInputMessage="1" showErrorMessage="1" sqref="E8243">
      <formula1>0</formula1>
    </dataValidation>
    <dataValidation type="whole" operator="greaterThan" allowBlank="1" showInputMessage="1" showErrorMessage="1" sqref="A8244">
      <formula1>0</formula1>
    </dataValidation>
    <dataValidation type="list" allowBlank="1" showInputMessage="1" showErrorMessage="1" sqref="C8244">
      <formula1>UnidadesList</formula1>
    </dataValidation>
    <dataValidation type="decimal" operator="greaterThan" allowBlank="1" showInputMessage="1" showErrorMessage="1" sqref="D8244">
      <formula1>0</formula1>
    </dataValidation>
    <dataValidation type="decimal" operator="greaterThan" allowBlank="1" showInputMessage="1" showErrorMessage="1" sqref="E8244">
      <formula1>0</formula1>
    </dataValidation>
    <dataValidation type="whole" operator="greaterThan" allowBlank="1" showInputMessage="1" showErrorMessage="1" sqref="A8245">
      <formula1>0</formula1>
    </dataValidation>
    <dataValidation type="list" allowBlank="1" showInputMessage="1" showErrorMessage="1" sqref="C8245">
      <formula1>UnidadesList</formula1>
    </dataValidation>
    <dataValidation type="decimal" operator="greaterThan" allowBlank="1" showInputMessage="1" showErrorMessage="1" sqref="D8245">
      <formula1>0</formula1>
    </dataValidation>
    <dataValidation type="decimal" operator="greaterThan" allowBlank="1" showInputMessage="1" showErrorMessage="1" sqref="E8245">
      <formula1>0</formula1>
    </dataValidation>
    <dataValidation type="whole" operator="greaterThan" allowBlank="1" showInputMessage="1" showErrorMessage="1" sqref="A8246">
      <formula1>0</formula1>
    </dataValidation>
    <dataValidation type="list" allowBlank="1" showInputMessage="1" showErrorMessage="1" sqref="C8246">
      <formula1>UnidadesList</formula1>
    </dataValidation>
    <dataValidation type="decimal" operator="greaterThan" allowBlank="1" showInputMessage="1" showErrorMessage="1" sqref="D8246">
      <formula1>0</formula1>
    </dataValidation>
    <dataValidation type="decimal" operator="greaterThan" allowBlank="1" showInputMessage="1" showErrorMessage="1" sqref="E8246">
      <formula1>0</formula1>
    </dataValidation>
    <dataValidation type="whole" operator="greaterThan" allowBlank="1" showInputMessage="1" showErrorMessage="1" sqref="A8247">
      <formula1>0</formula1>
    </dataValidation>
    <dataValidation type="list" allowBlank="1" showInputMessage="1" showErrorMessage="1" sqref="C8247">
      <formula1>UnidadesList</formula1>
    </dataValidation>
    <dataValidation type="decimal" operator="greaterThan" allowBlank="1" showInputMessage="1" showErrorMessage="1" sqref="D8247">
      <formula1>0</formula1>
    </dataValidation>
    <dataValidation type="decimal" operator="greaterThan" allowBlank="1" showInputMessage="1" showErrorMessage="1" sqref="E8247">
      <formula1>0</formula1>
    </dataValidation>
    <dataValidation type="whole" operator="greaterThan" allowBlank="1" showInputMessage="1" showErrorMessage="1" sqref="A8248">
      <formula1>0</formula1>
    </dataValidation>
    <dataValidation type="list" allowBlank="1" showInputMessage="1" showErrorMessage="1" sqref="C8248">
      <formula1>UnidadesList</formula1>
    </dataValidation>
    <dataValidation type="decimal" operator="greaterThan" allowBlank="1" showInputMessage="1" showErrorMessage="1" sqref="D8248">
      <formula1>0</formula1>
    </dataValidation>
    <dataValidation type="decimal" operator="greaterThan" allowBlank="1" showInputMessage="1" showErrorMessage="1" sqref="E8248">
      <formula1>0</formula1>
    </dataValidation>
    <dataValidation type="whole" operator="greaterThan" allowBlank="1" showInputMessage="1" showErrorMessage="1" sqref="A8249">
      <formula1>0</formula1>
    </dataValidation>
    <dataValidation type="list" allowBlank="1" showInputMessage="1" showErrorMessage="1" sqref="C8249">
      <formula1>UnidadesList</formula1>
    </dataValidation>
    <dataValidation type="decimal" operator="greaterThan" allowBlank="1" showInputMessage="1" showErrorMessage="1" sqref="D8249">
      <formula1>0</formula1>
    </dataValidation>
    <dataValidation type="decimal" operator="greaterThan" allowBlank="1" showInputMessage="1" showErrorMessage="1" sqref="E8249">
      <formula1>0</formula1>
    </dataValidation>
    <dataValidation type="whole" operator="greaterThan" allowBlank="1" showInputMessage="1" showErrorMessage="1" sqref="A8250">
      <formula1>0</formula1>
    </dataValidation>
    <dataValidation type="list" allowBlank="1" showInputMessage="1" showErrorMessage="1" sqref="C8250">
      <formula1>UnidadesList</formula1>
    </dataValidation>
    <dataValidation type="decimal" operator="greaterThan" allowBlank="1" showInputMessage="1" showErrorMessage="1" sqref="D8250">
      <formula1>0</formula1>
    </dataValidation>
    <dataValidation type="decimal" operator="greaterThan" allowBlank="1" showInputMessage="1" showErrorMessage="1" sqref="E8250">
      <formula1>0</formula1>
    </dataValidation>
    <dataValidation type="whole" operator="greaterThan" allowBlank="1" showInputMessage="1" showErrorMessage="1" sqref="A8251">
      <formula1>0</formula1>
    </dataValidation>
    <dataValidation type="list" allowBlank="1" showInputMessage="1" showErrorMessage="1" sqref="C8251">
      <formula1>UnidadesList</formula1>
    </dataValidation>
    <dataValidation type="decimal" operator="greaterThan" allowBlank="1" showInputMessage="1" showErrorMessage="1" sqref="D8251">
      <formula1>0</formula1>
    </dataValidation>
    <dataValidation type="decimal" operator="greaterThan" allowBlank="1" showInputMessage="1" showErrorMessage="1" sqref="E8251">
      <formula1>0</formula1>
    </dataValidation>
    <dataValidation type="whole" operator="greaterThan" allowBlank="1" showInputMessage="1" showErrorMessage="1" sqref="A8252">
      <formula1>0</formula1>
    </dataValidation>
    <dataValidation type="list" allowBlank="1" showInputMessage="1" showErrorMessage="1" sqref="C8252">
      <formula1>UnidadesList</formula1>
    </dataValidation>
    <dataValidation type="decimal" operator="greaterThan" allowBlank="1" showInputMessage="1" showErrorMessage="1" sqref="D8252">
      <formula1>0</formula1>
    </dataValidation>
    <dataValidation type="decimal" operator="greaterThan" allowBlank="1" showInputMessage="1" showErrorMessage="1" sqref="E8252">
      <formula1>0</formula1>
    </dataValidation>
    <dataValidation type="whole" operator="greaterThan" allowBlank="1" showInputMessage="1" showErrorMessage="1" sqref="A8253">
      <formula1>0</formula1>
    </dataValidation>
    <dataValidation type="list" allowBlank="1" showInputMessage="1" showErrorMessage="1" sqref="C8253">
      <formula1>UnidadesList</formula1>
    </dataValidation>
    <dataValidation type="decimal" operator="greaterThan" allowBlank="1" showInputMessage="1" showErrorMessage="1" sqref="D8253">
      <formula1>0</formula1>
    </dataValidation>
    <dataValidation type="decimal" operator="greaterThan" allowBlank="1" showInputMessage="1" showErrorMessage="1" sqref="E8253">
      <formula1>0</formula1>
    </dataValidation>
    <dataValidation type="whole" operator="greaterThan" allowBlank="1" showInputMessage="1" showErrorMessage="1" sqref="A8254">
      <formula1>0</formula1>
    </dataValidation>
    <dataValidation type="list" allowBlank="1" showInputMessage="1" showErrorMessage="1" sqref="C8254">
      <formula1>UnidadesList</formula1>
    </dataValidation>
    <dataValidation type="decimal" operator="greaterThan" allowBlank="1" showInputMessage="1" showErrorMessage="1" sqref="D8254">
      <formula1>0</formula1>
    </dataValidation>
    <dataValidation type="decimal" operator="greaterThan" allowBlank="1" showInputMessage="1" showErrorMessage="1" sqref="E8254">
      <formula1>0</formula1>
    </dataValidation>
    <dataValidation type="whole" operator="greaterThan" allowBlank="1" showInputMessage="1" showErrorMessage="1" sqref="A8255">
      <formula1>0</formula1>
    </dataValidation>
    <dataValidation type="list" allowBlank="1" showInputMessage="1" showErrorMessage="1" sqref="C8255">
      <formula1>UnidadesList</formula1>
    </dataValidation>
    <dataValidation type="decimal" operator="greaterThan" allowBlank="1" showInputMessage="1" showErrorMessage="1" sqref="D8255">
      <formula1>0</formula1>
    </dataValidation>
    <dataValidation type="decimal" operator="greaterThan" allowBlank="1" showInputMessage="1" showErrorMessage="1" sqref="E8255">
      <formula1>0</formula1>
    </dataValidation>
    <dataValidation type="whole" operator="greaterThan" allowBlank="1" showInputMessage="1" showErrorMessage="1" sqref="A8256">
      <formula1>0</formula1>
    </dataValidation>
    <dataValidation type="list" allowBlank="1" showInputMessage="1" showErrorMessage="1" sqref="C8256">
      <formula1>UnidadesList</formula1>
    </dataValidation>
    <dataValidation type="decimal" operator="greaterThan" allowBlank="1" showInputMessage="1" showErrorMessage="1" sqref="D8256">
      <formula1>0</formula1>
    </dataValidation>
    <dataValidation type="decimal" operator="greaterThan" allowBlank="1" showInputMessage="1" showErrorMessage="1" sqref="E8256">
      <formula1>0</formula1>
    </dataValidation>
    <dataValidation type="whole" operator="greaterThan" allowBlank="1" showInputMessage="1" showErrorMessage="1" sqref="A8257">
      <formula1>0</formula1>
    </dataValidation>
    <dataValidation type="list" allowBlank="1" showInputMessage="1" showErrorMessage="1" sqref="C8257">
      <formula1>UnidadesList</formula1>
    </dataValidation>
    <dataValidation type="decimal" operator="greaterThan" allowBlank="1" showInputMessage="1" showErrorMessage="1" sqref="D8257">
      <formula1>0</formula1>
    </dataValidation>
    <dataValidation type="decimal" operator="greaterThan" allowBlank="1" showInputMessage="1" showErrorMessage="1" sqref="E8257">
      <formula1>0</formula1>
    </dataValidation>
    <dataValidation type="whole" operator="greaterThan" allowBlank="1" showInputMessage="1" showErrorMessage="1" sqref="A8258">
      <formula1>0</formula1>
    </dataValidation>
    <dataValidation type="list" allowBlank="1" showInputMessage="1" showErrorMessage="1" sqref="C8258">
      <formula1>UnidadesList</formula1>
    </dataValidation>
    <dataValidation type="decimal" operator="greaterThan" allowBlank="1" showInputMessage="1" showErrorMessage="1" sqref="D8258">
      <formula1>0</formula1>
    </dataValidation>
    <dataValidation type="decimal" operator="greaterThan" allowBlank="1" showInputMessage="1" showErrorMessage="1" sqref="E8258">
      <formula1>0</formula1>
    </dataValidation>
    <dataValidation type="whole" operator="greaterThan" allowBlank="1" showInputMessage="1" showErrorMessage="1" sqref="A8259">
      <formula1>0</formula1>
    </dataValidation>
    <dataValidation type="list" allowBlank="1" showInputMessage="1" showErrorMessage="1" sqref="C8259">
      <formula1>UnidadesList</formula1>
    </dataValidation>
    <dataValidation type="decimal" operator="greaterThan" allowBlank="1" showInputMessage="1" showErrorMessage="1" sqref="D8259">
      <formula1>0</formula1>
    </dataValidation>
    <dataValidation type="decimal" operator="greaterThan" allowBlank="1" showInputMessage="1" showErrorMessage="1" sqref="E8259">
      <formula1>0</formula1>
    </dataValidation>
    <dataValidation type="whole" operator="greaterThan" allowBlank="1" showInputMessage="1" showErrorMessage="1" sqref="A8260">
      <formula1>0</formula1>
    </dataValidation>
    <dataValidation type="list" allowBlank="1" showInputMessage="1" showErrorMessage="1" sqref="C8260">
      <formula1>UnidadesList</formula1>
    </dataValidation>
    <dataValidation type="decimal" operator="greaterThan" allowBlank="1" showInputMessage="1" showErrorMessage="1" sqref="D8260">
      <formula1>0</formula1>
    </dataValidation>
    <dataValidation type="decimal" operator="greaterThan" allowBlank="1" showInputMessage="1" showErrorMessage="1" sqref="E8260">
      <formula1>0</formula1>
    </dataValidation>
    <dataValidation type="whole" operator="greaterThan" allowBlank="1" showInputMessage="1" showErrorMessage="1" sqref="A8261">
      <formula1>0</formula1>
    </dataValidation>
    <dataValidation type="list" allowBlank="1" showInputMessage="1" showErrorMessage="1" sqref="C8261">
      <formula1>UnidadesList</formula1>
    </dataValidation>
    <dataValidation type="decimal" operator="greaterThan" allowBlank="1" showInputMessage="1" showErrorMessage="1" sqref="D8261">
      <formula1>0</formula1>
    </dataValidation>
    <dataValidation type="decimal" operator="greaterThan" allowBlank="1" showInputMessage="1" showErrorMessage="1" sqref="E8261">
      <formula1>0</formula1>
    </dataValidation>
    <dataValidation type="whole" operator="greaterThan" allowBlank="1" showInputMessage="1" showErrorMessage="1" sqref="A8262">
      <formula1>0</formula1>
    </dataValidation>
    <dataValidation type="list" allowBlank="1" showInputMessage="1" showErrorMessage="1" sqref="C8262">
      <formula1>UnidadesList</formula1>
    </dataValidation>
    <dataValidation type="decimal" operator="greaterThan" allowBlank="1" showInputMessage="1" showErrorMessage="1" sqref="D8262">
      <formula1>0</formula1>
    </dataValidation>
    <dataValidation type="decimal" operator="greaterThan" allowBlank="1" showInputMessage="1" showErrorMessage="1" sqref="E8262">
      <formula1>0</formula1>
    </dataValidation>
    <dataValidation type="whole" operator="greaterThan" allowBlank="1" showInputMessage="1" showErrorMessage="1" sqref="A8263">
      <formula1>0</formula1>
    </dataValidation>
    <dataValidation type="list" allowBlank="1" showInputMessage="1" showErrorMessage="1" sqref="C8263">
      <formula1>UnidadesList</formula1>
    </dataValidation>
    <dataValidation type="decimal" operator="greaterThan" allowBlank="1" showInputMessage="1" showErrorMessage="1" sqref="D8263">
      <formula1>0</formula1>
    </dataValidation>
    <dataValidation type="decimal" operator="greaterThan" allowBlank="1" showInputMessage="1" showErrorMessage="1" sqref="E8263">
      <formula1>0</formula1>
    </dataValidation>
    <dataValidation type="whole" operator="greaterThan" allowBlank="1" showInputMessage="1" showErrorMessage="1" sqref="A8264">
      <formula1>0</formula1>
    </dataValidation>
    <dataValidation type="list" allowBlank="1" showInputMessage="1" showErrorMessage="1" sqref="C8264">
      <formula1>UnidadesList</formula1>
    </dataValidation>
    <dataValidation type="decimal" operator="greaterThan" allowBlank="1" showInputMessage="1" showErrorMessage="1" sqref="D8264">
      <formula1>0</formula1>
    </dataValidation>
    <dataValidation type="decimal" operator="greaterThan" allowBlank="1" showInputMessage="1" showErrorMessage="1" sqref="E8264">
      <formula1>0</formula1>
    </dataValidation>
    <dataValidation type="whole" operator="greaterThan" allowBlank="1" showInputMessage="1" showErrorMessage="1" sqref="A8265">
      <formula1>0</formula1>
    </dataValidation>
    <dataValidation type="list" allowBlank="1" showInputMessage="1" showErrorMessage="1" sqref="C8265">
      <formula1>UnidadesList</formula1>
    </dataValidation>
    <dataValidation type="decimal" operator="greaterThan" allowBlank="1" showInputMessage="1" showErrorMessage="1" sqref="D8265">
      <formula1>0</formula1>
    </dataValidation>
    <dataValidation type="decimal" operator="greaterThan" allowBlank="1" showInputMessage="1" showErrorMessage="1" sqref="E8265">
      <formula1>0</formula1>
    </dataValidation>
    <dataValidation type="whole" operator="greaterThan" allowBlank="1" showInputMessage="1" showErrorMessage="1" sqref="A8266">
      <formula1>0</formula1>
    </dataValidation>
    <dataValidation type="list" allowBlank="1" showInputMessage="1" showErrorMessage="1" sqref="C8266">
      <formula1>UnidadesList</formula1>
    </dataValidation>
    <dataValidation type="decimal" operator="greaterThan" allowBlank="1" showInputMessage="1" showErrorMessage="1" sqref="D8266">
      <formula1>0</formula1>
    </dataValidation>
    <dataValidation type="decimal" operator="greaterThan" allowBlank="1" showInputMessage="1" showErrorMessage="1" sqref="E8266">
      <formula1>0</formula1>
    </dataValidation>
    <dataValidation type="whole" operator="greaterThan" allowBlank="1" showInputMessage="1" showErrorMessage="1" sqref="A8267">
      <formula1>0</formula1>
    </dataValidation>
    <dataValidation type="list" allowBlank="1" showInputMessage="1" showErrorMessage="1" sqref="C8267">
      <formula1>UnidadesList</formula1>
    </dataValidation>
    <dataValidation type="decimal" operator="greaterThan" allowBlank="1" showInputMessage="1" showErrorMessage="1" sqref="D8267">
      <formula1>0</formula1>
    </dataValidation>
    <dataValidation type="decimal" operator="greaterThan" allowBlank="1" showInputMessage="1" showErrorMessage="1" sqref="E8267">
      <formula1>0</formula1>
    </dataValidation>
    <dataValidation type="whole" operator="greaterThan" allowBlank="1" showInputMessage="1" showErrorMessage="1" sqref="A8268">
      <formula1>0</formula1>
    </dataValidation>
    <dataValidation type="list" allowBlank="1" showInputMessage="1" showErrorMessage="1" sqref="C8268">
      <formula1>UnidadesList</formula1>
    </dataValidation>
    <dataValidation type="decimal" operator="greaterThan" allowBlank="1" showInputMessage="1" showErrorMessage="1" sqref="D8268">
      <formula1>0</formula1>
    </dataValidation>
    <dataValidation type="decimal" operator="greaterThan" allowBlank="1" showInputMessage="1" showErrorMessage="1" sqref="E8268">
      <formula1>0</formula1>
    </dataValidation>
    <dataValidation type="whole" operator="greaterThan" allowBlank="1" showInputMessage="1" showErrorMessage="1" sqref="A8269">
      <formula1>0</formula1>
    </dataValidation>
    <dataValidation type="list" allowBlank="1" showInputMessage="1" showErrorMessage="1" sqref="C8269">
      <formula1>UnidadesList</formula1>
    </dataValidation>
    <dataValidation type="decimal" operator="greaterThan" allowBlank="1" showInputMessage="1" showErrorMessage="1" sqref="D8269">
      <formula1>0</formula1>
    </dataValidation>
    <dataValidation type="decimal" operator="greaterThan" allowBlank="1" showInputMessage="1" showErrorMessage="1" sqref="E8269">
      <formula1>0</formula1>
    </dataValidation>
    <dataValidation type="whole" operator="greaterThan" allowBlank="1" showInputMessage="1" showErrorMessage="1" sqref="A8270">
      <formula1>0</formula1>
    </dataValidation>
    <dataValidation type="list" allowBlank="1" showInputMessage="1" showErrorMessage="1" sqref="C8270">
      <formula1>UnidadesList</formula1>
    </dataValidation>
    <dataValidation type="decimal" operator="greaterThan" allowBlank="1" showInputMessage="1" showErrorMessage="1" sqref="D8270">
      <formula1>0</formula1>
    </dataValidation>
    <dataValidation type="decimal" operator="greaterThan" allowBlank="1" showInputMessage="1" showErrorMessage="1" sqref="E8270">
      <formula1>0</formula1>
    </dataValidation>
    <dataValidation type="whole" operator="greaterThan" allowBlank="1" showInputMessage="1" showErrorMessage="1" sqref="A8271">
      <formula1>0</formula1>
    </dataValidation>
    <dataValidation type="list" allowBlank="1" showInputMessage="1" showErrorMessage="1" sqref="C8271">
      <formula1>UnidadesList</formula1>
    </dataValidation>
    <dataValidation type="decimal" operator="greaterThan" allowBlank="1" showInputMessage="1" showErrorMessage="1" sqref="D8271">
      <formula1>0</formula1>
    </dataValidation>
    <dataValidation type="decimal" operator="greaterThan" allowBlank="1" showInputMessage="1" showErrorMessage="1" sqref="E8271">
      <formula1>0</formula1>
    </dataValidation>
    <dataValidation type="whole" operator="greaterThan" allowBlank="1" showInputMessage="1" showErrorMessage="1" sqref="A8272">
      <formula1>0</formula1>
    </dataValidation>
    <dataValidation type="list" allowBlank="1" showInputMessage="1" showErrorMessage="1" sqref="C8272">
      <formula1>UnidadesList</formula1>
    </dataValidation>
    <dataValidation type="decimal" operator="greaterThan" allowBlank="1" showInputMessage="1" showErrorMessage="1" sqref="D8272">
      <formula1>0</formula1>
    </dataValidation>
    <dataValidation type="decimal" operator="greaterThan" allowBlank="1" showInputMessage="1" showErrorMessage="1" sqref="E8272">
      <formula1>0</formula1>
    </dataValidation>
    <dataValidation type="whole" operator="greaterThan" allowBlank="1" showInputMessage="1" showErrorMessage="1" sqref="A8273">
      <formula1>0</formula1>
    </dataValidation>
    <dataValidation type="list" allowBlank="1" showInputMessage="1" showErrorMessage="1" sqref="C8273">
      <formula1>UnidadesList</formula1>
    </dataValidation>
    <dataValidation type="decimal" operator="greaterThan" allowBlank="1" showInputMessage="1" showErrorMessage="1" sqref="D8273">
      <formula1>0</formula1>
    </dataValidation>
    <dataValidation type="decimal" operator="greaterThan" allowBlank="1" showInputMessage="1" showErrorMessage="1" sqref="E8273">
      <formula1>0</formula1>
    </dataValidation>
    <dataValidation type="whole" operator="greaterThan" allowBlank="1" showInputMessage="1" showErrorMessage="1" sqref="A8274">
      <formula1>0</formula1>
    </dataValidation>
    <dataValidation type="list" allowBlank="1" showInputMessage="1" showErrorMessage="1" sqref="C8274">
      <formula1>UnidadesList</formula1>
    </dataValidation>
    <dataValidation type="decimal" operator="greaterThan" allowBlank="1" showInputMessage="1" showErrorMessage="1" sqref="D8274">
      <formula1>0</formula1>
    </dataValidation>
    <dataValidation type="decimal" operator="greaterThan" allowBlank="1" showInputMessage="1" showErrorMessage="1" sqref="E8274">
      <formula1>0</formula1>
    </dataValidation>
    <dataValidation type="whole" operator="greaterThan" allowBlank="1" showInputMessage="1" showErrorMessage="1" sqref="A8275">
      <formula1>0</formula1>
    </dataValidation>
    <dataValidation type="list" allowBlank="1" showInputMessage="1" showErrorMessage="1" sqref="C8275">
      <formula1>UnidadesList</formula1>
    </dataValidation>
    <dataValidation type="decimal" operator="greaterThan" allowBlank="1" showInputMessage="1" showErrorMessage="1" sqref="D8275">
      <formula1>0</formula1>
    </dataValidation>
    <dataValidation type="decimal" operator="greaterThan" allowBlank="1" showInputMessage="1" showErrorMessage="1" sqref="E8275">
      <formula1>0</formula1>
    </dataValidation>
    <dataValidation type="whole" operator="greaterThan" allowBlank="1" showInputMessage="1" showErrorMessage="1" sqref="A8276">
      <formula1>0</formula1>
    </dataValidation>
    <dataValidation type="list" allowBlank="1" showInputMessage="1" showErrorMessage="1" sqref="C8276">
      <formula1>UnidadesList</formula1>
    </dataValidation>
    <dataValidation type="decimal" operator="greaterThan" allowBlank="1" showInputMessage="1" showErrorMessage="1" sqref="D8276">
      <formula1>0</formula1>
    </dataValidation>
    <dataValidation type="decimal" operator="greaterThan" allowBlank="1" showInputMessage="1" showErrorMessage="1" sqref="E8276">
      <formula1>0</formula1>
    </dataValidation>
    <dataValidation type="whole" operator="greaterThan" allowBlank="1" showInputMessage="1" showErrorMessage="1" sqref="A8277">
      <formula1>0</formula1>
    </dataValidation>
    <dataValidation type="list" allowBlank="1" showInputMessage="1" showErrorMessage="1" sqref="C8277">
      <formula1>UnidadesList</formula1>
    </dataValidation>
    <dataValidation type="decimal" operator="greaterThan" allowBlank="1" showInputMessage="1" showErrorMessage="1" sqref="D8277">
      <formula1>0</formula1>
    </dataValidation>
    <dataValidation type="decimal" operator="greaterThan" allowBlank="1" showInputMessage="1" showErrorMessage="1" sqref="E8277">
      <formula1>0</formula1>
    </dataValidation>
    <dataValidation type="whole" operator="greaterThan" allowBlank="1" showInputMessage="1" showErrorMessage="1" sqref="A8278">
      <formula1>0</formula1>
    </dataValidation>
    <dataValidation type="list" allowBlank="1" showInputMessage="1" showErrorMessage="1" sqref="C8278">
      <formula1>UnidadesList</formula1>
    </dataValidation>
    <dataValidation type="decimal" operator="greaterThan" allowBlank="1" showInputMessage="1" showErrorMessage="1" sqref="D8278">
      <formula1>0</formula1>
    </dataValidation>
    <dataValidation type="decimal" operator="greaterThan" allowBlank="1" showInputMessage="1" showErrorMessage="1" sqref="E8278">
      <formula1>0</formula1>
    </dataValidation>
    <dataValidation type="whole" operator="greaterThan" allowBlank="1" showInputMessage="1" showErrorMessage="1" sqref="A8279">
      <formula1>0</formula1>
    </dataValidation>
    <dataValidation type="list" allowBlank="1" showInputMessage="1" showErrorMessage="1" sqref="C8279">
      <formula1>UnidadesList</formula1>
    </dataValidation>
    <dataValidation type="decimal" operator="greaterThan" allowBlank="1" showInputMessage="1" showErrorMessage="1" sqref="D8279">
      <formula1>0</formula1>
    </dataValidation>
    <dataValidation type="decimal" operator="greaterThan" allowBlank="1" showInputMessage="1" showErrorMessage="1" sqref="E8279">
      <formula1>0</formula1>
    </dataValidation>
    <dataValidation type="whole" operator="greaterThan" allowBlank="1" showInputMessage="1" showErrorMessage="1" sqref="A8280">
      <formula1>0</formula1>
    </dataValidation>
    <dataValidation type="list" allowBlank="1" showInputMessage="1" showErrorMessage="1" sqref="C8280">
      <formula1>UnidadesList</formula1>
    </dataValidation>
    <dataValidation type="decimal" operator="greaterThan" allowBlank="1" showInputMessage="1" showErrorMessage="1" sqref="D8280">
      <formula1>0</formula1>
    </dataValidation>
    <dataValidation type="decimal" operator="greaterThan" allowBlank="1" showInputMessage="1" showErrorMessage="1" sqref="E8280">
      <formula1>0</formula1>
    </dataValidation>
    <dataValidation type="whole" operator="greaterThan" allowBlank="1" showInputMessage="1" showErrorMessage="1" sqref="A8281">
      <formula1>0</formula1>
    </dataValidation>
    <dataValidation type="list" allowBlank="1" showInputMessage="1" showErrorMessage="1" sqref="C8281">
      <formula1>UnidadesList</formula1>
    </dataValidation>
    <dataValidation type="decimal" operator="greaterThan" allowBlank="1" showInputMessage="1" showErrorMessage="1" sqref="D8281">
      <formula1>0</formula1>
    </dataValidation>
    <dataValidation type="decimal" operator="greaterThan" allowBlank="1" showInputMessage="1" showErrorMessage="1" sqref="E8281">
      <formula1>0</formula1>
    </dataValidation>
    <dataValidation type="date" operator="lessThanOrEqual" allowBlank="1" showInputMessage="1" showErrorMessage="1" sqref="C8286">
      <formula1>C8288</formula1>
    </dataValidation>
    <dataValidation type="date" operator="greaterThanOrEqual" allowBlank="1" showInputMessage="1" showErrorMessage="1" sqref="C8288">
      <formula1>C8286</formula1>
    </dataValidation>
    <dataValidation type="list" allowBlank="1" showInputMessage="1" showErrorMessage="1" sqref="F82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2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2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2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292">
      <formula1>0</formula1>
    </dataValidation>
    <dataValidation type="list" allowBlank="1" showInputMessage="1" showErrorMessage="1" sqref="C8292">
      <formula1>UnidadesList</formula1>
    </dataValidation>
    <dataValidation type="decimal" operator="greaterThan" allowBlank="1" showInputMessage="1" showErrorMessage="1" sqref="D8292">
      <formula1>0</formula1>
    </dataValidation>
    <dataValidation type="decimal" operator="greaterThan" allowBlank="1" showInputMessage="1" showErrorMessage="1" sqref="E8292">
      <formula1>0</formula1>
    </dataValidation>
    <dataValidation type="whole" operator="greaterThan" allowBlank="1" showInputMessage="1" showErrorMessage="1" sqref="A8293">
      <formula1>0</formula1>
    </dataValidation>
    <dataValidation type="list" allowBlank="1" showInputMessage="1" showErrorMessage="1" sqref="C8293">
      <formula1>UnidadesList</formula1>
    </dataValidation>
    <dataValidation type="decimal" operator="greaterThan" allowBlank="1" showInputMessage="1" showErrorMessage="1" sqref="D8293">
      <formula1>0</formula1>
    </dataValidation>
    <dataValidation type="decimal" operator="greaterThan" allowBlank="1" showInputMessage="1" showErrorMessage="1" sqref="E8293">
      <formula1>0</formula1>
    </dataValidation>
    <dataValidation type="whole" operator="greaterThan" allowBlank="1" showInputMessage="1" showErrorMessage="1" sqref="A8294">
      <formula1>0</formula1>
    </dataValidation>
    <dataValidation type="list" allowBlank="1" showInputMessage="1" showErrorMessage="1" sqref="C8294">
      <formula1>UnidadesList</formula1>
    </dataValidation>
    <dataValidation type="decimal" operator="greaterThan" allowBlank="1" showInputMessage="1" showErrorMessage="1" sqref="D8294">
      <formula1>0</formula1>
    </dataValidation>
    <dataValidation type="decimal" operator="greaterThan" allowBlank="1" showInputMessage="1" showErrorMessage="1" sqref="E8294">
      <formula1>0</formula1>
    </dataValidation>
    <dataValidation type="whole" operator="greaterThan" allowBlank="1" showInputMessage="1" showErrorMessage="1" sqref="A8295">
      <formula1>0</formula1>
    </dataValidation>
    <dataValidation type="list" allowBlank="1" showInputMessage="1" showErrorMessage="1" sqref="C8295">
      <formula1>UnidadesList</formula1>
    </dataValidation>
    <dataValidation type="decimal" operator="greaterThan" allowBlank="1" showInputMessage="1" showErrorMessage="1" sqref="D8295">
      <formula1>0</formula1>
    </dataValidation>
    <dataValidation type="decimal" operator="greaterThan" allowBlank="1" showInputMessage="1" showErrorMessage="1" sqref="E8295">
      <formula1>0</formula1>
    </dataValidation>
    <dataValidation type="whole" operator="greaterThan" allowBlank="1" showInputMessage="1" showErrorMessage="1" sqref="A8296">
      <formula1>0</formula1>
    </dataValidation>
    <dataValidation type="list" allowBlank="1" showInputMessage="1" showErrorMessage="1" sqref="C8296">
      <formula1>UnidadesList</formula1>
    </dataValidation>
    <dataValidation type="decimal" operator="greaterThan" allowBlank="1" showInputMessage="1" showErrorMessage="1" sqref="D8296">
      <formula1>0</formula1>
    </dataValidation>
    <dataValidation type="decimal" operator="greaterThan" allowBlank="1" showInputMessage="1" showErrorMessage="1" sqref="E8296">
      <formula1>0</formula1>
    </dataValidation>
    <dataValidation type="whole" operator="greaterThan" allowBlank="1" showInputMessage="1" showErrorMessage="1" sqref="A8297">
      <formula1>0</formula1>
    </dataValidation>
    <dataValidation type="list" allowBlank="1" showInputMessage="1" showErrorMessage="1" sqref="C8297">
      <formula1>UnidadesList</formula1>
    </dataValidation>
    <dataValidation type="decimal" operator="greaterThan" allowBlank="1" showInputMessage="1" showErrorMessage="1" sqref="D8297">
      <formula1>0</formula1>
    </dataValidation>
    <dataValidation type="decimal" operator="greaterThan" allowBlank="1" showInputMessage="1" showErrorMessage="1" sqref="E8297">
      <formula1>0</formula1>
    </dataValidation>
    <dataValidation type="whole" operator="greaterThan" allowBlank="1" showInputMessage="1" showErrorMessage="1" sqref="A8298">
      <formula1>0</formula1>
    </dataValidation>
    <dataValidation type="list" allowBlank="1" showInputMessage="1" showErrorMessage="1" sqref="C8298">
      <formula1>UnidadesList</formula1>
    </dataValidation>
    <dataValidation type="decimal" operator="greaterThan" allowBlank="1" showInputMessage="1" showErrorMessage="1" sqref="D8298">
      <formula1>0</formula1>
    </dataValidation>
    <dataValidation type="decimal" operator="greaterThan" allowBlank="1" showInputMessage="1" showErrorMessage="1" sqref="E8298">
      <formula1>0</formula1>
    </dataValidation>
    <dataValidation type="whole" operator="greaterThan" allowBlank="1" showInputMessage="1" showErrorMessage="1" sqref="A8299">
      <formula1>0</formula1>
    </dataValidation>
    <dataValidation type="list" allowBlank="1" showInputMessage="1" showErrorMessage="1" sqref="C8299">
      <formula1>UnidadesList</formula1>
    </dataValidation>
    <dataValidation type="decimal" operator="greaterThan" allowBlank="1" showInputMessage="1" showErrorMessage="1" sqref="D8299">
      <formula1>0</formula1>
    </dataValidation>
    <dataValidation type="decimal" operator="greaterThan" allowBlank="1" showInputMessage="1" showErrorMessage="1" sqref="E8299">
      <formula1>0</formula1>
    </dataValidation>
    <dataValidation type="whole" operator="greaterThan" allowBlank="1" showInputMessage="1" showErrorMessage="1" sqref="A8300">
      <formula1>0</formula1>
    </dataValidation>
    <dataValidation type="list" allowBlank="1" showInputMessage="1" showErrorMessage="1" sqref="C8300">
      <formula1>UnidadesList</formula1>
    </dataValidation>
    <dataValidation type="decimal" operator="greaterThan" allowBlank="1" showInputMessage="1" showErrorMessage="1" sqref="D8300">
      <formula1>0</formula1>
    </dataValidation>
    <dataValidation type="decimal" operator="greaterThan" allowBlank="1" showInputMessage="1" showErrorMessage="1" sqref="E8300">
      <formula1>0</formula1>
    </dataValidation>
    <dataValidation type="whole" operator="greaterThan" allowBlank="1" showInputMessage="1" showErrorMessage="1" sqref="A8301">
      <formula1>0</formula1>
    </dataValidation>
    <dataValidation type="list" allowBlank="1" showInputMessage="1" showErrorMessage="1" sqref="C8301">
      <formula1>UnidadesList</formula1>
    </dataValidation>
    <dataValidation type="decimal" operator="greaterThan" allowBlank="1" showInputMessage="1" showErrorMessage="1" sqref="D8301">
      <formula1>0</formula1>
    </dataValidation>
    <dataValidation type="decimal" operator="greaterThan" allowBlank="1" showInputMessage="1" showErrorMessage="1" sqref="E8301">
      <formula1>0</formula1>
    </dataValidation>
    <dataValidation type="whole" operator="greaterThan" allowBlank="1" showInputMessage="1" showErrorMessage="1" sqref="A8302">
      <formula1>0</formula1>
    </dataValidation>
    <dataValidation type="list" allowBlank="1" showInputMessage="1" showErrorMessage="1" sqref="C8302">
      <formula1>UnidadesList</formula1>
    </dataValidation>
    <dataValidation type="decimal" operator="greaterThan" allowBlank="1" showInputMessage="1" showErrorMessage="1" sqref="D8302">
      <formula1>0</formula1>
    </dataValidation>
    <dataValidation type="decimal" operator="greaterThan" allowBlank="1" showInputMessage="1" showErrorMessage="1" sqref="E8302">
      <formula1>0</formula1>
    </dataValidation>
    <dataValidation type="whole" operator="greaterThan" allowBlank="1" showInputMessage="1" showErrorMessage="1" sqref="A8303">
      <formula1>0</formula1>
    </dataValidation>
    <dataValidation type="list" allowBlank="1" showInputMessage="1" showErrorMessage="1" sqref="C8303">
      <formula1>UnidadesList</formula1>
    </dataValidation>
    <dataValidation type="decimal" operator="greaterThan" allowBlank="1" showInputMessage="1" showErrorMessage="1" sqref="D8303">
      <formula1>0</formula1>
    </dataValidation>
    <dataValidation type="decimal" operator="greaterThan" allowBlank="1" showInputMessage="1" showErrorMessage="1" sqref="E8303">
      <formula1>0</formula1>
    </dataValidation>
    <dataValidation type="whole" operator="greaterThan" allowBlank="1" showInputMessage="1" showErrorMessage="1" sqref="A8304">
      <formula1>0</formula1>
    </dataValidation>
    <dataValidation type="list" allowBlank="1" showInputMessage="1" showErrorMessage="1" sqref="C8304">
      <formula1>UnidadesList</formula1>
    </dataValidation>
    <dataValidation type="decimal" operator="greaterThan" allowBlank="1" showInputMessage="1" showErrorMessage="1" sqref="D8304">
      <formula1>0</formula1>
    </dataValidation>
    <dataValidation type="decimal" operator="greaterThan" allowBlank="1" showInputMessage="1" showErrorMessage="1" sqref="E8304">
      <formula1>0</formula1>
    </dataValidation>
    <dataValidation type="whole" operator="greaterThan" allowBlank="1" showInputMessage="1" showErrorMessage="1" sqref="A8305">
      <formula1>0</formula1>
    </dataValidation>
    <dataValidation type="list" allowBlank="1" showInputMessage="1" showErrorMessage="1" sqref="C8305">
      <formula1>UnidadesList</formula1>
    </dataValidation>
    <dataValidation type="decimal" operator="greaterThan" allowBlank="1" showInputMessage="1" showErrorMessage="1" sqref="D8305">
      <formula1>0</formula1>
    </dataValidation>
    <dataValidation type="decimal" operator="greaterThan" allowBlank="1" showInputMessage="1" showErrorMessage="1" sqref="E8305">
      <formula1>0</formula1>
    </dataValidation>
    <dataValidation type="whole" operator="greaterThan" allowBlank="1" showInputMessage="1" showErrorMessage="1" sqref="A8306">
      <formula1>0</formula1>
    </dataValidation>
    <dataValidation type="list" allowBlank="1" showInputMessage="1" showErrorMessage="1" sqref="C8306">
      <formula1>UnidadesList</formula1>
    </dataValidation>
    <dataValidation type="decimal" operator="greaterThan" allowBlank="1" showInputMessage="1" showErrorMessage="1" sqref="D8306">
      <formula1>0</formula1>
    </dataValidation>
    <dataValidation type="decimal" operator="greaterThan" allowBlank="1" showInputMessage="1" showErrorMessage="1" sqref="E8306">
      <formula1>0</formula1>
    </dataValidation>
    <dataValidation type="whole" operator="greaterThan" allowBlank="1" showInputMessage="1" showErrorMessage="1" sqref="A8307">
      <formula1>0</formula1>
    </dataValidation>
    <dataValidation type="list" allowBlank="1" showInputMessage="1" showErrorMessage="1" sqref="C8307">
      <formula1>UnidadesList</formula1>
    </dataValidation>
    <dataValidation type="decimal" operator="greaterThan" allowBlank="1" showInputMessage="1" showErrorMessage="1" sqref="D8307">
      <formula1>0</formula1>
    </dataValidation>
    <dataValidation type="decimal" operator="greaterThan" allowBlank="1" showInputMessage="1" showErrorMessage="1" sqref="E8307">
      <formula1>0</formula1>
    </dataValidation>
    <dataValidation type="whole" operator="greaterThan" allowBlank="1" showInputMessage="1" showErrorMessage="1" sqref="A8308">
      <formula1>0</formula1>
    </dataValidation>
    <dataValidation type="list" allowBlank="1" showInputMessage="1" showErrorMessage="1" sqref="C8308">
      <formula1>UnidadesList</formula1>
    </dataValidation>
    <dataValidation type="decimal" operator="greaterThan" allowBlank="1" showInputMessage="1" showErrorMessage="1" sqref="D8308">
      <formula1>0</formula1>
    </dataValidation>
    <dataValidation type="decimal" operator="greaterThan" allowBlank="1" showInputMessage="1" showErrorMessage="1" sqref="E8308">
      <formula1>0</formula1>
    </dataValidation>
    <dataValidation type="whole" operator="greaterThan" allowBlank="1" showInputMessage="1" showErrorMessage="1" sqref="A8309">
      <formula1>0</formula1>
    </dataValidation>
    <dataValidation type="list" allowBlank="1" showInputMessage="1" showErrorMessage="1" sqref="C8309">
      <formula1>UnidadesList</formula1>
    </dataValidation>
    <dataValidation type="decimal" operator="greaterThan" allowBlank="1" showInputMessage="1" showErrorMessage="1" sqref="D8309">
      <formula1>0</formula1>
    </dataValidation>
    <dataValidation type="decimal" operator="greaterThan" allowBlank="1" showInputMessage="1" showErrorMessage="1" sqref="E8309">
      <formula1>0</formula1>
    </dataValidation>
    <dataValidation type="whole" operator="greaterThan" allowBlank="1" showInputMessage="1" showErrorMessage="1" sqref="A8310">
      <formula1>0</formula1>
    </dataValidation>
    <dataValidation type="list" allowBlank="1" showInputMessage="1" showErrorMessage="1" sqref="C8310">
      <formula1>UnidadesList</formula1>
    </dataValidation>
    <dataValidation type="decimal" operator="greaterThan" allowBlank="1" showInputMessage="1" showErrorMessage="1" sqref="D8310">
      <formula1>0</formula1>
    </dataValidation>
    <dataValidation type="decimal" operator="greaterThan" allowBlank="1" showInputMessage="1" showErrorMessage="1" sqref="E8310">
      <formula1>0</formula1>
    </dataValidation>
    <dataValidation type="whole" operator="greaterThan" allowBlank="1" showInputMessage="1" showErrorMessage="1" sqref="A8311">
      <formula1>0</formula1>
    </dataValidation>
    <dataValidation type="list" allowBlank="1" showInputMessage="1" showErrorMessage="1" sqref="C8311">
      <formula1>UnidadesList</formula1>
    </dataValidation>
    <dataValidation type="decimal" operator="greaterThan" allowBlank="1" showInputMessage="1" showErrorMessage="1" sqref="D8311">
      <formula1>0</formula1>
    </dataValidation>
    <dataValidation type="decimal" operator="greaterThan" allowBlank="1" showInputMessage="1" showErrorMessage="1" sqref="E8311">
      <formula1>0</formula1>
    </dataValidation>
    <dataValidation type="whole" operator="greaterThan" allowBlank="1" showInputMessage="1" showErrorMessage="1" sqref="A8312">
      <formula1>0</formula1>
    </dataValidation>
    <dataValidation type="list" allowBlank="1" showInputMessage="1" showErrorMessage="1" sqref="C8312">
      <formula1>UnidadesList</formula1>
    </dataValidation>
    <dataValidation type="decimal" operator="greaterThan" allowBlank="1" showInputMessage="1" showErrorMessage="1" sqref="D8312">
      <formula1>0</formula1>
    </dataValidation>
    <dataValidation type="decimal" operator="greaterThan" allowBlank="1" showInputMessage="1" showErrorMessage="1" sqref="E8312">
      <formula1>0</formula1>
    </dataValidation>
    <dataValidation type="whole" operator="greaterThan" allowBlank="1" showInputMessage="1" showErrorMessage="1" sqref="A8313">
      <formula1>0</formula1>
    </dataValidation>
    <dataValidation type="list" allowBlank="1" showInputMessage="1" showErrorMessage="1" sqref="C8313">
      <formula1>UnidadesList</formula1>
    </dataValidation>
    <dataValidation type="decimal" operator="greaterThan" allowBlank="1" showInputMessage="1" showErrorMessage="1" sqref="D8313">
      <formula1>0</formula1>
    </dataValidation>
    <dataValidation type="decimal" operator="greaterThan" allowBlank="1" showInputMessage="1" showErrorMessage="1" sqref="E8313">
      <formula1>0</formula1>
    </dataValidation>
    <dataValidation type="whole" operator="greaterThan" allowBlank="1" showInputMessage="1" showErrorMessage="1" sqref="A8314">
      <formula1>0</formula1>
    </dataValidation>
    <dataValidation type="list" allowBlank="1" showInputMessage="1" showErrorMessage="1" sqref="C8314">
      <formula1>UnidadesList</formula1>
    </dataValidation>
    <dataValidation type="decimal" operator="greaterThan" allowBlank="1" showInputMessage="1" showErrorMessage="1" sqref="D8314">
      <formula1>0</formula1>
    </dataValidation>
    <dataValidation type="decimal" operator="greaterThan" allowBlank="1" showInputMessage="1" showErrorMessage="1" sqref="E8314">
      <formula1>0</formula1>
    </dataValidation>
    <dataValidation type="whole" operator="greaterThan" allowBlank="1" showInputMessage="1" showErrorMessage="1" sqref="A8315">
      <formula1>0</formula1>
    </dataValidation>
    <dataValidation type="list" allowBlank="1" showInputMessage="1" showErrorMessage="1" sqref="C8315">
      <formula1>UnidadesList</formula1>
    </dataValidation>
    <dataValidation type="decimal" operator="greaterThan" allowBlank="1" showInputMessage="1" showErrorMessage="1" sqref="D8315">
      <formula1>0</formula1>
    </dataValidation>
    <dataValidation type="decimal" operator="greaterThan" allowBlank="1" showInputMessage="1" showErrorMessage="1" sqref="E8315">
      <formula1>0</formula1>
    </dataValidation>
    <dataValidation type="whole" operator="greaterThan" allowBlank="1" showInputMessage="1" showErrorMessage="1" sqref="A8316">
      <formula1>0</formula1>
    </dataValidation>
    <dataValidation type="list" allowBlank="1" showInputMessage="1" showErrorMessage="1" sqref="C8316">
      <formula1>UnidadesList</formula1>
    </dataValidation>
    <dataValidation type="decimal" operator="greaterThan" allowBlank="1" showInputMessage="1" showErrorMessage="1" sqref="D8316">
      <formula1>0</formula1>
    </dataValidation>
    <dataValidation type="decimal" operator="greaterThan" allowBlank="1" showInputMessage="1" showErrorMessage="1" sqref="E8316">
      <formula1>0</formula1>
    </dataValidation>
    <dataValidation type="whole" operator="greaterThan" allowBlank="1" showInputMessage="1" showErrorMessage="1" sqref="A8317">
      <formula1>0</formula1>
    </dataValidation>
    <dataValidation type="list" allowBlank="1" showInputMessage="1" showErrorMessage="1" sqref="C8317">
      <formula1>UnidadesList</formula1>
    </dataValidation>
    <dataValidation type="decimal" operator="greaterThan" allowBlank="1" showInputMessage="1" showErrorMessage="1" sqref="D8317">
      <formula1>0</formula1>
    </dataValidation>
    <dataValidation type="decimal" operator="greaterThan" allowBlank="1" showInputMessage="1" showErrorMessage="1" sqref="E8317">
      <formula1>0</formula1>
    </dataValidation>
    <dataValidation type="whole" operator="greaterThan" allowBlank="1" showInputMessage="1" showErrorMessage="1" sqref="A8318">
      <formula1>0</formula1>
    </dataValidation>
    <dataValidation type="list" allowBlank="1" showInputMessage="1" showErrorMessage="1" sqref="C8318">
      <formula1>UnidadesList</formula1>
    </dataValidation>
    <dataValidation type="decimal" operator="greaterThan" allowBlank="1" showInputMessage="1" showErrorMessage="1" sqref="D8318">
      <formula1>0</formula1>
    </dataValidation>
    <dataValidation type="decimal" operator="greaterThan" allowBlank="1" showInputMessage="1" showErrorMessage="1" sqref="E8318">
      <formula1>0</formula1>
    </dataValidation>
    <dataValidation type="whole" operator="greaterThan" allowBlank="1" showInputMessage="1" showErrorMessage="1" sqref="A8319">
      <formula1>0</formula1>
    </dataValidation>
    <dataValidation type="list" allowBlank="1" showInputMessage="1" showErrorMessage="1" sqref="C8319">
      <formula1>UnidadesList</formula1>
    </dataValidation>
    <dataValidation type="decimal" operator="greaterThan" allowBlank="1" showInputMessage="1" showErrorMessage="1" sqref="D8319">
      <formula1>0</formula1>
    </dataValidation>
    <dataValidation type="decimal" operator="greaterThan" allowBlank="1" showInputMessage="1" showErrorMessage="1" sqref="E8319">
      <formula1>0</formula1>
    </dataValidation>
    <dataValidation type="whole" operator="greaterThan" allowBlank="1" showInputMessage="1" showErrorMessage="1" sqref="A8320">
      <formula1>0</formula1>
    </dataValidation>
    <dataValidation type="list" allowBlank="1" showInputMessage="1" showErrorMessage="1" sqref="C8320">
      <formula1>UnidadesList</formula1>
    </dataValidation>
    <dataValidation type="decimal" operator="greaterThan" allowBlank="1" showInputMessage="1" showErrorMessage="1" sqref="D8320">
      <formula1>0</formula1>
    </dataValidation>
    <dataValidation type="decimal" operator="greaterThan" allowBlank="1" showInputMessage="1" showErrorMessage="1" sqref="E8320">
      <formula1>0</formula1>
    </dataValidation>
    <dataValidation type="whole" operator="greaterThan" allowBlank="1" showInputMessage="1" showErrorMessage="1" sqref="A8321">
      <formula1>0</formula1>
    </dataValidation>
    <dataValidation type="list" allowBlank="1" showInputMessage="1" showErrorMessage="1" sqref="C8321">
      <formula1>UnidadesList</formula1>
    </dataValidation>
    <dataValidation type="decimal" operator="greaterThan" allowBlank="1" showInputMessage="1" showErrorMessage="1" sqref="D8321">
      <formula1>0</formula1>
    </dataValidation>
    <dataValidation type="decimal" operator="greaterThan" allowBlank="1" showInputMessage="1" showErrorMessage="1" sqref="E8321">
      <formula1>0</formula1>
    </dataValidation>
    <dataValidation type="whole" operator="greaterThan" allowBlank="1" showInputMessage="1" showErrorMessage="1" sqref="A8322">
      <formula1>0</formula1>
    </dataValidation>
    <dataValidation type="list" allowBlank="1" showInputMessage="1" showErrorMessage="1" sqref="C8322">
      <formula1>UnidadesList</formula1>
    </dataValidation>
    <dataValidation type="decimal" operator="greaterThan" allowBlank="1" showInputMessage="1" showErrorMessage="1" sqref="D8322">
      <formula1>0</formula1>
    </dataValidation>
    <dataValidation type="decimal" operator="greaterThan" allowBlank="1" showInputMessage="1" showErrorMessage="1" sqref="E8322">
      <formula1>0</formula1>
    </dataValidation>
    <dataValidation type="whole" operator="greaterThan" allowBlank="1" showInputMessage="1" showErrorMessage="1" sqref="A8323">
      <formula1>0</formula1>
    </dataValidation>
    <dataValidation type="list" allowBlank="1" showInputMessage="1" showErrorMessage="1" sqref="C8323">
      <formula1>UnidadesList</formula1>
    </dataValidation>
    <dataValidation type="decimal" operator="greaterThan" allowBlank="1" showInputMessage="1" showErrorMessage="1" sqref="D8323">
      <formula1>0</formula1>
    </dataValidation>
    <dataValidation type="decimal" operator="greaterThan" allowBlank="1" showInputMessage="1" showErrorMessage="1" sqref="E8323">
      <formula1>0</formula1>
    </dataValidation>
    <dataValidation type="whole" operator="greaterThan" allowBlank="1" showInputMessage="1" showErrorMessage="1" sqref="A8324">
      <formula1>0</formula1>
    </dataValidation>
    <dataValidation type="list" allowBlank="1" showInputMessage="1" showErrorMessage="1" sqref="C8324">
      <formula1>UnidadesList</formula1>
    </dataValidation>
    <dataValidation type="decimal" operator="greaterThan" allowBlank="1" showInputMessage="1" showErrorMessage="1" sqref="D8324">
      <formula1>0</formula1>
    </dataValidation>
    <dataValidation type="decimal" operator="greaterThan" allowBlank="1" showInputMessage="1" showErrorMessage="1" sqref="E8324">
      <formula1>0</formula1>
    </dataValidation>
    <dataValidation type="whole" operator="greaterThan" allowBlank="1" showInputMessage="1" showErrorMessage="1" sqref="A8325">
      <formula1>0</formula1>
    </dataValidation>
    <dataValidation type="list" allowBlank="1" showInputMessage="1" showErrorMessage="1" sqref="C8325">
      <formula1>UnidadesList</formula1>
    </dataValidation>
    <dataValidation type="decimal" operator="greaterThan" allowBlank="1" showInputMessage="1" showErrorMessage="1" sqref="D8325">
      <formula1>0</formula1>
    </dataValidation>
    <dataValidation type="decimal" operator="greaterThan" allowBlank="1" showInputMessage="1" showErrorMessage="1" sqref="E8325">
      <formula1>0</formula1>
    </dataValidation>
    <dataValidation type="whole" operator="greaterThan" allowBlank="1" showInputMessage="1" showErrorMessage="1" sqref="A8326">
      <formula1>0</formula1>
    </dataValidation>
    <dataValidation type="list" allowBlank="1" showInputMessage="1" showErrorMessage="1" sqref="C8326">
      <formula1>UnidadesList</formula1>
    </dataValidation>
    <dataValidation type="decimal" operator="greaterThan" allowBlank="1" showInputMessage="1" showErrorMessage="1" sqref="D8326">
      <formula1>0</formula1>
    </dataValidation>
    <dataValidation type="decimal" operator="greaterThan" allowBlank="1" showInputMessage="1" showErrorMessage="1" sqref="E8326">
      <formula1>0</formula1>
    </dataValidation>
    <dataValidation type="whole" operator="greaterThan" allowBlank="1" showInputMessage="1" showErrorMessage="1" sqref="A8327">
      <formula1>0</formula1>
    </dataValidation>
    <dataValidation type="list" allowBlank="1" showInputMessage="1" showErrorMessage="1" sqref="C8327">
      <formula1>UnidadesList</formula1>
    </dataValidation>
    <dataValidation type="decimal" operator="greaterThan" allowBlank="1" showInputMessage="1" showErrorMessage="1" sqref="D8327">
      <formula1>0</formula1>
    </dataValidation>
    <dataValidation type="decimal" operator="greaterThan" allowBlank="1" showInputMessage="1" showErrorMessage="1" sqref="E8327">
      <formula1>0</formula1>
    </dataValidation>
    <dataValidation type="whole" operator="greaterThan" allowBlank="1" showInputMessage="1" showErrorMessage="1" sqref="A8328">
      <formula1>0</formula1>
    </dataValidation>
    <dataValidation type="list" allowBlank="1" showInputMessage="1" showErrorMessage="1" sqref="C8328">
      <formula1>UnidadesList</formula1>
    </dataValidation>
    <dataValidation type="decimal" operator="greaterThan" allowBlank="1" showInputMessage="1" showErrorMessage="1" sqref="D8328">
      <formula1>0</formula1>
    </dataValidation>
    <dataValidation type="decimal" operator="greaterThan" allowBlank="1" showInputMessage="1" showErrorMessage="1" sqref="E8328">
      <formula1>0</formula1>
    </dataValidation>
    <dataValidation type="whole" operator="greaterThan" allowBlank="1" showInputMessage="1" showErrorMessage="1" sqref="A8329">
      <formula1>0</formula1>
    </dataValidation>
    <dataValidation type="list" allowBlank="1" showInputMessage="1" showErrorMessage="1" sqref="C8329">
      <formula1>UnidadesList</formula1>
    </dataValidation>
    <dataValidation type="decimal" operator="greaterThan" allowBlank="1" showInputMessage="1" showErrorMessage="1" sqref="D8329">
      <formula1>0</formula1>
    </dataValidation>
    <dataValidation type="decimal" operator="greaterThan" allowBlank="1" showInputMessage="1" showErrorMessage="1" sqref="E8329">
      <formula1>0</formula1>
    </dataValidation>
    <dataValidation type="whole" operator="greaterThan" allowBlank="1" showInputMessage="1" showErrorMessage="1" sqref="A8330">
      <formula1>0</formula1>
    </dataValidation>
    <dataValidation type="list" allowBlank="1" showInputMessage="1" showErrorMessage="1" sqref="C8330">
      <formula1>UnidadesList</formula1>
    </dataValidation>
    <dataValidation type="decimal" operator="greaterThan" allowBlank="1" showInputMessage="1" showErrorMessage="1" sqref="D8330">
      <formula1>0</formula1>
    </dataValidation>
    <dataValidation type="decimal" operator="greaterThan" allowBlank="1" showInputMessage="1" showErrorMessage="1" sqref="E8330">
      <formula1>0</formula1>
    </dataValidation>
    <dataValidation type="whole" operator="greaterThan" allowBlank="1" showInputMessage="1" showErrorMessage="1" sqref="A8331">
      <formula1>0</formula1>
    </dataValidation>
    <dataValidation type="list" allowBlank="1" showInputMessage="1" showErrorMessage="1" sqref="C8331">
      <formula1>UnidadesList</formula1>
    </dataValidation>
    <dataValidation type="decimal" operator="greaterThan" allowBlank="1" showInputMessage="1" showErrorMessage="1" sqref="D8331">
      <formula1>0</formula1>
    </dataValidation>
    <dataValidation type="decimal" operator="greaterThan" allowBlank="1" showInputMessage="1" showErrorMessage="1" sqref="E8331">
      <formula1>0</formula1>
    </dataValidation>
    <dataValidation type="whole" operator="greaterThan" allowBlank="1" showInputMessage="1" showErrorMessage="1" sqref="A8332">
      <formula1>0</formula1>
    </dataValidation>
    <dataValidation type="list" allowBlank="1" showInputMessage="1" showErrorMessage="1" sqref="C8332">
      <formula1>UnidadesList</formula1>
    </dataValidation>
    <dataValidation type="decimal" operator="greaterThan" allowBlank="1" showInputMessage="1" showErrorMessage="1" sqref="D8332">
      <formula1>0</formula1>
    </dataValidation>
    <dataValidation type="decimal" operator="greaterThan" allowBlank="1" showInputMessage="1" showErrorMessage="1" sqref="E8332">
      <formula1>0</formula1>
    </dataValidation>
    <dataValidation type="whole" operator="greaterThan" allowBlank="1" showInputMessage="1" showErrorMessage="1" sqref="A8333">
      <formula1>0</formula1>
    </dataValidation>
    <dataValidation type="list" allowBlank="1" showInputMessage="1" showErrorMessage="1" sqref="C8333">
      <formula1>UnidadesList</formula1>
    </dataValidation>
    <dataValidation type="decimal" operator="greaterThan" allowBlank="1" showInputMessage="1" showErrorMessage="1" sqref="D8333">
      <formula1>0</formula1>
    </dataValidation>
    <dataValidation type="decimal" operator="greaterThan" allowBlank="1" showInputMessage="1" showErrorMessage="1" sqref="E8333">
      <formula1>0</formula1>
    </dataValidation>
    <dataValidation type="whole" operator="greaterThan" allowBlank="1" showInputMessage="1" showErrorMessage="1" sqref="A8334">
      <formula1>0</formula1>
    </dataValidation>
    <dataValidation type="list" allowBlank="1" showInputMessage="1" showErrorMessage="1" sqref="C8334">
      <formula1>UnidadesList</formula1>
    </dataValidation>
    <dataValidation type="decimal" operator="greaterThan" allowBlank="1" showInputMessage="1" showErrorMessage="1" sqref="D8334">
      <formula1>0</formula1>
    </dataValidation>
    <dataValidation type="decimal" operator="greaterThan" allowBlank="1" showInputMessage="1" showErrorMessage="1" sqref="E8334">
      <formula1>0</formula1>
    </dataValidation>
    <dataValidation type="whole" operator="greaterThan" allowBlank="1" showInputMessage="1" showErrorMessage="1" sqref="A8335">
      <formula1>0</formula1>
    </dataValidation>
    <dataValidation type="list" allowBlank="1" showInputMessage="1" showErrorMessage="1" sqref="C8335">
      <formula1>UnidadesList</formula1>
    </dataValidation>
    <dataValidation type="decimal" operator="greaterThan" allowBlank="1" showInputMessage="1" showErrorMessage="1" sqref="D8335">
      <formula1>0</formula1>
    </dataValidation>
    <dataValidation type="decimal" operator="greaterThan" allowBlank="1" showInputMessage="1" showErrorMessage="1" sqref="E8335">
      <formula1>0</formula1>
    </dataValidation>
    <dataValidation type="whole" operator="greaterThan" allowBlank="1" showInputMessage="1" showErrorMessage="1" sqref="A8336">
      <formula1>0</formula1>
    </dataValidation>
    <dataValidation type="list" allowBlank="1" showInputMessage="1" showErrorMessage="1" sqref="C8336">
      <formula1>UnidadesList</formula1>
    </dataValidation>
    <dataValidation type="decimal" operator="greaterThan" allowBlank="1" showInputMessage="1" showErrorMessage="1" sqref="D8336">
      <formula1>0</formula1>
    </dataValidation>
    <dataValidation type="decimal" operator="greaterThan" allowBlank="1" showInputMessage="1" showErrorMessage="1" sqref="E8336">
      <formula1>0</formula1>
    </dataValidation>
    <dataValidation type="whole" operator="greaterThan" allowBlank="1" showInputMessage="1" showErrorMessage="1" sqref="A8337">
      <formula1>0</formula1>
    </dataValidation>
    <dataValidation type="list" allowBlank="1" showInputMessage="1" showErrorMessage="1" sqref="C8337">
      <formula1>UnidadesList</formula1>
    </dataValidation>
    <dataValidation type="decimal" operator="greaterThan" allowBlank="1" showInputMessage="1" showErrorMessage="1" sqref="D8337">
      <formula1>0</formula1>
    </dataValidation>
    <dataValidation type="decimal" operator="greaterThan" allowBlank="1" showInputMessage="1" showErrorMessage="1" sqref="E8337">
      <formula1>0</formula1>
    </dataValidation>
    <dataValidation type="whole" operator="greaterThan" allowBlank="1" showInputMessage="1" showErrorMessage="1" sqref="A8338">
      <formula1>0</formula1>
    </dataValidation>
    <dataValidation type="list" allowBlank="1" showInputMessage="1" showErrorMessage="1" sqref="C8338">
      <formula1>UnidadesList</formula1>
    </dataValidation>
    <dataValidation type="decimal" operator="greaterThan" allowBlank="1" showInputMessage="1" showErrorMessage="1" sqref="D8338">
      <formula1>0</formula1>
    </dataValidation>
    <dataValidation type="decimal" operator="greaterThan" allowBlank="1" showInputMessage="1" showErrorMessage="1" sqref="E8338">
      <formula1>0</formula1>
    </dataValidation>
    <dataValidation type="date" operator="lessThanOrEqual" allowBlank="1" showInputMessage="1" showErrorMessage="1" sqref="C8343">
      <formula1>C8345</formula1>
    </dataValidation>
    <dataValidation type="date" operator="greaterThanOrEqual" allowBlank="1" showInputMessage="1" showErrorMessage="1" sqref="C8345">
      <formula1>C8343</formula1>
    </dataValidation>
    <dataValidation type="list" allowBlank="1" showInputMessage="1" showErrorMessage="1" sqref="F834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34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34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34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349">
      <formula1>0</formula1>
    </dataValidation>
    <dataValidation type="list" allowBlank="1" showInputMessage="1" showErrorMessage="1" sqref="C8349">
      <formula1>UnidadesList</formula1>
    </dataValidation>
    <dataValidation type="decimal" operator="greaterThan" allowBlank="1" showInputMessage="1" showErrorMessage="1" sqref="D8349">
      <formula1>0</formula1>
    </dataValidation>
    <dataValidation type="decimal" operator="greaterThan" allowBlank="1" showInputMessage="1" showErrorMessage="1" sqref="E8349">
      <formula1>0</formula1>
    </dataValidation>
    <dataValidation type="whole" operator="greaterThan" allowBlank="1" showInputMessage="1" showErrorMessage="1" sqref="A8350">
      <formula1>0</formula1>
    </dataValidation>
    <dataValidation type="list" allowBlank="1" showInputMessage="1" showErrorMessage="1" sqref="C8350">
      <formula1>UnidadesList</formula1>
    </dataValidation>
    <dataValidation type="decimal" operator="greaterThan" allowBlank="1" showInputMessage="1" showErrorMessage="1" sqref="D8350">
      <formula1>0</formula1>
    </dataValidation>
    <dataValidation type="decimal" operator="greaterThan" allowBlank="1" showInputMessage="1" showErrorMessage="1" sqref="E8350">
      <formula1>0</formula1>
    </dataValidation>
    <dataValidation type="whole" operator="greaterThan" allowBlank="1" showInputMessage="1" showErrorMessage="1" sqref="A8351">
      <formula1>0</formula1>
    </dataValidation>
    <dataValidation type="list" allowBlank="1" showInputMessage="1" showErrorMessage="1" sqref="C8351">
      <formula1>UnidadesList</formula1>
    </dataValidation>
    <dataValidation type="decimal" operator="greaterThan" allowBlank="1" showInputMessage="1" showErrorMessage="1" sqref="D8351">
      <formula1>0</formula1>
    </dataValidation>
    <dataValidation type="decimal" operator="greaterThan" allowBlank="1" showInputMessage="1" showErrorMessage="1" sqref="E8351">
      <formula1>0</formula1>
    </dataValidation>
    <dataValidation type="whole" operator="greaterThan" allowBlank="1" showInputMessage="1" showErrorMessage="1" sqref="A8352">
      <formula1>0</formula1>
    </dataValidation>
    <dataValidation type="list" allowBlank="1" showInputMessage="1" showErrorMessage="1" sqref="C8352">
      <formula1>UnidadesList</formula1>
    </dataValidation>
    <dataValidation type="decimal" operator="greaterThan" allowBlank="1" showInputMessage="1" showErrorMessage="1" sqref="D8352">
      <formula1>0</formula1>
    </dataValidation>
    <dataValidation type="decimal" operator="greaterThan" allowBlank="1" showInputMessage="1" showErrorMessage="1" sqref="E8352">
      <formula1>0</formula1>
    </dataValidation>
    <dataValidation type="whole" operator="greaterThan" allowBlank="1" showInputMessage="1" showErrorMessage="1" sqref="A8353">
      <formula1>0</formula1>
    </dataValidation>
    <dataValidation type="list" allowBlank="1" showInputMessage="1" showErrorMessage="1" sqref="C8353">
      <formula1>UnidadesList</formula1>
    </dataValidation>
    <dataValidation type="decimal" operator="greaterThan" allowBlank="1" showInputMessage="1" showErrorMessage="1" sqref="D8353">
      <formula1>0</formula1>
    </dataValidation>
    <dataValidation type="decimal" operator="greaterThan" allowBlank="1" showInputMessage="1" showErrorMessage="1" sqref="E8353">
      <formula1>0</formula1>
    </dataValidation>
    <dataValidation type="whole" operator="greaterThan" allowBlank="1" showInputMessage="1" showErrorMessage="1" sqref="A8354">
      <formula1>0</formula1>
    </dataValidation>
    <dataValidation type="list" allowBlank="1" showInputMessage="1" showErrorMessage="1" sqref="C8354">
      <formula1>UnidadesList</formula1>
    </dataValidation>
    <dataValidation type="decimal" operator="greaterThan" allowBlank="1" showInputMessage="1" showErrorMessage="1" sqref="D8354">
      <formula1>0</formula1>
    </dataValidation>
    <dataValidation type="decimal" operator="greaterThan" allowBlank="1" showInputMessage="1" showErrorMessage="1" sqref="E8354">
      <formula1>0</formula1>
    </dataValidation>
    <dataValidation type="whole" operator="greaterThan" allowBlank="1" showInputMessage="1" showErrorMessage="1" sqref="A8355">
      <formula1>0</formula1>
    </dataValidation>
    <dataValidation type="list" allowBlank="1" showInputMessage="1" showErrorMessage="1" sqref="C8355">
      <formula1>UnidadesList</formula1>
    </dataValidation>
    <dataValidation type="decimal" operator="greaterThan" allowBlank="1" showInputMessage="1" showErrorMessage="1" sqref="D8355">
      <formula1>0</formula1>
    </dataValidation>
    <dataValidation type="decimal" operator="greaterThan" allowBlank="1" showInputMessage="1" showErrorMessage="1" sqref="E8355">
      <formula1>0</formula1>
    </dataValidation>
    <dataValidation type="whole" operator="greaterThan" allowBlank="1" showInputMessage="1" showErrorMessage="1" sqref="A8356">
      <formula1>0</formula1>
    </dataValidation>
    <dataValidation type="list" allowBlank="1" showInputMessage="1" showErrorMessage="1" sqref="C8356">
      <formula1>UnidadesList</formula1>
    </dataValidation>
    <dataValidation type="decimal" operator="greaterThan" allowBlank="1" showInputMessage="1" showErrorMessage="1" sqref="D8356">
      <formula1>0</formula1>
    </dataValidation>
    <dataValidation type="decimal" operator="greaterThan" allowBlank="1" showInputMessage="1" showErrorMessage="1" sqref="E8356">
      <formula1>0</formula1>
    </dataValidation>
    <dataValidation type="whole" operator="greaterThan" allowBlank="1" showInputMessage="1" showErrorMessage="1" sqref="A8357">
      <formula1>0</formula1>
    </dataValidation>
    <dataValidation type="list" allowBlank="1" showInputMessage="1" showErrorMessage="1" sqref="C8357">
      <formula1>UnidadesList</formula1>
    </dataValidation>
    <dataValidation type="decimal" operator="greaterThan" allowBlank="1" showInputMessage="1" showErrorMessage="1" sqref="D8357">
      <formula1>0</formula1>
    </dataValidation>
    <dataValidation type="decimal" operator="greaterThan" allowBlank="1" showInputMessage="1" showErrorMessage="1" sqref="E8357">
      <formula1>0</formula1>
    </dataValidation>
    <dataValidation type="whole" operator="greaterThan" allowBlank="1" showInputMessage="1" showErrorMessage="1" sqref="A8358">
      <formula1>0</formula1>
    </dataValidation>
    <dataValidation type="list" allowBlank="1" showInputMessage="1" showErrorMessage="1" sqref="C8358">
      <formula1>UnidadesList</formula1>
    </dataValidation>
    <dataValidation type="decimal" operator="greaterThan" allowBlank="1" showInputMessage="1" showErrorMessage="1" sqref="D8358">
      <formula1>0</formula1>
    </dataValidation>
    <dataValidation type="decimal" operator="greaterThan" allowBlank="1" showInputMessage="1" showErrorMessage="1" sqref="E8358">
      <formula1>0</formula1>
    </dataValidation>
    <dataValidation type="whole" operator="greaterThan" allowBlank="1" showInputMessage="1" showErrorMessage="1" sqref="A8359">
      <formula1>0</formula1>
    </dataValidation>
    <dataValidation type="list" allowBlank="1" showInputMessage="1" showErrorMessage="1" sqref="C8359">
      <formula1>UnidadesList</formula1>
    </dataValidation>
    <dataValidation type="decimal" operator="greaterThan" allowBlank="1" showInputMessage="1" showErrorMessage="1" sqref="D8359">
      <formula1>0</formula1>
    </dataValidation>
    <dataValidation type="decimal" operator="greaterThan" allowBlank="1" showInputMessage="1" showErrorMessage="1" sqref="E8359">
      <formula1>0</formula1>
    </dataValidation>
    <dataValidation type="whole" operator="greaterThan" allowBlank="1" showInputMessage="1" showErrorMessage="1" sqref="A8360">
      <formula1>0</formula1>
    </dataValidation>
    <dataValidation type="list" allowBlank="1" showInputMessage="1" showErrorMessage="1" sqref="C8360">
      <formula1>UnidadesList</formula1>
    </dataValidation>
    <dataValidation type="decimal" operator="greaterThan" allowBlank="1" showInputMessage="1" showErrorMessage="1" sqref="D8360">
      <formula1>0</formula1>
    </dataValidation>
    <dataValidation type="decimal" operator="greaterThan" allowBlank="1" showInputMessage="1" showErrorMessage="1" sqref="E8360">
      <formula1>0</formula1>
    </dataValidation>
    <dataValidation type="whole" operator="greaterThan" allowBlank="1" showInputMessage="1" showErrorMessage="1" sqref="A8361">
      <formula1>0</formula1>
    </dataValidation>
    <dataValidation type="list" allowBlank="1" showInputMessage="1" showErrorMessage="1" sqref="C8361">
      <formula1>UnidadesList</formula1>
    </dataValidation>
    <dataValidation type="decimal" operator="greaterThan" allowBlank="1" showInputMessage="1" showErrorMessage="1" sqref="D8361">
      <formula1>0</formula1>
    </dataValidation>
    <dataValidation type="decimal" operator="greaterThan" allowBlank="1" showInputMessage="1" showErrorMessage="1" sqref="E8361">
      <formula1>0</formula1>
    </dataValidation>
    <dataValidation type="whole" operator="greaterThan" allowBlank="1" showInputMessage="1" showErrorMessage="1" sqref="A8362">
      <formula1>0</formula1>
    </dataValidation>
    <dataValidation type="list" allowBlank="1" showInputMessage="1" showErrorMessage="1" sqref="C8362">
      <formula1>UnidadesList</formula1>
    </dataValidation>
    <dataValidation type="decimal" operator="greaterThan" allowBlank="1" showInputMessage="1" showErrorMessage="1" sqref="D8362">
      <formula1>0</formula1>
    </dataValidation>
    <dataValidation type="decimal" operator="greaterThan" allowBlank="1" showInputMessage="1" showErrorMessage="1" sqref="E8362">
      <formula1>0</formula1>
    </dataValidation>
    <dataValidation type="whole" operator="greaterThan" allowBlank="1" showInputMessage="1" showErrorMessage="1" sqref="A8363">
      <formula1>0</formula1>
    </dataValidation>
    <dataValidation type="list" allowBlank="1" showInputMessage="1" showErrorMessage="1" sqref="C8363">
      <formula1>UnidadesList</formula1>
    </dataValidation>
    <dataValidation type="decimal" operator="greaterThan" allowBlank="1" showInputMessage="1" showErrorMessage="1" sqref="D8363">
      <formula1>0</formula1>
    </dataValidation>
    <dataValidation type="decimal" operator="greaterThan" allowBlank="1" showInputMessage="1" showErrorMessage="1" sqref="E8363">
      <formula1>0</formula1>
    </dataValidation>
    <dataValidation type="whole" operator="greaterThan" allowBlank="1" showInputMessage="1" showErrorMessage="1" sqref="A8364">
      <formula1>0</formula1>
    </dataValidation>
    <dataValidation type="list" allowBlank="1" showInputMessage="1" showErrorMessage="1" sqref="C8364">
      <formula1>UnidadesList</formula1>
    </dataValidation>
    <dataValidation type="decimal" operator="greaterThan" allowBlank="1" showInputMessage="1" showErrorMessage="1" sqref="D8364">
      <formula1>0</formula1>
    </dataValidation>
    <dataValidation type="decimal" operator="greaterThan" allowBlank="1" showInputMessage="1" showErrorMessage="1" sqref="E8364">
      <formula1>0</formula1>
    </dataValidation>
    <dataValidation type="whole" operator="greaterThan" allowBlank="1" showInputMessage="1" showErrorMessage="1" sqref="A8365">
      <formula1>0</formula1>
    </dataValidation>
    <dataValidation type="list" allowBlank="1" showInputMessage="1" showErrorMessage="1" sqref="C8365">
      <formula1>UnidadesList</formula1>
    </dataValidation>
    <dataValidation type="decimal" operator="greaterThan" allowBlank="1" showInputMessage="1" showErrorMessage="1" sqref="D8365">
      <formula1>0</formula1>
    </dataValidation>
    <dataValidation type="decimal" operator="greaterThan" allowBlank="1" showInputMessage="1" showErrorMessage="1" sqref="E8365">
      <formula1>0</formula1>
    </dataValidation>
    <dataValidation type="whole" operator="greaterThan" allowBlank="1" showInputMessage="1" showErrorMessage="1" sqref="A8366">
      <formula1>0</formula1>
    </dataValidation>
    <dataValidation type="list" allowBlank="1" showInputMessage="1" showErrorMessage="1" sqref="C8366">
      <formula1>UnidadesList</formula1>
    </dataValidation>
    <dataValidation type="decimal" operator="greaterThan" allowBlank="1" showInputMessage="1" showErrorMessage="1" sqref="D8366">
      <formula1>0</formula1>
    </dataValidation>
    <dataValidation type="decimal" operator="greaterThan" allowBlank="1" showInputMessage="1" showErrorMessage="1" sqref="E8366">
      <formula1>0</formula1>
    </dataValidation>
    <dataValidation type="whole" operator="greaterThan" allowBlank="1" showInputMessage="1" showErrorMessage="1" sqref="A8367">
      <formula1>0</formula1>
    </dataValidation>
    <dataValidation type="list" allowBlank="1" showInputMessage="1" showErrorMessage="1" sqref="C8367">
      <formula1>UnidadesList</formula1>
    </dataValidation>
    <dataValidation type="decimal" operator="greaterThan" allowBlank="1" showInputMessage="1" showErrorMessage="1" sqref="D8367">
      <formula1>0</formula1>
    </dataValidation>
    <dataValidation type="decimal" operator="greaterThan" allowBlank="1" showInputMessage="1" showErrorMessage="1" sqref="E8367">
      <formula1>0</formula1>
    </dataValidation>
    <dataValidation type="whole" operator="greaterThan" allowBlank="1" showInputMessage="1" showErrorMessage="1" sqref="A8368">
      <formula1>0</formula1>
    </dataValidation>
    <dataValidation type="list" allowBlank="1" showInputMessage="1" showErrorMessage="1" sqref="C8368">
      <formula1>UnidadesList</formula1>
    </dataValidation>
    <dataValidation type="decimal" operator="greaterThan" allowBlank="1" showInputMessage="1" showErrorMessage="1" sqref="D8368">
      <formula1>0</formula1>
    </dataValidation>
    <dataValidation type="decimal" operator="greaterThan" allowBlank="1" showInputMessage="1" showErrorMessage="1" sqref="E8368">
      <formula1>0</formula1>
    </dataValidation>
    <dataValidation type="whole" operator="greaterThan" allowBlank="1" showInputMessage="1" showErrorMessage="1" sqref="A8369">
      <formula1>0</formula1>
    </dataValidation>
    <dataValidation type="list" allowBlank="1" showInputMessage="1" showErrorMessage="1" sqref="C8369">
      <formula1>UnidadesList</formula1>
    </dataValidation>
    <dataValidation type="decimal" operator="greaterThan" allowBlank="1" showInputMessage="1" showErrorMessage="1" sqref="D8369">
      <formula1>0</formula1>
    </dataValidation>
    <dataValidation type="decimal" operator="greaterThan" allowBlank="1" showInputMessage="1" showErrorMessage="1" sqref="E8369">
      <formula1>0</formula1>
    </dataValidation>
    <dataValidation type="whole" operator="greaterThan" allowBlank="1" showInputMessage="1" showErrorMessage="1" sqref="A8370">
      <formula1>0</formula1>
    </dataValidation>
    <dataValidation type="list" allowBlank="1" showInputMessage="1" showErrorMessage="1" sqref="C8370">
      <formula1>UnidadesList</formula1>
    </dataValidation>
    <dataValidation type="decimal" operator="greaterThan" allowBlank="1" showInputMessage="1" showErrorMessage="1" sqref="D8370">
      <formula1>0</formula1>
    </dataValidation>
    <dataValidation type="decimal" operator="greaterThan" allowBlank="1" showInputMessage="1" showErrorMessage="1" sqref="E8370">
      <formula1>0</formula1>
    </dataValidation>
    <dataValidation type="whole" operator="greaterThan" allowBlank="1" showInputMessage="1" showErrorMessage="1" sqref="A8371">
      <formula1>0</formula1>
    </dataValidation>
    <dataValidation type="list" allowBlank="1" showInputMessage="1" showErrorMessage="1" sqref="C8371">
      <formula1>UnidadesList</formula1>
    </dataValidation>
    <dataValidation type="decimal" operator="greaterThan" allowBlank="1" showInputMessage="1" showErrorMessage="1" sqref="D8371">
      <formula1>0</formula1>
    </dataValidation>
    <dataValidation type="decimal" operator="greaterThan" allowBlank="1" showInputMessage="1" showErrorMessage="1" sqref="E8371">
      <formula1>0</formula1>
    </dataValidation>
    <dataValidation type="whole" operator="greaterThan" allowBlank="1" showInputMessage="1" showErrorMessage="1" sqref="A8372">
      <formula1>0</formula1>
    </dataValidation>
    <dataValidation type="list" allowBlank="1" showInputMessage="1" showErrorMessage="1" sqref="C8372">
      <formula1>UnidadesList</formula1>
    </dataValidation>
    <dataValidation type="decimal" operator="greaterThan" allowBlank="1" showInputMessage="1" showErrorMessage="1" sqref="D8372">
      <formula1>0</formula1>
    </dataValidation>
    <dataValidation type="decimal" operator="greaterThan" allowBlank="1" showInputMessage="1" showErrorMessage="1" sqref="E8372">
      <formula1>0</formula1>
    </dataValidation>
    <dataValidation type="whole" operator="greaterThan" allowBlank="1" showInputMessage="1" showErrorMessage="1" sqref="A8373">
      <formula1>0</formula1>
    </dataValidation>
    <dataValidation type="list" allowBlank="1" showInputMessage="1" showErrorMessage="1" sqref="C8373">
      <formula1>UnidadesList</formula1>
    </dataValidation>
    <dataValidation type="decimal" operator="greaterThan" allowBlank="1" showInputMessage="1" showErrorMessage="1" sqref="D8373">
      <formula1>0</formula1>
    </dataValidation>
    <dataValidation type="decimal" operator="greaterThan" allowBlank="1" showInputMessage="1" showErrorMessage="1" sqref="E8373">
      <formula1>0</formula1>
    </dataValidation>
    <dataValidation type="whole" operator="greaterThan" allowBlank="1" showInputMessage="1" showErrorMessage="1" sqref="A8374">
      <formula1>0</formula1>
    </dataValidation>
    <dataValidation type="list" allowBlank="1" showInputMessage="1" showErrorMessage="1" sqref="C8374">
      <formula1>UnidadesList</formula1>
    </dataValidation>
    <dataValidation type="decimal" operator="greaterThan" allowBlank="1" showInputMessage="1" showErrorMessage="1" sqref="D8374">
      <formula1>0</formula1>
    </dataValidation>
    <dataValidation type="decimal" operator="greaterThan" allowBlank="1" showInputMessage="1" showErrorMessage="1" sqref="E8374">
      <formula1>0</formula1>
    </dataValidation>
    <dataValidation type="date" operator="lessThanOrEqual" allowBlank="1" showInputMessage="1" showErrorMessage="1" sqref="C8379">
      <formula1>C8381</formula1>
    </dataValidation>
    <dataValidation type="date" operator="greaterThanOrEqual" allowBlank="1" showInputMessage="1" showErrorMessage="1" sqref="C8381">
      <formula1>C8379</formula1>
    </dataValidation>
    <dataValidation type="list" allowBlank="1" showInputMessage="1" showErrorMessage="1" sqref="F837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38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38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38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385">
      <formula1>0</formula1>
    </dataValidation>
    <dataValidation type="list" allowBlank="1" showInputMessage="1" showErrorMessage="1" sqref="C8385">
      <formula1>UnidadesList</formula1>
    </dataValidation>
    <dataValidation type="decimal" operator="greaterThan" allowBlank="1" showInputMessage="1" showErrorMessage="1" sqref="D8385">
      <formula1>0</formula1>
    </dataValidation>
    <dataValidation type="decimal" operator="greaterThan" allowBlank="1" showInputMessage="1" showErrorMessage="1" sqref="E8385">
      <formula1>0</formula1>
    </dataValidation>
    <dataValidation type="whole" operator="greaterThan" allowBlank="1" showInputMessage="1" showErrorMessage="1" sqref="A8386">
      <formula1>0</formula1>
    </dataValidation>
    <dataValidation type="list" allowBlank="1" showInputMessage="1" showErrorMessage="1" sqref="C8386">
      <formula1>UnidadesList</formula1>
    </dataValidation>
    <dataValidation type="decimal" operator="greaterThan" allowBlank="1" showInputMessage="1" showErrorMessage="1" sqref="D8386">
      <formula1>0</formula1>
    </dataValidation>
    <dataValidation type="decimal" operator="greaterThan" allowBlank="1" showInputMessage="1" showErrorMessage="1" sqref="E8386">
      <formula1>0</formula1>
    </dataValidation>
    <dataValidation type="whole" operator="greaterThan" allowBlank="1" showInputMessage="1" showErrorMessage="1" sqref="A8387">
      <formula1>0</formula1>
    </dataValidation>
    <dataValidation type="list" allowBlank="1" showInputMessage="1" showErrorMessage="1" sqref="C8387">
      <formula1>UnidadesList</formula1>
    </dataValidation>
    <dataValidation type="decimal" operator="greaterThan" allowBlank="1" showInputMessage="1" showErrorMessage="1" sqref="D8387">
      <formula1>0</formula1>
    </dataValidation>
    <dataValidation type="decimal" operator="greaterThan" allowBlank="1" showInputMessage="1" showErrorMessage="1" sqref="E8387">
      <formula1>0</formula1>
    </dataValidation>
    <dataValidation type="whole" operator="greaterThan" allowBlank="1" showInputMessage="1" showErrorMessage="1" sqref="A8388">
      <formula1>0</formula1>
    </dataValidation>
    <dataValidation type="list" allowBlank="1" showInputMessage="1" showErrorMessage="1" sqref="C8388">
      <formula1>UnidadesList</formula1>
    </dataValidation>
    <dataValidation type="decimal" operator="greaterThan" allowBlank="1" showInputMessage="1" showErrorMessage="1" sqref="D8388">
      <formula1>0</formula1>
    </dataValidation>
    <dataValidation type="decimal" operator="greaterThan" allowBlank="1" showInputMessage="1" showErrorMessage="1" sqref="E8388">
      <formula1>0</formula1>
    </dataValidation>
    <dataValidation type="whole" operator="greaterThan" allowBlank="1" showInputMessage="1" showErrorMessage="1" sqref="A8389">
      <formula1>0</formula1>
    </dataValidation>
    <dataValidation type="list" allowBlank="1" showInputMessage="1" showErrorMessage="1" sqref="C8389">
      <formula1>UnidadesList</formula1>
    </dataValidation>
    <dataValidation type="decimal" operator="greaterThan" allowBlank="1" showInputMessage="1" showErrorMessage="1" sqref="D8389">
      <formula1>0</formula1>
    </dataValidation>
    <dataValidation type="decimal" operator="greaterThan" allowBlank="1" showInputMessage="1" showErrorMessage="1" sqref="E8389">
      <formula1>0</formula1>
    </dataValidation>
    <dataValidation type="whole" operator="greaterThan" allowBlank="1" showInputMessage="1" showErrorMessage="1" sqref="A8390">
      <formula1>0</formula1>
    </dataValidation>
    <dataValidation type="list" allowBlank="1" showInputMessage="1" showErrorMessage="1" sqref="C8390">
      <formula1>UnidadesList</formula1>
    </dataValidation>
    <dataValidation type="decimal" operator="greaterThan" allowBlank="1" showInputMessage="1" showErrorMessage="1" sqref="D8390">
      <formula1>0</formula1>
    </dataValidation>
    <dataValidation type="decimal" operator="greaterThan" allowBlank="1" showInputMessage="1" showErrorMessage="1" sqref="E8390">
      <formula1>0</formula1>
    </dataValidation>
    <dataValidation type="whole" operator="greaterThan" allowBlank="1" showInputMessage="1" showErrorMessage="1" sqref="A8391">
      <formula1>0</formula1>
    </dataValidation>
    <dataValidation type="list" allowBlank="1" showInputMessage="1" showErrorMessage="1" sqref="C8391">
      <formula1>UnidadesList</formula1>
    </dataValidation>
    <dataValidation type="decimal" operator="greaterThan" allowBlank="1" showInputMessage="1" showErrorMessage="1" sqref="D8391">
      <formula1>0</formula1>
    </dataValidation>
    <dataValidation type="decimal" operator="greaterThan" allowBlank="1" showInputMessage="1" showErrorMessage="1" sqref="E8391">
      <formula1>0</formula1>
    </dataValidation>
    <dataValidation type="whole" operator="greaterThan" allowBlank="1" showInputMessage="1" showErrorMessage="1" sqref="A8392">
      <formula1>0</formula1>
    </dataValidation>
    <dataValidation type="list" allowBlank="1" showInputMessage="1" showErrorMessage="1" sqref="C8392">
      <formula1>UnidadesList</formula1>
    </dataValidation>
    <dataValidation type="decimal" operator="greaterThan" allowBlank="1" showInputMessage="1" showErrorMessage="1" sqref="D8392">
      <formula1>0</formula1>
    </dataValidation>
    <dataValidation type="decimal" operator="greaterThan" allowBlank="1" showInputMessage="1" showErrorMessage="1" sqref="E8392">
      <formula1>0</formula1>
    </dataValidation>
    <dataValidation type="whole" operator="greaterThan" allowBlank="1" showInputMessage="1" showErrorMessage="1" sqref="A8393">
      <formula1>0</formula1>
    </dataValidation>
    <dataValidation type="list" allowBlank="1" showInputMessage="1" showErrorMessage="1" sqref="C8393">
      <formula1>UnidadesList</formula1>
    </dataValidation>
    <dataValidation type="decimal" operator="greaterThan" allowBlank="1" showInputMessage="1" showErrorMessage="1" sqref="D8393">
      <formula1>0</formula1>
    </dataValidation>
    <dataValidation type="decimal" operator="greaterThan" allowBlank="1" showInputMessage="1" showErrorMessage="1" sqref="E8393">
      <formula1>0</formula1>
    </dataValidation>
    <dataValidation type="whole" operator="greaterThan" allowBlank="1" showInputMessage="1" showErrorMessage="1" sqref="A8394">
      <formula1>0</formula1>
    </dataValidation>
    <dataValidation type="list" allowBlank="1" showInputMessage="1" showErrorMessage="1" sqref="C8394">
      <formula1>UnidadesList</formula1>
    </dataValidation>
    <dataValidation type="decimal" operator="greaterThan" allowBlank="1" showInputMessage="1" showErrorMessage="1" sqref="D8394">
      <formula1>0</formula1>
    </dataValidation>
    <dataValidation type="decimal" operator="greaterThan" allowBlank="1" showInputMessage="1" showErrorMessage="1" sqref="E8394">
      <formula1>0</formula1>
    </dataValidation>
    <dataValidation type="whole" operator="greaterThan" allowBlank="1" showInputMessage="1" showErrorMessage="1" sqref="A8395">
      <formula1>0</formula1>
    </dataValidation>
    <dataValidation type="list" allowBlank="1" showInputMessage="1" showErrorMessage="1" sqref="C8395">
      <formula1>UnidadesList</formula1>
    </dataValidation>
    <dataValidation type="decimal" operator="greaterThan" allowBlank="1" showInputMessage="1" showErrorMessage="1" sqref="D8395">
      <formula1>0</formula1>
    </dataValidation>
    <dataValidation type="decimal" operator="greaterThan" allowBlank="1" showInputMessage="1" showErrorMessage="1" sqref="E8395">
      <formula1>0</formula1>
    </dataValidation>
    <dataValidation type="whole" operator="greaterThan" allowBlank="1" showInputMessage="1" showErrorMessage="1" sqref="A8396">
      <formula1>0</formula1>
    </dataValidation>
    <dataValidation type="list" allowBlank="1" showInputMessage="1" showErrorMessage="1" sqref="C8396">
      <formula1>UnidadesList</formula1>
    </dataValidation>
    <dataValidation type="decimal" operator="greaterThan" allowBlank="1" showInputMessage="1" showErrorMessage="1" sqref="D8396">
      <formula1>0</formula1>
    </dataValidation>
    <dataValidation type="decimal" operator="greaterThan" allowBlank="1" showInputMessage="1" showErrorMessage="1" sqref="E8396">
      <formula1>0</formula1>
    </dataValidation>
    <dataValidation type="whole" operator="greaterThan" allowBlank="1" showInputMessage="1" showErrorMessage="1" sqref="A8397">
      <formula1>0</formula1>
    </dataValidation>
    <dataValidation type="list" allowBlank="1" showInputMessage="1" showErrorMessage="1" sqref="C8397">
      <formula1>UnidadesList</formula1>
    </dataValidation>
    <dataValidation type="decimal" operator="greaterThan" allowBlank="1" showInputMessage="1" showErrorMessage="1" sqref="D8397">
      <formula1>0</formula1>
    </dataValidation>
    <dataValidation type="decimal" operator="greaterThan" allowBlank="1" showInputMessage="1" showErrorMessage="1" sqref="E8397">
      <formula1>0</formula1>
    </dataValidation>
    <dataValidation type="whole" operator="greaterThan" allowBlank="1" showInputMessage="1" showErrorMessage="1" sqref="A8398">
      <formula1>0</formula1>
    </dataValidation>
    <dataValidation type="list" allowBlank="1" showInputMessage="1" showErrorMessage="1" sqref="C8398">
      <formula1>UnidadesList</formula1>
    </dataValidation>
    <dataValidation type="decimal" operator="greaterThan" allowBlank="1" showInputMessage="1" showErrorMessage="1" sqref="D8398">
      <formula1>0</formula1>
    </dataValidation>
    <dataValidation type="decimal" operator="greaterThan" allowBlank="1" showInputMessage="1" showErrorMessage="1" sqref="E8398">
      <formula1>0</formula1>
    </dataValidation>
    <dataValidation type="whole" operator="greaterThan" allowBlank="1" showInputMessage="1" showErrorMessage="1" sqref="A8399">
      <formula1>0</formula1>
    </dataValidation>
    <dataValidation type="list" allowBlank="1" showInputMessage="1" showErrorMessage="1" sqref="C8399">
      <formula1>UnidadesList</formula1>
    </dataValidation>
    <dataValidation type="decimal" operator="greaterThan" allowBlank="1" showInputMessage="1" showErrorMessage="1" sqref="D8399">
      <formula1>0</formula1>
    </dataValidation>
    <dataValidation type="decimal" operator="greaterThan" allowBlank="1" showInputMessage="1" showErrorMessage="1" sqref="E8399">
      <formula1>0</formula1>
    </dataValidation>
    <dataValidation type="whole" operator="greaterThan" allowBlank="1" showInputMessage="1" showErrorMessage="1" sqref="A8400">
      <formula1>0</formula1>
    </dataValidation>
    <dataValidation type="list" allowBlank="1" showInputMessage="1" showErrorMessage="1" sqref="C8400">
      <formula1>UnidadesList</formula1>
    </dataValidation>
    <dataValidation type="decimal" operator="greaterThan" allowBlank="1" showInputMessage="1" showErrorMessage="1" sqref="D8400">
      <formula1>0</formula1>
    </dataValidation>
    <dataValidation type="decimal" operator="greaterThan" allowBlank="1" showInputMessage="1" showErrorMessage="1" sqref="E8400">
      <formula1>0</formula1>
    </dataValidation>
    <dataValidation type="whole" operator="greaterThan" allowBlank="1" showInputMessage="1" showErrorMessage="1" sqref="A8401">
      <formula1>0</formula1>
    </dataValidation>
    <dataValidation type="list" allowBlank="1" showInputMessage="1" showErrorMessage="1" sqref="C8401">
      <formula1>UnidadesList</formula1>
    </dataValidation>
    <dataValidation type="decimal" operator="greaterThan" allowBlank="1" showInputMessage="1" showErrorMessage="1" sqref="D8401">
      <formula1>0</formula1>
    </dataValidation>
    <dataValidation type="decimal" operator="greaterThan" allowBlank="1" showInputMessage="1" showErrorMessage="1" sqref="E8401">
      <formula1>0</formula1>
    </dataValidation>
    <dataValidation type="whole" operator="greaterThan" allowBlank="1" showInputMessage="1" showErrorMessage="1" sqref="A8402">
      <formula1>0</formula1>
    </dataValidation>
    <dataValidation type="list" allowBlank="1" showInputMessage="1" showErrorMessage="1" sqref="C8402">
      <formula1>UnidadesList</formula1>
    </dataValidation>
    <dataValidation type="decimal" operator="greaterThan" allowBlank="1" showInputMessage="1" showErrorMessage="1" sqref="D8402">
      <formula1>0</formula1>
    </dataValidation>
    <dataValidation type="decimal" operator="greaterThan" allowBlank="1" showInputMessage="1" showErrorMessage="1" sqref="E8402">
      <formula1>0</formula1>
    </dataValidation>
    <dataValidation type="whole" operator="greaterThan" allowBlank="1" showInputMessage="1" showErrorMessage="1" sqref="A8403">
      <formula1>0</formula1>
    </dataValidation>
    <dataValidation type="list" allowBlank="1" showInputMessage="1" showErrorMessage="1" sqref="C8403">
      <formula1>UnidadesList</formula1>
    </dataValidation>
    <dataValidation type="decimal" operator="greaterThan" allowBlank="1" showInputMessage="1" showErrorMessage="1" sqref="D8403">
      <formula1>0</formula1>
    </dataValidation>
    <dataValidation type="decimal" operator="greaterThan" allowBlank="1" showInputMessage="1" showErrorMessage="1" sqref="E8403">
      <formula1>0</formula1>
    </dataValidation>
    <dataValidation type="whole" operator="greaterThan" allowBlank="1" showInputMessage="1" showErrorMessage="1" sqref="A8404">
      <formula1>0</formula1>
    </dataValidation>
    <dataValidation type="list" allowBlank="1" showInputMessage="1" showErrorMessage="1" sqref="C8404">
      <formula1>UnidadesList</formula1>
    </dataValidation>
    <dataValidation type="decimal" operator="greaterThan" allowBlank="1" showInputMessage="1" showErrorMessage="1" sqref="D8404">
      <formula1>0</formula1>
    </dataValidation>
    <dataValidation type="decimal" operator="greaterThan" allowBlank="1" showInputMessage="1" showErrorMessage="1" sqref="E8404">
      <formula1>0</formula1>
    </dataValidation>
    <dataValidation type="whole" operator="greaterThan" allowBlank="1" showInputMessage="1" showErrorMessage="1" sqref="A8405">
      <formula1>0</formula1>
    </dataValidation>
    <dataValidation type="list" allowBlank="1" showInputMessage="1" showErrorMessage="1" sqref="C8405">
      <formula1>UnidadesList</formula1>
    </dataValidation>
    <dataValidation type="decimal" operator="greaterThan" allowBlank="1" showInputMessage="1" showErrorMessage="1" sqref="D8405">
      <formula1>0</formula1>
    </dataValidation>
    <dataValidation type="decimal" operator="greaterThan" allowBlank="1" showInputMessage="1" showErrorMessage="1" sqref="E8405">
      <formula1>0</formula1>
    </dataValidation>
    <dataValidation type="whole" operator="greaterThan" allowBlank="1" showInputMessage="1" showErrorMessage="1" sqref="A8406">
      <formula1>0</formula1>
    </dataValidation>
    <dataValidation type="list" allowBlank="1" showInputMessage="1" showErrorMessage="1" sqref="C8406">
      <formula1>UnidadesList</formula1>
    </dataValidation>
    <dataValidation type="decimal" operator="greaterThan" allowBlank="1" showInputMessage="1" showErrorMessage="1" sqref="D8406">
      <formula1>0</formula1>
    </dataValidation>
    <dataValidation type="decimal" operator="greaterThan" allowBlank="1" showInputMessage="1" showErrorMessage="1" sqref="E8406">
      <formula1>0</formula1>
    </dataValidation>
    <dataValidation type="whole" operator="greaterThan" allowBlank="1" showInputMessage="1" showErrorMessage="1" sqref="A8407">
      <formula1>0</formula1>
    </dataValidation>
    <dataValidation type="list" allowBlank="1" showInputMessage="1" showErrorMessage="1" sqref="C8407">
      <formula1>UnidadesList</formula1>
    </dataValidation>
    <dataValidation type="decimal" operator="greaterThan" allowBlank="1" showInputMessage="1" showErrorMessage="1" sqref="D8407">
      <formula1>0</formula1>
    </dataValidation>
    <dataValidation type="decimal" operator="greaterThan" allowBlank="1" showInputMessage="1" showErrorMessage="1" sqref="E8407">
      <formula1>0</formula1>
    </dataValidation>
    <dataValidation type="whole" operator="greaterThan" allowBlank="1" showInputMessage="1" showErrorMessage="1" sqref="A8408">
      <formula1>0</formula1>
    </dataValidation>
    <dataValidation type="list" allowBlank="1" showInputMessage="1" showErrorMessage="1" sqref="C8408">
      <formula1>UnidadesList</formula1>
    </dataValidation>
    <dataValidation type="decimal" operator="greaterThan" allowBlank="1" showInputMessage="1" showErrorMessage="1" sqref="D8408">
      <formula1>0</formula1>
    </dataValidation>
    <dataValidation type="decimal" operator="greaterThan" allowBlank="1" showInputMessage="1" showErrorMessage="1" sqref="E8408">
      <formula1>0</formula1>
    </dataValidation>
    <dataValidation type="whole" operator="greaterThan" allowBlank="1" showInputMessage="1" showErrorMessage="1" sqref="A8409">
      <formula1>0</formula1>
    </dataValidation>
    <dataValidation type="list" allowBlank="1" showInputMessage="1" showErrorMessage="1" sqref="C8409">
      <formula1>UnidadesList</formula1>
    </dataValidation>
    <dataValidation type="decimal" operator="greaterThan" allowBlank="1" showInputMessage="1" showErrorMessage="1" sqref="D8409">
      <formula1>0</formula1>
    </dataValidation>
    <dataValidation type="decimal" operator="greaterThan" allowBlank="1" showInputMessage="1" showErrorMessage="1" sqref="E8409">
      <formula1>0</formula1>
    </dataValidation>
    <dataValidation type="whole" operator="greaterThan" allowBlank="1" showInputMessage="1" showErrorMessage="1" sqref="A8410">
      <formula1>0</formula1>
    </dataValidation>
    <dataValidation type="list" allowBlank="1" showInputMessage="1" showErrorMessage="1" sqref="C8410">
      <formula1>UnidadesList</formula1>
    </dataValidation>
    <dataValidation type="decimal" operator="greaterThan" allowBlank="1" showInputMessage="1" showErrorMessage="1" sqref="D8410">
      <formula1>0</formula1>
    </dataValidation>
    <dataValidation type="decimal" operator="greaterThan" allowBlank="1" showInputMessage="1" showErrorMessage="1" sqref="E8410">
      <formula1>0</formula1>
    </dataValidation>
    <dataValidation type="whole" operator="greaterThan" allowBlank="1" showInputMessage="1" showErrorMessage="1" sqref="A8411">
      <formula1>0</formula1>
    </dataValidation>
    <dataValidation type="list" allowBlank="1" showInputMessage="1" showErrorMessage="1" sqref="C8411">
      <formula1>UnidadesList</formula1>
    </dataValidation>
    <dataValidation type="decimal" operator="greaterThan" allowBlank="1" showInputMessage="1" showErrorMessage="1" sqref="D8411">
      <formula1>0</formula1>
    </dataValidation>
    <dataValidation type="decimal" operator="greaterThan" allowBlank="1" showInputMessage="1" showErrorMessage="1" sqref="E8411">
      <formula1>0</formula1>
    </dataValidation>
    <dataValidation type="date" operator="lessThanOrEqual" allowBlank="1" showInputMessage="1" showErrorMessage="1" sqref="C8416">
      <formula1>C8418</formula1>
    </dataValidation>
    <dataValidation type="date" operator="greaterThanOrEqual" allowBlank="1" showInputMessage="1" showErrorMessage="1" sqref="C8418">
      <formula1>C8416</formula1>
    </dataValidation>
    <dataValidation type="list" allowBlank="1" showInputMessage="1" showErrorMessage="1" sqref="F841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41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41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1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22">
      <formula1>0</formula1>
    </dataValidation>
    <dataValidation type="list" allowBlank="1" showInputMessage="1" showErrorMessage="1" sqref="C8422">
      <formula1>UnidadesList</formula1>
    </dataValidation>
    <dataValidation type="decimal" operator="greaterThan" allowBlank="1" showInputMessage="1" showErrorMessage="1" sqref="D8422">
      <formula1>0</formula1>
    </dataValidation>
    <dataValidation type="decimal" operator="greaterThan" allowBlank="1" showInputMessage="1" showErrorMessage="1" sqref="E8422">
      <formula1>0</formula1>
    </dataValidation>
    <dataValidation type="whole" operator="greaterThan" allowBlank="1" showInputMessage="1" showErrorMessage="1" sqref="A8423">
      <formula1>0</formula1>
    </dataValidation>
    <dataValidation type="list" allowBlank="1" showInputMessage="1" showErrorMessage="1" sqref="C8423">
      <formula1>UnidadesList</formula1>
    </dataValidation>
    <dataValidation type="decimal" operator="greaterThan" allowBlank="1" showInputMessage="1" showErrorMessage="1" sqref="D8423">
      <formula1>0</formula1>
    </dataValidation>
    <dataValidation type="decimal" operator="greaterThan" allowBlank="1" showInputMessage="1" showErrorMessage="1" sqref="E8423">
      <formula1>0</formula1>
    </dataValidation>
    <dataValidation type="whole" operator="greaterThan" allowBlank="1" showInputMessage="1" showErrorMessage="1" sqref="A8424">
      <formula1>0</formula1>
    </dataValidation>
    <dataValidation type="list" allowBlank="1" showInputMessage="1" showErrorMessage="1" sqref="C8424">
      <formula1>UnidadesList</formula1>
    </dataValidation>
    <dataValidation type="decimal" operator="greaterThan" allowBlank="1" showInputMessage="1" showErrorMessage="1" sqref="D8424">
      <formula1>0</formula1>
    </dataValidation>
    <dataValidation type="decimal" operator="greaterThan" allowBlank="1" showInputMessage="1" showErrorMessage="1" sqref="E8424">
      <formula1>0</formula1>
    </dataValidation>
    <dataValidation type="whole" operator="greaterThan" allowBlank="1" showInputMessage="1" showErrorMessage="1" sqref="A8425">
      <formula1>0</formula1>
    </dataValidation>
    <dataValidation type="list" allowBlank="1" showInputMessage="1" showErrorMessage="1" sqref="C8425">
      <formula1>UnidadesList</formula1>
    </dataValidation>
    <dataValidation type="decimal" operator="greaterThan" allowBlank="1" showInputMessage="1" showErrorMessage="1" sqref="D8425">
      <formula1>0</formula1>
    </dataValidation>
    <dataValidation type="decimal" operator="greaterThan" allowBlank="1" showInputMessage="1" showErrorMessage="1" sqref="E8425">
      <formula1>0</formula1>
    </dataValidation>
    <dataValidation type="whole" operator="greaterThan" allowBlank="1" showInputMessage="1" showErrorMessage="1" sqref="A8426">
      <formula1>0</formula1>
    </dataValidation>
    <dataValidation type="list" allowBlank="1" showInputMessage="1" showErrorMessage="1" sqref="C8426">
      <formula1>UnidadesList</formula1>
    </dataValidation>
    <dataValidation type="decimal" operator="greaterThan" allowBlank="1" showInputMessage="1" showErrorMessage="1" sqref="D8426">
      <formula1>0</formula1>
    </dataValidation>
    <dataValidation type="decimal" operator="greaterThan" allowBlank="1" showInputMessage="1" showErrorMessage="1" sqref="E8426">
      <formula1>0</formula1>
    </dataValidation>
    <dataValidation type="whole" operator="greaterThan" allowBlank="1" showInputMessage="1" showErrorMessage="1" sqref="A8427">
      <formula1>0</formula1>
    </dataValidation>
    <dataValidation type="list" allowBlank="1" showInputMessage="1" showErrorMessage="1" sqref="C8427">
      <formula1>UnidadesList</formula1>
    </dataValidation>
    <dataValidation type="decimal" operator="greaterThan" allowBlank="1" showInputMessage="1" showErrorMessage="1" sqref="D8427">
      <formula1>0</formula1>
    </dataValidation>
    <dataValidation type="decimal" operator="greaterThan" allowBlank="1" showInputMessage="1" showErrorMessage="1" sqref="E8427">
      <formula1>0</formula1>
    </dataValidation>
    <dataValidation type="whole" operator="greaterThan" allowBlank="1" showInputMessage="1" showErrorMessage="1" sqref="A8428">
      <formula1>0</formula1>
    </dataValidation>
    <dataValidation type="list" allowBlank="1" showInputMessage="1" showErrorMessage="1" sqref="C8428">
      <formula1>UnidadesList</formula1>
    </dataValidation>
    <dataValidation type="decimal" operator="greaterThan" allowBlank="1" showInputMessage="1" showErrorMessage="1" sqref="D8428">
      <formula1>0</formula1>
    </dataValidation>
    <dataValidation type="decimal" operator="greaterThan" allowBlank="1" showInputMessage="1" showErrorMessage="1" sqref="E8428">
      <formula1>0</formula1>
    </dataValidation>
    <dataValidation type="whole" operator="greaterThan" allowBlank="1" showInputMessage="1" showErrorMessage="1" sqref="A8429">
      <formula1>0</formula1>
    </dataValidation>
    <dataValidation type="list" allowBlank="1" showInputMessage="1" showErrorMessage="1" sqref="C8429">
      <formula1>UnidadesList</formula1>
    </dataValidation>
    <dataValidation type="decimal" operator="greaterThan" allowBlank="1" showInputMessage="1" showErrorMessage="1" sqref="D8429">
      <formula1>0</formula1>
    </dataValidation>
    <dataValidation type="decimal" operator="greaterThan" allowBlank="1" showInputMessage="1" showErrorMessage="1" sqref="E8429">
      <formula1>0</formula1>
    </dataValidation>
    <dataValidation type="whole" operator="greaterThan" allowBlank="1" showInputMessage="1" showErrorMessage="1" sqref="A8430">
      <formula1>0</formula1>
    </dataValidation>
    <dataValidation type="list" allowBlank="1" showInputMessage="1" showErrorMessage="1" sqref="C8430">
      <formula1>UnidadesList</formula1>
    </dataValidation>
    <dataValidation type="decimal" operator="greaterThan" allowBlank="1" showInputMessage="1" showErrorMessage="1" sqref="D8430">
      <formula1>0</formula1>
    </dataValidation>
    <dataValidation type="decimal" operator="greaterThan" allowBlank="1" showInputMessage="1" showErrorMessage="1" sqref="E8430">
      <formula1>0</formula1>
    </dataValidation>
    <dataValidation type="whole" operator="greaterThan" allowBlank="1" showInputMessage="1" showErrorMessage="1" sqref="A8431">
      <formula1>0</formula1>
    </dataValidation>
    <dataValidation type="list" allowBlank="1" showInputMessage="1" showErrorMessage="1" sqref="C8431">
      <formula1>UnidadesList</formula1>
    </dataValidation>
    <dataValidation type="decimal" operator="greaterThan" allowBlank="1" showInputMessage="1" showErrorMessage="1" sqref="D8431">
      <formula1>0</formula1>
    </dataValidation>
    <dataValidation type="decimal" operator="greaterThan" allowBlank="1" showInputMessage="1" showErrorMessage="1" sqref="E8431">
      <formula1>0</formula1>
    </dataValidation>
    <dataValidation type="whole" operator="greaterThan" allowBlank="1" showInputMessage="1" showErrorMessage="1" sqref="A8432">
      <formula1>0</formula1>
    </dataValidation>
    <dataValidation type="list" allowBlank="1" showInputMessage="1" showErrorMessage="1" sqref="C8432">
      <formula1>UnidadesList</formula1>
    </dataValidation>
    <dataValidation type="decimal" operator="greaterThan" allowBlank="1" showInputMessage="1" showErrorMessage="1" sqref="D8432">
      <formula1>0</formula1>
    </dataValidation>
    <dataValidation type="decimal" operator="greaterThan" allowBlank="1" showInputMessage="1" showErrorMessage="1" sqref="E8432">
      <formula1>0</formula1>
    </dataValidation>
    <dataValidation type="whole" operator="greaterThan" allowBlank="1" showInputMessage="1" showErrorMessage="1" sqref="A8433">
      <formula1>0</formula1>
    </dataValidation>
    <dataValidation type="list" allowBlank="1" showInputMessage="1" showErrorMessage="1" sqref="C8433">
      <formula1>UnidadesList</formula1>
    </dataValidation>
    <dataValidation type="decimal" operator="greaterThan" allowBlank="1" showInputMessage="1" showErrorMessage="1" sqref="D8433">
      <formula1>0</formula1>
    </dataValidation>
    <dataValidation type="decimal" operator="greaterThan" allowBlank="1" showInputMessage="1" showErrorMessage="1" sqref="E8433">
      <formula1>0</formula1>
    </dataValidation>
    <dataValidation type="whole" operator="greaterThan" allowBlank="1" showInputMessage="1" showErrorMessage="1" sqref="A8434">
      <formula1>0</formula1>
    </dataValidation>
    <dataValidation type="list" allowBlank="1" showInputMessage="1" showErrorMessage="1" sqref="C8434">
      <formula1>UnidadesList</formula1>
    </dataValidation>
    <dataValidation type="decimal" operator="greaterThan" allowBlank="1" showInputMessage="1" showErrorMessage="1" sqref="D8434">
      <formula1>0</formula1>
    </dataValidation>
    <dataValidation type="decimal" operator="greaterThan" allowBlank="1" showInputMessage="1" showErrorMessage="1" sqref="E8434">
      <formula1>0</formula1>
    </dataValidation>
    <dataValidation type="whole" operator="greaterThan" allowBlank="1" showInputMessage="1" showErrorMessage="1" sqref="A8435">
      <formula1>0</formula1>
    </dataValidation>
    <dataValidation type="list" allowBlank="1" showInputMessage="1" showErrorMessage="1" sqref="C8435">
      <formula1>UnidadesList</formula1>
    </dataValidation>
    <dataValidation type="decimal" operator="greaterThan" allowBlank="1" showInputMessage="1" showErrorMessage="1" sqref="D8435">
      <formula1>0</formula1>
    </dataValidation>
    <dataValidation type="decimal" operator="greaterThan" allowBlank="1" showInputMessage="1" showErrorMessage="1" sqref="E8435">
      <formula1>0</formula1>
    </dataValidation>
    <dataValidation type="whole" operator="greaterThan" allowBlank="1" showInputMessage="1" showErrorMessage="1" sqref="A8436">
      <formula1>0</formula1>
    </dataValidation>
    <dataValidation type="list" allowBlank="1" showInputMessage="1" showErrorMessage="1" sqref="C8436">
      <formula1>UnidadesList</formula1>
    </dataValidation>
    <dataValidation type="decimal" operator="greaterThan" allowBlank="1" showInputMessage="1" showErrorMessage="1" sqref="D8436">
      <formula1>0</formula1>
    </dataValidation>
    <dataValidation type="decimal" operator="greaterThan" allowBlank="1" showInputMessage="1" showErrorMessage="1" sqref="E8436">
      <formula1>0</formula1>
    </dataValidation>
    <dataValidation type="whole" operator="greaterThan" allowBlank="1" showInputMessage="1" showErrorMessage="1" sqref="A8437">
      <formula1>0</formula1>
    </dataValidation>
    <dataValidation type="list" allowBlank="1" showInputMessage="1" showErrorMessage="1" sqref="C8437">
      <formula1>UnidadesList</formula1>
    </dataValidation>
    <dataValidation type="decimal" operator="greaterThan" allowBlank="1" showInputMessage="1" showErrorMessage="1" sqref="D8437">
      <formula1>0</formula1>
    </dataValidation>
    <dataValidation type="decimal" operator="greaterThan" allowBlank="1" showInputMessage="1" showErrorMessage="1" sqref="E8437">
      <formula1>0</formula1>
    </dataValidation>
    <dataValidation type="whole" operator="greaterThan" allowBlank="1" showInputMessage="1" showErrorMessage="1" sqref="A8438">
      <formula1>0</formula1>
    </dataValidation>
    <dataValidation type="list" allowBlank="1" showInputMessage="1" showErrorMessage="1" sqref="C8438">
      <formula1>UnidadesList</formula1>
    </dataValidation>
    <dataValidation type="decimal" operator="greaterThan" allowBlank="1" showInputMessage="1" showErrorMessage="1" sqref="D8438">
      <formula1>0</formula1>
    </dataValidation>
    <dataValidation type="decimal" operator="greaterThan" allowBlank="1" showInputMessage="1" showErrorMessage="1" sqref="E8438">
      <formula1>0</formula1>
    </dataValidation>
    <dataValidation type="whole" operator="greaterThan" allowBlank="1" showInputMessage="1" showErrorMessage="1" sqref="A8439">
      <formula1>0</formula1>
    </dataValidation>
    <dataValidation type="list" allowBlank="1" showInputMessage="1" showErrorMessage="1" sqref="C8439">
      <formula1>UnidadesList</formula1>
    </dataValidation>
    <dataValidation type="decimal" operator="greaterThan" allowBlank="1" showInputMessage="1" showErrorMessage="1" sqref="D8439">
      <formula1>0</formula1>
    </dataValidation>
    <dataValidation type="decimal" operator="greaterThan" allowBlank="1" showInputMessage="1" showErrorMessage="1" sqref="E8439">
      <formula1>0</formula1>
    </dataValidation>
    <dataValidation type="whole" operator="greaterThan" allowBlank="1" showInputMessage="1" showErrorMessage="1" sqref="A8440">
      <formula1>0</formula1>
    </dataValidation>
    <dataValidation type="list" allowBlank="1" showInputMessage="1" showErrorMessage="1" sqref="C8440">
      <formula1>UnidadesList</formula1>
    </dataValidation>
    <dataValidation type="decimal" operator="greaterThan" allowBlank="1" showInputMessage="1" showErrorMessage="1" sqref="D8440">
      <formula1>0</formula1>
    </dataValidation>
    <dataValidation type="decimal" operator="greaterThan" allowBlank="1" showInputMessage="1" showErrorMessage="1" sqref="E8440">
      <formula1>0</formula1>
    </dataValidation>
    <dataValidation type="whole" operator="greaterThan" allowBlank="1" showInputMessage="1" showErrorMessage="1" sqref="A8441">
      <formula1>0</formula1>
    </dataValidation>
    <dataValidation type="list" allowBlank="1" showInputMessage="1" showErrorMessage="1" sqref="C8441">
      <formula1>UnidadesList</formula1>
    </dataValidation>
    <dataValidation type="decimal" operator="greaterThan" allowBlank="1" showInputMessage="1" showErrorMessage="1" sqref="D8441">
      <formula1>0</formula1>
    </dataValidation>
    <dataValidation type="decimal" operator="greaterThan" allowBlank="1" showInputMessage="1" showErrorMessage="1" sqref="E8441">
      <formula1>0</formula1>
    </dataValidation>
    <dataValidation type="whole" operator="greaterThan" allowBlank="1" showInputMessage="1" showErrorMessage="1" sqref="A8442">
      <formula1>0</formula1>
    </dataValidation>
    <dataValidation type="list" allowBlank="1" showInputMessage="1" showErrorMessage="1" sqref="C8442">
      <formula1>UnidadesList</formula1>
    </dataValidation>
    <dataValidation type="decimal" operator="greaterThan" allowBlank="1" showInputMessage="1" showErrorMessage="1" sqref="D8442">
      <formula1>0</formula1>
    </dataValidation>
    <dataValidation type="decimal" operator="greaterThan" allowBlank="1" showInputMessage="1" showErrorMessage="1" sqref="E8442">
      <formula1>0</formula1>
    </dataValidation>
    <dataValidation type="whole" operator="greaterThan" allowBlank="1" showInputMessage="1" showErrorMessage="1" sqref="A8443">
      <formula1>0</formula1>
    </dataValidation>
    <dataValidation type="list" allowBlank="1" showInputMessage="1" showErrorMessage="1" sqref="C8443">
      <formula1>UnidadesList</formula1>
    </dataValidation>
    <dataValidation type="decimal" operator="greaterThan" allowBlank="1" showInputMessage="1" showErrorMessage="1" sqref="D8443">
      <formula1>0</formula1>
    </dataValidation>
    <dataValidation type="decimal" operator="greaterThan" allowBlank="1" showInputMessage="1" showErrorMessage="1" sqref="E8443">
      <formula1>0</formula1>
    </dataValidation>
    <dataValidation type="whole" operator="greaterThan" allowBlank="1" showInputMessage="1" showErrorMessage="1" sqref="A8444">
      <formula1>0</formula1>
    </dataValidation>
    <dataValidation type="list" allowBlank="1" showInputMessage="1" showErrorMessage="1" sqref="C8444">
      <formula1>UnidadesList</formula1>
    </dataValidation>
    <dataValidation type="decimal" operator="greaterThan" allowBlank="1" showInputMessage="1" showErrorMessage="1" sqref="D8444">
      <formula1>0</formula1>
    </dataValidation>
    <dataValidation type="decimal" operator="greaterThan" allowBlank="1" showInputMessage="1" showErrorMessage="1" sqref="E8444">
      <formula1>0</formula1>
    </dataValidation>
    <dataValidation type="whole" operator="greaterThan" allowBlank="1" showInputMessage="1" showErrorMessage="1" sqref="A8445">
      <formula1>0</formula1>
    </dataValidation>
    <dataValidation type="list" allowBlank="1" showInputMessage="1" showErrorMessage="1" sqref="C8445">
      <formula1>UnidadesList</formula1>
    </dataValidation>
    <dataValidation type="decimal" operator="greaterThan" allowBlank="1" showInputMessage="1" showErrorMessage="1" sqref="D8445">
      <formula1>0</formula1>
    </dataValidation>
    <dataValidation type="decimal" operator="greaterThan" allowBlank="1" showInputMessage="1" showErrorMessage="1" sqref="E8445">
      <formula1>0</formula1>
    </dataValidation>
    <dataValidation type="whole" operator="greaterThan" allowBlank="1" showInputMessage="1" showErrorMessage="1" sqref="A8446">
      <formula1>0</formula1>
    </dataValidation>
    <dataValidation type="list" allowBlank="1" showInputMessage="1" showErrorMessage="1" sqref="C8446">
      <formula1>UnidadesList</formula1>
    </dataValidation>
    <dataValidation type="decimal" operator="greaterThan" allowBlank="1" showInputMessage="1" showErrorMessage="1" sqref="D8446">
      <formula1>0</formula1>
    </dataValidation>
    <dataValidation type="decimal" operator="greaterThan" allowBlank="1" showInputMessage="1" showErrorMessage="1" sqref="E8446">
      <formula1>0</formula1>
    </dataValidation>
    <dataValidation type="whole" operator="greaterThan" allowBlank="1" showInputMessage="1" showErrorMessage="1" sqref="A8447">
      <formula1>0</formula1>
    </dataValidation>
    <dataValidation type="list" allowBlank="1" showInputMessage="1" showErrorMessage="1" sqref="C8447">
      <formula1>UnidadesList</formula1>
    </dataValidation>
    <dataValidation type="decimal" operator="greaterThan" allowBlank="1" showInputMessage="1" showErrorMessage="1" sqref="D8447">
      <formula1>0</formula1>
    </dataValidation>
    <dataValidation type="decimal" operator="greaterThan" allowBlank="1" showInputMessage="1" showErrorMessage="1" sqref="E8447">
      <formula1>0</formula1>
    </dataValidation>
    <dataValidation type="whole" operator="greaterThan" allowBlank="1" showInputMessage="1" showErrorMessage="1" sqref="A8448">
      <formula1>0</formula1>
    </dataValidation>
    <dataValidation type="list" allowBlank="1" showInputMessage="1" showErrorMessage="1" sqref="C8448">
      <formula1>UnidadesList</formula1>
    </dataValidation>
    <dataValidation type="decimal" operator="greaterThan" allowBlank="1" showInputMessage="1" showErrorMessage="1" sqref="D8448">
      <formula1>0</formula1>
    </dataValidation>
    <dataValidation type="decimal" operator="greaterThan" allowBlank="1" showInputMessage="1" showErrorMessage="1" sqref="E8448">
      <formula1>0</formula1>
    </dataValidation>
    <dataValidation type="date" operator="lessThanOrEqual" allowBlank="1" showInputMessage="1" showErrorMessage="1" sqref="C8453">
      <formula1>C8455</formula1>
    </dataValidation>
    <dataValidation type="date" operator="greaterThanOrEqual" allowBlank="1" showInputMessage="1" showErrorMessage="1" sqref="C8455">
      <formula1>C8453</formula1>
    </dataValidation>
    <dataValidation type="list" allowBlank="1" showInputMessage="1" showErrorMessage="1" sqref="F845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45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45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5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59">
      <formula1>0</formula1>
    </dataValidation>
    <dataValidation type="list" allowBlank="1" showInputMessage="1" showErrorMessage="1" sqref="C8459">
      <formula1>UnidadesList</formula1>
    </dataValidation>
    <dataValidation type="decimal" operator="greaterThan" allowBlank="1" showInputMessage="1" showErrorMessage="1" sqref="D8459">
      <formula1>0</formula1>
    </dataValidation>
    <dataValidation type="decimal" operator="greaterThan" allowBlank="1" showInputMessage="1" showErrorMessage="1" sqref="E8459">
      <formula1>0</formula1>
    </dataValidation>
    <dataValidation type="whole" operator="greaterThan" allowBlank="1" showInputMessage="1" showErrorMessage="1" sqref="A8460">
      <formula1>0</formula1>
    </dataValidation>
    <dataValidation type="list" allowBlank="1" showInputMessage="1" showErrorMessage="1" sqref="C8460">
      <formula1>UnidadesList</formula1>
    </dataValidation>
    <dataValidation type="decimal" operator="greaterThan" allowBlank="1" showInputMessage="1" showErrorMessage="1" sqref="D8460">
      <formula1>0</formula1>
    </dataValidation>
    <dataValidation type="decimal" operator="greaterThan" allowBlank="1" showInputMessage="1" showErrorMessage="1" sqref="E8460">
      <formula1>0</formula1>
    </dataValidation>
    <dataValidation type="whole" operator="greaterThan" allowBlank="1" showInputMessage="1" showErrorMessage="1" sqref="A8461">
      <formula1>0</formula1>
    </dataValidation>
    <dataValidation type="list" allowBlank="1" showInputMessage="1" showErrorMessage="1" sqref="C8461">
      <formula1>UnidadesList</formula1>
    </dataValidation>
    <dataValidation type="decimal" operator="greaterThan" allowBlank="1" showInputMessage="1" showErrorMessage="1" sqref="D8461">
      <formula1>0</formula1>
    </dataValidation>
    <dataValidation type="decimal" operator="greaterThan" allowBlank="1" showInputMessage="1" showErrorMessage="1" sqref="E8461">
      <formula1>0</formula1>
    </dataValidation>
    <dataValidation type="whole" operator="greaterThan" allowBlank="1" showInputMessage="1" showErrorMessage="1" sqref="A8462">
      <formula1>0</formula1>
    </dataValidation>
    <dataValidation type="list" allowBlank="1" showInputMessage="1" showErrorMessage="1" sqref="C8462">
      <formula1>UnidadesList</formula1>
    </dataValidation>
    <dataValidation type="decimal" operator="greaterThan" allowBlank="1" showInputMessage="1" showErrorMessage="1" sqref="D8462">
      <formula1>0</formula1>
    </dataValidation>
    <dataValidation type="decimal" operator="greaterThan" allowBlank="1" showInputMessage="1" showErrorMessage="1" sqref="E8462">
      <formula1>0</formula1>
    </dataValidation>
    <dataValidation type="whole" operator="greaterThan" allowBlank="1" showInputMessage="1" showErrorMessage="1" sqref="A8463">
      <formula1>0</formula1>
    </dataValidation>
    <dataValidation type="list" allowBlank="1" showInputMessage="1" showErrorMessage="1" sqref="C8463">
      <formula1>UnidadesList</formula1>
    </dataValidation>
    <dataValidation type="decimal" operator="greaterThan" allowBlank="1" showInputMessage="1" showErrorMessage="1" sqref="D8463">
      <formula1>0</formula1>
    </dataValidation>
    <dataValidation type="decimal" operator="greaterThan" allowBlank="1" showInputMessage="1" showErrorMessage="1" sqref="E8463">
      <formula1>0</formula1>
    </dataValidation>
    <dataValidation type="whole" operator="greaterThan" allowBlank="1" showInputMessage="1" showErrorMessage="1" sqref="A8464">
      <formula1>0</formula1>
    </dataValidation>
    <dataValidation type="list" allowBlank="1" showInputMessage="1" showErrorMessage="1" sqref="C8464">
      <formula1>UnidadesList</formula1>
    </dataValidation>
    <dataValidation type="decimal" operator="greaterThan" allowBlank="1" showInputMessage="1" showErrorMessage="1" sqref="D8464">
      <formula1>0</formula1>
    </dataValidation>
    <dataValidation type="decimal" operator="greaterThan" allowBlank="1" showInputMessage="1" showErrorMessage="1" sqref="E8464">
      <formula1>0</formula1>
    </dataValidation>
    <dataValidation type="whole" operator="greaterThan" allowBlank="1" showInputMessage="1" showErrorMessage="1" sqref="A8465">
      <formula1>0</formula1>
    </dataValidation>
    <dataValidation type="list" allowBlank="1" showInputMessage="1" showErrorMessage="1" sqref="C8465">
      <formula1>UnidadesList</formula1>
    </dataValidation>
    <dataValidation type="decimal" operator="greaterThan" allowBlank="1" showInputMessage="1" showErrorMessage="1" sqref="D8465">
      <formula1>0</formula1>
    </dataValidation>
    <dataValidation type="decimal" operator="greaterThan" allowBlank="1" showInputMessage="1" showErrorMessage="1" sqref="E8465">
      <formula1>0</formula1>
    </dataValidation>
    <dataValidation type="whole" operator="greaterThan" allowBlank="1" showInputMessage="1" showErrorMessage="1" sqref="A8466">
      <formula1>0</formula1>
    </dataValidation>
    <dataValidation type="list" allowBlank="1" showInputMessage="1" showErrorMessage="1" sqref="C8466">
      <formula1>UnidadesList</formula1>
    </dataValidation>
    <dataValidation type="decimal" operator="greaterThan" allowBlank="1" showInputMessage="1" showErrorMessage="1" sqref="D8466">
      <formula1>0</formula1>
    </dataValidation>
    <dataValidation type="decimal" operator="greaterThan" allowBlank="1" showInputMessage="1" showErrorMessage="1" sqref="E8466">
      <formula1>0</formula1>
    </dataValidation>
    <dataValidation type="whole" operator="greaterThan" allowBlank="1" showInputMessage="1" showErrorMessage="1" sqref="A8467">
      <formula1>0</formula1>
    </dataValidation>
    <dataValidation type="list" allowBlank="1" showInputMessage="1" showErrorMessage="1" sqref="C8467">
      <formula1>UnidadesList</formula1>
    </dataValidation>
    <dataValidation type="decimal" operator="greaterThan" allowBlank="1" showInputMessage="1" showErrorMessage="1" sqref="D8467">
      <formula1>0</formula1>
    </dataValidation>
    <dataValidation type="decimal" operator="greaterThan" allowBlank="1" showInputMessage="1" showErrorMessage="1" sqref="E8467">
      <formula1>0</formula1>
    </dataValidation>
    <dataValidation type="whole" operator="greaterThan" allowBlank="1" showInputMessage="1" showErrorMessage="1" sqref="A8468">
      <formula1>0</formula1>
    </dataValidation>
    <dataValidation type="list" allowBlank="1" showInputMessage="1" showErrorMessage="1" sqref="C8468">
      <formula1>UnidadesList</formula1>
    </dataValidation>
    <dataValidation type="decimal" operator="greaterThan" allowBlank="1" showInputMessage="1" showErrorMessage="1" sqref="D8468">
      <formula1>0</formula1>
    </dataValidation>
    <dataValidation type="decimal" operator="greaterThan" allowBlank="1" showInputMessage="1" showErrorMessage="1" sqref="E8468">
      <formula1>0</formula1>
    </dataValidation>
    <dataValidation type="whole" operator="greaterThan" allowBlank="1" showInputMessage="1" showErrorMessage="1" sqref="A8469">
      <formula1>0</formula1>
    </dataValidation>
    <dataValidation type="list" allowBlank="1" showInputMessage="1" showErrorMessage="1" sqref="C8469">
      <formula1>UnidadesList</formula1>
    </dataValidation>
    <dataValidation type="decimal" operator="greaterThan" allowBlank="1" showInputMessage="1" showErrorMessage="1" sqref="D8469">
      <formula1>0</formula1>
    </dataValidation>
    <dataValidation type="decimal" operator="greaterThan" allowBlank="1" showInputMessage="1" showErrorMessage="1" sqref="E8469">
      <formula1>0</formula1>
    </dataValidation>
    <dataValidation type="whole" operator="greaterThan" allowBlank="1" showInputMessage="1" showErrorMessage="1" sqref="A8470">
      <formula1>0</formula1>
    </dataValidation>
    <dataValidation type="list" allowBlank="1" showInputMessage="1" showErrorMessage="1" sqref="C8470">
      <formula1>UnidadesList</formula1>
    </dataValidation>
    <dataValidation type="decimal" operator="greaterThan" allowBlank="1" showInputMessage="1" showErrorMessage="1" sqref="D8470">
      <formula1>0</formula1>
    </dataValidation>
    <dataValidation type="decimal" operator="greaterThan" allowBlank="1" showInputMessage="1" showErrorMessage="1" sqref="E8470">
      <formula1>0</formula1>
    </dataValidation>
    <dataValidation type="whole" operator="greaterThan" allowBlank="1" showInputMessage="1" showErrorMessage="1" sqref="A8471">
      <formula1>0</formula1>
    </dataValidation>
    <dataValidation type="list" allowBlank="1" showInputMessage="1" showErrorMessage="1" sqref="C8471">
      <formula1>UnidadesList</formula1>
    </dataValidation>
    <dataValidation type="decimal" operator="greaterThan" allowBlank="1" showInputMessage="1" showErrorMessage="1" sqref="D8471">
      <formula1>0</formula1>
    </dataValidation>
    <dataValidation type="decimal" operator="greaterThan" allowBlank="1" showInputMessage="1" showErrorMessage="1" sqref="E8471">
      <formula1>0</formula1>
    </dataValidation>
    <dataValidation type="whole" operator="greaterThan" allowBlank="1" showInputMessage="1" showErrorMessage="1" sqref="A8472">
      <formula1>0</formula1>
    </dataValidation>
    <dataValidation type="list" allowBlank="1" showInputMessage="1" showErrorMessage="1" sqref="C8472">
      <formula1>UnidadesList</formula1>
    </dataValidation>
    <dataValidation type="decimal" operator="greaterThan" allowBlank="1" showInputMessage="1" showErrorMessage="1" sqref="D8472">
      <formula1>0</formula1>
    </dataValidation>
    <dataValidation type="decimal" operator="greaterThan" allowBlank="1" showInputMessage="1" showErrorMessage="1" sqref="E8472">
      <formula1>0</formula1>
    </dataValidation>
    <dataValidation type="whole" operator="greaterThan" allowBlank="1" showInputMessage="1" showErrorMessage="1" sqref="A8473">
      <formula1>0</formula1>
    </dataValidation>
    <dataValidation type="list" allowBlank="1" showInputMessage="1" showErrorMessage="1" sqref="C8473">
      <formula1>UnidadesList</formula1>
    </dataValidation>
    <dataValidation type="decimal" operator="greaterThan" allowBlank="1" showInputMessage="1" showErrorMessage="1" sqref="D8473">
      <formula1>0</formula1>
    </dataValidation>
    <dataValidation type="decimal" operator="greaterThan" allowBlank="1" showInputMessage="1" showErrorMessage="1" sqref="E8473">
      <formula1>0</formula1>
    </dataValidation>
    <dataValidation type="whole" operator="greaterThan" allowBlank="1" showInputMessage="1" showErrorMessage="1" sqref="A8474">
      <formula1>0</formula1>
    </dataValidation>
    <dataValidation type="list" allowBlank="1" showInputMessage="1" showErrorMessage="1" sqref="C8474">
      <formula1>UnidadesList</formula1>
    </dataValidation>
    <dataValidation type="decimal" operator="greaterThan" allowBlank="1" showInputMessage="1" showErrorMessage="1" sqref="D8474">
      <formula1>0</formula1>
    </dataValidation>
    <dataValidation type="decimal" operator="greaterThan" allowBlank="1" showInputMessage="1" showErrorMessage="1" sqref="E8474">
      <formula1>0</formula1>
    </dataValidation>
    <dataValidation type="whole" operator="greaterThan" allowBlank="1" showInputMessage="1" showErrorMessage="1" sqref="A8475">
      <formula1>0</formula1>
    </dataValidation>
    <dataValidation type="list" allowBlank="1" showInputMessage="1" showErrorMessage="1" sqref="C8475">
      <formula1>UnidadesList</formula1>
    </dataValidation>
    <dataValidation type="decimal" operator="greaterThan" allowBlank="1" showInputMessage="1" showErrorMessage="1" sqref="D8475">
      <formula1>0</formula1>
    </dataValidation>
    <dataValidation type="decimal" operator="greaterThan" allowBlank="1" showInputMessage="1" showErrorMessage="1" sqref="E8475">
      <formula1>0</formula1>
    </dataValidation>
    <dataValidation type="whole" operator="greaterThan" allowBlank="1" showInputMessage="1" showErrorMessage="1" sqref="A8476">
      <formula1>0</formula1>
    </dataValidation>
    <dataValidation type="list" allowBlank="1" showInputMessage="1" showErrorMessage="1" sqref="C8476">
      <formula1>UnidadesList</formula1>
    </dataValidation>
    <dataValidation type="decimal" operator="greaterThan" allowBlank="1" showInputMessage="1" showErrorMessage="1" sqref="D8476">
      <formula1>0</formula1>
    </dataValidation>
    <dataValidation type="decimal" operator="greaterThan" allowBlank="1" showInputMessage="1" showErrorMessage="1" sqref="E8476">
      <formula1>0</formula1>
    </dataValidation>
    <dataValidation type="whole" operator="greaterThan" allowBlank="1" showInputMessage="1" showErrorMessage="1" sqref="A8477">
      <formula1>0</formula1>
    </dataValidation>
    <dataValidation type="list" allowBlank="1" showInputMessage="1" showErrorMessage="1" sqref="C8477">
      <formula1>UnidadesList</formula1>
    </dataValidation>
    <dataValidation type="decimal" operator="greaterThan" allowBlank="1" showInputMessage="1" showErrorMessage="1" sqref="D8477">
      <formula1>0</formula1>
    </dataValidation>
    <dataValidation type="decimal" operator="greaterThan" allowBlank="1" showInputMessage="1" showErrorMessage="1" sqref="E8477">
      <formula1>0</formula1>
    </dataValidation>
    <dataValidation type="whole" operator="greaterThan" allowBlank="1" showInputMessage="1" showErrorMessage="1" sqref="A8478">
      <formula1>0</formula1>
    </dataValidation>
    <dataValidation type="list" allowBlank="1" showInputMessage="1" showErrorMessage="1" sqref="C8478">
      <formula1>UnidadesList</formula1>
    </dataValidation>
    <dataValidation type="decimal" operator="greaterThan" allowBlank="1" showInputMessage="1" showErrorMessage="1" sqref="D8478">
      <formula1>0</formula1>
    </dataValidation>
    <dataValidation type="decimal" operator="greaterThan" allowBlank="1" showInputMessage="1" showErrorMessage="1" sqref="E8478">
      <formula1>0</formula1>
    </dataValidation>
    <dataValidation type="whole" operator="greaterThan" allowBlank="1" showInputMessage="1" showErrorMessage="1" sqref="A8479">
      <formula1>0</formula1>
    </dataValidation>
    <dataValidation type="list" allowBlank="1" showInputMessage="1" showErrorMessage="1" sqref="C8479">
      <formula1>UnidadesList</formula1>
    </dataValidation>
    <dataValidation type="decimal" operator="greaterThan" allowBlank="1" showInputMessage="1" showErrorMessage="1" sqref="D8479">
      <formula1>0</formula1>
    </dataValidation>
    <dataValidation type="decimal" operator="greaterThan" allowBlank="1" showInputMessage="1" showErrorMessage="1" sqref="E8479">
      <formula1>0</formula1>
    </dataValidation>
    <dataValidation type="whole" operator="greaterThan" allowBlank="1" showInputMessage="1" showErrorMessage="1" sqref="A8480">
      <formula1>0</formula1>
    </dataValidation>
    <dataValidation type="list" allowBlank="1" showInputMessage="1" showErrorMessage="1" sqref="C8480">
      <formula1>UnidadesList</formula1>
    </dataValidation>
    <dataValidation type="decimal" operator="greaterThan" allowBlank="1" showInputMessage="1" showErrorMessage="1" sqref="D8480">
      <formula1>0</formula1>
    </dataValidation>
    <dataValidation type="decimal" operator="greaterThan" allowBlank="1" showInputMessage="1" showErrorMessage="1" sqref="E8480">
      <formula1>0</formula1>
    </dataValidation>
    <dataValidation type="whole" operator="greaterThan" allowBlank="1" showInputMessage="1" showErrorMessage="1" sqref="A8481">
      <formula1>0</formula1>
    </dataValidation>
    <dataValidation type="list" allowBlank="1" showInputMessage="1" showErrorMessage="1" sqref="C8481">
      <formula1>UnidadesList</formula1>
    </dataValidation>
    <dataValidation type="decimal" operator="greaterThan" allowBlank="1" showInputMessage="1" showErrorMessage="1" sqref="D8481">
      <formula1>0</formula1>
    </dataValidation>
    <dataValidation type="decimal" operator="greaterThan" allowBlank="1" showInputMessage="1" showErrorMessage="1" sqref="E8481">
      <formula1>0</formula1>
    </dataValidation>
    <dataValidation type="whole" operator="greaterThan" allowBlank="1" showInputMessage="1" showErrorMessage="1" sqref="A8482">
      <formula1>0</formula1>
    </dataValidation>
    <dataValidation type="list" allowBlank="1" showInputMessage="1" showErrorMessage="1" sqref="C8482">
      <formula1>UnidadesList</formula1>
    </dataValidation>
    <dataValidation type="decimal" operator="greaterThan" allowBlank="1" showInputMessage="1" showErrorMessage="1" sqref="D8482">
      <formula1>0</formula1>
    </dataValidation>
    <dataValidation type="decimal" operator="greaterThan" allowBlank="1" showInputMessage="1" showErrorMessage="1" sqref="E8482">
      <formula1>0</formula1>
    </dataValidation>
    <dataValidation type="whole" operator="greaterThan" allowBlank="1" showInputMessage="1" showErrorMessage="1" sqref="A8483">
      <formula1>0</formula1>
    </dataValidation>
    <dataValidation type="list" allowBlank="1" showInputMessage="1" showErrorMessage="1" sqref="C8483">
      <formula1>UnidadesList</formula1>
    </dataValidation>
    <dataValidation type="decimal" operator="greaterThan" allowBlank="1" showInputMessage="1" showErrorMessage="1" sqref="D8483">
      <formula1>0</formula1>
    </dataValidation>
    <dataValidation type="decimal" operator="greaterThan" allowBlank="1" showInputMessage="1" showErrorMessage="1" sqref="E8483">
      <formula1>0</formula1>
    </dataValidation>
    <dataValidation type="whole" operator="greaterThan" allowBlank="1" showInputMessage="1" showErrorMessage="1" sqref="A8484">
      <formula1>0</formula1>
    </dataValidation>
    <dataValidation type="list" allowBlank="1" showInputMessage="1" showErrorMessage="1" sqref="C8484">
      <formula1>UnidadesList</formula1>
    </dataValidation>
    <dataValidation type="decimal" operator="greaterThan" allowBlank="1" showInputMessage="1" showErrorMessage="1" sqref="D8484">
      <formula1>0</formula1>
    </dataValidation>
    <dataValidation type="decimal" operator="greaterThan" allowBlank="1" showInputMessage="1" showErrorMessage="1" sqref="E8484">
      <formula1>0</formula1>
    </dataValidation>
    <dataValidation type="whole" operator="greaterThan" allowBlank="1" showInputMessage="1" showErrorMessage="1" sqref="A8485">
      <formula1>0</formula1>
    </dataValidation>
    <dataValidation type="list" allowBlank="1" showInputMessage="1" showErrorMessage="1" sqref="C8485">
      <formula1>UnidadesList</formula1>
    </dataValidation>
    <dataValidation type="decimal" operator="greaterThan" allowBlank="1" showInputMessage="1" showErrorMessage="1" sqref="D8485">
      <formula1>0</formula1>
    </dataValidation>
    <dataValidation type="decimal" operator="greaterThan" allowBlank="1" showInputMessage="1" showErrorMessage="1" sqref="E8485">
      <formula1>0</formula1>
    </dataValidation>
    <dataValidation type="date" operator="lessThanOrEqual" allowBlank="1" showInputMessage="1" showErrorMessage="1" sqref="C8490">
      <formula1>C8492</formula1>
    </dataValidation>
    <dataValidation type="date" operator="greaterThanOrEqual" allowBlank="1" showInputMessage="1" showErrorMessage="1" sqref="C8492">
      <formula1>C8490</formula1>
    </dataValidation>
    <dataValidation type="list" allowBlank="1" showInputMessage="1" showErrorMessage="1" sqref="F84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4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4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4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496">
      <formula1>0</formula1>
    </dataValidation>
    <dataValidation type="list" allowBlank="1" showInputMessage="1" showErrorMessage="1" sqref="C8496">
      <formula1>UnidadesList</formula1>
    </dataValidation>
    <dataValidation type="decimal" operator="greaterThan" allowBlank="1" showInputMessage="1" showErrorMessage="1" sqref="D8496">
      <formula1>0</formula1>
    </dataValidation>
    <dataValidation type="decimal" operator="greaterThan" allowBlank="1" showInputMessage="1" showErrorMessage="1" sqref="E8496">
      <formula1>0</formula1>
    </dataValidation>
    <dataValidation type="whole" operator="greaterThan" allowBlank="1" showInputMessage="1" showErrorMessage="1" sqref="A8497">
      <formula1>0</formula1>
    </dataValidation>
    <dataValidation type="list" allowBlank="1" showInputMessage="1" showErrorMessage="1" sqref="C8497">
      <formula1>UnidadesList</formula1>
    </dataValidation>
    <dataValidation type="decimal" operator="greaterThan" allowBlank="1" showInputMessage="1" showErrorMessage="1" sqref="D8497">
      <formula1>0</formula1>
    </dataValidation>
    <dataValidation type="decimal" operator="greaterThan" allowBlank="1" showInputMessage="1" showErrorMessage="1" sqref="E8497">
      <formula1>0</formula1>
    </dataValidation>
    <dataValidation type="whole" operator="greaterThan" allowBlank="1" showInputMessage="1" showErrorMessage="1" sqref="A8498">
      <formula1>0</formula1>
    </dataValidation>
    <dataValidation type="list" allowBlank="1" showInputMessage="1" showErrorMessage="1" sqref="C8498">
      <formula1>UnidadesList</formula1>
    </dataValidation>
    <dataValidation type="decimal" operator="greaterThan" allowBlank="1" showInputMessage="1" showErrorMessage="1" sqref="D8498">
      <formula1>0</formula1>
    </dataValidation>
    <dataValidation type="decimal" operator="greaterThan" allowBlank="1" showInputMessage="1" showErrorMessage="1" sqref="E8498">
      <formula1>0</formula1>
    </dataValidation>
    <dataValidation type="whole" operator="greaterThan" allowBlank="1" showInputMessage="1" showErrorMessage="1" sqref="A8499">
      <formula1>0</formula1>
    </dataValidation>
    <dataValidation type="list" allowBlank="1" showInputMessage="1" showErrorMessage="1" sqref="C8499">
      <formula1>UnidadesList</formula1>
    </dataValidation>
    <dataValidation type="decimal" operator="greaterThan" allowBlank="1" showInputMessage="1" showErrorMessage="1" sqref="D8499">
      <formula1>0</formula1>
    </dataValidation>
    <dataValidation type="decimal" operator="greaterThan" allowBlank="1" showInputMessage="1" showErrorMessage="1" sqref="E8499">
      <formula1>0</formula1>
    </dataValidation>
    <dataValidation type="whole" operator="greaterThan" allowBlank="1" showInputMessage="1" showErrorMessage="1" sqref="A8500">
      <formula1>0</formula1>
    </dataValidation>
    <dataValidation type="list" allowBlank="1" showInputMessage="1" showErrorMessage="1" sqref="C8500">
      <formula1>UnidadesList</formula1>
    </dataValidation>
    <dataValidation type="decimal" operator="greaterThan" allowBlank="1" showInputMessage="1" showErrorMessage="1" sqref="D8500">
      <formula1>0</formula1>
    </dataValidation>
    <dataValidation type="decimal" operator="greaterThan" allowBlank="1" showInputMessage="1" showErrorMessage="1" sqref="E8500">
      <formula1>0</formula1>
    </dataValidation>
    <dataValidation type="whole" operator="greaterThan" allowBlank="1" showInputMessage="1" showErrorMessage="1" sqref="A8501">
      <formula1>0</formula1>
    </dataValidation>
    <dataValidation type="list" allowBlank="1" showInputMessage="1" showErrorMessage="1" sqref="C8501">
      <formula1>UnidadesList</formula1>
    </dataValidation>
    <dataValidation type="decimal" operator="greaterThan" allowBlank="1" showInputMessage="1" showErrorMessage="1" sqref="D8501">
      <formula1>0</formula1>
    </dataValidation>
    <dataValidation type="decimal" operator="greaterThan" allowBlank="1" showInputMessage="1" showErrorMessage="1" sqref="E8501">
      <formula1>0</formula1>
    </dataValidation>
    <dataValidation type="whole" operator="greaterThan" allowBlank="1" showInputMessage="1" showErrorMessage="1" sqref="A8502">
      <formula1>0</formula1>
    </dataValidation>
    <dataValidation type="list" allowBlank="1" showInputMessage="1" showErrorMessage="1" sqref="C8502">
      <formula1>UnidadesList</formula1>
    </dataValidation>
    <dataValidation type="decimal" operator="greaterThan" allowBlank="1" showInputMessage="1" showErrorMessage="1" sqref="D8502">
      <formula1>0</formula1>
    </dataValidation>
    <dataValidation type="decimal" operator="greaterThan" allowBlank="1" showInputMessage="1" showErrorMessage="1" sqref="E8502">
      <formula1>0</formula1>
    </dataValidation>
    <dataValidation type="whole" operator="greaterThan" allowBlank="1" showInputMessage="1" showErrorMessage="1" sqref="A8503">
      <formula1>0</formula1>
    </dataValidation>
    <dataValidation type="list" allowBlank="1" showInputMessage="1" showErrorMessage="1" sqref="C8503">
      <formula1>UnidadesList</formula1>
    </dataValidation>
    <dataValidation type="decimal" operator="greaterThan" allowBlank="1" showInputMessage="1" showErrorMessage="1" sqref="D8503">
      <formula1>0</formula1>
    </dataValidation>
    <dataValidation type="decimal" operator="greaterThan" allowBlank="1" showInputMessage="1" showErrorMessage="1" sqref="E8503">
      <formula1>0</formula1>
    </dataValidation>
    <dataValidation type="whole" operator="greaterThan" allowBlank="1" showInputMessage="1" showErrorMessage="1" sqref="A8504">
      <formula1>0</formula1>
    </dataValidation>
    <dataValidation type="list" allowBlank="1" showInputMessage="1" showErrorMessage="1" sqref="C8504">
      <formula1>UnidadesList</formula1>
    </dataValidation>
    <dataValidation type="decimal" operator="greaterThan" allowBlank="1" showInputMessage="1" showErrorMessage="1" sqref="D8504">
      <formula1>0</formula1>
    </dataValidation>
    <dataValidation type="decimal" operator="greaterThan" allowBlank="1" showInputMessage="1" showErrorMessage="1" sqref="E8504">
      <formula1>0</formula1>
    </dataValidation>
    <dataValidation type="whole" operator="greaterThan" allowBlank="1" showInputMessage="1" showErrorMessage="1" sqref="A8505">
      <formula1>0</formula1>
    </dataValidation>
    <dataValidation type="list" allowBlank="1" showInputMessage="1" showErrorMessage="1" sqref="C8505">
      <formula1>UnidadesList</formula1>
    </dataValidation>
    <dataValidation type="decimal" operator="greaterThan" allowBlank="1" showInputMessage="1" showErrorMessage="1" sqref="D8505">
      <formula1>0</formula1>
    </dataValidation>
    <dataValidation type="decimal" operator="greaterThan" allowBlank="1" showInputMessage="1" showErrorMessage="1" sqref="E8505">
      <formula1>0</formula1>
    </dataValidation>
    <dataValidation type="whole" operator="greaterThan" allowBlank="1" showInputMessage="1" showErrorMessage="1" sqref="A8506">
      <formula1>0</formula1>
    </dataValidation>
    <dataValidation type="list" allowBlank="1" showInputMessage="1" showErrorMessage="1" sqref="C8506">
      <formula1>UnidadesList</formula1>
    </dataValidation>
    <dataValidation type="decimal" operator="greaterThan" allowBlank="1" showInputMessage="1" showErrorMessage="1" sqref="D8506">
      <formula1>0</formula1>
    </dataValidation>
    <dataValidation type="decimal" operator="greaterThan" allowBlank="1" showInputMessage="1" showErrorMessage="1" sqref="E8506">
      <formula1>0</formula1>
    </dataValidation>
    <dataValidation type="whole" operator="greaterThan" allowBlank="1" showInputMessage="1" showErrorMessage="1" sqref="A8507">
      <formula1>0</formula1>
    </dataValidation>
    <dataValidation type="list" allowBlank="1" showInputMessage="1" showErrorMessage="1" sqref="C8507">
      <formula1>UnidadesList</formula1>
    </dataValidation>
    <dataValidation type="decimal" operator="greaterThan" allowBlank="1" showInputMessage="1" showErrorMessage="1" sqref="D8507">
      <formula1>0</formula1>
    </dataValidation>
    <dataValidation type="decimal" operator="greaterThan" allowBlank="1" showInputMessage="1" showErrorMessage="1" sqref="E8507">
      <formula1>0</formula1>
    </dataValidation>
    <dataValidation type="whole" operator="greaterThan" allowBlank="1" showInputMessage="1" showErrorMessage="1" sqref="A8508">
      <formula1>0</formula1>
    </dataValidation>
    <dataValidation type="list" allowBlank="1" showInputMessage="1" showErrorMessage="1" sqref="C8508">
      <formula1>UnidadesList</formula1>
    </dataValidation>
    <dataValidation type="decimal" operator="greaterThan" allowBlank="1" showInputMessage="1" showErrorMessage="1" sqref="D8508">
      <formula1>0</formula1>
    </dataValidation>
    <dataValidation type="decimal" operator="greaterThan" allowBlank="1" showInputMessage="1" showErrorMessage="1" sqref="E8508">
      <formula1>0</formula1>
    </dataValidation>
    <dataValidation type="whole" operator="greaterThan" allowBlank="1" showInputMessage="1" showErrorMessage="1" sqref="A8509">
      <formula1>0</formula1>
    </dataValidation>
    <dataValidation type="list" allowBlank="1" showInputMessage="1" showErrorMessage="1" sqref="C8509">
      <formula1>UnidadesList</formula1>
    </dataValidation>
    <dataValidation type="decimal" operator="greaterThan" allowBlank="1" showInputMessage="1" showErrorMessage="1" sqref="D8509">
      <formula1>0</formula1>
    </dataValidation>
    <dataValidation type="decimal" operator="greaterThan" allowBlank="1" showInputMessage="1" showErrorMessage="1" sqref="E8509">
      <formula1>0</formula1>
    </dataValidation>
    <dataValidation type="whole" operator="greaterThan" allowBlank="1" showInputMessage="1" showErrorMessage="1" sqref="A8510">
      <formula1>0</formula1>
    </dataValidation>
    <dataValidation type="list" allowBlank="1" showInputMessage="1" showErrorMessage="1" sqref="C8510">
      <formula1>UnidadesList</formula1>
    </dataValidation>
    <dataValidation type="decimal" operator="greaterThan" allowBlank="1" showInputMessage="1" showErrorMessage="1" sqref="D8510">
      <formula1>0</formula1>
    </dataValidation>
    <dataValidation type="decimal" operator="greaterThan" allowBlank="1" showInputMessage="1" showErrorMessage="1" sqref="E8510">
      <formula1>0</formula1>
    </dataValidation>
    <dataValidation type="whole" operator="greaterThan" allowBlank="1" showInputMessage="1" showErrorMessage="1" sqref="A8511">
      <formula1>0</formula1>
    </dataValidation>
    <dataValidation type="list" allowBlank="1" showInputMessage="1" showErrorMessage="1" sqref="C8511">
      <formula1>UnidadesList</formula1>
    </dataValidation>
    <dataValidation type="decimal" operator="greaterThan" allowBlank="1" showInputMessage="1" showErrorMessage="1" sqref="D8511">
      <formula1>0</formula1>
    </dataValidation>
    <dataValidation type="decimal" operator="greaterThan" allowBlank="1" showInputMessage="1" showErrorMessage="1" sqref="E8511">
      <formula1>0</formula1>
    </dataValidation>
    <dataValidation type="whole" operator="greaterThan" allowBlank="1" showInputMessage="1" showErrorMessage="1" sqref="A8512">
      <formula1>0</formula1>
    </dataValidation>
    <dataValidation type="list" allowBlank="1" showInputMessage="1" showErrorMessage="1" sqref="C8512">
      <formula1>UnidadesList</formula1>
    </dataValidation>
    <dataValidation type="decimal" operator="greaterThan" allowBlank="1" showInputMessage="1" showErrorMessage="1" sqref="D8512">
      <formula1>0</formula1>
    </dataValidation>
    <dataValidation type="decimal" operator="greaterThan" allowBlank="1" showInputMessage="1" showErrorMessage="1" sqref="E8512">
      <formula1>0</formula1>
    </dataValidation>
    <dataValidation type="whole" operator="greaterThan" allowBlank="1" showInputMessage="1" showErrorMessage="1" sqref="A8513">
      <formula1>0</formula1>
    </dataValidation>
    <dataValidation type="list" allowBlank="1" showInputMessage="1" showErrorMessage="1" sqref="C8513">
      <formula1>UnidadesList</formula1>
    </dataValidation>
    <dataValidation type="decimal" operator="greaterThan" allowBlank="1" showInputMessage="1" showErrorMessage="1" sqref="D8513">
      <formula1>0</formula1>
    </dataValidation>
    <dataValidation type="decimal" operator="greaterThan" allowBlank="1" showInputMessage="1" showErrorMessage="1" sqref="E8513">
      <formula1>0</formula1>
    </dataValidation>
    <dataValidation type="whole" operator="greaterThan" allowBlank="1" showInputMessage="1" showErrorMessage="1" sqref="A8514">
      <formula1>0</formula1>
    </dataValidation>
    <dataValidation type="list" allowBlank="1" showInputMessage="1" showErrorMessage="1" sqref="C8514">
      <formula1>UnidadesList</formula1>
    </dataValidation>
    <dataValidation type="decimal" operator="greaterThan" allowBlank="1" showInputMessage="1" showErrorMessage="1" sqref="D8514">
      <formula1>0</formula1>
    </dataValidation>
    <dataValidation type="decimal" operator="greaterThan" allowBlank="1" showInputMessage="1" showErrorMessage="1" sqref="E8514">
      <formula1>0</formula1>
    </dataValidation>
    <dataValidation type="whole" operator="greaterThan" allowBlank="1" showInputMessage="1" showErrorMessage="1" sqref="A8515">
      <formula1>0</formula1>
    </dataValidation>
    <dataValidation type="list" allowBlank="1" showInputMessage="1" showErrorMessage="1" sqref="C8515">
      <formula1>UnidadesList</formula1>
    </dataValidation>
    <dataValidation type="decimal" operator="greaterThan" allowBlank="1" showInputMessage="1" showErrorMessage="1" sqref="D8515">
      <formula1>0</formula1>
    </dataValidation>
    <dataValidation type="decimal" operator="greaterThan" allowBlank="1" showInputMessage="1" showErrorMessage="1" sqref="E8515">
      <formula1>0</formula1>
    </dataValidation>
    <dataValidation type="whole" operator="greaterThan" allowBlank="1" showInputMessage="1" showErrorMessage="1" sqref="A8516">
      <formula1>0</formula1>
    </dataValidation>
    <dataValidation type="list" allowBlank="1" showInputMessage="1" showErrorMessage="1" sqref="C8516">
      <formula1>UnidadesList</formula1>
    </dataValidation>
    <dataValidation type="decimal" operator="greaterThan" allowBlank="1" showInputMessage="1" showErrorMessage="1" sqref="D8516">
      <formula1>0</formula1>
    </dataValidation>
    <dataValidation type="decimal" operator="greaterThan" allowBlank="1" showInputMessage="1" showErrorMessage="1" sqref="E8516">
      <formula1>0</formula1>
    </dataValidation>
    <dataValidation type="whole" operator="greaterThan" allowBlank="1" showInputMessage="1" showErrorMessage="1" sqref="A8517">
      <formula1>0</formula1>
    </dataValidation>
    <dataValidation type="list" allowBlank="1" showInputMessage="1" showErrorMessage="1" sqref="C8517">
      <formula1>UnidadesList</formula1>
    </dataValidation>
    <dataValidation type="decimal" operator="greaterThan" allowBlank="1" showInputMessage="1" showErrorMessage="1" sqref="D8517">
      <formula1>0</formula1>
    </dataValidation>
    <dataValidation type="decimal" operator="greaterThan" allowBlank="1" showInputMessage="1" showErrorMessage="1" sqref="E8517">
      <formula1>0</formula1>
    </dataValidation>
    <dataValidation type="whole" operator="greaterThan" allowBlank="1" showInputMessage="1" showErrorMessage="1" sqref="A8518">
      <formula1>0</formula1>
    </dataValidation>
    <dataValidation type="list" allowBlank="1" showInputMessage="1" showErrorMessage="1" sqref="C8518">
      <formula1>UnidadesList</formula1>
    </dataValidation>
    <dataValidation type="decimal" operator="greaterThan" allowBlank="1" showInputMessage="1" showErrorMessage="1" sqref="D8518">
      <formula1>0</formula1>
    </dataValidation>
    <dataValidation type="decimal" operator="greaterThan" allowBlank="1" showInputMessage="1" showErrorMessage="1" sqref="E8518">
      <formula1>0</formula1>
    </dataValidation>
    <dataValidation type="whole" operator="greaterThan" allowBlank="1" showInputMessage="1" showErrorMessage="1" sqref="A8519">
      <formula1>0</formula1>
    </dataValidation>
    <dataValidation type="list" allowBlank="1" showInputMessage="1" showErrorMessage="1" sqref="C8519">
      <formula1>UnidadesList</formula1>
    </dataValidation>
    <dataValidation type="decimal" operator="greaterThan" allowBlank="1" showInputMessage="1" showErrorMessage="1" sqref="D8519">
      <formula1>0</formula1>
    </dataValidation>
    <dataValidation type="decimal" operator="greaterThan" allowBlank="1" showInputMessage="1" showErrorMessage="1" sqref="E8519">
      <formula1>0</formula1>
    </dataValidation>
    <dataValidation type="whole" operator="greaterThan" allowBlank="1" showInputMessage="1" showErrorMessage="1" sqref="A8520">
      <formula1>0</formula1>
    </dataValidation>
    <dataValidation type="list" allowBlank="1" showInputMessage="1" showErrorMessage="1" sqref="C8520">
      <formula1>UnidadesList</formula1>
    </dataValidation>
    <dataValidation type="decimal" operator="greaterThan" allowBlank="1" showInputMessage="1" showErrorMessage="1" sqref="D8520">
      <formula1>0</formula1>
    </dataValidation>
    <dataValidation type="decimal" operator="greaterThan" allowBlank="1" showInputMessage="1" showErrorMessage="1" sqref="E8520">
      <formula1>0</formula1>
    </dataValidation>
    <dataValidation type="whole" operator="greaterThan" allowBlank="1" showInputMessage="1" showErrorMessage="1" sqref="A8521">
      <formula1>0</formula1>
    </dataValidation>
    <dataValidation type="list" allowBlank="1" showInputMessage="1" showErrorMessage="1" sqref="C8521">
      <formula1>UnidadesList</formula1>
    </dataValidation>
    <dataValidation type="decimal" operator="greaterThan" allowBlank="1" showInputMessage="1" showErrorMessage="1" sqref="D8521">
      <formula1>0</formula1>
    </dataValidation>
    <dataValidation type="decimal" operator="greaterThan" allowBlank="1" showInputMessage="1" showErrorMessage="1" sqref="E8521">
      <formula1>0</formula1>
    </dataValidation>
    <dataValidation type="whole" operator="greaterThan" allowBlank="1" showInputMessage="1" showErrorMessage="1" sqref="A8522">
      <formula1>0</formula1>
    </dataValidation>
    <dataValidation type="list" allowBlank="1" showInputMessage="1" showErrorMessage="1" sqref="C8522">
      <formula1>UnidadesList</formula1>
    </dataValidation>
    <dataValidation type="decimal" operator="greaterThan" allowBlank="1" showInputMessage="1" showErrorMessage="1" sqref="D8522">
      <formula1>0</formula1>
    </dataValidation>
    <dataValidation type="decimal" operator="greaterThan" allowBlank="1" showInputMessage="1" showErrorMessage="1" sqref="E8522">
      <formula1>0</formula1>
    </dataValidation>
    <dataValidation type="whole" operator="greaterThan" allowBlank="1" showInputMessage="1" showErrorMessage="1" sqref="A8523">
      <formula1>0</formula1>
    </dataValidation>
    <dataValidation type="list" allowBlank="1" showInputMessage="1" showErrorMessage="1" sqref="C8523">
      <formula1>UnidadesList</formula1>
    </dataValidation>
    <dataValidation type="decimal" operator="greaterThan" allowBlank="1" showInputMessage="1" showErrorMessage="1" sqref="D8523">
      <formula1>0</formula1>
    </dataValidation>
    <dataValidation type="decimal" operator="greaterThan" allowBlank="1" showInputMessage="1" showErrorMessage="1" sqref="E8523">
      <formula1>0</formula1>
    </dataValidation>
    <dataValidation type="whole" operator="greaterThan" allowBlank="1" showInputMessage="1" showErrorMessage="1" sqref="A8524">
      <formula1>0</formula1>
    </dataValidation>
    <dataValidation type="list" allowBlank="1" showInputMessage="1" showErrorMessage="1" sqref="C8524">
      <formula1>UnidadesList</formula1>
    </dataValidation>
    <dataValidation type="decimal" operator="greaterThan" allowBlank="1" showInputMessage="1" showErrorMessage="1" sqref="D8524">
      <formula1>0</formula1>
    </dataValidation>
    <dataValidation type="decimal" operator="greaterThan" allowBlank="1" showInputMessage="1" showErrorMessage="1" sqref="E8524">
      <formula1>0</formula1>
    </dataValidation>
    <dataValidation type="whole" operator="greaterThan" allowBlank="1" showInputMessage="1" showErrorMessage="1" sqref="A8525">
      <formula1>0</formula1>
    </dataValidation>
    <dataValidation type="list" allowBlank="1" showInputMessage="1" showErrorMessage="1" sqref="C8525">
      <formula1>UnidadesList</formula1>
    </dataValidation>
    <dataValidation type="decimal" operator="greaterThan" allowBlank="1" showInputMessage="1" showErrorMessage="1" sqref="D8525">
      <formula1>0</formula1>
    </dataValidation>
    <dataValidation type="decimal" operator="greaterThan" allowBlank="1" showInputMessage="1" showErrorMessage="1" sqref="E8525">
      <formula1>0</formula1>
    </dataValidation>
    <dataValidation type="whole" operator="greaterThan" allowBlank="1" showInputMessage="1" showErrorMessage="1" sqref="A8526">
      <formula1>0</formula1>
    </dataValidation>
    <dataValidation type="list" allowBlank="1" showInputMessage="1" showErrorMessage="1" sqref="C8526">
      <formula1>UnidadesList</formula1>
    </dataValidation>
    <dataValidation type="decimal" operator="greaterThan" allowBlank="1" showInputMessage="1" showErrorMessage="1" sqref="D8526">
      <formula1>0</formula1>
    </dataValidation>
    <dataValidation type="decimal" operator="greaterThan" allowBlank="1" showInputMessage="1" showErrorMessage="1" sqref="E8526">
      <formula1>0</formula1>
    </dataValidation>
    <dataValidation type="whole" operator="greaterThan" allowBlank="1" showInputMessage="1" showErrorMessage="1" sqref="A8527">
      <formula1>0</formula1>
    </dataValidation>
    <dataValidation type="list" allowBlank="1" showInputMessage="1" showErrorMessage="1" sqref="C8527">
      <formula1>UnidadesList</formula1>
    </dataValidation>
    <dataValidation type="decimal" operator="greaterThan" allowBlank="1" showInputMessage="1" showErrorMessage="1" sqref="D8527">
      <formula1>0</formula1>
    </dataValidation>
    <dataValidation type="decimal" operator="greaterThan" allowBlank="1" showInputMessage="1" showErrorMessage="1" sqref="E8527">
      <formula1>0</formula1>
    </dataValidation>
    <dataValidation type="whole" operator="greaterThan" allowBlank="1" showInputMessage="1" showErrorMessage="1" sqref="A8528">
      <formula1>0</formula1>
    </dataValidation>
    <dataValidation type="list" allowBlank="1" showInputMessage="1" showErrorMessage="1" sqref="C8528">
      <formula1>UnidadesList</formula1>
    </dataValidation>
    <dataValidation type="decimal" operator="greaterThan" allowBlank="1" showInputMessage="1" showErrorMessage="1" sqref="D8528">
      <formula1>0</formula1>
    </dataValidation>
    <dataValidation type="decimal" operator="greaterThan" allowBlank="1" showInputMessage="1" showErrorMessage="1" sqref="E8528">
      <formula1>0</formula1>
    </dataValidation>
    <dataValidation type="whole" operator="greaterThan" allowBlank="1" showInputMessage="1" showErrorMessage="1" sqref="A8529">
      <formula1>0</formula1>
    </dataValidation>
    <dataValidation type="list" allowBlank="1" showInputMessage="1" showErrorMessage="1" sqref="C8529">
      <formula1>UnidadesList</formula1>
    </dataValidation>
    <dataValidation type="decimal" operator="greaterThan" allowBlank="1" showInputMessage="1" showErrorMessage="1" sqref="D8529">
      <formula1>0</formula1>
    </dataValidation>
    <dataValidation type="decimal" operator="greaterThan" allowBlank="1" showInputMessage="1" showErrorMessage="1" sqref="E8529">
      <formula1>0</formula1>
    </dataValidation>
    <dataValidation type="whole" operator="greaterThan" allowBlank="1" showInputMessage="1" showErrorMessage="1" sqref="A8530">
      <formula1>0</formula1>
    </dataValidation>
    <dataValidation type="list" allowBlank="1" showInputMessage="1" showErrorMessage="1" sqref="C8530">
      <formula1>UnidadesList</formula1>
    </dataValidation>
    <dataValidation type="decimal" operator="greaterThan" allowBlank="1" showInputMessage="1" showErrorMessage="1" sqref="D8530">
      <formula1>0</formula1>
    </dataValidation>
    <dataValidation type="decimal" operator="greaterThan" allowBlank="1" showInputMessage="1" showErrorMessage="1" sqref="E8530">
      <formula1>0</formula1>
    </dataValidation>
    <dataValidation type="whole" operator="greaterThan" allowBlank="1" showInputMessage="1" showErrorMessage="1" sqref="A8531">
      <formula1>0</formula1>
    </dataValidation>
    <dataValidation type="list" allowBlank="1" showInputMessage="1" showErrorMessage="1" sqref="C8531">
      <formula1>UnidadesList</formula1>
    </dataValidation>
    <dataValidation type="decimal" operator="greaterThan" allowBlank="1" showInputMessage="1" showErrorMessage="1" sqref="D8531">
      <formula1>0</formula1>
    </dataValidation>
    <dataValidation type="decimal" operator="greaterThan" allowBlank="1" showInputMessage="1" showErrorMessage="1" sqref="E8531">
      <formula1>0</formula1>
    </dataValidation>
    <dataValidation type="whole" operator="greaterThan" allowBlank="1" showInputMessage="1" showErrorMessage="1" sqref="A8532">
      <formula1>0</formula1>
    </dataValidation>
    <dataValidation type="list" allowBlank="1" showInputMessage="1" showErrorMessage="1" sqref="C8532">
      <formula1>UnidadesList</formula1>
    </dataValidation>
    <dataValidation type="decimal" operator="greaterThan" allowBlank="1" showInputMessage="1" showErrorMessage="1" sqref="D8532">
      <formula1>0</formula1>
    </dataValidation>
    <dataValidation type="decimal" operator="greaterThan" allowBlank="1" showInputMessage="1" showErrorMessage="1" sqref="E8532">
      <formula1>0</formula1>
    </dataValidation>
    <dataValidation type="whole" operator="greaterThan" allowBlank="1" showInputMessage="1" showErrorMessage="1" sqref="A8533">
      <formula1>0</formula1>
    </dataValidation>
    <dataValidation type="list" allowBlank="1" showInputMessage="1" showErrorMessage="1" sqref="C8533">
      <formula1>UnidadesList</formula1>
    </dataValidation>
    <dataValidation type="decimal" operator="greaterThan" allowBlank="1" showInputMessage="1" showErrorMessage="1" sqref="D8533">
      <formula1>0</formula1>
    </dataValidation>
    <dataValidation type="decimal" operator="greaterThan" allowBlank="1" showInputMessage="1" showErrorMessage="1" sqref="E8533">
      <formula1>0</formula1>
    </dataValidation>
    <dataValidation type="whole" operator="greaterThan" allowBlank="1" showInputMessage="1" showErrorMessage="1" sqref="A8534">
      <formula1>0</formula1>
    </dataValidation>
    <dataValidation type="list" allowBlank="1" showInputMessage="1" showErrorMessage="1" sqref="C8534">
      <formula1>UnidadesList</formula1>
    </dataValidation>
    <dataValidation type="decimal" operator="greaterThan" allowBlank="1" showInputMessage="1" showErrorMessage="1" sqref="D8534">
      <formula1>0</formula1>
    </dataValidation>
    <dataValidation type="decimal" operator="greaterThan" allowBlank="1" showInputMessage="1" showErrorMessage="1" sqref="E8534">
      <formula1>0</formula1>
    </dataValidation>
    <dataValidation type="whole" operator="greaterThan" allowBlank="1" showInputMessage="1" showErrorMessage="1" sqref="A8535">
      <formula1>0</formula1>
    </dataValidation>
    <dataValidation type="list" allowBlank="1" showInputMessage="1" showErrorMessage="1" sqref="C8535">
      <formula1>UnidadesList</formula1>
    </dataValidation>
    <dataValidation type="decimal" operator="greaterThan" allowBlank="1" showInputMessage="1" showErrorMessage="1" sqref="D8535">
      <formula1>0</formula1>
    </dataValidation>
    <dataValidation type="decimal" operator="greaterThan" allowBlank="1" showInputMessage="1" showErrorMessage="1" sqref="E8535">
      <formula1>0</formula1>
    </dataValidation>
    <dataValidation type="whole" operator="greaterThan" allowBlank="1" showInputMessage="1" showErrorMessage="1" sqref="A8536">
      <formula1>0</formula1>
    </dataValidation>
    <dataValidation type="list" allowBlank="1" showInputMessage="1" showErrorMessage="1" sqref="C8536">
      <formula1>UnidadesList</formula1>
    </dataValidation>
    <dataValidation type="decimal" operator="greaterThan" allowBlank="1" showInputMessage="1" showErrorMessage="1" sqref="D8536">
      <formula1>0</formula1>
    </dataValidation>
    <dataValidation type="decimal" operator="greaterThan" allowBlank="1" showInputMessage="1" showErrorMessage="1" sqref="E8536">
      <formula1>0</formula1>
    </dataValidation>
    <dataValidation type="whole" operator="greaterThan" allowBlank="1" showInputMessage="1" showErrorMessage="1" sqref="A8537">
      <formula1>0</formula1>
    </dataValidation>
    <dataValidation type="list" allowBlank="1" showInputMessage="1" showErrorMessage="1" sqref="C8537">
      <formula1>UnidadesList</formula1>
    </dataValidation>
    <dataValidation type="decimal" operator="greaterThan" allowBlank="1" showInputMessage="1" showErrorMessage="1" sqref="D8537">
      <formula1>0</formula1>
    </dataValidation>
    <dataValidation type="decimal" operator="greaterThan" allowBlank="1" showInputMessage="1" showErrorMessage="1" sqref="E8537">
      <formula1>0</formula1>
    </dataValidation>
    <dataValidation type="whole" operator="greaterThan" allowBlank="1" showInputMessage="1" showErrorMessage="1" sqref="A8538">
      <formula1>0</formula1>
    </dataValidation>
    <dataValidation type="list" allowBlank="1" showInputMessage="1" showErrorMessage="1" sqref="C8538">
      <formula1>UnidadesList</formula1>
    </dataValidation>
    <dataValidation type="decimal" operator="greaterThan" allowBlank="1" showInputMessage="1" showErrorMessage="1" sqref="D8538">
      <formula1>0</formula1>
    </dataValidation>
    <dataValidation type="decimal" operator="greaterThan" allowBlank="1" showInputMessage="1" showErrorMessage="1" sqref="E8538">
      <formula1>0</formula1>
    </dataValidation>
    <dataValidation type="whole" operator="greaterThan" allowBlank="1" showInputMessage="1" showErrorMessage="1" sqref="A8539">
      <formula1>0</formula1>
    </dataValidation>
    <dataValidation type="list" allowBlank="1" showInputMessage="1" showErrorMessage="1" sqref="C8539">
      <formula1>UnidadesList</formula1>
    </dataValidation>
    <dataValidation type="decimal" operator="greaterThan" allowBlank="1" showInputMessage="1" showErrorMessage="1" sqref="D8539">
      <formula1>0</formula1>
    </dataValidation>
    <dataValidation type="decimal" operator="greaterThan" allowBlank="1" showInputMessage="1" showErrorMessage="1" sqref="E8539">
      <formula1>0</formula1>
    </dataValidation>
    <dataValidation type="whole" operator="greaterThan" allowBlank="1" showInputMessage="1" showErrorMessage="1" sqref="A8540">
      <formula1>0</formula1>
    </dataValidation>
    <dataValidation type="list" allowBlank="1" showInputMessage="1" showErrorMessage="1" sqref="C8540">
      <formula1>UnidadesList</formula1>
    </dataValidation>
    <dataValidation type="decimal" operator="greaterThan" allowBlank="1" showInputMessage="1" showErrorMessage="1" sqref="D8540">
      <formula1>0</formula1>
    </dataValidation>
    <dataValidation type="decimal" operator="greaterThan" allowBlank="1" showInputMessage="1" showErrorMessage="1" sqref="E8540">
      <formula1>0</formula1>
    </dataValidation>
    <dataValidation type="whole" operator="greaterThan" allowBlank="1" showInputMessage="1" showErrorMessage="1" sqref="A8541">
      <formula1>0</formula1>
    </dataValidation>
    <dataValidation type="list" allowBlank="1" showInputMessage="1" showErrorMessage="1" sqref="C8541">
      <formula1>UnidadesList</formula1>
    </dataValidation>
    <dataValidation type="decimal" operator="greaterThan" allowBlank="1" showInputMessage="1" showErrorMessage="1" sqref="D8541">
      <formula1>0</formula1>
    </dataValidation>
    <dataValidation type="decimal" operator="greaterThan" allowBlank="1" showInputMessage="1" showErrorMessage="1" sqref="E8541">
      <formula1>0</formula1>
    </dataValidation>
    <dataValidation type="whole" operator="greaterThan" allowBlank="1" showInputMessage="1" showErrorMessage="1" sqref="A8542">
      <formula1>0</formula1>
    </dataValidation>
    <dataValidation type="list" allowBlank="1" showInputMessage="1" showErrorMessage="1" sqref="C8542">
      <formula1>UnidadesList</formula1>
    </dataValidation>
    <dataValidation type="decimal" operator="greaterThan" allowBlank="1" showInputMessage="1" showErrorMessage="1" sqref="D8542">
      <formula1>0</formula1>
    </dataValidation>
    <dataValidation type="decimal" operator="greaterThan" allowBlank="1" showInputMessage="1" showErrorMessage="1" sqref="E8542">
      <formula1>0</formula1>
    </dataValidation>
    <dataValidation type="date" operator="lessThanOrEqual" allowBlank="1" showInputMessage="1" showErrorMessage="1" sqref="C8547">
      <formula1>C8549</formula1>
    </dataValidation>
    <dataValidation type="date" operator="greaterThanOrEqual" allowBlank="1" showInputMessage="1" showErrorMessage="1" sqref="C8549">
      <formula1>C8547</formula1>
    </dataValidation>
    <dataValidation type="list" allowBlank="1" showInputMessage="1" showErrorMessage="1" sqref="F854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54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54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55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553">
      <formula1>0</formula1>
    </dataValidation>
    <dataValidation type="list" allowBlank="1" showInputMessage="1" showErrorMessage="1" sqref="C8553">
      <formula1>UnidadesList</formula1>
    </dataValidation>
    <dataValidation type="decimal" operator="greaterThan" allowBlank="1" showInputMessage="1" showErrorMessage="1" sqref="D8553">
      <formula1>0</formula1>
    </dataValidation>
    <dataValidation type="decimal" operator="greaterThan" allowBlank="1" showInputMessage="1" showErrorMessage="1" sqref="E8553">
      <formula1>0</formula1>
    </dataValidation>
    <dataValidation type="whole" operator="greaterThan" allowBlank="1" showInputMessage="1" showErrorMessage="1" sqref="A8554">
      <formula1>0</formula1>
    </dataValidation>
    <dataValidation type="list" allowBlank="1" showInputMessage="1" showErrorMessage="1" sqref="C8554">
      <formula1>UnidadesList</formula1>
    </dataValidation>
    <dataValidation type="decimal" operator="greaterThan" allowBlank="1" showInputMessage="1" showErrorMessage="1" sqref="D8554">
      <formula1>0</formula1>
    </dataValidation>
    <dataValidation type="decimal" operator="greaterThan" allowBlank="1" showInputMessage="1" showErrorMessage="1" sqref="E8554">
      <formula1>0</formula1>
    </dataValidation>
    <dataValidation type="whole" operator="greaterThan" allowBlank="1" showInputMessage="1" showErrorMessage="1" sqref="A8555">
      <formula1>0</formula1>
    </dataValidation>
    <dataValidation type="list" allowBlank="1" showInputMessage="1" showErrorMessage="1" sqref="C8555">
      <formula1>UnidadesList</formula1>
    </dataValidation>
    <dataValidation type="decimal" operator="greaterThan" allowBlank="1" showInputMessage="1" showErrorMessage="1" sqref="D8555">
      <formula1>0</formula1>
    </dataValidation>
    <dataValidation type="decimal" operator="greaterThan" allowBlank="1" showInputMessage="1" showErrorMessage="1" sqref="E8555">
      <formula1>0</formula1>
    </dataValidation>
    <dataValidation type="whole" operator="greaterThan" allowBlank="1" showInputMessage="1" showErrorMessage="1" sqref="A8556">
      <formula1>0</formula1>
    </dataValidation>
    <dataValidation type="list" allowBlank="1" showInputMessage="1" showErrorMessage="1" sqref="C8556">
      <formula1>UnidadesList</formula1>
    </dataValidation>
    <dataValidation type="decimal" operator="greaterThan" allowBlank="1" showInputMessage="1" showErrorMessage="1" sqref="D8556">
      <formula1>0</formula1>
    </dataValidation>
    <dataValidation type="decimal" operator="greaterThan" allowBlank="1" showInputMessage="1" showErrorMessage="1" sqref="E8556">
      <formula1>0</formula1>
    </dataValidation>
    <dataValidation type="whole" operator="greaterThan" allowBlank="1" showInputMessage="1" showErrorMessage="1" sqref="A8557">
      <formula1>0</formula1>
    </dataValidation>
    <dataValidation type="list" allowBlank="1" showInputMessage="1" showErrorMessage="1" sqref="C8557">
      <formula1>UnidadesList</formula1>
    </dataValidation>
    <dataValidation type="decimal" operator="greaterThan" allowBlank="1" showInputMessage="1" showErrorMessage="1" sqref="D8557">
      <formula1>0</formula1>
    </dataValidation>
    <dataValidation type="decimal" operator="greaterThan" allowBlank="1" showInputMessage="1" showErrorMessage="1" sqref="E8557">
      <formula1>0</formula1>
    </dataValidation>
    <dataValidation type="whole" operator="greaterThan" allowBlank="1" showInputMessage="1" showErrorMessage="1" sqref="A8558">
      <formula1>0</formula1>
    </dataValidation>
    <dataValidation type="list" allowBlank="1" showInputMessage="1" showErrorMessage="1" sqref="C8558">
      <formula1>UnidadesList</formula1>
    </dataValidation>
    <dataValidation type="decimal" operator="greaterThan" allowBlank="1" showInputMessage="1" showErrorMessage="1" sqref="D8558">
      <formula1>0</formula1>
    </dataValidation>
    <dataValidation type="decimal" operator="greaterThan" allowBlank="1" showInputMessage="1" showErrorMessage="1" sqref="E8558">
      <formula1>0</formula1>
    </dataValidation>
    <dataValidation type="whole" operator="greaterThan" allowBlank="1" showInputMessage="1" showErrorMessage="1" sqref="A8559">
      <formula1>0</formula1>
    </dataValidation>
    <dataValidation type="list" allowBlank="1" showInputMessage="1" showErrorMessage="1" sqref="C8559">
      <formula1>UnidadesList</formula1>
    </dataValidation>
    <dataValidation type="decimal" operator="greaterThan" allowBlank="1" showInputMessage="1" showErrorMessage="1" sqref="D8559">
      <formula1>0</formula1>
    </dataValidation>
    <dataValidation type="decimal" operator="greaterThan" allowBlank="1" showInputMessage="1" showErrorMessage="1" sqref="E8559">
      <formula1>0</formula1>
    </dataValidation>
    <dataValidation type="whole" operator="greaterThan" allowBlank="1" showInputMessage="1" showErrorMessage="1" sqref="A8560">
      <formula1>0</formula1>
    </dataValidation>
    <dataValidation type="list" allowBlank="1" showInputMessage="1" showErrorMessage="1" sqref="C8560">
      <formula1>UnidadesList</formula1>
    </dataValidation>
    <dataValidation type="decimal" operator="greaterThan" allowBlank="1" showInputMessage="1" showErrorMessage="1" sqref="D8560">
      <formula1>0</formula1>
    </dataValidation>
    <dataValidation type="decimal" operator="greaterThan" allowBlank="1" showInputMessage="1" showErrorMessage="1" sqref="E8560">
      <formula1>0</formula1>
    </dataValidation>
    <dataValidation type="whole" operator="greaterThan" allowBlank="1" showInputMessage="1" showErrorMessage="1" sqref="A8561">
      <formula1>0</formula1>
    </dataValidation>
    <dataValidation type="list" allowBlank="1" showInputMessage="1" showErrorMessage="1" sqref="C8561">
      <formula1>UnidadesList</formula1>
    </dataValidation>
    <dataValidation type="decimal" operator="greaterThan" allowBlank="1" showInputMessage="1" showErrorMessage="1" sqref="D8561">
      <formula1>0</formula1>
    </dataValidation>
    <dataValidation type="decimal" operator="greaterThan" allowBlank="1" showInputMessage="1" showErrorMessage="1" sqref="E8561">
      <formula1>0</formula1>
    </dataValidation>
    <dataValidation type="whole" operator="greaterThan" allowBlank="1" showInputMessage="1" showErrorMessage="1" sqref="A8562">
      <formula1>0</formula1>
    </dataValidation>
    <dataValidation type="list" allowBlank="1" showInputMessage="1" showErrorMessage="1" sqref="C8562">
      <formula1>UnidadesList</formula1>
    </dataValidation>
    <dataValidation type="decimal" operator="greaterThan" allowBlank="1" showInputMessage="1" showErrorMessage="1" sqref="D8562">
      <formula1>0</formula1>
    </dataValidation>
    <dataValidation type="decimal" operator="greaterThan" allowBlank="1" showInputMessage="1" showErrorMessage="1" sqref="E8562">
      <formula1>0</formula1>
    </dataValidation>
    <dataValidation type="whole" operator="greaterThan" allowBlank="1" showInputMessage="1" showErrorMessage="1" sqref="A8563">
      <formula1>0</formula1>
    </dataValidation>
    <dataValidation type="list" allowBlank="1" showInputMessage="1" showErrorMessage="1" sqref="C8563">
      <formula1>UnidadesList</formula1>
    </dataValidation>
    <dataValidation type="decimal" operator="greaterThan" allowBlank="1" showInputMessage="1" showErrorMessage="1" sqref="D8563">
      <formula1>0</formula1>
    </dataValidation>
    <dataValidation type="decimal" operator="greaterThan" allowBlank="1" showInputMessage="1" showErrorMessage="1" sqref="E8563">
      <formula1>0</formula1>
    </dataValidation>
    <dataValidation type="whole" operator="greaterThan" allowBlank="1" showInputMessage="1" showErrorMessage="1" sqref="A8564">
      <formula1>0</formula1>
    </dataValidation>
    <dataValidation type="list" allowBlank="1" showInputMessage="1" showErrorMessage="1" sqref="C8564">
      <formula1>UnidadesList</formula1>
    </dataValidation>
    <dataValidation type="decimal" operator="greaterThan" allowBlank="1" showInputMessage="1" showErrorMessage="1" sqref="D8564">
      <formula1>0</formula1>
    </dataValidation>
    <dataValidation type="decimal" operator="greaterThan" allowBlank="1" showInputMessage="1" showErrorMessage="1" sqref="E8564">
      <formula1>0</formula1>
    </dataValidation>
    <dataValidation type="whole" operator="greaterThan" allowBlank="1" showInputMessage="1" showErrorMessage="1" sqref="A8565">
      <formula1>0</formula1>
    </dataValidation>
    <dataValidation type="list" allowBlank="1" showInputMessage="1" showErrorMessage="1" sqref="C8565">
      <formula1>UnidadesList</formula1>
    </dataValidation>
    <dataValidation type="decimal" operator="greaterThan" allowBlank="1" showInputMessage="1" showErrorMessage="1" sqref="D8565">
      <formula1>0</formula1>
    </dataValidation>
    <dataValidation type="decimal" operator="greaterThan" allowBlank="1" showInputMessage="1" showErrorMessage="1" sqref="E8565">
      <formula1>0</formula1>
    </dataValidation>
    <dataValidation type="whole" operator="greaterThan" allowBlank="1" showInputMessage="1" showErrorMessage="1" sqref="A8566">
      <formula1>0</formula1>
    </dataValidation>
    <dataValidation type="list" allowBlank="1" showInputMessage="1" showErrorMessage="1" sqref="C8566">
      <formula1>UnidadesList</formula1>
    </dataValidation>
    <dataValidation type="decimal" operator="greaterThan" allowBlank="1" showInputMessage="1" showErrorMessage="1" sqref="D8566">
      <formula1>0</formula1>
    </dataValidation>
    <dataValidation type="decimal" operator="greaterThan" allowBlank="1" showInputMessage="1" showErrorMessage="1" sqref="E8566">
      <formula1>0</formula1>
    </dataValidation>
    <dataValidation type="whole" operator="greaterThan" allowBlank="1" showInputMessage="1" showErrorMessage="1" sqref="A8567">
      <formula1>0</formula1>
    </dataValidation>
    <dataValidation type="list" allowBlank="1" showInputMessage="1" showErrorMessage="1" sqref="C8567">
      <formula1>UnidadesList</formula1>
    </dataValidation>
    <dataValidation type="decimal" operator="greaterThan" allowBlank="1" showInputMessage="1" showErrorMessage="1" sqref="D8567">
      <formula1>0</formula1>
    </dataValidation>
    <dataValidation type="decimal" operator="greaterThan" allowBlank="1" showInputMessage="1" showErrorMessage="1" sqref="E8567">
      <formula1>0</formula1>
    </dataValidation>
    <dataValidation type="whole" operator="greaterThan" allowBlank="1" showInputMessage="1" showErrorMessage="1" sqref="A8568">
      <formula1>0</formula1>
    </dataValidation>
    <dataValidation type="list" allowBlank="1" showInputMessage="1" showErrorMessage="1" sqref="C8568">
      <formula1>UnidadesList</formula1>
    </dataValidation>
    <dataValidation type="decimal" operator="greaterThan" allowBlank="1" showInputMessage="1" showErrorMessage="1" sqref="D8568">
      <formula1>0</formula1>
    </dataValidation>
    <dataValidation type="decimal" operator="greaterThan" allowBlank="1" showInputMessage="1" showErrorMessage="1" sqref="E8568">
      <formula1>0</formula1>
    </dataValidation>
    <dataValidation type="whole" operator="greaterThan" allowBlank="1" showInputMessage="1" showErrorMessage="1" sqref="A8569">
      <formula1>0</formula1>
    </dataValidation>
    <dataValidation type="list" allowBlank="1" showInputMessage="1" showErrorMessage="1" sqref="C8569">
      <formula1>UnidadesList</formula1>
    </dataValidation>
    <dataValidation type="decimal" operator="greaterThan" allowBlank="1" showInputMessage="1" showErrorMessage="1" sqref="D8569">
      <formula1>0</formula1>
    </dataValidation>
    <dataValidation type="decimal" operator="greaterThan" allowBlank="1" showInputMessage="1" showErrorMessage="1" sqref="E8569">
      <formula1>0</formula1>
    </dataValidation>
    <dataValidation type="whole" operator="greaterThan" allowBlank="1" showInputMessage="1" showErrorMessage="1" sqref="A8570">
      <formula1>0</formula1>
    </dataValidation>
    <dataValidation type="list" allowBlank="1" showInputMessage="1" showErrorMessage="1" sqref="C8570">
      <formula1>UnidadesList</formula1>
    </dataValidation>
    <dataValidation type="decimal" operator="greaterThan" allowBlank="1" showInputMessage="1" showErrorMessage="1" sqref="D8570">
      <formula1>0</formula1>
    </dataValidation>
    <dataValidation type="decimal" operator="greaterThan" allowBlank="1" showInputMessage="1" showErrorMessage="1" sqref="E8570">
      <formula1>0</formula1>
    </dataValidation>
    <dataValidation type="whole" operator="greaterThan" allowBlank="1" showInputMessage="1" showErrorMessage="1" sqref="A8571">
      <formula1>0</formula1>
    </dataValidation>
    <dataValidation type="list" allowBlank="1" showInputMessage="1" showErrorMessage="1" sqref="C8571">
      <formula1>UnidadesList</formula1>
    </dataValidation>
    <dataValidation type="decimal" operator="greaterThan" allowBlank="1" showInputMessage="1" showErrorMessage="1" sqref="D8571">
      <formula1>0</formula1>
    </dataValidation>
    <dataValidation type="decimal" operator="greaterThan" allowBlank="1" showInputMessage="1" showErrorMessage="1" sqref="E8571">
      <formula1>0</formula1>
    </dataValidation>
    <dataValidation type="whole" operator="greaterThan" allowBlank="1" showInputMessage="1" showErrorMessage="1" sqref="A8572">
      <formula1>0</formula1>
    </dataValidation>
    <dataValidation type="list" allowBlank="1" showInputMessage="1" showErrorMessage="1" sqref="C8572">
      <formula1>UnidadesList</formula1>
    </dataValidation>
    <dataValidation type="decimal" operator="greaterThan" allowBlank="1" showInputMessage="1" showErrorMessage="1" sqref="D8572">
      <formula1>0</formula1>
    </dataValidation>
    <dataValidation type="decimal" operator="greaterThan" allowBlank="1" showInputMessage="1" showErrorMessage="1" sqref="E8572">
      <formula1>0</formula1>
    </dataValidation>
    <dataValidation type="whole" operator="greaterThan" allowBlank="1" showInputMessage="1" showErrorMessage="1" sqref="A8573">
      <formula1>0</formula1>
    </dataValidation>
    <dataValidation type="list" allowBlank="1" showInputMessage="1" showErrorMessage="1" sqref="C8573">
      <formula1>UnidadesList</formula1>
    </dataValidation>
    <dataValidation type="decimal" operator="greaterThan" allowBlank="1" showInputMessage="1" showErrorMessage="1" sqref="D8573">
      <formula1>0</formula1>
    </dataValidation>
    <dataValidation type="decimal" operator="greaterThan" allowBlank="1" showInputMessage="1" showErrorMessage="1" sqref="E8573">
      <formula1>0</formula1>
    </dataValidation>
    <dataValidation type="whole" operator="greaterThan" allowBlank="1" showInputMessage="1" showErrorMessage="1" sqref="A8574">
      <formula1>0</formula1>
    </dataValidation>
    <dataValidation type="list" allowBlank="1" showInputMessage="1" showErrorMessage="1" sqref="C8574">
      <formula1>UnidadesList</formula1>
    </dataValidation>
    <dataValidation type="decimal" operator="greaterThan" allowBlank="1" showInputMessage="1" showErrorMessage="1" sqref="D8574">
      <formula1>0</formula1>
    </dataValidation>
    <dataValidation type="decimal" operator="greaterThan" allowBlank="1" showInputMessage="1" showErrorMessage="1" sqref="E8574">
      <formula1>0</formula1>
    </dataValidation>
    <dataValidation type="whole" operator="greaterThan" allowBlank="1" showInputMessage="1" showErrorMessage="1" sqref="A8575">
      <formula1>0</formula1>
    </dataValidation>
    <dataValidation type="list" allowBlank="1" showInputMessage="1" showErrorMessage="1" sqref="C8575">
      <formula1>UnidadesList</formula1>
    </dataValidation>
    <dataValidation type="decimal" operator="greaterThan" allowBlank="1" showInputMessage="1" showErrorMessage="1" sqref="D8575">
      <formula1>0</formula1>
    </dataValidation>
    <dataValidation type="decimal" operator="greaterThan" allowBlank="1" showInputMessage="1" showErrorMessage="1" sqref="E8575">
      <formula1>0</formula1>
    </dataValidation>
    <dataValidation type="whole" operator="greaterThan" allowBlank="1" showInputMessage="1" showErrorMessage="1" sqref="A8576">
      <formula1>0</formula1>
    </dataValidation>
    <dataValidation type="list" allowBlank="1" showInputMessage="1" showErrorMessage="1" sqref="C8576">
      <formula1>UnidadesList</formula1>
    </dataValidation>
    <dataValidation type="decimal" operator="greaterThan" allowBlank="1" showInputMessage="1" showErrorMessage="1" sqref="D8576">
      <formula1>0</formula1>
    </dataValidation>
    <dataValidation type="decimal" operator="greaterThan" allowBlank="1" showInputMessage="1" showErrorMessage="1" sqref="E8576">
      <formula1>0</formula1>
    </dataValidation>
    <dataValidation type="whole" operator="greaterThan" allowBlank="1" showInputMessage="1" showErrorMessage="1" sqref="A8577">
      <formula1>0</formula1>
    </dataValidation>
    <dataValidation type="list" allowBlank="1" showInputMessage="1" showErrorMessage="1" sqref="C8577">
      <formula1>UnidadesList</formula1>
    </dataValidation>
    <dataValidation type="decimal" operator="greaterThan" allowBlank="1" showInputMessage="1" showErrorMessage="1" sqref="D8577">
      <formula1>0</formula1>
    </dataValidation>
    <dataValidation type="decimal" operator="greaterThan" allowBlank="1" showInputMessage="1" showErrorMessage="1" sqref="E8577">
      <formula1>0</formula1>
    </dataValidation>
    <dataValidation type="whole" operator="greaterThan" allowBlank="1" showInputMessage="1" showErrorMessage="1" sqref="A8578">
      <formula1>0</formula1>
    </dataValidation>
    <dataValidation type="list" allowBlank="1" showInputMessage="1" showErrorMessage="1" sqref="C8578">
      <formula1>UnidadesList</formula1>
    </dataValidation>
    <dataValidation type="decimal" operator="greaterThan" allowBlank="1" showInputMessage="1" showErrorMessage="1" sqref="D8578">
      <formula1>0</formula1>
    </dataValidation>
    <dataValidation type="decimal" operator="greaterThan" allowBlank="1" showInputMessage="1" showErrorMessage="1" sqref="E8578">
      <formula1>0</formula1>
    </dataValidation>
    <dataValidation type="whole" operator="greaterThan" allowBlank="1" showInputMessage="1" showErrorMessage="1" sqref="A8579">
      <formula1>0</formula1>
    </dataValidation>
    <dataValidation type="list" allowBlank="1" showInputMessage="1" showErrorMessage="1" sqref="C8579">
      <formula1>UnidadesList</formula1>
    </dataValidation>
    <dataValidation type="decimal" operator="greaterThan" allowBlank="1" showInputMessage="1" showErrorMessage="1" sqref="D8579">
      <formula1>0</formula1>
    </dataValidation>
    <dataValidation type="decimal" operator="greaterThan" allowBlank="1" showInputMessage="1" showErrorMessage="1" sqref="E8579">
      <formula1>0</formula1>
    </dataValidation>
    <dataValidation type="whole" operator="greaterThan" allowBlank="1" showInputMessage="1" showErrorMessage="1" sqref="A8580">
      <formula1>0</formula1>
    </dataValidation>
    <dataValidation type="list" allowBlank="1" showInputMessage="1" showErrorMessage="1" sqref="C8580">
      <formula1>UnidadesList</formula1>
    </dataValidation>
    <dataValidation type="decimal" operator="greaterThan" allowBlank="1" showInputMessage="1" showErrorMessage="1" sqref="D8580">
      <formula1>0</formula1>
    </dataValidation>
    <dataValidation type="decimal" operator="greaterThan" allowBlank="1" showInputMessage="1" showErrorMessage="1" sqref="E8580">
      <formula1>0</formula1>
    </dataValidation>
    <dataValidation type="whole" operator="greaterThan" allowBlank="1" showInputMessage="1" showErrorMessage="1" sqref="A8581">
      <formula1>0</formula1>
    </dataValidation>
    <dataValidation type="list" allowBlank="1" showInputMessage="1" showErrorMessage="1" sqref="C8581">
      <formula1>UnidadesList</formula1>
    </dataValidation>
    <dataValidation type="decimal" operator="greaterThan" allowBlank="1" showInputMessage="1" showErrorMessage="1" sqref="D8581">
      <formula1>0</formula1>
    </dataValidation>
    <dataValidation type="decimal" operator="greaterThan" allowBlank="1" showInputMessage="1" showErrorMessage="1" sqref="E8581">
      <formula1>0</formula1>
    </dataValidation>
    <dataValidation type="whole" operator="greaterThan" allowBlank="1" showInputMessage="1" showErrorMessage="1" sqref="A8582">
      <formula1>0</formula1>
    </dataValidation>
    <dataValidation type="list" allowBlank="1" showInputMessage="1" showErrorMessage="1" sqref="C8582">
      <formula1>UnidadesList</formula1>
    </dataValidation>
    <dataValidation type="decimal" operator="greaterThan" allowBlank="1" showInputMessage="1" showErrorMessage="1" sqref="D8582">
      <formula1>0</formula1>
    </dataValidation>
    <dataValidation type="decimal" operator="greaterThan" allowBlank="1" showInputMessage="1" showErrorMessage="1" sqref="E8582">
      <formula1>0</formula1>
    </dataValidation>
    <dataValidation type="whole" operator="greaterThan" allowBlank="1" showInputMessage="1" showErrorMessage="1" sqref="A8583">
      <formula1>0</formula1>
    </dataValidation>
    <dataValidation type="list" allowBlank="1" showInputMessage="1" showErrorMessage="1" sqref="C8583">
      <formula1>UnidadesList</formula1>
    </dataValidation>
    <dataValidation type="decimal" operator="greaterThan" allowBlank="1" showInputMessage="1" showErrorMessage="1" sqref="D8583">
      <formula1>0</formula1>
    </dataValidation>
    <dataValidation type="decimal" operator="greaterThan" allowBlank="1" showInputMessage="1" showErrorMessage="1" sqref="E8583">
      <formula1>0</formula1>
    </dataValidation>
    <dataValidation type="whole" operator="greaterThan" allowBlank="1" showInputMessage="1" showErrorMessage="1" sqref="A8584">
      <formula1>0</formula1>
    </dataValidation>
    <dataValidation type="list" allowBlank="1" showInputMessage="1" showErrorMessage="1" sqref="C8584">
      <formula1>UnidadesList</formula1>
    </dataValidation>
    <dataValidation type="decimal" operator="greaterThan" allowBlank="1" showInputMessage="1" showErrorMessage="1" sqref="D8584">
      <formula1>0</formula1>
    </dataValidation>
    <dataValidation type="decimal" operator="greaterThan" allowBlank="1" showInputMessage="1" showErrorMessage="1" sqref="E8584">
      <formula1>0</formula1>
    </dataValidation>
    <dataValidation type="whole" operator="greaterThan" allowBlank="1" showInputMessage="1" showErrorMessage="1" sqref="A8585">
      <formula1>0</formula1>
    </dataValidation>
    <dataValidation type="list" allowBlank="1" showInputMessage="1" showErrorMessage="1" sqref="C8585">
      <formula1>UnidadesList</formula1>
    </dataValidation>
    <dataValidation type="decimal" operator="greaterThan" allowBlank="1" showInputMessage="1" showErrorMessage="1" sqref="D8585">
      <formula1>0</formula1>
    </dataValidation>
    <dataValidation type="decimal" operator="greaterThan" allowBlank="1" showInputMessage="1" showErrorMessage="1" sqref="E8585">
      <formula1>0</formula1>
    </dataValidation>
    <dataValidation type="whole" operator="greaterThan" allowBlank="1" showInputMessage="1" showErrorMessage="1" sqref="A8586">
      <formula1>0</formula1>
    </dataValidation>
    <dataValidation type="list" allowBlank="1" showInputMessage="1" showErrorMessage="1" sqref="C8586">
      <formula1>UnidadesList</formula1>
    </dataValidation>
    <dataValidation type="decimal" operator="greaterThan" allowBlank="1" showInputMessage="1" showErrorMessage="1" sqref="D8586">
      <formula1>0</formula1>
    </dataValidation>
    <dataValidation type="decimal" operator="greaterThan" allowBlank="1" showInputMessage="1" showErrorMessage="1" sqref="E8586">
      <formula1>0</formula1>
    </dataValidation>
    <dataValidation type="whole" operator="greaterThan" allowBlank="1" showInputMessage="1" showErrorMessage="1" sqref="A8587">
      <formula1>0</formula1>
    </dataValidation>
    <dataValidation type="list" allowBlank="1" showInputMessage="1" showErrorMessage="1" sqref="C8587">
      <formula1>UnidadesList</formula1>
    </dataValidation>
    <dataValidation type="decimal" operator="greaterThan" allowBlank="1" showInputMessage="1" showErrorMessage="1" sqref="D8587">
      <formula1>0</formula1>
    </dataValidation>
    <dataValidation type="decimal" operator="greaterThan" allowBlank="1" showInputMessage="1" showErrorMessage="1" sqref="E8587">
      <formula1>0</formula1>
    </dataValidation>
    <dataValidation type="whole" operator="greaterThan" allowBlank="1" showInputMessage="1" showErrorMessage="1" sqref="A8588">
      <formula1>0</formula1>
    </dataValidation>
    <dataValidation type="list" allowBlank="1" showInputMessage="1" showErrorMessage="1" sqref="C8588">
      <formula1>UnidadesList</formula1>
    </dataValidation>
    <dataValidation type="decimal" operator="greaterThan" allowBlank="1" showInputMessage="1" showErrorMessage="1" sqref="D8588">
      <formula1>0</formula1>
    </dataValidation>
    <dataValidation type="decimal" operator="greaterThan" allowBlank="1" showInputMessage="1" showErrorMessage="1" sqref="E8588">
      <formula1>0</formula1>
    </dataValidation>
    <dataValidation type="whole" operator="greaterThan" allowBlank="1" showInputMessage="1" showErrorMessage="1" sqref="A8589">
      <formula1>0</formula1>
    </dataValidation>
    <dataValidation type="list" allowBlank="1" showInputMessage="1" showErrorMessage="1" sqref="C8589">
      <formula1>UnidadesList</formula1>
    </dataValidation>
    <dataValidation type="decimal" operator="greaterThan" allowBlank="1" showInputMessage="1" showErrorMessage="1" sqref="D8589">
      <formula1>0</formula1>
    </dataValidation>
    <dataValidation type="decimal" operator="greaterThan" allowBlank="1" showInputMessage="1" showErrorMessage="1" sqref="E8589">
      <formula1>0</formula1>
    </dataValidation>
    <dataValidation type="whole" operator="greaterThan" allowBlank="1" showInputMessage="1" showErrorMessage="1" sqref="A8590">
      <formula1>0</formula1>
    </dataValidation>
    <dataValidation type="list" allowBlank="1" showInputMessage="1" showErrorMessage="1" sqref="C8590">
      <formula1>UnidadesList</formula1>
    </dataValidation>
    <dataValidation type="decimal" operator="greaterThan" allowBlank="1" showInputMessage="1" showErrorMessage="1" sqref="D8590">
      <formula1>0</formula1>
    </dataValidation>
    <dataValidation type="decimal" operator="greaterThan" allowBlank="1" showInputMessage="1" showErrorMessage="1" sqref="E8590">
      <formula1>0</formula1>
    </dataValidation>
    <dataValidation type="whole" operator="greaterThan" allowBlank="1" showInputMessage="1" showErrorMessage="1" sqref="A8591">
      <formula1>0</formula1>
    </dataValidation>
    <dataValidation type="list" allowBlank="1" showInputMessage="1" showErrorMessage="1" sqref="C8591">
      <formula1>UnidadesList</formula1>
    </dataValidation>
    <dataValidation type="decimal" operator="greaterThan" allowBlank="1" showInputMessage="1" showErrorMessage="1" sqref="D8591">
      <formula1>0</formula1>
    </dataValidation>
    <dataValidation type="decimal" operator="greaterThan" allowBlank="1" showInputMessage="1" showErrorMessage="1" sqref="E8591">
      <formula1>0</formula1>
    </dataValidation>
    <dataValidation type="whole" operator="greaterThan" allowBlank="1" showInputMessage="1" showErrorMessage="1" sqref="A8592">
      <formula1>0</formula1>
    </dataValidation>
    <dataValidation type="list" allowBlank="1" showInputMessage="1" showErrorMessage="1" sqref="C8592">
      <formula1>UnidadesList</formula1>
    </dataValidation>
    <dataValidation type="decimal" operator="greaterThan" allowBlank="1" showInputMessage="1" showErrorMessage="1" sqref="D8592">
      <formula1>0</formula1>
    </dataValidation>
    <dataValidation type="decimal" operator="greaterThan" allowBlank="1" showInputMessage="1" showErrorMessage="1" sqref="E8592">
      <formula1>0</formula1>
    </dataValidation>
    <dataValidation type="whole" operator="greaterThan" allowBlank="1" showInputMessage="1" showErrorMessage="1" sqref="A8593">
      <formula1>0</formula1>
    </dataValidation>
    <dataValidation type="list" allowBlank="1" showInputMessage="1" showErrorMessage="1" sqref="C8593">
      <formula1>UnidadesList</formula1>
    </dataValidation>
    <dataValidation type="decimal" operator="greaterThan" allowBlank="1" showInputMessage="1" showErrorMessage="1" sqref="D8593">
      <formula1>0</formula1>
    </dataValidation>
    <dataValidation type="decimal" operator="greaterThan" allowBlank="1" showInputMessage="1" showErrorMessage="1" sqref="E8593">
      <formula1>0</formula1>
    </dataValidation>
    <dataValidation type="whole" operator="greaterThan" allowBlank="1" showInputMessage="1" showErrorMessage="1" sqref="A8594">
      <formula1>0</formula1>
    </dataValidation>
    <dataValidation type="list" allowBlank="1" showInputMessage="1" showErrorMessage="1" sqref="C8594">
      <formula1>UnidadesList</formula1>
    </dataValidation>
    <dataValidation type="decimal" operator="greaterThan" allowBlank="1" showInputMessage="1" showErrorMessage="1" sqref="D8594">
      <formula1>0</formula1>
    </dataValidation>
    <dataValidation type="decimal" operator="greaterThan" allowBlank="1" showInputMessage="1" showErrorMessage="1" sqref="E8594">
      <formula1>0</formula1>
    </dataValidation>
    <dataValidation type="whole" operator="greaterThan" allowBlank="1" showInputMessage="1" showErrorMessage="1" sqref="A8595">
      <formula1>0</formula1>
    </dataValidation>
    <dataValidation type="list" allowBlank="1" showInputMessage="1" showErrorMessage="1" sqref="C8595">
      <formula1>UnidadesList</formula1>
    </dataValidation>
    <dataValidation type="decimal" operator="greaterThan" allowBlank="1" showInputMessage="1" showErrorMessage="1" sqref="D8595">
      <formula1>0</formula1>
    </dataValidation>
    <dataValidation type="decimal" operator="greaterThan" allowBlank="1" showInputMessage="1" showErrorMessage="1" sqref="E8595">
      <formula1>0</formula1>
    </dataValidation>
    <dataValidation type="whole" operator="greaterThan" allowBlank="1" showInputMessage="1" showErrorMessage="1" sqref="A8596">
      <formula1>0</formula1>
    </dataValidation>
    <dataValidation type="list" allowBlank="1" showInputMessage="1" showErrorMessage="1" sqref="C8596">
      <formula1>UnidadesList</formula1>
    </dataValidation>
    <dataValidation type="decimal" operator="greaterThan" allowBlank="1" showInputMessage="1" showErrorMessage="1" sqref="D8596">
      <formula1>0</formula1>
    </dataValidation>
    <dataValidation type="decimal" operator="greaterThan" allowBlank="1" showInputMessage="1" showErrorMessage="1" sqref="E8596">
      <formula1>0</formula1>
    </dataValidation>
    <dataValidation type="whole" operator="greaterThan" allowBlank="1" showInputMessage="1" showErrorMessage="1" sqref="A8597">
      <formula1>0</formula1>
    </dataValidation>
    <dataValidation type="list" allowBlank="1" showInputMessage="1" showErrorMessage="1" sqref="C8597">
      <formula1>UnidadesList</formula1>
    </dataValidation>
    <dataValidation type="decimal" operator="greaterThan" allowBlank="1" showInputMessage="1" showErrorMessage="1" sqref="D8597">
      <formula1>0</formula1>
    </dataValidation>
    <dataValidation type="decimal" operator="greaterThan" allowBlank="1" showInputMessage="1" showErrorMessage="1" sqref="E8597">
      <formula1>0</formula1>
    </dataValidation>
    <dataValidation type="whole" operator="greaterThan" allowBlank="1" showInputMessage="1" showErrorMessage="1" sqref="A8598">
      <formula1>0</formula1>
    </dataValidation>
    <dataValidation type="list" allowBlank="1" showInputMessage="1" showErrorMessage="1" sqref="C8598">
      <formula1>UnidadesList</formula1>
    </dataValidation>
    <dataValidation type="decimal" operator="greaterThan" allowBlank="1" showInputMessage="1" showErrorMessage="1" sqref="D8598">
      <formula1>0</formula1>
    </dataValidation>
    <dataValidation type="decimal" operator="greaterThan" allowBlank="1" showInputMessage="1" showErrorMessage="1" sqref="E8598">
      <formula1>0</formula1>
    </dataValidation>
    <dataValidation type="whole" operator="greaterThan" allowBlank="1" showInputMessage="1" showErrorMessage="1" sqref="A8599">
      <formula1>0</formula1>
    </dataValidation>
    <dataValidation type="list" allowBlank="1" showInputMessage="1" showErrorMessage="1" sqref="C8599">
      <formula1>UnidadesList</formula1>
    </dataValidation>
    <dataValidation type="decimal" operator="greaterThan" allowBlank="1" showInputMessage="1" showErrorMessage="1" sqref="D8599">
      <formula1>0</formula1>
    </dataValidation>
    <dataValidation type="decimal" operator="greaterThan" allowBlank="1" showInputMessage="1" showErrorMessage="1" sqref="E8599">
      <formula1>0</formula1>
    </dataValidation>
    <dataValidation type="whole" operator="greaterThan" allowBlank="1" showInputMessage="1" showErrorMessage="1" sqref="A8600">
      <formula1>0</formula1>
    </dataValidation>
    <dataValidation type="list" allowBlank="1" showInputMessage="1" showErrorMessage="1" sqref="C8600">
      <formula1>UnidadesList</formula1>
    </dataValidation>
    <dataValidation type="decimal" operator="greaterThan" allowBlank="1" showInputMessage="1" showErrorMessage="1" sqref="D8600">
      <formula1>0</formula1>
    </dataValidation>
    <dataValidation type="decimal" operator="greaterThan" allowBlank="1" showInputMessage="1" showErrorMessage="1" sqref="E8600">
      <formula1>0</formula1>
    </dataValidation>
    <dataValidation type="whole" operator="greaterThan" allowBlank="1" showInputMessage="1" showErrorMessage="1" sqref="A8601">
      <formula1>0</formula1>
    </dataValidation>
    <dataValidation type="list" allowBlank="1" showInputMessage="1" showErrorMessage="1" sqref="C8601">
      <formula1>UnidadesList</formula1>
    </dataValidation>
    <dataValidation type="decimal" operator="greaterThan" allowBlank="1" showInputMessage="1" showErrorMessage="1" sqref="D8601">
      <formula1>0</formula1>
    </dataValidation>
    <dataValidation type="decimal" operator="greaterThan" allowBlank="1" showInputMessage="1" showErrorMessage="1" sqref="E8601">
      <formula1>0</formula1>
    </dataValidation>
    <dataValidation type="whole" operator="greaterThan" allowBlank="1" showInputMessage="1" showErrorMessage="1" sqref="A8602">
      <formula1>0</formula1>
    </dataValidation>
    <dataValidation type="list" allowBlank="1" showInputMessage="1" showErrorMessage="1" sqref="C8602">
      <formula1>UnidadesList</formula1>
    </dataValidation>
    <dataValidation type="decimal" operator="greaterThan" allowBlank="1" showInputMessage="1" showErrorMessage="1" sqref="D8602">
      <formula1>0</formula1>
    </dataValidation>
    <dataValidation type="decimal" operator="greaterThan" allowBlank="1" showInputMessage="1" showErrorMessage="1" sqref="E8602">
      <formula1>0</formula1>
    </dataValidation>
    <dataValidation type="whole" operator="greaterThan" allowBlank="1" showInputMessage="1" showErrorMessage="1" sqref="A8603">
      <formula1>0</formula1>
    </dataValidation>
    <dataValidation type="list" allowBlank="1" showInputMessage="1" showErrorMessage="1" sqref="C8603">
      <formula1>UnidadesList</formula1>
    </dataValidation>
    <dataValidation type="decimal" operator="greaterThan" allowBlank="1" showInputMessage="1" showErrorMessage="1" sqref="D8603">
      <formula1>0</formula1>
    </dataValidation>
    <dataValidation type="decimal" operator="greaterThan" allowBlank="1" showInputMessage="1" showErrorMessage="1" sqref="E8603">
      <formula1>0</formula1>
    </dataValidation>
    <dataValidation type="whole" operator="greaterThan" allowBlank="1" showInputMessage="1" showErrorMessage="1" sqref="A8604">
      <formula1>0</formula1>
    </dataValidation>
    <dataValidation type="list" allowBlank="1" showInputMessage="1" showErrorMessage="1" sqref="C8604">
      <formula1>UnidadesList</formula1>
    </dataValidation>
    <dataValidation type="decimal" operator="greaterThan" allowBlank="1" showInputMessage="1" showErrorMessage="1" sqref="D8604">
      <formula1>0</formula1>
    </dataValidation>
    <dataValidation type="decimal" operator="greaterThan" allowBlank="1" showInputMessage="1" showErrorMessage="1" sqref="E8604">
      <formula1>0</formula1>
    </dataValidation>
    <dataValidation type="whole" operator="greaterThan" allowBlank="1" showInputMessage="1" showErrorMessage="1" sqref="A8605">
      <formula1>0</formula1>
    </dataValidation>
    <dataValidation type="list" allowBlank="1" showInputMessage="1" showErrorMessage="1" sqref="C8605">
      <formula1>UnidadesList</formula1>
    </dataValidation>
    <dataValidation type="decimal" operator="greaterThan" allowBlank="1" showInputMessage="1" showErrorMessage="1" sqref="D8605">
      <formula1>0</formula1>
    </dataValidation>
    <dataValidation type="decimal" operator="greaterThan" allowBlank="1" showInputMessage="1" showErrorMessage="1" sqref="E8605">
      <formula1>0</formula1>
    </dataValidation>
    <dataValidation type="whole" operator="greaterThan" allowBlank="1" showInputMessage="1" showErrorMessage="1" sqref="A8606">
      <formula1>0</formula1>
    </dataValidation>
    <dataValidation type="list" allowBlank="1" showInputMessage="1" showErrorMessage="1" sqref="C8606">
      <formula1>UnidadesList</formula1>
    </dataValidation>
    <dataValidation type="decimal" operator="greaterThan" allowBlank="1" showInputMessage="1" showErrorMessage="1" sqref="D8606">
      <formula1>0</formula1>
    </dataValidation>
    <dataValidation type="decimal" operator="greaterThan" allowBlank="1" showInputMessage="1" showErrorMessage="1" sqref="E8606">
      <formula1>0</formula1>
    </dataValidation>
    <dataValidation type="whole" operator="greaterThan" allowBlank="1" showInputMessage="1" showErrorMessage="1" sqref="A8607">
      <formula1>0</formula1>
    </dataValidation>
    <dataValidation type="list" allowBlank="1" showInputMessage="1" showErrorMessage="1" sqref="C8607">
      <formula1>UnidadesList</formula1>
    </dataValidation>
    <dataValidation type="decimal" operator="greaterThan" allowBlank="1" showInputMessage="1" showErrorMessage="1" sqref="D8607">
      <formula1>0</formula1>
    </dataValidation>
    <dataValidation type="decimal" operator="greaterThan" allowBlank="1" showInputMessage="1" showErrorMessage="1" sqref="E8607">
      <formula1>0</formula1>
    </dataValidation>
    <dataValidation type="whole" operator="greaterThan" allowBlank="1" showInputMessage="1" showErrorMessage="1" sqref="A8608">
      <formula1>0</formula1>
    </dataValidation>
    <dataValidation type="list" allowBlank="1" showInputMessage="1" showErrorMessage="1" sqref="C8608">
      <formula1>UnidadesList</formula1>
    </dataValidation>
    <dataValidation type="decimal" operator="greaterThan" allowBlank="1" showInputMessage="1" showErrorMessage="1" sqref="D8608">
      <formula1>0</formula1>
    </dataValidation>
    <dataValidation type="decimal" operator="greaterThan" allowBlank="1" showInputMessage="1" showErrorMessage="1" sqref="E8608">
      <formula1>0</formula1>
    </dataValidation>
    <dataValidation type="whole" operator="greaterThan" allowBlank="1" showInputMessage="1" showErrorMessage="1" sqref="A8609">
      <formula1>0</formula1>
    </dataValidation>
    <dataValidation type="list" allowBlank="1" showInputMessage="1" showErrorMessage="1" sqref="C8609">
      <formula1>UnidadesList</formula1>
    </dataValidation>
    <dataValidation type="decimal" operator="greaterThan" allowBlank="1" showInputMessage="1" showErrorMessage="1" sqref="D8609">
      <formula1>0</formula1>
    </dataValidation>
    <dataValidation type="decimal" operator="greaterThan" allowBlank="1" showInputMessage="1" showErrorMessage="1" sqref="E8609">
      <formula1>0</formula1>
    </dataValidation>
    <dataValidation type="whole" operator="greaterThan" allowBlank="1" showInputMessage="1" showErrorMessage="1" sqref="A8610">
      <formula1>0</formula1>
    </dataValidation>
    <dataValidation type="list" allowBlank="1" showInputMessage="1" showErrorMessage="1" sqref="C8610">
      <formula1>UnidadesList</formula1>
    </dataValidation>
    <dataValidation type="decimal" operator="greaterThan" allowBlank="1" showInputMessage="1" showErrorMessage="1" sqref="D8610">
      <formula1>0</formula1>
    </dataValidation>
    <dataValidation type="decimal" operator="greaterThan" allowBlank="1" showInputMessage="1" showErrorMessage="1" sqref="E8610">
      <formula1>0</formula1>
    </dataValidation>
    <dataValidation type="whole" operator="greaterThan" allowBlank="1" showInputMessage="1" showErrorMessage="1" sqref="A8611">
      <formula1>0</formula1>
    </dataValidation>
    <dataValidation type="list" allowBlank="1" showInputMessage="1" showErrorMessage="1" sqref="C8611">
      <formula1>UnidadesList</formula1>
    </dataValidation>
    <dataValidation type="decimal" operator="greaterThan" allowBlank="1" showInputMessage="1" showErrorMessage="1" sqref="D8611">
      <formula1>0</formula1>
    </dataValidation>
    <dataValidation type="decimal" operator="greaterThan" allowBlank="1" showInputMessage="1" showErrorMessage="1" sqref="E8611">
      <formula1>0</formula1>
    </dataValidation>
    <dataValidation type="whole" operator="greaterThan" allowBlank="1" showInputMessage="1" showErrorMessage="1" sqref="A8612">
      <formula1>0</formula1>
    </dataValidation>
    <dataValidation type="list" allowBlank="1" showInputMessage="1" showErrorMessage="1" sqref="C8612">
      <formula1>UnidadesList</formula1>
    </dataValidation>
    <dataValidation type="decimal" operator="greaterThan" allowBlank="1" showInputMessage="1" showErrorMessage="1" sqref="D8612">
      <formula1>0</formula1>
    </dataValidation>
    <dataValidation type="decimal" operator="greaterThan" allowBlank="1" showInputMessage="1" showErrorMessage="1" sqref="E8612">
      <formula1>0</formula1>
    </dataValidation>
    <dataValidation type="whole" operator="greaterThan" allowBlank="1" showInputMessage="1" showErrorMessage="1" sqref="A8613">
      <formula1>0</formula1>
    </dataValidation>
    <dataValidation type="list" allowBlank="1" showInputMessage="1" showErrorMessage="1" sqref="C8613">
      <formula1>UnidadesList</formula1>
    </dataValidation>
    <dataValidation type="decimal" operator="greaterThan" allowBlank="1" showInputMessage="1" showErrorMessage="1" sqref="D8613">
      <formula1>0</formula1>
    </dataValidation>
    <dataValidation type="decimal" operator="greaterThan" allowBlank="1" showInputMessage="1" showErrorMessage="1" sqref="E8613">
      <formula1>0</formula1>
    </dataValidation>
    <dataValidation type="whole" operator="greaterThan" allowBlank="1" showInputMessage="1" showErrorMessage="1" sqref="A8614">
      <formula1>0</formula1>
    </dataValidation>
    <dataValidation type="list" allowBlank="1" showInputMessage="1" showErrorMessage="1" sqref="C8614">
      <formula1>UnidadesList</formula1>
    </dataValidation>
    <dataValidation type="decimal" operator="greaterThan" allowBlank="1" showInputMessage="1" showErrorMessage="1" sqref="D8614">
      <formula1>0</formula1>
    </dataValidation>
    <dataValidation type="decimal" operator="greaterThan" allowBlank="1" showInputMessage="1" showErrorMessage="1" sqref="E8614">
      <formula1>0</formula1>
    </dataValidation>
    <dataValidation type="whole" operator="greaterThan" allowBlank="1" showInputMessage="1" showErrorMessage="1" sqref="A8615">
      <formula1>0</formula1>
    </dataValidation>
    <dataValidation type="list" allowBlank="1" showInputMessage="1" showErrorMessage="1" sqref="C8615">
      <formula1>UnidadesList</formula1>
    </dataValidation>
    <dataValidation type="decimal" operator="greaterThan" allowBlank="1" showInputMessage="1" showErrorMessage="1" sqref="D8615">
      <formula1>0</formula1>
    </dataValidation>
    <dataValidation type="decimal" operator="greaterThan" allowBlank="1" showInputMessage="1" showErrorMessage="1" sqref="E8615">
      <formula1>0</formula1>
    </dataValidation>
    <dataValidation type="whole" operator="greaterThan" allowBlank="1" showInputMessage="1" showErrorMessage="1" sqref="A8616">
      <formula1>0</formula1>
    </dataValidation>
    <dataValidation type="list" allowBlank="1" showInputMessage="1" showErrorMessage="1" sqref="C8616">
      <formula1>UnidadesList</formula1>
    </dataValidation>
    <dataValidation type="decimal" operator="greaterThan" allowBlank="1" showInputMessage="1" showErrorMessage="1" sqref="D8616">
      <formula1>0</formula1>
    </dataValidation>
    <dataValidation type="decimal" operator="greaterThan" allowBlank="1" showInputMessage="1" showErrorMessage="1" sqref="E8616">
      <formula1>0</formula1>
    </dataValidation>
    <dataValidation type="whole" operator="greaterThan" allowBlank="1" showInputMessage="1" showErrorMessage="1" sqref="A8617">
      <formula1>0</formula1>
    </dataValidation>
    <dataValidation type="list" allowBlank="1" showInputMessage="1" showErrorMessage="1" sqref="C8617">
      <formula1>UnidadesList</formula1>
    </dataValidation>
    <dataValidation type="decimal" operator="greaterThan" allowBlank="1" showInputMessage="1" showErrorMessage="1" sqref="D8617">
      <formula1>0</formula1>
    </dataValidation>
    <dataValidation type="decimal" operator="greaterThan" allowBlank="1" showInputMessage="1" showErrorMessage="1" sqref="E8617">
      <formula1>0</formula1>
    </dataValidation>
    <dataValidation type="whole" operator="greaterThan" allowBlank="1" showInputMessage="1" showErrorMessage="1" sqref="A8618">
      <formula1>0</formula1>
    </dataValidation>
    <dataValidation type="list" allowBlank="1" showInputMessage="1" showErrorMessage="1" sqref="C8618">
      <formula1>UnidadesList</formula1>
    </dataValidation>
    <dataValidation type="decimal" operator="greaterThan" allowBlank="1" showInputMessage="1" showErrorMessage="1" sqref="D8618">
      <formula1>0</formula1>
    </dataValidation>
    <dataValidation type="decimal" operator="greaterThan" allowBlank="1" showInputMessage="1" showErrorMessage="1" sqref="E8618">
      <formula1>0</formula1>
    </dataValidation>
    <dataValidation type="whole" operator="greaterThan" allowBlank="1" showInputMessage="1" showErrorMessage="1" sqref="A8619">
      <formula1>0</formula1>
    </dataValidation>
    <dataValidation type="list" allowBlank="1" showInputMessage="1" showErrorMessage="1" sqref="C8619">
      <formula1>UnidadesList</formula1>
    </dataValidation>
    <dataValidation type="decimal" operator="greaterThan" allowBlank="1" showInputMessage="1" showErrorMessage="1" sqref="D8619">
      <formula1>0</formula1>
    </dataValidation>
    <dataValidation type="decimal" operator="greaterThan" allowBlank="1" showInputMessage="1" showErrorMessage="1" sqref="E8619">
      <formula1>0</formula1>
    </dataValidation>
    <dataValidation type="whole" operator="greaterThan" allowBlank="1" showInputMessage="1" showErrorMessage="1" sqref="A8620">
      <formula1>0</formula1>
    </dataValidation>
    <dataValidation type="list" allowBlank="1" showInputMessage="1" showErrorMessage="1" sqref="C8620">
      <formula1>UnidadesList</formula1>
    </dataValidation>
    <dataValidation type="decimal" operator="greaterThan" allowBlank="1" showInputMessage="1" showErrorMessage="1" sqref="D8620">
      <formula1>0</formula1>
    </dataValidation>
    <dataValidation type="decimal" operator="greaterThan" allowBlank="1" showInputMessage="1" showErrorMessage="1" sqref="E8620">
      <formula1>0</formula1>
    </dataValidation>
    <dataValidation type="whole" operator="greaterThan" allowBlank="1" showInputMessage="1" showErrorMessage="1" sqref="A8621">
      <formula1>0</formula1>
    </dataValidation>
    <dataValidation type="list" allowBlank="1" showInputMessage="1" showErrorMessage="1" sqref="C8621">
      <formula1>UnidadesList</formula1>
    </dataValidation>
    <dataValidation type="decimal" operator="greaterThan" allowBlank="1" showInputMessage="1" showErrorMessage="1" sqref="D8621">
      <formula1>0</formula1>
    </dataValidation>
    <dataValidation type="decimal" operator="greaterThan" allowBlank="1" showInputMessage="1" showErrorMessage="1" sqref="E8621">
      <formula1>0</formula1>
    </dataValidation>
    <dataValidation type="whole" operator="greaterThan" allowBlank="1" showInputMessage="1" showErrorMessage="1" sqref="A8622">
      <formula1>0</formula1>
    </dataValidation>
    <dataValidation type="list" allowBlank="1" showInputMessage="1" showErrorMessage="1" sqref="C8622">
      <formula1>UnidadesList</formula1>
    </dataValidation>
    <dataValidation type="decimal" operator="greaterThan" allowBlank="1" showInputMessage="1" showErrorMessage="1" sqref="D8622">
      <formula1>0</formula1>
    </dataValidation>
    <dataValidation type="decimal" operator="greaterThan" allowBlank="1" showInputMessage="1" showErrorMessage="1" sqref="E8622">
      <formula1>0</formula1>
    </dataValidation>
    <dataValidation type="whole" operator="greaterThan" allowBlank="1" showInputMessage="1" showErrorMessage="1" sqref="A8623">
      <formula1>0</formula1>
    </dataValidation>
    <dataValidation type="list" allowBlank="1" showInputMessage="1" showErrorMessage="1" sqref="C8623">
      <formula1>UnidadesList</formula1>
    </dataValidation>
    <dataValidation type="decimal" operator="greaterThan" allowBlank="1" showInputMessage="1" showErrorMessage="1" sqref="D8623">
      <formula1>0</formula1>
    </dataValidation>
    <dataValidation type="decimal" operator="greaterThan" allowBlank="1" showInputMessage="1" showErrorMessage="1" sqref="E8623">
      <formula1>0</formula1>
    </dataValidation>
    <dataValidation type="whole" operator="greaterThan" allowBlank="1" showInputMessage="1" showErrorMessage="1" sqref="A8624">
      <formula1>0</formula1>
    </dataValidation>
    <dataValidation type="list" allowBlank="1" showInputMessage="1" showErrorMessage="1" sqref="C8624">
      <formula1>UnidadesList</formula1>
    </dataValidation>
    <dataValidation type="decimal" operator="greaterThan" allowBlank="1" showInputMessage="1" showErrorMessage="1" sqref="D8624">
      <formula1>0</formula1>
    </dataValidation>
    <dataValidation type="decimal" operator="greaterThan" allowBlank="1" showInputMessage="1" showErrorMessage="1" sqref="E8624">
      <formula1>0</formula1>
    </dataValidation>
    <dataValidation type="whole" operator="greaterThan" allowBlank="1" showInputMessage="1" showErrorMessage="1" sqref="A8625">
      <formula1>0</formula1>
    </dataValidation>
    <dataValidation type="list" allowBlank="1" showInputMessage="1" showErrorMessage="1" sqref="C8625">
      <formula1>UnidadesList</formula1>
    </dataValidation>
    <dataValidation type="decimal" operator="greaterThan" allowBlank="1" showInputMessage="1" showErrorMessage="1" sqref="D8625">
      <formula1>0</formula1>
    </dataValidation>
    <dataValidation type="decimal" operator="greaterThan" allowBlank="1" showInputMessage="1" showErrorMessage="1" sqref="E8625">
      <formula1>0</formula1>
    </dataValidation>
    <dataValidation type="whole" operator="greaterThan" allowBlank="1" showInputMessage="1" showErrorMessage="1" sqref="A8626">
      <formula1>0</formula1>
    </dataValidation>
    <dataValidation type="list" allowBlank="1" showInputMessage="1" showErrorMessage="1" sqref="C8626">
      <formula1>UnidadesList</formula1>
    </dataValidation>
    <dataValidation type="decimal" operator="greaterThan" allowBlank="1" showInputMessage="1" showErrorMessage="1" sqref="D8626">
      <formula1>0</formula1>
    </dataValidation>
    <dataValidation type="decimal" operator="greaterThan" allowBlank="1" showInputMessage="1" showErrorMessage="1" sqref="E8626">
      <formula1>0</formula1>
    </dataValidation>
    <dataValidation type="whole" operator="greaterThan" allowBlank="1" showInputMessage="1" showErrorMessage="1" sqref="A8627">
      <formula1>0</formula1>
    </dataValidation>
    <dataValidation type="list" allowBlank="1" showInputMessage="1" showErrorMessage="1" sqref="C8627">
      <formula1>UnidadesList</formula1>
    </dataValidation>
    <dataValidation type="decimal" operator="greaterThan" allowBlank="1" showInputMessage="1" showErrorMessage="1" sqref="D8627">
      <formula1>0</formula1>
    </dataValidation>
    <dataValidation type="decimal" operator="greaterThan" allowBlank="1" showInputMessage="1" showErrorMessage="1" sqref="E8627">
      <formula1>0</formula1>
    </dataValidation>
    <dataValidation type="whole" operator="greaterThan" allowBlank="1" showInputMessage="1" showErrorMessage="1" sqref="A8628">
      <formula1>0</formula1>
    </dataValidation>
    <dataValidation type="list" allowBlank="1" showInputMessage="1" showErrorMessage="1" sqref="C8628">
      <formula1>UnidadesList</formula1>
    </dataValidation>
    <dataValidation type="decimal" operator="greaterThan" allowBlank="1" showInputMessage="1" showErrorMessage="1" sqref="D8628">
      <formula1>0</formula1>
    </dataValidation>
    <dataValidation type="decimal" operator="greaterThan" allowBlank="1" showInputMessage="1" showErrorMessage="1" sqref="E8628">
      <formula1>0</formula1>
    </dataValidation>
    <dataValidation type="whole" operator="greaterThan" allowBlank="1" showInputMessage="1" showErrorMessage="1" sqref="A8629">
      <formula1>0</formula1>
    </dataValidation>
    <dataValidation type="list" allowBlank="1" showInputMessage="1" showErrorMessage="1" sqref="C8629">
      <formula1>UnidadesList</formula1>
    </dataValidation>
    <dataValidation type="decimal" operator="greaterThan" allowBlank="1" showInputMessage="1" showErrorMessage="1" sqref="D8629">
      <formula1>0</formula1>
    </dataValidation>
    <dataValidation type="decimal" operator="greaterThan" allowBlank="1" showInputMessage="1" showErrorMessage="1" sqref="E8629">
      <formula1>0</formula1>
    </dataValidation>
    <dataValidation type="whole" operator="greaterThan" allowBlank="1" showInputMessage="1" showErrorMessage="1" sqref="A8630">
      <formula1>0</formula1>
    </dataValidation>
    <dataValidation type="list" allowBlank="1" showInputMessage="1" showErrorMessage="1" sqref="C8630">
      <formula1>UnidadesList</formula1>
    </dataValidation>
    <dataValidation type="decimal" operator="greaterThan" allowBlank="1" showInputMessage="1" showErrorMessage="1" sqref="D8630">
      <formula1>0</formula1>
    </dataValidation>
    <dataValidation type="decimal" operator="greaterThan" allowBlank="1" showInputMessage="1" showErrorMessage="1" sqref="E8630">
      <formula1>0</formula1>
    </dataValidation>
    <dataValidation type="whole" operator="greaterThan" allowBlank="1" showInputMessage="1" showErrorMessage="1" sqref="A8631">
      <formula1>0</formula1>
    </dataValidation>
    <dataValidation type="list" allowBlank="1" showInputMessage="1" showErrorMessage="1" sqref="C8631">
      <formula1>UnidadesList</formula1>
    </dataValidation>
    <dataValidation type="decimal" operator="greaterThan" allowBlank="1" showInputMessage="1" showErrorMessage="1" sqref="D8631">
      <formula1>0</formula1>
    </dataValidation>
    <dataValidation type="decimal" operator="greaterThan" allowBlank="1" showInputMessage="1" showErrorMessage="1" sqref="E8631">
      <formula1>0</formula1>
    </dataValidation>
    <dataValidation type="whole" operator="greaterThan" allowBlank="1" showInputMessage="1" showErrorMessage="1" sqref="A8632">
      <formula1>0</formula1>
    </dataValidation>
    <dataValidation type="list" allowBlank="1" showInputMessage="1" showErrorMessage="1" sqref="C8632">
      <formula1>UnidadesList</formula1>
    </dataValidation>
    <dataValidation type="decimal" operator="greaterThan" allowBlank="1" showInputMessage="1" showErrorMessage="1" sqref="D8632">
      <formula1>0</formula1>
    </dataValidation>
    <dataValidation type="decimal" operator="greaterThan" allowBlank="1" showInputMessage="1" showErrorMessage="1" sqref="E8632">
      <formula1>0</formula1>
    </dataValidation>
    <dataValidation type="whole" operator="greaterThan" allowBlank="1" showInputMessage="1" showErrorMessage="1" sqref="A8633">
      <formula1>0</formula1>
    </dataValidation>
    <dataValidation type="list" allowBlank="1" showInputMessage="1" showErrorMessage="1" sqref="C8633">
      <formula1>UnidadesList</formula1>
    </dataValidation>
    <dataValidation type="decimal" operator="greaterThan" allowBlank="1" showInputMessage="1" showErrorMessage="1" sqref="D8633">
      <formula1>0</formula1>
    </dataValidation>
    <dataValidation type="decimal" operator="greaterThan" allowBlank="1" showInputMessage="1" showErrorMessage="1" sqref="E8633">
      <formula1>0</formula1>
    </dataValidation>
    <dataValidation type="whole" operator="greaterThan" allowBlank="1" showInputMessage="1" showErrorMessage="1" sqref="A8634">
      <formula1>0</formula1>
    </dataValidation>
    <dataValidation type="list" allowBlank="1" showInputMessage="1" showErrorMessage="1" sqref="C8634">
      <formula1>UnidadesList</formula1>
    </dataValidation>
    <dataValidation type="decimal" operator="greaterThan" allowBlank="1" showInputMessage="1" showErrorMessage="1" sqref="D8634">
      <formula1>0</formula1>
    </dataValidation>
    <dataValidation type="decimal" operator="greaterThan" allowBlank="1" showInputMessage="1" showErrorMessage="1" sqref="E8634">
      <formula1>0</formula1>
    </dataValidation>
    <dataValidation type="whole" operator="greaterThan" allowBlank="1" showInputMessage="1" showErrorMessage="1" sqref="A8635">
      <formula1>0</formula1>
    </dataValidation>
    <dataValidation type="list" allowBlank="1" showInputMessage="1" showErrorMessage="1" sqref="C8635">
      <formula1>UnidadesList</formula1>
    </dataValidation>
    <dataValidation type="decimal" operator="greaterThan" allowBlank="1" showInputMessage="1" showErrorMessage="1" sqref="D8635">
      <formula1>0</formula1>
    </dataValidation>
    <dataValidation type="decimal" operator="greaterThan" allowBlank="1" showInputMessage="1" showErrorMessage="1" sqref="E8635">
      <formula1>0</formula1>
    </dataValidation>
    <dataValidation type="whole" operator="greaterThan" allowBlank="1" showInputMessage="1" showErrorMessage="1" sqref="A8636">
      <formula1>0</formula1>
    </dataValidation>
    <dataValidation type="list" allowBlank="1" showInputMessage="1" showErrorMessage="1" sqref="C8636">
      <formula1>UnidadesList</formula1>
    </dataValidation>
    <dataValidation type="decimal" operator="greaterThan" allowBlank="1" showInputMessage="1" showErrorMessage="1" sqref="D8636">
      <formula1>0</formula1>
    </dataValidation>
    <dataValidation type="decimal" operator="greaterThan" allowBlank="1" showInputMessage="1" showErrorMessage="1" sqref="E8636">
      <formula1>0</formula1>
    </dataValidation>
    <dataValidation type="whole" operator="greaterThan" allowBlank="1" showInputMessage="1" showErrorMessage="1" sqref="A8637">
      <formula1>0</formula1>
    </dataValidation>
    <dataValidation type="list" allowBlank="1" showInputMessage="1" showErrorMessage="1" sqref="C8637">
      <formula1>UnidadesList</formula1>
    </dataValidation>
    <dataValidation type="decimal" operator="greaterThan" allowBlank="1" showInputMessage="1" showErrorMessage="1" sqref="D8637">
      <formula1>0</formula1>
    </dataValidation>
    <dataValidation type="decimal" operator="greaterThan" allowBlank="1" showInputMessage="1" showErrorMessage="1" sqref="E8637">
      <formula1>0</formula1>
    </dataValidation>
    <dataValidation type="whole" operator="greaterThan" allowBlank="1" showInputMessage="1" showErrorMessage="1" sqref="A8638">
      <formula1>0</formula1>
    </dataValidation>
    <dataValidation type="list" allowBlank="1" showInputMessage="1" showErrorMessage="1" sqref="C8638">
      <formula1>UnidadesList</formula1>
    </dataValidation>
    <dataValidation type="decimal" operator="greaterThan" allowBlank="1" showInputMessage="1" showErrorMessage="1" sqref="D8638">
      <formula1>0</formula1>
    </dataValidation>
    <dataValidation type="decimal" operator="greaterThan" allowBlank="1" showInputMessage="1" showErrorMessage="1" sqref="E8638">
      <formula1>0</formula1>
    </dataValidation>
    <dataValidation type="whole" operator="greaterThan" allowBlank="1" showInputMessage="1" showErrorMessage="1" sqref="A8639">
      <formula1>0</formula1>
    </dataValidation>
    <dataValidation type="list" allowBlank="1" showInputMessage="1" showErrorMessage="1" sqref="C8639">
      <formula1>UnidadesList</formula1>
    </dataValidation>
    <dataValidation type="decimal" operator="greaterThan" allowBlank="1" showInputMessage="1" showErrorMessage="1" sqref="D8639">
      <formula1>0</formula1>
    </dataValidation>
    <dataValidation type="decimal" operator="greaterThan" allowBlank="1" showInputMessage="1" showErrorMessage="1" sqref="E8639">
      <formula1>0</formula1>
    </dataValidation>
    <dataValidation type="whole" operator="greaterThan" allowBlank="1" showInputMessage="1" showErrorMessage="1" sqref="A8640">
      <formula1>0</formula1>
    </dataValidation>
    <dataValidation type="list" allowBlank="1" showInputMessage="1" showErrorMessage="1" sqref="C8640">
      <formula1>UnidadesList</formula1>
    </dataValidation>
    <dataValidation type="decimal" operator="greaterThan" allowBlank="1" showInputMessage="1" showErrorMessage="1" sqref="D8640">
      <formula1>0</formula1>
    </dataValidation>
    <dataValidation type="decimal" operator="greaterThan" allowBlank="1" showInputMessage="1" showErrorMessage="1" sqref="E8640">
      <formula1>0</formula1>
    </dataValidation>
    <dataValidation type="whole" operator="greaterThan" allowBlank="1" showInputMessage="1" showErrorMessage="1" sqref="A8641">
      <formula1>0</formula1>
    </dataValidation>
    <dataValidation type="list" allowBlank="1" showInputMessage="1" showErrorMessage="1" sqref="C8641">
      <formula1>UnidadesList</formula1>
    </dataValidation>
    <dataValidation type="decimal" operator="greaterThan" allowBlank="1" showInputMessage="1" showErrorMessage="1" sqref="D8641">
      <formula1>0</formula1>
    </dataValidation>
    <dataValidation type="decimal" operator="greaterThan" allowBlank="1" showInputMessage="1" showErrorMessage="1" sqref="E8641">
      <formula1>0</formula1>
    </dataValidation>
    <dataValidation type="whole" operator="greaterThan" allowBlank="1" showInputMessage="1" showErrorMessage="1" sqref="A8642">
      <formula1>0</formula1>
    </dataValidation>
    <dataValidation type="list" allowBlank="1" showInputMessage="1" showErrorMessage="1" sqref="C8642">
      <formula1>UnidadesList</formula1>
    </dataValidation>
    <dataValidation type="decimal" operator="greaterThan" allowBlank="1" showInputMessage="1" showErrorMessage="1" sqref="D8642">
      <formula1>0</formula1>
    </dataValidation>
    <dataValidation type="decimal" operator="greaterThan" allowBlank="1" showInputMessage="1" showErrorMessage="1" sqref="E8642">
      <formula1>0</formula1>
    </dataValidation>
    <dataValidation type="whole" operator="greaterThan" allowBlank="1" showInputMessage="1" showErrorMessage="1" sqref="A8643">
      <formula1>0</formula1>
    </dataValidation>
    <dataValidation type="list" allowBlank="1" showInputMessage="1" showErrorMessage="1" sqref="C8643">
      <formula1>UnidadesList</formula1>
    </dataValidation>
    <dataValidation type="decimal" operator="greaterThan" allowBlank="1" showInputMessage="1" showErrorMessage="1" sqref="D8643">
      <formula1>0</formula1>
    </dataValidation>
    <dataValidation type="decimal" operator="greaterThan" allowBlank="1" showInputMessage="1" showErrorMessage="1" sqref="E8643">
      <formula1>0</formula1>
    </dataValidation>
    <dataValidation type="whole" operator="greaterThan" allowBlank="1" showInputMessage="1" showErrorMessage="1" sqref="A8644">
      <formula1>0</formula1>
    </dataValidation>
    <dataValidation type="list" allowBlank="1" showInputMessage="1" showErrorMessage="1" sqref="C8644">
      <formula1>UnidadesList</formula1>
    </dataValidation>
    <dataValidation type="decimal" operator="greaterThan" allowBlank="1" showInputMessage="1" showErrorMessage="1" sqref="D8644">
      <formula1>0</formula1>
    </dataValidation>
    <dataValidation type="decimal" operator="greaterThan" allowBlank="1" showInputMessage="1" showErrorMessage="1" sqref="E8644">
      <formula1>0</formula1>
    </dataValidation>
    <dataValidation type="whole" operator="greaterThan" allowBlank="1" showInputMessage="1" showErrorMessage="1" sqref="A8645">
      <formula1>0</formula1>
    </dataValidation>
    <dataValidation type="list" allowBlank="1" showInputMessage="1" showErrorMessage="1" sqref="C8645">
      <formula1>UnidadesList</formula1>
    </dataValidation>
    <dataValidation type="decimal" operator="greaterThan" allowBlank="1" showInputMessage="1" showErrorMessage="1" sqref="D8645">
      <formula1>0</formula1>
    </dataValidation>
    <dataValidation type="decimal" operator="greaterThan" allowBlank="1" showInputMessage="1" showErrorMessage="1" sqref="E8645">
      <formula1>0</formula1>
    </dataValidation>
    <dataValidation type="whole" operator="greaterThan" allowBlank="1" showInputMessage="1" showErrorMessage="1" sqref="A8646">
      <formula1>0</formula1>
    </dataValidation>
    <dataValidation type="list" allowBlank="1" showInputMessage="1" showErrorMessage="1" sqref="C8646">
      <formula1>UnidadesList</formula1>
    </dataValidation>
    <dataValidation type="decimal" operator="greaterThan" allowBlank="1" showInputMessage="1" showErrorMessage="1" sqref="D8646">
      <formula1>0</formula1>
    </dataValidation>
    <dataValidation type="decimal" operator="greaterThan" allowBlank="1" showInputMessage="1" showErrorMessage="1" sqref="E8646">
      <formula1>0</formula1>
    </dataValidation>
    <dataValidation type="whole" operator="greaterThan" allowBlank="1" showInputMessage="1" showErrorMessage="1" sqref="A8647">
      <formula1>0</formula1>
    </dataValidation>
    <dataValidation type="list" allowBlank="1" showInputMessage="1" showErrorMessage="1" sqref="C8647">
      <formula1>UnidadesList</formula1>
    </dataValidation>
    <dataValidation type="decimal" operator="greaterThan" allowBlank="1" showInputMessage="1" showErrorMessage="1" sqref="D8647">
      <formula1>0</formula1>
    </dataValidation>
    <dataValidation type="decimal" operator="greaterThan" allowBlank="1" showInputMessage="1" showErrorMessage="1" sqref="E8647">
      <formula1>0</formula1>
    </dataValidation>
    <dataValidation type="whole" operator="greaterThan" allowBlank="1" showInputMessage="1" showErrorMessage="1" sqref="A8648">
      <formula1>0</formula1>
    </dataValidation>
    <dataValidation type="list" allowBlank="1" showInputMessage="1" showErrorMessage="1" sqref="C8648">
      <formula1>UnidadesList</formula1>
    </dataValidation>
    <dataValidation type="decimal" operator="greaterThan" allowBlank="1" showInputMessage="1" showErrorMessage="1" sqref="D8648">
      <formula1>0</formula1>
    </dataValidation>
    <dataValidation type="decimal" operator="greaterThan" allowBlank="1" showInputMessage="1" showErrorMessage="1" sqref="E8648">
      <formula1>0</formula1>
    </dataValidation>
    <dataValidation type="whole" operator="greaterThan" allowBlank="1" showInputMessage="1" showErrorMessage="1" sqref="A8649">
      <formula1>0</formula1>
    </dataValidation>
    <dataValidation type="list" allowBlank="1" showInputMessage="1" showErrorMessage="1" sqref="C8649">
      <formula1>UnidadesList</formula1>
    </dataValidation>
    <dataValidation type="decimal" operator="greaterThan" allowBlank="1" showInputMessage="1" showErrorMessage="1" sqref="D8649">
      <formula1>0</formula1>
    </dataValidation>
    <dataValidation type="decimal" operator="greaterThan" allowBlank="1" showInputMessage="1" showErrorMessage="1" sqref="E8649">
      <formula1>0</formula1>
    </dataValidation>
    <dataValidation type="whole" operator="greaterThan" allowBlank="1" showInputMessage="1" showErrorMessage="1" sqref="A8650">
      <formula1>0</formula1>
    </dataValidation>
    <dataValidation type="list" allowBlank="1" showInputMessage="1" showErrorMessage="1" sqref="C8650">
      <formula1>UnidadesList</formula1>
    </dataValidation>
    <dataValidation type="decimal" operator="greaterThan" allowBlank="1" showInputMessage="1" showErrorMessage="1" sqref="D8650">
      <formula1>0</formula1>
    </dataValidation>
    <dataValidation type="decimal" operator="greaterThan" allowBlank="1" showInputMessage="1" showErrorMessage="1" sqref="E8650">
      <formula1>0</formula1>
    </dataValidation>
    <dataValidation type="whole" operator="greaterThan" allowBlank="1" showInputMessage="1" showErrorMessage="1" sqref="A8651">
      <formula1>0</formula1>
    </dataValidation>
    <dataValidation type="list" allowBlank="1" showInputMessage="1" showErrorMessage="1" sqref="C8651">
      <formula1>UnidadesList</formula1>
    </dataValidation>
    <dataValidation type="decimal" operator="greaterThan" allowBlank="1" showInputMessage="1" showErrorMessage="1" sqref="D8651">
      <formula1>0</formula1>
    </dataValidation>
    <dataValidation type="decimal" operator="greaterThan" allowBlank="1" showInputMessage="1" showErrorMessage="1" sqref="E8651">
      <formula1>0</formula1>
    </dataValidation>
    <dataValidation type="whole" operator="greaterThan" allowBlank="1" showInputMessage="1" showErrorMessage="1" sqref="A8652">
      <formula1>0</formula1>
    </dataValidation>
    <dataValidation type="list" allowBlank="1" showInputMessage="1" showErrorMessage="1" sqref="C8652">
      <formula1>UnidadesList</formula1>
    </dataValidation>
    <dataValidation type="decimal" operator="greaterThan" allowBlank="1" showInputMessage="1" showErrorMessage="1" sqref="D8652">
      <formula1>0</formula1>
    </dataValidation>
    <dataValidation type="decimal" operator="greaterThan" allowBlank="1" showInputMessage="1" showErrorMessage="1" sqref="E8652">
      <formula1>0</formula1>
    </dataValidation>
    <dataValidation type="whole" operator="greaterThan" allowBlank="1" showInputMessage="1" showErrorMessage="1" sqref="A8653">
      <formula1>0</formula1>
    </dataValidation>
    <dataValidation type="list" allowBlank="1" showInputMessage="1" showErrorMessage="1" sqref="C8653">
      <formula1>UnidadesList</formula1>
    </dataValidation>
    <dataValidation type="decimal" operator="greaterThan" allowBlank="1" showInputMessage="1" showErrorMessage="1" sqref="D8653">
      <formula1>0</formula1>
    </dataValidation>
    <dataValidation type="decimal" operator="greaterThan" allowBlank="1" showInputMessage="1" showErrorMessage="1" sqref="E8653">
      <formula1>0</formula1>
    </dataValidation>
    <dataValidation type="whole" operator="greaterThan" allowBlank="1" showInputMessage="1" showErrorMessage="1" sqref="A8654">
      <formula1>0</formula1>
    </dataValidation>
    <dataValidation type="list" allowBlank="1" showInputMessage="1" showErrorMessage="1" sqref="C8654">
      <formula1>UnidadesList</formula1>
    </dataValidation>
    <dataValidation type="decimal" operator="greaterThan" allowBlank="1" showInputMessage="1" showErrorMessage="1" sqref="D8654">
      <formula1>0</formula1>
    </dataValidation>
    <dataValidation type="decimal" operator="greaterThan" allowBlank="1" showInputMessage="1" showErrorMessage="1" sqref="E8654">
      <formula1>0</formula1>
    </dataValidation>
    <dataValidation type="whole" operator="greaterThan" allowBlank="1" showInputMessage="1" showErrorMessage="1" sqref="A8655">
      <formula1>0</formula1>
    </dataValidation>
    <dataValidation type="list" allowBlank="1" showInputMessage="1" showErrorMessage="1" sqref="C8655">
      <formula1>UnidadesList</formula1>
    </dataValidation>
    <dataValidation type="decimal" operator="greaterThan" allowBlank="1" showInputMessage="1" showErrorMessage="1" sqref="D8655">
      <formula1>0</formula1>
    </dataValidation>
    <dataValidation type="decimal" operator="greaterThan" allowBlank="1" showInputMessage="1" showErrorMessage="1" sqref="E8655">
      <formula1>0</formula1>
    </dataValidation>
    <dataValidation type="whole" operator="greaterThan" allowBlank="1" showInputMessage="1" showErrorMessage="1" sqref="A8656">
      <formula1>0</formula1>
    </dataValidation>
    <dataValidation type="list" allowBlank="1" showInputMessage="1" showErrorMessage="1" sqref="C8656">
      <formula1>UnidadesList</formula1>
    </dataValidation>
    <dataValidation type="decimal" operator="greaterThan" allowBlank="1" showInputMessage="1" showErrorMessage="1" sqref="D8656">
      <formula1>0</formula1>
    </dataValidation>
    <dataValidation type="decimal" operator="greaterThan" allowBlank="1" showInputMessage="1" showErrorMessage="1" sqref="E8656">
      <formula1>0</formula1>
    </dataValidation>
    <dataValidation type="whole" operator="greaterThan" allowBlank="1" showInputMessage="1" showErrorMessage="1" sqref="A8657">
      <formula1>0</formula1>
    </dataValidation>
    <dataValidation type="list" allowBlank="1" showInputMessage="1" showErrorMessage="1" sqref="C8657">
      <formula1>UnidadesList</formula1>
    </dataValidation>
    <dataValidation type="decimal" operator="greaterThan" allowBlank="1" showInputMessage="1" showErrorMessage="1" sqref="D8657">
      <formula1>0</formula1>
    </dataValidation>
    <dataValidation type="decimal" operator="greaterThan" allowBlank="1" showInputMessage="1" showErrorMessage="1" sqref="E8657">
      <formula1>0</formula1>
    </dataValidation>
    <dataValidation type="whole" operator="greaterThan" allowBlank="1" showInputMessage="1" showErrorMessage="1" sqref="A8658">
      <formula1>0</formula1>
    </dataValidation>
    <dataValidation type="list" allowBlank="1" showInputMessage="1" showErrorMessage="1" sqref="C8658">
      <formula1>UnidadesList</formula1>
    </dataValidation>
    <dataValidation type="decimal" operator="greaterThan" allowBlank="1" showInputMessage="1" showErrorMessage="1" sqref="D8658">
      <formula1>0</formula1>
    </dataValidation>
    <dataValidation type="decimal" operator="greaterThan" allowBlank="1" showInputMessage="1" showErrorMessage="1" sqref="E8658">
      <formula1>0</formula1>
    </dataValidation>
    <dataValidation type="whole" operator="greaterThan" allowBlank="1" showInputMessage="1" showErrorMessage="1" sqref="A8659">
      <formula1>0</formula1>
    </dataValidation>
    <dataValidation type="list" allowBlank="1" showInputMessage="1" showErrorMessage="1" sqref="C8659">
      <formula1>UnidadesList</formula1>
    </dataValidation>
    <dataValidation type="decimal" operator="greaterThan" allowBlank="1" showInputMessage="1" showErrorMessage="1" sqref="D8659">
      <formula1>0</formula1>
    </dataValidation>
    <dataValidation type="decimal" operator="greaterThan" allowBlank="1" showInputMessage="1" showErrorMessage="1" sqref="E8659">
      <formula1>0</formula1>
    </dataValidation>
    <dataValidation type="date" operator="lessThanOrEqual" allowBlank="1" showInputMessage="1" showErrorMessage="1" sqref="C8664">
      <formula1>C8666</formula1>
    </dataValidation>
    <dataValidation type="date" operator="greaterThanOrEqual" allowBlank="1" showInputMessage="1" showErrorMessage="1" sqref="C8666">
      <formula1>C8664</formula1>
    </dataValidation>
    <dataValidation type="list" allowBlank="1" showInputMessage="1" showErrorMessage="1" sqref="F86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6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6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6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670">
      <formula1>0</formula1>
    </dataValidation>
    <dataValidation type="list" allowBlank="1" showInputMessage="1" showErrorMessage="1" sqref="C8670">
      <formula1>UnidadesList</formula1>
    </dataValidation>
    <dataValidation type="decimal" operator="greaterThan" allowBlank="1" showInputMessage="1" showErrorMessage="1" sqref="D8670">
      <formula1>0</formula1>
    </dataValidation>
    <dataValidation type="decimal" operator="greaterThan" allowBlank="1" showInputMessage="1" showErrorMessage="1" sqref="E8670">
      <formula1>0</formula1>
    </dataValidation>
    <dataValidation type="whole" operator="greaterThan" allowBlank="1" showInputMessage="1" showErrorMessage="1" sqref="A8671">
      <formula1>0</formula1>
    </dataValidation>
    <dataValidation type="list" allowBlank="1" showInputMessage="1" showErrorMessage="1" sqref="C8671">
      <formula1>UnidadesList</formula1>
    </dataValidation>
    <dataValidation type="decimal" operator="greaterThan" allowBlank="1" showInputMessage="1" showErrorMessage="1" sqref="D8671">
      <formula1>0</formula1>
    </dataValidation>
    <dataValidation type="decimal" operator="greaterThan" allowBlank="1" showInputMessage="1" showErrorMessage="1" sqref="E8671">
      <formula1>0</formula1>
    </dataValidation>
    <dataValidation type="whole" operator="greaterThan" allowBlank="1" showInputMessage="1" showErrorMessage="1" sqref="A8672">
      <formula1>0</formula1>
    </dataValidation>
    <dataValidation type="list" allowBlank="1" showInputMessage="1" showErrorMessage="1" sqref="C8672">
      <formula1>UnidadesList</formula1>
    </dataValidation>
    <dataValidation type="decimal" operator="greaterThan" allowBlank="1" showInputMessage="1" showErrorMessage="1" sqref="D8672">
      <formula1>0</formula1>
    </dataValidation>
    <dataValidation type="decimal" operator="greaterThan" allowBlank="1" showInputMessage="1" showErrorMessage="1" sqref="E8672">
      <formula1>0</formula1>
    </dataValidation>
    <dataValidation type="whole" operator="greaterThan" allowBlank="1" showInputMessage="1" showErrorMessage="1" sqref="A8673">
      <formula1>0</formula1>
    </dataValidation>
    <dataValidation type="list" allowBlank="1" showInputMessage="1" showErrorMessage="1" sqref="C8673">
      <formula1>UnidadesList</formula1>
    </dataValidation>
    <dataValidation type="decimal" operator="greaterThan" allowBlank="1" showInputMessage="1" showErrorMessage="1" sqref="D8673">
      <formula1>0</formula1>
    </dataValidation>
    <dataValidation type="decimal" operator="greaterThan" allowBlank="1" showInputMessage="1" showErrorMessage="1" sqref="E8673">
      <formula1>0</formula1>
    </dataValidation>
    <dataValidation type="whole" operator="greaterThan" allowBlank="1" showInputMessage="1" showErrorMessage="1" sqref="A8674">
      <formula1>0</formula1>
    </dataValidation>
    <dataValidation type="list" allowBlank="1" showInputMessage="1" showErrorMessage="1" sqref="C8674">
      <formula1>UnidadesList</formula1>
    </dataValidation>
    <dataValidation type="decimal" operator="greaterThan" allowBlank="1" showInputMessage="1" showErrorMessage="1" sqref="D8674">
      <formula1>0</formula1>
    </dataValidation>
    <dataValidation type="decimal" operator="greaterThan" allowBlank="1" showInputMessage="1" showErrorMessage="1" sqref="E8674">
      <formula1>0</formula1>
    </dataValidation>
    <dataValidation type="whole" operator="greaterThan" allowBlank="1" showInputMessage="1" showErrorMessage="1" sqref="A8675">
      <formula1>0</formula1>
    </dataValidation>
    <dataValidation type="list" allowBlank="1" showInputMessage="1" showErrorMessage="1" sqref="C8675">
      <formula1>UnidadesList</formula1>
    </dataValidation>
    <dataValidation type="decimal" operator="greaterThan" allowBlank="1" showInputMessage="1" showErrorMessage="1" sqref="D8675">
      <formula1>0</formula1>
    </dataValidation>
    <dataValidation type="decimal" operator="greaterThan" allowBlank="1" showInputMessage="1" showErrorMessage="1" sqref="E8675">
      <formula1>0</formula1>
    </dataValidation>
    <dataValidation type="whole" operator="greaterThan" allowBlank="1" showInputMessage="1" showErrorMessage="1" sqref="A8676">
      <formula1>0</formula1>
    </dataValidation>
    <dataValidation type="list" allowBlank="1" showInputMessage="1" showErrorMessage="1" sqref="C8676">
      <formula1>UnidadesList</formula1>
    </dataValidation>
    <dataValidation type="decimal" operator="greaterThan" allowBlank="1" showInputMessage="1" showErrorMessage="1" sqref="D8676">
      <formula1>0</formula1>
    </dataValidation>
    <dataValidation type="decimal" operator="greaterThan" allowBlank="1" showInputMessage="1" showErrorMessage="1" sqref="E8676">
      <formula1>0</formula1>
    </dataValidation>
    <dataValidation type="whole" operator="greaterThan" allowBlank="1" showInputMessage="1" showErrorMessage="1" sqref="A8677">
      <formula1>0</formula1>
    </dataValidation>
    <dataValidation type="list" allowBlank="1" showInputMessage="1" showErrorMessage="1" sqref="C8677">
      <formula1>UnidadesList</formula1>
    </dataValidation>
    <dataValidation type="decimal" operator="greaterThan" allowBlank="1" showInputMessage="1" showErrorMessage="1" sqref="D8677">
      <formula1>0</formula1>
    </dataValidation>
    <dataValidation type="decimal" operator="greaterThan" allowBlank="1" showInputMessage="1" showErrorMessage="1" sqref="E8677">
      <formula1>0</formula1>
    </dataValidation>
    <dataValidation type="whole" operator="greaterThan" allowBlank="1" showInputMessage="1" showErrorMessage="1" sqref="A8678">
      <formula1>0</formula1>
    </dataValidation>
    <dataValidation type="list" allowBlank="1" showInputMessage="1" showErrorMessage="1" sqref="C8678">
      <formula1>UnidadesList</formula1>
    </dataValidation>
    <dataValidation type="decimal" operator="greaterThan" allowBlank="1" showInputMessage="1" showErrorMessage="1" sqref="D8678">
      <formula1>0</formula1>
    </dataValidation>
    <dataValidation type="decimal" operator="greaterThan" allowBlank="1" showInputMessage="1" showErrorMessage="1" sqref="E8678">
      <formula1>0</formula1>
    </dataValidation>
    <dataValidation type="whole" operator="greaterThan" allowBlank="1" showInputMessage="1" showErrorMessage="1" sqref="A8679">
      <formula1>0</formula1>
    </dataValidation>
    <dataValidation type="list" allowBlank="1" showInputMessage="1" showErrorMessage="1" sqref="C8679">
      <formula1>UnidadesList</formula1>
    </dataValidation>
    <dataValidation type="decimal" operator="greaterThan" allowBlank="1" showInputMessage="1" showErrorMessage="1" sqref="D8679">
      <formula1>0</formula1>
    </dataValidation>
    <dataValidation type="decimal" operator="greaterThan" allowBlank="1" showInputMessage="1" showErrorMessage="1" sqref="E8679">
      <formula1>0</formula1>
    </dataValidation>
    <dataValidation type="whole" operator="greaterThan" allowBlank="1" showInputMessage="1" showErrorMessage="1" sqref="A8680">
      <formula1>0</formula1>
    </dataValidation>
    <dataValidation type="list" allowBlank="1" showInputMessage="1" showErrorMessage="1" sqref="C8680">
      <formula1>UnidadesList</formula1>
    </dataValidation>
    <dataValidation type="decimal" operator="greaterThan" allowBlank="1" showInputMessage="1" showErrorMessage="1" sqref="D8680">
      <formula1>0</formula1>
    </dataValidation>
    <dataValidation type="decimal" operator="greaterThan" allowBlank="1" showInputMessage="1" showErrorMessage="1" sqref="E8680">
      <formula1>0</formula1>
    </dataValidation>
    <dataValidation type="whole" operator="greaterThan" allowBlank="1" showInputMessage="1" showErrorMessage="1" sqref="A8681">
      <formula1>0</formula1>
    </dataValidation>
    <dataValidation type="list" allowBlank="1" showInputMessage="1" showErrorMessage="1" sqref="C8681">
      <formula1>UnidadesList</formula1>
    </dataValidation>
    <dataValidation type="decimal" operator="greaterThan" allowBlank="1" showInputMessage="1" showErrorMessage="1" sqref="D8681">
      <formula1>0</formula1>
    </dataValidation>
    <dataValidation type="decimal" operator="greaterThan" allowBlank="1" showInputMessage="1" showErrorMessage="1" sqref="E8681">
      <formula1>0</formula1>
    </dataValidation>
    <dataValidation type="whole" operator="greaterThan" allowBlank="1" showInputMessage="1" showErrorMessage="1" sqref="A8682">
      <formula1>0</formula1>
    </dataValidation>
    <dataValidation type="list" allowBlank="1" showInputMessage="1" showErrorMessage="1" sqref="C8682">
      <formula1>UnidadesList</formula1>
    </dataValidation>
    <dataValidation type="decimal" operator="greaterThan" allowBlank="1" showInputMessage="1" showErrorMessage="1" sqref="D8682">
      <formula1>0</formula1>
    </dataValidation>
    <dataValidation type="decimal" operator="greaterThan" allowBlank="1" showInputMessage="1" showErrorMessage="1" sqref="E8682">
      <formula1>0</formula1>
    </dataValidation>
    <dataValidation type="whole" operator="greaterThan" allowBlank="1" showInputMessage="1" showErrorMessage="1" sqref="A8683">
      <formula1>0</formula1>
    </dataValidation>
    <dataValidation type="list" allowBlank="1" showInputMessage="1" showErrorMessage="1" sqref="C8683">
      <formula1>UnidadesList</formula1>
    </dataValidation>
    <dataValidation type="decimal" operator="greaterThan" allowBlank="1" showInputMessage="1" showErrorMessage="1" sqref="D8683">
      <formula1>0</formula1>
    </dataValidation>
    <dataValidation type="decimal" operator="greaterThan" allowBlank="1" showInputMessage="1" showErrorMessage="1" sqref="E8683">
      <formula1>0</formula1>
    </dataValidation>
    <dataValidation type="whole" operator="greaterThan" allowBlank="1" showInputMessage="1" showErrorMessage="1" sqref="A8684">
      <formula1>0</formula1>
    </dataValidation>
    <dataValidation type="list" allowBlank="1" showInputMessage="1" showErrorMessage="1" sqref="C8684">
      <formula1>UnidadesList</formula1>
    </dataValidation>
    <dataValidation type="decimal" operator="greaterThan" allowBlank="1" showInputMessage="1" showErrorMessage="1" sqref="D8684">
      <formula1>0</formula1>
    </dataValidation>
    <dataValidation type="decimal" operator="greaterThan" allowBlank="1" showInputMessage="1" showErrorMessage="1" sqref="E8684">
      <formula1>0</formula1>
    </dataValidation>
    <dataValidation type="whole" operator="greaterThan" allowBlank="1" showInputMessage="1" showErrorMessage="1" sqref="A8685">
      <formula1>0</formula1>
    </dataValidation>
    <dataValidation type="list" allowBlank="1" showInputMessage="1" showErrorMessage="1" sqref="C8685">
      <formula1>UnidadesList</formula1>
    </dataValidation>
    <dataValidation type="decimal" operator="greaterThan" allowBlank="1" showInputMessage="1" showErrorMessage="1" sqref="D8685">
      <formula1>0</formula1>
    </dataValidation>
    <dataValidation type="decimal" operator="greaterThan" allowBlank="1" showInputMessage="1" showErrorMessage="1" sqref="E8685">
      <formula1>0</formula1>
    </dataValidation>
    <dataValidation type="whole" operator="greaterThan" allowBlank="1" showInputMessage="1" showErrorMessage="1" sqref="A8686">
      <formula1>0</formula1>
    </dataValidation>
    <dataValidation type="list" allowBlank="1" showInputMessage="1" showErrorMessage="1" sqref="C8686">
      <formula1>UnidadesList</formula1>
    </dataValidation>
    <dataValidation type="decimal" operator="greaterThan" allowBlank="1" showInputMessage="1" showErrorMessage="1" sqref="D8686">
      <formula1>0</formula1>
    </dataValidation>
    <dataValidation type="decimal" operator="greaterThan" allowBlank="1" showInputMessage="1" showErrorMessage="1" sqref="E8686">
      <formula1>0</formula1>
    </dataValidation>
    <dataValidation type="whole" operator="greaterThan" allowBlank="1" showInputMessage="1" showErrorMessage="1" sqref="A8687">
      <formula1>0</formula1>
    </dataValidation>
    <dataValidation type="list" allowBlank="1" showInputMessage="1" showErrorMessage="1" sqref="C8687">
      <formula1>UnidadesList</formula1>
    </dataValidation>
    <dataValidation type="decimal" operator="greaterThan" allowBlank="1" showInputMessage="1" showErrorMessage="1" sqref="D8687">
      <formula1>0</formula1>
    </dataValidation>
    <dataValidation type="decimal" operator="greaterThan" allowBlank="1" showInputMessage="1" showErrorMessage="1" sqref="E8687">
      <formula1>0</formula1>
    </dataValidation>
    <dataValidation type="whole" operator="greaterThan" allowBlank="1" showInputMessage="1" showErrorMessage="1" sqref="A8688">
      <formula1>0</formula1>
    </dataValidation>
    <dataValidation type="list" allowBlank="1" showInputMessage="1" showErrorMessage="1" sqref="C8688">
      <formula1>UnidadesList</formula1>
    </dataValidation>
    <dataValidation type="decimal" operator="greaterThan" allowBlank="1" showInputMessage="1" showErrorMessage="1" sqref="D8688">
      <formula1>0</formula1>
    </dataValidation>
    <dataValidation type="decimal" operator="greaterThan" allowBlank="1" showInputMessage="1" showErrorMessage="1" sqref="E8688">
      <formula1>0</formula1>
    </dataValidation>
    <dataValidation type="whole" operator="greaterThan" allowBlank="1" showInputMessage="1" showErrorMessage="1" sqref="A8689">
      <formula1>0</formula1>
    </dataValidation>
    <dataValidation type="list" allowBlank="1" showInputMessage="1" showErrorMessage="1" sqref="C8689">
      <formula1>UnidadesList</formula1>
    </dataValidation>
    <dataValidation type="decimal" operator="greaterThan" allowBlank="1" showInputMessage="1" showErrorMessage="1" sqref="D8689">
      <formula1>0</formula1>
    </dataValidation>
    <dataValidation type="decimal" operator="greaterThan" allowBlank="1" showInputMessage="1" showErrorMessage="1" sqref="E8689">
      <formula1>0</formula1>
    </dataValidation>
    <dataValidation type="whole" operator="greaterThan" allowBlank="1" showInputMessage="1" showErrorMessage="1" sqref="A8690">
      <formula1>0</formula1>
    </dataValidation>
    <dataValidation type="list" allowBlank="1" showInputMessage="1" showErrorMessage="1" sqref="C8690">
      <formula1>UnidadesList</formula1>
    </dataValidation>
    <dataValidation type="decimal" operator="greaterThan" allowBlank="1" showInputMessage="1" showErrorMessage="1" sqref="D8690">
      <formula1>0</formula1>
    </dataValidation>
    <dataValidation type="decimal" operator="greaterThan" allowBlank="1" showInputMessage="1" showErrorMessage="1" sqref="E8690">
      <formula1>0</formula1>
    </dataValidation>
    <dataValidation type="whole" operator="greaterThan" allowBlank="1" showInputMessage="1" showErrorMessage="1" sqref="A8691">
      <formula1>0</formula1>
    </dataValidation>
    <dataValidation type="list" allowBlank="1" showInputMessage="1" showErrorMessage="1" sqref="C8691">
      <formula1>UnidadesList</formula1>
    </dataValidation>
    <dataValidation type="decimal" operator="greaterThan" allowBlank="1" showInputMessage="1" showErrorMessage="1" sqref="D8691">
      <formula1>0</formula1>
    </dataValidation>
    <dataValidation type="decimal" operator="greaterThan" allowBlank="1" showInputMessage="1" showErrorMessage="1" sqref="E8691">
      <formula1>0</formula1>
    </dataValidation>
    <dataValidation type="whole" operator="greaterThan" allowBlank="1" showInputMessage="1" showErrorMessage="1" sqref="A8692">
      <formula1>0</formula1>
    </dataValidation>
    <dataValidation type="list" allowBlank="1" showInputMessage="1" showErrorMessage="1" sqref="C8692">
      <formula1>UnidadesList</formula1>
    </dataValidation>
    <dataValidation type="decimal" operator="greaterThan" allowBlank="1" showInputMessage="1" showErrorMessage="1" sqref="D8692">
      <formula1>0</formula1>
    </dataValidation>
    <dataValidation type="decimal" operator="greaterThan" allowBlank="1" showInputMessage="1" showErrorMessage="1" sqref="E8692">
      <formula1>0</formula1>
    </dataValidation>
    <dataValidation type="whole" operator="greaterThan" allowBlank="1" showInputMessage="1" showErrorMessage="1" sqref="A8693">
      <formula1>0</formula1>
    </dataValidation>
    <dataValidation type="list" allowBlank="1" showInputMessage="1" showErrorMessage="1" sqref="C8693">
      <formula1>UnidadesList</formula1>
    </dataValidation>
    <dataValidation type="decimal" operator="greaterThan" allowBlank="1" showInputMessage="1" showErrorMessage="1" sqref="D8693">
      <formula1>0</formula1>
    </dataValidation>
    <dataValidation type="decimal" operator="greaterThan" allowBlank="1" showInputMessage="1" showErrorMessage="1" sqref="E8693">
      <formula1>0</formula1>
    </dataValidation>
    <dataValidation type="whole" operator="greaterThan" allowBlank="1" showInputMessage="1" showErrorMessage="1" sqref="A8694">
      <formula1>0</formula1>
    </dataValidation>
    <dataValidation type="list" allowBlank="1" showInputMessage="1" showErrorMessage="1" sqref="C8694">
      <formula1>UnidadesList</formula1>
    </dataValidation>
    <dataValidation type="decimal" operator="greaterThan" allowBlank="1" showInputMessage="1" showErrorMessage="1" sqref="D8694">
      <formula1>0</formula1>
    </dataValidation>
    <dataValidation type="decimal" operator="greaterThan" allowBlank="1" showInputMessage="1" showErrorMessage="1" sqref="E8694">
      <formula1>0</formula1>
    </dataValidation>
    <dataValidation type="whole" operator="greaterThan" allowBlank="1" showInputMessage="1" showErrorMessage="1" sqref="A8695">
      <formula1>0</formula1>
    </dataValidation>
    <dataValidation type="list" allowBlank="1" showInputMessage="1" showErrorMessage="1" sqref="C8695">
      <formula1>UnidadesList</formula1>
    </dataValidation>
    <dataValidation type="decimal" operator="greaterThan" allowBlank="1" showInputMessage="1" showErrorMessage="1" sqref="D8695">
      <formula1>0</formula1>
    </dataValidation>
    <dataValidation type="decimal" operator="greaterThan" allowBlank="1" showInputMessage="1" showErrorMessage="1" sqref="E8695">
      <formula1>0</formula1>
    </dataValidation>
    <dataValidation type="whole" operator="greaterThan" allowBlank="1" showInputMessage="1" showErrorMessage="1" sqref="A8696">
      <formula1>0</formula1>
    </dataValidation>
    <dataValidation type="list" allowBlank="1" showInputMessage="1" showErrorMessage="1" sqref="C8696">
      <formula1>UnidadesList</formula1>
    </dataValidation>
    <dataValidation type="decimal" operator="greaterThan" allowBlank="1" showInputMessage="1" showErrorMessage="1" sqref="D8696">
      <formula1>0</formula1>
    </dataValidation>
    <dataValidation type="decimal" operator="greaterThan" allowBlank="1" showInputMessage="1" showErrorMessage="1" sqref="E8696">
      <formula1>0</formula1>
    </dataValidation>
    <dataValidation type="whole" operator="greaterThan" allowBlank="1" showInputMessage="1" showErrorMessage="1" sqref="A8697">
      <formula1>0</formula1>
    </dataValidation>
    <dataValidation type="list" allowBlank="1" showInputMessage="1" showErrorMessage="1" sqref="C8697">
      <formula1>UnidadesList</formula1>
    </dataValidation>
    <dataValidation type="decimal" operator="greaterThan" allowBlank="1" showInputMessage="1" showErrorMessage="1" sqref="D8697">
      <formula1>0</formula1>
    </dataValidation>
    <dataValidation type="decimal" operator="greaterThan" allowBlank="1" showInputMessage="1" showErrorMessage="1" sqref="E8697">
      <formula1>0</formula1>
    </dataValidation>
    <dataValidation type="whole" operator="greaterThan" allowBlank="1" showInputMessage="1" showErrorMessage="1" sqref="A8698">
      <formula1>0</formula1>
    </dataValidation>
    <dataValidation type="list" allowBlank="1" showInputMessage="1" showErrorMessage="1" sqref="C8698">
      <formula1>UnidadesList</formula1>
    </dataValidation>
    <dataValidation type="decimal" operator="greaterThan" allowBlank="1" showInputMessage="1" showErrorMessage="1" sqref="D8698">
      <formula1>0</formula1>
    </dataValidation>
    <dataValidation type="decimal" operator="greaterThan" allowBlank="1" showInputMessage="1" showErrorMessage="1" sqref="E8698">
      <formula1>0</formula1>
    </dataValidation>
    <dataValidation type="whole" operator="greaterThan" allowBlank="1" showInputMessage="1" showErrorMessage="1" sqref="A8699">
      <formula1>0</formula1>
    </dataValidation>
    <dataValidation type="list" allowBlank="1" showInputMessage="1" showErrorMessage="1" sqref="C8699">
      <formula1>UnidadesList</formula1>
    </dataValidation>
    <dataValidation type="decimal" operator="greaterThan" allowBlank="1" showInputMessage="1" showErrorMessage="1" sqref="D8699">
      <formula1>0</formula1>
    </dataValidation>
    <dataValidation type="decimal" operator="greaterThan" allowBlank="1" showInputMessage="1" showErrorMessage="1" sqref="E8699">
      <formula1>0</formula1>
    </dataValidation>
    <dataValidation type="whole" operator="greaterThan" allowBlank="1" showInputMessage="1" showErrorMessage="1" sqref="A8700">
      <formula1>0</formula1>
    </dataValidation>
    <dataValidation type="list" allowBlank="1" showInputMessage="1" showErrorMessage="1" sqref="C8700">
      <formula1>UnidadesList</formula1>
    </dataValidation>
    <dataValidation type="decimal" operator="greaterThan" allowBlank="1" showInputMessage="1" showErrorMessage="1" sqref="D8700">
      <formula1>0</formula1>
    </dataValidation>
    <dataValidation type="decimal" operator="greaterThan" allowBlank="1" showInputMessage="1" showErrorMessage="1" sqref="E8700">
      <formula1>0</formula1>
    </dataValidation>
    <dataValidation type="whole" operator="greaterThan" allowBlank="1" showInputMessage="1" showErrorMessage="1" sqref="A8701">
      <formula1>0</formula1>
    </dataValidation>
    <dataValidation type="list" allowBlank="1" showInputMessage="1" showErrorMessage="1" sqref="C8701">
      <formula1>UnidadesList</formula1>
    </dataValidation>
    <dataValidation type="decimal" operator="greaterThan" allowBlank="1" showInputMessage="1" showErrorMessage="1" sqref="D8701">
      <formula1>0</formula1>
    </dataValidation>
    <dataValidation type="decimal" operator="greaterThan" allowBlank="1" showInputMessage="1" showErrorMessage="1" sqref="E8701">
      <formula1>0</formula1>
    </dataValidation>
    <dataValidation type="whole" operator="greaterThan" allowBlank="1" showInputMessage="1" showErrorMessage="1" sqref="A8702">
      <formula1>0</formula1>
    </dataValidation>
    <dataValidation type="list" allowBlank="1" showInputMessage="1" showErrorMessage="1" sqref="C8702">
      <formula1>UnidadesList</formula1>
    </dataValidation>
    <dataValidation type="decimal" operator="greaterThan" allowBlank="1" showInputMessage="1" showErrorMessage="1" sqref="D8702">
      <formula1>0</formula1>
    </dataValidation>
    <dataValidation type="decimal" operator="greaterThan" allowBlank="1" showInputMessage="1" showErrorMessage="1" sqref="E8702">
      <formula1>0</formula1>
    </dataValidation>
    <dataValidation type="whole" operator="greaterThan" allowBlank="1" showInputMessage="1" showErrorMessage="1" sqref="A8703">
      <formula1>0</formula1>
    </dataValidation>
    <dataValidation type="list" allowBlank="1" showInputMessage="1" showErrorMessage="1" sqref="C8703">
      <formula1>UnidadesList</formula1>
    </dataValidation>
    <dataValidation type="decimal" operator="greaterThan" allowBlank="1" showInputMessage="1" showErrorMessage="1" sqref="D8703">
      <formula1>0</formula1>
    </dataValidation>
    <dataValidation type="decimal" operator="greaterThan" allowBlank="1" showInputMessage="1" showErrorMessage="1" sqref="E8703">
      <formula1>0</formula1>
    </dataValidation>
    <dataValidation type="whole" operator="greaterThan" allowBlank="1" showInputMessage="1" showErrorMessage="1" sqref="A8704">
      <formula1>0</formula1>
    </dataValidation>
    <dataValidation type="list" allowBlank="1" showInputMessage="1" showErrorMessage="1" sqref="C8704">
      <formula1>UnidadesList</formula1>
    </dataValidation>
    <dataValidation type="decimal" operator="greaterThan" allowBlank="1" showInputMessage="1" showErrorMessage="1" sqref="D8704">
      <formula1>0</formula1>
    </dataValidation>
    <dataValidation type="decimal" operator="greaterThan" allowBlank="1" showInputMessage="1" showErrorMessage="1" sqref="E8704">
      <formula1>0</formula1>
    </dataValidation>
    <dataValidation type="whole" operator="greaterThan" allowBlank="1" showInputMessage="1" showErrorMessage="1" sqref="A8705">
      <formula1>0</formula1>
    </dataValidation>
    <dataValidation type="list" allowBlank="1" showInputMessage="1" showErrorMessage="1" sqref="C8705">
      <formula1>UnidadesList</formula1>
    </dataValidation>
    <dataValidation type="decimal" operator="greaterThan" allowBlank="1" showInputMessage="1" showErrorMessage="1" sqref="D8705">
      <formula1>0</formula1>
    </dataValidation>
    <dataValidation type="decimal" operator="greaterThan" allowBlank="1" showInputMessage="1" showErrorMessage="1" sqref="E8705">
      <formula1>0</formula1>
    </dataValidation>
    <dataValidation type="whole" operator="greaterThan" allowBlank="1" showInputMessage="1" showErrorMessage="1" sqref="A8706">
      <formula1>0</formula1>
    </dataValidation>
    <dataValidation type="list" allowBlank="1" showInputMessage="1" showErrorMessage="1" sqref="C8706">
      <formula1>UnidadesList</formula1>
    </dataValidation>
    <dataValidation type="decimal" operator="greaterThan" allowBlank="1" showInputMessage="1" showErrorMessage="1" sqref="D8706">
      <formula1>0</formula1>
    </dataValidation>
    <dataValidation type="decimal" operator="greaterThan" allowBlank="1" showInputMessage="1" showErrorMessage="1" sqref="E8706">
      <formula1>0</formula1>
    </dataValidation>
    <dataValidation type="whole" operator="greaterThan" allowBlank="1" showInputMessage="1" showErrorMessage="1" sqref="A8707">
      <formula1>0</formula1>
    </dataValidation>
    <dataValidation type="list" allowBlank="1" showInputMessage="1" showErrorMessage="1" sqref="C8707">
      <formula1>UnidadesList</formula1>
    </dataValidation>
    <dataValidation type="decimal" operator="greaterThan" allowBlank="1" showInputMessage="1" showErrorMessage="1" sqref="D8707">
      <formula1>0</formula1>
    </dataValidation>
    <dataValidation type="decimal" operator="greaterThan" allowBlank="1" showInputMessage="1" showErrorMessage="1" sqref="E8707">
      <formula1>0</formula1>
    </dataValidation>
    <dataValidation type="whole" operator="greaterThan" allowBlank="1" showInputMessage="1" showErrorMessage="1" sqref="A8708">
      <formula1>0</formula1>
    </dataValidation>
    <dataValidation type="list" allowBlank="1" showInputMessage="1" showErrorMessage="1" sqref="C8708">
      <formula1>UnidadesList</formula1>
    </dataValidation>
    <dataValidation type="decimal" operator="greaterThan" allowBlank="1" showInputMessage="1" showErrorMessage="1" sqref="D8708">
      <formula1>0</formula1>
    </dataValidation>
    <dataValidation type="decimal" operator="greaterThan" allowBlank="1" showInputMessage="1" showErrorMessage="1" sqref="E8708">
      <formula1>0</formula1>
    </dataValidation>
    <dataValidation type="whole" operator="greaterThan" allowBlank="1" showInputMessage="1" showErrorMessage="1" sqref="A8709">
      <formula1>0</formula1>
    </dataValidation>
    <dataValidation type="list" allowBlank="1" showInputMessage="1" showErrorMessage="1" sqref="C8709">
      <formula1>UnidadesList</formula1>
    </dataValidation>
    <dataValidation type="decimal" operator="greaterThan" allowBlank="1" showInputMessage="1" showErrorMessage="1" sqref="D8709">
      <formula1>0</formula1>
    </dataValidation>
    <dataValidation type="decimal" operator="greaterThan" allowBlank="1" showInputMessage="1" showErrorMessage="1" sqref="E8709">
      <formula1>0</formula1>
    </dataValidation>
    <dataValidation type="whole" operator="greaterThan" allowBlank="1" showInputMessage="1" showErrorMessage="1" sqref="A8710">
      <formula1>0</formula1>
    </dataValidation>
    <dataValidation type="list" allowBlank="1" showInputMessage="1" showErrorMessage="1" sqref="C8710">
      <formula1>UnidadesList</formula1>
    </dataValidation>
    <dataValidation type="decimal" operator="greaterThan" allowBlank="1" showInputMessage="1" showErrorMessage="1" sqref="D8710">
      <formula1>0</formula1>
    </dataValidation>
    <dataValidation type="decimal" operator="greaterThan" allowBlank="1" showInputMessage="1" showErrorMessage="1" sqref="E8710">
      <formula1>0</formula1>
    </dataValidation>
    <dataValidation type="whole" operator="greaterThan" allowBlank="1" showInputMessage="1" showErrorMessage="1" sqref="A8711">
      <formula1>0</formula1>
    </dataValidation>
    <dataValidation type="list" allowBlank="1" showInputMessage="1" showErrorMessage="1" sqref="C8711">
      <formula1>UnidadesList</formula1>
    </dataValidation>
    <dataValidation type="decimal" operator="greaterThan" allowBlank="1" showInputMessage="1" showErrorMessage="1" sqref="D8711">
      <formula1>0</formula1>
    </dataValidation>
    <dataValidation type="decimal" operator="greaterThan" allowBlank="1" showInputMessage="1" showErrorMessage="1" sqref="E8711">
      <formula1>0</formula1>
    </dataValidation>
    <dataValidation type="whole" operator="greaterThan" allowBlank="1" showInputMessage="1" showErrorMessage="1" sqref="A8712">
      <formula1>0</formula1>
    </dataValidation>
    <dataValidation type="list" allowBlank="1" showInputMessage="1" showErrorMessage="1" sqref="C8712">
      <formula1>UnidadesList</formula1>
    </dataValidation>
    <dataValidation type="decimal" operator="greaterThan" allowBlank="1" showInputMessage="1" showErrorMessage="1" sqref="D8712">
      <formula1>0</formula1>
    </dataValidation>
    <dataValidation type="decimal" operator="greaterThan" allowBlank="1" showInputMessage="1" showErrorMessage="1" sqref="E8712">
      <formula1>0</formula1>
    </dataValidation>
    <dataValidation type="whole" operator="greaterThan" allowBlank="1" showInputMessage="1" showErrorMessage="1" sqref="A8713">
      <formula1>0</formula1>
    </dataValidation>
    <dataValidation type="list" allowBlank="1" showInputMessage="1" showErrorMessage="1" sqref="C8713">
      <formula1>UnidadesList</formula1>
    </dataValidation>
    <dataValidation type="decimal" operator="greaterThan" allowBlank="1" showInputMessage="1" showErrorMessage="1" sqref="D8713">
      <formula1>0</formula1>
    </dataValidation>
    <dataValidation type="decimal" operator="greaterThan" allowBlank="1" showInputMessage="1" showErrorMessage="1" sqref="E8713">
      <formula1>0</formula1>
    </dataValidation>
    <dataValidation type="whole" operator="greaterThan" allowBlank="1" showInputMessage="1" showErrorMessage="1" sqref="A8714">
      <formula1>0</formula1>
    </dataValidation>
    <dataValidation type="list" allowBlank="1" showInputMessage="1" showErrorMessage="1" sqref="C8714">
      <formula1>UnidadesList</formula1>
    </dataValidation>
    <dataValidation type="decimal" operator="greaterThan" allowBlank="1" showInputMessage="1" showErrorMessage="1" sqref="D8714">
      <formula1>0</formula1>
    </dataValidation>
    <dataValidation type="decimal" operator="greaterThan" allowBlank="1" showInputMessage="1" showErrorMessage="1" sqref="E8714">
      <formula1>0</formula1>
    </dataValidation>
    <dataValidation type="whole" operator="greaterThan" allowBlank="1" showInputMessage="1" showErrorMessage="1" sqref="A8715">
      <formula1>0</formula1>
    </dataValidation>
    <dataValidation type="list" allowBlank="1" showInputMessage="1" showErrorMessage="1" sqref="C8715">
      <formula1>UnidadesList</formula1>
    </dataValidation>
    <dataValidation type="decimal" operator="greaterThan" allowBlank="1" showInputMessage="1" showErrorMessage="1" sqref="D8715">
      <formula1>0</formula1>
    </dataValidation>
    <dataValidation type="decimal" operator="greaterThan" allowBlank="1" showInputMessage="1" showErrorMessage="1" sqref="E8715">
      <formula1>0</formula1>
    </dataValidation>
    <dataValidation type="whole" operator="greaterThan" allowBlank="1" showInputMessage="1" showErrorMessage="1" sqref="A8716">
      <formula1>0</formula1>
    </dataValidation>
    <dataValidation type="list" allowBlank="1" showInputMessage="1" showErrorMessage="1" sqref="C8716">
      <formula1>UnidadesList</formula1>
    </dataValidation>
    <dataValidation type="decimal" operator="greaterThan" allowBlank="1" showInputMessage="1" showErrorMessage="1" sqref="D8716">
      <formula1>0</formula1>
    </dataValidation>
    <dataValidation type="decimal" operator="greaterThan" allowBlank="1" showInputMessage="1" showErrorMessage="1" sqref="E8716">
      <formula1>0</formula1>
    </dataValidation>
    <dataValidation type="whole" operator="greaterThan" allowBlank="1" showInputMessage="1" showErrorMessage="1" sqref="A8717">
      <formula1>0</formula1>
    </dataValidation>
    <dataValidation type="list" allowBlank="1" showInputMessage="1" showErrorMessage="1" sqref="C8717">
      <formula1>UnidadesList</formula1>
    </dataValidation>
    <dataValidation type="decimal" operator="greaterThan" allowBlank="1" showInputMessage="1" showErrorMessage="1" sqref="D8717">
      <formula1>0</formula1>
    </dataValidation>
    <dataValidation type="decimal" operator="greaterThan" allowBlank="1" showInputMessage="1" showErrorMessage="1" sqref="E8717">
      <formula1>0</formula1>
    </dataValidation>
    <dataValidation type="whole" operator="greaterThan" allowBlank="1" showInputMessage="1" showErrorMessage="1" sqref="A8718">
      <formula1>0</formula1>
    </dataValidation>
    <dataValidation type="list" allowBlank="1" showInputMessage="1" showErrorMessage="1" sqref="C8718">
      <formula1>UnidadesList</formula1>
    </dataValidation>
    <dataValidation type="decimal" operator="greaterThan" allowBlank="1" showInputMessage="1" showErrorMessage="1" sqref="D8718">
      <formula1>0</formula1>
    </dataValidation>
    <dataValidation type="decimal" operator="greaterThan" allowBlank="1" showInputMessage="1" showErrorMessage="1" sqref="E8718">
      <formula1>0</formula1>
    </dataValidation>
    <dataValidation type="whole" operator="greaterThan" allowBlank="1" showInputMessage="1" showErrorMessage="1" sqref="A8719">
      <formula1>0</formula1>
    </dataValidation>
    <dataValidation type="list" allowBlank="1" showInputMessage="1" showErrorMessage="1" sqref="C8719">
      <formula1>UnidadesList</formula1>
    </dataValidation>
    <dataValidation type="decimal" operator="greaterThan" allowBlank="1" showInputMessage="1" showErrorMessage="1" sqref="D8719">
      <formula1>0</formula1>
    </dataValidation>
    <dataValidation type="decimal" operator="greaterThan" allowBlank="1" showInputMessage="1" showErrorMessage="1" sqref="E8719">
      <formula1>0</formula1>
    </dataValidation>
    <dataValidation type="whole" operator="greaterThan" allowBlank="1" showInputMessage="1" showErrorMessage="1" sqref="A8720">
      <formula1>0</formula1>
    </dataValidation>
    <dataValidation type="list" allowBlank="1" showInputMessage="1" showErrorMessage="1" sqref="C8720">
      <formula1>UnidadesList</formula1>
    </dataValidation>
    <dataValidation type="decimal" operator="greaterThan" allowBlank="1" showInputMessage="1" showErrorMessage="1" sqref="D8720">
      <formula1>0</formula1>
    </dataValidation>
    <dataValidation type="decimal" operator="greaterThan" allowBlank="1" showInputMessage="1" showErrorMessage="1" sqref="E8720">
      <formula1>0</formula1>
    </dataValidation>
    <dataValidation type="whole" operator="greaterThan" allowBlank="1" showInputMessage="1" showErrorMessage="1" sqref="A8721">
      <formula1>0</formula1>
    </dataValidation>
    <dataValidation type="list" allowBlank="1" showInputMessage="1" showErrorMessage="1" sqref="C8721">
      <formula1>UnidadesList</formula1>
    </dataValidation>
    <dataValidation type="decimal" operator="greaterThan" allowBlank="1" showInputMessage="1" showErrorMessage="1" sqref="D8721">
      <formula1>0</formula1>
    </dataValidation>
    <dataValidation type="decimal" operator="greaterThan" allowBlank="1" showInputMessage="1" showErrorMessage="1" sqref="E8721">
      <formula1>0</formula1>
    </dataValidation>
    <dataValidation type="whole" operator="greaterThan" allowBlank="1" showInputMessage="1" showErrorMessage="1" sqref="A8722">
      <formula1>0</formula1>
    </dataValidation>
    <dataValidation type="list" allowBlank="1" showInputMessage="1" showErrorMessage="1" sqref="C8722">
      <formula1>UnidadesList</formula1>
    </dataValidation>
    <dataValidation type="decimal" operator="greaterThan" allowBlank="1" showInputMessage="1" showErrorMessage="1" sqref="D8722">
      <formula1>0</formula1>
    </dataValidation>
    <dataValidation type="decimal" operator="greaterThan" allowBlank="1" showInputMessage="1" showErrorMessage="1" sqref="E8722">
      <formula1>0</formula1>
    </dataValidation>
    <dataValidation type="whole" operator="greaterThan" allowBlank="1" showInputMessage="1" showErrorMessage="1" sqref="A8723">
      <formula1>0</formula1>
    </dataValidation>
    <dataValidation type="list" allowBlank="1" showInputMessage="1" showErrorMessage="1" sqref="C8723">
      <formula1>UnidadesList</formula1>
    </dataValidation>
    <dataValidation type="decimal" operator="greaterThan" allowBlank="1" showInputMessage="1" showErrorMessage="1" sqref="D8723">
      <formula1>0</formula1>
    </dataValidation>
    <dataValidation type="decimal" operator="greaterThan" allowBlank="1" showInputMessage="1" showErrorMessage="1" sqref="E8723">
      <formula1>0</formula1>
    </dataValidation>
    <dataValidation type="whole" operator="greaterThan" allowBlank="1" showInputMessage="1" showErrorMessage="1" sqref="A8724">
      <formula1>0</formula1>
    </dataValidation>
    <dataValidation type="list" allowBlank="1" showInputMessage="1" showErrorMessage="1" sqref="C8724">
      <formula1>UnidadesList</formula1>
    </dataValidation>
    <dataValidation type="decimal" operator="greaterThan" allowBlank="1" showInputMessage="1" showErrorMessage="1" sqref="D8724">
      <formula1>0</formula1>
    </dataValidation>
    <dataValidation type="decimal" operator="greaterThan" allowBlank="1" showInputMessage="1" showErrorMessage="1" sqref="E8724">
      <formula1>0</formula1>
    </dataValidation>
    <dataValidation type="whole" operator="greaterThan" allowBlank="1" showInputMessage="1" showErrorMessage="1" sqref="A8725">
      <formula1>0</formula1>
    </dataValidation>
    <dataValidation type="list" allowBlank="1" showInputMessage="1" showErrorMessage="1" sqref="C8725">
      <formula1>UnidadesList</formula1>
    </dataValidation>
    <dataValidation type="decimal" operator="greaterThan" allowBlank="1" showInputMessage="1" showErrorMessage="1" sqref="D8725">
      <formula1>0</formula1>
    </dataValidation>
    <dataValidation type="decimal" operator="greaterThan" allowBlank="1" showInputMessage="1" showErrorMessage="1" sqref="E8725">
      <formula1>0</formula1>
    </dataValidation>
    <dataValidation type="whole" operator="greaterThan" allowBlank="1" showInputMessage="1" showErrorMessage="1" sqref="A8726">
      <formula1>0</formula1>
    </dataValidation>
    <dataValidation type="list" allowBlank="1" showInputMessage="1" showErrorMessage="1" sqref="C8726">
      <formula1>UnidadesList</formula1>
    </dataValidation>
    <dataValidation type="decimal" operator="greaterThan" allowBlank="1" showInputMessage="1" showErrorMessage="1" sqref="D8726">
      <formula1>0</formula1>
    </dataValidation>
    <dataValidation type="decimal" operator="greaterThan" allowBlank="1" showInputMessage="1" showErrorMessage="1" sqref="E8726">
      <formula1>0</formula1>
    </dataValidation>
    <dataValidation type="whole" operator="greaterThan" allowBlank="1" showInputMessage="1" showErrorMessage="1" sqref="A8727">
      <formula1>0</formula1>
    </dataValidation>
    <dataValidation type="list" allowBlank="1" showInputMessage="1" showErrorMessage="1" sqref="C8727">
      <formula1>UnidadesList</formula1>
    </dataValidation>
    <dataValidation type="decimal" operator="greaterThan" allowBlank="1" showInputMessage="1" showErrorMessage="1" sqref="D8727">
      <formula1>0</formula1>
    </dataValidation>
    <dataValidation type="decimal" operator="greaterThan" allowBlank="1" showInputMessage="1" showErrorMessage="1" sqref="E8727">
      <formula1>0</formula1>
    </dataValidation>
    <dataValidation type="whole" operator="greaterThan" allowBlank="1" showInputMessage="1" showErrorMessage="1" sqref="A8728">
      <formula1>0</formula1>
    </dataValidation>
    <dataValidation type="list" allowBlank="1" showInputMessage="1" showErrorMessage="1" sqref="C8728">
      <formula1>UnidadesList</formula1>
    </dataValidation>
    <dataValidation type="decimal" operator="greaterThan" allowBlank="1" showInputMessage="1" showErrorMessage="1" sqref="D8728">
      <formula1>0</formula1>
    </dataValidation>
    <dataValidation type="decimal" operator="greaterThan" allowBlank="1" showInputMessage="1" showErrorMessage="1" sqref="E8728">
      <formula1>0</formula1>
    </dataValidation>
    <dataValidation type="whole" operator="greaterThan" allowBlank="1" showInputMessage="1" showErrorMessage="1" sqref="A8729">
      <formula1>0</formula1>
    </dataValidation>
    <dataValidation type="list" allowBlank="1" showInputMessage="1" showErrorMessage="1" sqref="C8729">
      <formula1>UnidadesList</formula1>
    </dataValidation>
    <dataValidation type="decimal" operator="greaterThan" allowBlank="1" showInputMessage="1" showErrorMessage="1" sqref="D8729">
      <formula1>0</formula1>
    </dataValidation>
    <dataValidation type="decimal" operator="greaterThan" allowBlank="1" showInputMessage="1" showErrorMessage="1" sqref="E8729">
      <formula1>0</formula1>
    </dataValidation>
    <dataValidation type="whole" operator="greaterThan" allowBlank="1" showInputMessage="1" showErrorMessage="1" sqref="A8730">
      <formula1>0</formula1>
    </dataValidation>
    <dataValidation type="list" allowBlank="1" showInputMessage="1" showErrorMessage="1" sqref="C8730">
      <formula1>UnidadesList</formula1>
    </dataValidation>
    <dataValidation type="decimal" operator="greaterThan" allowBlank="1" showInputMessage="1" showErrorMessage="1" sqref="D8730">
      <formula1>0</formula1>
    </dataValidation>
    <dataValidation type="decimal" operator="greaterThan" allowBlank="1" showInputMessage="1" showErrorMessage="1" sqref="E8730">
      <formula1>0</formula1>
    </dataValidation>
    <dataValidation type="whole" operator="greaterThan" allowBlank="1" showInputMessage="1" showErrorMessage="1" sqref="A8731">
      <formula1>0</formula1>
    </dataValidation>
    <dataValidation type="list" allowBlank="1" showInputMessage="1" showErrorMessage="1" sqref="C8731">
      <formula1>UnidadesList</formula1>
    </dataValidation>
    <dataValidation type="decimal" operator="greaterThan" allowBlank="1" showInputMessage="1" showErrorMessage="1" sqref="D8731">
      <formula1>0</formula1>
    </dataValidation>
    <dataValidation type="decimal" operator="greaterThan" allowBlank="1" showInputMessage="1" showErrorMessage="1" sqref="E8731">
      <formula1>0</formula1>
    </dataValidation>
    <dataValidation type="whole" operator="greaterThan" allowBlank="1" showInputMessage="1" showErrorMessage="1" sqref="A8732">
      <formula1>0</formula1>
    </dataValidation>
    <dataValidation type="list" allowBlank="1" showInputMessage="1" showErrorMessage="1" sqref="C8732">
      <formula1>UnidadesList</formula1>
    </dataValidation>
    <dataValidation type="decimal" operator="greaterThan" allowBlank="1" showInputMessage="1" showErrorMessage="1" sqref="D8732">
      <formula1>0</formula1>
    </dataValidation>
    <dataValidation type="decimal" operator="greaterThan" allowBlank="1" showInputMessage="1" showErrorMessage="1" sqref="E8732">
      <formula1>0</formula1>
    </dataValidation>
    <dataValidation type="whole" operator="greaterThan" allowBlank="1" showInputMessage="1" showErrorMessage="1" sqref="A8733">
      <formula1>0</formula1>
    </dataValidation>
    <dataValidation type="list" allowBlank="1" showInputMessage="1" showErrorMessage="1" sqref="C8733">
      <formula1>UnidadesList</formula1>
    </dataValidation>
    <dataValidation type="decimal" operator="greaterThan" allowBlank="1" showInputMessage="1" showErrorMessage="1" sqref="D8733">
      <formula1>0</formula1>
    </dataValidation>
    <dataValidation type="decimal" operator="greaterThan" allowBlank="1" showInputMessage="1" showErrorMessage="1" sqref="E8733">
      <formula1>0</formula1>
    </dataValidation>
    <dataValidation type="whole" operator="greaterThan" allowBlank="1" showInputMessage="1" showErrorMessage="1" sqref="A8734">
      <formula1>0</formula1>
    </dataValidation>
    <dataValidation type="list" allowBlank="1" showInputMessage="1" showErrorMessage="1" sqref="C8734">
      <formula1>UnidadesList</formula1>
    </dataValidation>
    <dataValidation type="decimal" operator="greaterThan" allowBlank="1" showInputMessage="1" showErrorMessage="1" sqref="D8734">
      <formula1>0</formula1>
    </dataValidation>
    <dataValidation type="decimal" operator="greaterThan" allowBlank="1" showInputMessage="1" showErrorMessage="1" sqref="E8734">
      <formula1>0</formula1>
    </dataValidation>
    <dataValidation type="whole" operator="greaterThan" allowBlank="1" showInputMessage="1" showErrorMessage="1" sqref="A8735">
      <formula1>0</formula1>
    </dataValidation>
    <dataValidation type="list" allowBlank="1" showInputMessage="1" showErrorMessage="1" sqref="C8735">
      <formula1>UnidadesList</formula1>
    </dataValidation>
    <dataValidation type="decimal" operator="greaterThan" allowBlank="1" showInputMessage="1" showErrorMessage="1" sqref="D8735">
      <formula1>0</formula1>
    </dataValidation>
    <dataValidation type="decimal" operator="greaterThan" allowBlank="1" showInputMessage="1" showErrorMessage="1" sqref="E8735">
      <formula1>0</formula1>
    </dataValidation>
    <dataValidation type="whole" operator="greaterThan" allowBlank="1" showInputMessage="1" showErrorMessage="1" sqref="A8736">
      <formula1>0</formula1>
    </dataValidation>
    <dataValidation type="list" allowBlank="1" showInputMessage="1" showErrorMessage="1" sqref="C8736">
      <formula1>UnidadesList</formula1>
    </dataValidation>
    <dataValidation type="decimal" operator="greaterThan" allowBlank="1" showInputMessage="1" showErrorMessage="1" sqref="D8736">
      <formula1>0</formula1>
    </dataValidation>
    <dataValidation type="decimal" operator="greaterThan" allowBlank="1" showInputMessage="1" showErrorMessage="1" sqref="E8736">
      <formula1>0</formula1>
    </dataValidation>
    <dataValidation type="whole" operator="greaterThan" allowBlank="1" showInputMessage="1" showErrorMessage="1" sqref="A8737">
      <formula1>0</formula1>
    </dataValidation>
    <dataValidation type="list" allowBlank="1" showInputMessage="1" showErrorMessage="1" sqref="C8737">
      <formula1>UnidadesList</formula1>
    </dataValidation>
    <dataValidation type="decimal" operator="greaterThan" allowBlank="1" showInputMessage="1" showErrorMessage="1" sqref="D8737">
      <formula1>0</formula1>
    </dataValidation>
    <dataValidation type="decimal" operator="greaterThan" allowBlank="1" showInputMessage="1" showErrorMessage="1" sqref="E8737">
      <formula1>0</formula1>
    </dataValidation>
    <dataValidation type="whole" operator="greaterThan" allowBlank="1" showInputMessage="1" showErrorMessage="1" sqref="A8738">
      <formula1>0</formula1>
    </dataValidation>
    <dataValidation type="list" allowBlank="1" showInputMessage="1" showErrorMessage="1" sqref="C8738">
      <formula1>UnidadesList</formula1>
    </dataValidation>
    <dataValidation type="decimal" operator="greaterThan" allowBlank="1" showInputMessage="1" showErrorMessage="1" sqref="D8738">
      <formula1>0</formula1>
    </dataValidation>
    <dataValidation type="decimal" operator="greaterThan" allowBlank="1" showInputMessage="1" showErrorMessage="1" sqref="E8738">
      <formula1>0</formula1>
    </dataValidation>
    <dataValidation type="whole" operator="greaterThan" allowBlank="1" showInputMessage="1" showErrorMessage="1" sqref="A8739">
      <formula1>0</formula1>
    </dataValidation>
    <dataValidation type="list" allowBlank="1" showInputMessage="1" showErrorMessage="1" sqref="C8739">
      <formula1>UnidadesList</formula1>
    </dataValidation>
    <dataValidation type="decimal" operator="greaterThan" allowBlank="1" showInputMessage="1" showErrorMessage="1" sqref="D8739">
      <formula1>0</formula1>
    </dataValidation>
    <dataValidation type="decimal" operator="greaterThan" allowBlank="1" showInputMessage="1" showErrorMessage="1" sqref="E8739">
      <formula1>0</formula1>
    </dataValidation>
    <dataValidation type="whole" operator="greaterThan" allowBlank="1" showInputMessage="1" showErrorMessage="1" sqref="A8740">
      <formula1>0</formula1>
    </dataValidation>
    <dataValidation type="list" allowBlank="1" showInputMessage="1" showErrorMessage="1" sqref="C8740">
      <formula1>UnidadesList</formula1>
    </dataValidation>
    <dataValidation type="decimal" operator="greaterThan" allowBlank="1" showInputMessage="1" showErrorMessage="1" sqref="D8740">
      <formula1>0</formula1>
    </dataValidation>
    <dataValidation type="decimal" operator="greaterThan" allowBlank="1" showInputMessage="1" showErrorMessage="1" sqref="E8740">
      <formula1>0</formula1>
    </dataValidation>
    <dataValidation type="whole" operator="greaterThan" allowBlank="1" showInputMessage="1" showErrorMessage="1" sqref="A8741">
      <formula1>0</formula1>
    </dataValidation>
    <dataValidation type="list" allowBlank="1" showInputMessage="1" showErrorMessage="1" sqref="C8741">
      <formula1>UnidadesList</formula1>
    </dataValidation>
    <dataValidation type="decimal" operator="greaterThan" allowBlank="1" showInputMessage="1" showErrorMessage="1" sqref="D8741">
      <formula1>0</formula1>
    </dataValidation>
    <dataValidation type="decimal" operator="greaterThan" allowBlank="1" showInputMessage="1" showErrorMessage="1" sqref="E8741">
      <formula1>0</formula1>
    </dataValidation>
    <dataValidation type="whole" operator="greaterThan" allowBlank="1" showInputMessage="1" showErrorMessage="1" sqref="A8742">
      <formula1>0</formula1>
    </dataValidation>
    <dataValidation type="list" allowBlank="1" showInputMessage="1" showErrorMessage="1" sqref="C8742">
      <formula1>UnidadesList</formula1>
    </dataValidation>
    <dataValidation type="decimal" operator="greaterThan" allowBlank="1" showInputMessage="1" showErrorMessage="1" sqref="D8742">
      <formula1>0</formula1>
    </dataValidation>
    <dataValidation type="decimal" operator="greaterThan" allowBlank="1" showInputMessage="1" showErrorMessage="1" sqref="E8742">
      <formula1>0</formula1>
    </dataValidation>
    <dataValidation type="whole" operator="greaterThan" allowBlank="1" showInputMessage="1" showErrorMessage="1" sqref="A8743">
      <formula1>0</formula1>
    </dataValidation>
    <dataValidation type="list" allowBlank="1" showInputMessage="1" showErrorMessage="1" sqref="C8743">
      <formula1>UnidadesList</formula1>
    </dataValidation>
    <dataValidation type="decimal" operator="greaterThan" allowBlank="1" showInputMessage="1" showErrorMessage="1" sqref="D8743">
      <formula1>0</formula1>
    </dataValidation>
    <dataValidation type="decimal" operator="greaterThan" allowBlank="1" showInputMessage="1" showErrorMessage="1" sqref="E8743">
      <formula1>0</formula1>
    </dataValidation>
    <dataValidation type="whole" operator="greaterThan" allowBlank="1" showInputMessage="1" showErrorMessage="1" sqref="A8744">
      <formula1>0</formula1>
    </dataValidation>
    <dataValidation type="list" allowBlank="1" showInputMessage="1" showErrorMessage="1" sqref="C8744">
      <formula1>UnidadesList</formula1>
    </dataValidation>
    <dataValidation type="decimal" operator="greaterThan" allowBlank="1" showInputMessage="1" showErrorMessage="1" sqref="D8744">
      <formula1>0</formula1>
    </dataValidation>
    <dataValidation type="decimal" operator="greaterThan" allowBlank="1" showInputMessage="1" showErrorMessage="1" sqref="E8744">
      <formula1>0</formula1>
    </dataValidation>
    <dataValidation type="whole" operator="greaterThan" allowBlank="1" showInputMessage="1" showErrorMessage="1" sqref="A8745">
      <formula1>0</formula1>
    </dataValidation>
    <dataValidation type="list" allowBlank="1" showInputMessage="1" showErrorMessage="1" sqref="C8745">
      <formula1>UnidadesList</formula1>
    </dataValidation>
    <dataValidation type="decimal" operator="greaterThan" allowBlank="1" showInputMessage="1" showErrorMessage="1" sqref="D8745">
      <formula1>0</formula1>
    </dataValidation>
    <dataValidation type="decimal" operator="greaterThan" allowBlank="1" showInputMessage="1" showErrorMessage="1" sqref="E8745">
      <formula1>0</formula1>
    </dataValidation>
    <dataValidation type="whole" operator="greaterThan" allowBlank="1" showInputMessage="1" showErrorMessage="1" sqref="A8746">
      <formula1>0</formula1>
    </dataValidation>
    <dataValidation type="list" allowBlank="1" showInputMessage="1" showErrorMessage="1" sqref="C8746">
      <formula1>UnidadesList</formula1>
    </dataValidation>
    <dataValidation type="decimal" operator="greaterThan" allowBlank="1" showInputMessage="1" showErrorMessage="1" sqref="D8746">
      <formula1>0</formula1>
    </dataValidation>
    <dataValidation type="decimal" operator="greaterThan" allowBlank="1" showInputMessage="1" showErrorMessage="1" sqref="E8746">
      <formula1>0</formula1>
    </dataValidation>
    <dataValidation type="whole" operator="greaterThan" allowBlank="1" showInputMessage="1" showErrorMessage="1" sqref="A8747">
      <formula1>0</formula1>
    </dataValidation>
    <dataValidation type="list" allowBlank="1" showInputMessage="1" showErrorMessage="1" sqref="C8747">
      <formula1>UnidadesList</formula1>
    </dataValidation>
    <dataValidation type="decimal" operator="greaterThan" allowBlank="1" showInputMessage="1" showErrorMessage="1" sqref="D8747">
      <formula1>0</formula1>
    </dataValidation>
    <dataValidation type="decimal" operator="greaterThan" allowBlank="1" showInputMessage="1" showErrorMessage="1" sqref="E8747">
      <formula1>0</formula1>
    </dataValidation>
    <dataValidation type="whole" operator="greaterThan" allowBlank="1" showInputMessage="1" showErrorMessage="1" sqref="A8748">
      <formula1>0</formula1>
    </dataValidation>
    <dataValidation type="list" allowBlank="1" showInputMessage="1" showErrorMessage="1" sqref="C8748">
      <formula1>UnidadesList</formula1>
    </dataValidation>
    <dataValidation type="decimal" operator="greaterThan" allowBlank="1" showInputMessage="1" showErrorMessage="1" sqref="D8748">
      <formula1>0</formula1>
    </dataValidation>
    <dataValidation type="decimal" operator="greaterThan" allowBlank="1" showInputMessage="1" showErrorMessage="1" sqref="E8748">
      <formula1>0</formula1>
    </dataValidation>
    <dataValidation type="whole" operator="greaterThan" allowBlank="1" showInputMessage="1" showErrorMessage="1" sqref="A8749">
      <formula1>0</formula1>
    </dataValidation>
    <dataValidation type="list" allowBlank="1" showInputMessage="1" showErrorMessage="1" sqref="C8749">
      <formula1>UnidadesList</formula1>
    </dataValidation>
    <dataValidation type="decimal" operator="greaterThan" allowBlank="1" showInputMessage="1" showErrorMessage="1" sqref="D8749">
      <formula1>0</formula1>
    </dataValidation>
    <dataValidation type="decimal" operator="greaterThan" allowBlank="1" showInputMessage="1" showErrorMessage="1" sqref="E8749">
      <formula1>0</formula1>
    </dataValidation>
    <dataValidation type="whole" operator="greaterThan" allowBlank="1" showInputMessage="1" showErrorMessage="1" sqref="A8750">
      <formula1>0</formula1>
    </dataValidation>
    <dataValidation type="list" allowBlank="1" showInputMessage="1" showErrorMessage="1" sqref="C8750">
      <formula1>UnidadesList</formula1>
    </dataValidation>
    <dataValidation type="decimal" operator="greaterThan" allowBlank="1" showInputMessage="1" showErrorMessage="1" sqref="D8750">
      <formula1>0</formula1>
    </dataValidation>
    <dataValidation type="decimal" operator="greaterThan" allowBlank="1" showInputMessage="1" showErrorMessage="1" sqref="E8750">
      <formula1>0</formula1>
    </dataValidation>
    <dataValidation type="whole" operator="greaterThan" allowBlank="1" showInputMessage="1" showErrorMessage="1" sqref="A8751">
      <formula1>0</formula1>
    </dataValidation>
    <dataValidation type="list" allowBlank="1" showInputMessage="1" showErrorMessage="1" sqref="C8751">
      <formula1>UnidadesList</formula1>
    </dataValidation>
    <dataValidation type="decimal" operator="greaterThan" allowBlank="1" showInputMessage="1" showErrorMessage="1" sqref="D8751">
      <formula1>0</formula1>
    </dataValidation>
    <dataValidation type="decimal" operator="greaterThan" allowBlank="1" showInputMessage="1" showErrorMessage="1" sqref="E8751">
      <formula1>0</formula1>
    </dataValidation>
    <dataValidation type="whole" operator="greaterThan" allowBlank="1" showInputMessage="1" showErrorMessage="1" sqref="A8752">
      <formula1>0</formula1>
    </dataValidation>
    <dataValidation type="list" allowBlank="1" showInputMessage="1" showErrorMessage="1" sqref="C8752">
      <formula1>UnidadesList</formula1>
    </dataValidation>
    <dataValidation type="decimal" operator="greaterThan" allowBlank="1" showInputMessage="1" showErrorMessage="1" sqref="D8752">
      <formula1>0</formula1>
    </dataValidation>
    <dataValidation type="decimal" operator="greaterThan" allowBlank="1" showInputMessage="1" showErrorMessage="1" sqref="E8752">
      <formula1>0</formula1>
    </dataValidation>
    <dataValidation type="whole" operator="greaterThan" allowBlank="1" showInputMessage="1" showErrorMessage="1" sqref="A8753">
      <formula1>0</formula1>
    </dataValidation>
    <dataValidation type="list" allowBlank="1" showInputMessage="1" showErrorMessage="1" sqref="C8753">
      <formula1>UnidadesList</formula1>
    </dataValidation>
    <dataValidation type="decimal" operator="greaterThan" allowBlank="1" showInputMessage="1" showErrorMessage="1" sqref="D8753">
      <formula1>0</formula1>
    </dataValidation>
    <dataValidation type="decimal" operator="greaterThan" allowBlank="1" showInputMessage="1" showErrorMessage="1" sqref="E8753">
      <formula1>0</formula1>
    </dataValidation>
    <dataValidation type="whole" operator="greaterThan" allowBlank="1" showInputMessage="1" showErrorMessage="1" sqref="A8754">
      <formula1>0</formula1>
    </dataValidation>
    <dataValidation type="list" allowBlank="1" showInputMessage="1" showErrorMessage="1" sqref="C8754">
      <formula1>UnidadesList</formula1>
    </dataValidation>
    <dataValidation type="decimal" operator="greaterThan" allowBlank="1" showInputMessage="1" showErrorMessage="1" sqref="D8754">
      <formula1>0</formula1>
    </dataValidation>
    <dataValidation type="decimal" operator="greaterThan" allowBlank="1" showInputMessage="1" showErrorMessage="1" sqref="E8754">
      <formula1>0</formula1>
    </dataValidation>
    <dataValidation type="whole" operator="greaterThan" allowBlank="1" showInputMessage="1" showErrorMessage="1" sqref="A8755">
      <formula1>0</formula1>
    </dataValidation>
    <dataValidation type="list" allowBlank="1" showInputMessage="1" showErrorMessage="1" sqref="C8755">
      <formula1>UnidadesList</formula1>
    </dataValidation>
    <dataValidation type="decimal" operator="greaterThan" allowBlank="1" showInputMessage="1" showErrorMessage="1" sqref="D8755">
      <formula1>0</formula1>
    </dataValidation>
    <dataValidation type="decimal" operator="greaterThan" allowBlank="1" showInputMessage="1" showErrorMessage="1" sqref="E8755">
      <formula1>0</formula1>
    </dataValidation>
    <dataValidation type="whole" operator="greaterThan" allowBlank="1" showInputMessage="1" showErrorMessage="1" sqref="A8756">
      <formula1>0</formula1>
    </dataValidation>
    <dataValidation type="list" allowBlank="1" showInputMessage="1" showErrorMessage="1" sqref="C8756">
      <formula1>UnidadesList</formula1>
    </dataValidation>
    <dataValidation type="decimal" operator="greaterThan" allowBlank="1" showInputMessage="1" showErrorMessage="1" sqref="D8756">
      <formula1>0</formula1>
    </dataValidation>
    <dataValidation type="decimal" operator="greaterThan" allowBlank="1" showInputMessage="1" showErrorMessage="1" sqref="E8756">
      <formula1>0</formula1>
    </dataValidation>
    <dataValidation type="whole" operator="greaterThan" allowBlank="1" showInputMessage="1" showErrorMessage="1" sqref="A8757">
      <formula1>0</formula1>
    </dataValidation>
    <dataValidation type="list" allowBlank="1" showInputMessage="1" showErrorMessage="1" sqref="C8757">
      <formula1>UnidadesList</formula1>
    </dataValidation>
    <dataValidation type="decimal" operator="greaterThan" allowBlank="1" showInputMessage="1" showErrorMessage="1" sqref="D8757">
      <formula1>0</formula1>
    </dataValidation>
    <dataValidation type="decimal" operator="greaterThan" allowBlank="1" showInputMessage="1" showErrorMessage="1" sqref="E8757">
      <formula1>0</formula1>
    </dataValidation>
    <dataValidation type="whole" operator="greaterThan" allowBlank="1" showInputMessage="1" showErrorMessage="1" sqref="A8758">
      <formula1>0</formula1>
    </dataValidation>
    <dataValidation type="list" allowBlank="1" showInputMessage="1" showErrorMessage="1" sqref="C8758">
      <formula1>UnidadesList</formula1>
    </dataValidation>
    <dataValidation type="decimal" operator="greaterThan" allowBlank="1" showInputMessage="1" showErrorMessage="1" sqref="D8758">
      <formula1>0</formula1>
    </dataValidation>
    <dataValidation type="decimal" operator="greaterThan" allowBlank="1" showInputMessage="1" showErrorMessage="1" sqref="E8758">
      <formula1>0</formula1>
    </dataValidation>
    <dataValidation type="whole" operator="greaterThan" allowBlank="1" showInputMessage="1" showErrorMessage="1" sqref="A8759">
      <formula1>0</formula1>
    </dataValidation>
    <dataValidation type="list" allowBlank="1" showInputMessage="1" showErrorMessage="1" sqref="C8759">
      <formula1>UnidadesList</formula1>
    </dataValidation>
    <dataValidation type="decimal" operator="greaterThan" allowBlank="1" showInputMessage="1" showErrorMessage="1" sqref="D8759">
      <formula1>0</formula1>
    </dataValidation>
    <dataValidation type="decimal" operator="greaterThan" allowBlank="1" showInputMessage="1" showErrorMessage="1" sqref="E8759">
      <formula1>0</formula1>
    </dataValidation>
    <dataValidation type="whole" operator="greaterThan" allowBlank="1" showInputMessage="1" showErrorMessage="1" sqref="A8760">
      <formula1>0</formula1>
    </dataValidation>
    <dataValidation type="list" allowBlank="1" showInputMessage="1" showErrorMessage="1" sqref="C8760">
      <formula1>UnidadesList</formula1>
    </dataValidation>
    <dataValidation type="decimal" operator="greaterThan" allowBlank="1" showInputMessage="1" showErrorMessage="1" sqref="D8760">
      <formula1>0</formula1>
    </dataValidation>
    <dataValidation type="decimal" operator="greaterThan" allowBlank="1" showInputMessage="1" showErrorMessage="1" sqref="E8760">
      <formula1>0</formula1>
    </dataValidation>
    <dataValidation type="whole" operator="greaterThan" allowBlank="1" showInputMessage="1" showErrorMessage="1" sqref="A8761">
      <formula1>0</formula1>
    </dataValidation>
    <dataValidation type="list" allowBlank="1" showInputMessage="1" showErrorMessage="1" sqref="C8761">
      <formula1>UnidadesList</formula1>
    </dataValidation>
    <dataValidation type="decimal" operator="greaterThan" allowBlank="1" showInputMessage="1" showErrorMessage="1" sqref="D8761">
      <formula1>0</formula1>
    </dataValidation>
    <dataValidation type="decimal" operator="greaterThan" allowBlank="1" showInputMessage="1" showErrorMessage="1" sqref="E8761">
      <formula1>0</formula1>
    </dataValidation>
    <dataValidation type="whole" operator="greaterThan" allowBlank="1" showInputMessage="1" showErrorMessage="1" sqref="A8762">
      <formula1>0</formula1>
    </dataValidation>
    <dataValidation type="list" allowBlank="1" showInputMessage="1" showErrorMessage="1" sqref="C8762">
      <formula1>UnidadesList</formula1>
    </dataValidation>
    <dataValidation type="decimal" operator="greaterThan" allowBlank="1" showInputMessage="1" showErrorMessage="1" sqref="D8762">
      <formula1>0</formula1>
    </dataValidation>
    <dataValidation type="decimal" operator="greaterThan" allowBlank="1" showInputMessage="1" showErrorMessage="1" sqref="E8762">
      <formula1>0</formula1>
    </dataValidation>
    <dataValidation type="whole" operator="greaterThan" allowBlank="1" showInputMessage="1" showErrorMessage="1" sqref="A8763">
      <formula1>0</formula1>
    </dataValidation>
    <dataValidation type="list" allowBlank="1" showInputMessage="1" showErrorMessage="1" sqref="C8763">
      <formula1>UnidadesList</formula1>
    </dataValidation>
    <dataValidation type="decimal" operator="greaterThan" allowBlank="1" showInputMessage="1" showErrorMessage="1" sqref="D8763">
      <formula1>0</formula1>
    </dataValidation>
    <dataValidation type="decimal" operator="greaterThan" allowBlank="1" showInputMessage="1" showErrorMessage="1" sqref="E8763">
      <formula1>0</formula1>
    </dataValidation>
    <dataValidation type="whole" operator="greaterThan" allowBlank="1" showInputMessage="1" showErrorMessage="1" sqref="A8764">
      <formula1>0</formula1>
    </dataValidation>
    <dataValidation type="list" allowBlank="1" showInputMessage="1" showErrorMessage="1" sqref="C8764">
      <formula1>UnidadesList</formula1>
    </dataValidation>
    <dataValidation type="decimal" operator="greaterThan" allowBlank="1" showInputMessage="1" showErrorMessage="1" sqref="D8764">
      <formula1>0</formula1>
    </dataValidation>
    <dataValidation type="decimal" operator="greaterThan" allowBlank="1" showInputMessage="1" showErrorMessage="1" sqref="E8764">
      <formula1>0</formula1>
    </dataValidation>
    <dataValidation type="whole" operator="greaterThan" allowBlank="1" showInputMessage="1" showErrorMessage="1" sqref="A8765">
      <formula1>0</formula1>
    </dataValidation>
    <dataValidation type="list" allowBlank="1" showInputMessage="1" showErrorMessage="1" sqref="C8765">
      <formula1>UnidadesList</formula1>
    </dataValidation>
    <dataValidation type="decimal" operator="greaterThan" allowBlank="1" showInputMessage="1" showErrorMessage="1" sqref="D8765">
      <formula1>0</formula1>
    </dataValidation>
    <dataValidation type="decimal" operator="greaterThan" allowBlank="1" showInputMessage="1" showErrorMessage="1" sqref="E8765">
      <formula1>0</formula1>
    </dataValidation>
    <dataValidation type="whole" operator="greaterThan" allowBlank="1" showInputMessage="1" showErrorMessage="1" sqref="A8766">
      <formula1>0</formula1>
    </dataValidation>
    <dataValidation type="list" allowBlank="1" showInputMessage="1" showErrorMessage="1" sqref="C8766">
      <formula1>UnidadesList</formula1>
    </dataValidation>
    <dataValidation type="decimal" operator="greaterThan" allowBlank="1" showInputMessage="1" showErrorMessage="1" sqref="D8766">
      <formula1>0</formula1>
    </dataValidation>
    <dataValidation type="decimal" operator="greaterThan" allowBlank="1" showInputMessage="1" showErrorMessage="1" sqref="E8766">
      <formula1>0</formula1>
    </dataValidation>
    <dataValidation type="whole" operator="greaterThan" allowBlank="1" showInputMessage="1" showErrorMessage="1" sqref="A8767">
      <formula1>0</formula1>
    </dataValidation>
    <dataValidation type="list" allowBlank="1" showInputMessage="1" showErrorMessage="1" sqref="C8767">
      <formula1>UnidadesList</formula1>
    </dataValidation>
    <dataValidation type="decimal" operator="greaterThan" allowBlank="1" showInputMessage="1" showErrorMessage="1" sqref="D8767">
      <formula1>0</formula1>
    </dataValidation>
    <dataValidation type="decimal" operator="greaterThan" allowBlank="1" showInputMessage="1" showErrorMessage="1" sqref="E8767">
      <formula1>0</formula1>
    </dataValidation>
    <dataValidation type="whole" operator="greaterThan" allowBlank="1" showInputMessage="1" showErrorMessage="1" sqref="A8768">
      <formula1>0</formula1>
    </dataValidation>
    <dataValidation type="list" allowBlank="1" showInputMessage="1" showErrorMessage="1" sqref="C8768">
      <formula1>UnidadesList</formula1>
    </dataValidation>
    <dataValidation type="decimal" operator="greaterThan" allowBlank="1" showInputMessage="1" showErrorMessage="1" sqref="D8768">
      <formula1>0</formula1>
    </dataValidation>
    <dataValidation type="decimal" operator="greaterThan" allowBlank="1" showInputMessage="1" showErrorMessage="1" sqref="E8768">
      <formula1>0</formula1>
    </dataValidation>
    <dataValidation type="whole" operator="greaterThan" allowBlank="1" showInputMessage="1" showErrorMessage="1" sqref="A8769">
      <formula1>0</formula1>
    </dataValidation>
    <dataValidation type="list" allowBlank="1" showInputMessage="1" showErrorMessage="1" sqref="C8769">
      <formula1>UnidadesList</formula1>
    </dataValidation>
    <dataValidation type="decimal" operator="greaterThan" allowBlank="1" showInputMessage="1" showErrorMessage="1" sqref="D8769">
      <formula1>0</formula1>
    </dataValidation>
    <dataValidation type="decimal" operator="greaterThan" allowBlank="1" showInputMessage="1" showErrorMessage="1" sqref="E8769">
      <formula1>0</formula1>
    </dataValidation>
    <dataValidation type="whole" operator="greaterThan" allowBlank="1" showInputMessage="1" showErrorMessage="1" sqref="A8770">
      <formula1>0</formula1>
    </dataValidation>
    <dataValidation type="list" allowBlank="1" showInputMessage="1" showErrorMessage="1" sqref="C8770">
      <formula1>UnidadesList</formula1>
    </dataValidation>
    <dataValidation type="decimal" operator="greaterThan" allowBlank="1" showInputMessage="1" showErrorMessage="1" sqref="D8770">
      <formula1>0</formula1>
    </dataValidation>
    <dataValidation type="decimal" operator="greaterThan" allowBlank="1" showInputMessage="1" showErrorMessage="1" sqref="E8770">
      <formula1>0</formula1>
    </dataValidation>
    <dataValidation type="whole" operator="greaterThan" allowBlank="1" showInputMessage="1" showErrorMessage="1" sqref="A8771">
      <formula1>0</formula1>
    </dataValidation>
    <dataValidation type="list" allowBlank="1" showInputMessage="1" showErrorMessage="1" sqref="C8771">
      <formula1>UnidadesList</formula1>
    </dataValidation>
    <dataValidation type="decimal" operator="greaterThan" allowBlank="1" showInputMessage="1" showErrorMessage="1" sqref="D8771">
      <formula1>0</formula1>
    </dataValidation>
    <dataValidation type="decimal" operator="greaterThan" allowBlank="1" showInputMessage="1" showErrorMessage="1" sqref="E8771">
      <formula1>0</formula1>
    </dataValidation>
    <dataValidation type="whole" operator="greaterThan" allowBlank="1" showInputMessage="1" showErrorMessage="1" sqref="A8772">
      <formula1>0</formula1>
    </dataValidation>
    <dataValidation type="list" allowBlank="1" showInputMessage="1" showErrorMessage="1" sqref="C8772">
      <formula1>UnidadesList</formula1>
    </dataValidation>
    <dataValidation type="decimal" operator="greaterThan" allowBlank="1" showInputMessage="1" showErrorMessage="1" sqref="D8772">
      <formula1>0</formula1>
    </dataValidation>
    <dataValidation type="decimal" operator="greaterThan" allowBlank="1" showInputMessage="1" showErrorMessage="1" sqref="E8772">
      <formula1>0</formula1>
    </dataValidation>
    <dataValidation type="whole" operator="greaterThan" allowBlank="1" showInputMessage="1" showErrorMessage="1" sqref="A8773">
      <formula1>0</formula1>
    </dataValidation>
    <dataValidation type="list" allowBlank="1" showInputMessage="1" showErrorMessage="1" sqref="C8773">
      <formula1>UnidadesList</formula1>
    </dataValidation>
    <dataValidation type="decimal" operator="greaterThan" allowBlank="1" showInputMessage="1" showErrorMessage="1" sqref="D8773">
      <formula1>0</formula1>
    </dataValidation>
    <dataValidation type="decimal" operator="greaterThan" allowBlank="1" showInputMessage="1" showErrorMessage="1" sqref="E8773">
      <formula1>0</formula1>
    </dataValidation>
    <dataValidation type="whole" operator="greaterThan" allowBlank="1" showInputMessage="1" showErrorMessage="1" sqref="A8774">
      <formula1>0</formula1>
    </dataValidation>
    <dataValidation type="list" allowBlank="1" showInputMessage="1" showErrorMessage="1" sqref="C8774">
      <formula1>UnidadesList</formula1>
    </dataValidation>
    <dataValidation type="decimal" operator="greaterThan" allowBlank="1" showInputMessage="1" showErrorMessage="1" sqref="D8774">
      <formula1>0</formula1>
    </dataValidation>
    <dataValidation type="decimal" operator="greaterThan" allowBlank="1" showInputMessage="1" showErrorMessage="1" sqref="E8774">
      <formula1>0</formula1>
    </dataValidation>
    <dataValidation type="whole" operator="greaterThan" allowBlank="1" showInputMessage="1" showErrorMessage="1" sqref="A8775">
      <formula1>0</formula1>
    </dataValidation>
    <dataValidation type="list" allowBlank="1" showInputMessage="1" showErrorMessage="1" sqref="C8775">
      <formula1>UnidadesList</formula1>
    </dataValidation>
    <dataValidation type="decimal" operator="greaterThan" allowBlank="1" showInputMessage="1" showErrorMessage="1" sqref="D8775">
      <formula1>0</formula1>
    </dataValidation>
    <dataValidation type="decimal" operator="greaterThan" allowBlank="1" showInputMessage="1" showErrorMessage="1" sqref="E8775">
      <formula1>0</formula1>
    </dataValidation>
    <dataValidation type="whole" operator="greaterThan" allowBlank="1" showInputMessage="1" showErrorMessage="1" sqref="A8776">
      <formula1>0</formula1>
    </dataValidation>
    <dataValidation type="list" allowBlank="1" showInputMessage="1" showErrorMessage="1" sqref="C8776">
      <formula1>UnidadesList</formula1>
    </dataValidation>
    <dataValidation type="decimal" operator="greaterThan" allowBlank="1" showInputMessage="1" showErrorMessage="1" sqref="D8776">
      <formula1>0</formula1>
    </dataValidation>
    <dataValidation type="decimal" operator="greaterThan" allowBlank="1" showInputMessage="1" showErrorMessage="1" sqref="E8776">
      <formula1>0</formula1>
    </dataValidation>
    <dataValidation type="date" operator="lessThanOrEqual" allowBlank="1" showInputMessage="1" showErrorMessage="1" sqref="C8781">
      <formula1>C8783</formula1>
    </dataValidation>
    <dataValidation type="date" operator="greaterThanOrEqual" allowBlank="1" showInputMessage="1" showErrorMessage="1" sqref="C8783">
      <formula1>C8781</formula1>
    </dataValidation>
    <dataValidation type="list" allowBlank="1" showInputMessage="1" showErrorMessage="1" sqref="F878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78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78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78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787">
      <formula1>0</formula1>
    </dataValidation>
    <dataValidation type="list" allowBlank="1" showInputMessage="1" showErrorMessage="1" sqref="C8787">
      <formula1>UnidadesList</formula1>
    </dataValidation>
    <dataValidation type="decimal" operator="greaterThan" allowBlank="1" showInputMessage="1" showErrorMessage="1" sqref="D8787">
      <formula1>0</formula1>
    </dataValidation>
    <dataValidation type="decimal" operator="greaterThan" allowBlank="1" showInputMessage="1" showErrorMessage="1" sqref="E8787">
      <formula1>0</formula1>
    </dataValidation>
    <dataValidation type="whole" operator="greaterThan" allowBlank="1" showInputMessage="1" showErrorMessage="1" sqref="A8788">
      <formula1>0</formula1>
    </dataValidation>
    <dataValidation type="list" allowBlank="1" showInputMessage="1" showErrorMessage="1" sqref="C8788">
      <formula1>UnidadesList</formula1>
    </dataValidation>
    <dataValidation type="decimal" operator="greaterThan" allowBlank="1" showInputMessage="1" showErrorMessage="1" sqref="D8788">
      <formula1>0</formula1>
    </dataValidation>
    <dataValidation type="decimal" operator="greaterThan" allowBlank="1" showInputMessage="1" showErrorMessage="1" sqref="E8788">
      <formula1>0</formula1>
    </dataValidation>
    <dataValidation type="whole" operator="greaterThan" allowBlank="1" showInputMessage="1" showErrorMessage="1" sqref="A8789">
      <formula1>0</formula1>
    </dataValidation>
    <dataValidation type="list" allowBlank="1" showInputMessage="1" showErrorMessage="1" sqref="C8789">
      <formula1>UnidadesList</formula1>
    </dataValidation>
    <dataValidation type="decimal" operator="greaterThan" allowBlank="1" showInputMessage="1" showErrorMessage="1" sqref="D8789">
      <formula1>0</formula1>
    </dataValidation>
    <dataValidation type="decimal" operator="greaterThan" allowBlank="1" showInputMessage="1" showErrorMessage="1" sqref="E8789">
      <formula1>0</formula1>
    </dataValidation>
    <dataValidation type="whole" operator="greaterThan" allowBlank="1" showInputMessage="1" showErrorMessage="1" sqref="A8790">
      <formula1>0</formula1>
    </dataValidation>
    <dataValidation type="list" allowBlank="1" showInputMessage="1" showErrorMessage="1" sqref="C8790">
      <formula1>UnidadesList</formula1>
    </dataValidation>
    <dataValidation type="decimal" operator="greaterThan" allowBlank="1" showInputMessage="1" showErrorMessage="1" sqref="D8790">
      <formula1>0</formula1>
    </dataValidation>
    <dataValidation type="decimal" operator="greaterThan" allowBlank="1" showInputMessage="1" showErrorMessage="1" sqref="E8790">
      <formula1>0</formula1>
    </dataValidation>
    <dataValidation type="whole" operator="greaterThan" allowBlank="1" showInputMessage="1" showErrorMessage="1" sqref="A8791">
      <formula1>0</formula1>
    </dataValidation>
    <dataValidation type="list" allowBlank="1" showInputMessage="1" showErrorMessage="1" sqref="C8791">
      <formula1>UnidadesList</formula1>
    </dataValidation>
    <dataValidation type="decimal" operator="greaterThan" allowBlank="1" showInputMessage="1" showErrorMessage="1" sqref="D8791">
      <formula1>0</formula1>
    </dataValidation>
    <dataValidation type="decimal" operator="greaterThan" allowBlank="1" showInputMessage="1" showErrorMessage="1" sqref="E8791">
      <formula1>0</formula1>
    </dataValidation>
    <dataValidation type="whole" operator="greaterThan" allowBlank="1" showInputMessage="1" showErrorMessage="1" sqref="A8792">
      <formula1>0</formula1>
    </dataValidation>
    <dataValidation type="list" allowBlank="1" showInputMessage="1" showErrorMessage="1" sqref="C8792">
      <formula1>UnidadesList</formula1>
    </dataValidation>
    <dataValidation type="decimal" operator="greaterThan" allowBlank="1" showInputMessage="1" showErrorMessage="1" sqref="D8792">
      <formula1>0</formula1>
    </dataValidation>
    <dataValidation type="decimal" operator="greaterThan" allowBlank="1" showInputMessage="1" showErrorMessage="1" sqref="E8792">
      <formula1>0</formula1>
    </dataValidation>
    <dataValidation type="whole" operator="greaterThan" allowBlank="1" showInputMessage="1" showErrorMessage="1" sqref="A8793">
      <formula1>0</formula1>
    </dataValidation>
    <dataValidation type="list" allowBlank="1" showInputMessage="1" showErrorMessage="1" sqref="C8793">
      <formula1>UnidadesList</formula1>
    </dataValidation>
    <dataValidation type="decimal" operator="greaterThan" allowBlank="1" showInputMessage="1" showErrorMessage="1" sqref="D8793">
      <formula1>0</formula1>
    </dataValidation>
    <dataValidation type="decimal" operator="greaterThan" allowBlank="1" showInputMessage="1" showErrorMessage="1" sqref="E8793">
      <formula1>0</formula1>
    </dataValidation>
    <dataValidation type="whole" operator="greaterThan" allowBlank="1" showInputMessage="1" showErrorMessage="1" sqref="A8794">
      <formula1>0</formula1>
    </dataValidation>
    <dataValidation type="list" allowBlank="1" showInputMessage="1" showErrorMessage="1" sqref="C8794">
      <formula1>UnidadesList</formula1>
    </dataValidation>
    <dataValidation type="decimal" operator="greaterThan" allowBlank="1" showInputMessage="1" showErrorMessage="1" sqref="D8794">
      <formula1>0</formula1>
    </dataValidation>
    <dataValidation type="decimal" operator="greaterThan" allowBlank="1" showInputMessage="1" showErrorMessage="1" sqref="E8794">
      <formula1>0</formula1>
    </dataValidation>
    <dataValidation type="whole" operator="greaterThan" allowBlank="1" showInputMessage="1" showErrorMessage="1" sqref="A8795">
      <formula1>0</formula1>
    </dataValidation>
    <dataValidation type="list" allowBlank="1" showInputMessage="1" showErrorMessage="1" sqref="C8795">
      <formula1>UnidadesList</formula1>
    </dataValidation>
    <dataValidation type="decimal" operator="greaterThan" allowBlank="1" showInputMessage="1" showErrorMessage="1" sqref="D8795">
      <formula1>0</formula1>
    </dataValidation>
    <dataValidation type="decimal" operator="greaterThan" allowBlank="1" showInputMessage="1" showErrorMessage="1" sqref="E8795">
      <formula1>0</formula1>
    </dataValidation>
    <dataValidation type="whole" operator="greaterThan" allowBlank="1" showInputMessage="1" showErrorMessage="1" sqref="A8796">
      <formula1>0</formula1>
    </dataValidation>
    <dataValidation type="list" allowBlank="1" showInputMessage="1" showErrorMessage="1" sqref="C8796">
      <formula1>UnidadesList</formula1>
    </dataValidation>
    <dataValidation type="decimal" operator="greaterThan" allowBlank="1" showInputMessage="1" showErrorMessage="1" sqref="D8796">
      <formula1>0</formula1>
    </dataValidation>
    <dataValidation type="decimal" operator="greaterThan" allowBlank="1" showInputMessage="1" showErrorMessage="1" sqref="E8796">
      <formula1>0</formula1>
    </dataValidation>
    <dataValidation type="whole" operator="greaterThan" allowBlank="1" showInputMessage="1" showErrorMessage="1" sqref="A8797">
      <formula1>0</formula1>
    </dataValidation>
    <dataValidation type="list" allowBlank="1" showInputMessage="1" showErrorMessage="1" sqref="C8797">
      <formula1>UnidadesList</formula1>
    </dataValidation>
    <dataValidation type="decimal" operator="greaterThan" allowBlank="1" showInputMessage="1" showErrorMessage="1" sqref="D8797">
      <formula1>0</formula1>
    </dataValidation>
    <dataValidation type="decimal" operator="greaterThan" allowBlank="1" showInputMessage="1" showErrorMessage="1" sqref="E8797">
      <formula1>0</formula1>
    </dataValidation>
    <dataValidation type="whole" operator="greaterThan" allowBlank="1" showInputMessage="1" showErrorMessage="1" sqref="A8798">
      <formula1>0</formula1>
    </dataValidation>
    <dataValidation type="list" allowBlank="1" showInputMessage="1" showErrorMessage="1" sqref="C8798">
      <formula1>UnidadesList</formula1>
    </dataValidation>
    <dataValidation type="decimal" operator="greaterThan" allowBlank="1" showInputMessage="1" showErrorMessage="1" sqref="D8798">
      <formula1>0</formula1>
    </dataValidation>
    <dataValidation type="decimal" operator="greaterThan" allowBlank="1" showInputMessage="1" showErrorMessage="1" sqref="E8798">
      <formula1>0</formula1>
    </dataValidation>
    <dataValidation type="whole" operator="greaterThan" allowBlank="1" showInputMessage="1" showErrorMessage="1" sqref="A8799">
      <formula1>0</formula1>
    </dataValidation>
    <dataValidation type="list" allowBlank="1" showInputMessage="1" showErrorMessage="1" sqref="C8799">
      <formula1>UnidadesList</formula1>
    </dataValidation>
    <dataValidation type="decimal" operator="greaterThan" allowBlank="1" showInputMessage="1" showErrorMessage="1" sqref="D8799">
      <formula1>0</formula1>
    </dataValidation>
    <dataValidation type="decimal" operator="greaterThan" allowBlank="1" showInputMessage="1" showErrorMessage="1" sqref="E8799">
      <formula1>0</formula1>
    </dataValidation>
    <dataValidation type="whole" operator="greaterThan" allowBlank="1" showInputMessage="1" showErrorMessage="1" sqref="A8800">
      <formula1>0</formula1>
    </dataValidation>
    <dataValidation type="list" allowBlank="1" showInputMessage="1" showErrorMessage="1" sqref="C8800">
      <formula1>UnidadesList</formula1>
    </dataValidation>
    <dataValidation type="decimal" operator="greaterThan" allowBlank="1" showInputMessage="1" showErrorMessage="1" sqref="D8800">
      <formula1>0</formula1>
    </dataValidation>
    <dataValidation type="decimal" operator="greaterThan" allowBlank="1" showInputMessage="1" showErrorMessage="1" sqref="E8800">
      <formula1>0</formula1>
    </dataValidation>
    <dataValidation type="whole" operator="greaterThan" allowBlank="1" showInputMessage="1" showErrorMessage="1" sqref="A8801">
      <formula1>0</formula1>
    </dataValidation>
    <dataValidation type="list" allowBlank="1" showInputMessage="1" showErrorMessage="1" sqref="C8801">
      <formula1>UnidadesList</formula1>
    </dataValidation>
    <dataValidation type="decimal" operator="greaterThan" allowBlank="1" showInputMessage="1" showErrorMessage="1" sqref="D8801">
      <formula1>0</formula1>
    </dataValidation>
    <dataValidation type="decimal" operator="greaterThan" allowBlank="1" showInputMessage="1" showErrorMessage="1" sqref="E8801">
      <formula1>0</formula1>
    </dataValidation>
    <dataValidation type="whole" operator="greaterThan" allowBlank="1" showInputMessage="1" showErrorMessage="1" sqref="A8802">
      <formula1>0</formula1>
    </dataValidation>
    <dataValidation type="list" allowBlank="1" showInputMessage="1" showErrorMessage="1" sqref="C8802">
      <formula1>UnidadesList</formula1>
    </dataValidation>
    <dataValidation type="decimal" operator="greaterThan" allowBlank="1" showInputMessage="1" showErrorMessage="1" sqref="D8802">
      <formula1>0</formula1>
    </dataValidation>
    <dataValidation type="decimal" operator="greaterThan" allowBlank="1" showInputMessage="1" showErrorMessage="1" sqref="E8802">
      <formula1>0</formula1>
    </dataValidation>
    <dataValidation type="whole" operator="greaterThan" allowBlank="1" showInputMessage="1" showErrorMessage="1" sqref="A8803">
      <formula1>0</formula1>
    </dataValidation>
    <dataValidation type="list" allowBlank="1" showInputMessage="1" showErrorMessage="1" sqref="C8803">
      <formula1>UnidadesList</formula1>
    </dataValidation>
    <dataValidation type="decimal" operator="greaterThan" allowBlank="1" showInputMessage="1" showErrorMessage="1" sqref="D8803">
      <formula1>0</formula1>
    </dataValidation>
    <dataValidation type="decimal" operator="greaterThan" allowBlank="1" showInputMessage="1" showErrorMessage="1" sqref="E8803">
      <formula1>0</formula1>
    </dataValidation>
    <dataValidation type="whole" operator="greaterThan" allowBlank="1" showInputMessage="1" showErrorMessage="1" sqref="A8804">
      <formula1>0</formula1>
    </dataValidation>
    <dataValidation type="list" allowBlank="1" showInputMessage="1" showErrorMessage="1" sqref="C8804">
      <formula1>UnidadesList</formula1>
    </dataValidation>
    <dataValidation type="decimal" operator="greaterThan" allowBlank="1" showInputMessage="1" showErrorMessage="1" sqref="D8804">
      <formula1>0</formula1>
    </dataValidation>
    <dataValidation type="decimal" operator="greaterThan" allowBlank="1" showInputMessage="1" showErrorMessage="1" sqref="E8804">
      <formula1>0</formula1>
    </dataValidation>
    <dataValidation type="whole" operator="greaterThan" allowBlank="1" showInputMessage="1" showErrorMessage="1" sqref="A8805">
      <formula1>0</formula1>
    </dataValidation>
    <dataValidation type="list" allowBlank="1" showInputMessage="1" showErrorMessage="1" sqref="C8805">
      <formula1>UnidadesList</formula1>
    </dataValidation>
    <dataValidation type="decimal" operator="greaterThan" allowBlank="1" showInputMessage="1" showErrorMessage="1" sqref="D8805">
      <formula1>0</formula1>
    </dataValidation>
    <dataValidation type="decimal" operator="greaterThan" allowBlank="1" showInputMessage="1" showErrorMessage="1" sqref="E8805">
      <formula1>0</formula1>
    </dataValidation>
    <dataValidation type="whole" operator="greaterThan" allowBlank="1" showInputMessage="1" showErrorMessage="1" sqref="A8806">
      <formula1>0</formula1>
    </dataValidation>
    <dataValidation type="list" allowBlank="1" showInputMessage="1" showErrorMessage="1" sqref="C8806">
      <formula1>UnidadesList</formula1>
    </dataValidation>
    <dataValidation type="decimal" operator="greaterThan" allowBlank="1" showInputMessage="1" showErrorMessage="1" sqref="D8806">
      <formula1>0</formula1>
    </dataValidation>
    <dataValidation type="decimal" operator="greaterThan" allowBlank="1" showInputMessage="1" showErrorMessage="1" sqref="E8806">
      <formula1>0</formula1>
    </dataValidation>
    <dataValidation type="whole" operator="greaterThan" allowBlank="1" showInputMessage="1" showErrorMessage="1" sqref="A8807">
      <formula1>0</formula1>
    </dataValidation>
    <dataValidation type="list" allowBlank="1" showInputMessage="1" showErrorMessage="1" sqref="C8807">
      <formula1>UnidadesList</formula1>
    </dataValidation>
    <dataValidation type="decimal" operator="greaterThan" allowBlank="1" showInputMessage="1" showErrorMessage="1" sqref="D8807">
      <formula1>0</formula1>
    </dataValidation>
    <dataValidation type="decimal" operator="greaterThan" allowBlank="1" showInputMessage="1" showErrorMessage="1" sqref="E8807">
      <formula1>0</formula1>
    </dataValidation>
    <dataValidation type="whole" operator="greaterThan" allowBlank="1" showInputMessage="1" showErrorMessage="1" sqref="A8808">
      <formula1>0</formula1>
    </dataValidation>
    <dataValidation type="list" allowBlank="1" showInputMessage="1" showErrorMessage="1" sqref="C8808">
      <formula1>UnidadesList</formula1>
    </dataValidation>
    <dataValidation type="decimal" operator="greaterThan" allowBlank="1" showInputMessage="1" showErrorMessage="1" sqref="D8808">
      <formula1>0</formula1>
    </dataValidation>
    <dataValidation type="decimal" operator="greaterThan" allowBlank="1" showInputMessage="1" showErrorMessage="1" sqref="E8808">
      <formula1>0</formula1>
    </dataValidation>
    <dataValidation type="whole" operator="greaterThan" allowBlank="1" showInputMessage="1" showErrorMessage="1" sqref="A8809">
      <formula1>0</formula1>
    </dataValidation>
    <dataValidation type="list" allowBlank="1" showInputMessage="1" showErrorMessage="1" sqref="C8809">
      <formula1>UnidadesList</formula1>
    </dataValidation>
    <dataValidation type="decimal" operator="greaterThan" allowBlank="1" showInputMessage="1" showErrorMessage="1" sqref="D8809">
      <formula1>0</formula1>
    </dataValidation>
    <dataValidation type="decimal" operator="greaterThan" allowBlank="1" showInputMessage="1" showErrorMessage="1" sqref="E8809">
      <formula1>0</formula1>
    </dataValidation>
    <dataValidation type="whole" operator="greaterThan" allowBlank="1" showInputMessage="1" showErrorMessage="1" sqref="A8810">
      <formula1>0</formula1>
    </dataValidation>
    <dataValidation type="list" allowBlank="1" showInputMessage="1" showErrorMessage="1" sqref="C8810">
      <formula1>UnidadesList</formula1>
    </dataValidation>
    <dataValidation type="decimal" operator="greaterThan" allowBlank="1" showInputMessage="1" showErrorMessage="1" sqref="D8810">
      <formula1>0</formula1>
    </dataValidation>
    <dataValidation type="decimal" operator="greaterThan" allowBlank="1" showInputMessage="1" showErrorMessage="1" sqref="E8810">
      <formula1>0</formula1>
    </dataValidation>
    <dataValidation type="whole" operator="greaterThan" allowBlank="1" showInputMessage="1" showErrorMessage="1" sqref="A8811">
      <formula1>0</formula1>
    </dataValidation>
    <dataValidation type="list" allowBlank="1" showInputMessage="1" showErrorMessage="1" sqref="C8811">
      <formula1>UnidadesList</formula1>
    </dataValidation>
    <dataValidation type="decimal" operator="greaterThan" allowBlank="1" showInputMessage="1" showErrorMessage="1" sqref="D8811">
      <formula1>0</formula1>
    </dataValidation>
    <dataValidation type="decimal" operator="greaterThan" allowBlank="1" showInputMessage="1" showErrorMessage="1" sqref="E8811">
      <formula1>0</formula1>
    </dataValidation>
    <dataValidation type="whole" operator="greaterThan" allowBlank="1" showInputMessage="1" showErrorMessage="1" sqref="A8812">
      <formula1>0</formula1>
    </dataValidation>
    <dataValidation type="list" allowBlank="1" showInputMessage="1" showErrorMessage="1" sqref="C8812">
      <formula1>UnidadesList</formula1>
    </dataValidation>
    <dataValidation type="decimal" operator="greaterThan" allowBlank="1" showInputMessage="1" showErrorMessage="1" sqref="D8812">
      <formula1>0</formula1>
    </dataValidation>
    <dataValidation type="decimal" operator="greaterThan" allowBlank="1" showInputMessage="1" showErrorMessage="1" sqref="E8812">
      <formula1>0</formula1>
    </dataValidation>
    <dataValidation type="whole" operator="greaterThan" allowBlank="1" showInputMessage="1" showErrorMessage="1" sqref="A8813">
      <formula1>0</formula1>
    </dataValidation>
    <dataValidation type="list" allowBlank="1" showInputMessage="1" showErrorMessage="1" sqref="C8813">
      <formula1>UnidadesList</formula1>
    </dataValidation>
    <dataValidation type="decimal" operator="greaterThan" allowBlank="1" showInputMessage="1" showErrorMessage="1" sqref="D8813">
      <formula1>0</formula1>
    </dataValidation>
    <dataValidation type="decimal" operator="greaterThan" allowBlank="1" showInputMessage="1" showErrorMessage="1" sqref="E8813">
      <formula1>0</formula1>
    </dataValidation>
    <dataValidation type="whole" operator="greaterThan" allowBlank="1" showInputMessage="1" showErrorMessage="1" sqref="A8814">
      <formula1>0</formula1>
    </dataValidation>
    <dataValidation type="list" allowBlank="1" showInputMessage="1" showErrorMessage="1" sqref="C8814">
      <formula1>UnidadesList</formula1>
    </dataValidation>
    <dataValidation type="decimal" operator="greaterThan" allowBlank="1" showInputMessage="1" showErrorMessage="1" sqref="D8814">
      <formula1>0</formula1>
    </dataValidation>
    <dataValidation type="decimal" operator="greaterThan" allowBlank="1" showInputMessage="1" showErrorMessage="1" sqref="E8814">
      <formula1>0</formula1>
    </dataValidation>
    <dataValidation type="whole" operator="greaterThan" allowBlank="1" showInputMessage="1" showErrorMessage="1" sqref="A8815">
      <formula1>0</formula1>
    </dataValidation>
    <dataValidation type="list" allowBlank="1" showInputMessage="1" showErrorMessage="1" sqref="C8815">
      <formula1>UnidadesList</formula1>
    </dataValidation>
    <dataValidation type="decimal" operator="greaterThan" allowBlank="1" showInputMessage="1" showErrorMessage="1" sqref="D8815">
      <formula1>0</formula1>
    </dataValidation>
    <dataValidation type="decimal" operator="greaterThan" allowBlank="1" showInputMessage="1" showErrorMessage="1" sqref="E8815">
      <formula1>0</formula1>
    </dataValidation>
    <dataValidation type="whole" operator="greaterThan" allowBlank="1" showInputMessage="1" showErrorMessage="1" sqref="A8816">
      <formula1>0</formula1>
    </dataValidation>
    <dataValidation type="list" allowBlank="1" showInputMessage="1" showErrorMessage="1" sqref="C8816">
      <formula1>UnidadesList</formula1>
    </dataValidation>
    <dataValidation type="decimal" operator="greaterThan" allowBlank="1" showInputMessage="1" showErrorMessage="1" sqref="D8816">
      <formula1>0</formula1>
    </dataValidation>
    <dataValidation type="decimal" operator="greaterThan" allowBlank="1" showInputMessage="1" showErrorMessage="1" sqref="E8816">
      <formula1>0</formula1>
    </dataValidation>
    <dataValidation type="whole" operator="greaterThan" allowBlank="1" showInputMessage="1" showErrorMessage="1" sqref="A8817">
      <formula1>0</formula1>
    </dataValidation>
    <dataValidation type="list" allowBlank="1" showInputMessage="1" showErrorMessage="1" sqref="C8817">
      <formula1>UnidadesList</formula1>
    </dataValidation>
    <dataValidation type="decimal" operator="greaterThan" allowBlank="1" showInputMessage="1" showErrorMessage="1" sqref="D8817">
      <formula1>0</formula1>
    </dataValidation>
    <dataValidation type="decimal" operator="greaterThan" allowBlank="1" showInputMessage="1" showErrorMessage="1" sqref="E8817">
      <formula1>0</formula1>
    </dataValidation>
    <dataValidation type="whole" operator="greaterThan" allowBlank="1" showInputMessage="1" showErrorMessage="1" sqref="A8818">
      <formula1>0</formula1>
    </dataValidation>
    <dataValidation type="list" allowBlank="1" showInputMessage="1" showErrorMessage="1" sqref="C8818">
      <formula1>UnidadesList</formula1>
    </dataValidation>
    <dataValidation type="decimal" operator="greaterThan" allowBlank="1" showInputMessage="1" showErrorMessage="1" sqref="D8818">
      <formula1>0</formula1>
    </dataValidation>
    <dataValidation type="decimal" operator="greaterThan" allowBlank="1" showInputMessage="1" showErrorMessage="1" sqref="E8818">
      <formula1>0</formula1>
    </dataValidation>
    <dataValidation type="whole" operator="greaterThan" allowBlank="1" showInputMessage="1" showErrorMessage="1" sqref="A8819">
      <formula1>0</formula1>
    </dataValidation>
    <dataValidation type="list" allowBlank="1" showInputMessage="1" showErrorMessage="1" sqref="C8819">
      <formula1>UnidadesList</formula1>
    </dataValidation>
    <dataValidation type="decimal" operator="greaterThan" allowBlank="1" showInputMessage="1" showErrorMessage="1" sqref="D8819">
      <formula1>0</formula1>
    </dataValidation>
    <dataValidation type="decimal" operator="greaterThan" allowBlank="1" showInputMessage="1" showErrorMessage="1" sqref="E8819">
      <formula1>0</formula1>
    </dataValidation>
    <dataValidation type="whole" operator="greaterThan" allowBlank="1" showInputMessage="1" showErrorMessage="1" sqref="A8820">
      <formula1>0</formula1>
    </dataValidation>
    <dataValidation type="list" allowBlank="1" showInputMessage="1" showErrorMessage="1" sqref="C8820">
      <formula1>UnidadesList</formula1>
    </dataValidation>
    <dataValidation type="decimal" operator="greaterThan" allowBlank="1" showInputMessage="1" showErrorMessage="1" sqref="D8820">
      <formula1>0</formula1>
    </dataValidation>
    <dataValidation type="decimal" operator="greaterThan" allowBlank="1" showInputMessage="1" showErrorMessage="1" sqref="E8820">
      <formula1>0</formula1>
    </dataValidation>
    <dataValidation type="whole" operator="greaterThan" allowBlank="1" showInputMessage="1" showErrorMessage="1" sqref="A8821">
      <formula1>0</formula1>
    </dataValidation>
    <dataValidation type="list" allowBlank="1" showInputMessage="1" showErrorMessage="1" sqref="C8821">
      <formula1>UnidadesList</formula1>
    </dataValidation>
    <dataValidation type="decimal" operator="greaterThan" allowBlank="1" showInputMessage="1" showErrorMessage="1" sqref="D8821">
      <formula1>0</formula1>
    </dataValidation>
    <dataValidation type="decimal" operator="greaterThan" allowBlank="1" showInputMessage="1" showErrorMessage="1" sqref="E8821">
      <formula1>0</formula1>
    </dataValidation>
    <dataValidation type="whole" operator="greaterThan" allowBlank="1" showInputMessage="1" showErrorMessage="1" sqref="A8822">
      <formula1>0</formula1>
    </dataValidation>
    <dataValidation type="list" allowBlank="1" showInputMessage="1" showErrorMessage="1" sqref="C8822">
      <formula1>UnidadesList</formula1>
    </dataValidation>
    <dataValidation type="decimal" operator="greaterThan" allowBlank="1" showInputMessage="1" showErrorMessage="1" sqref="D8822">
      <formula1>0</formula1>
    </dataValidation>
    <dataValidation type="decimal" operator="greaterThan" allowBlank="1" showInputMessage="1" showErrorMessage="1" sqref="E8822">
      <formula1>0</formula1>
    </dataValidation>
    <dataValidation type="whole" operator="greaterThan" allowBlank="1" showInputMessage="1" showErrorMessage="1" sqref="A8823">
      <formula1>0</formula1>
    </dataValidation>
    <dataValidation type="list" allowBlank="1" showInputMessage="1" showErrorMessage="1" sqref="C8823">
      <formula1>UnidadesList</formula1>
    </dataValidation>
    <dataValidation type="decimal" operator="greaterThan" allowBlank="1" showInputMessage="1" showErrorMessage="1" sqref="D8823">
      <formula1>0</formula1>
    </dataValidation>
    <dataValidation type="decimal" operator="greaterThan" allowBlank="1" showInputMessage="1" showErrorMessage="1" sqref="E8823">
      <formula1>0</formula1>
    </dataValidation>
    <dataValidation type="whole" operator="greaterThan" allowBlank="1" showInputMessage="1" showErrorMessage="1" sqref="A8824">
      <formula1>0</formula1>
    </dataValidation>
    <dataValidation type="list" allowBlank="1" showInputMessage="1" showErrorMessage="1" sqref="C8824">
      <formula1>UnidadesList</formula1>
    </dataValidation>
    <dataValidation type="decimal" operator="greaterThan" allowBlank="1" showInputMessage="1" showErrorMessage="1" sqref="D8824">
      <formula1>0</formula1>
    </dataValidation>
    <dataValidation type="decimal" operator="greaterThan" allowBlank="1" showInputMessage="1" showErrorMessage="1" sqref="E8824">
      <formula1>0</formula1>
    </dataValidation>
    <dataValidation type="whole" operator="greaterThan" allowBlank="1" showInputMessage="1" showErrorMessage="1" sqref="A8825">
      <formula1>0</formula1>
    </dataValidation>
    <dataValidation type="list" allowBlank="1" showInputMessage="1" showErrorMessage="1" sqref="C8825">
      <formula1>UnidadesList</formula1>
    </dataValidation>
    <dataValidation type="decimal" operator="greaterThan" allowBlank="1" showInputMessage="1" showErrorMessage="1" sqref="D8825">
      <formula1>0</formula1>
    </dataValidation>
    <dataValidation type="decimal" operator="greaterThan" allowBlank="1" showInputMessage="1" showErrorMessage="1" sqref="E8825">
      <formula1>0</formula1>
    </dataValidation>
    <dataValidation type="whole" operator="greaterThan" allowBlank="1" showInputMessage="1" showErrorMessage="1" sqref="A8826">
      <formula1>0</formula1>
    </dataValidation>
    <dataValidation type="list" allowBlank="1" showInputMessage="1" showErrorMessage="1" sqref="C8826">
      <formula1>UnidadesList</formula1>
    </dataValidation>
    <dataValidation type="decimal" operator="greaterThan" allowBlank="1" showInputMessage="1" showErrorMessage="1" sqref="D8826">
      <formula1>0</formula1>
    </dataValidation>
    <dataValidation type="decimal" operator="greaterThan" allowBlank="1" showInputMessage="1" showErrorMessage="1" sqref="E8826">
      <formula1>0</formula1>
    </dataValidation>
    <dataValidation type="whole" operator="greaterThan" allowBlank="1" showInputMessage="1" showErrorMessage="1" sqref="A8827">
      <formula1>0</formula1>
    </dataValidation>
    <dataValidation type="list" allowBlank="1" showInputMessage="1" showErrorMessage="1" sqref="C8827">
      <formula1>UnidadesList</formula1>
    </dataValidation>
    <dataValidation type="decimal" operator="greaterThan" allowBlank="1" showInputMessage="1" showErrorMessage="1" sqref="D8827">
      <formula1>0</formula1>
    </dataValidation>
    <dataValidation type="decimal" operator="greaterThan" allowBlank="1" showInputMessage="1" showErrorMessage="1" sqref="E8827">
      <formula1>0</formula1>
    </dataValidation>
    <dataValidation type="whole" operator="greaterThan" allowBlank="1" showInputMessage="1" showErrorMessage="1" sqref="A8828">
      <formula1>0</formula1>
    </dataValidation>
    <dataValidation type="list" allowBlank="1" showInputMessage="1" showErrorMessage="1" sqref="C8828">
      <formula1>UnidadesList</formula1>
    </dataValidation>
    <dataValidation type="decimal" operator="greaterThan" allowBlank="1" showInputMessage="1" showErrorMessage="1" sqref="D8828">
      <formula1>0</formula1>
    </dataValidation>
    <dataValidation type="decimal" operator="greaterThan" allowBlank="1" showInputMessage="1" showErrorMessage="1" sqref="E8828">
      <formula1>0</formula1>
    </dataValidation>
    <dataValidation type="whole" operator="greaterThan" allowBlank="1" showInputMessage="1" showErrorMessage="1" sqref="A8829">
      <formula1>0</formula1>
    </dataValidation>
    <dataValidation type="list" allowBlank="1" showInputMessage="1" showErrorMessage="1" sqref="C8829">
      <formula1>UnidadesList</formula1>
    </dataValidation>
    <dataValidation type="decimal" operator="greaterThan" allowBlank="1" showInputMessage="1" showErrorMessage="1" sqref="D8829">
      <formula1>0</formula1>
    </dataValidation>
    <dataValidation type="decimal" operator="greaterThan" allowBlank="1" showInputMessage="1" showErrorMessage="1" sqref="E8829">
      <formula1>0</formula1>
    </dataValidation>
    <dataValidation type="whole" operator="greaterThan" allowBlank="1" showInputMessage="1" showErrorMessage="1" sqref="A8830">
      <formula1>0</formula1>
    </dataValidation>
    <dataValidation type="list" allowBlank="1" showInputMessage="1" showErrorMessage="1" sqref="C8830">
      <formula1>UnidadesList</formula1>
    </dataValidation>
    <dataValidation type="decimal" operator="greaterThan" allowBlank="1" showInputMessage="1" showErrorMessage="1" sqref="D8830">
      <formula1>0</formula1>
    </dataValidation>
    <dataValidation type="decimal" operator="greaterThan" allowBlank="1" showInputMessage="1" showErrorMessage="1" sqref="E8830">
      <formula1>0</formula1>
    </dataValidation>
    <dataValidation type="whole" operator="greaterThan" allowBlank="1" showInputMessage="1" showErrorMessage="1" sqref="A8831">
      <formula1>0</formula1>
    </dataValidation>
    <dataValidation type="list" allowBlank="1" showInputMessage="1" showErrorMessage="1" sqref="C8831">
      <formula1>UnidadesList</formula1>
    </dataValidation>
    <dataValidation type="decimal" operator="greaterThan" allowBlank="1" showInputMessage="1" showErrorMessage="1" sqref="D8831">
      <formula1>0</formula1>
    </dataValidation>
    <dataValidation type="decimal" operator="greaterThan" allowBlank="1" showInputMessage="1" showErrorMessage="1" sqref="E8831">
      <formula1>0</formula1>
    </dataValidation>
    <dataValidation type="whole" operator="greaterThan" allowBlank="1" showInputMessage="1" showErrorMessage="1" sqref="A8832">
      <formula1>0</formula1>
    </dataValidation>
    <dataValidation type="list" allowBlank="1" showInputMessage="1" showErrorMessage="1" sqref="C8832">
      <formula1>UnidadesList</formula1>
    </dataValidation>
    <dataValidation type="decimal" operator="greaterThan" allowBlank="1" showInputMessage="1" showErrorMessage="1" sqref="D8832">
      <formula1>0</formula1>
    </dataValidation>
    <dataValidation type="decimal" operator="greaterThan" allowBlank="1" showInputMessage="1" showErrorMessage="1" sqref="E8832">
      <formula1>0</formula1>
    </dataValidation>
    <dataValidation type="whole" operator="greaterThan" allowBlank="1" showInputMessage="1" showErrorMessage="1" sqref="A8833">
      <formula1>0</formula1>
    </dataValidation>
    <dataValidation type="list" allowBlank="1" showInputMessage="1" showErrorMessage="1" sqref="C8833">
      <formula1>UnidadesList</formula1>
    </dataValidation>
    <dataValidation type="decimal" operator="greaterThan" allowBlank="1" showInputMessage="1" showErrorMessage="1" sqref="D8833">
      <formula1>0</formula1>
    </dataValidation>
    <dataValidation type="decimal" operator="greaterThan" allowBlank="1" showInputMessage="1" showErrorMessage="1" sqref="E8833">
      <formula1>0</formula1>
    </dataValidation>
    <dataValidation type="whole" operator="greaterThan" allowBlank="1" showInputMessage="1" showErrorMessage="1" sqref="A8834">
      <formula1>0</formula1>
    </dataValidation>
    <dataValidation type="list" allowBlank="1" showInputMessage="1" showErrorMessage="1" sqref="C8834">
      <formula1>UnidadesList</formula1>
    </dataValidation>
    <dataValidation type="decimal" operator="greaterThan" allowBlank="1" showInputMessage="1" showErrorMessage="1" sqref="D8834">
      <formula1>0</formula1>
    </dataValidation>
    <dataValidation type="decimal" operator="greaterThan" allowBlank="1" showInputMessage="1" showErrorMessage="1" sqref="E8834">
      <formula1>0</formula1>
    </dataValidation>
    <dataValidation type="whole" operator="greaterThan" allowBlank="1" showInputMessage="1" showErrorMessage="1" sqref="A8835">
      <formula1>0</formula1>
    </dataValidation>
    <dataValidation type="list" allowBlank="1" showInputMessage="1" showErrorMessage="1" sqref="C8835">
      <formula1>UnidadesList</formula1>
    </dataValidation>
    <dataValidation type="decimal" operator="greaterThan" allowBlank="1" showInputMessage="1" showErrorMessage="1" sqref="D8835">
      <formula1>0</formula1>
    </dataValidation>
    <dataValidation type="decimal" operator="greaterThan" allowBlank="1" showInputMessage="1" showErrorMessage="1" sqref="E8835">
      <formula1>0</formula1>
    </dataValidation>
    <dataValidation type="whole" operator="greaterThan" allowBlank="1" showInputMessage="1" showErrorMessage="1" sqref="A8836">
      <formula1>0</formula1>
    </dataValidation>
    <dataValidation type="list" allowBlank="1" showInputMessage="1" showErrorMessage="1" sqref="C8836">
      <formula1>UnidadesList</formula1>
    </dataValidation>
    <dataValidation type="decimal" operator="greaterThan" allowBlank="1" showInputMessage="1" showErrorMessage="1" sqref="D8836">
      <formula1>0</formula1>
    </dataValidation>
    <dataValidation type="decimal" operator="greaterThan" allowBlank="1" showInputMessage="1" showErrorMessage="1" sqref="E8836">
      <formula1>0</formula1>
    </dataValidation>
    <dataValidation type="whole" operator="greaterThan" allowBlank="1" showInputMessage="1" showErrorMessage="1" sqref="A8837">
      <formula1>0</formula1>
    </dataValidation>
    <dataValidation type="list" allowBlank="1" showInputMessage="1" showErrorMessage="1" sqref="C8837">
      <formula1>UnidadesList</formula1>
    </dataValidation>
    <dataValidation type="decimal" operator="greaterThan" allowBlank="1" showInputMessage="1" showErrorMessage="1" sqref="D8837">
      <formula1>0</formula1>
    </dataValidation>
    <dataValidation type="decimal" operator="greaterThan" allowBlank="1" showInputMessage="1" showErrorMessage="1" sqref="E8837">
      <formula1>0</formula1>
    </dataValidation>
    <dataValidation type="whole" operator="greaterThan" allowBlank="1" showInputMessage="1" showErrorMessage="1" sqref="A8838">
      <formula1>0</formula1>
    </dataValidation>
    <dataValidation type="list" allowBlank="1" showInputMessage="1" showErrorMessage="1" sqref="C8838">
      <formula1>UnidadesList</formula1>
    </dataValidation>
    <dataValidation type="decimal" operator="greaterThan" allowBlank="1" showInputMessage="1" showErrorMessage="1" sqref="D8838">
      <formula1>0</formula1>
    </dataValidation>
    <dataValidation type="decimal" operator="greaterThan" allowBlank="1" showInputMessage="1" showErrorMessage="1" sqref="E8838">
      <formula1>0</formula1>
    </dataValidation>
    <dataValidation type="whole" operator="greaterThan" allowBlank="1" showInputMessage="1" showErrorMessage="1" sqref="A8839">
      <formula1>0</formula1>
    </dataValidation>
    <dataValidation type="list" allowBlank="1" showInputMessage="1" showErrorMessage="1" sqref="C8839">
      <formula1>UnidadesList</formula1>
    </dataValidation>
    <dataValidation type="decimal" operator="greaterThan" allowBlank="1" showInputMessage="1" showErrorMessage="1" sqref="D8839">
      <formula1>0</formula1>
    </dataValidation>
    <dataValidation type="decimal" operator="greaterThan" allowBlank="1" showInputMessage="1" showErrorMessage="1" sqref="E8839">
      <formula1>0</formula1>
    </dataValidation>
    <dataValidation type="whole" operator="greaterThan" allowBlank="1" showInputMessage="1" showErrorMessage="1" sqref="A8840">
      <formula1>0</formula1>
    </dataValidation>
    <dataValidation type="list" allowBlank="1" showInputMessage="1" showErrorMessage="1" sqref="C8840">
      <formula1>UnidadesList</formula1>
    </dataValidation>
    <dataValidation type="decimal" operator="greaterThan" allowBlank="1" showInputMessage="1" showErrorMessage="1" sqref="D8840">
      <formula1>0</formula1>
    </dataValidation>
    <dataValidation type="decimal" operator="greaterThan" allowBlank="1" showInputMessage="1" showErrorMessage="1" sqref="E8840">
      <formula1>0</formula1>
    </dataValidation>
    <dataValidation type="whole" operator="greaterThan" allowBlank="1" showInputMessage="1" showErrorMessage="1" sqref="A8841">
      <formula1>0</formula1>
    </dataValidation>
    <dataValidation type="list" allowBlank="1" showInputMessage="1" showErrorMessage="1" sqref="C8841">
      <formula1>UnidadesList</formula1>
    </dataValidation>
    <dataValidation type="decimal" operator="greaterThan" allowBlank="1" showInputMessage="1" showErrorMessage="1" sqref="D8841">
      <formula1>0</formula1>
    </dataValidation>
    <dataValidation type="decimal" operator="greaterThan" allowBlank="1" showInputMessage="1" showErrorMessage="1" sqref="E8841">
      <formula1>0</formula1>
    </dataValidation>
    <dataValidation type="whole" operator="greaterThan" allowBlank="1" showInputMessage="1" showErrorMessage="1" sqref="A8842">
      <formula1>0</formula1>
    </dataValidation>
    <dataValidation type="list" allowBlank="1" showInputMessage="1" showErrorMessage="1" sqref="C8842">
      <formula1>UnidadesList</formula1>
    </dataValidation>
    <dataValidation type="decimal" operator="greaterThan" allowBlank="1" showInputMessage="1" showErrorMessage="1" sqref="D8842">
      <formula1>0</formula1>
    </dataValidation>
    <dataValidation type="decimal" operator="greaterThan" allowBlank="1" showInputMessage="1" showErrorMessage="1" sqref="E8842">
      <formula1>0</formula1>
    </dataValidation>
    <dataValidation type="whole" operator="greaterThan" allowBlank="1" showInputMessage="1" showErrorMessage="1" sqref="A8843">
      <formula1>0</formula1>
    </dataValidation>
    <dataValidation type="list" allowBlank="1" showInputMessage="1" showErrorMessage="1" sqref="C8843">
      <formula1>UnidadesList</formula1>
    </dataValidation>
    <dataValidation type="decimal" operator="greaterThan" allowBlank="1" showInputMessage="1" showErrorMessage="1" sqref="D8843">
      <formula1>0</formula1>
    </dataValidation>
    <dataValidation type="decimal" operator="greaterThan" allowBlank="1" showInputMessage="1" showErrorMessage="1" sqref="E8843">
      <formula1>0</formula1>
    </dataValidation>
    <dataValidation type="whole" operator="greaterThan" allowBlank="1" showInputMessage="1" showErrorMessage="1" sqref="A8844">
      <formula1>0</formula1>
    </dataValidation>
    <dataValidation type="list" allowBlank="1" showInputMessage="1" showErrorMessage="1" sqref="C8844">
      <formula1>UnidadesList</formula1>
    </dataValidation>
    <dataValidation type="decimal" operator="greaterThan" allowBlank="1" showInputMessage="1" showErrorMessage="1" sqref="D8844">
      <formula1>0</formula1>
    </dataValidation>
    <dataValidation type="decimal" operator="greaterThan" allowBlank="1" showInputMessage="1" showErrorMessage="1" sqref="E8844">
      <formula1>0</formula1>
    </dataValidation>
    <dataValidation type="whole" operator="greaterThan" allowBlank="1" showInputMessage="1" showErrorMessage="1" sqref="A8845">
      <formula1>0</formula1>
    </dataValidation>
    <dataValidation type="list" allowBlank="1" showInputMessage="1" showErrorMessage="1" sqref="C8845">
      <formula1>UnidadesList</formula1>
    </dataValidation>
    <dataValidation type="decimal" operator="greaterThan" allowBlank="1" showInputMessage="1" showErrorMessage="1" sqref="D8845">
      <formula1>0</formula1>
    </dataValidation>
    <dataValidation type="decimal" operator="greaterThan" allowBlank="1" showInputMessage="1" showErrorMessage="1" sqref="E8845">
      <formula1>0</formula1>
    </dataValidation>
    <dataValidation type="whole" operator="greaterThan" allowBlank="1" showInputMessage="1" showErrorMessage="1" sqref="A8846">
      <formula1>0</formula1>
    </dataValidation>
    <dataValidation type="list" allowBlank="1" showInputMessage="1" showErrorMessage="1" sqref="C8846">
      <formula1>UnidadesList</formula1>
    </dataValidation>
    <dataValidation type="decimal" operator="greaterThan" allowBlank="1" showInputMessage="1" showErrorMessage="1" sqref="D8846">
      <formula1>0</formula1>
    </dataValidation>
    <dataValidation type="decimal" operator="greaterThan" allowBlank="1" showInputMessage="1" showErrorMessage="1" sqref="E8846">
      <formula1>0</formula1>
    </dataValidation>
    <dataValidation type="whole" operator="greaterThan" allowBlank="1" showInputMessage="1" showErrorMessage="1" sqref="A8847">
      <formula1>0</formula1>
    </dataValidation>
    <dataValidation type="list" allowBlank="1" showInputMessage="1" showErrorMessage="1" sqref="C8847">
      <formula1>UnidadesList</formula1>
    </dataValidation>
    <dataValidation type="decimal" operator="greaterThan" allowBlank="1" showInputMessage="1" showErrorMessage="1" sqref="D8847">
      <formula1>0</formula1>
    </dataValidation>
    <dataValidation type="decimal" operator="greaterThan" allowBlank="1" showInputMessage="1" showErrorMessage="1" sqref="E8847">
      <formula1>0</formula1>
    </dataValidation>
    <dataValidation type="whole" operator="greaterThan" allowBlank="1" showInputMessage="1" showErrorMessage="1" sqref="A8848">
      <formula1>0</formula1>
    </dataValidation>
    <dataValidation type="list" allowBlank="1" showInputMessage="1" showErrorMessage="1" sqref="C8848">
      <formula1>UnidadesList</formula1>
    </dataValidation>
    <dataValidation type="decimal" operator="greaterThan" allowBlank="1" showInputMessage="1" showErrorMessage="1" sqref="D8848">
      <formula1>0</formula1>
    </dataValidation>
    <dataValidation type="decimal" operator="greaterThan" allowBlank="1" showInputMessage="1" showErrorMessage="1" sqref="E8848">
      <formula1>0</formula1>
    </dataValidation>
    <dataValidation type="whole" operator="greaterThan" allowBlank="1" showInputMessage="1" showErrorMessage="1" sqref="A8849">
      <formula1>0</formula1>
    </dataValidation>
    <dataValidation type="list" allowBlank="1" showInputMessage="1" showErrorMessage="1" sqref="C8849">
      <formula1>UnidadesList</formula1>
    </dataValidation>
    <dataValidation type="decimal" operator="greaterThan" allowBlank="1" showInputMessage="1" showErrorMessage="1" sqref="D8849">
      <formula1>0</formula1>
    </dataValidation>
    <dataValidation type="decimal" operator="greaterThan" allowBlank="1" showInputMessage="1" showErrorMessage="1" sqref="E8849">
      <formula1>0</formula1>
    </dataValidation>
    <dataValidation type="whole" operator="greaterThan" allowBlank="1" showInputMessage="1" showErrorMessage="1" sqref="A8850">
      <formula1>0</formula1>
    </dataValidation>
    <dataValidation type="list" allowBlank="1" showInputMessage="1" showErrorMessage="1" sqref="C8850">
      <formula1>UnidadesList</formula1>
    </dataValidation>
    <dataValidation type="decimal" operator="greaterThan" allowBlank="1" showInputMessage="1" showErrorMessage="1" sqref="D8850">
      <formula1>0</formula1>
    </dataValidation>
    <dataValidation type="decimal" operator="greaterThan" allowBlank="1" showInputMessage="1" showErrorMessage="1" sqref="E8850">
      <formula1>0</formula1>
    </dataValidation>
    <dataValidation type="whole" operator="greaterThan" allowBlank="1" showInputMessage="1" showErrorMessage="1" sqref="A8851">
      <formula1>0</formula1>
    </dataValidation>
    <dataValidation type="list" allowBlank="1" showInputMessage="1" showErrorMessage="1" sqref="C8851">
      <formula1>UnidadesList</formula1>
    </dataValidation>
    <dataValidation type="decimal" operator="greaterThan" allowBlank="1" showInputMessage="1" showErrorMessage="1" sqref="D8851">
      <formula1>0</formula1>
    </dataValidation>
    <dataValidation type="decimal" operator="greaterThan" allowBlank="1" showInputMessage="1" showErrorMessage="1" sqref="E8851">
      <formula1>0</formula1>
    </dataValidation>
    <dataValidation type="whole" operator="greaterThan" allowBlank="1" showInputMessage="1" showErrorMessage="1" sqref="A8852">
      <formula1>0</formula1>
    </dataValidation>
    <dataValidation type="list" allowBlank="1" showInputMessage="1" showErrorMessage="1" sqref="C8852">
      <formula1>UnidadesList</formula1>
    </dataValidation>
    <dataValidation type="decimal" operator="greaterThan" allowBlank="1" showInputMessage="1" showErrorMessage="1" sqref="D8852">
      <formula1>0</formula1>
    </dataValidation>
    <dataValidation type="decimal" operator="greaterThan" allowBlank="1" showInputMessage="1" showErrorMessage="1" sqref="E8852">
      <formula1>0</formula1>
    </dataValidation>
    <dataValidation type="whole" operator="greaterThan" allowBlank="1" showInputMessage="1" showErrorMessage="1" sqref="A8853">
      <formula1>0</formula1>
    </dataValidation>
    <dataValidation type="list" allowBlank="1" showInputMessage="1" showErrorMessage="1" sqref="C8853">
      <formula1>UnidadesList</formula1>
    </dataValidation>
    <dataValidation type="decimal" operator="greaterThan" allowBlank="1" showInputMessage="1" showErrorMessage="1" sqref="D8853">
      <formula1>0</formula1>
    </dataValidation>
    <dataValidation type="decimal" operator="greaterThan" allowBlank="1" showInputMessage="1" showErrorMessage="1" sqref="E8853">
      <formula1>0</formula1>
    </dataValidation>
    <dataValidation type="whole" operator="greaterThan" allowBlank="1" showInputMessage="1" showErrorMessage="1" sqref="A8854">
      <formula1>0</formula1>
    </dataValidation>
    <dataValidation type="list" allowBlank="1" showInputMessage="1" showErrorMessage="1" sqref="C8854">
      <formula1>UnidadesList</formula1>
    </dataValidation>
    <dataValidation type="decimal" operator="greaterThan" allowBlank="1" showInputMessage="1" showErrorMessage="1" sqref="D8854">
      <formula1>0</formula1>
    </dataValidation>
    <dataValidation type="decimal" operator="greaterThan" allowBlank="1" showInputMessage="1" showErrorMessage="1" sqref="E8854">
      <formula1>0</formula1>
    </dataValidation>
    <dataValidation type="whole" operator="greaterThan" allowBlank="1" showInputMessage="1" showErrorMessage="1" sqref="A8855">
      <formula1>0</formula1>
    </dataValidation>
    <dataValidation type="list" allowBlank="1" showInputMessage="1" showErrorMessage="1" sqref="C8855">
      <formula1>UnidadesList</formula1>
    </dataValidation>
    <dataValidation type="decimal" operator="greaterThan" allowBlank="1" showInputMessage="1" showErrorMessage="1" sqref="D8855">
      <formula1>0</formula1>
    </dataValidation>
    <dataValidation type="decimal" operator="greaterThan" allowBlank="1" showInputMessage="1" showErrorMessage="1" sqref="E8855">
      <formula1>0</formula1>
    </dataValidation>
    <dataValidation type="whole" operator="greaterThan" allowBlank="1" showInputMessage="1" showErrorMessage="1" sqref="A8856">
      <formula1>0</formula1>
    </dataValidation>
    <dataValidation type="list" allowBlank="1" showInputMessage="1" showErrorMessage="1" sqref="C8856">
      <formula1>UnidadesList</formula1>
    </dataValidation>
    <dataValidation type="decimal" operator="greaterThan" allowBlank="1" showInputMessage="1" showErrorMessage="1" sqref="D8856">
      <formula1>0</formula1>
    </dataValidation>
    <dataValidation type="decimal" operator="greaterThan" allowBlank="1" showInputMessage="1" showErrorMessage="1" sqref="E8856">
      <formula1>0</formula1>
    </dataValidation>
    <dataValidation type="whole" operator="greaterThan" allowBlank="1" showInputMessage="1" showErrorMessage="1" sqref="A8857">
      <formula1>0</formula1>
    </dataValidation>
    <dataValidation type="list" allowBlank="1" showInputMessage="1" showErrorMessage="1" sqref="C8857">
      <formula1>UnidadesList</formula1>
    </dataValidation>
    <dataValidation type="decimal" operator="greaterThan" allowBlank="1" showInputMessage="1" showErrorMessage="1" sqref="D8857">
      <formula1>0</formula1>
    </dataValidation>
    <dataValidation type="decimal" operator="greaterThan" allowBlank="1" showInputMessage="1" showErrorMessage="1" sqref="E8857">
      <formula1>0</formula1>
    </dataValidation>
    <dataValidation type="whole" operator="greaterThan" allowBlank="1" showInputMessage="1" showErrorMessage="1" sqref="A8858">
      <formula1>0</formula1>
    </dataValidation>
    <dataValidation type="list" allowBlank="1" showInputMessage="1" showErrorMessage="1" sqref="C8858">
      <formula1>UnidadesList</formula1>
    </dataValidation>
    <dataValidation type="decimal" operator="greaterThan" allowBlank="1" showInputMessage="1" showErrorMessage="1" sqref="D8858">
      <formula1>0</formula1>
    </dataValidation>
    <dataValidation type="decimal" operator="greaterThan" allowBlank="1" showInputMessage="1" showErrorMessage="1" sqref="E8858">
      <formula1>0</formula1>
    </dataValidation>
    <dataValidation type="whole" operator="greaterThan" allowBlank="1" showInputMessage="1" showErrorMessage="1" sqref="A8859">
      <formula1>0</formula1>
    </dataValidation>
    <dataValidation type="list" allowBlank="1" showInputMessage="1" showErrorMessage="1" sqref="C8859">
      <formula1>UnidadesList</formula1>
    </dataValidation>
    <dataValidation type="decimal" operator="greaterThan" allowBlank="1" showInputMessage="1" showErrorMessage="1" sqref="D8859">
      <formula1>0</formula1>
    </dataValidation>
    <dataValidation type="decimal" operator="greaterThan" allowBlank="1" showInputMessage="1" showErrorMessage="1" sqref="E8859">
      <formula1>0</formula1>
    </dataValidation>
    <dataValidation type="whole" operator="greaterThan" allowBlank="1" showInputMessage="1" showErrorMessage="1" sqref="A8860">
      <formula1>0</formula1>
    </dataValidation>
    <dataValidation type="list" allowBlank="1" showInputMessage="1" showErrorMessage="1" sqref="C8860">
      <formula1>UnidadesList</formula1>
    </dataValidation>
    <dataValidation type="decimal" operator="greaterThan" allowBlank="1" showInputMessage="1" showErrorMessage="1" sqref="D8860">
      <formula1>0</formula1>
    </dataValidation>
    <dataValidation type="decimal" operator="greaterThan" allowBlank="1" showInputMessage="1" showErrorMessage="1" sqref="E8860">
      <formula1>0</formula1>
    </dataValidation>
    <dataValidation type="whole" operator="greaterThan" allowBlank="1" showInputMessage="1" showErrorMessage="1" sqref="A8861">
      <formula1>0</formula1>
    </dataValidation>
    <dataValidation type="list" allowBlank="1" showInputMessage="1" showErrorMessage="1" sqref="C8861">
      <formula1>UnidadesList</formula1>
    </dataValidation>
    <dataValidation type="decimal" operator="greaterThan" allowBlank="1" showInputMessage="1" showErrorMessage="1" sqref="D8861">
      <formula1>0</formula1>
    </dataValidation>
    <dataValidation type="decimal" operator="greaterThan" allowBlank="1" showInputMessage="1" showErrorMessage="1" sqref="E8861">
      <formula1>0</formula1>
    </dataValidation>
    <dataValidation type="whole" operator="greaterThan" allowBlank="1" showInputMessage="1" showErrorMessage="1" sqref="A8862">
      <formula1>0</formula1>
    </dataValidation>
    <dataValidation type="list" allowBlank="1" showInputMessage="1" showErrorMessage="1" sqref="C8862">
      <formula1>UnidadesList</formula1>
    </dataValidation>
    <dataValidation type="decimal" operator="greaterThan" allowBlank="1" showInputMessage="1" showErrorMessage="1" sqref="D8862">
      <formula1>0</formula1>
    </dataValidation>
    <dataValidation type="decimal" operator="greaterThan" allowBlank="1" showInputMessage="1" showErrorMessage="1" sqref="E8862">
      <formula1>0</formula1>
    </dataValidation>
    <dataValidation type="whole" operator="greaterThan" allowBlank="1" showInputMessage="1" showErrorMessage="1" sqref="A8863">
      <formula1>0</formula1>
    </dataValidation>
    <dataValidation type="list" allowBlank="1" showInputMessage="1" showErrorMessage="1" sqref="C8863">
      <formula1>UnidadesList</formula1>
    </dataValidation>
    <dataValidation type="decimal" operator="greaterThan" allowBlank="1" showInputMessage="1" showErrorMessage="1" sqref="D8863">
      <formula1>0</formula1>
    </dataValidation>
    <dataValidation type="decimal" operator="greaterThan" allowBlank="1" showInputMessage="1" showErrorMessage="1" sqref="E8863">
      <formula1>0</formula1>
    </dataValidation>
    <dataValidation type="whole" operator="greaterThan" allowBlank="1" showInputMessage="1" showErrorMessage="1" sqref="A8864">
      <formula1>0</formula1>
    </dataValidation>
    <dataValidation type="list" allowBlank="1" showInputMessage="1" showErrorMessage="1" sqref="C8864">
      <formula1>UnidadesList</formula1>
    </dataValidation>
    <dataValidation type="decimal" operator="greaterThan" allowBlank="1" showInputMessage="1" showErrorMessage="1" sqref="D8864">
      <formula1>0</formula1>
    </dataValidation>
    <dataValidation type="decimal" operator="greaterThan" allowBlank="1" showInputMessage="1" showErrorMessage="1" sqref="E8864">
      <formula1>0</formula1>
    </dataValidation>
    <dataValidation type="whole" operator="greaterThan" allowBlank="1" showInputMessage="1" showErrorMessage="1" sqref="A8865">
      <formula1>0</formula1>
    </dataValidation>
    <dataValidation type="list" allowBlank="1" showInputMessage="1" showErrorMessage="1" sqref="C8865">
      <formula1>UnidadesList</formula1>
    </dataValidation>
    <dataValidation type="decimal" operator="greaterThan" allowBlank="1" showInputMessage="1" showErrorMessage="1" sqref="D8865">
      <formula1>0</formula1>
    </dataValidation>
    <dataValidation type="decimal" operator="greaterThan" allowBlank="1" showInputMessage="1" showErrorMessage="1" sqref="E8865">
      <formula1>0</formula1>
    </dataValidation>
    <dataValidation type="whole" operator="greaterThan" allowBlank="1" showInputMessage="1" showErrorMessage="1" sqref="A8866">
      <formula1>0</formula1>
    </dataValidation>
    <dataValidation type="list" allowBlank="1" showInputMessage="1" showErrorMessage="1" sqref="C8866">
      <formula1>UnidadesList</formula1>
    </dataValidation>
    <dataValidation type="decimal" operator="greaterThan" allowBlank="1" showInputMessage="1" showErrorMessage="1" sqref="D8866">
      <formula1>0</formula1>
    </dataValidation>
    <dataValidation type="decimal" operator="greaterThan" allowBlank="1" showInputMessage="1" showErrorMessage="1" sqref="E8866">
      <formula1>0</formula1>
    </dataValidation>
    <dataValidation type="whole" operator="greaterThan" allowBlank="1" showInputMessage="1" showErrorMessage="1" sqref="A8867">
      <formula1>0</formula1>
    </dataValidation>
    <dataValidation type="list" allowBlank="1" showInputMessage="1" showErrorMessage="1" sqref="C8867">
      <formula1>UnidadesList</formula1>
    </dataValidation>
    <dataValidation type="decimal" operator="greaterThan" allowBlank="1" showInputMessage="1" showErrorMessage="1" sqref="D8867">
      <formula1>0</formula1>
    </dataValidation>
    <dataValidation type="decimal" operator="greaterThan" allowBlank="1" showInputMessage="1" showErrorMessage="1" sqref="E8867">
      <formula1>0</formula1>
    </dataValidation>
    <dataValidation type="whole" operator="greaterThan" allowBlank="1" showInputMessage="1" showErrorMessage="1" sqref="A8868">
      <formula1>0</formula1>
    </dataValidation>
    <dataValidation type="list" allowBlank="1" showInputMessage="1" showErrorMessage="1" sqref="C8868">
      <formula1>UnidadesList</formula1>
    </dataValidation>
    <dataValidation type="decimal" operator="greaterThan" allowBlank="1" showInputMessage="1" showErrorMessage="1" sqref="D8868">
      <formula1>0</formula1>
    </dataValidation>
    <dataValidation type="decimal" operator="greaterThan" allowBlank="1" showInputMessage="1" showErrorMessage="1" sqref="E8868">
      <formula1>0</formula1>
    </dataValidation>
    <dataValidation type="whole" operator="greaterThan" allowBlank="1" showInputMessage="1" showErrorMessage="1" sqref="A8869">
      <formula1>0</formula1>
    </dataValidation>
    <dataValidation type="list" allowBlank="1" showInputMessage="1" showErrorMessage="1" sqref="C8869">
      <formula1>UnidadesList</formula1>
    </dataValidation>
    <dataValidation type="decimal" operator="greaterThan" allowBlank="1" showInputMessage="1" showErrorMessage="1" sqref="D8869">
      <formula1>0</formula1>
    </dataValidation>
    <dataValidation type="decimal" operator="greaterThan" allowBlank="1" showInputMessage="1" showErrorMessage="1" sqref="E8869">
      <formula1>0</formula1>
    </dataValidation>
    <dataValidation type="whole" operator="greaterThan" allowBlank="1" showInputMessage="1" showErrorMessage="1" sqref="A8870">
      <formula1>0</formula1>
    </dataValidation>
    <dataValidation type="list" allowBlank="1" showInputMessage="1" showErrorMessage="1" sqref="C8870">
      <formula1>UnidadesList</formula1>
    </dataValidation>
    <dataValidation type="decimal" operator="greaterThan" allowBlank="1" showInputMessage="1" showErrorMessage="1" sqref="D8870">
      <formula1>0</formula1>
    </dataValidation>
    <dataValidation type="decimal" operator="greaterThan" allowBlank="1" showInputMessage="1" showErrorMessage="1" sqref="E8870">
      <formula1>0</formula1>
    </dataValidation>
    <dataValidation type="whole" operator="greaterThan" allowBlank="1" showInputMessage="1" showErrorMessage="1" sqref="A8871">
      <formula1>0</formula1>
    </dataValidation>
    <dataValidation type="list" allowBlank="1" showInputMessage="1" showErrorMessage="1" sqref="C8871">
      <formula1>UnidadesList</formula1>
    </dataValidation>
    <dataValidation type="decimal" operator="greaterThan" allowBlank="1" showInputMessage="1" showErrorMessage="1" sqref="D8871">
      <formula1>0</formula1>
    </dataValidation>
    <dataValidation type="decimal" operator="greaterThan" allowBlank="1" showInputMessage="1" showErrorMessage="1" sqref="E8871">
      <formula1>0</formula1>
    </dataValidation>
    <dataValidation type="whole" operator="greaterThan" allowBlank="1" showInputMessage="1" showErrorMessage="1" sqref="A8872">
      <formula1>0</formula1>
    </dataValidation>
    <dataValidation type="list" allowBlank="1" showInputMessage="1" showErrorMessage="1" sqref="C8872">
      <formula1>UnidadesList</formula1>
    </dataValidation>
    <dataValidation type="decimal" operator="greaterThan" allowBlank="1" showInputMessage="1" showErrorMessage="1" sqref="D8872">
      <formula1>0</formula1>
    </dataValidation>
    <dataValidation type="decimal" operator="greaterThan" allowBlank="1" showInputMessage="1" showErrorMessage="1" sqref="E8872">
      <formula1>0</formula1>
    </dataValidation>
    <dataValidation type="whole" operator="greaterThan" allowBlank="1" showInputMessage="1" showErrorMessage="1" sqref="A8873">
      <formula1>0</formula1>
    </dataValidation>
    <dataValidation type="list" allowBlank="1" showInputMessage="1" showErrorMessage="1" sqref="C8873">
      <formula1>UnidadesList</formula1>
    </dataValidation>
    <dataValidation type="decimal" operator="greaterThan" allowBlank="1" showInputMessage="1" showErrorMessage="1" sqref="D8873">
      <formula1>0</formula1>
    </dataValidation>
    <dataValidation type="decimal" operator="greaterThan" allowBlank="1" showInputMessage="1" showErrorMessage="1" sqref="E8873">
      <formula1>0</formula1>
    </dataValidation>
    <dataValidation type="whole" operator="greaterThan" allowBlank="1" showInputMessage="1" showErrorMessage="1" sqref="A8874">
      <formula1>0</formula1>
    </dataValidation>
    <dataValidation type="list" allowBlank="1" showInputMessage="1" showErrorMessage="1" sqref="C8874">
      <formula1>UnidadesList</formula1>
    </dataValidation>
    <dataValidation type="decimal" operator="greaterThan" allowBlank="1" showInputMessage="1" showErrorMessage="1" sqref="D8874">
      <formula1>0</formula1>
    </dataValidation>
    <dataValidation type="decimal" operator="greaterThan" allowBlank="1" showInputMessage="1" showErrorMessage="1" sqref="E8874">
      <formula1>0</formula1>
    </dataValidation>
    <dataValidation type="whole" operator="greaterThan" allowBlank="1" showInputMessage="1" showErrorMessage="1" sqref="A8875">
      <formula1>0</formula1>
    </dataValidation>
    <dataValidation type="list" allowBlank="1" showInputMessage="1" showErrorMessage="1" sqref="C8875">
      <formula1>UnidadesList</formula1>
    </dataValidation>
    <dataValidation type="decimal" operator="greaterThan" allowBlank="1" showInputMessage="1" showErrorMessage="1" sqref="D8875">
      <formula1>0</formula1>
    </dataValidation>
    <dataValidation type="decimal" operator="greaterThan" allowBlank="1" showInputMessage="1" showErrorMessage="1" sqref="E8875">
      <formula1>0</formula1>
    </dataValidation>
    <dataValidation type="whole" operator="greaterThan" allowBlank="1" showInputMessage="1" showErrorMessage="1" sqref="A8876">
      <formula1>0</formula1>
    </dataValidation>
    <dataValidation type="list" allowBlank="1" showInputMessage="1" showErrorMessage="1" sqref="C8876">
      <formula1>UnidadesList</formula1>
    </dataValidation>
    <dataValidation type="decimal" operator="greaterThan" allowBlank="1" showInputMessage="1" showErrorMessage="1" sqref="D8876">
      <formula1>0</formula1>
    </dataValidation>
    <dataValidation type="decimal" operator="greaterThan" allowBlank="1" showInputMessage="1" showErrorMessage="1" sqref="E8876">
      <formula1>0</formula1>
    </dataValidation>
    <dataValidation type="whole" operator="greaterThan" allowBlank="1" showInputMessage="1" showErrorMessage="1" sqref="A8877">
      <formula1>0</formula1>
    </dataValidation>
    <dataValidation type="list" allowBlank="1" showInputMessage="1" showErrorMessage="1" sqref="C8877">
      <formula1>UnidadesList</formula1>
    </dataValidation>
    <dataValidation type="decimal" operator="greaterThan" allowBlank="1" showInputMessage="1" showErrorMessage="1" sqref="D8877">
      <formula1>0</formula1>
    </dataValidation>
    <dataValidation type="decimal" operator="greaterThan" allowBlank="1" showInputMessage="1" showErrorMessage="1" sqref="E8877">
      <formula1>0</formula1>
    </dataValidation>
    <dataValidation type="whole" operator="greaterThan" allowBlank="1" showInputMessage="1" showErrorMessage="1" sqref="A8878">
      <formula1>0</formula1>
    </dataValidation>
    <dataValidation type="list" allowBlank="1" showInputMessage="1" showErrorMessage="1" sqref="C8878">
      <formula1>UnidadesList</formula1>
    </dataValidation>
    <dataValidation type="decimal" operator="greaterThan" allowBlank="1" showInputMessage="1" showErrorMessage="1" sqref="D8878">
      <formula1>0</formula1>
    </dataValidation>
    <dataValidation type="decimal" operator="greaterThan" allowBlank="1" showInputMessage="1" showErrorMessage="1" sqref="E8878">
      <formula1>0</formula1>
    </dataValidation>
    <dataValidation type="whole" operator="greaterThan" allowBlank="1" showInputMessage="1" showErrorMessage="1" sqref="A8879">
      <formula1>0</formula1>
    </dataValidation>
    <dataValidation type="list" allowBlank="1" showInputMessage="1" showErrorMessage="1" sqref="C8879">
      <formula1>UnidadesList</formula1>
    </dataValidation>
    <dataValidation type="decimal" operator="greaterThan" allowBlank="1" showInputMessage="1" showErrorMessage="1" sqref="D8879">
      <formula1>0</formula1>
    </dataValidation>
    <dataValidation type="decimal" operator="greaterThan" allowBlank="1" showInputMessage="1" showErrorMessage="1" sqref="E8879">
      <formula1>0</formula1>
    </dataValidation>
    <dataValidation type="whole" operator="greaterThan" allowBlank="1" showInputMessage="1" showErrorMessage="1" sqref="A8880">
      <formula1>0</formula1>
    </dataValidation>
    <dataValidation type="list" allowBlank="1" showInputMessage="1" showErrorMessage="1" sqref="C8880">
      <formula1>UnidadesList</formula1>
    </dataValidation>
    <dataValidation type="decimal" operator="greaterThan" allowBlank="1" showInputMessage="1" showErrorMessage="1" sqref="D8880">
      <formula1>0</formula1>
    </dataValidation>
    <dataValidation type="decimal" operator="greaterThan" allowBlank="1" showInputMessage="1" showErrorMessage="1" sqref="E8880">
      <formula1>0</formula1>
    </dataValidation>
    <dataValidation type="whole" operator="greaterThan" allowBlank="1" showInputMessage="1" showErrorMessage="1" sqref="A8881">
      <formula1>0</formula1>
    </dataValidation>
    <dataValidation type="list" allowBlank="1" showInputMessage="1" showErrorMessage="1" sqref="C8881">
      <formula1>UnidadesList</formula1>
    </dataValidation>
    <dataValidation type="decimal" operator="greaterThan" allowBlank="1" showInputMessage="1" showErrorMessage="1" sqref="D8881">
      <formula1>0</formula1>
    </dataValidation>
    <dataValidation type="decimal" operator="greaterThan" allowBlank="1" showInputMessage="1" showErrorMessage="1" sqref="E8881">
      <formula1>0</formula1>
    </dataValidation>
    <dataValidation type="whole" operator="greaterThan" allowBlank="1" showInputMessage="1" showErrorMessage="1" sqref="A8882">
      <formula1>0</formula1>
    </dataValidation>
    <dataValidation type="list" allowBlank="1" showInputMessage="1" showErrorMessage="1" sqref="C8882">
      <formula1>UnidadesList</formula1>
    </dataValidation>
    <dataValidation type="decimal" operator="greaterThan" allowBlank="1" showInputMessage="1" showErrorMessage="1" sqref="D8882">
      <formula1>0</formula1>
    </dataValidation>
    <dataValidation type="decimal" operator="greaterThan" allowBlank="1" showInputMessage="1" showErrorMessage="1" sqref="E8882">
      <formula1>0</formula1>
    </dataValidation>
    <dataValidation type="whole" operator="greaterThan" allowBlank="1" showInputMessage="1" showErrorMessage="1" sqref="A8883">
      <formula1>0</formula1>
    </dataValidation>
    <dataValidation type="list" allowBlank="1" showInputMessage="1" showErrorMessage="1" sqref="C8883">
      <formula1>UnidadesList</formula1>
    </dataValidation>
    <dataValidation type="decimal" operator="greaterThan" allowBlank="1" showInputMessage="1" showErrorMessage="1" sqref="D8883">
      <formula1>0</formula1>
    </dataValidation>
    <dataValidation type="decimal" operator="greaterThan" allowBlank="1" showInputMessage="1" showErrorMessage="1" sqref="E8883">
      <formula1>0</formula1>
    </dataValidation>
    <dataValidation type="whole" operator="greaterThan" allowBlank="1" showInputMessage="1" showErrorMessage="1" sqref="A8884">
      <formula1>0</formula1>
    </dataValidation>
    <dataValidation type="list" allowBlank="1" showInputMessage="1" showErrorMessage="1" sqref="C8884">
      <formula1>UnidadesList</formula1>
    </dataValidation>
    <dataValidation type="decimal" operator="greaterThan" allowBlank="1" showInputMessage="1" showErrorMessage="1" sqref="D8884">
      <formula1>0</formula1>
    </dataValidation>
    <dataValidation type="decimal" operator="greaterThan" allowBlank="1" showInputMessage="1" showErrorMessage="1" sqref="E8884">
      <formula1>0</formula1>
    </dataValidation>
    <dataValidation type="whole" operator="greaterThan" allowBlank="1" showInputMessage="1" showErrorMessage="1" sqref="A8885">
      <formula1>0</formula1>
    </dataValidation>
    <dataValidation type="list" allowBlank="1" showInputMessage="1" showErrorMessage="1" sqref="C8885">
      <formula1>UnidadesList</formula1>
    </dataValidation>
    <dataValidation type="decimal" operator="greaterThan" allowBlank="1" showInputMessage="1" showErrorMessage="1" sqref="D8885">
      <formula1>0</formula1>
    </dataValidation>
    <dataValidation type="decimal" operator="greaterThan" allowBlank="1" showInputMessage="1" showErrorMessage="1" sqref="E8885">
      <formula1>0</formula1>
    </dataValidation>
    <dataValidation type="whole" operator="greaterThan" allowBlank="1" showInputMessage="1" showErrorMessage="1" sqref="A8886">
      <formula1>0</formula1>
    </dataValidation>
    <dataValidation type="list" allowBlank="1" showInputMessage="1" showErrorMessage="1" sqref="C8886">
      <formula1>UnidadesList</formula1>
    </dataValidation>
    <dataValidation type="decimal" operator="greaterThan" allowBlank="1" showInputMessage="1" showErrorMessage="1" sqref="D8886">
      <formula1>0</formula1>
    </dataValidation>
    <dataValidation type="decimal" operator="greaterThan" allowBlank="1" showInputMessage="1" showErrorMessage="1" sqref="E8886">
      <formula1>0</formula1>
    </dataValidation>
    <dataValidation type="whole" operator="greaterThan" allowBlank="1" showInputMessage="1" showErrorMessage="1" sqref="A8887">
      <formula1>0</formula1>
    </dataValidation>
    <dataValidation type="list" allowBlank="1" showInputMessage="1" showErrorMessage="1" sqref="C8887">
      <formula1>UnidadesList</formula1>
    </dataValidation>
    <dataValidation type="decimal" operator="greaterThan" allowBlank="1" showInputMessage="1" showErrorMessage="1" sqref="D8887">
      <formula1>0</formula1>
    </dataValidation>
    <dataValidation type="decimal" operator="greaterThan" allowBlank="1" showInputMessage="1" showErrorMessage="1" sqref="E8887">
      <formula1>0</formula1>
    </dataValidation>
    <dataValidation type="whole" operator="greaterThan" allowBlank="1" showInputMessage="1" showErrorMessage="1" sqref="A8888">
      <formula1>0</formula1>
    </dataValidation>
    <dataValidation type="list" allowBlank="1" showInputMessage="1" showErrorMessage="1" sqref="C8888">
      <formula1>UnidadesList</formula1>
    </dataValidation>
    <dataValidation type="decimal" operator="greaterThan" allowBlank="1" showInputMessage="1" showErrorMessage="1" sqref="D8888">
      <formula1>0</formula1>
    </dataValidation>
    <dataValidation type="decimal" operator="greaterThan" allowBlank="1" showInputMessage="1" showErrorMessage="1" sqref="E8888">
      <formula1>0</formula1>
    </dataValidation>
    <dataValidation type="whole" operator="greaterThan" allowBlank="1" showInputMessage="1" showErrorMessage="1" sqref="A8889">
      <formula1>0</formula1>
    </dataValidation>
    <dataValidation type="list" allowBlank="1" showInputMessage="1" showErrorMessage="1" sqref="C8889">
      <formula1>UnidadesList</formula1>
    </dataValidation>
    <dataValidation type="decimal" operator="greaterThan" allowBlank="1" showInputMessage="1" showErrorMessage="1" sqref="D8889">
      <formula1>0</formula1>
    </dataValidation>
    <dataValidation type="decimal" operator="greaterThan" allowBlank="1" showInputMessage="1" showErrorMessage="1" sqref="E8889">
      <formula1>0</formula1>
    </dataValidation>
    <dataValidation type="whole" operator="greaterThan" allowBlank="1" showInputMessage="1" showErrorMessage="1" sqref="A8890">
      <formula1>0</formula1>
    </dataValidation>
    <dataValidation type="list" allowBlank="1" showInputMessage="1" showErrorMessage="1" sqref="C8890">
      <formula1>UnidadesList</formula1>
    </dataValidation>
    <dataValidation type="decimal" operator="greaterThan" allowBlank="1" showInputMessage="1" showErrorMessage="1" sqref="D8890">
      <formula1>0</formula1>
    </dataValidation>
    <dataValidation type="decimal" operator="greaterThan" allowBlank="1" showInputMessage="1" showErrorMessage="1" sqref="E8890">
      <formula1>0</formula1>
    </dataValidation>
    <dataValidation type="whole" operator="greaterThan" allowBlank="1" showInputMessage="1" showErrorMessage="1" sqref="A8891">
      <formula1>0</formula1>
    </dataValidation>
    <dataValidation type="list" allowBlank="1" showInputMessage="1" showErrorMessage="1" sqref="C8891">
      <formula1>UnidadesList</formula1>
    </dataValidation>
    <dataValidation type="decimal" operator="greaterThan" allowBlank="1" showInputMessage="1" showErrorMessage="1" sqref="D8891">
      <formula1>0</formula1>
    </dataValidation>
    <dataValidation type="decimal" operator="greaterThan" allowBlank="1" showInputMessage="1" showErrorMessage="1" sqref="E8891">
      <formula1>0</formula1>
    </dataValidation>
    <dataValidation type="whole" operator="greaterThan" allowBlank="1" showInputMessage="1" showErrorMessage="1" sqref="A8892">
      <formula1>0</formula1>
    </dataValidation>
    <dataValidation type="list" allowBlank="1" showInputMessage="1" showErrorMessage="1" sqref="C8892">
      <formula1>UnidadesList</formula1>
    </dataValidation>
    <dataValidation type="decimal" operator="greaterThan" allowBlank="1" showInputMessage="1" showErrorMessage="1" sqref="D8892">
      <formula1>0</formula1>
    </dataValidation>
    <dataValidation type="decimal" operator="greaterThan" allowBlank="1" showInputMessage="1" showErrorMessage="1" sqref="E8892">
      <formula1>0</formula1>
    </dataValidation>
    <dataValidation type="whole" operator="greaterThan" allowBlank="1" showInputMessage="1" showErrorMessage="1" sqref="A8893">
      <formula1>0</formula1>
    </dataValidation>
    <dataValidation type="list" allowBlank="1" showInputMessage="1" showErrorMessage="1" sqref="C8893">
      <formula1>UnidadesList</formula1>
    </dataValidation>
    <dataValidation type="decimal" operator="greaterThan" allowBlank="1" showInputMessage="1" showErrorMessage="1" sqref="D8893">
      <formula1>0</formula1>
    </dataValidation>
    <dataValidation type="decimal" operator="greaterThan" allowBlank="1" showInputMessage="1" showErrorMessage="1" sqref="E8893">
      <formula1>0</formula1>
    </dataValidation>
    <dataValidation type="date" operator="lessThanOrEqual" allowBlank="1" showInputMessage="1" showErrorMessage="1" sqref="C8898">
      <formula1>C8900</formula1>
    </dataValidation>
    <dataValidation type="date" operator="greaterThanOrEqual" allowBlank="1" showInputMessage="1" showErrorMessage="1" sqref="C8900">
      <formula1>C8898</formula1>
    </dataValidation>
    <dataValidation type="list" allowBlank="1" showInputMessage="1" showErrorMessage="1" sqref="F889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89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90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90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904">
      <formula1>0</formula1>
    </dataValidation>
    <dataValidation type="list" allowBlank="1" showInputMessage="1" showErrorMessage="1" sqref="C8904">
      <formula1>UnidadesList</formula1>
    </dataValidation>
    <dataValidation type="decimal" operator="greaterThan" allowBlank="1" showInputMessage="1" showErrorMessage="1" sqref="D8904">
      <formula1>0</formula1>
    </dataValidation>
    <dataValidation type="decimal" operator="greaterThan" allowBlank="1" showInputMessage="1" showErrorMessage="1" sqref="E8904">
      <formula1>0</formula1>
    </dataValidation>
    <dataValidation type="whole" operator="greaterThan" allowBlank="1" showInputMessage="1" showErrorMessage="1" sqref="A8905">
      <formula1>0</formula1>
    </dataValidation>
    <dataValidation type="list" allowBlank="1" showInputMessage="1" showErrorMessage="1" sqref="C8905">
      <formula1>UnidadesList</formula1>
    </dataValidation>
    <dataValidation type="decimal" operator="greaterThan" allowBlank="1" showInputMessage="1" showErrorMessage="1" sqref="D8905">
      <formula1>0</formula1>
    </dataValidation>
    <dataValidation type="decimal" operator="greaterThan" allowBlank="1" showInputMessage="1" showErrorMessage="1" sqref="E8905">
      <formula1>0</formula1>
    </dataValidation>
    <dataValidation type="whole" operator="greaterThan" allowBlank="1" showInputMessage="1" showErrorMessage="1" sqref="A8906">
      <formula1>0</formula1>
    </dataValidation>
    <dataValidation type="list" allowBlank="1" showInputMessage="1" showErrorMessage="1" sqref="C8906">
      <formula1>UnidadesList</formula1>
    </dataValidation>
    <dataValidation type="decimal" operator="greaterThan" allowBlank="1" showInputMessage="1" showErrorMessage="1" sqref="D8906">
      <formula1>0</formula1>
    </dataValidation>
    <dataValidation type="decimal" operator="greaterThan" allowBlank="1" showInputMessage="1" showErrorMessage="1" sqref="E8906">
      <formula1>0</formula1>
    </dataValidation>
    <dataValidation type="whole" operator="greaterThan" allowBlank="1" showInputMessage="1" showErrorMessage="1" sqref="A8907">
      <formula1>0</formula1>
    </dataValidation>
    <dataValidation type="list" allowBlank="1" showInputMessage="1" showErrorMessage="1" sqref="C8907">
      <formula1>UnidadesList</formula1>
    </dataValidation>
    <dataValidation type="decimal" operator="greaterThan" allowBlank="1" showInputMessage="1" showErrorMessage="1" sqref="D8907">
      <formula1>0</formula1>
    </dataValidation>
    <dataValidation type="decimal" operator="greaterThan" allowBlank="1" showInputMessage="1" showErrorMessage="1" sqref="E8907">
      <formula1>0</formula1>
    </dataValidation>
    <dataValidation type="whole" operator="greaterThan" allowBlank="1" showInputMessage="1" showErrorMessage="1" sqref="A8908">
      <formula1>0</formula1>
    </dataValidation>
    <dataValidation type="list" allowBlank="1" showInputMessage="1" showErrorMessage="1" sqref="C8908">
      <formula1>UnidadesList</formula1>
    </dataValidation>
    <dataValidation type="decimal" operator="greaterThan" allowBlank="1" showInputMessage="1" showErrorMessage="1" sqref="D8908">
      <formula1>0</formula1>
    </dataValidation>
    <dataValidation type="decimal" operator="greaterThan" allowBlank="1" showInputMessage="1" showErrorMessage="1" sqref="E8908">
      <formula1>0</formula1>
    </dataValidation>
    <dataValidation type="whole" operator="greaterThan" allowBlank="1" showInputMessage="1" showErrorMessage="1" sqref="A8909">
      <formula1>0</formula1>
    </dataValidation>
    <dataValidation type="list" allowBlank="1" showInputMessage="1" showErrorMessage="1" sqref="C8909">
      <formula1>UnidadesList</formula1>
    </dataValidation>
    <dataValidation type="decimal" operator="greaterThan" allowBlank="1" showInputMessage="1" showErrorMessage="1" sqref="D8909">
      <formula1>0</formula1>
    </dataValidation>
    <dataValidation type="decimal" operator="greaterThan" allowBlank="1" showInputMessage="1" showErrorMessage="1" sqref="E8909">
      <formula1>0</formula1>
    </dataValidation>
    <dataValidation type="whole" operator="greaterThan" allowBlank="1" showInputMessage="1" showErrorMessage="1" sqref="A8910">
      <formula1>0</formula1>
    </dataValidation>
    <dataValidation type="list" allowBlank="1" showInputMessage="1" showErrorMessage="1" sqref="C8910">
      <formula1>UnidadesList</formula1>
    </dataValidation>
    <dataValidation type="decimal" operator="greaterThan" allowBlank="1" showInputMessage="1" showErrorMessage="1" sqref="D8910">
      <formula1>0</formula1>
    </dataValidation>
    <dataValidation type="decimal" operator="greaterThan" allowBlank="1" showInputMessage="1" showErrorMessage="1" sqref="E8910">
      <formula1>0</formula1>
    </dataValidation>
    <dataValidation type="whole" operator="greaterThan" allowBlank="1" showInputMessage="1" showErrorMessage="1" sqref="A8911">
      <formula1>0</formula1>
    </dataValidation>
    <dataValidation type="list" allowBlank="1" showInputMessage="1" showErrorMessage="1" sqref="C8911">
      <formula1>UnidadesList</formula1>
    </dataValidation>
    <dataValidation type="decimal" operator="greaterThan" allowBlank="1" showInputMessage="1" showErrorMessage="1" sqref="D8911">
      <formula1>0</formula1>
    </dataValidation>
    <dataValidation type="decimal" operator="greaterThan" allowBlank="1" showInputMessage="1" showErrorMessage="1" sqref="E8911">
      <formula1>0</formula1>
    </dataValidation>
    <dataValidation type="whole" operator="greaterThan" allowBlank="1" showInputMessage="1" showErrorMessage="1" sqref="A8912">
      <formula1>0</formula1>
    </dataValidation>
    <dataValidation type="list" allowBlank="1" showInputMessage="1" showErrorMessage="1" sqref="C8912">
      <formula1>UnidadesList</formula1>
    </dataValidation>
    <dataValidation type="decimal" operator="greaterThan" allowBlank="1" showInputMessage="1" showErrorMessage="1" sqref="D8912">
      <formula1>0</formula1>
    </dataValidation>
    <dataValidation type="decimal" operator="greaterThan" allowBlank="1" showInputMessage="1" showErrorMessage="1" sqref="E8912">
      <formula1>0</formula1>
    </dataValidation>
    <dataValidation type="whole" operator="greaterThan" allowBlank="1" showInputMessage="1" showErrorMessage="1" sqref="A8913">
      <formula1>0</formula1>
    </dataValidation>
    <dataValidation type="list" allowBlank="1" showInputMessage="1" showErrorMessage="1" sqref="C8913">
      <formula1>UnidadesList</formula1>
    </dataValidation>
    <dataValidation type="decimal" operator="greaterThan" allowBlank="1" showInputMessage="1" showErrorMessage="1" sqref="D8913">
      <formula1>0</formula1>
    </dataValidation>
    <dataValidation type="decimal" operator="greaterThan" allowBlank="1" showInputMessage="1" showErrorMessage="1" sqref="E8913">
      <formula1>0</formula1>
    </dataValidation>
    <dataValidation type="whole" operator="greaterThan" allowBlank="1" showInputMessage="1" showErrorMessage="1" sqref="A8914">
      <formula1>0</formula1>
    </dataValidation>
    <dataValidation type="list" allowBlank="1" showInputMessage="1" showErrorMessage="1" sqref="C8914">
      <formula1>UnidadesList</formula1>
    </dataValidation>
    <dataValidation type="decimal" operator="greaterThan" allowBlank="1" showInputMessage="1" showErrorMessage="1" sqref="D8914">
      <formula1>0</formula1>
    </dataValidation>
    <dataValidation type="decimal" operator="greaterThan" allowBlank="1" showInputMessage="1" showErrorMessage="1" sqref="E8914">
      <formula1>0</formula1>
    </dataValidation>
    <dataValidation type="whole" operator="greaterThan" allowBlank="1" showInputMessage="1" showErrorMessage="1" sqref="A8915">
      <formula1>0</formula1>
    </dataValidation>
    <dataValidation type="list" allowBlank="1" showInputMessage="1" showErrorMessage="1" sqref="C8915">
      <formula1>UnidadesList</formula1>
    </dataValidation>
    <dataValidation type="decimal" operator="greaterThan" allowBlank="1" showInputMessage="1" showErrorMessage="1" sqref="D8915">
      <formula1>0</formula1>
    </dataValidation>
    <dataValidation type="decimal" operator="greaterThan" allowBlank="1" showInputMessage="1" showErrorMessage="1" sqref="E8915">
      <formula1>0</formula1>
    </dataValidation>
    <dataValidation type="whole" operator="greaterThan" allowBlank="1" showInputMessage="1" showErrorMessage="1" sqref="A8916">
      <formula1>0</formula1>
    </dataValidation>
    <dataValidation type="list" allowBlank="1" showInputMessage="1" showErrorMessage="1" sqref="C8916">
      <formula1>UnidadesList</formula1>
    </dataValidation>
    <dataValidation type="decimal" operator="greaterThan" allowBlank="1" showInputMessage="1" showErrorMessage="1" sqref="D8916">
      <formula1>0</formula1>
    </dataValidation>
    <dataValidation type="decimal" operator="greaterThan" allowBlank="1" showInputMessage="1" showErrorMessage="1" sqref="E8916">
      <formula1>0</formula1>
    </dataValidation>
    <dataValidation type="whole" operator="greaterThan" allowBlank="1" showInputMessage="1" showErrorMessage="1" sqref="A8917">
      <formula1>0</formula1>
    </dataValidation>
    <dataValidation type="list" allowBlank="1" showInputMessage="1" showErrorMessage="1" sqref="C8917">
      <formula1>UnidadesList</formula1>
    </dataValidation>
    <dataValidation type="decimal" operator="greaterThan" allowBlank="1" showInputMessage="1" showErrorMessage="1" sqref="D8917">
      <formula1>0</formula1>
    </dataValidation>
    <dataValidation type="decimal" operator="greaterThan" allowBlank="1" showInputMessage="1" showErrorMessage="1" sqref="E8917">
      <formula1>0</formula1>
    </dataValidation>
    <dataValidation type="whole" operator="greaterThan" allowBlank="1" showInputMessage="1" showErrorMessage="1" sqref="A8918">
      <formula1>0</formula1>
    </dataValidation>
    <dataValidation type="list" allowBlank="1" showInputMessage="1" showErrorMessage="1" sqref="C8918">
      <formula1>UnidadesList</formula1>
    </dataValidation>
    <dataValidation type="decimal" operator="greaterThan" allowBlank="1" showInputMessage="1" showErrorMessage="1" sqref="D8918">
      <formula1>0</formula1>
    </dataValidation>
    <dataValidation type="decimal" operator="greaterThan" allowBlank="1" showInputMessage="1" showErrorMessage="1" sqref="E8918">
      <formula1>0</formula1>
    </dataValidation>
    <dataValidation type="whole" operator="greaterThan" allowBlank="1" showInputMessage="1" showErrorMessage="1" sqref="A8919">
      <formula1>0</formula1>
    </dataValidation>
    <dataValidation type="list" allowBlank="1" showInputMessage="1" showErrorMessage="1" sqref="C8919">
      <formula1>UnidadesList</formula1>
    </dataValidation>
    <dataValidation type="decimal" operator="greaterThan" allowBlank="1" showInputMessage="1" showErrorMessage="1" sqref="D8919">
      <formula1>0</formula1>
    </dataValidation>
    <dataValidation type="decimal" operator="greaterThan" allowBlank="1" showInputMessage="1" showErrorMessage="1" sqref="E8919">
      <formula1>0</formula1>
    </dataValidation>
    <dataValidation type="whole" operator="greaterThan" allowBlank="1" showInputMessage="1" showErrorMessage="1" sqref="A8920">
      <formula1>0</formula1>
    </dataValidation>
    <dataValidation type="list" allowBlank="1" showInputMessage="1" showErrorMessage="1" sqref="C8920">
      <formula1>UnidadesList</formula1>
    </dataValidation>
    <dataValidation type="decimal" operator="greaterThan" allowBlank="1" showInputMessage="1" showErrorMessage="1" sqref="D8920">
      <formula1>0</formula1>
    </dataValidation>
    <dataValidation type="decimal" operator="greaterThan" allowBlank="1" showInputMessage="1" showErrorMessage="1" sqref="E8920">
      <formula1>0</formula1>
    </dataValidation>
    <dataValidation type="whole" operator="greaterThan" allowBlank="1" showInputMessage="1" showErrorMessage="1" sqref="A8921">
      <formula1>0</formula1>
    </dataValidation>
    <dataValidation type="list" allowBlank="1" showInputMessage="1" showErrorMessage="1" sqref="C8921">
      <formula1>UnidadesList</formula1>
    </dataValidation>
    <dataValidation type="decimal" operator="greaterThan" allowBlank="1" showInputMessage="1" showErrorMessage="1" sqref="D8921">
      <formula1>0</formula1>
    </dataValidation>
    <dataValidation type="decimal" operator="greaterThan" allowBlank="1" showInputMessage="1" showErrorMessage="1" sqref="E8921">
      <formula1>0</formula1>
    </dataValidation>
    <dataValidation type="whole" operator="greaterThan" allowBlank="1" showInputMessage="1" showErrorMessage="1" sqref="A8922">
      <formula1>0</formula1>
    </dataValidation>
    <dataValidation type="list" allowBlank="1" showInputMessage="1" showErrorMessage="1" sqref="C8922">
      <formula1>UnidadesList</formula1>
    </dataValidation>
    <dataValidation type="decimal" operator="greaterThan" allowBlank="1" showInputMessage="1" showErrorMessage="1" sqref="D8922">
      <formula1>0</formula1>
    </dataValidation>
    <dataValidation type="decimal" operator="greaterThan" allowBlank="1" showInputMessage="1" showErrorMessage="1" sqref="E8922">
      <formula1>0</formula1>
    </dataValidation>
    <dataValidation type="whole" operator="greaterThan" allowBlank="1" showInputMessage="1" showErrorMessage="1" sqref="A8923">
      <formula1>0</formula1>
    </dataValidation>
    <dataValidation type="list" allowBlank="1" showInputMessage="1" showErrorMessage="1" sqref="C8923">
      <formula1>UnidadesList</formula1>
    </dataValidation>
    <dataValidation type="decimal" operator="greaterThan" allowBlank="1" showInputMessage="1" showErrorMessage="1" sqref="D8923">
      <formula1>0</formula1>
    </dataValidation>
    <dataValidation type="decimal" operator="greaterThan" allowBlank="1" showInputMessage="1" showErrorMessage="1" sqref="E8923">
      <formula1>0</formula1>
    </dataValidation>
    <dataValidation type="whole" operator="greaterThan" allowBlank="1" showInputMessage="1" showErrorMessage="1" sqref="A8924">
      <formula1>0</formula1>
    </dataValidation>
    <dataValidation type="list" allowBlank="1" showInputMessage="1" showErrorMessage="1" sqref="C8924">
      <formula1>UnidadesList</formula1>
    </dataValidation>
    <dataValidation type="decimal" operator="greaterThan" allowBlank="1" showInputMessage="1" showErrorMessage="1" sqref="D8924">
      <formula1>0</formula1>
    </dataValidation>
    <dataValidation type="decimal" operator="greaterThan" allowBlank="1" showInputMessage="1" showErrorMessage="1" sqref="E8924">
      <formula1>0</formula1>
    </dataValidation>
    <dataValidation type="whole" operator="greaterThan" allowBlank="1" showInputMessage="1" showErrorMessage="1" sqref="A8925">
      <formula1>0</formula1>
    </dataValidation>
    <dataValidation type="list" allowBlank="1" showInputMessage="1" showErrorMessage="1" sqref="C8925">
      <formula1>UnidadesList</formula1>
    </dataValidation>
    <dataValidation type="decimal" operator="greaterThan" allowBlank="1" showInputMessage="1" showErrorMessage="1" sqref="D8925">
      <formula1>0</formula1>
    </dataValidation>
    <dataValidation type="decimal" operator="greaterThan" allowBlank="1" showInputMessage="1" showErrorMessage="1" sqref="E8925">
      <formula1>0</formula1>
    </dataValidation>
    <dataValidation type="whole" operator="greaterThan" allowBlank="1" showInputMessage="1" showErrorMessage="1" sqref="A8926">
      <formula1>0</formula1>
    </dataValidation>
    <dataValidation type="list" allowBlank="1" showInputMessage="1" showErrorMessage="1" sqref="C8926">
      <formula1>UnidadesList</formula1>
    </dataValidation>
    <dataValidation type="decimal" operator="greaterThan" allowBlank="1" showInputMessage="1" showErrorMessage="1" sqref="D8926">
      <formula1>0</formula1>
    </dataValidation>
    <dataValidation type="decimal" operator="greaterThan" allowBlank="1" showInputMessage="1" showErrorMessage="1" sqref="E8926">
      <formula1>0</formula1>
    </dataValidation>
    <dataValidation type="whole" operator="greaterThan" allowBlank="1" showInputMessage="1" showErrorMessage="1" sqref="A8927">
      <formula1>0</formula1>
    </dataValidation>
    <dataValidation type="list" allowBlank="1" showInputMessage="1" showErrorMessage="1" sqref="C8927">
      <formula1>UnidadesList</formula1>
    </dataValidation>
    <dataValidation type="decimal" operator="greaterThan" allowBlank="1" showInputMessage="1" showErrorMessage="1" sqref="D8927">
      <formula1>0</formula1>
    </dataValidation>
    <dataValidation type="decimal" operator="greaterThan" allowBlank="1" showInputMessage="1" showErrorMessage="1" sqref="E8927">
      <formula1>0</formula1>
    </dataValidation>
    <dataValidation type="whole" operator="greaterThan" allowBlank="1" showInputMessage="1" showErrorMessage="1" sqref="A8928">
      <formula1>0</formula1>
    </dataValidation>
    <dataValidation type="list" allowBlank="1" showInputMessage="1" showErrorMessage="1" sqref="C8928">
      <formula1>UnidadesList</formula1>
    </dataValidation>
    <dataValidation type="decimal" operator="greaterThan" allowBlank="1" showInputMessage="1" showErrorMessage="1" sqref="D8928">
      <formula1>0</formula1>
    </dataValidation>
    <dataValidation type="decimal" operator="greaterThan" allowBlank="1" showInputMessage="1" showErrorMessage="1" sqref="E8928">
      <formula1>0</formula1>
    </dataValidation>
    <dataValidation type="whole" operator="greaterThan" allowBlank="1" showInputMessage="1" showErrorMessage="1" sqref="A8929">
      <formula1>0</formula1>
    </dataValidation>
    <dataValidation type="list" allowBlank="1" showInputMessage="1" showErrorMessage="1" sqref="C8929">
      <formula1>UnidadesList</formula1>
    </dataValidation>
    <dataValidation type="decimal" operator="greaterThan" allowBlank="1" showInputMessage="1" showErrorMessage="1" sqref="D8929">
      <formula1>0</formula1>
    </dataValidation>
    <dataValidation type="decimal" operator="greaterThan" allowBlank="1" showInputMessage="1" showErrorMessage="1" sqref="E8929">
      <formula1>0</formula1>
    </dataValidation>
    <dataValidation type="whole" operator="greaterThan" allowBlank="1" showInputMessage="1" showErrorMessage="1" sqref="A8930">
      <formula1>0</formula1>
    </dataValidation>
    <dataValidation type="list" allowBlank="1" showInputMessage="1" showErrorMessage="1" sqref="C8930">
      <formula1>UnidadesList</formula1>
    </dataValidation>
    <dataValidation type="decimal" operator="greaterThan" allowBlank="1" showInputMessage="1" showErrorMessage="1" sqref="D8930">
      <formula1>0</formula1>
    </dataValidation>
    <dataValidation type="decimal" operator="greaterThan" allowBlank="1" showInputMessage="1" showErrorMessage="1" sqref="E8930">
      <formula1>0</formula1>
    </dataValidation>
    <dataValidation type="whole" operator="greaterThan" allowBlank="1" showInputMessage="1" showErrorMessage="1" sqref="A8931">
      <formula1>0</formula1>
    </dataValidation>
    <dataValidation type="list" allowBlank="1" showInputMessage="1" showErrorMessage="1" sqref="C8931">
      <formula1>UnidadesList</formula1>
    </dataValidation>
    <dataValidation type="decimal" operator="greaterThan" allowBlank="1" showInputMessage="1" showErrorMessage="1" sqref="D8931">
      <formula1>0</formula1>
    </dataValidation>
    <dataValidation type="decimal" operator="greaterThan" allowBlank="1" showInputMessage="1" showErrorMessage="1" sqref="E8931">
      <formula1>0</formula1>
    </dataValidation>
    <dataValidation type="whole" operator="greaterThan" allowBlank="1" showInputMessage="1" showErrorMessage="1" sqref="A8932">
      <formula1>0</formula1>
    </dataValidation>
    <dataValidation type="list" allowBlank="1" showInputMessage="1" showErrorMessage="1" sqref="C8932">
      <formula1>UnidadesList</formula1>
    </dataValidation>
    <dataValidation type="decimal" operator="greaterThan" allowBlank="1" showInputMessage="1" showErrorMessage="1" sqref="D8932">
      <formula1>0</formula1>
    </dataValidation>
    <dataValidation type="decimal" operator="greaterThan" allowBlank="1" showInputMessage="1" showErrorMessage="1" sqref="E8932">
      <formula1>0</formula1>
    </dataValidation>
    <dataValidation type="whole" operator="greaterThan" allowBlank="1" showInputMessage="1" showErrorMessage="1" sqref="A8933">
      <formula1>0</formula1>
    </dataValidation>
    <dataValidation type="list" allowBlank="1" showInputMessage="1" showErrorMessage="1" sqref="C8933">
      <formula1>UnidadesList</formula1>
    </dataValidation>
    <dataValidation type="decimal" operator="greaterThan" allowBlank="1" showInputMessage="1" showErrorMessage="1" sqref="D8933">
      <formula1>0</formula1>
    </dataValidation>
    <dataValidation type="decimal" operator="greaterThan" allowBlank="1" showInputMessage="1" showErrorMessage="1" sqref="E8933">
      <formula1>0</formula1>
    </dataValidation>
    <dataValidation type="whole" operator="greaterThan" allowBlank="1" showInputMessage="1" showErrorMessage="1" sqref="A8934">
      <formula1>0</formula1>
    </dataValidation>
    <dataValidation type="list" allowBlank="1" showInputMessage="1" showErrorMessage="1" sqref="C8934">
      <formula1>UnidadesList</formula1>
    </dataValidation>
    <dataValidation type="decimal" operator="greaterThan" allowBlank="1" showInputMessage="1" showErrorMessage="1" sqref="D8934">
      <formula1>0</formula1>
    </dataValidation>
    <dataValidation type="decimal" operator="greaterThan" allowBlank="1" showInputMessage="1" showErrorMessage="1" sqref="E8934">
      <formula1>0</formula1>
    </dataValidation>
    <dataValidation type="whole" operator="greaterThan" allowBlank="1" showInputMessage="1" showErrorMessage="1" sqref="A8935">
      <formula1>0</formula1>
    </dataValidation>
    <dataValidation type="list" allowBlank="1" showInputMessage="1" showErrorMessage="1" sqref="C8935">
      <formula1>UnidadesList</formula1>
    </dataValidation>
    <dataValidation type="decimal" operator="greaterThan" allowBlank="1" showInputMessage="1" showErrorMessage="1" sqref="D8935">
      <formula1>0</formula1>
    </dataValidation>
    <dataValidation type="decimal" operator="greaterThan" allowBlank="1" showInputMessage="1" showErrorMessage="1" sqref="E8935">
      <formula1>0</formula1>
    </dataValidation>
    <dataValidation type="whole" operator="greaterThan" allowBlank="1" showInputMessage="1" showErrorMessage="1" sqref="A8936">
      <formula1>0</formula1>
    </dataValidation>
    <dataValidation type="list" allowBlank="1" showInputMessage="1" showErrorMessage="1" sqref="C8936">
      <formula1>UnidadesList</formula1>
    </dataValidation>
    <dataValidation type="decimal" operator="greaterThan" allowBlank="1" showInputMessage="1" showErrorMessage="1" sqref="D8936">
      <formula1>0</formula1>
    </dataValidation>
    <dataValidation type="decimal" operator="greaterThan" allowBlank="1" showInputMessage="1" showErrorMessage="1" sqref="E8936">
      <formula1>0</formula1>
    </dataValidation>
    <dataValidation type="whole" operator="greaterThan" allowBlank="1" showInputMessage="1" showErrorMessage="1" sqref="A8937">
      <formula1>0</formula1>
    </dataValidation>
    <dataValidation type="list" allowBlank="1" showInputMessage="1" showErrorMessage="1" sqref="C8937">
      <formula1>UnidadesList</formula1>
    </dataValidation>
    <dataValidation type="decimal" operator="greaterThan" allowBlank="1" showInputMessage="1" showErrorMessage="1" sqref="D8937">
      <formula1>0</formula1>
    </dataValidation>
    <dataValidation type="decimal" operator="greaterThan" allowBlank="1" showInputMessage="1" showErrorMessage="1" sqref="E8937">
      <formula1>0</formula1>
    </dataValidation>
    <dataValidation type="whole" operator="greaterThan" allowBlank="1" showInputMessage="1" showErrorMessage="1" sqref="A8938">
      <formula1>0</formula1>
    </dataValidation>
    <dataValidation type="list" allowBlank="1" showInputMessage="1" showErrorMessage="1" sqref="C8938">
      <formula1>UnidadesList</formula1>
    </dataValidation>
    <dataValidation type="decimal" operator="greaterThan" allowBlank="1" showInputMessage="1" showErrorMessage="1" sqref="D8938">
      <formula1>0</formula1>
    </dataValidation>
    <dataValidation type="decimal" operator="greaterThan" allowBlank="1" showInputMessage="1" showErrorMessage="1" sqref="E8938">
      <formula1>0</formula1>
    </dataValidation>
    <dataValidation type="whole" operator="greaterThan" allowBlank="1" showInputMessage="1" showErrorMessage="1" sqref="A8939">
      <formula1>0</formula1>
    </dataValidation>
    <dataValidation type="list" allowBlank="1" showInputMessage="1" showErrorMessage="1" sqref="C8939">
      <formula1>UnidadesList</formula1>
    </dataValidation>
    <dataValidation type="decimal" operator="greaterThan" allowBlank="1" showInputMessage="1" showErrorMessage="1" sqref="D8939">
      <formula1>0</formula1>
    </dataValidation>
    <dataValidation type="decimal" operator="greaterThan" allowBlank="1" showInputMessage="1" showErrorMessage="1" sqref="E8939">
      <formula1>0</formula1>
    </dataValidation>
    <dataValidation type="whole" operator="greaterThan" allowBlank="1" showInputMessage="1" showErrorMessage="1" sqref="A8940">
      <formula1>0</formula1>
    </dataValidation>
    <dataValidation type="list" allowBlank="1" showInputMessage="1" showErrorMessage="1" sqref="C8940">
      <formula1>UnidadesList</formula1>
    </dataValidation>
    <dataValidation type="decimal" operator="greaterThan" allowBlank="1" showInputMessage="1" showErrorMessage="1" sqref="D8940">
      <formula1>0</formula1>
    </dataValidation>
    <dataValidation type="decimal" operator="greaterThan" allowBlank="1" showInputMessage="1" showErrorMessage="1" sqref="E8940">
      <formula1>0</formula1>
    </dataValidation>
    <dataValidation type="whole" operator="greaterThan" allowBlank="1" showInputMessage="1" showErrorMessage="1" sqref="A8941">
      <formula1>0</formula1>
    </dataValidation>
    <dataValidation type="list" allowBlank="1" showInputMessage="1" showErrorMessage="1" sqref="C8941">
      <formula1>UnidadesList</formula1>
    </dataValidation>
    <dataValidation type="decimal" operator="greaterThan" allowBlank="1" showInputMessage="1" showErrorMessage="1" sqref="D8941">
      <formula1>0</formula1>
    </dataValidation>
    <dataValidation type="decimal" operator="greaterThan" allowBlank="1" showInputMessage="1" showErrorMessage="1" sqref="E8941">
      <formula1>0</formula1>
    </dataValidation>
    <dataValidation type="whole" operator="greaterThan" allowBlank="1" showInputMessage="1" showErrorMessage="1" sqref="A8942">
      <formula1>0</formula1>
    </dataValidation>
    <dataValidation type="list" allowBlank="1" showInputMessage="1" showErrorMessage="1" sqref="C8942">
      <formula1>UnidadesList</formula1>
    </dataValidation>
    <dataValidation type="decimal" operator="greaterThan" allowBlank="1" showInputMessage="1" showErrorMessage="1" sqref="D8942">
      <formula1>0</formula1>
    </dataValidation>
    <dataValidation type="decimal" operator="greaterThan" allowBlank="1" showInputMessage="1" showErrorMessage="1" sqref="E8942">
      <formula1>0</formula1>
    </dataValidation>
    <dataValidation type="whole" operator="greaterThan" allowBlank="1" showInputMessage="1" showErrorMessage="1" sqref="A8943">
      <formula1>0</formula1>
    </dataValidation>
    <dataValidation type="list" allowBlank="1" showInputMessage="1" showErrorMessage="1" sqref="C8943">
      <formula1>UnidadesList</formula1>
    </dataValidation>
    <dataValidation type="decimal" operator="greaterThan" allowBlank="1" showInputMessage="1" showErrorMessage="1" sqref="D8943">
      <formula1>0</formula1>
    </dataValidation>
    <dataValidation type="decimal" operator="greaterThan" allowBlank="1" showInputMessage="1" showErrorMessage="1" sqref="E8943">
      <formula1>0</formula1>
    </dataValidation>
    <dataValidation type="whole" operator="greaterThan" allowBlank="1" showInputMessage="1" showErrorMessage="1" sqref="A8944">
      <formula1>0</formula1>
    </dataValidation>
    <dataValidation type="list" allowBlank="1" showInputMessage="1" showErrorMessage="1" sqref="C8944">
      <formula1>UnidadesList</formula1>
    </dataValidation>
    <dataValidation type="decimal" operator="greaterThan" allowBlank="1" showInputMessage="1" showErrorMessage="1" sqref="D8944">
      <formula1>0</formula1>
    </dataValidation>
    <dataValidation type="decimal" operator="greaterThan" allowBlank="1" showInputMessage="1" showErrorMessage="1" sqref="E8944">
      <formula1>0</formula1>
    </dataValidation>
    <dataValidation type="whole" operator="greaterThan" allowBlank="1" showInputMessage="1" showErrorMessage="1" sqref="A8945">
      <formula1>0</formula1>
    </dataValidation>
    <dataValidation type="list" allowBlank="1" showInputMessage="1" showErrorMessage="1" sqref="C8945">
      <formula1>UnidadesList</formula1>
    </dataValidation>
    <dataValidation type="decimal" operator="greaterThan" allowBlank="1" showInputMessage="1" showErrorMessage="1" sqref="D8945">
      <formula1>0</formula1>
    </dataValidation>
    <dataValidation type="decimal" operator="greaterThan" allowBlank="1" showInputMessage="1" showErrorMessage="1" sqref="E8945">
      <formula1>0</formula1>
    </dataValidation>
    <dataValidation type="whole" operator="greaterThan" allowBlank="1" showInputMessage="1" showErrorMessage="1" sqref="A8946">
      <formula1>0</formula1>
    </dataValidation>
    <dataValidation type="list" allowBlank="1" showInputMessage="1" showErrorMessage="1" sqref="C8946">
      <formula1>UnidadesList</formula1>
    </dataValidation>
    <dataValidation type="decimal" operator="greaterThan" allowBlank="1" showInputMessage="1" showErrorMessage="1" sqref="D8946">
      <formula1>0</formula1>
    </dataValidation>
    <dataValidation type="decimal" operator="greaterThan" allowBlank="1" showInputMessage="1" showErrorMessage="1" sqref="E8946">
      <formula1>0</formula1>
    </dataValidation>
    <dataValidation type="whole" operator="greaterThan" allowBlank="1" showInputMessage="1" showErrorMessage="1" sqref="A8947">
      <formula1>0</formula1>
    </dataValidation>
    <dataValidation type="list" allowBlank="1" showInputMessage="1" showErrorMessage="1" sqref="C8947">
      <formula1>UnidadesList</formula1>
    </dataValidation>
    <dataValidation type="decimal" operator="greaterThan" allowBlank="1" showInputMessage="1" showErrorMessage="1" sqref="D8947">
      <formula1>0</formula1>
    </dataValidation>
    <dataValidation type="decimal" operator="greaterThan" allowBlank="1" showInputMessage="1" showErrorMessage="1" sqref="E8947">
      <formula1>0</formula1>
    </dataValidation>
    <dataValidation type="whole" operator="greaterThan" allowBlank="1" showInputMessage="1" showErrorMessage="1" sqref="A8948">
      <formula1>0</formula1>
    </dataValidation>
    <dataValidation type="list" allowBlank="1" showInputMessage="1" showErrorMessage="1" sqref="C8948">
      <formula1>UnidadesList</formula1>
    </dataValidation>
    <dataValidation type="decimal" operator="greaterThan" allowBlank="1" showInputMessage="1" showErrorMessage="1" sqref="D8948">
      <formula1>0</formula1>
    </dataValidation>
    <dataValidation type="decimal" operator="greaterThan" allowBlank="1" showInputMessage="1" showErrorMessage="1" sqref="E8948">
      <formula1>0</formula1>
    </dataValidation>
    <dataValidation type="whole" operator="greaterThan" allowBlank="1" showInputMessage="1" showErrorMessage="1" sqref="A8949">
      <formula1>0</formula1>
    </dataValidation>
    <dataValidation type="list" allowBlank="1" showInputMessage="1" showErrorMessage="1" sqref="C8949">
      <formula1>UnidadesList</formula1>
    </dataValidation>
    <dataValidation type="decimal" operator="greaterThan" allowBlank="1" showInputMessage="1" showErrorMessage="1" sqref="D8949">
      <formula1>0</formula1>
    </dataValidation>
    <dataValidation type="decimal" operator="greaterThan" allowBlank="1" showInputMessage="1" showErrorMessage="1" sqref="E8949">
      <formula1>0</formula1>
    </dataValidation>
    <dataValidation type="whole" operator="greaterThan" allowBlank="1" showInputMessage="1" showErrorMessage="1" sqref="A8950">
      <formula1>0</formula1>
    </dataValidation>
    <dataValidation type="list" allowBlank="1" showInputMessage="1" showErrorMessage="1" sqref="C8950">
      <formula1>UnidadesList</formula1>
    </dataValidation>
    <dataValidation type="decimal" operator="greaterThan" allowBlank="1" showInputMessage="1" showErrorMessage="1" sqref="D8950">
      <formula1>0</formula1>
    </dataValidation>
    <dataValidation type="decimal" operator="greaterThan" allowBlank="1" showInputMessage="1" showErrorMessage="1" sqref="E8950">
      <formula1>0</formula1>
    </dataValidation>
    <dataValidation type="whole" operator="greaterThan" allowBlank="1" showInputMessage="1" showErrorMessage="1" sqref="A8951">
      <formula1>0</formula1>
    </dataValidation>
    <dataValidation type="list" allowBlank="1" showInputMessage="1" showErrorMessage="1" sqref="C8951">
      <formula1>UnidadesList</formula1>
    </dataValidation>
    <dataValidation type="decimal" operator="greaterThan" allowBlank="1" showInputMessage="1" showErrorMessage="1" sqref="D8951">
      <formula1>0</formula1>
    </dataValidation>
    <dataValidation type="decimal" operator="greaterThan" allowBlank="1" showInputMessage="1" showErrorMessage="1" sqref="E8951">
      <formula1>0</formula1>
    </dataValidation>
    <dataValidation type="whole" operator="greaterThan" allowBlank="1" showInputMessage="1" showErrorMessage="1" sqref="A8952">
      <formula1>0</formula1>
    </dataValidation>
    <dataValidation type="list" allowBlank="1" showInputMessage="1" showErrorMessage="1" sqref="C8952">
      <formula1>UnidadesList</formula1>
    </dataValidation>
    <dataValidation type="decimal" operator="greaterThan" allowBlank="1" showInputMessage="1" showErrorMessage="1" sqref="D8952">
      <formula1>0</formula1>
    </dataValidation>
    <dataValidation type="decimal" operator="greaterThan" allowBlank="1" showInputMessage="1" showErrorMessage="1" sqref="E8952">
      <formula1>0</formula1>
    </dataValidation>
    <dataValidation type="whole" operator="greaterThan" allowBlank="1" showInputMessage="1" showErrorMessage="1" sqref="A8953">
      <formula1>0</formula1>
    </dataValidation>
    <dataValidation type="list" allowBlank="1" showInputMessage="1" showErrorMessage="1" sqref="C8953">
      <formula1>UnidadesList</formula1>
    </dataValidation>
    <dataValidation type="decimal" operator="greaterThan" allowBlank="1" showInputMessage="1" showErrorMessage="1" sqref="D8953">
      <formula1>0</formula1>
    </dataValidation>
    <dataValidation type="decimal" operator="greaterThan" allowBlank="1" showInputMessage="1" showErrorMessage="1" sqref="E8953">
      <formula1>0</formula1>
    </dataValidation>
    <dataValidation type="whole" operator="greaterThan" allowBlank="1" showInputMessage="1" showErrorMessage="1" sqref="A8954">
      <formula1>0</formula1>
    </dataValidation>
    <dataValidation type="list" allowBlank="1" showInputMessage="1" showErrorMessage="1" sqref="C8954">
      <formula1>UnidadesList</formula1>
    </dataValidation>
    <dataValidation type="decimal" operator="greaterThan" allowBlank="1" showInputMessage="1" showErrorMessage="1" sqref="D8954">
      <formula1>0</formula1>
    </dataValidation>
    <dataValidation type="decimal" operator="greaterThan" allowBlank="1" showInputMessage="1" showErrorMessage="1" sqref="E8954">
      <formula1>0</formula1>
    </dataValidation>
    <dataValidation type="whole" operator="greaterThan" allowBlank="1" showInputMessage="1" showErrorMessage="1" sqref="A8955">
      <formula1>0</formula1>
    </dataValidation>
    <dataValidation type="list" allowBlank="1" showInputMessage="1" showErrorMessage="1" sqref="C8955">
      <formula1>UnidadesList</formula1>
    </dataValidation>
    <dataValidation type="decimal" operator="greaterThan" allowBlank="1" showInputMessage="1" showErrorMessage="1" sqref="D8955">
      <formula1>0</formula1>
    </dataValidation>
    <dataValidation type="decimal" operator="greaterThan" allowBlank="1" showInputMessage="1" showErrorMessage="1" sqref="E8955">
      <formula1>0</formula1>
    </dataValidation>
    <dataValidation type="whole" operator="greaterThan" allowBlank="1" showInputMessage="1" showErrorMessage="1" sqref="A8956">
      <formula1>0</formula1>
    </dataValidation>
    <dataValidation type="list" allowBlank="1" showInputMessage="1" showErrorMessage="1" sqref="C8956">
      <formula1>UnidadesList</formula1>
    </dataValidation>
    <dataValidation type="decimal" operator="greaterThan" allowBlank="1" showInputMessage="1" showErrorMessage="1" sqref="D8956">
      <formula1>0</formula1>
    </dataValidation>
    <dataValidation type="decimal" operator="greaterThan" allowBlank="1" showInputMessage="1" showErrorMessage="1" sqref="E8956">
      <formula1>0</formula1>
    </dataValidation>
    <dataValidation type="whole" operator="greaterThan" allowBlank="1" showInputMessage="1" showErrorMessage="1" sqref="A8957">
      <formula1>0</formula1>
    </dataValidation>
    <dataValidation type="list" allowBlank="1" showInputMessage="1" showErrorMessage="1" sqref="C8957">
      <formula1>UnidadesList</formula1>
    </dataValidation>
    <dataValidation type="decimal" operator="greaterThan" allowBlank="1" showInputMessage="1" showErrorMessage="1" sqref="D8957">
      <formula1>0</formula1>
    </dataValidation>
    <dataValidation type="decimal" operator="greaterThan" allowBlank="1" showInputMessage="1" showErrorMessage="1" sqref="E8957">
      <formula1>0</formula1>
    </dataValidation>
    <dataValidation type="whole" operator="greaterThan" allowBlank="1" showInputMessage="1" showErrorMessage="1" sqref="A8958">
      <formula1>0</formula1>
    </dataValidation>
    <dataValidation type="list" allowBlank="1" showInputMessage="1" showErrorMessage="1" sqref="C8958">
      <formula1>UnidadesList</formula1>
    </dataValidation>
    <dataValidation type="decimal" operator="greaterThan" allowBlank="1" showInputMessage="1" showErrorMessage="1" sqref="D8958">
      <formula1>0</formula1>
    </dataValidation>
    <dataValidation type="decimal" operator="greaterThan" allowBlank="1" showInputMessage="1" showErrorMessage="1" sqref="E8958">
      <formula1>0</formula1>
    </dataValidation>
    <dataValidation type="whole" operator="greaterThan" allowBlank="1" showInputMessage="1" showErrorMessage="1" sqref="A8959">
      <formula1>0</formula1>
    </dataValidation>
    <dataValidation type="list" allowBlank="1" showInputMessage="1" showErrorMessage="1" sqref="C8959">
      <formula1>UnidadesList</formula1>
    </dataValidation>
    <dataValidation type="decimal" operator="greaterThan" allowBlank="1" showInputMessage="1" showErrorMessage="1" sqref="D8959">
      <formula1>0</formula1>
    </dataValidation>
    <dataValidation type="decimal" operator="greaterThan" allowBlank="1" showInputMessage="1" showErrorMessage="1" sqref="E8959">
      <formula1>0</formula1>
    </dataValidation>
    <dataValidation type="whole" operator="greaterThan" allowBlank="1" showInputMessage="1" showErrorMessage="1" sqref="A8960">
      <formula1>0</formula1>
    </dataValidation>
    <dataValidation type="list" allowBlank="1" showInputMessage="1" showErrorMessage="1" sqref="C8960">
      <formula1>UnidadesList</formula1>
    </dataValidation>
    <dataValidation type="decimal" operator="greaterThan" allowBlank="1" showInputMessage="1" showErrorMessage="1" sqref="D8960">
      <formula1>0</formula1>
    </dataValidation>
    <dataValidation type="decimal" operator="greaterThan" allowBlank="1" showInputMessage="1" showErrorMessage="1" sqref="E8960">
      <formula1>0</formula1>
    </dataValidation>
    <dataValidation type="whole" operator="greaterThan" allowBlank="1" showInputMessage="1" showErrorMessage="1" sqref="A8961">
      <formula1>0</formula1>
    </dataValidation>
    <dataValidation type="list" allowBlank="1" showInputMessage="1" showErrorMessage="1" sqref="C8961">
      <formula1>UnidadesList</formula1>
    </dataValidation>
    <dataValidation type="decimal" operator="greaterThan" allowBlank="1" showInputMessage="1" showErrorMessage="1" sqref="D8961">
      <formula1>0</formula1>
    </dataValidation>
    <dataValidation type="decimal" operator="greaterThan" allowBlank="1" showInputMessage="1" showErrorMessage="1" sqref="E8961">
      <formula1>0</formula1>
    </dataValidation>
    <dataValidation type="whole" operator="greaterThan" allowBlank="1" showInputMessage="1" showErrorMessage="1" sqref="A8962">
      <formula1>0</formula1>
    </dataValidation>
    <dataValidation type="list" allowBlank="1" showInputMessage="1" showErrorMessage="1" sqref="C8962">
      <formula1>UnidadesList</formula1>
    </dataValidation>
    <dataValidation type="decimal" operator="greaterThan" allowBlank="1" showInputMessage="1" showErrorMessage="1" sqref="D8962">
      <formula1>0</formula1>
    </dataValidation>
    <dataValidation type="decimal" operator="greaterThan" allowBlank="1" showInputMessage="1" showErrorMessage="1" sqref="E8962">
      <formula1>0</formula1>
    </dataValidation>
    <dataValidation type="whole" operator="greaterThan" allowBlank="1" showInputMessage="1" showErrorMessage="1" sqref="A8963">
      <formula1>0</formula1>
    </dataValidation>
    <dataValidation type="list" allowBlank="1" showInputMessage="1" showErrorMessage="1" sqref="C8963">
      <formula1>UnidadesList</formula1>
    </dataValidation>
    <dataValidation type="decimal" operator="greaterThan" allowBlank="1" showInputMessage="1" showErrorMessage="1" sqref="D8963">
      <formula1>0</formula1>
    </dataValidation>
    <dataValidation type="decimal" operator="greaterThan" allowBlank="1" showInputMessage="1" showErrorMessage="1" sqref="E8963">
      <formula1>0</formula1>
    </dataValidation>
    <dataValidation type="whole" operator="greaterThan" allowBlank="1" showInputMessage="1" showErrorMessage="1" sqref="A8964">
      <formula1>0</formula1>
    </dataValidation>
    <dataValidation type="list" allowBlank="1" showInputMessage="1" showErrorMessage="1" sqref="C8964">
      <formula1>UnidadesList</formula1>
    </dataValidation>
    <dataValidation type="decimal" operator="greaterThan" allowBlank="1" showInputMessage="1" showErrorMessage="1" sqref="D8964">
      <formula1>0</formula1>
    </dataValidation>
    <dataValidation type="decimal" operator="greaterThan" allowBlank="1" showInputMessage="1" showErrorMessage="1" sqref="E8964">
      <formula1>0</formula1>
    </dataValidation>
    <dataValidation type="whole" operator="greaterThan" allowBlank="1" showInputMessage="1" showErrorMessage="1" sqref="A8965">
      <formula1>0</formula1>
    </dataValidation>
    <dataValidation type="list" allowBlank="1" showInputMessage="1" showErrorMessage="1" sqref="C8965">
      <formula1>UnidadesList</formula1>
    </dataValidation>
    <dataValidation type="decimal" operator="greaterThan" allowBlank="1" showInputMessage="1" showErrorMessage="1" sqref="D8965">
      <formula1>0</formula1>
    </dataValidation>
    <dataValidation type="decimal" operator="greaterThan" allowBlank="1" showInputMessage="1" showErrorMessage="1" sqref="E8965">
      <formula1>0</formula1>
    </dataValidation>
    <dataValidation type="whole" operator="greaterThan" allowBlank="1" showInputMessage="1" showErrorMessage="1" sqref="A8966">
      <formula1>0</formula1>
    </dataValidation>
    <dataValidation type="list" allowBlank="1" showInputMessage="1" showErrorMessage="1" sqref="C8966">
      <formula1>UnidadesList</formula1>
    </dataValidation>
    <dataValidation type="decimal" operator="greaterThan" allowBlank="1" showInputMessage="1" showErrorMessage="1" sqref="D8966">
      <formula1>0</formula1>
    </dataValidation>
    <dataValidation type="decimal" operator="greaterThan" allowBlank="1" showInputMessage="1" showErrorMessage="1" sqref="E8966">
      <formula1>0</formula1>
    </dataValidation>
    <dataValidation type="whole" operator="greaterThan" allowBlank="1" showInputMessage="1" showErrorMessage="1" sqref="A8967">
      <formula1>0</formula1>
    </dataValidation>
    <dataValidation type="list" allowBlank="1" showInputMessage="1" showErrorMessage="1" sqref="C8967">
      <formula1>UnidadesList</formula1>
    </dataValidation>
    <dataValidation type="decimal" operator="greaterThan" allowBlank="1" showInputMessage="1" showErrorMessage="1" sqref="D8967">
      <formula1>0</formula1>
    </dataValidation>
    <dataValidation type="decimal" operator="greaterThan" allowBlank="1" showInputMessage="1" showErrorMessage="1" sqref="E8967">
      <formula1>0</formula1>
    </dataValidation>
    <dataValidation type="whole" operator="greaterThan" allowBlank="1" showInputMessage="1" showErrorMessage="1" sqref="A8968">
      <formula1>0</formula1>
    </dataValidation>
    <dataValidation type="list" allowBlank="1" showInputMessage="1" showErrorMessage="1" sqref="C8968">
      <formula1>UnidadesList</formula1>
    </dataValidation>
    <dataValidation type="decimal" operator="greaterThan" allowBlank="1" showInputMessage="1" showErrorMessage="1" sqref="D8968">
      <formula1>0</formula1>
    </dataValidation>
    <dataValidation type="decimal" operator="greaterThan" allowBlank="1" showInputMessage="1" showErrorMessage="1" sqref="E8968">
      <formula1>0</formula1>
    </dataValidation>
    <dataValidation type="whole" operator="greaterThan" allowBlank="1" showInputMessage="1" showErrorMessage="1" sqref="A8969">
      <formula1>0</formula1>
    </dataValidation>
    <dataValidation type="list" allowBlank="1" showInputMessage="1" showErrorMessage="1" sqref="C8969">
      <formula1>UnidadesList</formula1>
    </dataValidation>
    <dataValidation type="decimal" operator="greaterThan" allowBlank="1" showInputMessage="1" showErrorMessage="1" sqref="D8969">
      <formula1>0</formula1>
    </dataValidation>
    <dataValidation type="decimal" operator="greaterThan" allowBlank="1" showInputMessage="1" showErrorMessage="1" sqref="E8969">
      <formula1>0</formula1>
    </dataValidation>
    <dataValidation type="whole" operator="greaterThan" allowBlank="1" showInputMessage="1" showErrorMessage="1" sqref="A8970">
      <formula1>0</formula1>
    </dataValidation>
    <dataValidation type="list" allowBlank="1" showInputMessage="1" showErrorMessage="1" sqref="C8970">
      <formula1>UnidadesList</formula1>
    </dataValidation>
    <dataValidation type="decimal" operator="greaterThan" allowBlank="1" showInputMessage="1" showErrorMessage="1" sqref="D8970">
      <formula1>0</formula1>
    </dataValidation>
    <dataValidation type="decimal" operator="greaterThan" allowBlank="1" showInputMessage="1" showErrorMessage="1" sqref="E8970">
      <formula1>0</formula1>
    </dataValidation>
    <dataValidation type="whole" operator="greaterThan" allowBlank="1" showInputMessage="1" showErrorMessage="1" sqref="A8971">
      <formula1>0</formula1>
    </dataValidation>
    <dataValidation type="list" allowBlank="1" showInputMessage="1" showErrorMessage="1" sqref="C8971">
      <formula1>UnidadesList</formula1>
    </dataValidation>
    <dataValidation type="decimal" operator="greaterThan" allowBlank="1" showInputMessage="1" showErrorMessage="1" sqref="D8971">
      <formula1>0</formula1>
    </dataValidation>
    <dataValidation type="decimal" operator="greaterThan" allowBlank="1" showInputMessage="1" showErrorMessage="1" sqref="E8971">
      <formula1>0</formula1>
    </dataValidation>
    <dataValidation type="whole" operator="greaterThan" allowBlank="1" showInputMessage="1" showErrorMessage="1" sqref="A8972">
      <formula1>0</formula1>
    </dataValidation>
    <dataValidation type="list" allowBlank="1" showInputMessage="1" showErrorMessage="1" sqref="C8972">
      <formula1>UnidadesList</formula1>
    </dataValidation>
    <dataValidation type="decimal" operator="greaterThan" allowBlank="1" showInputMessage="1" showErrorMessage="1" sqref="D8972">
      <formula1>0</formula1>
    </dataValidation>
    <dataValidation type="decimal" operator="greaterThan" allowBlank="1" showInputMessage="1" showErrorMessage="1" sqref="E8972">
      <formula1>0</formula1>
    </dataValidation>
    <dataValidation type="whole" operator="greaterThan" allowBlank="1" showInputMessage="1" showErrorMessage="1" sqref="A8973">
      <formula1>0</formula1>
    </dataValidation>
    <dataValidation type="list" allowBlank="1" showInputMessage="1" showErrorMessage="1" sqref="C8973">
      <formula1>UnidadesList</formula1>
    </dataValidation>
    <dataValidation type="decimal" operator="greaterThan" allowBlank="1" showInputMessage="1" showErrorMessage="1" sqref="D8973">
      <formula1>0</formula1>
    </dataValidation>
    <dataValidation type="decimal" operator="greaterThan" allowBlank="1" showInputMessage="1" showErrorMessage="1" sqref="E8973">
      <formula1>0</formula1>
    </dataValidation>
    <dataValidation type="whole" operator="greaterThan" allowBlank="1" showInputMessage="1" showErrorMessage="1" sqref="A8974">
      <formula1>0</formula1>
    </dataValidation>
    <dataValidation type="list" allowBlank="1" showInputMessage="1" showErrorMessage="1" sqref="C8974">
      <formula1>UnidadesList</formula1>
    </dataValidation>
    <dataValidation type="decimal" operator="greaterThan" allowBlank="1" showInputMessage="1" showErrorMessage="1" sqref="D8974">
      <formula1>0</formula1>
    </dataValidation>
    <dataValidation type="decimal" operator="greaterThan" allowBlank="1" showInputMessage="1" showErrorMessage="1" sqref="E8974">
      <formula1>0</formula1>
    </dataValidation>
    <dataValidation type="whole" operator="greaterThan" allowBlank="1" showInputMessage="1" showErrorMessage="1" sqref="A8975">
      <formula1>0</formula1>
    </dataValidation>
    <dataValidation type="list" allowBlank="1" showInputMessage="1" showErrorMessage="1" sqref="C8975">
      <formula1>UnidadesList</formula1>
    </dataValidation>
    <dataValidation type="decimal" operator="greaterThan" allowBlank="1" showInputMessage="1" showErrorMessage="1" sqref="D8975">
      <formula1>0</formula1>
    </dataValidation>
    <dataValidation type="decimal" operator="greaterThan" allowBlank="1" showInputMessage="1" showErrorMessage="1" sqref="E8975">
      <formula1>0</formula1>
    </dataValidation>
    <dataValidation type="whole" operator="greaterThan" allowBlank="1" showInputMessage="1" showErrorMessage="1" sqref="A8976">
      <formula1>0</formula1>
    </dataValidation>
    <dataValidation type="list" allowBlank="1" showInputMessage="1" showErrorMessage="1" sqref="C8976">
      <formula1>UnidadesList</formula1>
    </dataValidation>
    <dataValidation type="decimal" operator="greaterThan" allowBlank="1" showInputMessage="1" showErrorMessage="1" sqref="D8976">
      <formula1>0</formula1>
    </dataValidation>
    <dataValidation type="decimal" operator="greaterThan" allowBlank="1" showInputMessage="1" showErrorMessage="1" sqref="E8976">
      <formula1>0</formula1>
    </dataValidation>
    <dataValidation type="whole" operator="greaterThan" allowBlank="1" showInputMessage="1" showErrorMessage="1" sqref="A8977">
      <formula1>0</formula1>
    </dataValidation>
    <dataValidation type="list" allowBlank="1" showInputMessage="1" showErrorMessage="1" sqref="C8977">
      <formula1>UnidadesList</formula1>
    </dataValidation>
    <dataValidation type="decimal" operator="greaterThan" allowBlank="1" showInputMessage="1" showErrorMessage="1" sqref="D8977">
      <formula1>0</formula1>
    </dataValidation>
    <dataValidation type="decimal" operator="greaterThan" allowBlank="1" showInputMessage="1" showErrorMessage="1" sqref="E8977">
      <formula1>0</formula1>
    </dataValidation>
    <dataValidation type="whole" operator="greaterThan" allowBlank="1" showInputMessage="1" showErrorMessage="1" sqref="A8978">
      <formula1>0</formula1>
    </dataValidation>
    <dataValidation type="list" allowBlank="1" showInputMessage="1" showErrorMessage="1" sqref="C8978">
      <formula1>UnidadesList</formula1>
    </dataValidation>
    <dataValidation type="decimal" operator="greaterThan" allowBlank="1" showInputMessage="1" showErrorMessage="1" sqref="D8978">
      <formula1>0</formula1>
    </dataValidation>
    <dataValidation type="decimal" operator="greaterThan" allowBlank="1" showInputMessage="1" showErrorMessage="1" sqref="E8978">
      <formula1>0</formula1>
    </dataValidation>
    <dataValidation type="whole" operator="greaterThan" allowBlank="1" showInputMessage="1" showErrorMessage="1" sqref="A8979">
      <formula1>0</formula1>
    </dataValidation>
    <dataValidation type="list" allowBlank="1" showInputMessage="1" showErrorMessage="1" sqref="C8979">
      <formula1>UnidadesList</formula1>
    </dataValidation>
    <dataValidation type="decimal" operator="greaterThan" allowBlank="1" showInputMessage="1" showErrorMessage="1" sqref="D8979">
      <formula1>0</formula1>
    </dataValidation>
    <dataValidation type="decimal" operator="greaterThan" allowBlank="1" showInputMessage="1" showErrorMessage="1" sqref="E8979">
      <formula1>0</formula1>
    </dataValidation>
    <dataValidation type="whole" operator="greaterThan" allowBlank="1" showInputMessage="1" showErrorMessage="1" sqref="A8980">
      <formula1>0</formula1>
    </dataValidation>
    <dataValidation type="list" allowBlank="1" showInputMessage="1" showErrorMessage="1" sqref="C8980">
      <formula1>UnidadesList</formula1>
    </dataValidation>
    <dataValidation type="decimal" operator="greaterThan" allowBlank="1" showInputMessage="1" showErrorMessage="1" sqref="D8980">
      <formula1>0</formula1>
    </dataValidation>
    <dataValidation type="decimal" operator="greaterThan" allowBlank="1" showInputMessage="1" showErrorMessage="1" sqref="E8980">
      <formula1>0</formula1>
    </dataValidation>
    <dataValidation type="whole" operator="greaterThan" allowBlank="1" showInputMessage="1" showErrorMessage="1" sqref="A8981">
      <formula1>0</formula1>
    </dataValidation>
    <dataValidation type="list" allowBlank="1" showInputMessage="1" showErrorMessage="1" sqref="C8981">
      <formula1>UnidadesList</formula1>
    </dataValidation>
    <dataValidation type="decimal" operator="greaterThan" allowBlank="1" showInputMessage="1" showErrorMessage="1" sqref="D8981">
      <formula1>0</formula1>
    </dataValidation>
    <dataValidation type="decimal" operator="greaterThan" allowBlank="1" showInputMessage="1" showErrorMessage="1" sqref="E8981">
      <formula1>0</formula1>
    </dataValidation>
    <dataValidation type="whole" operator="greaterThan" allowBlank="1" showInputMessage="1" showErrorMessage="1" sqref="A8982">
      <formula1>0</formula1>
    </dataValidation>
    <dataValidation type="list" allowBlank="1" showInputMessage="1" showErrorMessage="1" sqref="C8982">
      <formula1>UnidadesList</formula1>
    </dataValidation>
    <dataValidation type="decimal" operator="greaterThan" allowBlank="1" showInputMessage="1" showErrorMessage="1" sqref="D8982">
      <formula1>0</formula1>
    </dataValidation>
    <dataValidation type="decimal" operator="greaterThan" allowBlank="1" showInputMessage="1" showErrorMessage="1" sqref="E8982">
      <formula1>0</formula1>
    </dataValidation>
    <dataValidation type="whole" operator="greaterThan" allowBlank="1" showInputMessage="1" showErrorMessage="1" sqref="A8983">
      <formula1>0</formula1>
    </dataValidation>
    <dataValidation type="list" allowBlank="1" showInputMessage="1" showErrorMessage="1" sqref="C8983">
      <formula1>UnidadesList</formula1>
    </dataValidation>
    <dataValidation type="decimal" operator="greaterThan" allowBlank="1" showInputMessage="1" showErrorMessage="1" sqref="D8983">
      <formula1>0</formula1>
    </dataValidation>
    <dataValidation type="decimal" operator="greaterThan" allowBlank="1" showInputMessage="1" showErrorMessage="1" sqref="E8983">
      <formula1>0</formula1>
    </dataValidation>
    <dataValidation type="whole" operator="greaterThan" allowBlank="1" showInputMessage="1" showErrorMessage="1" sqref="A8984">
      <formula1>0</formula1>
    </dataValidation>
    <dataValidation type="list" allowBlank="1" showInputMessage="1" showErrorMessage="1" sqref="C8984">
      <formula1>UnidadesList</formula1>
    </dataValidation>
    <dataValidation type="decimal" operator="greaterThan" allowBlank="1" showInputMessage="1" showErrorMessage="1" sqref="D8984">
      <formula1>0</formula1>
    </dataValidation>
    <dataValidation type="decimal" operator="greaterThan" allowBlank="1" showInputMessage="1" showErrorMessage="1" sqref="E8984">
      <formula1>0</formula1>
    </dataValidation>
    <dataValidation type="whole" operator="greaterThan" allowBlank="1" showInputMessage="1" showErrorMessage="1" sqref="A8985">
      <formula1>0</formula1>
    </dataValidation>
    <dataValidation type="list" allowBlank="1" showInputMessage="1" showErrorMessage="1" sqref="C8985">
      <formula1>UnidadesList</formula1>
    </dataValidation>
    <dataValidation type="decimal" operator="greaterThan" allowBlank="1" showInputMessage="1" showErrorMessage="1" sqref="D8985">
      <formula1>0</formula1>
    </dataValidation>
    <dataValidation type="decimal" operator="greaterThan" allowBlank="1" showInputMessage="1" showErrorMessage="1" sqref="E8985">
      <formula1>0</formula1>
    </dataValidation>
    <dataValidation type="whole" operator="greaterThan" allowBlank="1" showInputMessage="1" showErrorMessage="1" sqref="A8986">
      <formula1>0</formula1>
    </dataValidation>
    <dataValidation type="list" allowBlank="1" showInputMessage="1" showErrorMessage="1" sqref="C8986">
      <formula1>UnidadesList</formula1>
    </dataValidation>
    <dataValidation type="decimal" operator="greaterThan" allowBlank="1" showInputMessage="1" showErrorMessage="1" sqref="D8986">
      <formula1>0</formula1>
    </dataValidation>
    <dataValidation type="decimal" operator="greaterThan" allowBlank="1" showInputMessage="1" showErrorMessage="1" sqref="E8986">
      <formula1>0</formula1>
    </dataValidation>
    <dataValidation type="whole" operator="greaterThan" allowBlank="1" showInputMessage="1" showErrorMessage="1" sqref="A8987">
      <formula1>0</formula1>
    </dataValidation>
    <dataValidation type="list" allowBlank="1" showInputMessage="1" showErrorMessage="1" sqref="C8987">
      <formula1>UnidadesList</formula1>
    </dataValidation>
    <dataValidation type="decimal" operator="greaterThan" allowBlank="1" showInputMessage="1" showErrorMessage="1" sqref="D8987">
      <formula1>0</formula1>
    </dataValidation>
    <dataValidation type="decimal" operator="greaterThan" allowBlank="1" showInputMessage="1" showErrorMessage="1" sqref="E8987">
      <formula1>0</formula1>
    </dataValidation>
    <dataValidation type="whole" operator="greaterThan" allowBlank="1" showInputMessage="1" showErrorMessage="1" sqref="A8988">
      <formula1>0</formula1>
    </dataValidation>
    <dataValidation type="list" allowBlank="1" showInputMessage="1" showErrorMessage="1" sqref="C8988">
      <formula1>UnidadesList</formula1>
    </dataValidation>
    <dataValidation type="decimal" operator="greaterThan" allowBlank="1" showInputMessage="1" showErrorMessage="1" sqref="D8988">
      <formula1>0</formula1>
    </dataValidation>
    <dataValidation type="decimal" operator="greaterThan" allowBlank="1" showInputMessage="1" showErrorMessage="1" sqref="E8988">
      <formula1>0</formula1>
    </dataValidation>
    <dataValidation type="whole" operator="greaterThan" allowBlank="1" showInputMessage="1" showErrorMessage="1" sqref="A8989">
      <formula1>0</formula1>
    </dataValidation>
    <dataValidation type="list" allowBlank="1" showInputMessage="1" showErrorMessage="1" sqref="C8989">
      <formula1>UnidadesList</formula1>
    </dataValidation>
    <dataValidation type="decimal" operator="greaterThan" allowBlank="1" showInputMessage="1" showErrorMessage="1" sqref="D8989">
      <formula1>0</formula1>
    </dataValidation>
    <dataValidation type="decimal" operator="greaterThan" allowBlank="1" showInputMessage="1" showErrorMessage="1" sqref="E8989">
      <formula1>0</formula1>
    </dataValidation>
    <dataValidation type="whole" operator="greaterThan" allowBlank="1" showInputMessage="1" showErrorMessage="1" sqref="A8990">
      <formula1>0</formula1>
    </dataValidation>
    <dataValidation type="list" allowBlank="1" showInputMessage="1" showErrorMessage="1" sqref="C8990">
      <formula1>UnidadesList</formula1>
    </dataValidation>
    <dataValidation type="decimal" operator="greaterThan" allowBlank="1" showInputMessage="1" showErrorMessage="1" sqref="D8990">
      <formula1>0</formula1>
    </dataValidation>
    <dataValidation type="decimal" operator="greaterThan" allowBlank="1" showInputMessage="1" showErrorMessage="1" sqref="E8990">
      <formula1>0</formula1>
    </dataValidation>
    <dataValidation type="whole" operator="greaterThan" allowBlank="1" showInputMessage="1" showErrorMessage="1" sqref="A8991">
      <formula1>0</formula1>
    </dataValidation>
    <dataValidation type="list" allowBlank="1" showInputMessage="1" showErrorMessage="1" sqref="C8991">
      <formula1>UnidadesList</formula1>
    </dataValidation>
    <dataValidation type="decimal" operator="greaterThan" allowBlank="1" showInputMessage="1" showErrorMessage="1" sqref="D8991">
      <formula1>0</formula1>
    </dataValidation>
    <dataValidation type="decimal" operator="greaterThan" allowBlank="1" showInputMessage="1" showErrorMessage="1" sqref="E8991">
      <formula1>0</formula1>
    </dataValidation>
    <dataValidation type="whole" operator="greaterThan" allowBlank="1" showInputMessage="1" showErrorMessage="1" sqref="A8992">
      <formula1>0</formula1>
    </dataValidation>
    <dataValidation type="list" allowBlank="1" showInputMessage="1" showErrorMessage="1" sqref="C8992">
      <formula1>UnidadesList</formula1>
    </dataValidation>
    <dataValidation type="decimal" operator="greaterThan" allowBlank="1" showInputMessage="1" showErrorMessage="1" sqref="D8992">
      <formula1>0</formula1>
    </dataValidation>
    <dataValidation type="decimal" operator="greaterThan" allowBlank="1" showInputMessage="1" showErrorMessage="1" sqref="E8992">
      <formula1>0</formula1>
    </dataValidation>
    <dataValidation type="whole" operator="greaterThan" allowBlank="1" showInputMessage="1" showErrorMessage="1" sqref="A8993">
      <formula1>0</formula1>
    </dataValidation>
    <dataValidation type="list" allowBlank="1" showInputMessage="1" showErrorMessage="1" sqref="C8993">
      <formula1>UnidadesList</formula1>
    </dataValidation>
    <dataValidation type="decimal" operator="greaterThan" allowBlank="1" showInputMessage="1" showErrorMessage="1" sqref="D8993">
      <formula1>0</formula1>
    </dataValidation>
    <dataValidation type="decimal" operator="greaterThan" allowBlank="1" showInputMessage="1" showErrorMessage="1" sqref="E8993">
      <formula1>0</formula1>
    </dataValidation>
    <dataValidation type="whole" operator="greaterThan" allowBlank="1" showInputMessage="1" showErrorMessage="1" sqref="A8994">
      <formula1>0</formula1>
    </dataValidation>
    <dataValidation type="list" allowBlank="1" showInputMessage="1" showErrorMessage="1" sqref="C8994">
      <formula1>UnidadesList</formula1>
    </dataValidation>
    <dataValidation type="decimal" operator="greaterThan" allowBlank="1" showInputMessage="1" showErrorMessage="1" sqref="D8994">
      <formula1>0</formula1>
    </dataValidation>
    <dataValidation type="decimal" operator="greaterThan" allowBlank="1" showInputMessage="1" showErrorMessage="1" sqref="E8994">
      <formula1>0</formula1>
    </dataValidation>
    <dataValidation type="whole" operator="greaterThan" allowBlank="1" showInputMessage="1" showErrorMessage="1" sqref="A8995">
      <formula1>0</formula1>
    </dataValidation>
    <dataValidation type="list" allowBlank="1" showInputMessage="1" showErrorMessage="1" sqref="C8995">
      <formula1>UnidadesList</formula1>
    </dataValidation>
    <dataValidation type="decimal" operator="greaterThan" allowBlank="1" showInputMessage="1" showErrorMessage="1" sqref="D8995">
      <formula1>0</formula1>
    </dataValidation>
    <dataValidation type="decimal" operator="greaterThan" allowBlank="1" showInputMessage="1" showErrorMessage="1" sqref="E8995">
      <formula1>0</formula1>
    </dataValidation>
    <dataValidation type="whole" operator="greaterThan" allowBlank="1" showInputMessage="1" showErrorMessage="1" sqref="A8996">
      <formula1>0</formula1>
    </dataValidation>
    <dataValidation type="list" allowBlank="1" showInputMessage="1" showErrorMessage="1" sqref="C8996">
      <formula1>UnidadesList</formula1>
    </dataValidation>
    <dataValidation type="decimal" operator="greaterThan" allowBlank="1" showInputMessage="1" showErrorMessage="1" sqref="D8996">
      <formula1>0</formula1>
    </dataValidation>
    <dataValidation type="decimal" operator="greaterThan" allowBlank="1" showInputMessage="1" showErrorMessage="1" sqref="E8996">
      <formula1>0</formula1>
    </dataValidation>
    <dataValidation type="whole" operator="greaterThan" allowBlank="1" showInputMessage="1" showErrorMessage="1" sqref="A8997">
      <formula1>0</formula1>
    </dataValidation>
    <dataValidation type="list" allowBlank="1" showInputMessage="1" showErrorMessage="1" sqref="C8997">
      <formula1>UnidadesList</formula1>
    </dataValidation>
    <dataValidation type="decimal" operator="greaterThan" allowBlank="1" showInputMessage="1" showErrorMessage="1" sqref="D8997">
      <formula1>0</formula1>
    </dataValidation>
    <dataValidation type="decimal" operator="greaterThan" allowBlank="1" showInputMessage="1" showErrorMessage="1" sqref="E8997">
      <formula1>0</formula1>
    </dataValidation>
    <dataValidation type="whole" operator="greaterThan" allowBlank="1" showInputMessage="1" showErrorMessage="1" sqref="A8998">
      <formula1>0</formula1>
    </dataValidation>
    <dataValidation type="list" allowBlank="1" showInputMessage="1" showErrorMessage="1" sqref="C8998">
      <formula1>UnidadesList</formula1>
    </dataValidation>
    <dataValidation type="decimal" operator="greaterThan" allowBlank="1" showInputMessage="1" showErrorMessage="1" sqref="D8998">
      <formula1>0</formula1>
    </dataValidation>
    <dataValidation type="decimal" operator="greaterThan" allowBlank="1" showInputMessage="1" showErrorMessage="1" sqref="E8998">
      <formula1>0</formula1>
    </dataValidation>
    <dataValidation type="whole" operator="greaterThan" allowBlank="1" showInputMessage="1" showErrorMessage="1" sqref="A8999">
      <formula1>0</formula1>
    </dataValidation>
    <dataValidation type="list" allowBlank="1" showInputMessage="1" showErrorMessage="1" sqref="C8999">
      <formula1>UnidadesList</formula1>
    </dataValidation>
    <dataValidation type="decimal" operator="greaterThan" allowBlank="1" showInputMessage="1" showErrorMessage="1" sqref="D8999">
      <formula1>0</formula1>
    </dataValidation>
    <dataValidation type="decimal" operator="greaterThan" allowBlank="1" showInputMessage="1" showErrorMessage="1" sqref="E8999">
      <formula1>0</formula1>
    </dataValidation>
    <dataValidation type="whole" operator="greaterThan" allowBlank="1" showInputMessage="1" showErrorMessage="1" sqref="A9000">
      <formula1>0</formula1>
    </dataValidation>
    <dataValidation type="list" allowBlank="1" showInputMessage="1" showErrorMessage="1" sqref="C9000">
      <formula1>UnidadesList</formula1>
    </dataValidation>
    <dataValidation type="decimal" operator="greaterThan" allowBlank="1" showInputMessage="1" showErrorMessage="1" sqref="D9000">
      <formula1>0</formula1>
    </dataValidation>
    <dataValidation type="decimal" operator="greaterThan" allowBlank="1" showInputMessage="1" showErrorMessage="1" sqref="E9000">
      <formula1>0</formula1>
    </dataValidation>
    <dataValidation type="whole" operator="greaterThan" allowBlank="1" showInputMessage="1" showErrorMessage="1" sqref="A9001">
      <formula1>0</formula1>
    </dataValidation>
    <dataValidation type="list" allowBlank="1" showInputMessage="1" showErrorMessage="1" sqref="C9001">
      <formula1>UnidadesList</formula1>
    </dataValidation>
    <dataValidation type="decimal" operator="greaterThan" allowBlank="1" showInputMessage="1" showErrorMessage="1" sqref="D9001">
      <formula1>0</formula1>
    </dataValidation>
    <dataValidation type="decimal" operator="greaterThan" allowBlank="1" showInputMessage="1" showErrorMessage="1" sqref="E9001">
      <formula1>0</formula1>
    </dataValidation>
    <dataValidation type="whole" operator="greaterThan" allowBlank="1" showInputMessage="1" showErrorMessage="1" sqref="A9002">
      <formula1>0</formula1>
    </dataValidation>
    <dataValidation type="list" allowBlank="1" showInputMessage="1" showErrorMessage="1" sqref="C9002">
      <formula1>UnidadesList</formula1>
    </dataValidation>
    <dataValidation type="decimal" operator="greaterThan" allowBlank="1" showInputMessage="1" showErrorMessage="1" sqref="D9002">
      <formula1>0</formula1>
    </dataValidation>
    <dataValidation type="decimal" operator="greaterThan" allowBlank="1" showInputMessage="1" showErrorMessage="1" sqref="E9002">
      <formula1>0</formula1>
    </dataValidation>
    <dataValidation type="whole" operator="greaterThan" allowBlank="1" showInputMessage="1" showErrorMessage="1" sqref="A9003">
      <formula1>0</formula1>
    </dataValidation>
    <dataValidation type="list" allowBlank="1" showInputMessage="1" showErrorMessage="1" sqref="C9003">
      <formula1>UnidadesList</formula1>
    </dataValidation>
    <dataValidation type="decimal" operator="greaterThan" allowBlank="1" showInputMessage="1" showErrorMessage="1" sqref="D9003">
      <formula1>0</formula1>
    </dataValidation>
    <dataValidation type="decimal" operator="greaterThan" allowBlank="1" showInputMessage="1" showErrorMessage="1" sqref="E9003">
      <formula1>0</formula1>
    </dataValidation>
    <dataValidation type="whole" operator="greaterThan" allowBlank="1" showInputMessage="1" showErrorMessage="1" sqref="A9004">
      <formula1>0</formula1>
    </dataValidation>
    <dataValidation type="list" allowBlank="1" showInputMessage="1" showErrorMessage="1" sqref="C9004">
      <formula1>UnidadesList</formula1>
    </dataValidation>
    <dataValidation type="decimal" operator="greaterThan" allowBlank="1" showInputMessage="1" showErrorMessage="1" sqref="D9004">
      <formula1>0</formula1>
    </dataValidation>
    <dataValidation type="decimal" operator="greaterThan" allowBlank="1" showInputMessage="1" showErrorMessage="1" sqref="E9004">
      <formula1>0</formula1>
    </dataValidation>
    <dataValidation type="whole" operator="greaterThan" allowBlank="1" showInputMessage="1" showErrorMessage="1" sqref="A9005">
      <formula1>0</formula1>
    </dataValidation>
    <dataValidation type="list" allowBlank="1" showInputMessage="1" showErrorMessage="1" sqref="C9005">
      <formula1>UnidadesList</formula1>
    </dataValidation>
    <dataValidation type="decimal" operator="greaterThan" allowBlank="1" showInputMessage="1" showErrorMessage="1" sqref="D9005">
      <formula1>0</formula1>
    </dataValidation>
    <dataValidation type="decimal" operator="greaterThan" allowBlank="1" showInputMessage="1" showErrorMessage="1" sqref="E9005">
      <formula1>0</formula1>
    </dataValidation>
    <dataValidation type="whole" operator="greaterThan" allowBlank="1" showInputMessage="1" showErrorMessage="1" sqref="A9006">
      <formula1>0</formula1>
    </dataValidation>
    <dataValidation type="list" allowBlank="1" showInputMessage="1" showErrorMessage="1" sqref="C9006">
      <formula1>UnidadesList</formula1>
    </dataValidation>
    <dataValidation type="decimal" operator="greaterThan" allowBlank="1" showInputMessage="1" showErrorMessage="1" sqref="D9006">
      <formula1>0</formula1>
    </dataValidation>
    <dataValidation type="decimal" operator="greaterThan" allowBlank="1" showInputMessage="1" showErrorMessage="1" sqref="E9006">
      <formula1>0</formula1>
    </dataValidation>
    <dataValidation type="whole" operator="greaterThan" allowBlank="1" showInputMessage="1" showErrorMessage="1" sqref="A9007">
      <formula1>0</formula1>
    </dataValidation>
    <dataValidation type="list" allowBlank="1" showInputMessage="1" showErrorMessage="1" sqref="C9007">
      <formula1>UnidadesList</formula1>
    </dataValidation>
    <dataValidation type="decimal" operator="greaterThan" allowBlank="1" showInputMessage="1" showErrorMessage="1" sqref="D9007">
      <formula1>0</formula1>
    </dataValidation>
    <dataValidation type="decimal" operator="greaterThan" allowBlank="1" showInputMessage="1" showErrorMessage="1" sqref="E9007">
      <formula1>0</formula1>
    </dataValidation>
    <dataValidation type="whole" operator="greaterThan" allowBlank="1" showInputMessage="1" showErrorMessage="1" sqref="A9008">
      <formula1>0</formula1>
    </dataValidation>
    <dataValidation type="list" allowBlank="1" showInputMessage="1" showErrorMessage="1" sqref="C9008">
      <formula1>UnidadesList</formula1>
    </dataValidation>
    <dataValidation type="decimal" operator="greaterThan" allowBlank="1" showInputMessage="1" showErrorMessage="1" sqref="D9008">
      <formula1>0</formula1>
    </dataValidation>
    <dataValidation type="decimal" operator="greaterThan" allowBlank="1" showInputMessage="1" showErrorMessage="1" sqref="E9008">
      <formula1>0</formula1>
    </dataValidation>
    <dataValidation type="whole" operator="greaterThan" allowBlank="1" showInputMessage="1" showErrorMessage="1" sqref="A9009">
      <formula1>0</formula1>
    </dataValidation>
    <dataValidation type="list" allowBlank="1" showInputMessage="1" showErrorMessage="1" sqref="C9009">
      <formula1>UnidadesList</formula1>
    </dataValidation>
    <dataValidation type="decimal" operator="greaterThan" allowBlank="1" showInputMessage="1" showErrorMessage="1" sqref="D9009">
      <formula1>0</formula1>
    </dataValidation>
    <dataValidation type="decimal" operator="greaterThan" allowBlank="1" showInputMessage="1" showErrorMessage="1" sqref="E9009">
      <formula1>0</formula1>
    </dataValidation>
    <dataValidation type="whole" operator="greaterThan" allowBlank="1" showInputMessage="1" showErrorMessage="1" sqref="A9010">
      <formula1>0</formula1>
    </dataValidation>
    <dataValidation type="list" allowBlank="1" showInputMessage="1" showErrorMessage="1" sqref="C9010">
      <formula1>UnidadesList</formula1>
    </dataValidation>
    <dataValidation type="decimal" operator="greaterThan" allowBlank="1" showInputMessage="1" showErrorMessage="1" sqref="D9010">
      <formula1>0</formula1>
    </dataValidation>
    <dataValidation type="decimal" operator="greaterThan" allowBlank="1" showInputMessage="1" showErrorMessage="1" sqref="E9010">
      <formula1>0</formula1>
    </dataValidation>
    <dataValidation type="whole" operator="greaterThan" allowBlank="1" showInputMessage="1" showErrorMessage="1" sqref="A9011">
      <formula1>0</formula1>
    </dataValidation>
    <dataValidation type="list" allowBlank="1" showInputMessage="1" showErrorMessage="1" sqref="C9011">
      <formula1>UnidadesList</formula1>
    </dataValidation>
    <dataValidation type="decimal" operator="greaterThan" allowBlank="1" showInputMessage="1" showErrorMessage="1" sqref="D9011">
      <formula1>0</formula1>
    </dataValidation>
    <dataValidation type="decimal" operator="greaterThan" allowBlank="1" showInputMessage="1" showErrorMessage="1" sqref="E9011">
      <formula1>0</formula1>
    </dataValidation>
    <dataValidation type="whole" operator="greaterThan" allowBlank="1" showInputMessage="1" showErrorMessage="1" sqref="A9012">
      <formula1>0</formula1>
    </dataValidation>
    <dataValidation type="list" allowBlank="1" showInputMessage="1" showErrorMessage="1" sqref="C9012">
      <formula1>UnidadesList</formula1>
    </dataValidation>
    <dataValidation type="decimal" operator="greaterThan" allowBlank="1" showInputMessage="1" showErrorMessage="1" sqref="D9012">
      <formula1>0</formula1>
    </dataValidation>
    <dataValidation type="decimal" operator="greaterThan" allowBlank="1" showInputMessage="1" showErrorMessage="1" sqref="E9012">
      <formula1>0</formula1>
    </dataValidation>
    <dataValidation type="whole" operator="greaterThan" allowBlank="1" showInputMessage="1" showErrorMessage="1" sqref="A9013">
      <formula1>0</formula1>
    </dataValidation>
    <dataValidation type="list" allowBlank="1" showInputMessage="1" showErrorMessage="1" sqref="C9013">
      <formula1>UnidadesList</formula1>
    </dataValidation>
    <dataValidation type="decimal" operator="greaterThan" allowBlank="1" showInputMessage="1" showErrorMessage="1" sqref="D9013">
      <formula1>0</formula1>
    </dataValidation>
    <dataValidation type="decimal" operator="greaterThan" allowBlank="1" showInputMessage="1" showErrorMessage="1" sqref="E9013">
      <formula1>0</formula1>
    </dataValidation>
    <dataValidation type="whole" operator="greaterThan" allowBlank="1" showInputMessage="1" showErrorMessage="1" sqref="A9014">
      <formula1>0</formula1>
    </dataValidation>
    <dataValidation type="list" allowBlank="1" showInputMessage="1" showErrorMessage="1" sqref="C9014">
      <formula1>UnidadesList</formula1>
    </dataValidation>
    <dataValidation type="decimal" operator="greaterThan" allowBlank="1" showInputMessage="1" showErrorMessage="1" sqref="D9014">
      <formula1>0</formula1>
    </dataValidation>
    <dataValidation type="decimal" operator="greaterThan" allowBlank="1" showInputMessage="1" showErrorMessage="1" sqref="E9014">
      <formula1>0</formula1>
    </dataValidation>
    <dataValidation type="whole" operator="greaterThan" allowBlank="1" showInputMessage="1" showErrorMessage="1" sqref="A9015">
      <formula1>0</formula1>
    </dataValidation>
    <dataValidation type="list" allowBlank="1" showInputMessage="1" showErrorMessage="1" sqref="C9015">
      <formula1>UnidadesList</formula1>
    </dataValidation>
    <dataValidation type="decimal" operator="greaterThan" allowBlank="1" showInputMessage="1" showErrorMessage="1" sqref="D9015">
      <formula1>0</formula1>
    </dataValidation>
    <dataValidation type="decimal" operator="greaterThan" allowBlank="1" showInputMessage="1" showErrorMessage="1" sqref="E9015">
      <formula1>0</formula1>
    </dataValidation>
    <dataValidation type="whole" operator="greaterThan" allowBlank="1" showInputMessage="1" showErrorMessage="1" sqref="A9016">
      <formula1>0</formula1>
    </dataValidation>
    <dataValidation type="list" allowBlank="1" showInputMessage="1" showErrorMessage="1" sqref="C9016">
      <formula1>UnidadesList</formula1>
    </dataValidation>
    <dataValidation type="decimal" operator="greaterThan" allowBlank="1" showInputMessage="1" showErrorMessage="1" sqref="D9016">
      <formula1>0</formula1>
    </dataValidation>
    <dataValidation type="decimal" operator="greaterThan" allowBlank="1" showInputMessage="1" showErrorMessage="1" sqref="E9016">
      <formula1>0</formula1>
    </dataValidation>
    <dataValidation type="whole" operator="greaterThan" allowBlank="1" showInputMessage="1" showErrorMessage="1" sqref="A9017">
      <formula1>0</formula1>
    </dataValidation>
    <dataValidation type="list" allowBlank="1" showInputMessage="1" showErrorMessage="1" sqref="C9017">
      <formula1>UnidadesList</formula1>
    </dataValidation>
    <dataValidation type="decimal" operator="greaterThan" allowBlank="1" showInputMessage="1" showErrorMessage="1" sqref="D9017">
      <formula1>0</formula1>
    </dataValidation>
    <dataValidation type="decimal" operator="greaterThan" allowBlank="1" showInputMessage="1" showErrorMessage="1" sqref="E9017">
      <formula1>0</formula1>
    </dataValidation>
    <dataValidation type="whole" operator="greaterThan" allowBlank="1" showInputMessage="1" showErrorMessage="1" sqref="A9018">
      <formula1>0</formula1>
    </dataValidation>
    <dataValidation type="list" allowBlank="1" showInputMessage="1" showErrorMessage="1" sqref="C9018">
      <formula1>UnidadesList</formula1>
    </dataValidation>
    <dataValidation type="decimal" operator="greaterThan" allowBlank="1" showInputMessage="1" showErrorMessage="1" sqref="D9018">
      <formula1>0</formula1>
    </dataValidation>
    <dataValidation type="decimal" operator="greaterThan" allowBlank="1" showInputMessage="1" showErrorMessage="1" sqref="E9018">
      <formula1>0</formula1>
    </dataValidation>
    <dataValidation type="whole" operator="greaterThan" allowBlank="1" showInputMessage="1" showErrorMessage="1" sqref="A9019">
      <formula1>0</formula1>
    </dataValidation>
    <dataValidation type="list" allowBlank="1" showInputMessage="1" showErrorMessage="1" sqref="C9019">
      <formula1>UnidadesList</formula1>
    </dataValidation>
    <dataValidation type="decimal" operator="greaterThan" allowBlank="1" showInputMessage="1" showErrorMessage="1" sqref="D9019">
      <formula1>0</formula1>
    </dataValidation>
    <dataValidation type="decimal" operator="greaterThan" allowBlank="1" showInputMessage="1" showErrorMessage="1" sqref="E9019">
      <formula1>0</formula1>
    </dataValidation>
    <dataValidation type="whole" operator="greaterThan" allowBlank="1" showInputMessage="1" showErrorMessage="1" sqref="A9020">
      <formula1>0</formula1>
    </dataValidation>
    <dataValidation type="list" allowBlank="1" showInputMessage="1" showErrorMessage="1" sqref="C9020">
      <formula1>UnidadesList</formula1>
    </dataValidation>
    <dataValidation type="decimal" operator="greaterThan" allowBlank="1" showInputMessage="1" showErrorMessage="1" sqref="D9020">
      <formula1>0</formula1>
    </dataValidation>
    <dataValidation type="decimal" operator="greaterThan" allowBlank="1" showInputMessage="1" showErrorMessage="1" sqref="E9020">
      <formula1>0</formula1>
    </dataValidation>
    <dataValidation type="whole" operator="greaterThan" allowBlank="1" showInputMessage="1" showErrorMessage="1" sqref="A9021">
      <formula1>0</formula1>
    </dataValidation>
    <dataValidation type="list" allowBlank="1" showInputMessage="1" showErrorMessage="1" sqref="C9021">
      <formula1>UnidadesList</formula1>
    </dataValidation>
    <dataValidation type="decimal" operator="greaterThan" allowBlank="1" showInputMessage="1" showErrorMessage="1" sqref="D9021">
      <formula1>0</formula1>
    </dataValidation>
    <dataValidation type="decimal" operator="greaterThan" allowBlank="1" showInputMessage="1" showErrorMessage="1" sqref="E9021">
      <formula1>0</formula1>
    </dataValidation>
    <dataValidation type="whole" operator="greaterThan" allowBlank="1" showInputMessage="1" showErrorMessage="1" sqref="A9022">
      <formula1>0</formula1>
    </dataValidation>
    <dataValidation type="list" allowBlank="1" showInputMessage="1" showErrorMessage="1" sqref="C9022">
      <formula1>UnidadesList</formula1>
    </dataValidation>
    <dataValidation type="decimal" operator="greaterThan" allowBlank="1" showInputMessage="1" showErrorMessage="1" sqref="D9022">
      <formula1>0</formula1>
    </dataValidation>
    <dataValidation type="decimal" operator="greaterThan" allowBlank="1" showInputMessage="1" showErrorMessage="1" sqref="E9022">
      <formula1>0</formula1>
    </dataValidation>
    <dataValidation type="whole" operator="greaterThan" allowBlank="1" showInputMessage="1" showErrorMessage="1" sqref="A9023">
      <formula1>0</formula1>
    </dataValidation>
    <dataValidation type="list" allowBlank="1" showInputMessage="1" showErrorMessage="1" sqref="C9023">
      <formula1>UnidadesList</formula1>
    </dataValidation>
    <dataValidation type="decimal" operator="greaterThan" allowBlank="1" showInputMessage="1" showErrorMessage="1" sqref="D9023">
      <formula1>0</formula1>
    </dataValidation>
    <dataValidation type="decimal" operator="greaterThan" allowBlank="1" showInputMessage="1" showErrorMessage="1" sqref="E9023">
      <formula1>0</formula1>
    </dataValidation>
    <dataValidation type="whole" operator="greaterThan" allowBlank="1" showInputMessage="1" showErrorMessage="1" sqref="A9024">
      <formula1>0</formula1>
    </dataValidation>
    <dataValidation type="list" allowBlank="1" showInputMessage="1" showErrorMessage="1" sqref="C9024">
      <formula1>UnidadesList</formula1>
    </dataValidation>
    <dataValidation type="decimal" operator="greaterThan" allowBlank="1" showInputMessage="1" showErrorMessage="1" sqref="D9024">
      <formula1>0</formula1>
    </dataValidation>
    <dataValidation type="decimal" operator="greaterThan" allowBlank="1" showInputMessage="1" showErrorMessage="1" sqref="E9024">
      <formula1>0</formula1>
    </dataValidation>
    <dataValidation type="whole" operator="greaterThan" allowBlank="1" showInputMessage="1" showErrorMessage="1" sqref="A9025">
      <formula1>0</formula1>
    </dataValidation>
    <dataValidation type="list" allowBlank="1" showInputMessage="1" showErrorMessage="1" sqref="C9025">
      <formula1>UnidadesList</formula1>
    </dataValidation>
    <dataValidation type="decimal" operator="greaterThan" allowBlank="1" showInputMessage="1" showErrorMessage="1" sqref="D9025">
      <formula1>0</formula1>
    </dataValidation>
    <dataValidation type="decimal" operator="greaterThan" allowBlank="1" showInputMessage="1" showErrorMessage="1" sqref="E9025">
      <formula1>0</formula1>
    </dataValidation>
    <dataValidation type="whole" operator="greaterThan" allowBlank="1" showInputMessage="1" showErrorMessage="1" sqref="A9026">
      <formula1>0</formula1>
    </dataValidation>
    <dataValidation type="list" allowBlank="1" showInputMessage="1" showErrorMessage="1" sqref="C9026">
      <formula1>UnidadesList</formula1>
    </dataValidation>
    <dataValidation type="decimal" operator="greaterThan" allowBlank="1" showInputMessage="1" showErrorMessage="1" sqref="D9026">
      <formula1>0</formula1>
    </dataValidation>
    <dataValidation type="decimal" operator="greaterThan" allowBlank="1" showInputMessage="1" showErrorMessage="1" sqref="E9026">
      <formula1>0</formula1>
    </dataValidation>
    <dataValidation type="whole" operator="greaterThan" allowBlank="1" showInputMessage="1" showErrorMessage="1" sqref="A9027">
      <formula1>0</formula1>
    </dataValidation>
    <dataValidation type="list" allowBlank="1" showInputMessage="1" showErrorMessage="1" sqref="C9027">
      <formula1>UnidadesList</formula1>
    </dataValidation>
    <dataValidation type="decimal" operator="greaterThan" allowBlank="1" showInputMessage="1" showErrorMessage="1" sqref="D9027">
      <formula1>0</formula1>
    </dataValidation>
    <dataValidation type="decimal" operator="greaterThan" allowBlank="1" showInputMessage="1" showErrorMessage="1" sqref="E9027">
      <formula1>0</formula1>
    </dataValidation>
    <dataValidation type="whole" operator="greaterThan" allowBlank="1" showInputMessage="1" showErrorMessage="1" sqref="A9028">
      <formula1>0</formula1>
    </dataValidation>
    <dataValidation type="list" allowBlank="1" showInputMessage="1" showErrorMessage="1" sqref="C9028">
      <formula1>UnidadesList</formula1>
    </dataValidation>
    <dataValidation type="decimal" operator="greaterThan" allowBlank="1" showInputMessage="1" showErrorMessage="1" sqref="D9028">
      <formula1>0</formula1>
    </dataValidation>
    <dataValidation type="decimal" operator="greaterThan" allowBlank="1" showInputMessage="1" showErrorMessage="1" sqref="E9028">
      <formula1>0</formula1>
    </dataValidation>
    <dataValidation type="whole" operator="greaterThan" allowBlank="1" showInputMessage="1" showErrorMessage="1" sqref="A9029">
      <formula1>0</formula1>
    </dataValidation>
    <dataValidation type="list" allowBlank="1" showInputMessage="1" showErrorMessage="1" sqref="C9029">
      <formula1>UnidadesList</formula1>
    </dataValidation>
    <dataValidation type="decimal" operator="greaterThan" allowBlank="1" showInputMessage="1" showErrorMessage="1" sqref="D9029">
      <formula1>0</formula1>
    </dataValidation>
    <dataValidation type="decimal" operator="greaterThan" allowBlank="1" showInputMessage="1" showErrorMessage="1" sqref="E9029">
      <formula1>0</formula1>
    </dataValidation>
    <dataValidation type="whole" operator="greaterThan" allowBlank="1" showInputMessage="1" showErrorMessage="1" sqref="A9030">
      <formula1>0</formula1>
    </dataValidation>
    <dataValidation type="list" allowBlank="1" showInputMessage="1" showErrorMessage="1" sqref="C9030">
      <formula1>UnidadesList</formula1>
    </dataValidation>
    <dataValidation type="decimal" operator="greaterThan" allowBlank="1" showInputMessage="1" showErrorMessage="1" sqref="D9030">
      <formula1>0</formula1>
    </dataValidation>
    <dataValidation type="decimal" operator="greaterThan" allowBlank="1" showInputMessage="1" showErrorMessage="1" sqref="E9030">
      <formula1>0</formula1>
    </dataValidation>
    <dataValidation type="whole" operator="greaterThan" allowBlank="1" showInputMessage="1" showErrorMessage="1" sqref="A9031">
      <formula1>0</formula1>
    </dataValidation>
    <dataValidation type="list" allowBlank="1" showInputMessage="1" showErrorMessage="1" sqref="C9031">
      <formula1>UnidadesList</formula1>
    </dataValidation>
    <dataValidation type="decimal" operator="greaterThan" allowBlank="1" showInputMessage="1" showErrorMessage="1" sqref="D9031">
      <formula1>0</formula1>
    </dataValidation>
    <dataValidation type="decimal" operator="greaterThan" allowBlank="1" showInputMessage="1" showErrorMessage="1" sqref="E9031">
      <formula1>0</formula1>
    </dataValidation>
    <dataValidation type="whole" operator="greaterThan" allowBlank="1" showInputMessage="1" showErrorMessage="1" sqref="A9032">
      <formula1>0</formula1>
    </dataValidation>
    <dataValidation type="list" allowBlank="1" showInputMessage="1" showErrorMessage="1" sqref="C9032">
      <formula1>UnidadesList</formula1>
    </dataValidation>
    <dataValidation type="decimal" operator="greaterThan" allowBlank="1" showInputMessage="1" showErrorMessage="1" sqref="D9032">
      <formula1>0</formula1>
    </dataValidation>
    <dataValidation type="decimal" operator="greaterThan" allowBlank="1" showInputMessage="1" showErrorMessage="1" sqref="E9032">
      <formula1>0</formula1>
    </dataValidation>
    <dataValidation type="whole" operator="greaterThan" allowBlank="1" showInputMessage="1" showErrorMessage="1" sqref="A9033">
      <formula1>0</formula1>
    </dataValidation>
    <dataValidation type="list" allowBlank="1" showInputMessage="1" showErrorMessage="1" sqref="C9033">
      <formula1>UnidadesList</formula1>
    </dataValidation>
    <dataValidation type="decimal" operator="greaterThan" allowBlank="1" showInputMessage="1" showErrorMessage="1" sqref="D9033">
      <formula1>0</formula1>
    </dataValidation>
    <dataValidation type="decimal" operator="greaterThan" allowBlank="1" showInputMessage="1" showErrorMessage="1" sqref="E9033">
      <formula1>0</formula1>
    </dataValidation>
    <dataValidation type="whole" operator="greaterThan" allowBlank="1" showInputMessage="1" showErrorMessage="1" sqref="A9034">
      <formula1>0</formula1>
    </dataValidation>
    <dataValidation type="list" allowBlank="1" showInputMessage="1" showErrorMessage="1" sqref="C9034">
      <formula1>UnidadesList</formula1>
    </dataValidation>
    <dataValidation type="decimal" operator="greaterThan" allowBlank="1" showInputMessage="1" showErrorMessage="1" sqref="D9034">
      <formula1>0</formula1>
    </dataValidation>
    <dataValidation type="decimal" operator="greaterThan" allowBlank="1" showInputMessage="1" showErrorMessage="1" sqref="E9034">
      <formula1>0</formula1>
    </dataValidation>
    <dataValidation type="whole" operator="greaterThan" allowBlank="1" showInputMessage="1" showErrorMessage="1" sqref="A9035">
      <formula1>0</formula1>
    </dataValidation>
    <dataValidation type="list" allowBlank="1" showInputMessage="1" showErrorMessage="1" sqref="C9035">
      <formula1>UnidadesList</formula1>
    </dataValidation>
    <dataValidation type="decimal" operator="greaterThan" allowBlank="1" showInputMessage="1" showErrorMessage="1" sqref="D9035">
      <formula1>0</formula1>
    </dataValidation>
    <dataValidation type="decimal" operator="greaterThan" allowBlank="1" showInputMessage="1" showErrorMessage="1" sqref="E9035">
      <formula1>0</formula1>
    </dataValidation>
    <dataValidation type="whole" operator="greaterThan" allowBlank="1" showInputMessage="1" showErrorMessage="1" sqref="A9036">
      <formula1>0</formula1>
    </dataValidation>
    <dataValidation type="list" allowBlank="1" showInputMessage="1" showErrorMessage="1" sqref="C9036">
      <formula1>UnidadesList</formula1>
    </dataValidation>
    <dataValidation type="decimal" operator="greaterThan" allowBlank="1" showInputMessage="1" showErrorMessage="1" sqref="D9036">
      <formula1>0</formula1>
    </dataValidation>
    <dataValidation type="decimal" operator="greaterThan" allowBlank="1" showInputMessage="1" showErrorMessage="1" sqref="E9036">
      <formula1>0</formula1>
    </dataValidation>
    <dataValidation type="whole" operator="greaterThan" allowBlank="1" showInputMessage="1" showErrorMessage="1" sqref="A9037">
      <formula1>0</formula1>
    </dataValidation>
    <dataValidation type="list" allowBlank="1" showInputMessage="1" showErrorMessage="1" sqref="C9037">
      <formula1>UnidadesList</formula1>
    </dataValidation>
    <dataValidation type="decimal" operator="greaterThan" allowBlank="1" showInputMessage="1" showErrorMessage="1" sqref="D9037">
      <formula1>0</formula1>
    </dataValidation>
    <dataValidation type="decimal" operator="greaterThan" allowBlank="1" showInputMessage="1" showErrorMessage="1" sqref="E9037">
      <formula1>0</formula1>
    </dataValidation>
    <dataValidation type="whole" operator="greaterThan" allowBlank="1" showInputMessage="1" showErrorMessage="1" sqref="A9038">
      <formula1>0</formula1>
    </dataValidation>
    <dataValidation type="list" allowBlank="1" showInputMessage="1" showErrorMessage="1" sqref="C9038">
      <formula1>UnidadesList</formula1>
    </dataValidation>
    <dataValidation type="decimal" operator="greaterThan" allowBlank="1" showInputMessage="1" showErrorMessage="1" sqref="D9038">
      <formula1>0</formula1>
    </dataValidation>
    <dataValidation type="decimal" operator="greaterThan" allowBlank="1" showInputMessage="1" showErrorMessage="1" sqref="E9038">
      <formula1>0</formula1>
    </dataValidation>
    <dataValidation type="whole" operator="greaterThan" allowBlank="1" showInputMessage="1" showErrorMessage="1" sqref="A9039">
      <formula1>0</formula1>
    </dataValidation>
    <dataValidation type="list" allowBlank="1" showInputMessage="1" showErrorMessage="1" sqref="C9039">
      <formula1>UnidadesList</formula1>
    </dataValidation>
    <dataValidation type="decimal" operator="greaterThan" allowBlank="1" showInputMessage="1" showErrorMessage="1" sqref="D9039">
      <formula1>0</formula1>
    </dataValidation>
    <dataValidation type="decimal" operator="greaterThan" allowBlank="1" showInputMessage="1" showErrorMessage="1" sqref="E9039">
      <formula1>0</formula1>
    </dataValidation>
    <dataValidation type="whole" operator="greaterThan" allowBlank="1" showInputMessage="1" showErrorMessage="1" sqref="A9040">
      <formula1>0</formula1>
    </dataValidation>
    <dataValidation type="list" allowBlank="1" showInputMessage="1" showErrorMessage="1" sqref="C9040">
      <formula1>UnidadesList</formula1>
    </dataValidation>
    <dataValidation type="decimal" operator="greaterThan" allowBlank="1" showInputMessage="1" showErrorMessage="1" sqref="D9040">
      <formula1>0</formula1>
    </dataValidation>
    <dataValidation type="decimal" operator="greaterThan" allowBlank="1" showInputMessage="1" showErrorMessage="1" sqref="E9040">
      <formula1>0</formula1>
    </dataValidation>
    <dataValidation type="whole" operator="greaterThan" allowBlank="1" showInputMessage="1" showErrorMessage="1" sqref="A9041">
      <formula1>0</formula1>
    </dataValidation>
    <dataValidation type="list" allowBlank="1" showInputMessage="1" showErrorMessage="1" sqref="C9041">
      <formula1>UnidadesList</formula1>
    </dataValidation>
    <dataValidation type="decimal" operator="greaterThan" allowBlank="1" showInputMessage="1" showErrorMessage="1" sqref="D9041">
      <formula1>0</formula1>
    </dataValidation>
    <dataValidation type="decimal" operator="greaterThan" allowBlank="1" showInputMessage="1" showErrorMessage="1" sqref="E9041">
      <formula1>0</formula1>
    </dataValidation>
    <dataValidation type="whole" operator="greaterThan" allowBlank="1" showInputMessage="1" showErrorMessage="1" sqref="A9042">
      <formula1>0</formula1>
    </dataValidation>
    <dataValidation type="list" allowBlank="1" showInputMessage="1" showErrorMessage="1" sqref="C9042">
      <formula1>UnidadesList</formula1>
    </dataValidation>
    <dataValidation type="decimal" operator="greaterThan" allowBlank="1" showInputMessage="1" showErrorMessage="1" sqref="D9042">
      <formula1>0</formula1>
    </dataValidation>
    <dataValidation type="decimal" operator="greaterThan" allowBlank="1" showInputMessage="1" showErrorMessage="1" sqref="E9042">
      <formula1>0</formula1>
    </dataValidation>
    <dataValidation type="whole" operator="greaterThan" allowBlank="1" showInputMessage="1" showErrorMessage="1" sqref="A9043">
      <formula1>0</formula1>
    </dataValidation>
    <dataValidation type="list" allowBlank="1" showInputMessage="1" showErrorMessage="1" sqref="C9043">
      <formula1>UnidadesList</formula1>
    </dataValidation>
    <dataValidation type="decimal" operator="greaterThan" allowBlank="1" showInputMessage="1" showErrorMessage="1" sqref="D9043">
      <formula1>0</formula1>
    </dataValidation>
    <dataValidation type="decimal" operator="greaterThan" allowBlank="1" showInputMessage="1" showErrorMessage="1" sqref="E9043">
      <formula1>0</formula1>
    </dataValidation>
    <dataValidation type="whole" operator="greaterThan" allowBlank="1" showInputMessage="1" showErrorMessage="1" sqref="A9044">
      <formula1>0</formula1>
    </dataValidation>
    <dataValidation type="list" allowBlank="1" showInputMessage="1" showErrorMessage="1" sqref="C9044">
      <formula1>UnidadesList</formula1>
    </dataValidation>
    <dataValidation type="decimal" operator="greaterThan" allowBlank="1" showInputMessage="1" showErrorMessage="1" sqref="D9044">
      <formula1>0</formula1>
    </dataValidation>
    <dataValidation type="decimal" operator="greaterThan" allowBlank="1" showInputMessage="1" showErrorMessage="1" sqref="E9044">
      <formula1>0</formula1>
    </dataValidation>
    <dataValidation type="whole" operator="greaterThan" allowBlank="1" showInputMessage="1" showErrorMessage="1" sqref="A9045">
      <formula1>0</formula1>
    </dataValidation>
    <dataValidation type="list" allowBlank="1" showInputMessage="1" showErrorMessage="1" sqref="C9045">
      <formula1>UnidadesList</formula1>
    </dataValidation>
    <dataValidation type="decimal" operator="greaterThan" allowBlank="1" showInputMessage="1" showErrorMessage="1" sqref="D9045">
      <formula1>0</formula1>
    </dataValidation>
    <dataValidation type="decimal" operator="greaterThan" allowBlank="1" showInputMessage="1" showErrorMessage="1" sqref="E9045">
      <formula1>0</formula1>
    </dataValidation>
    <dataValidation type="whole" operator="greaterThan" allowBlank="1" showInputMessage="1" showErrorMessage="1" sqref="A9046">
      <formula1>0</formula1>
    </dataValidation>
    <dataValidation type="list" allowBlank="1" showInputMessage="1" showErrorMessage="1" sqref="C9046">
      <formula1>UnidadesList</formula1>
    </dataValidation>
    <dataValidation type="decimal" operator="greaterThan" allowBlank="1" showInputMessage="1" showErrorMessage="1" sqref="D9046">
      <formula1>0</formula1>
    </dataValidation>
    <dataValidation type="decimal" operator="greaterThan" allowBlank="1" showInputMessage="1" showErrorMessage="1" sqref="E9046">
      <formula1>0</formula1>
    </dataValidation>
    <dataValidation type="whole" operator="greaterThan" allowBlank="1" showInputMessage="1" showErrorMessage="1" sqref="A9047">
      <formula1>0</formula1>
    </dataValidation>
    <dataValidation type="list" allowBlank="1" showInputMessage="1" showErrorMessage="1" sqref="C9047">
      <formula1>UnidadesList</formula1>
    </dataValidation>
    <dataValidation type="decimal" operator="greaterThan" allowBlank="1" showInputMessage="1" showErrorMessage="1" sqref="D9047">
      <formula1>0</formula1>
    </dataValidation>
    <dataValidation type="decimal" operator="greaterThan" allowBlank="1" showInputMessage="1" showErrorMessage="1" sqref="E9047">
      <formula1>0</formula1>
    </dataValidation>
    <dataValidation type="whole" operator="greaterThan" allowBlank="1" showInputMessage="1" showErrorMessage="1" sqref="A9048">
      <formula1>0</formula1>
    </dataValidation>
    <dataValidation type="list" allowBlank="1" showInputMessage="1" showErrorMessage="1" sqref="C9048">
      <formula1>UnidadesList</formula1>
    </dataValidation>
    <dataValidation type="decimal" operator="greaterThan" allowBlank="1" showInputMessage="1" showErrorMessage="1" sqref="D9048">
      <formula1>0</formula1>
    </dataValidation>
    <dataValidation type="decimal" operator="greaterThan" allowBlank="1" showInputMessage="1" showErrorMessage="1" sqref="E9048">
      <formula1>0</formula1>
    </dataValidation>
    <dataValidation type="whole" operator="greaterThan" allowBlank="1" showInputMessage="1" showErrorMessage="1" sqref="A9049">
      <formula1>0</formula1>
    </dataValidation>
    <dataValidation type="list" allowBlank="1" showInputMessage="1" showErrorMessage="1" sqref="C9049">
      <formula1>UnidadesList</formula1>
    </dataValidation>
    <dataValidation type="decimal" operator="greaterThan" allowBlank="1" showInputMessage="1" showErrorMessage="1" sqref="D9049">
      <formula1>0</formula1>
    </dataValidation>
    <dataValidation type="decimal" operator="greaterThan" allowBlank="1" showInputMessage="1" showErrorMessage="1" sqref="E9049">
      <formula1>0</formula1>
    </dataValidation>
    <dataValidation type="whole" operator="greaterThan" allowBlank="1" showInputMessage="1" showErrorMessage="1" sqref="A9050">
      <formula1>0</formula1>
    </dataValidation>
    <dataValidation type="list" allowBlank="1" showInputMessage="1" showErrorMessage="1" sqref="C9050">
      <formula1>UnidadesList</formula1>
    </dataValidation>
    <dataValidation type="decimal" operator="greaterThan" allowBlank="1" showInputMessage="1" showErrorMessage="1" sqref="D9050">
      <formula1>0</formula1>
    </dataValidation>
    <dataValidation type="decimal" operator="greaterThan" allowBlank="1" showInputMessage="1" showErrorMessage="1" sqref="E9050">
      <formula1>0</formula1>
    </dataValidation>
    <dataValidation type="whole" operator="greaterThan" allowBlank="1" showInputMessage="1" showErrorMessage="1" sqref="A9051">
      <formula1>0</formula1>
    </dataValidation>
    <dataValidation type="list" allowBlank="1" showInputMessage="1" showErrorMessage="1" sqref="C9051">
      <formula1>UnidadesList</formula1>
    </dataValidation>
    <dataValidation type="decimal" operator="greaterThan" allowBlank="1" showInputMessage="1" showErrorMessage="1" sqref="D9051">
      <formula1>0</formula1>
    </dataValidation>
    <dataValidation type="decimal" operator="greaterThan" allowBlank="1" showInputMessage="1" showErrorMessage="1" sqref="E9051">
      <formula1>0</formula1>
    </dataValidation>
    <dataValidation type="whole" operator="greaterThan" allowBlank="1" showInputMessage="1" showErrorMessage="1" sqref="A9052">
      <formula1>0</formula1>
    </dataValidation>
    <dataValidation type="list" allowBlank="1" showInputMessage="1" showErrorMessage="1" sqref="C9052">
      <formula1>UnidadesList</formula1>
    </dataValidation>
    <dataValidation type="decimal" operator="greaterThan" allowBlank="1" showInputMessage="1" showErrorMessage="1" sqref="D9052">
      <formula1>0</formula1>
    </dataValidation>
    <dataValidation type="decimal" operator="greaterThan" allowBlank="1" showInputMessage="1" showErrorMessage="1" sqref="E9052">
      <formula1>0</formula1>
    </dataValidation>
    <dataValidation type="whole" operator="greaterThan" allowBlank="1" showInputMessage="1" showErrorMessage="1" sqref="A9053">
      <formula1>0</formula1>
    </dataValidation>
    <dataValidation type="list" allowBlank="1" showInputMessage="1" showErrorMessage="1" sqref="C9053">
      <formula1>UnidadesList</formula1>
    </dataValidation>
    <dataValidation type="decimal" operator="greaterThan" allowBlank="1" showInputMessage="1" showErrorMessage="1" sqref="D9053">
      <formula1>0</formula1>
    </dataValidation>
    <dataValidation type="decimal" operator="greaterThan" allowBlank="1" showInputMessage="1" showErrorMessage="1" sqref="E9053">
      <formula1>0</formula1>
    </dataValidation>
    <dataValidation type="whole" operator="greaterThan" allowBlank="1" showInputMessage="1" showErrorMessage="1" sqref="A9054">
      <formula1>0</formula1>
    </dataValidation>
    <dataValidation type="list" allowBlank="1" showInputMessage="1" showErrorMessage="1" sqref="C9054">
      <formula1>UnidadesList</formula1>
    </dataValidation>
    <dataValidation type="decimal" operator="greaterThan" allowBlank="1" showInputMessage="1" showErrorMessage="1" sqref="D9054">
      <formula1>0</formula1>
    </dataValidation>
    <dataValidation type="decimal" operator="greaterThan" allowBlank="1" showInputMessage="1" showErrorMessage="1" sqref="E9054">
      <formula1>0</formula1>
    </dataValidation>
    <dataValidation type="whole" operator="greaterThan" allowBlank="1" showInputMessage="1" showErrorMessage="1" sqref="A9055">
      <formula1>0</formula1>
    </dataValidation>
    <dataValidation type="list" allowBlank="1" showInputMessage="1" showErrorMessage="1" sqref="C9055">
      <formula1>UnidadesList</formula1>
    </dataValidation>
    <dataValidation type="decimal" operator="greaterThan" allowBlank="1" showInputMessage="1" showErrorMessage="1" sqref="D9055">
      <formula1>0</formula1>
    </dataValidation>
    <dataValidation type="decimal" operator="greaterThan" allowBlank="1" showInputMessage="1" showErrorMessage="1" sqref="E9055">
      <formula1>0</formula1>
    </dataValidation>
    <dataValidation type="whole" operator="greaterThan" allowBlank="1" showInputMessage="1" showErrorMessage="1" sqref="A9056">
      <formula1>0</formula1>
    </dataValidation>
    <dataValidation type="list" allowBlank="1" showInputMessage="1" showErrorMessage="1" sqref="C9056">
      <formula1>UnidadesList</formula1>
    </dataValidation>
    <dataValidation type="decimal" operator="greaterThan" allowBlank="1" showInputMessage="1" showErrorMessage="1" sqref="D9056">
      <formula1>0</formula1>
    </dataValidation>
    <dataValidation type="decimal" operator="greaterThan" allowBlank="1" showInputMessage="1" showErrorMessage="1" sqref="E9056">
      <formula1>0</formula1>
    </dataValidation>
    <dataValidation type="whole" operator="greaterThan" allowBlank="1" showInputMessage="1" showErrorMessage="1" sqref="A9057">
      <formula1>0</formula1>
    </dataValidation>
    <dataValidation type="list" allowBlank="1" showInputMessage="1" showErrorMessage="1" sqref="C9057">
      <formula1>UnidadesList</formula1>
    </dataValidation>
    <dataValidation type="decimal" operator="greaterThan" allowBlank="1" showInputMessage="1" showErrorMessage="1" sqref="D9057">
      <formula1>0</formula1>
    </dataValidation>
    <dataValidation type="decimal" operator="greaterThan" allowBlank="1" showInputMessage="1" showErrorMessage="1" sqref="E9057">
      <formula1>0</formula1>
    </dataValidation>
    <dataValidation type="whole" operator="greaterThan" allowBlank="1" showInputMessage="1" showErrorMessage="1" sqref="A9058">
      <formula1>0</formula1>
    </dataValidation>
    <dataValidation type="list" allowBlank="1" showInputMessage="1" showErrorMessage="1" sqref="C9058">
      <formula1>UnidadesList</formula1>
    </dataValidation>
    <dataValidation type="decimal" operator="greaterThan" allowBlank="1" showInputMessage="1" showErrorMessage="1" sqref="D9058">
      <formula1>0</formula1>
    </dataValidation>
    <dataValidation type="decimal" operator="greaterThan" allowBlank="1" showInputMessage="1" showErrorMessage="1" sqref="E9058">
      <formula1>0</formula1>
    </dataValidation>
    <dataValidation type="whole" operator="greaterThan" allowBlank="1" showInputMessage="1" showErrorMessage="1" sqref="A9059">
      <formula1>0</formula1>
    </dataValidation>
    <dataValidation type="list" allowBlank="1" showInputMessage="1" showErrorMessage="1" sqref="C9059">
      <formula1>UnidadesList</formula1>
    </dataValidation>
    <dataValidation type="decimal" operator="greaterThan" allowBlank="1" showInputMessage="1" showErrorMessage="1" sqref="D9059">
      <formula1>0</formula1>
    </dataValidation>
    <dataValidation type="decimal" operator="greaterThan" allowBlank="1" showInputMessage="1" showErrorMessage="1" sqref="E9059">
      <formula1>0</formula1>
    </dataValidation>
    <dataValidation type="whole" operator="greaterThan" allowBlank="1" showInputMessage="1" showErrorMessage="1" sqref="A9060">
      <formula1>0</formula1>
    </dataValidation>
    <dataValidation type="list" allowBlank="1" showInputMessage="1" showErrorMessage="1" sqref="C9060">
      <formula1>UnidadesList</formula1>
    </dataValidation>
    <dataValidation type="decimal" operator="greaterThan" allowBlank="1" showInputMessage="1" showErrorMessage="1" sqref="D9060">
      <formula1>0</formula1>
    </dataValidation>
    <dataValidation type="decimal" operator="greaterThan" allowBlank="1" showInputMessage="1" showErrorMessage="1" sqref="E9060">
      <formula1>0</formula1>
    </dataValidation>
    <dataValidation type="whole" operator="greaterThan" allowBlank="1" showInputMessage="1" showErrorMessage="1" sqref="A9061">
      <formula1>0</formula1>
    </dataValidation>
    <dataValidation type="list" allowBlank="1" showInputMessage="1" showErrorMessage="1" sqref="C9061">
      <formula1>UnidadesList</formula1>
    </dataValidation>
    <dataValidation type="decimal" operator="greaterThan" allowBlank="1" showInputMessage="1" showErrorMessage="1" sqref="D9061">
      <formula1>0</formula1>
    </dataValidation>
    <dataValidation type="decimal" operator="greaterThan" allowBlank="1" showInputMessage="1" showErrorMessage="1" sqref="E9061">
      <formula1>0</formula1>
    </dataValidation>
    <dataValidation type="whole" operator="greaterThan" allowBlank="1" showInputMessage="1" showErrorMessage="1" sqref="A9062">
      <formula1>0</formula1>
    </dataValidation>
    <dataValidation type="list" allowBlank="1" showInputMessage="1" showErrorMessage="1" sqref="C9062">
      <formula1>UnidadesList</formula1>
    </dataValidation>
    <dataValidation type="decimal" operator="greaterThan" allowBlank="1" showInputMessage="1" showErrorMessage="1" sqref="D9062">
      <formula1>0</formula1>
    </dataValidation>
    <dataValidation type="decimal" operator="greaterThan" allowBlank="1" showInputMessage="1" showErrorMessage="1" sqref="E9062">
      <formula1>0</formula1>
    </dataValidation>
    <dataValidation type="whole" operator="greaterThan" allowBlank="1" showInputMessage="1" showErrorMessage="1" sqref="A9063">
      <formula1>0</formula1>
    </dataValidation>
    <dataValidation type="list" allowBlank="1" showInputMessage="1" showErrorMessage="1" sqref="C9063">
      <formula1>UnidadesList</formula1>
    </dataValidation>
    <dataValidation type="decimal" operator="greaterThan" allowBlank="1" showInputMessage="1" showErrorMessage="1" sqref="D9063">
      <formula1>0</formula1>
    </dataValidation>
    <dataValidation type="decimal" operator="greaterThan" allowBlank="1" showInputMessage="1" showErrorMessage="1" sqref="E9063">
      <formula1>0</formula1>
    </dataValidation>
    <dataValidation type="whole" operator="greaterThan" allowBlank="1" showInputMessage="1" showErrorMessage="1" sqref="A9064">
      <formula1>0</formula1>
    </dataValidation>
    <dataValidation type="list" allowBlank="1" showInputMessage="1" showErrorMessage="1" sqref="C9064">
      <formula1>UnidadesList</formula1>
    </dataValidation>
    <dataValidation type="decimal" operator="greaterThan" allowBlank="1" showInputMessage="1" showErrorMessage="1" sqref="D9064">
      <formula1>0</formula1>
    </dataValidation>
    <dataValidation type="decimal" operator="greaterThan" allowBlank="1" showInputMessage="1" showErrorMessage="1" sqref="E9064">
      <formula1>0</formula1>
    </dataValidation>
    <dataValidation type="whole" operator="greaterThan" allowBlank="1" showInputMessage="1" showErrorMessage="1" sqref="A9065">
      <formula1>0</formula1>
    </dataValidation>
    <dataValidation type="list" allowBlank="1" showInputMessage="1" showErrorMessage="1" sqref="C9065">
      <formula1>UnidadesList</formula1>
    </dataValidation>
    <dataValidation type="decimal" operator="greaterThan" allowBlank="1" showInputMessage="1" showErrorMessage="1" sqref="D9065">
      <formula1>0</formula1>
    </dataValidation>
    <dataValidation type="decimal" operator="greaterThan" allowBlank="1" showInputMessage="1" showErrorMessage="1" sqref="E9065">
      <formula1>0</formula1>
    </dataValidation>
    <dataValidation type="whole" operator="greaterThan" allowBlank="1" showInputMessage="1" showErrorMessage="1" sqref="A9066">
      <formula1>0</formula1>
    </dataValidation>
    <dataValidation type="list" allowBlank="1" showInputMessage="1" showErrorMessage="1" sqref="C9066">
      <formula1>UnidadesList</formula1>
    </dataValidation>
    <dataValidation type="decimal" operator="greaterThan" allowBlank="1" showInputMessage="1" showErrorMessage="1" sqref="D9066">
      <formula1>0</formula1>
    </dataValidation>
    <dataValidation type="decimal" operator="greaterThan" allowBlank="1" showInputMessage="1" showErrorMessage="1" sqref="E9066">
      <formula1>0</formula1>
    </dataValidation>
    <dataValidation type="whole" operator="greaterThan" allowBlank="1" showInputMessage="1" showErrorMessage="1" sqref="A9067">
      <formula1>0</formula1>
    </dataValidation>
    <dataValidation type="list" allowBlank="1" showInputMessage="1" showErrorMessage="1" sqref="C9067">
      <formula1>UnidadesList</formula1>
    </dataValidation>
    <dataValidation type="decimal" operator="greaterThan" allowBlank="1" showInputMessage="1" showErrorMessage="1" sqref="D9067">
      <formula1>0</formula1>
    </dataValidation>
    <dataValidation type="decimal" operator="greaterThan" allowBlank="1" showInputMessage="1" showErrorMessage="1" sqref="E9067">
      <formula1>0</formula1>
    </dataValidation>
    <dataValidation type="whole" operator="greaterThan" allowBlank="1" showInputMessage="1" showErrorMessage="1" sqref="A9068">
      <formula1>0</formula1>
    </dataValidation>
    <dataValidation type="list" allowBlank="1" showInputMessage="1" showErrorMessage="1" sqref="C9068">
      <formula1>UnidadesList</formula1>
    </dataValidation>
    <dataValidation type="decimal" operator="greaterThan" allowBlank="1" showInputMessage="1" showErrorMessage="1" sqref="D9068">
      <formula1>0</formula1>
    </dataValidation>
    <dataValidation type="decimal" operator="greaterThan" allowBlank="1" showInputMessage="1" showErrorMessage="1" sqref="E9068">
      <formula1>0</formula1>
    </dataValidation>
    <dataValidation type="whole" operator="greaterThan" allowBlank="1" showInputMessage="1" showErrorMessage="1" sqref="A9069">
      <formula1>0</formula1>
    </dataValidation>
    <dataValidation type="list" allowBlank="1" showInputMessage="1" showErrorMessage="1" sqref="C9069">
      <formula1>UnidadesList</formula1>
    </dataValidation>
    <dataValidation type="decimal" operator="greaterThan" allowBlank="1" showInputMessage="1" showErrorMessage="1" sqref="D9069">
      <formula1>0</formula1>
    </dataValidation>
    <dataValidation type="decimal" operator="greaterThan" allowBlank="1" showInputMessage="1" showErrorMessage="1" sqref="E9069">
      <formula1>0</formula1>
    </dataValidation>
    <dataValidation type="whole" operator="greaterThan" allowBlank="1" showInputMessage="1" showErrorMessage="1" sqref="A9070">
      <formula1>0</formula1>
    </dataValidation>
    <dataValidation type="list" allowBlank="1" showInputMessage="1" showErrorMessage="1" sqref="C9070">
      <formula1>UnidadesList</formula1>
    </dataValidation>
    <dataValidation type="decimal" operator="greaterThan" allowBlank="1" showInputMessage="1" showErrorMessage="1" sqref="D9070">
      <formula1>0</formula1>
    </dataValidation>
    <dataValidation type="decimal" operator="greaterThan" allowBlank="1" showInputMessage="1" showErrorMessage="1" sqref="E9070">
      <formula1>0</formula1>
    </dataValidation>
    <dataValidation type="whole" operator="greaterThan" allowBlank="1" showInputMessage="1" showErrorMessage="1" sqref="A9071">
      <formula1>0</formula1>
    </dataValidation>
    <dataValidation type="list" allowBlank="1" showInputMessage="1" showErrorMessage="1" sqref="C9071">
      <formula1>UnidadesList</formula1>
    </dataValidation>
    <dataValidation type="decimal" operator="greaterThan" allowBlank="1" showInputMessage="1" showErrorMessage="1" sqref="D9071">
      <formula1>0</formula1>
    </dataValidation>
    <dataValidation type="decimal" operator="greaterThan" allowBlank="1" showInputMessage="1" showErrorMessage="1" sqref="E9071">
      <formula1>0</formula1>
    </dataValidation>
    <dataValidation type="whole" operator="greaterThan" allowBlank="1" showInputMessage="1" showErrorMessage="1" sqref="A9072">
      <formula1>0</formula1>
    </dataValidation>
    <dataValidation type="list" allowBlank="1" showInputMessage="1" showErrorMessage="1" sqref="C9072">
      <formula1>UnidadesList</formula1>
    </dataValidation>
    <dataValidation type="decimal" operator="greaterThan" allowBlank="1" showInputMessage="1" showErrorMessage="1" sqref="D9072">
      <formula1>0</formula1>
    </dataValidation>
    <dataValidation type="decimal" operator="greaterThan" allowBlank="1" showInputMessage="1" showErrorMessage="1" sqref="E9072">
      <formula1>0</formula1>
    </dataValidation>
    <dataValidation type="whole" operator="greaterThan" allowBlank="1" showInputMessage="1" showErrorMessage="1" sqref="A9073">
      <formula1>0</formula1>
    </dataValidation>
    <dataValidation type="list" allowBlank="1" showInputMessage="1" showErrorMessage="1" sqref="C9073">
      <formula1>UnidadesList</formula1>
    </dataValidation>
    <dataValidation type="decimal" operator="greaterThan" allowBlank="1" showInputMessage="1" showErrorMessage="1" sqref="D9073">
      <formula1>0</formula1>
    </dataValidation>
    <dataValidation type="decimal" operator="greaterThan" allowBlank="1" showInputMessage="1" showErrorMessage="1" sqref="E9073">
      <formula1>0</formula1>
    </dataValidation>
    <dataValidation type="whole" operator="greaterThan" allowBlank="1" showInputMessage="1" showErrorMessage="1" sqref="A9074">
      <formula1>0</formula1>
    </dataValidation>
    <dataValidation type="list" allowBlank="1" showInputMessage="1" showErrorMessage="1" sqref="C9074">
      <formula1>UnidadesList</formula1>
    </dataValidation>
    <dataValidation type="decimal" operator="greaterThan" allowBlank="1" showInputMessage="1" showErrorMessage="1" sqref="D9074">
      <formula1>0</formula1>
    </dataValidation>
    <dataValidation type="decimal" operator="greaterThan" allowBlank="1" showInputMessage="1" showErrorMessage="1" sqref="E9074">
      <formula1>0</formula1>
    </dataValidation>
    <dataValidation type="whole" operator="greaterThan" allowBlank="1" showInputMessage="1" showErrorMessage="1" sqref="A9075">
      <formula1>0</formula1>
    </dataValidation>
    <dataValidation type="list" allowBlank="1" showInputMessage="1" showErrorMessage="1" sqref="C9075">
      <formula1>UnidadesList</formula1>
    </dataValidation>
    <dataValidation type="decimal" operator="greaterThan" allowBlank="1" showInputMessage="1" showErrorMessage="1" sqref="D9075">
      <formula1>0</formula1>
    </dataValidation>
    <dataValidation type="decimal" operator="greaterThan" allowBlank="1" showInputMessage="1" showErrorMessage="1" sqref="E9075">
      <formula1>0</formula1>
    </dataValidation>
    <dataValidation type="whole" operator="greaterThan" allowBlank="1" showInputMessage="1" showErrorMessage="1" sqref="A9076">
      <formula1>0</formula1>
    </dataValidation>
    <dataValidation type="list" allowBlank="1" showInputMessage="1" showErrorMessage="1" sqref="C9076">
      <formula1>UnidadesList</formula1>
    </dataValidation>
    <dataValidation type="decimal" operator="greaterThan" allowBlank="1" showInputMessage="1" showErrorMessage="1" sqref="D9076">
      <formula1>0</formula1>
    </dataValidation>
    <dataValidation type="decimal" operator="greaterThan" allowBlank="1" showInputMessage="1" showErrorMessage="1" sqref="E9076">
      <formula1>0</formula1>
    </dataValidation>
    <dataValidation type="whole" operator="greaterThan" allowBlank="1" showInputMessage="1" showErrorMessage="1" sqref="A9077">
      <formula1>0</formula1>
    </dataValidation>
    <dataValidation type="list" allowBlank="1" showInputMessage="1" showErrorMessage="1" sqref="C9077">
      <formula1>UnidadesList</formula1>
    </dataValidation>
    <dataValidation type="decimal" operator="greaterThan" allowBlank="1" showInputMessage="1" showErrorMessage="1" sqref="D9077">
      <formula1>0</formula1>
    </dataValidation>
    <dataValidation type="decimal" operator="greaterThan" allowBlank="1" showInputMessage="1" showErrorMessage="1" sqref="E9077">
      <formula1>0</formula1>
    </dataValidation>
    <dataValidation type="whole" operator="greaterThan" allowBlank="1" showInputMessage="1" showErrorMessage="1" sqref="A9078">
      <formula1>0</formula1>
    </dataValidation>
    <dataValidation type="list" allowBlank="1" showInputMessage="1" showErrorMessage="1" sqref="C9078">
      <formula1>UnidadesList</formula1>
    </dataValidation>
    <dataValidation type="decimal" operator="greaterThan" allowBlank="1" showInputMessage="1" showErrorMessage="1" sqref="D9078">
      <formula1>0</formula1>
    </dataValidation>
    <dataValidation type="decimal" operator="greaterThan" allowBlank="1" showInputMessage="1" showErrorMessage="1" sqref="E9078">
      <formula1>0</formula1>
    </dataValidation>
    <dataValidation type="whole" operator="greaterThan" allowBlank="1" showInputMessage="1" showErrorMessage="1" sqref="A9079">
      <formula1>0</formula1>
    </dataValidation>
    <dataValidation type="list" allowBlank="1" showInputMessage="1" showErrorMessage="1" sqref="C9079">
      <formula1>UnidadesList</formula1>
    </dataValidation>
    <dataValidation type="decimal" operator="greaterThan" allowBlank="1" showInputMessage="1" showErrorMessage="1" sqref="D9079">
      <formula1>0</formula1>
    </dataValidation>
    <dataValidation type="decimal" operator="greaterThan" allowBlank="1" showInputMessage="1" showErrorMessage="1" sqref="E9079">
      <formula1>0</formula1>
    </dataValidation>
    <dataValidation type="whole" operator="greaterThan" allowBlank="1" showInputMessage="1" showErrorMessage="1" sqref="A9080">
      <formula1>0</formula1>
    </dataValidation>
    <dataValidation type="list" allowBlank="1" showInputMessage="1" showErrorMessage="1" sqref="C9080">
      <formula1>UnidadesList</formula1>
    </dataValidation>
    <dataValidation type="decimal" operator="greaterThan" allowBlank="1" showInputMessage="1" showErrorMessage="1" sqref="D9080">
      <formula1>0</formula1>
    </dataValidation>
    <dataValidation type="decimal" operator="greaterThan" allowBlank="1" showInputMessage="1" showErrorMessage="1" sqref="E9080">
      <formula1>0</formula1>
    </dataValidation>
    <dataValidation type="whole" operator="greaterThan" allowBlank="1" showInputMessage="1" showErrorMessage="1" sqref="A9081">
      <formula1>0</formula1>
    </dataValidation>
    <dataValidation type="list" allowBlank="1" showInputMessage="1" showErrorMessage="1" sqref="C9081">
      <formula1>UnidadesList</formula1>
    </dataValidation>
    <dataValidation type="decimal" operator="greaterThan" allowBlank="1" showInputMessage="1" showErrorMessage="1" sqref="D9081">
      <formula1>0</formula1>
    </dataValidation>
    <dataValidation type="decimal" operator="greaterThan" allowBlank="1" showInputMessage="1" showErrorMessage="1" sqref="E9081">
      <formula1>0</formula1>
    </dataValidation>
    <dataValidation type="whole" operator="greaterThan" allowBlank="1" showInputMessage="1" showErrorMessage="1" sqref="A9082">
      <formula1>0</formula1>
    </dataValidation>
    <dataValidation type="list" allowBlank="1" showInputMessage="1" showErrorMessage="1" sqref="C9082">
      <formula1>UnidadesList</formula1>
    </dataValidation>
    <dataValidation type="decimal" operator="greaterThan" allowBlank="1" showInputMessage="1" showErrorMessage="1" sqref="D9082">
      <formula1>0</formula1>
    </dataValidation>
    <dataValidation type="decimal" operator="greaterThan" allowBlank="1" showInputMessage="1" showErrorMessage="1" sqref="E9082">
      <formula1>0</formula1>
    </dataValidation>
    <dataValidation type="whole" operator="greaterThan" allowBlank="1" showInputMessage="1" showErrorMessage="1" sqref="A9083">
      <formula1>0</formula1>
    </dataValidation>
    <dataValidation type="list" allowBlank="1" showInputMessage="1" showErrorMessage="1" sqref="C9083">
      <formula1>UnidadesList</formula1>
    </dataValidation>
    <dataValidation type="decimal" operator="greaterThan" allowBlank="1" showInputMessage="1" showErrorMessage="1" sqref="D9083">
      <formula1>0</formula1>
    </dataValidation>
    <dataValidation type="decimal" operator="greaterThan" allowBlank="1" showInputMessage="1" showErrorMessage="1" sqref="E9083">
      <formula1>0</formula1>
    </dataValidation>
    <dataValidation type="whole" operator="greaterThan" allowBlank="1" showInputMessage="1" showErrorMessage="1" sqref="A9084">
      <formula1>0</formula1>
    </dataValidation>
    <dataValidation type="list" allowBlank="1" showInputMessage="1" showErrorMessage="1" sqref="C9084">
      <formula1>UnidadesList</formula1>
    </dataValidation>
    <dataValidation type="decimal" operator="greaterThan" allowBlank="1" showInputMessage="1" showErrorMessage="1" sqref="D9084">
      <formula1>0</formula1>
    </dataValidation>
    <dataValidation type="decimal" operator="greaterThan" allowBlank="1" showInputMessage="1" showErrorMessage="1" sqref="E9084">
      <formula1>0</formula1>
    </dataValidation>
    <dataValidation type="whole" operator="greaterThan" allowBlank="1" showInputMessage="1" showErrorMessage="1" sqref="A9085">
      <formula1>0</formula1>
    </dataValidation>
    <dataValidation type="list" allowBlank="1" showInputMessage="1" showErrorMessage="1" sqref="C9085">
      <formula1>UnidadesList</formula1>
    </dataValidation>
    <dataValidation type="decimal" operator="greaterThan" allowBlank="1" showInputMessage="1" showErrorMessage="1" sqref="D9085">
      <formula1>0</formula1>
    </dataValidation>
    <dataValidation type="decimal" operator="greaterThan" allowBlank="1" showInputMessage="1" showErrorMessage="1" sqref="E9085">
      <formula1>0</formula1>
    </dataValidation>
    <dataValidation type="whole" operator="greaterThan" allowBlank="1" showInputMessage="1" showErrorMessage="1" sqref="A9086">
      <formula1>0</formula1>
    </dataValidation>
    <dataValidation type="list" allowBlank="1" showInputMessage="1" showErrorMessage="1" sqref="C9086">
      <formula1>UnidadesList</formula1>
    </dataValidation>
    <dataValidation type="decimal" operator="greaterThan" allowBlank="1" showInputMessage="1" showErrorMessage="1" sqref="D9086">
      <formula1>0</formula1>
    </dataValidation>
    <dataValidation type="decimal" operator="greaterThan" allowBlank="1" showInputMessage="1" showErrorMessage="1" sqref="E9086">
      <formula1>0</formula1>
    </dataValidation>
    <dataValidation type="whole" operator="greaterThan" allowBlank="1" showInputMessage="1" showErrorMessage="1" sqref="A9087">
      <formula1>0</formula1>
    </dataValidation>
    <dataValidation type="list" allowBlank="1" showInputMessage="1" showErrorMessage="1" sqref="C9087">
      <formula1>UnidadesList</formula1>
    </dataValidation>
    <dataValidation type="decimal" operator="greaterThan" allowBlank="1" showInputMessage="1" showErrorMessage="1" sqref="D9087">
      <formula1>0</formula1>
    </dataValidation>
    <dataValidation type="decimal" operator="greaterThan" allowBlank="1" showInputMessage="1" showErrorMessage="1" sqref="E9087">
      <formula1>0</formula1>
    </dataValidation>
    <dataValidation type="whole" operator="greaterThan" allowBlank="1" showInputMessage="1" showErrorMessage="1" sqref="A9088">
      <formula1>0</formula1>
    </dataValidation>
    <dataValidation type="list" allowBlank="1" showInputMessage="1" showErrorMessage="1" sqref="C9088">
      <formula1>UnidadesList</formula1>
    </dataValidation>
    <dataValidation type="decimal" operator="greaterThan" allowBlank="1" showInputMessage="1" showErrorMessage="1" sqref="D9088">
      <formula1>0</formula1>
    </dataValidation>
    <dataValidation type="decimal" operator="greaterThan" allowBlank="1" showInputMessage="1" showErrorMessage="1" sqref="E9088">
      <formula1>0</formula1>
    </dataValidation>
    <dataValidation type="whole" operator="greaterThan" allowBlank="1" showInputMessage="1" showErrorMessage="1" sqref="A9089">
      <formula1>0</formula1>
    </dataValidation>
    <dataValidation type="list" allowBlank="1" showInputMessage="1" showErrorMessage="1" sqref="C9089">
      <formula1>UnidadesList</formula1>
    </dataValidation>
    <dataValidation type="decimal" operator="greaterThan" allowBlank="1" showInputMessage="1" showErrorMessage="1" sqref="D9089">
      <formula1>0</formula1>
    </dataValidation>
    <dataValidation type="decimal" operator="greaterThan" allowBlank="1" showInputMessage="1" showErrorMessage="1" sqref="E9089">
      <formula1>0</formula1>
    </dataValidation>
    <dataValidation type="whole" operator="greaterThan" allowBlank="1" showInputMessage="1" showErrorMessage="1" sqref="A9090">
      <formula1>0</formula1>
    </dataValidation>
    <dataValidation type="list" allowBlank="1" showInputMessage="1" showErrorMessage="1" sqref="C9090">
      <formula1>UnidadesList</formula1>
    </dataValidation>
    <dataValidation type="decimal" operator="greaterThan" allowBlank="1" showInputMessage="1" showErrorMessage="1" sqref="D9090">
      <formula1>0</formula1>
    </dataValidation>
    <dataValidation type="decimal" operator="greaterThan" allowBlank="1" showInputMessage="1" showErrorMessage="1" sqref="E9090">
      <formula1>0</formula1>
    </dataValidation>
    <dataValidation type="whole" operator="greaterThan" allowBlank="1" showInputMessage="1" showErrorMessage="1" sqref="A9091">
      <formula1>0</formula1>
    </dataValidation>
    <dataValidation type="list" allowBlank="1" showInputMessage="1" showErrorMessage="1" sqref="C9091">
      <formula1>UnidadesList</formula1>
    </dataValidation>
    <dataValidation type="decimal" operator="greaterThan" allowBlank="1" showInputMessage="1" showErrorMessage="1" sqref="D9091">
      <formula1>0</formula1>
    </dataValidation>
    <dataValidation type="decimal" operator="greaterThan" allowBlank="1" showInputMessage="1" showErrorMessage="1" sqref="E9091">
      <formula1>0</formula1>
    </dataValidation>
    <dataValidation type="date" operator="lessThanOrEqual" allowBlank="1" showInputMessage="1" showErrorMessage="1" sqref="C9096">
      <formula1>C9098</formula1>
    </dataValidation>
    <dataValidation type="date" operator="greaterThanOrEqual" allowBlank="1" showInputMessage="1" showErrorMessage="1" sqref="C9098">
      <formula1>C9096</formula1>
    </dataValidation>
    <dataValidation type="list" allowBlank="1" showInputMessage="1" showErrorMessage="1" sqref="F909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09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09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09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102">
      <formula1>0</formula1>
    </dataValidation>
    <dataValidation type="list" allowBlank="1" showInputMessage="1" showErrorMessage="1" sqref="C9102">
      <formula1>UnidadesList</formula1>
    </dataValidation>
    <dataValidation type="decimal" operator="greaterThan" allowBlank="1" showInputMessage="1" showErrorMessage="1" sqref="D9102">
      <formula1>0</formula1>
    </dataValidation>
    <dataValidation type="decimal" operator="greaterThan" allowBlank="1" showInputMessage="1" showErrorMessage="1" sqref="E9102">
      <formula1>0</formula1>
    </dataValidation>
    <dataValidation type="whole" operator="greaterThan" allowBlank="1" showInputMessage="1" showErrorMessage="1" sqref="A9103">
      <formula1>0</formula1>
    </dataValidation>
    <dataValidation type="list" allowBlank="1" showInputMessage="1" showErrorMessage="1" sqref="C9103">
      <formula1>UnidadesList</formula1>
    </dataValidation>
    <dataValidation type="decimal" operator="greaterThan" allowBlank="1" showInputMessage="1" showErrorMessage="1" sqref="D9103">
      <formula1>0</formula1>
    </dataValidation>
    <dataValidation type="decimal" operator="greaterThan" allowBlank="1" showInputMessage="1" showErrorMessage="1" sqref="E9103">
      <formula1>0</formula1>
    </dataValidation>
    <dataValidation type="whole" operator="greaterThan" allowBlank="1" showInputMessage="1" showErrorMessage="1" sqref="A9104">
      <formula1>0</formula1>
    </dataValidation>
    <dataValidation type="list" allowBlank="1" showInputMessage="1" showErrorMessage="1" sqref="C9104">
      <formula1>UnidadesList</formula1>
    </dataValidation>
    <dataValidation type="decimal" operator="greaterThan" allowBlank="1" showInputMessage="1" showErrorMessage="1" sqref="D9104">
      <formula1>0</formula1>
    </dataValidation>
    <dataValidation type="decimal" operator="greaterThan" allowBlank="1" showInputMessage="1" showErrorMessage="1" sqref="E9104">
      <formula1>0</formula1>
    </dataValidation>
    <dataValidation type="whole" operator="greaterThan" allowBlank="1" showInputMessage="1" showErrorMessage="1" sqref="A9105">
      <formula1>0</formula1>
    </dataValidation>
    <dataValidation type="list" allowBlank="1" showInputMessage="1" showErrorMessage="1" sqref="C9105">
      <formula1>UnidadesList</formula1>
    </dataValidation>
    <dataValidation type="decimal" operator="greaterThan" allowBlank="1" showInputMessage="1" showErrorMessage="1" sqref="D9105">
      <formula1>0</formula1>
    </dataValidation>
    <dataValidation type="decimal" operator="greaterThan" allowBlank="1" showInputMessage="1" showErrorMessage="1" sqref="E9105">
      <formula1>0</formula1>
    </dataValidation>
    <dataValidation type="whole" operator="greaterThan" allowBlank="1" showInputMessage="1" showErrorMessage="1" sqref="A9106">
      <formula1>0</formula1>
    </dataValidation>
    <dataValidation type="list" allowBlank="1" showInputMessage="1" showErrorMessage="1" sqref="C9106">
      <formula1>UnidadesList</formula1>
    </dataValidation>
    <dataValidation type="decimal" operator="greaterThan" allowBlank="1" showInputMessage="1" showErrorMessage="1" sqref="D9106">
      <formula1>0</formula1>
    </dataValidation>
    <dataValidation type="decimal" operator="greaterThan" allowBlank="1" showInputMessage="1" showErrorMessage="1" sqref="E9106">
      <formula1>0</formula1>
    </dataValidation>
    <dataValidation type="whole" operator="greaterThan" allowBlank="1" showInputMessage="1" showErrorMessage="1" sqref="A9107">
      <formula1>0</formula1>
    </dataValidation>
    <dataValidation type="list" allowBlank="1" showInputMessage="1" showErrorMessage="1" sqref="C9107">
      <formula1>UnidadesList</formula1>
    </dataValidation>
    <dataValidation type="decimal" operator="greaterThan" allowBlank="1" showInputMessage="1" showErrorMessage="1" sqref="D9107">
      <formula1>0</formula1>
    </dataValidation>
    <dataValidation type="decimal" operator="greaterThan" allowBlank="1" showInputMessage="1" showErrorMessage="1" sqref="E9107">
      <formula1>0</formula1>
    </dataValidation>
    <dataValidation type="whole" operator="greaterThan" allowBlank="1" showInputMessage="1" showErrorMessage="1" sqref="A9108">
      <formula1>0</formula1>
    </dataValidation>
    <dataValidation type="list" allowBlank="1" showInputMessage="1" showErrorMessage="1" sqref="C9108">
      <formula1>UnidadesList</formula1>
    </dataValidation>
    <dataValidation type="decimal" operator="greaterThan" allowBlank="1" showInputMessage="1" showErrorMessage="1" sqref="D9108">
      <formula1>0</formula1>
    </dataValidation>
    <dataValidation type="decimal" operator="greaterThan" allowBlank="1" showInputMessage="1" showErrorMessage="1" sqref="E9108">
      <formula1>0</formula1>
    </dataValidation>
    <dataValidation type="whole" operator="greaterThan" allowBlank="1" showInputMessage="1" showErrorMessage="1" sqref="A9109">
      <formula1>0</formula1>
    </dataValidation>
    <dataValidation type="list" allowBlank="1" showInputMessage="1" showErrorMessage="1" sqref="C9109">
      <formula1>UnidadesList</formula1>
    </dataValidation>
    <dataValidation type="decimal" operator="greaterThan" allowBlank="1" showInputMessage="1" showErrorMessage="1" sqref="D9109">
      <formula1>0</formula1>
    </dataValidation>
    <dataValidation type="decimal" operator="greaterThan" allowBlank="1" showInputMessage="1" showErrorMessage="1" sqref="E9109">
      <formula1>0</formula1>
    </dataValidation>
    <dataValidation type="whole" operator="greaterThan" allowBlank="1" showInputMessage="1" showErrorMessage="1" sqref="A9110">
      <formula1>0</formula1>
    </dataValidation>
    <dataValidation type="list" allowBlank="1" showInputMessage="1" showErrorMessage="1" sqref="C9110">
      <formula1>UnidadesList</formula1>
    </dataValidation>
    <dataValidation type="decimal" operator="greaterThan" allowBlank="1" showInputMessage="1" showErrorMessage="1" sqref="D9110">
      <formula1>0</formula1>
    </dataValidation>
    <dataValidation type="decimal" operator="greaterThan" allowBlank="1" showInputMessage="1" showErrorMessage="1" sqref="E9110">
      <formula1>0</formula1>
    </dataValidation>
    <dataValidation type="whole" operator="greaterThan" allowBlank="1" showInputMessage="1" showErrorMessage="1" sqref="A9111">
      <formula1>0</formula1>
    </dataValidation>
    <dataValidation type="list" allowBlank="1" showInputMessage="1" showErrorMessage="1" sqref="C9111">
      <formula1>UnidadesList</formula1>
    </dataValidation>
    <dataValidation type="decimal" operator="greaterThan" allowBlank="1" showInputMessage="1" showErrorMessage="1" sqref="D9111">
      <formula1>0</formula1>
    </dataValidation>
    <dataValidation type="decimal" operator="greaterThan" allowBlank="1" showInputMessage="1" showErrorMessage="1" sqref="E9111">
      <formula1>0</formula1>
    </dataValidation>
    <dataValidation type="whole" operator="greaterThan" allowBlank="1" showInputMessage="1" showErrorMessage="1" sqref="A9112">
      <formula1>0</formula1>
    </dataValidation>
    <dataValidation type="list" allowBlank="1" showInputMessage="1" showErrorMessage="1" sqref="C9112">
      <formula1>UnidadesList</formula1>
    </dataValidation>
    <dataValidation type="decimal" operator="greaterThan" allowBlank="1" showInputMessage="1" showErrorMessage="1" sqref="D9112">
      <formula1>0</formula1>
    </dataValidation>
    <dataValidation type="decimal" operator="greaterThan" allowBlank="1" showInputMessage="1" showErrorMessage="1" sqref="E9112">
      <formula1>0</formula1>
    </dataValidation>
    <dataValidation type="whole" operator="greaterThan" allowBlank="1" showInputMessage="1" showErrorMessage="1" sqref="A9113">
      <formula1>0</formula1>
    </dataValidation>
    <dataValidation type="list" allowBlank="1" showInputMessage="1" showErrorMessage="1" sqref="C9113">
      <formula1>UnidadesList</formula1>
    </dataValidation>
    <dataValidation type="decimal" operator="greaterThan" allowBlank="1" showInputMessage="1" showErrorMessage="1" sqref="D9113">
      <formula1>0</formula1>
    </dataValidation>
    <dataValidation type="decimal" operator="greaterThan" allowBlank="1" showInputMessage="1" showErrorMessage="1" sqref="E9113">
      <formula1>0</formula1>
    </dataValidation>
    <dataValidation type="whole" operator="greaterThan" allowBlank="1" showInputMessage="1" showErrorMessage="1" sqref="A9114">
      <formula1>0</formula1>
    </dataValidation>
    <dataValidation type="list" allowBlank="1" showInputMessage="1" showErrorMessage="1" sqref="C9114">
      <formula1>UnidadesList</formula1>
    </dataValidation>
    <dataValidation type="decimal" operator="greaterThan" allowBlank="1" showInputMessage="1" showErrorMessage="1" sqref="D9114">
      <formula1>0</formula1>
    </dataValidation>
    <dataValidation type="decimal" operator="greaterThan" allowBlank="1" showInputMessage="1" showErrorMessage="1" sqref="E9114">
      <formula1>0</formula1>
    </dataValidation>
    <dataValidation type="whole" operator="greaterThan" allowBlank="1" showInputMessage="1" showErrorMessage="1" sqref="A9115">
      <formula1>0</formula1>
    </dataValidation>
    <dataValidation type="list" allowBlank="1" showInputMessage="1" showErrorMessage="1" sqref="C9115">
      <formula1>UnidadesList</formula1>
    </dataValidation>
    <dataValidation type="decimal" operator="greaterThan" allowBlank="1" showInputMessage="1" showErrorMessage="1" sqref="D9115">
      <formula1>0</formula1>
    </dataValidation>
    <dataValidation type="decimal" operator="greaterThan" allowBlank="1" showInputMessage="1" showErrorMessage="1" sqref="E9115">
      <formula1>0</formula1>
    </dataValidation>
    <dataValidation type="whole" operator="greaterThan" allowBlank="1" showInputMessage="1" showErrorMessage="1" sqref="A9116">
      <formula1>0</formula1>
    </dataValidation>
    <dataValidation type="list" allowBlank="1" showInputMessage="1" showErrorMessage="1" sqref="C9116">
      <formula1>UnidadesList</formula1>
    </dataValidation>
    <dataValidation type="decimal" operator="greaterThan" allowBlank="1" showInputMessage="1" showErrorMessage="1" sqref="D9116">
      <formula1>0</formula1>
    </dataValidation>
    <dataValidation type="decimal" operator="greaterThan" allowBlank="1" showInputMessage="1" showErrorMessage="1" sqref="E9116">
      <formula1>0</formula1>
    </dataValidation>
    <dataValidation type="whole" operator="greaterThan" allowBlank="1" showInputMessage="1" showErrorMessage="1" sqref="A9117">
      <formula1>0</formula1>
    </dataValidation>
    <dataValidation type="list" allowBlank="1" showInputMessage="1" showErrorMessage="1" sqref="C9117">
      <formula1>UnidadesList</formula1>
    </dataValidation>
    <dataValidation type="decimal" operator="greaterThan" allowBlank="1" showInputMessage="1" showErrorMessage="1" sqref="D9117">
      <formula1>0</formula1>
    </dataValidation>
    <dataValidation type="decimal" operator="greaterThan" allowBlank="1" showInputMessage="1" showErrorMessage="1" sqref="E9117">
      <formula1>0</formula1>
    </dataValidation>
    <dataValidation type="whole" operator="greaterThan" allowBlank="1" showInputMessage="1" showErrorMessage="1" sqref="A9118">
      <formula1>0</formula1>
    </dataValidation>
    <dataValidation type="list" allowBlank="1" showInputMessage="1" showErrorMessage="1" sqref="C9118">
      <formula1>UnidadesList</formula1>
    </dataValidation>
    <dataValidation type="decimal" operator="greaterThan" allowBlank="1" showInputMessage="1" showErrorMessage="1" sqref="D9118">
      <formula1>0</formula1>
    </dataValidation>
    <dataValidation type="decimal" operator="greaterThan" allowBlank="1" showInputMessage="1" showErrorMessage="1" sqref="E9118">
      <formula1>0</formula1>
    </dataValidation>
    <dataValidation type="whole" operator="greaterThan" allowBlank="1" showInputMessage="1" showErrorMessage="1" sqref="A9119">
      <formula1>0</formula1>
    </dataValidation>
    <dataValidation type="list" allowBlank="1" showInputMessage="1" showErrorMessage="1" sqref="C9119">
      <formula1>UnidadesList</formula1>
    </dataValidation>
    <dataValidation type="decimal" operator="greaterThan" allowBlank="1" showInputMessage="1" showErrorMessage="1" sqref="D9119">
      <formula1>0</formula1>
    </dataValidation>
    <dataValidation type="decimal" operator="greaterThan" allowBlank="1" showInputMessage="1" showErrorMessage="1" sqref="E9119">
      <formula1>0</formula1>
    </dataValidation>
    <dataValidation type="whole" operator="greaterThan" allowBlank="1" showInputMessage="1" showErrorMessage="1" sqref="A9120">
      <formula1>0</formula1>
    </dataValidation>
    <dataValidation type="list" allowBlank="1" showInputMessage="1" showErrorMessage="1" sqref="C9120">
      <formula1>UnidadesList</formula1>
    </dataValidation>
    <dataValidation type="decimal" operator="greaterThan" allowBlank="1" showInputMessage="1" showErrorMessage="1" sqref="D9120">
      <formula1>0</formula1>
    </dataValidation>
    <dataValidation type="decimal" operator="greaterThan" allowBlank="1" showInputMessage="1" showErrorMessage="1" sqref="E9120">
      <formula1>0</formula1>
    </dataValidation>
    <dataValidation type="whole" operator="greaterThan" allowBlank="1" showInputMessage="1" showErrorMessage="1" sqref="A9121">
      <formula1>0</formula1>
    </dataValidation>
    <dataValidation type="list" allowBlank="1" showInputMessage="1" showErrorMessage="1" sqref="C9121">
      <formula1>UnidadesList</formula1>
    </dataValidation>
    <dataValidation type="decimal" operator="greaterThan" allowBlank="1" showInputMessage="1" showErrorMessage="1" sqref="D9121">
      <formula1>0</formula1>
    </dataValidation>
    <dataValidation type="decimal" operator="greaterThan" allowBlank="1" showInputMessage="1" showErrorMessage="1" sqref="E9121">
      <formula1>0</formula1>
    </dataValidation>
    <dataValidation type="whole" operator="greaterThan" allowBlank="1" showInputMessage="1" showErrorMessage="1" sqref="A9122">
      <formula1>0</formula1>
    </dataValidation>
    <dataValidation type="list" allowBlank="1" showInputMessage="1" showErrorMessage="1" sqref="C9122">
      <formula1>UnidadesList</formula1>
    </dataValidation>
    <dataValidation type="decimal" operator="greaterThan" allowBlank="1" showInputMessage="1" showErrorMessage="1" sqref="D9122">
      <formula1>0</formula1>
    </dataValidation>
    <dataValidation type="decimal" operator="greaterThan" allowBlank="1" showInputMessage="1" showErrorMessage="1" sqref="E9122">
      <formula1>0</formula1>
    </dataValidation>
    <dataValidation type="whole" operator="greaterThan" allowBlank="1" showInputMessage="1" showErrorMessage="1" sqref="A9123">
      <formula1>0</formula1>
    </dataValidation>
    <dataValidation type="list" allowBlank="1" showInputMessage="1" showErrorMessage="1" sqref="C9123">
      <formula1>UnidadesList</formula1>
    </dataValidation>
    <dataValidation type="decimal" operator="greaterThan" allowBlank="1" showInputMessage="1" showErrorMessage="1" sqref="D9123">
      <formula1>0</formula1>
    </dataValidation>
    <dataValidation type="decimal" operator="greaterThan" allowBlank="1" showInputMessage="1" showErrorMessage="1" sqref="E9123">
      <formula1>0</formula1>
    </dataValidation>
    <dataValidation type="whole" operator="greaterThan" allowBlank="1" showInputMessage="1" showErrorMessage="1" sqref="A9124">
      <formula1>0</formula1>
    </dataValidation>
    <dataValidation type="list" allowBlank="1" showInputMessage="1" showErrorMessage="1" sqref="C9124">
      <formula1>UnidadesList</formula1>
    </dataValidation>
    <dataValidation type="decimal" operator="greaterThan" allowBlank="1" showInputMessage="1" showErrorMessage="1" sqref="D9124">
      <formula1>0</formula1>
    </dataValidation>
    <dataValidation type="decimal" operator="greaterThan" allowBlank="1" showInputMessage="1" showErrorMessage="1" sqref="E9124">
      <formula1>0</formula1>
    </dataValidation>
    <dataValidation type="whole" operator="greaterThan" allowBlank="1" showInputMessage="1" showErrorMessage="1" sqref="A9125">
      <formula1>0</formula1>
    </dataValidation>
    <dataValidation type="list" allowBlank="1" showInputMessage="1" showErrorMessage="1" sqref="C9125">
      <formula1>UnidadesList</formula1>
    </dataValidation>
    <dataValidation type="decimal" operator="greaterThan" allowBlank="1" showInputMessage="1" showErrorMessage="1" sqref="D9125">
      <formula1>0</formula1>
    </dataValidation>
    <dataValidation type="decimal" operator="greaterThan" allowBlank="1" showInputMessage="1" showErrorMessage="1" sqref="E9125">
      <formula1>0</formula1>
    </dataValidation>
    <dataValidation type="whole" operator="greaterThan" allowBlank="1" showInputMessage="1" showErrorMessage="1" sqref="A9126">
      <formula1>0</formula1>
    </dataValidation>
    <dataValidation type="list" allowBlank="1" showInputMessage="1" showErrorMessage="1" sqref="C9126">
      <formula1>UnidadesList</formula1>
    </dataValidation>
    <dataValidation type="decimal" operator="greaterThan" allowBlank="1" showInputMessage="1" showErrorMessage="1" sqref="D9126">
      <formula1>0</formula1>
    </dataValidation>
    <dataValidation type="decimal" operator="greaterThan" allowBlank="1" showInputMessage="1" showErrorMessage="1" sqref="E9126">
      <formula1>0</formula1>
    </dataValidation>
    <dataValidation type="whole" operator="greaterThan" allowBlank="1" showInputMessage="1" showErrorMessage="1" sqref="A9127">
      <formula1>0</formula1>
    </dataValidation>
    <dataValidation type="list" allowBlank="1" showInputMessage="1" showErrorMessage="1" sqref="C9127">
      <formula1>UnidadesList</formula1>
    </dataValidation>
    <dataValidation type="decimal" operator="greaterThan" allowBlank="1" showInputMessage="1" showErrorMessage="1" sqref="D9127">
      <formula1>0</formula1>
    </dataValidation>
    <dataValidation type="decimal" operator="greaterThan" allowBlank="1" showInputMessage="1" showErrorMessage="1" sqref="E9127">
      <formula1>0</formula1>
    </dataValidation>
    <dataValidation type="whole" operator="greaterThan" allowBlank="1" showInputMessage="1" showErrorMessage="1" sqref="A9128">
      <formula1>0</formula1>
    </dataValidation>
    <dataValidation type="list" allowBlank="1" showInputMessage="1" showErrorMessage="1" sqref="C9128">
      <formula1>UnidadesList</formula1>
    </dataValidation>
    <dataValidation type="decimal" operator="greaterThan" allowBlank="1" showInputMessage="1" showErrorMessage="1" sqref="D9128">
      <formula1>0</formula1>
    </dataValidation>
    <dataValidation type="decimal" operator="greaterThan" allowBlank="1" showInputMessage="1" showErrorMessage="1" sqref="E9128">
      <formula1>0</formula1>
    </dataValidation>
    <dataValidation type="whole" operator="greaterThan" allowBlank="1" showInputMessage="1" showErrorMessage="1" sqref="A9129">
      <formula1>0</formula1>
    </dataValidation>
    <dataValidation type="list" allowBlank="1" showInputMessage="1" showErrorMessage="1" sqref="C9129">
      <formula1>UnidadesList</formula1>
    </dataValidation>
    <dataValidation type="decimal" operator="greaterThan" allowBlank="1" showInputMessage="1" showErrorMessage="1" sqref="D9129">
      <formula1>0</formula1>
    </dataValidation>
    <dataValidation type="decimal" operator="greaterThan" allowBlank="1" showInputMessage="1" showErrorMessage="1" sqref="E9129">
      <formula1>0</formula1>
    </dataValidation>
    <dataValidation type="whole" operator="greaterThan" allowBlank="1" showInputMessage="1" showErrorMessage="1" sqref="A9130">
      <formula1>0</formula1>
    </dataValidation>
    <dataValidation type="list" allowBlank="1" showInputMessage="1" showErrorMessage="1" sqref="C9130">
      <formula1>UnidadesList</formula1>
    </dataValidation>
    <dataValidation type="decimal" operator="greaterThan" allowBlank="1" showInputMessage="1" showErrorMessage="1" sqref="D9130">
      <formula1>0</formula1>
    </dataValidation>
    <dataValidation type="decimal" operator="greaterThan" allowBlank="1" showInputMessage="1" showErrorMessage="1" sqref="E9130">
      <formula1>0</formula1>
    </dataValidation>
    <dataValidation type="whole" operator="greaterThan" allowBlank="1" showInputMessage="1" showErrorMessage="1" sqref="A9131">
      <formula1>0</formula1>
    </dataValidation>
    <dataValidation type="list" allowBlank="1" showInputMessage="1" showErrorMessage="1" sqref="C9131">
      <formula1>UnidadesList</formula1>
    </dataValidation>
    <dataValidation type="decimal" operator="greaterThan" allowBlank="1" showInputMessage="1" showErrorMessage="1" sqref="D9131">
      <formula1>0</formula1>
    </dataValidation>
    <dataValidation type="decimal" operator="greaterThan" allowBlank="1" showInputMessage="1" showErrorMessage="1" sqref="E9131">
      <formula1>0</formula1>
    </dataValidation>
    <dataValidation type="whole" operator="greaterThan" allowBlank="1" showInputMessage="1" showErrorMessage="1" sqref="A9132">
      <formula1>0</formula1>
    </dataValidation>
    <dataValidation type="list" allowBlank="1" showInputMessage="1" showErrorMessage="1" sqref="C9132">
      <formula1>UnidadesList</formula1>
    </dataValidation>
    <dataValidation type="decimal" operator="greaterThan" allowBlank="1" showInputMessage="1" showErrorMessage="1" sqref="D9132">
      <formula1>0</formula1>
    </dataValidation>
    <dataValidation type="decimal" operator="greaterThan" allowBlank="1" showInputMessage="1" showErrorMessage="1" sqref="E9132">
      <formula1>0</formula1>
    </dataValidation>
    <dataValidation type="whole" operator="greaterThan" allowBlank="1" showInputMessage="1" showErrorMessage="1" sqref="A9133">
      <formula1>0</formula1>
    </dataValidation>
    <dataValidation type="list" allowBlank="1" showInputMessage="1" showErrorMessage="1" sqref="C9133">
      <formula1>UnidadesList</formula1>
    </dataValidation>
    <dataValidation type="decimal" operator="greaterThan" allowBlank="1" showInputMessage="1" showErrorMessage="1" sqref="D9133">
      <formula1>0</formula1>
    </dataValidation>
    <dataValidation type="decimal" operator="greaterThan" allowBlank="1" showInputMessage="1" showErrorMessage="1" sqref="E9133">
      <formula1>0</formula1>
    </dataValidation>
    <dataValidation type="whole" operator="greaterThan" allowBlank="1" showInputMessage="1" showErrorMessage="1" sqref="A9134">
      <formula1>0</formula1>
    </dataValidation>
    <dataValidation type="list" allowBlank="1" showInputMessage="1" showErrorMessage="1" sqref="C9134">
      <formula1>UnidadesList</formula1>
    </dataValidation>
    <dataValidation type="decimal" operator="greaterThan" allowBlank="1" showInputMessage="1" showErrorMessage="1" sqref="D9134">
      <formula1>0</formula1>
    </dataValidation>
    <dataValidation type="decimal" operator="greaterThan" allowBlank="1" showInputMessage="1" showErrorMessage="1" sqref="E9134">
      <formula1>0</formula1>
    </dataValidation>
    <dataValidation type="whole" operator="greaterThan" allowBlank="1" showInputMessage="1" showErrorMessage="1" sqref="A9135">
      <formula1>0</formula1>
    </dataValidation>
    <dataValidation type="list" allowBlank="1" showInputMessage="1" showErrorMessage="1" sqref="C9135">
      <formula1>UnidadesList</formula1>
    </dataValidation>
    <dataValidation type="decimal" operator="greaterThan" allowBlank="1" showInputMessage="1" showErrorMessage="1" sqref="D9135">
      <formula1>0</formula1>
    </dataValidation>
    <dataValidation type="decimal" operator="greaterThan" allowBlank="1" showInputMessage="1" showErrorMessage="1" sqref="E9135">
      <formula1>0</formula1>
    </dataValidation>
    <dataValidation type="whole" operator="greaterThan" allowBlank="1" showInputMessage="1" showErrorMessage="1" sqref="A9136">
      <formula1>0</formula1>
    </dataValidation>
    <dataValidation type="list" allowBlank="1" showInputMessage="1" showErrorMessage="1" sqref="C9136">
      <formula1>UnidadesList</formula1>
    </dataValidation>
    <dataValidation type="decimal" operator="greaterThan" allowBlank="1" showInputMessage="1" showErrorMessage="1" sqref="D9136">
      <formula1>0</formula1>
    </dataValidation>
    <dataValidation type="decimal" operator="greaterThan" allowBlank="1" showInputMessage="1" showErrorMessage="1" sqref="E9136">
      <formula1>0</formula1>
    </dataValidation>
    <dataValidation type="whole" operator="greaterThan" allowBlank="1" showInputMessage="1" showErrorMessage="1" sqref="A9137">
      <formula1>0</formula1>
    </dataValidation>
    <dataValidation type="list" allowBlank="1" showInputMessage="1" showErrorMessage="1" sqref="C9137">
      <formula1>UnidadesList</formula1>
    </dataValidation>
    <dataValidation type="decimal" operator="greaterThan" allowBlank="1" showInputMessage="1" showErrorMessage="1" sqref="D9137">
      <formula1>0</formula1>
    </dataValidation>
    <dataValidation type="decimal" operator="greaterThan" allowBlank="1" showInputMessage="1" showErrorMessage="1" sqref="E9137">
      <formula1>0</formula1>
    </dataValidation>
    <dataValidation type="whole" operator="greaterThan" allowBlank="1" showInputMessage="1" showErrorMessage="1" sqref="A9138">
      <formula1>0</formula1>
    </dataValidation>
    <dataValidation type="list" allowBlank="1" showInputMessage="1" showErrorMessage="1" sqref="C9138">
      <formula1>UnidadesList</formula1>
    </dataValidation>
    <dataValidation type="decimal" operator="greaterThan" allowBlank="1" showInputMessage="1" showErrorMessage="1" sqref="D9138">
      <formula1>0</formula1>
    </dataValidation>
    <dataValidation type="decimal" operator="greaterThan" allowBlank="1" showInputMessage="1" showErrorMessage="1" sqref="E9138">
      <formula1>0</formula1>
    </dataValidation>
    <dataValidation type="whole" operator="greaterThan" allowBlank="1" showInputMessage="1" showErrorMessage="1" sqref="A9139">
      <formula1>0</formula1>
    </dataValidation>
    <dataValidation type="list" allowBlank="1" showInputMessage="1" showErrorMessage="1" sqref="C9139">
      <formula1>UnidadesList</formula1>
    </dataValidation>
    <dataValidation type="decimal" operator="greaterThan" allowBlank="1" showInputMessage="1" showErrorMessage="1" sqref="D9139">
      <formula1>0</formula1>
    </dataValidation>
    <dataValidation type="decimal" operator="greaterThan" allowBlank="1" showInputMessage="1" showErrorMessage="1" sqref="E9139">
      <formula1>0</formula1>
    </dataValidation>
    <dataValidation type="whole" operator="greaterThan" allowBlank="1" showInputMessage="1" showErrorMessage="1" sqref="A9140">
      <formula1>0</formula1>
    </dataValidation>
    <dataValidation type="list" allowBlank="1" showInputMessage="1" showErrorMessage="1" sqref="C9140">
      <formula1>UnidadesList</formula1>
    </dataValidation>
    <dataValidation type="decimal" operator="greaterThan" allowBlank="1" showInputMessage="1" showErrorMessage="1" sqref="D9140">
      <formula1>0</formula1>
    </dataValidation>
    <dataValidation type="decimal" operator="greaterThan" allowBlank="1" showInputMessage="1" showErrorMessage="1" sqref="E9140">
      <formula1>0</formula1>
    </dataValidation>
    <dataValidation type="whole" operator="greaterThan" allowBlank="1" showInputMessage="1" showErrorMessage="1" sqref="A9141">
      <formula1>0</formula1>
    </dataValidation>
    <dataValidation type="list" allowBlank="1" showInputMessage="1" showErrorMessage="1" sqref="C9141">
      <formula1>UnidadesList</formula1>
    </dataValidation>
    <dataValidation type="decimal" operator="greaterThan" allowBlank="1" showInputMessage="1" showErrorMessage="1" sqref="D9141">
      <formula1>0</formula1>
    </dataValidation>
    <dataValidation type="decimal" operator="greaterThan" allowBlank="1" showInputMessage="1" showErrorMessage="1" sqref="E9141">
      <formula1>0</formula1>
    </dataValidation>
    <dataValidation type="whole" operator="greaterThan" allowBlank="1" showInputMessage="1" showErrorMessage="1" sqref="A9142">
      <formula1>0</formula1>
    </dataValidation>
    <dataValidation type="list" allowBlank="1" showInputMessage="1" showErrorMessage="1" sqref="C9142">
      <formula1>UnidadesList</formula1>
    </dataValidation>
    <dataValidation type="decimal" operator="greaterThan" allowBlank="1" showInputMessage="1" showErrorMessage="1" sqref="D9142">
      <formula1>0</formula1>
    </dataValidation>
    <dataValidation type="decimal" operator="greaterThan" allowBlank="1" showInputMessage="1" showErrorMessage="1" sqref="E9142">
      <formula1>0</formula1>
    </dataValidation>
    <dataValidation type="whole" operator="greaterThan" allowBlank="1" showInputMessage="1" showErrorMessage="1" sqref="A9143">
      <formula1>0</formula1>
    </dataValidation>
    <dataValidation type="list" allowBlank="1" showInputMessage="1" showErrorMessage="1" sqref="C9143">
      <formula1>UnidadesList</formula1>
    </dataValidation>
    <dataValidation type="decimal" operator="greaterThan" allowBlank="1" showInputMessage="1" showErrorMessage="1" sqref="D9143">
      <formula1>0</formula1>
    </dataValidation>
    <dataValidation type="decimal" operator="greaterThan" allowBlank="1" showInputMessage="1" showErrorMessage="1" sqref="E9143">
      <formula1>0</formula1>
    </dataValidation>
    <dataValidation type="whole" operator="greaterThan" allowBlank="1" showInputMessage="1" showErrorMessage="1" sqref="A9144">
      <formula1>0</formula1>
    </dataValidation>
    <dataValidation type="list" allowBlank="1" showInputMessage="1" showErrorMessage="1" sqref="C9144">
      <formula1>UnidadesList</formula1>
    </dataValidation>
    <dataValidation type="decimal" operator="greaterThan" allowBlank="1" showInputMessage="1" showErrorMessage="1" sqref="D9144">
      <formula1>0</formula1>
    </dataValidation>
    <dataValidation type="decimal" operator="greaterThan" allowBlank="1" showInputMessage="1" showErrorMessage="1" sqref="E9144">
      <formula1>0</formula1>
    </dataValidation>
    <dataValidation type="whole" operator="greaterThan" allowBlank="1" showInputMessage="1" showErrorMessage="1" sqref="A9145">
      <formula1>0</formula1>
    </dataValidation>
    <dataValidation type="list" allowBlank="1" showInputMessage="1" showErrorMessage="1" sqref="C9145">
      <formula1>UnidadesList</formula1>
    </dataValidation>
    <dataValidation type="decimal" operator="greaterThan" allowBlank="1" showInputMessage="1" showErrorMessage="1" sqref="D9145">
      <formula1>0</formula1>
    </dataValidation>
    <dataValidation type="decimal" operator="greaterThan" allowBlank="1" showInputMessage="1" showErrorMessage="1" sqref="E9145">
      <formula1>0</formula1>
    </dataValidation>
    <dataValidation type="whole" operator="greaterThan" allowBlank="1" showInputMessage="1" showErrorMessage="1" sqref="A9146">
      <formula1>0</formula1>
    </dataValidation>
    <dataValidation type="list" allowBlank="1" showInputMessage="1" showErrorMessage="1" sqref="C9146">
      <formula1>UnidadesList</formula1>
    </dataValidation>
    <dataValidation type="decimal" operator="greaterThan" allowBlank="1" showInputMessage="1" showErrorMessage="1" sqref="D9146">
      <formula1>0</formula1>
    </dataValidation>
    <dataValidation type="decimal" operator="greaterThan" allowBlank="1" showInputMessage="1" showErrorMessage="1" sqref="E9146">
      <formula1>0</formula1>
    </dataValidation>
    <dataValidation type="whole" operator="greaterThan" allowBlank="1" showInputMessage="1" showErrorMessage="1" sqref="A9147">
      <formula1>0</formula1>
    </dataValidation>
    <dataValidation type="list" allowBlank="1" showInputMessage="1" showErrorMessage="1" sqref="C9147">
      <formula1>UnidadesList</formula1>
    </dataValidation>
    <dataValidation type="decimal" operator="greaterThan" allowBlank="1" showInputMessage="1" showErrorMessage="1" sqref="D9147">
      <formula1>0</formula1>
    </dataValidation>
    <dataValidation type="decimal" operator="greaterThan" allowBlank="1" showInputMessage="1" showErrorMessage="1" sqref="E9147">
      <formula1>0</formula1>
    </dataValidation>
    <dataValidation type="whole" operator="greaterThan" allowBlank="1" showInputMessage="1" showErrorMessage="1" sqref="A9148">
      <formula1>0</formula1>
    </dataValidation>
    <dataValidation type="list" allowBlank="1" showInputMessage="1" showErrorMessage="1" sqref="C9148">
      <formula1>UnidadesList</formula1>
    </dataValidation>
    <dataValidation type="decimal" operator="greaterThan" allowBlank="1" showInputMessage="1" showErrorMessage="1" sqref="D9148">
      <formula1>0</formula1>
    </dataValidation>
    <dataValidation type="decimal" operator="greaterThan" allowBlank="1" showInputMessage="1" showErrorMessage="1" sqref="E9148">
      <formula1>0</formula1>
    </dataValidation>
    <dataValidation type="whole" operator="greaterThan" allowBlank="1" showInputMessage="1" showErrorMessage="1" sqref="A9149">
      <formula1>0</formula1>
    </dataValidation>
    <dataValidation type="list" allowBlank="1" showInputMessage="1" showErrorMessage="1" sqref="C9149">
      <formula1>UnidadesList</formula1>
    </dataValidation>
    <dataValidation type="decimal" operator="greaterThan" allowBlank="1" showInputMessage="1" showErrorMessage="1" sqref="D9149">
      <formula1>0</formula1>
    </dataValidation>
    <dataValidation type="decimal" operator="greaterThan" allowBlank="1" showInputMessage="1" showErrorMessage="1" sqref="E9149">
      <formula1>0</formula1>
    </dataValidation>
    <dataValidation type="whole" operator="greaterThan" allowBlank="1" showInputMessage="1" showErrorMessage="1" sqref="A9150">
      <formula1>0</formula1>
    </dataValidation>
    <dataValidation type="list" allowBlank="1" showInputMessage="1" showErrorMessage="1" sqref="C9150">
      <formula1>UnidadesList</formula1>
    </dataValidation>
    <dataValidation type="decimal" operator="greaterThan" allowBlank="1" showInputMessage="1" showErrorMessage="1" sqref="D9150">
      <formula1>0</formula1>
    </dataValidation>
    <dataValidation type="decimal" operator="greaterThan" allowBlank="1" showInputMessage="1" showErrorMessage="1" sqref="E9150">
      <formula1>0</formula1>
    </dataValidation>
    <dataValidation type="whole" operator="greaterThan" allowBlank="1" showInputMessage="1" showErrorMessage="1" sqref="A9151">
      <formula1>0</formula1>
    </dataValidation>
    <dataValidation type="list" allowBlank="1" showInputMessage="1" showErrorMessage="1" sqref="C9151">
      <formula1>UnidadesList</formula1>
    </dataValidation>
    <dataValidation type="decimal" operator="greaterThan" allowBlank="1" showInputMessage="1" showErrorMessage="1" sqref="D9151">
      <formula1>0</formula1>
    </dataValidation>
    <dataValidation type="decimal" operator="greaterThan" allowBlank="1" showInputMessage="1" showErrorMessage="1" sqref="E9151">
      <formula1>0</formula1>
    </dataValidation>
    <dataValidation type="whole" operator="greaterThan" allowBlank="1" showInputMessage="1" showErrorMessage="1" sqref="A9152">
      <formula1>0</formula1>
    </dataValidation>
    <dataValidation type="list" allowBlank="1" showInputMessage="1" showErrorMessage="1" sqref="C9152">
      <formula1>UnidadesList</formula1>
    </dataValidation>
    <dataValidation type="decimal" operator="greaterThan" allowBlank="1" showInputMessage="1" showErrorMessage="1" sqref="D9152">
      <formula1>0</formula1>
    </dataValidation>
    <dataValidation type="decimal" operator="greaterThan" allowBlank="1" showInputMessage="1" showErrorMessage="1" sqref="E9152">
      <formula1>0</formula1>
    </dataValidation>
    <dataValidation type="whole" operator="greaterThan" allowBlank="1" showInputMessage="1" showErrorMessage="1" sqref="A9153">
      <formula1>0</formula1>
    </dataValidation>
    <dataValidation type="list" allowBlank="1" showInputMessage="1" showErrorMessage="1" sqref="C9153">
      <formula1>UnidadesList</formula1>
    </dataValidation>
    <dataValidation type="decimal" operator="greaterThan" allowBlank="1" showInputMessage="1" showErrorMessage="1" sqref="D9153">
      <formula1>0</formula1>
    </dataValidation>
    <dataValidation type="decimal" operator="greaterThan" allowBlank="1" showInputMessage="1" showErrorMessage="1" sqref="E9153">
      <formula1>0</formula1>
    </dataValidation>
    <dataValidation type="whole" operator="greaterThan" allowBlank="1" showInputMessage="1" showErrorMessage="1" sqref="A9154">
      <formula1>0</formula1>
    </dataValidation>
    <dataValidation type="list" allowBlank="1" showInputMessage="1" showErrorMessage="1" sqref="C9154">
      <formula1>UnidadesList</formula1>
    </dataValidation>
    <dataValidation type="decimal" operator="greaterThan" allowBlank="1" showInputMessage="1" showErrorMessage="1" sqref="D9154">
      <formula1>0</formula1>
    </dataValidation>
    <dataValidation type="decimal" operator="greaterThan" allowBlank="1" showInputMessage="1" showErrorMessage="1" sqref="E9154">
      <formula1>0</formula1>
    </dataValidation>
    <dataValidation type="whole" operator="greaterThan" allowBlank="1" showInputMessage="1" showErrorMessage="1" sqref="A9155">
      <formula1>0</formula1>
    </dataValidation>
    <dataValidation type="list" allowBlank="1" showInputMessage="1" showErrorMessage="1" sqref="C9155">
      <formula1>UnidadesList</formula1>
    </dataValidation>
    <dataValidation type="decimal" operator="greaterThan" allowBlank="1" showInputMessage="1" showErrorMessage="1" sqref="D9155">
      <formula1>0</formula1>
    </dataValidation>
    <dataValidation type="decimal" operator="greaterThan" allowBlank="1" showInputMessage="1" showErrorMessage="1" sqref="E9155">
      <formula1>0</formula1>
    </dataValidation>
    <dataValidation type="whole" operator="greaterThan" allowBlank="1" showInputMessage="1" showErrorMessage="1" sqref="A9156">
      <formula1>0</formula1>
    </dataValidation>
    <dataValidation type="list" allowBlank="1" showInputMessage="1" showErrorMessage="1" sqref="C9156">
      <formula1>UnidadesList</formula1>
    </dataValidation>
    <dataValidation type="decimal" operator="greaterThan" allowBlank="1" showInputMessage="1" showErrorMessage="1" sqref="D9156">
      <formula1>0</formula1>
    </dataValidation>
    <dataValidation type="decimal" operator="greaterThan" allowBlank="1" showInputMessage="1" showErrorMessage="1" sqref="E9156">
      <formula1>0</formula1>
    </dataValidation>
    <dataValidation type="whole" operator="greaterThan" allowBlank="1" showInputMessage="1" showErrorMessage="1" sqref="A9157">
      <formula1>0</formula1>
    </dataValidation>
    <dataValidation type="list" allowBlank="1" showInputMessage="1" showErrorMessage="1" sqref="C9157">
      <formula1>UnidadesList</formula1>
    </dataValidation>
    <dataValidation type="decimal" operator="greaterThan" allowBlank="1" showInputMessage="1" showErrorMessage="1" sqref="D9157">
      <formula1>0</formula1>
    </dataValidation>
    <dataValidation type="decimal" operator="greaterThan" allowBlank="1" showInputMessage="1" showErrorMessage="1" sqref="E9157">
      <formula1>0</formula1>
    </dataValidation>
    <dataValidation type="whole" operator="greaterThan" allowBlank="1" showInputMessage="1" showErrorMessage="1" sqref="A9158">
      <formula1>0</formula1>
    </dataValidation>
    <dataValidation type="list" allowBlank="1" showInputMessage="1" showErrorMessage="1" sqref="C9158">
      <formula1>UnidadesList</formula1>
    </dataValidation>
    <dataValidation type="decimal" operator="greaterThan" allowBlank="1" showInputMessage="1" showErrorMessage="1" sqref="D9158">
      <formula1>0</formula1>
    </dataValidation>
    <dataValidation type="decimal" operator="greaterThan" allowBlank="1" showInputMessage="1" showErrorMessage="1" sqref="E9158">
      <formula1>0</formula1>
    </dataValidation>
    <dataValidation type="whole" operator="greaterThan" allowBlank="1" showInputMessage="1" showErrorMessage="1" sqref="A9159">
      <formula1>0</formula1>
    </dataValidation>
    <dataValidation type="list" allowBlank="1" showInputMessage="1" showErrorMessage="1" sqref="C9159">
      <formula1>UnidadesList</formula1>
    </dataValidation>
    <dataValidation type="decimal" operator="greaterThan" allowBlank="1" showInputMessage="1" showErrorMessage="1" sqref="D9159">
      <formula1>0</formula1>
    </dataValidation>
    <dataValidation type="decimal" operator="greaterThan" allowBlank="1" showInputMessage="1" showErrorMessage="1" sqref="E9159">
      <formula1>0</formula1>
    </dataValidation>
    <dataValidation type="whole" operator="greaterThan" allowBlank="1" showInputMessage="1" showErrorMessage="1" sqref="A9160">
      <formula1>0</formula1>
    </dataValidation>
    <dataValidation type="list" allowBlank="1" showInputMessage="1" showErrorMessage="1" sqref="C9160">
      <formula1>UnidadesList</formula1>
    </dataValidation>
    <dataValidation type="decimal" operator="greaterThan" allowBlank="1" showInputMessage="1" showErrorMessage="1" sqref="D9160">
      <formula1>0</formula1>
    </dataValidation>
    <dataValidation type="decimal" operator="greaterThan" allowBlank="1" showInputMessage="1" showErrorMessage="1" sqref="E9160">
      <formula1>0</formula1>
    </dataValidation>
    <dataValidation type="whole" operator="greaterThan" allowBlank="1" showInputMessage="1" showErrorMessage="1" sqref="A9161">
      <formula1>0</formula1>
    </dataValidation>
    <dataValidation type="list" allowBlank="1" showInputMessage="1" showErrorMessage="1" sqref="C9161">
      <formula1>UnidadesList</formula1>
    </dataValidation>
    <dataValidation type="decimal" operator="greaterThan" allowBlank="1" showInputMessage="1" showErrorMessage="1" sqref="D9161">
      <formula1>0</formula1>
    </dataValidation>
    <dataValidation type="decimal" operator="greaterThan" allowBlank="1" showInputMessage="1" showErrorMessage="1" sqref="E9161">
      <formula1>0</formula1>
    </dataValidation>
    <dataValidation type="whole" operator="greaterThan" allowBlank="1" showInputMessage="1" showErrorMessage="1" sqref="A9162">
      <formula1>0</formula1>
    </dataValidation>
    <dataValidation type="list" allowBlank="1" showInputMessage="1" showErrorMessage="1" sqref="C9162">
      <formula1>UnidadesList</formula1>
    </dataValidation>
    <dataValidation type="decimal" operator="greaterThan" allowBlank="1" showInputMessage="1" showErrorMessage="1" sqref="D9162">
      <formula1>0</formula1>
    </dataValidation>
    <dataValidation type="decimal" operator="greaterThan" allowBlank="1" showInputMessage="1" showErrorMessage="1" sqref="E9162">
      <formula1>0</formula1>
    </dataValidation>
    <dataValidation type="whole" operator="greaterThan" allowBlank="1" showInputMessage="1" showErrorMessage="1" sqref="A9163">
      <formula1>0</formula1>
    </dataValidation>
    <dataValidation type="list" allowBlank="1" showInputMessage="1" showErrorMessage="1" sqref="C9163">
      <formula1>UnidadesList</formula1>
    </dataValidation>
    <dataValidation type="decimal" operator="greaterThan" allowBlank="1" showInputMessage="1" showErrorMessage="1" sqref="D9163">
      <formula1>0</formula1>
    </dataValidation>
    <dataValidation type="decimal" operator="greaterThan" allowBlank="1" showInputMessage="1" showErrorMessage="1" sqref="E9163">
      <formula1>0</formula1>
    </dataValidation>
    <dataValidation type="whole" operator="greaterThan" allowBlank="1" showInputMessage="1" showErrorMessage="1" sqref="A9164">
      <formula1>0</formula1>
    </dataValidation>
    <dataValidation type="list" allowBlank="1" showInputMessage="1" showErrorMessage="1" sqref="C9164">
      <formula1>UnidadesList</formula1>
    </dataValidation>
    <dataValidation type="decimal" operator="greaterThan" allowBlank="1" showInputMessage="1" showErrorMessage="1" sqref="D9164">
      <formula1>0</formula1>
    </dataValidation>
    <dataValidation type="decimal" operator="greaterThan" allowBlank="1" showInputMessage="1" showErrorMessage="1" sqref="E9164">
      <formula1>0</formula1>
    </dataValidation>
    <dataValidation type="whole" operator="greaterThan" allowBlank="1" showInputMessage="1" showErrorMessage="1" sqref="A9165">
      <formula1>0</formula1>
    </dataValidation>
    <dataValidation type="list" allowBlank="1" showInputMessage="1" showErrorMessage="1" sqref="C9165">
      <formula1>UnidadesList</formula1>
    </dataValidation>
    <dataValidation type="decimal" operator="greaterThan" allowBlank="1" showInputMessage="1" showErrorMessage="1" sqref="D9165">
      <formula1>0</formula1>
    </dataValidation>
    <dataValidation type="decimal" operator="greaterThan" allowBlank="1" showInputMessage="1" showErrorMessage="1" sqref="E9165">
      <formula1>0</formula1>
    </dataValidation>
    <dataValidation type="whole" operator="greaterThan" allowBlank="1" showInputMessage="1" showErrorMessage="1" sqref="A9166">
      <formula1>0</formula1>
    </dataValidation>
    <dataValidation type="list" allowBlank="1" showInputMessage="1" showErrorMessage="1" sqref="C9166">
      <formula1>UnidadesList</formula1>
    </dataValidation>
    <dataValidation type="decimal" operator="greaterThan" allowBlank="1" showInputMessage="1" showErrorMessage="1" sqref="D9166">
      <formula1>0</formula1>
    </dataValidation>
    <dataValidation type="decimal" operator="greaterThan" allowBlank="1" showInputMessage="1" showErrorMessage="1" sqref="E9166">
      <formula1>0</formula1>
    </dataValidation>
    <dataValidation type="whole" operator="greaterThan" allowBlank="1" showInputMessage="1" showErrorMessage="1" sqref="A9167">
      <formula1>0</formula1>
    </dataValidation>
    <dataValidation type="list" allowBlank="1" showInputMessage="1" showErrorMessage="1" sqref="C9167">
      <formula1>UnidadesList</formula1>
    </dataValidation>
    <dataValidation type="decimal" operator="greaterThan" allowBlank="1" showInputMessage="1" showErrorMessage="1" sqref="D9167">
      <formula1>0</formula1>
    </dataValidation>
    <dataValidation type="decimal" operator="greaterThan" allowBlank="1" showInputMessage="1" showErrorMessage="1" sqref="E9167">
      <formula1>0</formula1>
    </dataValidation>
    <dataValidation type="whole" operator="greaterThan" allowBlank="1" showInputMessage="1" showErrorMessage="1" sqref="A9168">
      <formula1>0</formula1>
    </dataValidation>
    <dataValidation type="list" allowBlank="1" showInputMessage="1" showErrorMessage="1" sqref="C9168">
      <formula1>UnidadesList</formula1>
    </dataValidation>
    <dataValidation type="decimal" operator="greaterThan" allowBlank="1" showInputMessage="1" showErrorMessage="1" sqref="D9168">
      <formula1>0</formula1>
    </dataValidation>
    <dataValidation type="decimal" operator="greaterThan" allowBlank="1" showInputMessage="1" showErrorMessage="1" sqref="E9168">
      <formula1>0</formula1>
    </dataValidation>
    <dataValidation type="whole" operator="greaterThan" allowBlank="1" showInputMessage="1" showErrorMessage="1" sqref="A9169">
      <formula1>0</formula1>
    </dataValidation>
    <dataValidation type="list" allowBlank="1" showInputMessage="1" showErrorMessage="1" sqref="C9169">
      <formula1>UnidadesList</formula1>
    </dataValidation>
    <dataValidation type="decimal" operator="greaterThan" allowBlank="1" showInputMessage="1" showErrorMessage="1" sqref="D9169">
      <formula1>0</formula1>
    </dataValidation>
    <dataValidation type="decimal" operator="greaterThan" allowBlank="1" showInputMessage="1" showErrorMessage="1" sqref="E9169">
      <formula1>0</formula1>
    </dataValidation>
    <dataValidation type="whole" operator="greaterThan" allowBlank="1" showInputMessage="1" showErrorMessage="1" sqref="A9170">
      <formula1>0</formula1>
    </dataValidation>
    <dataValidation type="list" allowBlank="1" showInputMessage="1" showErrorMessage="1" sqref="C9170">
      <formula1>UnidadesList</formula1>
    </dataValidation>
    <dataValidation type="decimal" operator="greaterThan" allowBlank="1" showInputMessage="1" showErrorMessage="1" sqref="D9170">
      <formula1>0</formula1>
    </dataValidation>
    <dataValidation type="decimal" operator="greaterThan" allowBlank="1" showInputMessage="1" showErrorMessage="1" sqref="E9170">
      <formula1>0</formula1>
    </dataValidation>
    <dataValidation type="whole" operator="greaterThan" allowBlank="1" showInputMessage="1" showErrorMessage="1" sqref="A9171">
      <formula1>0</formula1>
    </dataValidation>
    <dataValidation type="list" allowBlank="1" showInputMessage="1" showErrorMessage="1" sqref="C9171">
      <formula1>UnidadesList</formula1>
    </dataValidation>
    <dataValidation type="decimal" operator="greaterThan" allowBlank="1" showInputMessage="1" showErrorMessage="1" sqref="D9171">
      <formula1>0</formula1>
    </dataValidation>
    <dataValidation type="decimal" operator="greaterThan" allowBlank="1" showInputMessage="1" showErrorMessage="1" sqref="E9171">
      <formula1>0</formula1>
    </dataValidation>
    <dataValidation type="whole" operator="greaterThan" allowBlank="1" showInputMessage="1" showErrorMessage="1" sqref="A9172">
      <formula1>0</formula1>
    </dataValidation>
    <dataValidation type="list" allowBlank="1" showInputMessage="1" showErrorMessage="1" sqref="C9172">
      <formula1>UnidadesList</formula1>
    </dataValidation>
    <dataValidation type="decimal" operator="greaterThan" allowBlank="1" showInputMessage="1" showErrorMessage="1" sqref="D9172">
      <formula1>0</formula1>
    </dataValidation>
    <dataValidation type="decimal" operator="greaterThan" allowBlank="1" showInputMessage="1" showErrorMessage="1" sqref="E9172">
      <formula1>0</formula1>
    </dataValidation>
    <dataValidation type="whole" operator="greaterThan" allowBlank="1" showInputMessage="1" showErrorMessage="1" sqref="A9173">
      <formula1>0</formula1>
    </dataValidation>
    <dataValidation type="list" allowBlank="1" showInputMessage="1" showErrorMessage="1" sqref="C9173">
      <formula1>UnidadesList</formula1>
    </dataValidation>
    <dataValidation type="decimal" operator="greaterThan" allowBlank="1" showInputMessage="1" showErrorMessage="1" sqref="D9173">
      <formula1>0</formula1>
    </dataValidation>
    <dataValidation type="decimal" operator="greaterThan" allowBlank="1" showInputMessage="1" showErrorMessage="1" sqref="E9173">
      <formula1>0</formula1>
    </dataValidation>
    <dataValidation type="whole" operator="greaterThan" allowBlank="1" showInputMessage="1" showErrorMessage="1" sqref="A9174">
      <formula1>0</formula1>
    </dataValidation>
    <dataValidation type="list" allowBlank="1" showInputMessage="1" showErrorMessage="1" sqref="C9174">
      <formula1>UnidadesList</formula1>
    </dataValidation>
    <dataValidation type="decimal" operator="greaterThan" allowBlank="1" showInputMessage="1" showErrorMessage="1" sqref="D9174">
      <formula1>0</formula1>
    </dataValidation>
    <dataValidation type="decimal" operator="greaterThan" allowBlank="1" showInputMessage="1" showErrorMessage="1" sqref="E9174">
      <formula1>0</formula1>
    </dataValidation>
    <dataValidation type="whole" operator="greaterThan" allowBlank="1" showInputMessage="1" showErrorMessage="1" sqref="A9175">
      <formula1>0</formula1>
    </dataValidation>
    <dataValidation type="list" allowBlank="1" showInputMessage="1" showErrorMessage="1" sqref="C9175">
      <formula1>UnidadesList</formula1>
    </dataValidation>
    <dataValidation type="decimal" operator="greaterThan" allowBlank="1" showInputMessage="1" showErrorMessage="1" sqref="D9175">
      <formula1>0</formula1>
    </dataValidation>
    <dataValidation type="decimal" operator="greaterThan" allowBlank="1" showInputMessage="1" showErrorMessage="1" sqref="E9175">
      <formula1>0</formula1>
    </dataValidation>
    <dataValidation type="whole" operator="greaterThan" allowBlank="1" showInputMessage="1" showErrorMessage="1" sqref="A9176">
      <formula1>0</formula1>
    </dataValidation>
    <dataValidation type="list" allowBlank="1" showInputMessage="1" showErrorMessage="1" sqref="C9176">
      <formula1>UnidadesList</formula1>
    </dataValidation>
    <dataValidation type="decimal" operator="greaterThan" allowBlank="1" showInputMessage="1" showErrorMessage="1" sqref="D9176">
      <formula1>0</formula1>
    </dataValidation>
    <dataValidation type="decimal" operator="greaterThan" allowBlank="1" showInputMessage="1" showErrorMessage="1" sqref="E9176">
      <formula1>0</formula1>
    </dataValidation>
    <dataValidation type="whole" operator="greaterThan" allowBlank="1" showInputMessage="1" showErrorMessage="1" sqref="A9177">
      <formula1>0</formula1>
    </dataValidation>
    <dataValidation type="list" allowBlank="1" showInputMessage="1" showErrorMessage="1" sqref="C9177">
      <formula1>UnidadesList</formula1>
    </dataValidation>
    <dataValidation type="decimal" operator="greaterThan" allowBlank="1" showInputMessage="1" showErrorMessage="1" sqref="D9177">
      <formula1>0</formula1>
    </dataValidation>
    <dataValidation type="decimal" operator="greaterThan" allowBlank="1" showInputMessage="1" showErrorMessage="1" sqref="E9177">
      <formula1>0</formula1>
    </dataValidation>
    <dataValidation type="whole" operator="greaterThan" allowBlank="1" showInputMessage="1" showErrorMessage="1" sqref="A9178">
      <formula1>0</formula1>
    </dataValidation>
    <dataValidation type="list" allowBlank="1" showInputMessage="1" showErrorMessage="1" sqref="C9178">
      <formula1>UnidadesList</formula1>
    </dataValidation>
    <dataValidation type="decimal" operator="greaterThan" allowBlank="1" showInputMessage="1" showErrorMessage="1" sqref="D9178">
      <formula1>0</formula1>
    </dataValidation>
    <dataValidation type="decimal" operator="greaterThan" allowBlank="1" showInputMessage="1" showErrorMessage="1" sqref="E9178">
      <formula1>0</formula1>
    </dataValidation>
    <dataValidation type="whole" operator="greaterThan" allowBlank="1" showInputMessage="1" showErrorMessage="1" sqref="A9179">
      <formula1>0</formula1>
    </dataValidation>
    <dataValidation type="list" allowBlank="1" showInputMessage="1" showErrorMessage="1" sqref="C9179">
      <formula1>UnidadesList</formula1>
    </dataValidation>
    <dataValidation type="decimal" operator="greaterThan" allowBlank="1" showInputMessage="1" showErrorMessage="1" sqref="D9179">
      <formula1>0</formula1>
    </dataValidation>
    <dataValidation type="decimal" operator="greaterThan" allowBlank="1" showInputMessage="1" showErrorMessage="1" sqref="E9179">
      <formula1>0</formula1>
    </dataValidation>
    <dataValidation type="whole" operator="greaterThan" allowBlank="1" showInputMessage="1" showErrorMessage="1" sqref="A9180">
      <formula1>0</formula1>
    </dataValidation>
    <dataValidation type="list" allowBlank="1" showInputMessage="1" showErrorMessage="1" sqref="C9180">
      <formula1>UnidadesList</formula1>
    </dataValidation>
    <dataValidation type="decimal" operator="greaterThan" allowBlank="1" showInputMessage="1" showErrorMessage="1" sqref="D9180">
      <formula1>0</formula1>
    </dataValidation>
    <dataValidation type="decimal" operator="greaterThan" allowBlank="1" showInputMessage="1" showErrorMessage="1" sqref="E9180">
      <formula1>0</formula1>
    </dataValidation>
    <dataValidation type="whole" operator="greaterThan" allowBlank="1" showInputMessage="1" showErrorMessage="1" sqref="A9181">
      <formula1>0</formula1>
    </dataValidation>
    <dataValidation type="list" allowBlank="1" showInputMessage="1" showErrorMessage="1" sqref="C9181">
      <formula1>UnidadesList</formula1>
    </dataValidation>
    <dataValidation type="decimal" operator="greaterThan" allowBlank="1" showInputMessage="1" showErrorMessage="1" sqref="D9181">
      <formula1>0</formula1>
    </dataValidation>
    <dataValidation type="decimal" operator="greaterThan" allowBlank="1" showInputMessage="1" showErrorMessage="1" sqref="E9181">
      <formula1>0</formula1>
    </dataValidation>
    <dataValidation type="whole" operator="greaterThan" allowBlank="1" showInputMessage="1" showErrorMessage="1" sqref="A9182">
      <formula1>0</formula1>
    </dataValidation>
    <dataValidation type="list" allowBlank="1" showInputMessage="1" showErrorMessage="1" sqref="C9182">
      <formula1>UnidadesList</formula1>
    </dataValidation>
    <dataValidation type="decimal" operator="greaterThan" allowBlank="1" showInputMessage="1" showErrorMessage="1" sqref="D9182">
      <formula1>0</formula1>
    </dataValidation>
    <dataValidation type="decimal" operator="greaterThan" allowBlank="1" showInputMessage="1" showErrorMessage="1" sqref="E9182">
      <formula1>0</formula1>
    </dataValidation>
    <dataValidation type="whole" operator="greaterThan" allowBlank="1" showInputMessage="1" showErrorMessage="1" sqref="A9183">
      <formula1>0</formula1>
    </dataValidation>
    <dataValidation type="list" allowBlank="1" showInputMessage="1" showErrorMessage="1" sqref="C9183">
      <formula1>UnidadesList</formula1>
    </dataValidation>
    <dataValidation type="decimal" operator="greaterThan" allowBlank="1" showInputMessage="1" showErrorMessage="1" sqref="D9183">
      <formula1>0</formula1>
    </dataValidation>
    <dataValidation type="decimal" operator="greaterThan" allowBlank="1" showInputMessage="1" showErrorMessage="1" sqref="E9183">
      <formula1>0</formula1>
    </dataValidation>
    <dataValidation type="whole" operator="greaterThan" allowBlank="1" showInputMessage="1" showErrorMessage="1" sqref="A9184">
      <formula1>0</formula1>
    </dataValidation>
    <dataValidation type="list" allowBlank="1" showInputMessage="1" showErrorMessage="1" sqref="C9184">
      <formula1>UnidadesList</formula1>
    </dataValidation>
    <dataValidation type="decimal" operator="greaterThan" allowBlank="1" showInputMessage="1" showErrorMessage="1" sqref="D9184">
      <formula1>0</formula1>
    </dataValidation>
    <dataValidation type="decimal" operator="greaterThan" allowBlank="1" showInputMessage="1" showErrorMessage="1" sqref="E9184">
      <formula1>0</formula1>
    </dataValidation>
    <dataValidation type="whole" operator="greaterThan" allowBlank="1" showInputMessage="1" showErrorMessage="1" sqref="A9185">
      <formula1>0</formula1>
    </dataValidation>
    <dataValidation type="list" allowBlank="1" showInputMessage="1" showErrorMessage="1" sqref="C9185">
      <formula1>UnidadesList</formula1>
    </dataValidation>
    <dataValidation type="decimal" operator="greaterThan" allowBlank="1" showInputMessage="1" showErrorMessage="1" sqref="D9185">
      <formula1>0</formula1>
    </dataValidation>
    <dataValidation type="decimal" operator="greaterThan" allowBlank="1" showInputMessage="1" showErrorMessage="1" sqref="E9185">
      <formula1>0</formula1>
    </dataValidation>
    <dataValidation type="whole" operator="greaterThan" allowBlank="1" showInputMessage="1" showErrorMessage="1" sqref="A9186">
      <formula1>0</formula1>
    </dataValidation>
    <dataValidation type="list" allowBlank="1" showInputMessage="1" showErrorMessage="1" sqref="C9186">
      <formula1>UnidadesList</formula1>
    </dataValidation>
    <dataValidation type="decimal" operator="greaterThan" allowBlank="1" showInputMessage="1" showErrorMessage="1" sqref="D9186">
      <formula1>0</formula1>
    </dataValidation>
    <dataValidation type="decimal" operator="greaterThan" allowBlank="1" showInputMessage="1" showErrorMessage="1" sqref="E9186">
      <formula1>0</formula1>
    </dataValidation>
    <dataValidation type="whole" operator="greaterThan" allowBlank="1" showInputMessage="1" showErrorMessage="1" sqref="A9187">
      <formula1>0</formula1>
    </dataValidation>
    <dataValidation type="list" allowBlank="1" showInputMessage="1" showErrorMessage="1" sqref="C9187">
      <formula1>UnidadesList</formula1>
    </dataValidation>
    <dataValidation type="decimal" operator="greaterThan" allowBlank="1" showInputMessage="1" showErrorMessage="1" sqref="D9187">
      <formula1>0</formula1>
    </dataValidation>
    <dataValidation type="decimal" operator="greaterThan" allowBlank="1" showInputMessage="1" showErrorMessage="1" sqref="E9187">
      <formula1>0</formula1>
    </dataValidation>
    <dataValidation type="whole" operator="greaterThan" allowBlank="1" showInputMessage="1" showErrorMessage="1" sqref="A9188">
      <formula1>0</formula1>
    </dataValidation>
    <dataValidation type="list" allowBlank="1" showInputMessage="1" showErrorMessage="1" sqref="C9188">
      <formula1>UnidadesList</formula1>
    </dataValidation>
    <dataValidation type="decimal" operator="greaterThan" allowBlank="1" showInputMessage="1" showErrorMessage="1" sqref="D9188">
      <formula1>0</formula1>
    </dataValidation>
    <dataValidation type="decimal" operator="greaterThan" allowBlank="1" showInputMessage="1" showErrorMessage="1" sqref="E9188">
      <formula1>0</formula1>
    </dataValidation>
    <dataValidation type="whole" operator="greaterThan" allowBlank="1" showInputMessage="1" showErrorMessage="1" sqref="A9189">
      <formula1>0</formula1>
    </dataValidation>
    <dataValidation type="list" allowBlank="1" showInputMessage="1" showErrorMessage="1" sqref="C9189">
      <formula1>UnidadesList</formula1>
    </dataValidation>
    <dataValidation type="decimal" operator="greaterThan" allowBlank="1" showInputMessage="1" showErrorMessage="1" sqref="D9189">
      <formula1>0</formula1>
    </dataValidation>
    <dataValidation type="decimal" operator="greaterThan" allowBlank="1" showInputMessage="1" showErrorMessage="1" sqref="E9189">
      <formula1>0</formula1>
    </dataValidation>
    <dataValidation type="whole" operator="greaterThan" allowBlank="1" showInputMessage="1" showErrorMessage="1" sqref="A9190">
      <formula1>0</formula1>
    </dataValidation>
    <dataValidation type="list" allowBlank="1" showInputMessage="1" showErrorMessage="1" sqref="C9190">
      <formula1>UnidadesList</formula1>
    </dataValidation>
    <dataValidation type="decimal" operator="greaterThan" allowBlank="1" showInputMessage="1" showErrorMessage="1" sqref="D9190">
      <formula1>0</formula1>
    </dataValidation>
    <dataValidation type="decimal" operator="greaterThan" allowBlank="1" showInputMessage="1" showErrorMessage="1" sqref="E9190">
      <formula1>0</formula1>
    </dataValidation>
    <dataValidation type="whole" operator="greaterThan" allowBlank="1" showInputMessage="1" showErrorMessage="1" sqref="A9191">
      <formula1>0</formula1>
    </dataValidation>
    <dataValidation type="list" allowBlank="1" showInputMessage="1" showErrorMessage="1" sqref="C9191">
      <formula1>UnidadesList</formula1>
    </dataValidation>
    <dataValidation type="decimal" operator="greaterThan" allowBlank="1" showInputMessage="1" showErrorMessage="1" sqref="D9191">
      <formula1>0</formula1>
    </dataValidation>
    <dataValidation type="decimal" operator="greaterThan" allowBlank="1" showInputMessage="1" showErrorMessage="1" sqref="E9191">
      <formula1>0</formula1>
    </dataValidation>
    <dataValidation type="whole" operator="greaterThan" allowBlank="1" showInputMessage="1" showErrorMessage="1" sqref="A9192">
      <formula1>0</formula1>
    </dataValidation>
    <dataValidation type="list" allowBlank="1" showInputMessage="1" showErrorMessage="1" sqref="C9192">
      <formula1>UnidadesList</formula1>
    </dataValidation>
    <dataValidation type="decimal" operator="greaterThan" allowBlank="1" showInputMessage="1" showErrorMessage="1" sqref="D9192">
      <formula1>0</formula1>
    </dataValidation>
    <dataValidation type="decimal" operator="greaterThan" allowBlank="1" showInputMessage="1" showErrorMessage="1" sqref="E9192">
      <formula1>0</formula1>
    </dataValidation>
    <dataValidation type="whole" operator="greaterThan" allowBlank="1" showInputMessage="1" showErrorMessage="1" sqref="A9193">
      <formula1>0</formula1>
    </dataValidation>
    <dataValidation type="list" allowBlank="1" showInputMessage="1" showErrorMessage="1" sqref="C9193">
      <formula1>UnidadesList</formula1>
    </dataValidation>
    <dataValidation type="decimal" operator="greaterThan" allowBlank="1" showInputMessage="1" showErrorMessage="1" sqref="D9193">
      <formula1>0</formula1>
    </dataValidation>
    <dataValidation type="decimal" operator="greaterThan" allowBlank="1" showInputMessage="1" showErrorMessage="1" sqref="E9193">
      <formula1>0</formula1>
    </dataValidation>
    <dataValidation type="whole" operator="greaterThan" allowBlank="1" showInputMessage="1" showErrorMessage="1" sqref="A9194">
      <formula1>0</formula1>
    </dataValidation>
    <dataValidation type="list" allowBlank="1" showInputMessage="1" showErrorMessage="1" sqref="C9194">
      <formula1>UnidadesList</formula1>
    </dataValidation>
    <dataValidation type="decimal" operator="greaterThan" allowBlank="1" showInputMessage="1" showErrorMessage="1" sqref="D9194">
      <formula1>0</formula1>
    </dataValidation>
    <dataValidation type="decimal" operator="greaterThan" allowBlank="1" showInputMessage="1" showErrorMessage="1" sqref="E9194">
      <formula1>0</formula1>
    </dataValidation>
    <dataValidation type="whole" operator="greaterThan" allowBlank="1" showInputMessage="1" showErrorMessage="1" sqref="A9195">
      <formula1>0</formula1>
    </dataValidation>
    <dataValidation type="list" allowBlank="1" showInputMessage="1" showErrorMessage="1" sqref="C9195">
      <formula1>UnidadesList</formula1>
    </dataValidation>
    <dataValidation type="decimal" operator="greaterThan" allowBlank="1" showInputMessage="1" showErrorMessage="1" sqref="D9195">
      <formula1>0</formula1>
    </dataValidation>
    <dataValidation type="decimal" operator="greaterThan" allowBlank="1" showInputMessage="1" showErrorMessage="1" sqref="E9195">
      <formula1>0</formula1>
    </dataValidation>
    <dataValidation type="whole" operator="greaterThan" allowBlank="1" showInputMessage="1" showErrorMessage="1" sqref="A9196">
      <formula1>0</formula1>
    </dataValidation>
    <dataValidation type="list" allowBlank="1" showInputMessage="1" showErrorMessage="1" sqref="C9196">
      <formula1>UnidadesList</formula1>
    </dataValidation>
    <dataValidation type="decimal" operator="greaterThan" allowBlank="1" showInputMessage="1" showErrorMessage="1" sqref="D9196">
      <formula1>0</formula1>
    </dataValidation>
    <dataValidation type="decimal" operator="greaterThan" allowBlank="1" showInputMessage="1" showErrorMessage="1" sqref="E9196">
      <formula1>0</formula1>
    </dataValidation>
    <dataValidation type="whole" operator="greaterThan" allowBlank="1" showInputMessage="1" showErrorMessage="1" sqref="A9197">
      <formula1>0</formula1>
    </dataValidation>
    <dataValidation type="list" allowBlank="1" showInputMessage="1" showErrorMessage="1" sqref="C9197">
      <formula1>UnidadesList</formula1>
    </dataValidation>
    <dataValidation type="decimal" operator="greaterThan" allowBlank="1" showInputMessage="1" showErrorMessage="1" sqref="D9197">
      <formula1>0</formula1>
    </dataValidation>
    <dataValidation type="decimal" operator="greaterThan" allowBlank="1" showInputMessage="1" showErrorMessage="1" sqref="E9197">
      <formula1>0</formula1>
    </dataValidation>
    <dataValidation type="whole" operator="greaterThan" allowBlank="1" showInputMessage="1" showErrorMessage="1" sqref="A9198">
      <formula1>0</formula1>
    </dataValidation>
    <dataValidation type="list" allowBlank="1" showInputMessage="1" showErrorMessage="1" sqref="C9198">
      <formula1>UnidadesList</formula1>
    </dataValidation>
    <dataValidation type="decimal" operator="greaterThan" allowBlank="1" showInputMessage="1" showErrorMessage="1" sqref="D9198">
      <formula1>0</formula1>
    </dataValidation>
    <dataValidation type="decimal" operator="greaterThan" allowBlank="1" showInputMessage="1" showErrorMessage="1" sqref="E9198">
      <formula1>0</formula1>
    </dataValidation>
    <dataValidation type="whole" operator="greaterThan" allowBlank="1" showInputMessage="1" showErrorMessage="1" sqref="A9199">
      <formula1>0</formula1>
    </dataValidation>
    <dataValidation type="list" allowBlank="1" showInputMessage="1" showErrorMessage="1" sqref="C9199">
      <formula1>UnidadesList</formula1>
    </dataValidation>
    <dataValidation type="decimal" operator="greaterThan" allowBlank="1" showInputMessage="1" showErrorMessage="1" sqref="D9199">
      <formula1>0</formula1>
    </dataValidation>
    <dataValidation type="decimal" operator="greaterThan" allowBlank="1" showInputMessage="1" showErrorMessage="1" sqref="E9199">
      <formula1>0</formula1>
    </dataValidation>
    <dataValidation type="whole" operator="greaterThan" allowBlank="1" showInputMessage="1" showErrorMessage="1" sqref="A9200">
      <formula1>0</formula1>
    </dataValidation>
    <dataValidation type="list" allowBlank="1" showInputMessage="1" showErrorMessage="1" sqref="C9200">
      <formula1>UnidadesList</formula1>
    </dataValidation>
    <dataValidation type="decimal" operator="greaterThan" allowBlank="1" showInputMessage="1" showErrorMessage="1" sqref="D9200">
      <formula1>0</formula1>
    </dataValidation>
    <dataValidation type="decimal" operator="greaterThan" allowBlank="1" showInputMessage="1" showErrorMessage="1" sqref="E9200">
      <formula1>0</formula1>
    </dataValidation>
    <dataValidation type="whole" operator="greaterThan" allowBlank="1" showInputMessage="1" showErrorMessage="1" sqref="A9201">
      <formula1>0</formula1>
    </dataValidation>
    <dataValidation type="list" allowBlank="1" showInputMessage="1" showErrorMessage="1" sqref="C9201">
      <formula1>UnidadesList</formula1>
    </dataValidation>
    <dataValidation type="decimal" operator="greaterThan" allowBlank="1" showInputMessage="1" showErrorMessage="1" sqref="D9201">
      <formula1>0</formula1>
    </dataValidation>
    <dataValidation type="decimal" operator="greaterThan" allowBlank="1" showInputMessage="1" showErrorMessage="1" sqref="E9201">
      <formula1>0</formula1>
    </dataValidation>
    <dataValidation type="whole" operator="greaterThan" allowBlank="1" showInputMessage="1" showErrorMessage="1" sqref="A9202">
      <formula1>0</formula1>
    </dataValidation>
    <dataValidation type="list" allowBlank="1" showInputMessage="1" showErrorMessage="1" sqref="C9202">
      <formula1>UnidadesList</formula1>
    </dataValidation>
    <dataValidation type="decimal" operator="greaterThan" allowBlank="1" showInputMessage="1" showErrorMessage="1" sqref="D9202">
      <formula1>0</formula1>
    </dataValidation>
    <dataValidation type="decimal" operator="greaterThan" allowBlank="1" showInputMessage="1" showErrorMessage="1" sqref="E9202">
      <formula1>0</formula1>
    </dataValidation>
    <dataValidation type="whole" operator="greaterThan" allowBlank="1" showInputMessage="1" showErrorMessage="1" sqref="A9203">
      <formula1>0</formula1>
    </dataValidation>
    <dataValidation type="list" allowBlank="1" showInputMessage="1" showErrorMessage="1" sqref="C9203">
      <formula1>UnidadesList</formula1>
    </dataValidation>
    <dataValidation type="decimal" operator="greaterThan" allowBlank="1" showInputMessage="1" showErrorMessage="1" sqref="D9203">
      <formula1>0</formula1>
    </dataValidation>
    <dataValidation type="decimal" operator="greaterThan" allowBlank="1" showInputMessage="1" showErrorMessage="1" sqref="E9203">
      <formula1>0</formula1>
    </dataValidation>
    <dataValidation type="whole" operator="greaterThan" allowBlank="1" showInputMessage="1" showErrorMessage="1" sqref="A9204">
      <formula1>0</formula1>
    </dataValidation>
    <dataValidation type="list" allowBlank="1" showInputMessage="1" showErrorMessage="1" sqref="C9204">
      <formula1>UnidadesList</formula1>
    </dataValidation>
    <dataValidation type="decimal" operator="greaterThan" allowBlank="1" showInputMessage="1" showErrorMessage="1" sqref="D9204">
      <formula1>0</formula1>
    </dataValidation>
    <dataValidation type="decimal" operator="greaterThan" allowBlank="1" showInputMessage="1" showErrorMessage="1" sqref="E9204">
      <formula1>0</formula1>
    </dataValidation>
    <dataValidation type="whole" operator="greaterThan" allowBlank="1" showInputMessage="1" showErrorMessage="1" sqref="A9205">
      <formula1>0</formula1>
    </dataValidation>
    <dataValidation type="list" allowBlank="1" showInputMessage="1" showErrorMessage="1" sqref="C9205">
      <formula1>UnidadesList</formula1>
    </dataValidation>
    <dataValidation type="decimal" operator="greaterThan" allowBlank="1" showInputMessage="1" showErrorMessage="1" sqref="D9205">
      <formula1>0</formula1>
    </dataValidation>
    <dataValidation type="decimal" operator="greaterThan" allowBlank="1" showInputMessage="1" showErrorMessage="1" sqref="E9205">
      <formula1>0</formula1>
    </dataValidation>
    <dataValidation type="whole" operator="greaterThan" allowBlank="1" showInputMessage="1" showErrorMessage="1" sqref="A9206">
      <formula1>0</formula1>
    </dataValidation>
    <dataValidation type="list" allowBlank="1" showInputMessage="1" showErrorMessage="1" sqref="C9206">
      <formula1>UnidadesList</formula1>
    </dataValidation>
    <dataValidation type="decimal" operator="greaterThan" allowBlank="1" showInputMessage="1" showErrorMessage="1" sqref="D9206">
      <formula1>0</formula1>
    </dataValidation>
    <dataValidation type="decimal" operator="greaterThan" allowBlank="1" showInputMessage="1" showErrorMessage="1" sqref="E9206">
      <formula1>0</formula1>
    </dataValidation>
    <dataValidation type="whole" operator="greaterThan" allowBlank="1" showInputMessage="1" showErrorMessage="1" sqref="A9207">
      <formula1>0</formula1>
    </dataValidation>
    <dataValidation type="list" allowBlank="1" showInputMessage="1" showErrorMessage="1" sqref="C9207">
      <formula1>UnidadesList</formula1>
    </dataValidation>
    <dataValidation type="decimal" operator="greaterThan" allowBlank="1" showInputMessage="1" showErrorMessage="1" sqref="D9207">
      <formula1>0</formula1>
    </dataValidation>
    <dataValidation type="decimal" operator="greaterThan" allowBlank="1" showInputMessage="1" showErrorMessage="1" sqref="E9207">
      <formula1>0</formula1>
    </dataValidation>
    <dataValidation type="whole" operator="greaterThan" allowBlank="1" showInputMessage="1" showErrorMessage="1" sqref="A9208">
      <formula1>0</formula1>
    </dataValidation>
    <dataValidation type="list" allowBlank="1" showInputMessage="1" showErrorMessage="1" sqref="C9208">
      <formula1>UnidadesList</formula1>
    </dataValidation>
    <dataValidation type="decimal" operator="greaterThan" allowBlank="1" showInputMessage="1" showErrorMessage="1" sqref="D9208">
      <formula1>0</formula1>
    </dataValidation>
    <dataValidation type="decimal" operator="greaterThan" allowBlank="1" showInputMessage="1" showErrorMessage="1" sqref="E9208">
      <formula1>0</formula1>
    </dataValidation>
    <dataValidation type="whole" operator="greaterThan" allowBlank="1" showInputMessage="1" showErrorMessage="1" sqref="A9209">
      <formula1>0</formula1>
    </dataValidation>
    <dataValidation type="list" allowBlank="1" showInputMessage="1" showErrorMessage="1" sqref="C9209">
      <formula1>UnidadesList</formula1>
    </dataValidation>
    <dataValidation type="decimal" operator="greaterThan" allowBlank="1" showInputMessage="1" showErrorMessage="1" sqref="D9209">
      <formula1>0</formula1>
    </dataValidation>
    <dataValidation type="decimal" operator="greaterThan" allowBlank="1" showInputMessage="1" showErrorMessage="1" sqref="E9209">
      <formula1>0</formula1>
    </dataValidation>
    <dataValidation type="whole" operator="greaterThan" allowBlank="1" showInputMessage="1" showErrorMessage="1" sqref="A9210">
      <formula1>0</formula1>
    </dataValidation>
    <dataValidation type="list" allowBlank="1" showInputMessage="1" showErrorMessage="1" sqref="C9210">
      <formula1>UnidadesList</formula1>
    </dataValidation>
    <dataValidation type="decimal" operator="greaterThan" allowBlank="1" showInputMessage="1" showErrorMessage="1" sqref="D9210">
      <formula1>0</formula1>
    </dataValidation>
    <dataValidation type="decimal" operator="greaterThan" allowBlank="1" showInputMessage="1" showErrorMessage="1" sqref="E9210">
      <formula1>0</formula1>
    </dataValidation>
    <dataValidation type="whole" operator="greaterThan" allowBlank="1" showInputMessage="1" showErrorMessage="1" sqref="A9211">
      <formula1>0</formula1>
    </dataValidation>
    <dataValidation type="list" allowBlank="1" showInputMessage="1" showErrorMessage="1" sqref="C9211">
      <formula1>UnidadesList</formula1>
    </dataValidation>
    <dataValidation type="decimal" operator="greaterThan" allowBlank="1" showInputMessage="1" showErrorMessage="1" sqref="D9211">
      <formula1>0</formula1>
    </dataValidation>
    <dataValidation type="decimal" operator="greaterThan" allowBlank="1" showInputMessage="1" showErrorMessage="1" sqref="E9211">
      <formula1>0</formula1>
    </dataValidation>
    <dataValidation type="whole" operator="greaterThan" allowBlank="1" showInputMessage="1" showErrorMessage="1" sqref="A9212">
      <formula1>0</formula1>
    </dataValidation>
    <dataValidation type="list" allowBlank="1" showInputMessage="1" showErrorMessage="1" sqref="C9212">
      <formula1>UnidadesList</formula1>
    </dataValidation>
    <dataValidation type="decimal" operator="greaterThan" allowBlank="1" showInputMessage="1" showErrorMessage="1" sqref="D9212">
      <formula1>0</formula1>
    </dataValidation>
    <dataValidation type="decimal" operator="greaterThan" allowBlank="1" showInputMessage="1" showErrorMessage="1" sqref="E9212">
      <formula1>0</formula1>
    </dataValidation>
    <dataValidation type="whole" operator="greaterThan" allowBlank="1" showInputMessage="1" showErrorMessage="1" sqref="A9213">
      <formula1>0</formula1>
    </dataValidation>
    <dataValidation type="list" allowBlank="1" showInputMessage="1" showErrorMessage="1" sqref="C9213">
      <formula1>UnidadesList</formula1>
    </dataValidation>
    <dataValidation type="decimal" operator="greaterThan" allowBlank="1" showInputMessage="1" showErrorMessage="1" sqref="D9213">
      <formula1>0</formula1>
    </dataValidation>
    <dataValidation type="decimal" operator="greaterThan" allowBlank="1" showInputMessage="1" showErrorMessage="1" sqref="E9213">
      <formula1>0</formula1>
    </dataValidation>
    <dataValidation type="whole" operator="greaterThan" allowBlank="1" showInputMessage="1" showErrorMessage="1" sqref="A9214">
      <formula1>0</formula1>
    </dataValidation>
    <dataValidation type="list" allowBlank="1" showInputMessage="1" showErrorMessage="1" sqref="C9214">
      <formula1>UnidadesList</formula1>
    </dataValidation>
    <dataValidation type="decimal" operator="greaterThan" allowBlank="1" showInputMessage="1" showErrorMessage="1" sqref="D9214">
      <formula1>0</formula1>
    </dataValidation>
    <dataValidation type="decimal" operator="greaterThan" allowBlank="1" showInputMessage="1" showErrorMessage="1" sqref="E9214">
      <formula1>0</formula1>
    </dataValidation>
    <dataValidation type="whole" operator="greaterThan" allowBlank="1" showInputMessage="1" showErrorMessage="1" sqref="A9215">
      <formula1>0</formula1>
    </dataValidation>
    <dataValidation type="list" allowBlank="1" showInputMessage="1" showErrorMessage="1" sqref="C9215">
      <formula1>UnidadesList</formula1>
    </dataValidation>
    <dataValidation type="decimal" operator="greaterThan" allowBlank="1" showInputMessage="1" showErrorMessage="1" sqref="D9215">
      <formula1>0</formula1>
    </dataValidation>
    <dataValidation type="decimal" operator="greaterThan" allowBlank="1" showInputMessage="1" showErrorMessage="1" sqref="E9215">
      <formula1>0</formula1>
    </dataValidation>
    <dataValidation type="whole" operator="greaterThan" allowBlank="1" showInputMessage="1" showErrorMessage="1" sqref="A9216">
      <formula1>0</formula1>
    </dataValidation>
    <dataValidation type="list" allowBlank="1" showInputMessage="1" showErrorMessage="1" sqref="C9216">
      <formula1>UnidadesList</formula1>
    </dataValidation>
    <dataValidation type="decimal" operator="greaterThan" allowBlank="1" showInputMessage="1" showErrorMessage="1" sqref="D9216">
      <formula1>0</formula1>
    </dataValidation>
    <dataValidation type="decimal" operator="greaterThan" allowBlank="1" showInputMessage="1" showErrorMessage="1" sqref="E9216">
      <formula1>0</formula1>
    </dataValidation>
    <dataValidation type="whole" operator="greaterThan" allowBlank="1" showInputMessage="1" showErrorMessage="1" sqref="A9217">
      <formula1>0</formula1>
    </dataValidation>
    <dataValidation type="list" allowBlank="1" showInputMessage="1" showErrorMessage="1" sqref="C9217">
      <formula1>UnidadesList</formula1>
    </dataValidation>
    <dataValidation type="decimal" operator="greaterThan" allowBlank="1" showInputMessage="1" showErrorMessage="1" sqref="D9217">
      <formula1>0</formula1>
    </dataValidation>
    <dataValidation type="decimal" operator="greaterThan" allowBlank="1" showInputMessage="1" showErrorMessage="1" sqref="E9217">
      <formula1>0</formula1>
    </dataValidation>
    <dataValidation type="whole" operator="greaterThan" allowBlank="1" showInputMessage="1" showErrorMessage="1" sqref="A9218">
      <formula1>0</formula1>
    </dataValidation>
    <dataValidation type="list" allowBlank="1" showInputMessage="1" showErrorMessage="1" sqref="C9218">
      <formula1>UnidadesList</formula1>
    </dataValidation>
    <dataValidation type="decimal" operator="greaterThan" allowBlank="1" showInputMessage="1" showErrorMessage="1" sqref="D9218">
      <formula1>0</formula1>
    </dataValidation>
    <dataValidation type="decimal" operator="greaterThan" allowBlank="1" showInputMessage="1" showErrorMessage="1" sqref="E9218">
      <formula1>0</formula1>
    </dataValidation>
    <dataValidation type="whole" operator="greaterThan" allowBlank="1" showInputMessage="1" showErrorMessage="1" sqref="A9219">
      <formula1>0</formula1>
    </dataValidation>
    <dataValidation type="list" allowBlank="1" showInputMessage="1" showErrorMessage="1" sqref="C9219">
      <formula1>UnidadesList</formula1>
    </dataValidation>
    <dataValidation type="decimal" operator="greaterThan" allowBlank="1" showInputMessage="1" showErrorMessage="1" sqref="D9219">
      <formula1>0</formula1>
    </dataValidation>
    <dataValidation type="decimal" operator="greaterThan" allowBlank="1" showInputMessage="1" showErrorMessage="1" sqref="E9219">
      <formula1>0</formula1>
    </dataValidation>
    <dataValidation type="whole" operator="greaterThan" allowBlank="1" showInputMessage="1" showErrorMessage="1" sqref="A9220">
      <formula1>0</formula1>
    </dataValidation>
    <dataValidation type="list" allowBlank="1" showInputMessage="1" showErrorMessage="1" sqref="C9220">
      <formula1>UnidadesList</formula1>
    </dataValidation>
    <dataValidation type="decimal" operator="greaterThan" allowBlank="1" showInputMessage="1" showErrorMessage="1" sqref="D9220">
      <formula1>0</formula1>
    </dataValidation>
    <dataValidation type="decimal" operator="greaterThan" allowBlank="1" showInputMessage="1" showErrorMessage="1" sqref="E9220">
      <formula1>0</formula1>
    </dataValidation>
    <dataValidation type="whole" operator="greaterThan" allowBlank="1" showInputMessage="1" showErrorMessage="1" sqref="A9221">
      <formula1>0</formula1>
    </dataValidation>
    <dataValidation type="list" allowBlank="1" showInputMessage="1" showErrorMessage="1" sqref="C9221">
      <formula1>UnidadesList</formula1>
    </dataValidation>
    <dataValidation type="decimal" operator="greaterThan" allowBlank="1" showInputMessage="1" showErrorMessage="1" sqref="D9221">
      <formula1>0</formula1>
    </dataValidation>
    <dataValidation type="decimal" operator="greaterThan" allowBlank="1" showInputMessage="1" showErrorMessage="1" sqref="E9221">
      <formula1>0</formula1>
    </dataValidation>
    <dataValidation type="whole" operator="greaterThan" allowBlank="1" showInputMessage="1" showErrorMessage="1" sqref="A9222">
      <formula1>0</formula1>
    </dataValidation>
    <dataValidation type="list" allowBlank="1" showInputMessage="1" showErrorMessage="1" sqref="C9222">
      <formula1>UnidadesList</formula1>
    </dataValidation>
    <dataValidation type="decimal" operator="greaterThan" allowBlank="1" showInputMessage="1" showErrorMessage="1" sqref="D9222">
      <formula1>0</formula1>
    </dataValidation>
    <dataValidation type="decimal" operator="greaterThan" allowBlank="1" showInputMessage="1" showErrorMessage="1" sqref="E9222">
      <formula1>0</formula1>
    </dataValidation>
    <dataValidation type="date" operator="lessThanOrEqual" allowBlank="1" showInputMessage="1" showErrorMessage="1" sqref="C9227">
      <formula1>C9229</formula1>
    </dataValidation>
    <dataValidation type="date" operator="greaterThanOrEqual" allowBlank="1" showInputMessage="1" showErrorMessage="1" sqref="C9229">
      <formula1>C9227</formula1>
    </dataValidation>
    <dataValidation type="list" allowBlank="1" showInputMessage="1" showErrorMessage="1" sqref="F92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233">
      <formula1>0</formula1>
    </dataValidation>
    <dataValidation type="list" allowBlank="1" showInputMessage="1" showErrorMessage="1" sqref="C9233">
      <formula1>UnidadesList</formula1>
    </dataValidation>
    <dataValidation type="decimal" operator="greaterThan" allowBlank="1" showInputMessage="1" showErrorMessage="1" sqref="D9233">
      <formula1>0</formula1>
    </dataValidation>
    <dataValidation type="decimal" operator="greaterThan" allowBlank="1" showInputMessage="1" showErrorMessage="1" sqref="E9233">
      <formula1>0</formula1>
    </dataValidation>
    <dataValidation type="date" operator="lessThanOrEqual" allowBlank="1" showInputMessage="1" showErrorMessage="1" sqref="C9238">
      <formula1>C9240</formula1>
    </dataValidation>
    <dataValidation type="date" operator="greaterThanOrEqual" allowBlank="1" showInputMessage="1" showErrorMessage="1" sqref="C9240">
      <formula1>C9238</formula1>
    </dataValidation>
    <dataValidation type="list" allowBlank="1" showInputMessage="1" showErrorMessage="1" sqref="F923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3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4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4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244">
      <formula1>0</formula1>
    </dataValidation>
    <dataValidation type="list" allowBlank="1" showInputMessage="1" showErrorMessage="1" sqref="C9244">
      <formula1>UnidadesList</formula1>
    </dataValidation>
    <dataValidation type="decimal" operator="greaterThan" allowBlank="1" showInputMessage="1" showErrorMessage="1" sqref="D9244">
      <formula1>0</formula1>
    </dataValidation>
    <dataValidation type="decimal" operator="greaterThan" allowBlank="1" showInputMessage="1" showErrorMessage="1" sqref="E9244">
      <formula1>0</formula1>
    </dataValidation>
    <dataValidation type="date" operator="lessThanOrEqual" allowBlank="1" showInputMessage="1" showErrorMessage="1" sqref="C9249">
      <formula1>C9251</formula1>
    </dataValidation>
    <dataValidation type="date" operator="greaterThanOrEqual" allowBlank="1" showInputMessage="1" showErrorMessage="1" sqref="C9251">
      <formula1>C9249</formula1>
    </dataValidation>
    <dataValidation type="list" allowBlank="1" showInputMessage="1" showErrorMessage="1" sqref="F924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5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5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5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255">
      <formula1>0</formula1>
    </dataValidation>
    <dataValidation type="list" allowBlank="1" showInputMessage="1" showErrorMessage="1" sqref="C9255">
      <formula1>UnidadesList</formula1>
    </dataValidation>
    <dataValidation type="decimal" operator="greaterThan" allowBlank="1" showInputMessage="1" showErrorMessage="1" sqref="D9255">
      <formula1>0</formula1>
    </dataValidation>
    <dataValidation type="decimal" operator="greaterThan" allowBlank="1" showInputMessage="1" showErrorMessage="1" sqref="E9255">
      <formula1>0</formula1>
    </dataValidation>
    <dataValidation type="whole" operator="greaterThan" allowBlank="1" showInputMessage="1" showErrorMessage="1" sqref="A9256">
      <formula1>0</formula1>
    </dataValidation>
    <dataValidation type="list" allowBlank="1" showInputMessage="1" showErrorMessage="1" sqref="C9256">
      <formula1>UnidadesList</formula1>
    </dataValidation>
    <dataValidation type="decimal" operator="greaterThan" allowBlank="1" showInputMessage="1" showErrorMessage="1" sqref="D9256">
      <formula1>0</formula1>
    </dataValidation>
    <dataValidation type="decimal" operator="greaterThan" allowBlank="1" showInputMessage="1" showErrorMessage="1" sqref="E9256">
      <formula1>0</formula1>
    </dataValidation>
    <dataValidation type="whole" operator="greaterThan" allowBlank="1" showInputMessage="1" showErrorMessage="1" sqref="A9257">
      <formula1>0</formula1>
    </dataValidation>
    <dataValidation type="list" allowBlank="1" showInputMessage="1" showErrorMessage="1" sqref="C9257">
      <formula1>UnidadesList</formula1>
    </dataValidation>
    <dataValidation type="decimal" operator="greaterThan" allowBlank="1" showInputMessage="1" showErrorMessage="1" sqref="D9257">
      <formula1>0</formula1>
    </dataValidation>
    <dataValidation type="decimal" operator="greaterThan" allowBlank="1" showInputMessage="1" showErrorMessage="1" sqref="E9257">
      <formula1>0</formula1>
    </dataValidation>
    <dataValidation type="whole" operator="greaterThan" allowBlank="1" showInputMessage="1" showErrorMessage="1" sqref="A9258">
      <formula1>0</formula1>
    </dataValidation>
    <dataValidation type="list" allowBlank="1" showInputMessage="1" showErrorMessage="1" sqref="C9258">
      <formula1>UnidadesList</formula1>
    </dataValidation>
    <dataValidation type="decimal" operator="greaterThan" allowBlank="1" showInputMessage="1" showErrorMessage="1" sqref="D9258">
      <formula1>0</formula1>
    </dataValidation>
    <dataValidation type="decimal" operator="greaterThan" allowBlank="1" showInputMessage="1" showErrorMessage="1" sqref="E9258">
      <formula1>0</formula1>
    </dataValidation>
    <dataValidation type="whole" operator="greaterThan" allowBlank="1" showInputMessage="1" showErrorMessage="1" sqref="A9259">
      <formula1>0</formula1>
    </dataValidation>
    <dataValidation type="list" allowBlank="1" showInputMessage="1" showErrorMessage="1" sqref="C9259">
      <formula1>UnidadesList</formula1>
    </dataValidation>
    <dataValidation type="decimal" operator="greaterThan" allowBlank="1" showInputMessage="1" showErrorMessage="1" sqref="D9259">
      <formula1>0</formula1>
    </dataValidation>
    <dataValidation type="decimal" operator="greaterThan" allowBlank="1" showInputMessage="1" showErrorMessage="1" sqref="E9259">
      <formula1>0</formula1>
    </dataValidation>
    <dataValidation type="whole" operator="greaterThan" allowBlank="1" showInputMessage="1" showErrorMessage="1" sqref="A9260">
      <formula1>0</formula1>
    </dataValidation>
    <dataValidation type="list" allowBlank="1" showInputMessage="1" showErrorMessage="1" sqref="C9260">
      <formula1>UnidadesList</formula1>
    </dataValidation>
    <dataValidation type="decimal" operator="greaterThan" allowBlank="1" showInputMessage="1" showErrorMessage="1" sqref="D9260">
      <formula1>0</formula1>
    </dataValidation>
    <dataValidation type="decimal" operator="greaterThan" allowBlank="1" showInputMessage="1" showErrorMessage="1" sqref="E9260">
      <formula1>0</formula1>
    </dataValidation>
    <dataValidation type="whole" operator="greaterThan" allowBlank="1" showInputMessage="1" showErrorMessage="1" sqref="A9261">
      <formula1>0</formula1>
    </dataValidation>
    <dataValidation type="list" allowBlank="1" showInputMessage="1" showErrorMessage="1" sqref="C9261">
      <formula1>UnidadesList</formula1>
    </dataValidation>
    <dataValidation type="decimal" operator="greaterThan" allowBlank="1" showInputMessage="1" showErrorMessage="1" sqref="D9261">
      <formula1>0</formula1>
    </dataValidation>
    <dataValidation type="decimal" operator="greaterThan" allowBlank="1" showInputMessage="1" showErrorMessage="1" sqref="E9261">
      <formula1>0</formula1>
    </dataValidation>
    <dataValidation type="whole" operator="greaterThan" allowBlank="1" showInputMessage="1" showErrorMessage="1" sqref="A9262">
      <formula1>0</formula1>
    </dataValidation>
    <dataValidation type="list" allowBlank="1" showInputMessage="1" showErrorMessage="1" sqref="C9262">
      <formula1>UnidadesList</formula1>
    </dataValidation>
    <dataValidation type="decimal" operator="greaterThan" allowBlank="1" showInputMessage="1" showErrorMessage="1" sqref="D9262">
      <formula1>0</formula1>
    </dataValidation>
    <dataValidation type="decimal" operator="greaterThan" allowBlank="1" showInputMessage="1" showErrorMessage="1" sqref="E9262">
      <formula1>0</formula1>
    </dataValidation>
    <dataValidation type="whole" operator="greaterThan" allowBlank="1" showInputMessage="1" showErrorMessage="1" sqref="A9263">
      <formula1>0</formula1>
    </dataValidation>
    <dataValidation type="list" allowBlank="1" showInputMessage="1" showErrorMessage="1" sqref="C9263">
      <formula1>UnidadesList</formula1>
    </dataValidation>
    <dataValidation type="decimal" operator="greaterThan" allowBlank="1" showInputMessage="1" showErrorMessage="1" sqref="D9263">
      <formula1>0</formula1>
    </dataValidation>
    <dataValidation type="decimal" operator="greaterThan" allowBlank="1" showInputMessage="1" showErrorMessage="1" sqref="E9263">
      <formula1>0</formula1>
    </dataValidation>
    <dataValidation type="whole" operator="greaterThan" allowBlank="1" showInputMessage="1" showErrorMessage="1" sqref="A9264">
      <formula1>0</formula1>
    </dataValidation>
    <dataValidation type="list" allowBlank="1" showInputMessage="1" showErrorMessage="1" sqref="C9264">
      <formula1>UnidadesList</formula1>
    </dataValidation>
    <dataValidation type="decimal" operator="greaterThan" allowBlank="1" showInputMessage="1" showErrorMessage="1" sqref="D9264">
      <formula1>0</formula1>
    </dataValidation>
    <dataValidation type="decimal" operator="greaterThan" allowBlank="1" showInputMessage="1" showErrorMessage="1" sqref="E9264">
      <formula1>0</formula1>
    </dataValidation>
    <dataValidation type="whole" operator="greaterThan" allowBlank="1" showInputMessage="1" showErrorMessage="1" sqref="A9265">
      <formula1>0</formula1>
    </dataValidation>
    <dataValidation type="list" allowBlank="1" showInputMessage="1" showErrorMessage="1" sqref="C9265">
      <formula1>UnidadesList</formula1>
    </dataValidation>
    <dataValidation type="decimal" operator="greaterThan" allowBlank="1" showInputMessage="1" showErrorMessage="1" sqref="D9265">
      <formula1>0</formula1>
    </dataValidation>
    <dataValidation type="decimal" operator="greaterThan" allowBlank="1" showInputMessage="1" showErrorMessage="1" sqref="E9265">
      <formula1>0</formula1>
    </dataValidation>
    <dataValidation type="whole" operator="greaterThan" allowBlank="1" showInputMessage="1" showErrorMessage="1" sqref="A9266">
      <formula1>0</formula1>
    </dataValidation>
    <dataValidation type="list" allowBlank="1" showInputMessage="1" showErrorMessage="1" sqref="C9266">
      <formula1>UnidadesList</formula1>
    </dataValidation>
    <dataValidation type="decimal" operator="greaterThan" allowBlank="1" showInputMessage="1" showErrorMessage="1" sqref="D9266">
      <formula1>0</formula1>
    </dataValidation>
    <dataValidation type="decimal" operator="greaterThan" allowBlank="1" showInputMessage="1" showErrorMessage="1" sqref="E9266">
      <formula1>0</formula1>
    </dataValidation>
    <dataValidation type="whole" operator="greaterThan" allowBlank="1" showInputMessage="1" showErrorMessage="1" sqref="A9267">
      <formula1>0</formula1>
    </dataValidation>
    <dataValidation type="list" allowBlank="1" showInputMessage="1" showErrorMessage="1" sqref="C9267">
      <formula1>UnidadesList</formula1>
    </dataValidation>
    <dataValidation type="decimal" operator="greaterThan" allowBlank="1" showInputMessage="1" showErrorMessage="1" sqref="D9267">
      <formula1>0</formula1>
    </dataValidation>
    <dataValidation type="decimal" operator="greaterThan" allowBlank="1" showInputMessage="1" showErrorMessage="1" sqref="E9267">
      <formula1>0</formula1>
    </dataValidation>
    <dataValidation type="whole" operator="greaterThan" allowBlank="1" showInputMessage="1" showErrorMessage="1" sqref="A9268">
      <formula1>0</formula1>
    </dataValidation>
    <dataValidation type="list" allowBlank="1" showInputMessage="1" showErrorMessage="1" sqref="C9268">
      <formula1>UnidadesList</formula1>
    </dataValidation>
    <dataValidation type="decimal" operator="greaterThan" allowBlank="1" showInputMessage="1" showErrorMessage="1" sqref="D9268">
      <formula1>0</formula1>
    </dataValidation>
    <dataValidation type="decimal" operator="greaterThan" allowBlank="1" showInputMessage="1" showErrorMessage="1" sqref="E9268">
      <formula1>0</formula1>
    </dataValidation>
    <dataValidation type="whole" operator="greaterThan" allowBlank="1" showInputMessage="1" showErrorMessage="1" sqref="A9269">
      <formula1>0</formula1>
    </dataValidation>
    <dataValidation type="list" allowBlank="1" showInputMessage="1" showErrorMessage="1" sqref="C9269">
      <formula1>UnidadesList</formula1>
    </dataValidation>
    <dataValidation type="decimal" operator="greaterThan" allowBlank="1" showInputMessage="1" showErrorMessage="1" sqref="D9269">
      <formula1>0</formula1>
    </dataValidation>
    <dataValidation type="decimal" operator="greaterThan" allowBlank="1" showInputMessage="1" showErrorMessage="1" sqref="E9269">
      <formula1>0</formula1>
    </dataValidation>
    <dataValidation type="whole" operator="greaterThan" allowBlank="1" showInputMessage="1" showErrorMessage="1" sqref="A9270">
      <formula1>0</formula1>
    </dataValidation>
    <dataValidation type="list" allowBlank="1" showInputMessage="1" showErrorMessage="1" sqref="C9270">
      <formula1>UnidadesList</formula1>
    </dataValidation>
    <dataValidation type="decimal" operator="greaterThan" allowBlank="1" showInputMessage="1" showErrorMessage="1" sqref="D9270">
      <formula1>0</formula1>
    </dataValidation>
    <dataValidation type="decimal" operator="greaterThan" allowBlank="1" showInputMessage="1" showErrorMessage="1" sqref="E9270">
      <formula1>0</formula1>
    </dataValidation>
    <dataValidation type="whole" operator="greaterThan" allowBlank="1" showInputMessage="1" showErrorMessage="1" sqref="A9271">
      <formula1>0</formula1>
    </dataValidation>
    <dataValidation type="list" allowBlank="1" showInputMessage="1" showErrorMessage="1" sqref="C9271">
      <formula1>UnidadesList</formula1>
    </dataValidation>
    <dataValidation type="decimal" operator="greaterThan" allowBlank="1" showInputMessage="1" showErrorMessage="1" sqref="D9271">
      <formula1>0</formula1>
    </dataValidation>
    <dataValidation type="decimal" operator="greaterThan" allowBlank="1" showInputMessage="1" showErrorMessage="1" sqref="E9271">
      <formula1>0</formula1>
    </dataValidation>
    <dataValidation type="whole" operator="greaterThan" allowBlank="1" showInputMessage="1" showErrorMessage="1" sqref="A9272">
      <formula1>0</formula1>
    </dataValidation>
    <dataValidation type="list" allowBlank="1" showInputMessage="1" showErrorMessage="1" sqref="C9272">
      <formula1>UnidadesList</formula1>
    </dataValidation>
    <dataValidation type="decimal" operator="greaterThan" allowBlank="1" showInputMessage="1" showErrorMessage="1" sqref="D9272">
      <formula1>0</formula1>
    </dataValidation>
    <dataValidation type="decimal" operator="greaterThan" allowBlank="1" showInputMessage="1" showErrorMessage="1" sqref="E9272">
      <formula1>0</formula1>
    </dataValidation>
    <dataValidation type="whole" operator="greaterThan" allowBlank="1" showInputMessage="1" showErrorMessage="1" sqref="A9273">
      <formula1>0</formula1>
    </dataValidation>
    <dataValidation type="list" allowBlank="1" showInputMessage="1" showErrorMessage="1" sqref="C9273">
      <formula1>UnidadesList</formula1>
    </dataValidation>
    <dataValidation type="decimal" operator="greaterThan" allowBlank="1" showInputMessage="1" showErrorMessage="1" sqref="D9273">
      <formula1>0</formula1>
    </dataValidation>
    <dataValidation type="decimal" operator="greaterThan" allowBlank="1" showInputMessage="1" showErrorMessage="1" sqref="E9273">
      <formula1>0</formula1>
    </dataValidation>
    <dataValidation type="whole" operator="greaterThan" allowBlank="1" showInputMessage="1" showErrorMessage="1" sqref="A9274">
      <formula1>0</formula1>
    </dataValidation>
    <dataValidation type="list" allowBlank="1" showInputMessage="1" showErrorMessage="1" sqref="C9274">
      <formula1>UnidadesList</formula1>
    </dataValidation>
    <dataValidation type="decimal" operator="greaterThan" allowBlank="1" showInputMessage="1" showErrorMessage="1" sqref="D9274">
      <formula1>0</formula1>
    </dataValidation>
    <dataValidation type="decimal" operator="greaterThan" allowBlank="1" showInputMessage="1" showErrorMessage="1" sqref="E9274">
      <formula1>0</formula1>
    </dataValidation>
    <dataValidation type="whole" operator="greaterThan" allowBlank="1" showInputMessage="1" showErrorMessage="1" sqref="A9275">
      <formula1>0</formula1>
    </dataValidation>
    <dataValidation type="list" allowBlank="1" showInputMessage="1" showErrorMessage="1" sqref="C9275">
      <formula1>UnidadesList</formula1>
    </dataValidation>
    <dataValidation type="decimal" operator="greaterThan" allowBlank="1" showInputMessage="1" showErrorMessage="1" sqref="D9275">
      <formula1>0</formula1>
    </dataValidation>
    <dataValidation type="decimal" operator="greaterThan" allowBlank="1" showInputMessage="1" showErrorMessage="1" sqref="E9275">
      <formula1>0</formula1>
    </dataValidation>
    <dataValidation type="whole" operator="greaterThan" allowBlank="1" showInputMessage="1" showErrorMessage="1" sqref="A9276">
      <formula1>0</formula1>
    </dataValidation>
    <dataValidation type="list" allowBlank="1" showInputMessage="1" showErrorMessage="1" sqref="C9276">
      <formula1>UnidadesList</formula1>
    </dataValidation>
    <dataValidation type="decimal" operator="greaterThan" allowBlank="1" showInputMessage="1" showErrorMessage="1" sqref="D9276">
      <formula1>0</formula1>
    </dataValidation>
    <dataValidation type="decimal" operator="greaterThan" allowBlank="1" showInputMessage="1" showErrorMessage="1" sqref="E9276">
      <formula1>0</formula1>
    </dataValidation>
    <dataValidation type="whole" operator="greaterThan" allowBlank="1" showInputMessage="1" showErrorMessage="1" sqref="A9277">
      <formula1>0</formula1>
    </dataValidation>
    <dataValidation type="list" allowBlank="1" showInputMessage="1" showErrorMessage="1" sqref="C9277">
      <formula1>UnidadesList</formula1>
    </dataValidation>
    <dataValidation type="decimal" operator="greaterThan" allowBlank="1" showInputMessage="1" showErrorMessage="1" sqref="D9277">
      <formula1>0</formula1>
    </dataValidation>
    <dataValidation type="decimal" operator="greaterThan" allowBlank="1" showInputMessage="1" showErrorMessage="1" sqref="E9277">
      <formula1>0</formula1>
    </dataValidation>
    <dataValidation type="whole" operator="greaterThan" allowBlank="1" showInputMessage="1" showErrorMessage="1" sqref="A9278">
      <formula1>0</formula1>
    </dataValidation>
    <dataValidation type="list" allowBlank="1" showInputMessage="1" showErrorMessage="1" sqref="C9278">
      <formula1>UnidadesList</formula1>
    </dataValidation>
    <dataValidation type="decimal" operator="greaterThan" allowBlank="1" showInputMessage="1" showErrorMessage="1" sqref="D9278">
      <formula1>0</formula1>
    </dataValidation>
    <dataValidation type="decimal" operator="greaterThan" allowBlank="1" showInputMessage="1" showErrorMessage="1" sqref="E9278">
      <formula1>0</formula1>
    </dataValidation>
    <dataValidation type="whole" operator="greaterThan" allowBlank="1" showInputMessage="1" showErrorMessage="1" sqref="A9279">
      <formula1>0</formula1>
    </dataValidation>
    <dataValidation type="list" allowBlank="1" showInputMessage="1" showErrorMessage="1" sqref="C9279">
      <formula1>UnidadesList</formula1>
    </dataValidation>
    <dataValidation type="decimal" operator="greaterThan" allowBlank="1" showInputMessage="1" showErrorMessage="1" sqref="D9279">
      <formula1>0</formula1>
    </dataValidation>
    <dataValidation type="decimal" operator="greaterThan" allowBlank="1" showInputMessage="1" showErrorMessage="1" sqref="E9279">
      <formula1>0</formula1>
    </dataValidation>
    <dataValidation type="whole" operator="greaterThan" allowBlank="1" showInputMessage="1" showErrorMessage="1" sqref="A9280">
      <formula1>0</formula1>
    </dataValidation>
    <dataValidation type="list" allowBlank="1" showInputMessage="1" showErrorMessage="1" sqref="C9280">
      <formula1>UnidadesList</formula1>
    </dataValidation>
    <dataValidation type="decimal" operator="greaterThan" allowBlank="1" showInputMessage="1" showErrorMessage="1" sqref="D9280">
      <formula1>0</formula1>
    </dataValidation>
    <dataValidation type="decimal" operator="greaterThan" allowBlank="1" showInputMessage="1" showErrorMessage="1" sqref="E9280">
      <formula1>0</formula1>
    </dataValidation>
    <dataValidation type="whole" operator="greaterThan" allowBlank="1" showInputMessage="1" showErrorMessage="1" sqref="A9281">
      <formula1>0</formula1>
    </dataValidation>
    <dataValidation type="list" allowBlank="1" showInputMessage="1" showErrorMessage="1" sqref="C9281">
      <formula1>UnidadesList</formula1>
    </dataValidation>
    <dataValidation type="decimal" operator="greaterThan" allowBlank="1" showInputMessage="1" showErrorMessage="1" sqref="D9281">
      <formula1>0</formula1>
    </dataValidation>
    <dataValidation type="decimal" operator="greaterThan" allowBlank="1" showInputMessage="1" showErrorMessage="1" sqref="E9281">
      <formula1>0</formula1>
    </dataValidation>
    <dataValidation type="whole" operator="greaterThan" allowBlank="1" showInputMessage="1" showErrorMessage="1" sqref="A9282">
      <formula1>0</formula1>
    </dataValidation>
    <dataValidation type="list" allowBlank="1" showInputMessage="1" showErrorMessage="1" sqref="C9282">
      <formula1>UnidadesList</formula1>
    </dataValidation>
    <dataValidation type="decimal" operator="greaterThan" allowBlank="1" showInputMessage="1" showErrorMessage="1" sqref="D9282">
      <formula1>0</formula1>
    </dataValidation>
    <dataValidation type="decimal" operator="greaterThan" allowBlank="1" showInputMessage="1" showErrorMessage="1" sqref="E9282">
      <formula1>0</formula1>
    </dataValidation>
    <dataValidation type="whole" operator="greaterThan" allowBlank="1" showInputMessage="1" showErrorMessage="1" sqref="A9283">
      <formula1>0</formula1>
    </dataValidation>
    <dataValidation type="list" allowBlank="1" showInputMessage="1" showErrorMessage="1" sqref="C9283">
      <formula1>UnidadesList</formula1>
    </dataValidation>
    <dataValidation type="decimal" operator="greaterThan" allowBlank="1" showInputMessage="1" showErrorMessage="1" sqref="D9283">
      <formula1>0</formula1>
    </dataValidation>
    <dataValidation type="decimal" operator="greaterThan" allowBlank="1" showInputMessage="1" showErrorMessage="1" sqref="E9283">
      <formula1>0</formula1>
    </dataValidation>
    <dataValidation type="whole" operator="greaterThan" allowBlank="1" showInputMessage="1" showErrorMessage="1" sqref="A9284">
      <formula1>0</formula1>
    </dataValidation>
    <dataValidation type="list" allowBlank="1" showInputMessage="1" showErrorMessage="1" sqref="C9284">
      <formula1>UnidadesList</formula1>
    </dataValidation>
    <dataValidation type="decimal" operator="greaterThan" allowBlank="1" showInputMessage="1" showErrorMessage="1" sqref="D9284">
      <formula1>0</formula1>
    </dataValidation>
    <dataValidation type="decimal" operator="greaterThan" allowBlank="1" showInputMessage="1" showErrorMessage="1" sqref="E9284">
      <formula1>0</formula1>
    </dataValidation>
    <dataValidation type="whole" operator="greaterThan" allowBlank="1" showInputMessage="1" showErrorMessage="1" sqref="A9285">
      <formula1>0</formula1>
    </dataValidation>
    <dataValidation type="list" allowBlank="1" showInputMessage="1" showErrorMessage="1" sqref="C9285">
      <formula1>UnidadesList</formula1>
    </dataValidation>
    <dataValidation type="decimal" operator="greaterThan" allowBlank="1" showInputMessage="1" showErrorMessage="1" sqref="D9285">
      <formula1>0</formula1>
    </dataValidation>
    <dataValidation type="decimal" operator="greaterThan" allowBlank="1" showInputMessage="1" showErrorMessage="1" sqref="E9285">
      <formula1>0</formula1>
    </dataValidation>
    <dataValidation type="whole" operator="greaterThan" allowBlank="1" showInputMessage="1" showErrorMessage="1" sqref="A9286">
      <formula1>0</formula1>
    </dataValidation>
    <dataValidation type="list" allowBlank="1" showInputMessage="1" showErrorMessage="1" sqref="C9286">
      <formula1>UnidadesList</formula1>
    </dataValidation>
    <dataValidation type="decimal" operator="greaterThan" allowBlank="1" showInputMessage="1" showErrorMessage="1" sqref="D9286">
      <formula1>0</formula1>
    </dataValidation>
    <dataValidation type="decimal" operator="greaterThan" allowBlank="1" showInputMessage="1" showErrorMessage="1" sqref="E9286">
      <formula1>0</formula1>
    </dataValidation>
    <dataValidation type="whole" operator="greaterThan" allowBlank="1" showInputMessage="1" showErrorMessage="1" sqref="A9287">
      <formula1>0</formula1>
    </dataValidation>
    <dataValidation type="list" allowBlank="1" showInputMessage="1" showErrorMessage="1" sqref="C9287">
      <formula1>UnidadesList</formula1>
    </dataValidation>
    <dataValidation type="decimal" operator="greaterThan" allowBlank="1" showInputMessage="1" showErrorMessage="1" sqref="D9287">
      <formula1>0</formula1>
    </dataValidation>
    <dataValidation type="decimal" operator="greaterThan" allowBlank="1" showInputMessage="1" showErrorMessage="1" sqref="E9287">
      <formula1>0</formula1>
    </dataValidation>
    <dataValidation type="whole" operator="greaterThan" allowBlank="1" showInputMessage="1" showErrorMessage="1" sqref="A9288">
      <formula1>0</formula1>
    </dataValidation>
    <dataValidation type="list" allowBlank="1" showInputMessage="1" showErrorMessage="1" sqref="C9288">
      <formula1>UnidadesList</formula1>
    </dataValidation>
    <dataValidation type="decimal" operator="greaterThan" allowBlank="1" showInputMessage="1" showErrorMessage="1" sqref="D9288">
      <formula1>0</formula1>
    </dataValidation>
    <dataValidation type="decimal" operator="greaterThan" allowBlank="1" showInputMessage="1" showErrorMessage="1" sqref="E9288">
      <formula1>0</formula1>
    </dataValidation>
    <dataValidation type="whole" operator="greaterThan" allowBlank="1" showInputMessage="1" showErrorMessage="1" sqref="A9289">
      <formula1>0</formula1>
    </dataValidation>
    <dataValidation type="list" allowBlank="1" showInputMessage="1" showErrorMessage="1" sqref="C9289">
      <formula1>UnidadesList</formula1>
    </dataValidation>
    <dataValidation type="decimal" operator="greaterThan" allowBlank="1" showInputMessage="1" showErrorMessage="1" sqref="D9289">
      <formula1>0</formula1>
    </dataValidation>
    <dataValidation type="decimal" operator="greaterThan" allowBlank="1" showInputMessage="1" showErrorMessage="1" sqref="E9289">
      <formula1>0</formula1>
    </dataValidation>
    <dataValidation type="whole" operator="greaterThan" allowBlank="1" showInputMessage="1" showErrorMessage="1" sqref="A9290">
      <formula1>0</formula1>
    </dataValidation>
    <dataValidation type="list" allowBlank="1" showInputMessage="1" showErrorMessage="1" sqref="C9290">
      <formula1>UnidadesList</formula1>
    </dataValidation>
    <dataValidation type="decimal" operator="greaterThan" allowBlank="1" showInputMessage="1" showErrorMessage="1" sqref="D9290">
      <formula1>0</formula1>
    </dataValidation>
    <dataValidation type="decimal" operator="greaterThan" allowBlank="1" showInputMessage="1" showErrorMessage="1" sqref="E9290">
      <formula1>0</formula1>
    </dataValidation>
    <dataValidation type="whole" operator="greaterThan" allowBlank="1" showInputMessage="1" showErrorMessage="1" sqref="A9291">
      <formula1>0</formula1>
    </dataValidation>
    <dataValidation type="list" allowBlank="1" showInputMessage="1" showErrorMessage="1" sqref="C9291">
      <formula1>UnidadesList</formula1>
    </dataValidation>
    <dataValidation type="decimal" operator="greaterThan" allowBlank="1" showInputMessage="1" showErrorMessage="1" sqref="D9291">
      <formula1>0</formula1>
    </dataValidation>
    <dataValidation type="decimal" operator="greaterThan" allowBlank="1" showInputMessage="1" showErrorMessage="1" sqref="E9291">
      <formula1>0</formula1>
    </dataValidation>
    <dataValidation type="whole" operator="greaterThan" allowBlank="1" showInputMessage="1" showErrorMessage="1" sqref="A9292">
      <formula1>0</formula1>
    </dataValidation>
    <dataValidation type="list" allowBlank="1" showInputMessage="1" showErrorMessage="1" sqref="C9292">
      <formula1>UnidadesList</formula1>
    </dataValidation>
    <dataValidation type="decimal" operator="greaterThan" allowBlank="1" showInputMessage="1" showErrorMessage="1" sqref="D9292">
      <formula1>0</formula1>
    </dataValidation>
    <dataValidation type="decimal" operator="greaterThan" allowBlank="1" showInputMessage="1" showErrorMessage="1" sqref="E9292">
      <formula1>0</formula1>
    </dataValidation>
    <dataValidation type="whole" operator="greaterThan" allowBlank="1" showInputMessage="1" showErrorMessage="1" sqref="A9293">
      <formula1>0</formula1>
    </dataValidation>
    <dataValidation type="list" allowBlank="1" showInputMessage="1" showErrorMessage="1" sqref="C9293">
      <formula1>UnidadesList</formula1>
    </dataValidation>
    <dataValidation type="decimal" operator="greaterThan" allowBlank="1" showInputMessage="1" showErrorMessage="1" sqref="D9293">
      <formula1>0</formula1>
    </dataValidation>
    <dataValidation type="decimal" operator="greaterThan" allowBlank="1" showInputMessage="1" showErrorMessage="1" sqref="E9293">
      <formula1>0</formula1>
    </dataValidation>
    <dataValidation type="whole" operator="greaterThan" allowBlank="1" showInputMessage="1" showErrorMessage="1" sqref="A9294">
      <formula1>0</formula1>
    </dataValidation>
    <dataValidation type="list" allowBlank="1" showInputMessage="1" showErrorMessage="1" sqref="C9294">
      <formula1>UnidadesList</formula1>
    </dataValidation>
    <dataValidation type="decimal" operator="greaterThan" allowBlank="1" showInputMessage="1" showErrorMessage="1" sqref="D9294">
      <formula1>0</formula1>
    </dataValidation>
    <dataValidation type="decimal" operator="greaterThan" allowBlank="1" showInputMessage="1" showErrorMessage="1" sqref="E9294">
      <formula1>0</formula1>
    </dataValidation>
    <dataValidation type="whole" operator="greaterThan" allowBlank="1" showInputMessage="1" showErrorMessage="1" sqref="A9295">
      <formula1>0</formula1>
    </dataValidation>
    <dataValidation type="list" allowBlank="1" showInputMessage="1" showErrorMessage="1" sqref="C9295">
      <formula1>UnidadesList</formula1>
    </dataValidation>
    <dataValidation type="decimal" operator="greaterThan" allowBlank="1" showInputMessage="1" showErrorMessage="1" sqref="D9295">
      <formula1>0</formula1>
    </dataValidation>
    <dataValidation type="decimal" operator="greaterThan" allowBlank="1" showInputMessage="1" showErrorMessage="1" sqref="E9295">
      <formula1>0</formula1>
    </dataValidation>
    <dataValidation type="whole" operator="greaterThan" allowBlank="1" showInputMessage="1" showErrorMessage="1" sqref="A9296">
      <formula1>0</formula1>
    </dataValidation>
    <dataValidation type="list" allowBlank="1" showInputMessage="1" showErrorMessage="1" sqref="C9296">
      <formula1>UnidadesList</formula1>
    </dataValidation>
    <dataValidation type="decimal" operator="greaterThan" allowBlank="1" showInputMessage="1" showErrorMessage="1" sqref="D9296">
      <formula1>0</formula1>
    </dataValidation>
    <dataValidation type="decimal" operator="greaterThan" allowBlank="1" showInputMessage="1" showErrorMessage="1" sqref="E9296">
      <formula1>0</formula1>
    </dataValidation>
    <dataValidation type="whole" operator="greaterThan" allowBlank="1" showInputMessage="1" showErrorMessage="1" sqref="A9297">
      <formula1>0</formula1>
    </dataValidation>
    <dataValidation type="list" allowBlank="1" showInputMessage="1" showErrorMessage="1" sqref="C9297">
      <formula1>UnidadesList</formula1>
    </dataValidation>
    <dataValidation type="decimal" operator="greaterThan" allowBlank="1" showInputMessage="1" showErrorMessage="1" sqref="D9297">
      <formula1>0</formula1>
    </dataValidation>
    <dataValidation type="decimal" operator="greaterThan" allowBlank="1" showInputMessage="1" showErrorMessage="1" sqref="E9297">
      <formula1>0</formula1>
    </dataValidation>
    <dataValidation type="whole" operator="greaterThan" allowBlank="1" showInputMessage="1" showErrorMessage="1" sqref="A9298">
      <formula1>0</formula1>
    </dataValidation>
    <dataValidation type="list" allowBlank="1" showInputMessage="1" showErrorMessage="1" sqref="C9298">
      <formula1>UnidadesList</formula1>
    </dataValidation>
    <dataValidation type="decimal" operator="greaterThan" allowBlank="1" showInputMessage="1" showErrorMessage="1" sqref="D9298">
      <formula1>0</formula1>
    </dataValidation>
    <dataValidation type="decimal" operator="greaterThan" allowBlank="1" showInputMessage="1" showErrorMessage="1" sqref="E9298">
      <formula1>0</formula1>
    </dataValidation>
    <dataValidation type="whole" operator="greaterThan" allowBlank="1" showInputMessage="1" showErrorMessage="1" sqref="A9299">
      <formula1>0</formula1>
    </dataValidation>
    <dataValidation type="list" allowBlank="1" showInputMessage="1" showErrorMessage="1" sqref="C9299">
      <formula1>UnidadesList</formula1>
    </dataValidation>
    <dataValidation type="decimal" operator="greaterThan" allowBlank="1" showInputMessage="1" showErrorMessage="1" sqref="D9299">
      <formula1>0</formula1>
    </dataValidation>
    <dataValidation type="decimal" operator="greaterThan" allowBlank="1" showInputMessage="1" showErrorMessage="1" sqref="E9299">
      <formula1>0</formula1>
    </dataValidation>
    <dataValidation type="whole" operator="greaterThan" allowBlank="1" showInputMessage="1" showErrorMessage="1" sqref="A9300">
      <formula1>0</formula1>
    </dataValidation>
    <dataValidation type="list" allowBlank="1" showInputMessage="1" showErrorMessage="1" sqref="C9300">
      <formula1>UnidadesList</formula1>
    </dataValidation>
    <dataValidation type="decimal" operator="greaterThan" allowBlank="1" showInputMessage="1" showErrorMessage="1" sqref="D9300">
      <formula1>0</formula1>
    </dataValidation>
    <dataValidation type="decimal" operator="greaterThan" allowBlank="1" showInputMessage="1" showErrorMessage="1" sqref="E9300">
      <formula1>0</formula1>
    </dataValidation>
    <dataValidation type="whole" operator="greaterThan" allowBlank="1" showInputMessage="1" showErrorMessage="1" sqref="A9301">
      <formula1>0</formula1>
    </dataValidation>
    <dataValidation type="list" allowBlank="1" showInputMessage="1" showErrorMessage="1" sqref="C9301">
      <formula1>UnidadesList</formula1>
    </dataValidation>
    <dataValidation type="decimal" operator="greaterThan" allowBlank="1" showInputMessage="1" showErrorMessage="1" sqref="D9301">
      <formula1>0</formula1>
    </dataValidation>
    <dataValidation type="decimal" operator="greaterThan" allowBlank="1" showInputMessage="1" showErrorMessage="1" sqref="E9301">
      <formula1>0</formula1>
    </dataValidation>
    <dataValidation type="whole" operator="greaterThan" allowBlank="1" showInputMessage="1" showErrorMessage="1" sqref="A9302">
      <formula1>0</formula1>
    </dataValidation>
    <dataValidation type="list" allowBlank="1" showInputMessage="1" showErrorMessage="1" sqref="C9302">
      <formula1>UnidadesList</formula1>
    </dataValidation>
    <dataValidation type="decimal" operator="greaterThan" allowBlank="1" showInputMessage="1" showErrorMessage="1" sqref="D9302">
      <formula1>0</formula1>
    </dataValidation>
    <dataValidation type="decimal" operator="greaterThan" allowBlank="1" showInputMessage="1" showErrorMessage="1" sqref="E9302">
      <formula1>0</formula1>
    </dataValidation>
    <dataValidation type="whole" operator="greaterThan" allowBlank="1" showInputMessage="1" showErrorMessage="1" sqref="A9303">
      <formula1>0</formula1>
    </dataValidation>
    <dataValidation type="list" allowBlank="1" showInputMessage="1" showErrorMessage="1" sqref="C9303">
      <formula1>UnidadesList</formula1>
    </dataValidation>
    <dataValidation type="decimal" operator="greaterThan" allowBlank="1" showInputMessage="1" showErrorMessage="1" sqref="D9303">
      <formula1>0</formula1>
    </dataValidation>
    <dataValidation type="decimal" operator="greaterThan" allowBlank="1" showInputMessage="1" showErrorMessage="1" sqref="E9303">
      <formula1>0</formula1>
    </dataValidation>
    <dataValidation type="whole" operator="greaterThan" allowBlank="1" showInputMessage="1" showErrorMessage="1" sqref="A9304">
      <formula1>0</formula1>
    </dataValidation>
    <dataValidation type="list" allowBlank="1" showInputMessage="1" showErrorMessage="1" sqref="C9304">
      <formula1>UnidadesList</formula1>
    </dataValidation>
    <dataValidation type="decimal" operator="greaterThan" allowBlank="1" showInputMessage="1" showErrorMessage="1" sqref="D9304">
      <formula1>0</formula1>
    </dataValidation>
    <dataValidation type="decimal" operator="greaterThan" allowBlank="1" showInputMessage="1" showErrorMessage="1" sqref="E9304">
      <formula1>0</formula1>
    </dataValidation>
    <dataValidation type="whole" operator="greaterThan" allowBlank="1" showInputMessage="1" showErrorMessage="1" sqref="A9305">
      <formula1>0</formula1>
    </dataValidation>
    <dataValidation type="list" allowBlank="1" showInputMessage="1" showErrorMessage="1" sqref="C9305">
      <formula1>UnidadesList</formula1>
    </dataValidation>
    <dataValidation type="decimal" operator="greaterThan" allowBlank="1" showInputMessage="1" showErrorMessage="1" sqref="D9305">
      <formula1>0</formula1>
    </dataValidation>
    <dataValidation type="decimal" operator="greaterThan" allowBlank="1" showInputMessage="1" showErrorMessage="1" sqref="E9305">
      <formula1>0</formula1>
    </dataValidation>
    <dataValidation type="whole" operator="greaterThan" allowBlank="1" showInputMessage="1" showErrorMessage="1" sqref="A9306">
      <formula1>0</formula1>
    </dataValidation>
    <dataValidation type="list" allowBlank="1" showInputMessage="1" showErrorMessage="1" sqref="C9306">
      <formula1>UnidadesList</formula1>
    </dataValidation>
    <dataValidation type="decimal" operator="greaterThan" allowBlank="1" showInputMessage="1" showErrorMessage="1" sqref="D9306">
      <formula1>0</formula1>
    </dataValidation>
    <dataValidation type="decimal" operator="greaterThan" allowBlank="1" showInputMessage="1" showErrorMessage="1" sqref="E9306">
      <formula1>0</formula1>
    </dataValidation>
    <dataValidation type="whole" operator="greaterThan" allowBlank="1" showInputMessage="1" showErrorMessage="1" sqref="A9307">
      <formula1>0</formula1>
    </dataValidation>
    <dataValidation type="list" allowBlank="1" showInputMessage="1" showErrorMessage="1" sqref="C9307">
      <formula1>UnidadesList</formula1>
    </dataValidation>
    <dataValidation type="decimal" operator="greaterThan" allowBlank="1" showInputMessage="1" showErrorMessage="1" sqref="D9307">
      <formula1>0</formula1>
    </dataValidation>
    <dataValidation type="decimal" operator="greaterThan" allowBlank="1" showInputMessage="1" showErrorMessage="1" sqref="E9307">
      <formula1>0</formula1>
    </dataValidation>
    <dataValidation type="whole" operator="greaterThan" allowBlank="1" showInputMessage="1" showErrorMessage="1" sqref="A9308">
      <formula1>0</formula1>
    </dataValidation>
    <dataValidation type="list" allowBlank="1" showInputMessage="1" showErrorMessage="1" sqref="C9308">
      <formula1>UnidadesList</formula1>
    </dataValidation>
    <dataValidation type="decimal" operator="greaterThan" allowBlank="1" showInputMessage="1" showErrorMessage="1" sqref="D9308">
      <formula1>0</formula1>
    </dataValidation>
    <dataValidation type="decimal" operator="greaterThan" allowBlank="1" showInputMessage="1" showErrorMessage="1" sqref="E9308">
      <formula1>0</formula1>
    </dataValidation>
    <dataValidation type="whole" operator="greaterThan" allowBlank="1" showInputMessage="1" showErrorMessage="1" sqref="A9309">
      <formula1>0</formula1>
    </dataValidation>
    <dataValidation type="list" allowBlank="1" showInputMessage="1" showErrorMessage="1" sqref="C9309">
      <formula1>UnidadesList</formula1>
    </dataValidation>
    <dataValidation type="decimal" operator="greaterThan" allowBlank="1" showInputMessage="1" showErrorMessage="1" sqref="D9309">
      <formula1>0</formula1>
    </dataValidation>
    <dataValidation type="decimal" operator="greaterThan" allowBlank="1" showInputMessage="1" showErrorMessage="1" sqref="E9309">
      <formula1>0</formula1>
    </dataValidation>
    <dataValidation type="whole" operator="greaterThan" allowBlank="1" showInputMessage="1" showErrorMessage="1" sqref="A9310">
      <formula1>0</formula1>
    </dataValidation>
    <dataValidation type="list" allowBlank="1" showInputMessage="1" showErrorMessage="1" sqref="C9310">
      <formula1>UnidadesList</formula1>
    </dataValidation>
    <dataValidation type="decimal" operator="greaterThan" allowBlank="1" showInputMessage="1" showErrorMessage="1" sqref="D9310">
      <formula1>0</formula1>
    </dataValidation>
    <dataValidation type="decimal" operator="greaterThan" allowBlank="1" showInputMessage="1" showErrorMessage="1" sqref="E9310">
      <formula1>0</formula1>
    </dataValidation>
    <dataValidation type="whole" operator="greaterThan" allowBlank="1" showInputMessage="1" showErrorMessage="1" sqref="A9311">
      <formula1>0</formula1>
    </dataValidation>
    <dataValidation type="list" allowBlank="1" showInputMessage="1" showErrorMessage="1" sqref="C9311">
      <formula1>UnidadesList</formula1>
    </dataValidation>
    <dataValidation type="decimal" operator="greaterThan" allowBlank="1" showInputMessage="1" showErrorMessage="1" sqref="D9311">
      <formula1>0</formula1>
    </dataValidation>
    <dataValidation type="decimal" operator="greaterThan" allowBlank="1" showInputMessage="1" showErrorMessage="1" sqref="E9311">
      <formula1>0</formula1>
    </dataValidation>
    <dataValidation type="whole" operator="greaterThan" allowBlank="1" showInputMessage="1" showErrorMessage="1" sqref="A9312">
      <formula1>0</formula1>
    </dataValidation>
    <dataValidation type="list" allowBlank="1" showInputMessage="1" showErrorMessage="1" sqref="C9312">
      <formula1>UnidadesList</formula1>
    </dataValidation>
    <dataValidation type="decimal" operator="greaterThan" allowBlank="1" showInputMessage="1" showErrorMessage="1" sqref="D9312">
      <formula1>0</formula1>
    </dataValidation>
    <dataValidation type="decimal" operator="greaterThan" allowBlank="1" showInputMessage="1" showErrorMessage="1" sqref="E9312">
      <formula1>0</formula1>
    </dataValidation>
    <dataValidation type="whole" operator="greaterThan" allowBlank="1" showInputMessage="1" showErrorMessage="1" sqref="A9313">
      <formula1>0</formula1>
    </dataValidation>
    <dataValidation type="list" allowBlank="1" showInputMessage="1" showErrorMessage="1" sqref="C9313">
      <formula1>UnidadesList</formula1>
    </dataValidation>
    <dataValidation type="decimal" operator="greaterThan" allowBlank="1" showInputMessage="1" showErrorMessage="1" sqref="D9313">
      <formula1>0</formula1>
    </dataValidation>
    <dataValidation type="decimal" operator="greaterThan" allowBlank="1" showInputMessage="1" showErrorMessage="1" sqref="E9313">
      <formula1>0</formula1>
    </dataValidation>
    <dataValidation type="whole" operator="greaterThan" allowBlank="1" showInputMessage="1" showErrorMessage="1" sqref="A9314">
      <formula1>0</formula1>
    </dataValidation>
    <dataValidation type="list" allowBlank="1" showInputMessage="1" showErrorMessage="1" sqref="C9314">
      <formula1>UnidadesList</formula1>
    </dataValidation>
    <dataValidation type="decimal" operator="greaterThan" allowBlank="1" showInputMessage="1" showErrorMessage="1" sqref="D9314">
      <formula1>0</formula1>
    </dataValidation>
    <dataValidation type="decimal" operator="greaterThan" allowBlank="1" showInputMessage="1" showErrorMessage="1" sqref="E9314">
      <formula1>0</formula1>
    </dataValidation>
    <dataValidation type="whole" operator="greaterThan" allowBlank="1" showInputMessage="1" showErrorMessage="1" sqref="A9315">
      <formula1>0</formula1>
    </dataValidation>
    <dataValidation type="list" allowBlank="1" showInputMessage="1" showErrorMessage="1" sqref="C9315">
      <formula1>UnidadesList</formula1>
    </dataValidation>
    <dataValidation type="decimal" operator="greaterThan" allowBlank="1" showInputMessage="1" showErrorMessage="1" sqref="D9315">
      <formula1>0</formula1>
    </dataValidation>
    <dataValidation type="decimal" operator="greaterThan" allowBlank="1" showInputMessage="1" showErrorMessage="1" sqref="E9315">
      <formula1>0</formula1>
    </dataValidation>
    <dataValidation type="whole" operator="greaterThan" allowBlank="1" showInputMessage="1" showErrorMessage="1" sqref="A9316">
      <formula1>0</formula1>
    </dataValidation>
    <dataValidation type="list" allowBlank="1" showInputMessage="1" showErrorMessage="1" sqref="C9316">
      <formula1>UnidadesList</formula1>
    </dataValidation>
    <dataValidation type="decimal" operator="greaterThan" allowBlank="1" showInputMessage="1" showErrorMessage="1" sqref="D9316">
      <formula1>0</formula1>
    </dataValidation>
    <dataValidation type="decimal" operator="greaterThan" allowBlank="1" showInputMessage="1" showErrorMessage="1" sqref="E9316">
      <formula1>0</formula1>
    </dataValidation>
    <dataValidation type="whole" operator="greaterThan" allowBlank="1" showInputMessage="1" showErrorMessage="1" sqref="A9317">
      <formula1>0</formula1>
    </dataValidation>
    <dataValidation type="list" allowBlank="1" showInputMessage="1" showErrorMessage="1" sqref="C9317">
      <formula1>UnidadesList</formula1>
    </dataValidation>
    <dataValidation type="decimal" operator="greaterThan" allowBlank="1" showInputMessage="1" showErrorMessage="1" sqref="D9317">
      <formula1>0</formula1>
    </dataValidation>
    <dataValidation type="decimal" operator="greaterThan" allowBlank="1" showInputMessage="1" showErrorMessage="1" sqref="E9317">
      <formula1>0</formula1>
    </dataValidation>
    <dataValidation type="whole" operator="greaterThan" allowBlank="1" showInputMessage="1" showErrorMessage="1" sqref="A9318">
      <formula1>0</formula1>
    </dataValidation>
    <dataValidation type="list" allowBlank="1" showInputMessage="1" showErrorMessage="1" sqref="C9318">
      <formula1>UnidadesList</formula1>
    </dataValidation>
    <dataValidation type="decimal" operator="greaterThan" allowBlank="1" showInputMessage="1" showErrorMessage="1" sqref="D9318">
      <formula1>0</formula1>
    </dataValidation>
    <dataValidation type="decimal" operator="greaterThan" allowBlank="1" showInputMessage="1" showErrorMessage="1" sqref="E9318">
      <formula1>0</formula1>
    </dataValidation>
    <dataValidation type="whole" operator="greaterThan" allowBlank="1" showInputMessage="1" showErrorMessage="1" sqref="A9319">
      <formula1>0</formula1>
    </dataValidation>
    <dataValidation type="list" allowBlank="1" showInputMessage="1" showErrorMessage="1" sqref="C9319">
      <formula1>UnidadesList</formula1>
    </dataValidation>
    <dataValidation type="decimal" operator="greaterThan" allowBlank="1" showInputMessage="1" showErrorMessage="1" sqref="D9319">
      <formula1>0</formula1>
    </dataValidation>
    <dataValidation type="decimal" operator="greaterThan" allowBlank="1" showInputMessage="1" showErrorMessage="1" sqref="E9319">
      <formula1>0</formula1>
    </dataValidation>
    <dataValidation type="whole" operator="greaterThan" allowBlank="1" showInputMessage="1" showErrorMessage="1" sqref="A9320">
      <formula1>0</formula1>
    </dataValidation>
    <dataValidation type="list" allowBlank="1" showInputMessage="1" showErrorMessage="1" sqref="C9320">
      <formula1>UnidadesList</formula1>
    </dataValidation>
    <dataValidation type="decimal" operator="greaterThan" allowBlank="1" showInputMessage="1" showErrorMessage="1" sqref="D9320">
      <formula1>0</formula1>
    </dataValidation>
    <dataValidation type="decimal" operator="greaterThan" allowBlank="1" showInputMessage="1" showErrorMessage="1" sqref="E9320">
      <formula1>0</formula1>
    </dataValidation>
    <dataValidation type="whole" operator="greaterThan" allowBlank="1" showInputMessage="1" showErrorMessage="1" sqref="A9321">
      <formula1>0</formula1>
    </dataValidation>
    <dataValidation type="list" allowBlank="1" showInputMessage="1" showErrorMessage="1" sqref="C9321">
      <formula1>UnidadesList</formula1>
    </dataValidation>
    <dataValidation type="decimal" operator="greaterThan" allowBlank="1" showInputMessage="1" showErrorMessage="1" sqref="D9321">
      <formula1>0</formula1>
    </dataValidation>
    <dataValidation type="decimal" operator="greaterThan" allowBlank="1" showInputMessage="1" showErrorMessage="1" sqref="E9321">
      <formula1>0</formula1>
    </dataValidation>
    <dataValidation type="whole" operator="greaterThan" allowBlank="1" showInputMessage="1" showErrorMessage="1" sqref="A9322">
      <formula1>0</formula1>
    </dataValidation>
    <dataValidation type="list" allowBlank="1" showInputMessage="1" showErrorMessage="1" sqref="C9322">
      <formula1>UnidadesList</formula1>
    </dataValidation>
    <dataValidation type="decimal" operator="greaterThan" allowBlank="1" showInputMessage="1" showErrorMessage="1" sqref="D9322">
      <formula1>0</formula1>
    </dataValidation>
    <dataValidation type="decimal" operator="greaterThan" allowBlank="1" showInputMessage="1" showErrorMessage="1" sqref="E9322">
      <formula1>0</formula1>
    </dataValidation>
    <dataValidation type="whole" operator="greaterThan" allowBlank="1" showInputMessage="1" showErrorMessage="1" sqref="A9323">
      <formula1>0</formula1>
    </dataValidation>
    <dataValidation type="list" allowBlank="1" showInputMessage="1" showErrorMessage="1" sqref="C9323">
      <formula1>UnidadesList</formula1>
    </dataValidation>
    <dataValidation type="decimal" operator="greaterThan" allowBlank="1" showInputMessage="1" showErrorMessage="1" sqref="D9323">
      <formula1>0</formula1>
    </dataValidation>
    <dataValidation type="decimal" operator="greaterThan" allowBlank="1" showInputMessage="1" showErrorMessage="1" sqref="E9323">
      <formula1>0</formula1>
    </dataValidation>
    <dataValidation type="whole" operator="greaterThan" allowBlank="1" showInputMessage="1" showErrorMessage="1" sqref="A9324">
      <formula1>0</formula1>
    </dataValidation>
    <dataValidation type="list" allowBlank="1" showInputMessage="1" showErrorMessage="1" sqref="C9324">
      <formula1>UnidadesList</formula1>
    </dataValidation>
    <dataValidation type="decimal" operator="greaterThan" allowBlank="1" showInputMessage="1" showErrorMessage="1" sqref="D9324">
      <formula1>0</formula1>
    </dataValidation>
    <dataValidation type="decimal" operator="greaterThan" allowBlank="1" showInputMessage="1" showErrorMessage="1" sqref="E9324">
      <formula1>0</formula1>
    </dataValidation>
    <dataValidation type="whole" operator="greaterThan" allowBlank="1" showInputMessage="1" showErrorMessage="1" sqref="A9325">
      <formula1>0</formula1>
    </dataValidation>
    <dataValidation type="list" allowBlank="1" showInputMessage="1" showErrorMessage="1" sqref="C9325">
      <formula1>UnidadesList</formula1>
    </dataValidation>
    <dataValidation type="decimal" operator="greaterThan" allowBlank="1" showInputMessage="1" showErrorMessage="1" sqref="D9325">
      <formula1>0</formula1>
    </dataValidation>
    <dataValidation type="decimal" operator="greaterThan" allowBlank="1" showInputMessage="1" showErrorMessage="1" sqref="E9325">
      <formula1>0</formula1>
    </dataValidation>
    <dataValidation type="whole" operator="greaterThan" allowBlank="1" showInputMessage="1" showErrorMessage="1" sqref="A9326">
      <formula1>0</formula1>
    </dataValidation>
    <dataValidation type="list" allowBlank="1" showInputMessage="1" showErrorMessage="1" sqref="C9326">
      <formula1>UnidadesList</formula1>
    </dataValidation>
    <dataValidation type="decimal" operator="greaterThan" allowBlank="1" showInputMessage="1" showErrorMessage="1" sqref="D9326">
      <formula1>0</formula1>
    </dataValidation>
    <dataValidation type="decimal" operator="greaterThan" allowBlank="1" showInputMessage="1" showErrorMessage="1" sqref="E9326">
      <formula1>0</formula1>
    </dataValidation>
    <dataValidation type="whole" operator="greaterThan" allowBlank="1" showInputMessage="1" showErrorMessage="1" sqref="A9327">
      <formula1>0</formula1>
    </dataValidation>
    <dataValidation type="list" allowBlank="1" showInputMessage="1" showErrorMessage="1" sqref="C9327">
      <formula1>UnidadesList</formula1>
    </dataValidation>
    <dataValidation type="decimal" operator="greaterThan" allowBlank="1" showInputMessage="1" showErrorMessage="1" sqref="D9327">
      <formula1>0</formula1>
    </dataValidation>
    <dataValidation type="decimal" operator="greaterThan" allowBlank="1" showInputMessage="1" showErrorMessage="1" sqref="E9327">
      <formula1>0</formula1>
    </dataValidation>
    <dataValidation type="whole" operator="greaterThan" allowBlank="1" showInputMessage="1" showErrorMessage="1" sqref="A9328">
      <formula1>0</formula1>
    </dataValidation>
    <dataValidation type="list" allowBlank="1" showInputMessage="1" showErrorMessage="1" sqref="C9328">
      <formula1>UnidadesList</formula1>
    </dataValidation>
    <dataValidation type="decimal" operator="greaterThan" allowBlank="1" showInputMessage="1" showErrorMessage="1" sqref="D9328">
      <formula1>0</formula1>
    </dataValidation>
    <dataValidation type="decimal" operator="greaterThan" allowBlank="1" showInputMessage="1" showErrorMessage="1" sqref="E9328">
      <formula1>0</formula1>
    </dataValidation>
    <dataValidation type="whole" operator="greaterThan" allowBlank="1" showInputMessage="1" showErrorMessage="1" sqref="A9329">
      <formula1>0</formula1>
    </dataValidation>
    <dataValidation type="list" allowBlank="1" showInputMessage="1" showErrorMessage="1" sqref="C9329">
      <formula1>UnidadesList</formula1>
    </dataValidation>
    <dataValidation type="decimal" operator="greaterThan" allowBlank="1" showInputMessage="1" showErrorMessage="1" sqref="D9329">
      <formula1>0</formula1>
    </dataValidation>
    <dataValidation type="decimal" operator="greaterThan" allowBlank="1" showInputMessage="1" showErrorMessage="1" sqref="E9329">
      <formula1>0</formula1>
    </dataValidation>
    <dataValidation type="whole" operator="greaterThan" allowBlank="1" showInputMessage="1" showErrorMessage="1" sqref="A9330">
      <formula1>0</formula1>
    </dataValidation>
    <dataValidation type="list" allowBlank="1" showInputMessage="1" showErrorMessage="1" sqref="C9330">
      <formula1>UnidadesList</formula1>
    </dataValidation>
    <dataValidation type="decimal" operator="greaterThan" allowBlank="1" showInputMessage="1" showErrorMessage="1" sqref="D9330">
      <formula1>0</formula1>
    </dataValidation>
    <dataValidation type="decimal" operator="greaterThan" allowBlank="1" showInputMessage="1" showErrorMessage="1" sqref="E9330">
      <formula1>0</formula1>
    </dataValidation>
    <dataValidation type="whole" operator="greaterThan" allowBlank="1" showInputMessage="1" showErrorMessage="1" sqref="A9331">
      <formula1>0</formula1>
    </dataValidation>
    <dataValidation type="list" allowBlank="1" showInputMessage="1" showErrorMessage="1" sqref="C9331">
      <formula1>UnidadesList</formula1>
    </dataValidation>
    <dataValidation type="decimal" operator="greaterThan" allowBlank="1" showInputMessage="1" showErrorMessage="1" sqref="D9331">
      <formula1>0</formula1>
    </dataValidation>
    <dataValidation type="decimal" operator="greaterThan" allowBlank="1" showInputMessage="1" showErrorMessage="1" sqref="E9331">
      <formula1>0</formula1>
    </dataValidation>
    <dataValidation type="whole" operator="greaterThan" allowBlank="1" showInputMessage="1" showErrorMessage="1" sqref="A9332">
      <formula1>0</formula1>
    </dataValidation>
    <dataValidation type="list" allowBlank="1" showInputMessage="1" showErrorMessage="1" sqref="C9332">
      <formula1>UnidadesList</formula1>
    </dataValidation>
    <dataValidation type="decimal" operator="greaterThan" allowBlank="1" showInputMessage="1" showErrorMessage="1" sqref="D9332">
      <formula1>0</formula1>
    </dataValidation>
    <dataValidation type="decimal" operator="greaterThan" allowBlank="1" showInputMessage="1" showErrorMessage="1" sqref="E9332">
      <formula1>0</formula1>
    </dataValidation>
    <dataValidation type="whole" operator="greaterThan" allowBlank="1" showInputMessage="1" showErrorMessage="1" sqref="A9333">
      <formula1>0</formula1>
    </dataValidation>
    <dataValidation type="list" allowBlank="1" showInputMessage="1" showErrorMessage="1" sqref="C9333">
      <formula1>UnidadesList</formula1>
    </dataValidation>
    <dataValidation type="decimal" operator="greaterThan" allowBlank="1" showInputMessage="1" showErrorMessage="1" sqref="D9333">
      <formula1>0</formula1>
    </dataValidation>
    <dataValidation type="decimal" operator="greaterThan" allowBlank="1" showInputMessage="1" showErrorMessage="1" sqref="E9333">
      <formula1>0</formula1>
    </dataValidation>
    <dataValidation type="whole" operator="greaterThan" allowBlank="1" showInputMessage="1" showErrorMessage="1" sqref="A9334">
      <formula1>0</formula1>
    </dataValidation>
    <dataValidation type="list" allowBlank="1" showInputMessage="1" showErrorMessage="1" sqref="C9334">
      <formula1>UnidadesList</formula1>
    </dataValidation>
    <dataValidation type="decimal" operator="greaterThan" allowBlank="1" showInputMessage="1" showErrorMessage="1" sqref="D9334">
      <formula1>0</formula1>
    </dataValidation>
    <dataValidation type="decimal" operator="greaterThan" allowBlank="1" showInputMessage="1" showErrorMessage="1" sqref="E9334">
      <formula1>0</formula1>
    </dataValidation>
    <dataValidation type="whole" operator="greaterThan" allowBlank="1" showInputMessage="1" showErrorMessage="1" sqref="A9335">
      <formula1>0</formula1>
    </dataValidation>
    <dataValidation type="list" allowBlank="1" showInputMessage="1" showErrorMessage="1" sqref="C9335">
      <formula1>UnidadesList</formula1>
    </dataValidation>
    <dataValidation type="decimal" operator="greaterThan" allowBlank="1" showInputMessage="1" showErrorMessage="1" sqref="D9335">
      <formula1>0</formula1>
    </dataValidation>
    <dataValidation type="decimal" operator="greaterThan" allowBlank="1" showInputMessage="1" showErrorMessage="1" sqref="E9335">
      <formula1>0</formula1>
    </dataValidation>
    <dataValidation type="whole" operator="greaterThan" allowBlank="1" showInputMessage="1" showErrorMessage="1" sqref="A9336">
      <formula1>0</formula1>
    </dataValidation>
    <dataValidation type="list" allowBlank="1" showInputMessage="1" showErrorMessage="1" sqref="C9336">
      <formula1>UnidadesList</formula1>
    </dataValidation>
    <dataValidation type="decimal" operator="greaterThan" allowBlank="1" showInputMessage="1" showErrorMessage="1" sqref="D9336">
      <formula1>0</formula1>
    </dataValidation>
    <dataValidation type="decimal" operator="greaterThan" allowBlank="1" showInputMessage="1" showErrorMessage="1" sqref="E9336">
      <formula1>0</formula1>
    </dataValidation>
    <dataValidation type="whole" operator="greaterThan" allowBlank="1" showInputMessage="1" showErrorMessage="1" sqref="A9337">
      <formula1>0</formula1>
    </dataValidation>
    <dataValidation type="list" allowBlank="1" showInputMessage="1" showErrorMessage="1" sqref="C9337">
      <formula1>UnidadesList</formula1>
    </dataValidation>
    <dataValidation type="decimal" operator="greaterThan" allowBlank="1" showInputMessage="1" showErrorMessage="1" sqref="D9337">
      <formula1>0</formula1>
    </dataValidation>
    <dataValidation type="decimal" operator="greaterThan" allowBlank="1" showInputMessage="1" showErrorMessage="1" sqref="E9337">
      <formula1>0</formula1>
    </dataValidation>
    <dataValidation type="whole" operator="greaterThan" allowBlank="1" showInputMessage="1" showErrorMessage="1" sqref="A9338">
      <formula1>0</formula1>
    </dataValidation>
    <dataValidation type="list" allowBlank="1" showInputMessage="1" showErrorMessage="1" sqref="C9338">
      <formula1>UnidadesList</formula1>
    </dataValidation>
    <dataValidation type="decimal" operator="greaterThan" allowBlank="1" showInputMessage="1" showErrorMessage="1" sqref="D9338">
      <formula1>0</formula1>
    </dataValidation>
    <dataValidation type="decimal" operator="greaterThan" allowBlank="1" showInputMessage="1" showErrorMessage="1" sqref="E9338">
      <formula1>0</formula1>
    </dataValidation>
    <dataValidation type="whole" operator="greaterThan" allowBlank="1" showInputMessage="1" showErrorMessage="1" sqref="A9339">
      <formula1>0</formula1>
    </dataValidation>
    <dataValidation type="list" allowBlank="1" showInputMessage="1" showErrorMessage="1" sqref="C9339">
      <formula1>UnidadesList</formula1>
    </dataValidation>
    <dataValidation type="decimal" operator="greaterThan" allowBlank="1" showInputMessage="1" showErrorMessage="1" sqref="D9339">
      <formula1>0</formula1>
    </dataValidation>
    <dataValidation type="decimal" operator="greaterThan" allowBlank="1" showInputMessage="1" showErrorMessage="1" sqref="E9339">
      <formula1>0</formula1>
    </dataValidation>
    <dataValidation type="whole" operator="greaterThan" allowBlank="1" showInputMessage="1" showErrorMessage="1" sqref="A9340">
      <formula1>0</formula1>
    </dataValidation>
    <dataValidation type="list" allowBlank="1" showInputMessage="1" showErrorMessage="1" sqref="C9340">
      <formula1>UnidadesList</formula1>
    </dataValidation>
    <dataValidation type="decimal" operator="greaterThan" allowBlank="1" showInputMessage="1" showErrorMessage="1" sqref="D9340">
      <formula1>0</formula1>
    </dataValidation>
    <dataValidation type="decimal" operator="greaterThan" allowBlank="1" showInputMessage="1" showErrorMessage="1" sqref="E9340">
      <formula1>0</formula1>
    </dataValidation>
    <dataValidation type="whole" operator="greaterThan" allowBlank="1" showInputMessage="1" showErrorMessage="1" sqref="A9341">
      <formula1>0</formula1>
    </dataValidation>
    <dataValidation type="list" allowBlank="1" showInputMessage="1" showErrorMessage="1" sqref="C9341">
      <formula1>UnidadesList</formula1>
    </dataValidation>
    <dataValidation type="decimal" operator="greaterThan" allowBlank="1" showInputMessage="1" showErrorMessage="1" sqref="D9341">
      <formula1>0</formula1>
    </dataValidation>
    <dataValidation type="decimal" operator="greaterThan" allowBlank="1" showInputMessage="1" showErrorMessage="1" sqref="E9341">
      <formula1>0</formula1>
    </dataValidation>
    <dataValidation type="whole" operator="greaterThan" allowBlank="1" showInputMessage="1" showErrorMessage="1" sqref="A9342">
      <formula1>0</formula1>
    </dataValidation>
    <dataValidation type="list" allowBlank="1" showInputMessage="1" showErrorMessage="1" sqref="C9342">
      <formula1>UnidadesList</formula1>
    </dataValidation>
    <dataValidation type="decimal" operator="greaterThan" allowBlank="1" showInputMessage="1" showErrorMessage="1" sqref="D9342">
      <formula1>0</formula1>
    </dataValidation>
    <dataValidation type="decimal" operator="greaterThan" allowBlank="1" showInputMessage="1" showErrorMessage="1" sqref="E9342">
      <formula1>0</formula1>
    </dataValidation>
    <dataValidation type="whole" operator="greaterThan" allowBlank="1" showInputMessage="1" showErrorMessage="1" sqref="A9343">
      <formula1>0</formula1>
    </dataValidation>
    <dataValidation type="list" allowBlank="1" showInputMessage="1" showErrorMessage="1" sqref="C9343">
      <formula1>UnidadesList</formula1>
    </dataValidation>
    <dataValidation type="decimal" operator="greaterThan" allowBlank="1" showInputMessage="1" showErrorMessage="1" sqref="D9343">
      <formula1>0</formula1>
    </dataValidation>
    <dataValidation type="decimal" operator="greaterThan" allowBlank="1" showInputMessage="1" showErrorMessage="1" sqref="E9343">
      <formula1>0</formula1>
    </dataValidation>
    <dataValidation type="whole" operator="greaterThan" allowBlank="1" showInputMessage="1" showErrorMessage="1" sqref="A9344">
      <formula1>0</formula1>
    </dataValidation>
    <dataValidation type="list" allowBlank="1" showInputMessage="1" showErrorMessage="1" sqref="C9344">
      <formula1>UnidadesList</formula1>
    </dataValidation>
    <dataValidation type="decimal" operator="greaterThan" allowBlank="1" showInputMessage="1" showErrorMessage="1" sqref="D9344">
      <formula1>0</formula1>
    </dataValidation>
    <dataValidation type="decimal" operator="greaterThan" allowBlank="1" showInputMessage="1" showErrorMessage="1" sqref="E9344">
      <formula1>0</formula1>
    </dataValidation>
    <dataValidation type="whole" operator="greaterThan" allowBlank="1" showInputMessage="1" showErrorMessage="1" sqref="A9345">
      <formula1>0</formula1>
    </dataValidation>
    <dataValidation type="list" allowBlank="1" showInputMessage="1" showErrorMessage="1" sqref="C9345">
      <formula1>UnidadesList</formula1>
    </dataValidation>
    <dataValidation type="decimal" operator="greaterThan" allowBlank="1" showInputMessage="1" showErrorMessage="1" sqref="D9345">
      <formula1>0</formula1>
    </dataValidation>
    <dataValidation type="decimal" operator="greaterThan" allowBlank="1" showInputMessage="1" showErrorMessage="1" sqref="E9345">
      <formula1>0</formula1>
    </dataValidation>
    <dataValidation type="whole" operator="greaterThan" allowBlank="1" showInputMessage="1" showErrorMessage="1" sqref="A9346">
      <formula1>0</formula1>
    </dataValidation>
    <dataValidation type="list" allowBlank="1" showInputMessage="1" showErrorMessage="1" sqref="C9346">
      <formula1>UnidadesList</formula1>
    </dataValidation>
    <dataValidation type="decimal" operator="greaterThan" allowBlank="1" showInputMessage="1" showErrorMessage="1" sqref="D9346">
      <formula1>0</formula1>
    </dataValidation>
    <dataValidation type="decimal" operator="greaterThan" allowBlank="1" showInputMessage="1" showErrorMessage="1" sqref="E9346">
      <formula1>0</formula1>
    </dataValidation>
    <dataValidation type="whole" operator="greaterThan" allowBlank="1" showInputMessage="1" showErrorMessage="1" sqref="A9347">
      <formula1>0</formula1>
    </dataValidation>
    <dataValidation type="list" allowBlank="1" showInputMessage="1" showErrorMessage="1" sqref="C9347">
      <formula1>UnidadesList</formula1>
    </dataValidation>
    <dataValidation type="decimal" operator="greaterThan" allowBlank="1" showInputMessage="1" showErrorMessage="1" sqref="D9347">
      <formula1>0</formula1>
    </dataValidation>
    <dataValidation type="decimal" operator="greaterThan" allowBlank="1" showInputMessage="1" showErrorMessage="1" sqref="E9347">
      <formula1>0</formula1>
    </dataValidation>
    <dataValidation type="whole" operator="greaterThan" allowBlank="1" showInputMessage="1" showErrorMessage="1" sqref="A9348">
      <formula1>0</formula1>
    </dataValidation>
    <dataValidation type="list" allowBlank="1" showInputMessage="1" showErrorMessage="1" sqref="C9348">
      <formula1>UnidadesList</formula1>
    </dataValidation>
    <dataValidation type="decimal" operator="greaterThan" allowBlank="1" showInputMessage="1" showErrorMessage="1" sqref="D9348">
      <formula1>0</formula1>
    </dataValidation>
    <dataValidation type="decimal" operator="greaterThan" allowBlank="1" showInputMessage="1" showErrorMessage="1" sqref="E9348">
      <formula1>0</formula1>
    </dataValidation>
    <dataValidation type="whole" operator="greaterThan" allowBlank="1" showInputMessage="1" showErrorMessage="1" sqref="A9349">
      <formula1>0</formula1>
    </dataValidation>
    <dataValidation type="list" allowBlank="1" showInputMessage="1" showErrorMessage="1" sqref="C9349">
      <formula1>UnidadesList</formula1>
    </dataValidation>
    <dataValidation type="decimal" operator="greaterThan" allowBlank="1" showInputMessage="1" showErrorMessage="1" sqref="D9349">
      <formula1>0</formula1>
    </dataValidation>
    <dataValidation type="decimal" operator="greaterThan" allowBlank="1" showInputMessage="1" showErrorMessage="1" sqref="E9349">
      <formula1>0</formula1>
    </dataValidation>
    <dataValidation type="whole" operator="greaterThan" allowBlank="1" showInputMessage="1" showErrorMessage="1" sqref="A9350">
      <formula1>0</formula1>
    </dataValidation>
    <dataValidation type="list" allowBlank="1" showInputMessage="1" showErrorMessage="1" sqref="C9350">
      <formula1>UnidadesList</formula1>
    </dataValidation>
    <dataValidation type="decimal" operator="greaterThan" allowBlank="1" showInputMessage="1" showErrorMessage="1" sqref="D9350">
      <formula1>0</formula1>
    </dataValidation>
    <dataValidation type="decimal" operator="greaterThan" allowBlank="1" showInputMessage="1" showErrorMessage="1" sqref="E9350">
      <formula1>0</formula1>
    </dataValidation>
    <dataValidation type="whole" operator="greaterThan" allowBlank="1" showInputMessage="1" showErrorMessage="1" sqref="A9351">
      <formula1>0</formula1>
    </dataValidation>
    <dataValidation type="list" allowBlank="1" showInputMessage="1" showErrorMessage="1" sqref="C9351">
      <formula1>UnidadesList</formula1>
    </dataValidation>
    <dataValidation type="decimal" operator="greaterThan" allowBlank="1" showInputMessage="1" showErrorMessage="1" sqref="D9351">
      <formula1>0</formula1>
    </dataValidation>
    <dataValidation type="decimal" operator="greaterThan" allowBlank="1" showInputMessage="1" showErrorMessage="1" sqref="E9351">
      <formula1>0</formula1>
    </dataValidation>
    <dataValidation type="whole" operator="greaterThan" allowBlank="1" showInputMessage="1" showErrorMessage="1" sqref="A9352">
      <formula1>0</formula1>
    </dataValidation>
    <dataValidation type="list" allowBlank="1" showInputMessage="1" showErrorMessage="1" sqref="C9352">
      <formula1>UnidadesList</formula1>
    </dataValidation>
    <dataValidation type="decimal" operator="greaterThan" allowBlank="1" showInputMessage="1" showErrorMessage="1" sqref="D9352">
      <formula1>0</formula1>
    </dataValidation>
    <dataValidation type="decimal" operator="greaterThan" allowBlank="1" showInputMessage="1" showErrorMessage="1" sqref="E9352">
      <formula1>0</formula1>
    </dataValidation>
    <dataValidation type="whole" operator="greaterThan" allowBlank="1" showInputMessage="1" showErrorMessage="1" sqref="A9353">
      <formula1>0</formula1>
    </dataValidation>
    <dataValidation type="list" allowBlank="1" showInputMessage="1" showErrorMessage="1" sqref="C9353">
      <formula1>UnidadesList</formula1>
    </dataValidation>
    <dataValidation type="decimal" operator="greaterThan" allowBlank="1" showInputMessage="1" showErrorMessage="1" sqref="D9353">
      <formula1>0</formula1>
    </dataValidation>
    <dataValidation type="decimal" operator="greaterThan" allowBlank="1" showInputMessage="1" showErrorMessage="1" sqref="E9353">
      <formula1>0</formula1>
    </dataValidation>
    <dataValidation type="whole" operator="greaterThan" allowBlank="1" showInputMessage="1" showErrorMessage="1" sqref="A9354">
      <formula1>0</formula1>
    </dataValidation>
    <dataValidation type="list" allowBlank="1" showInputMessage="1" showErrorMessage="1" sqref="C9354">
      <formula1>UnidadesList</formula1>
    </dataValidation>
    <dataValidation type="decimal" operator="greaterThan" allowBlank="1" showInputMessage="1" showErrorMessage="1" sqref="D9354">
      <formula1>0</formula1>
    </dataValidation>
    <dataValidation type="decimal" operator="greaterThan" allowBlank="1" showInputMessage="1" showErrorMessage="1" sqref="E9354">
      <formula1>0</formula1>
    </dataValidation>
    <dataValidation type="whole" operator="greaterThan" allowBlank="1" showInputMessage="1" showErrorMessage="1" sqref="A9355">
      <formula1>0</formula1>
    </dataValidation>
    <dataValidation type="list" allowBlank="1" showInputMessage="1" showErrorMessage="1" sqref="C9355">
      <formula1>UnidadesList</formula1>
    </dataValidation>
    <dataValidation type="decimal" operator="greaterThan" allowBlank="1" showInputMessage="1" showErrorMessage="1" sqref="D9355">
      <formula1>0</formula1>
    </dataValidation>
    <dataValidation type="decimal" operator="greaterThan" allowBlank="1" showInputMessage="1" showErrorMessage="1" sqref="E9355">
      <formula1>0</formula1>
    </dataValidation>
    <dataValidation type="whole" operator="greaterThan" allowBlank="1" showInputMessage="1" showErrorMessage="1" sqref="A9356">
      <formula1>0</formula1>
    </dataValidation>
    <dataValidation type="list" allowBlank="1" showInputMessage="1" showErrorMessage="1" sqref="C9356">
      <formula1>UnidadesList</formula1>
    </dataValidation>
    <dataValidation type="decimal" operator="greaterThan" allowBlank="1" showInputMessage="1" showErrorMessage="1" sqref="D9356">
      <formula1>0</formula1>
    </dataValidation>
    <dataValidation type="decimal" operator="greaterThan" allowBlank="1" showInputMessage="1" showErrorMessage="1" sqref="E9356">
      <formula1>0</formula1>
    </dataValidation>
    <dataValidation type="whole" operator="greaterThan" allowBlank="1" showInputMessage="1" showErrorMessage="1" sqref="A9357">
      <formula1>0</formula1>
    </dataValidation>
    <dataValidation type="list" allowBlank="1" showInputMessage="1" showErrorMessage="1" sqref="C9357">
      <formula1>UnidadesList</formula1>
    </dataValidation>
    <dataValidation type="decimal" operator="greaterThan" allowBlank="1" showInputMessage="1" showErrorMessage="1" sqref="D9357">
      <formula1>0</formula1>
    </dataValidation>
    <dataValidation type="decimal" operator="greaterThan" allowBlank="1" showInputMessage="1" showErrorMessage="1" sqref="E9357">
      <formula1>0</formula1>
    </dataValidation>
    <dataValidation type="whole" operator="greaterThan" allowBlank="1" showInputMessage="1" showErrorMessage="1" sqref="A9358">
      <formula1>0</formula1>
    </dataValidation>
    <dataValidation type="list" allowBlank="1" showInputMessage="1" showErrorMessage="1" sqref="C9358">
      <formula1>UnidadesList</formula1>
    </dataValidation>
    <dataValidation type="decimal" operator="greaterThan" allowBlank="1" showInputMessage="1" showErrorMessage="1" sqref="D9358">
      <formula1>0</formula1>
    </dataValidation>
    <dataValidation type="decimal" operator="greaterThan" allowBlank="1" showInputMessage="1" showErrorMessage="1" sqref="E9358">
      <formula1>0</formula1>
    </dataValidation>
    <dataValidation type="whole" operator="greaterThan" allowBlank="1" showInputMessage="1" showErrorMessage="1" sqref="A9359">
      <formula1>0</formula1>
    </dataValidation>
    <dataValidation type="list" allowBlank="1" showInputMessage="1" showErrorMessage="1" sqref="C9359">
      <formula1>UnidadesList</formula1>
    </dataValidation>
    <dataValidation type="decimal" operator="greaterThan" allowBlank="1" showInputMessage="1" showErrorMessage="1" sqref="D9359">
      <formula1>0</formula1>
    </dataValidation>
    <dataValidation type="decimal" operator="greaterThan" allowBlank="1" showInputMessage="1" showErrorMessage="1" sqref="E9359">
      <formula1>0</formula1>
    </dataValidation>
    <dataValidation type="whole" operator="greaterThan" allowBlank="1" showInputMessage="1" showErrorMessage="1" sqref="A9360">
      <formula1>0</formula1>
    </dataValidation>
    <dataValidation type="list" allowBlank="1" showInputMessage="1" showErrorMessage="1" sqref="C9360">
      <formula1>UnidadesList</formula1>
    </dataValidation>
    <dataValidation type="decimal" operator="greaterThan" allowBlank="1" showInputMessage="1" showErrorMessage="1" sqref="D9360">
      <formula1>0</formula1>
    </dataValidation>
    <dataValidation type="decimal" operator="greaterThan" allowBlank="1" showInputMessage="1" showErrorMessage="1" sqref="E9360">
      <formula1>0</formula1>
    </dataValidation>
    <dataValidation type="whole" operator="greaterThan" allowBlank="1" showInputMessage="1" showErrorMessage="1" sqref="A9361">
      <formula1>0</formula1>
    </dataValidation>
    <dataValidation type="list" allowBlank="1" showInputMessage="1" showErrorMessage="1" sqref="C9361">
      <formula1>UnidadesList</formula1>
    </dataValidation>
    <dataValidation type="decimal" operator="greaterThan" allowBlank="1" showInputMessage="1" showErrorMessage="1" sqref="D9361">
      <formula1>0</formula1>
    </dataValidation>
    <dataValidation type="decimal" operator="greaterThan" allowBlank="1" showInputMessage="1" showErrorMessage="1" sqref="E9361">
      <formula1>0</formula1>
    </dataValidation>
    <dataValidation type="whole" operator="greaterThan" allowBlank="1" showInputMessage="1" showErrorMessage="1" sqref="A9362">
      <formula1>0</formula1>
    </dataValidation>
    <dataValidation type="list" allowBlank="1" showInputMessage="1" showErrorMessage="1" sqref="C9362">
      <formula1>UnidadesList</formula1>
    </dataValidation>
    <dataValidation type="decimal" operator="greaterThan" allowBlank="1" showInputMessage="1" showErrorMessage="1" sqref="D9362">
      <formula1>0</formula1>
    </dataValidation>
    <dataValidation type="decimal" operator="greaterThan" allowBlank="1" showInputMessage="1" showErrorMessage="1" sqref="E9362">
      <formula1>0</formula1>
    </dataValidation>
    <dataValidation type="whole" operator="greaterThan" allowBlank="1" showInputMessage="1" showErrorMessage="1" sqref="A9363">
      <formula1>0</formula1>
    </dataValidation>
    <dataValidation type="list" allowBlank="1" showInputMessage="1" showErrorMessage="1" sqref="C9363">
      <formula1>UnidadesList</formula1>
    </dataValidation>
    <dataValidation type="decimal" operator="greaterThan" allowBlank="1" showInputMessage="1" showErrorMessage="1" sqref="D9363">
      <formula1>0</formula1>
    </dataValidation>
    <dataValidation type="decimal" operator="greaterThan" allowBlank="1" showInputMessage="1" showErrorMessage="1" sqref="E9363">
      <formula1>0</formula1>
    </dataValidation>
    <dataValidation type="whole" operator="greaterThan" allowBlank="1" showInputMessage="1" showErrorMessage="1" sqref="A9364">
      <formula1>0</formula1>
    </dataValidation>
    <dataValidation type="list" allowBlank="1" showInputMessage="1" showErrorMessage="1" sqref="C9364">
      <formula1>UnidadesList</formula1>
    </dataValidation>
    <dataValidation type="decimal" operator="greaterThan" allowBlank="1" showInputMessage="1" showErrorMessage="1" sqref="D9364">
      <formula1>0</formula1>
    </dataValidation>
    <dataValidation type="decimal" operator="greaterThan" allowBlank="1" showInputMessage="1" showErrorMessage="1" sqref="E9364">
      <formula1>0</formula1>
    </dataValidation>
    <dataValidation type="whole" operator="greaterThan" allowBlank="1" showInputMessage="1" showErrorMessage="1" sqref="A9365">
      <formula1>0</formula1>
    </dataValidation>
    <dataValidation type="list" allowBlank="1" showInputMessage="1" showErrorMessage="1" sqref="C9365">
      <formula1>UnidadesList</formula1>
    </dataValidation>
    <dataValidation type="decimal" operator="greaterThan" allowBlank="1" showInputMessage="1" showErrorMessage="1" sqref="D9365">
      <formula1>0</formula1>
    </dataValidation>
    <dataValidation type="decimal" operator="greaterThan" allowBlank="1" showInputMessage="1" showErrorMessage="1" sqref="E9365">
      <formula1>0</formula1>
    </dataValidation>
    <dataValidation type="whole" operator="greaterThan" allowBlank="1" showInputMessage="1" showErrorMessage="1" sqref="A9366">
      <formula1>0</formula1>
    </dataValidation>
    <dataValidation type="list" allowBlank="1" showInputMessage="1" showErrorMessage="1" sqref="C9366">
      <formula1>UnidadesList</formula1>
    </dataValidation>
    <dataValidation type="decimal" operator="greaterThan" allowBlank="1" showInputMessage="1" showErrorMessage="1" sqref="D9366">
      <formula1>0</formula1>
    </dataValidation>
    <dataValidation type="decimal" operator="greaterThan" allowBlank="1" showInputMessage="1" showErrorMessage="1" sqref="E9366">
      <formula1>0</formula1>
    </dataValidation>
    <dataValidation type="whole" operator="greaterThan" allowBlank="1" showInputMessage="1" showErrorMessage="1" sqref="A9367">
      <formula1>0</formula1>
    </dataValidation>
    <dataValidation type="list" allowBlank="1" showInputMessage="1" showErrorMessage="1" sqref="C9367">
      <formula1>UnidadesList</formula1>
    </dataValidation>
    <dataValidation type="decimal" operator="greaterThan" allowBlank="1" showInputMessage="1" showErrorMessage="1" sqref="D9367">
      <formula1>0</formula1>
    </dataValidation>
    <dataValidation type="decimal" operator="greaterThan" allowBlank="1" showInputMessage="1" showErrorMessage="1" sqref="E9367">
      <formula1>0</formula1>
    </dataValidation>
    <dataValidation type="whole" operator="greaterThan" allowBlank="1" showInputMessage="1" showErrorMessage="1" sqref="A9368">
      <formula1>0</formula1>
    </dataValidation>
    <dataValidation type="list" allowBlank="1" showInputMessage="1" showErrorMessage="1" sqref="C9368">
      <formula1>UnidadesList</formula1>
    </dataValidation>
    <dataValidation type="decimal" operator="greaterThan" allowBlank="1" showInputMessage="1" showErrorMessage="1" sqref="D9368">
      <formula1>0</formula1>
    </dataValidation>
    <dataValidation type="decimal" operator="greaterThan" allowBlank="1" showInputMessage="1" showErrorMessage="1" sqref="E9368">
      <formula1>0</formula1>
    </dataValidation>
    <dataValidation type="whole" operator="greaterThan" allowBlank="1" showInputMessage="1" showErrorMessage="1" sqref="A9369">
      <formula1>0</formula1>
    </dataValidation>
    <dataValidation type="list" allowBlank="1" showInputMessage="1" showErrorMessage="1" sqref="C9369">
      <formula1>UnidadesList</formula1>
    </dataValidation>
    <dataValidation type="decimal" operator="greaterThan" allowBlank="1" showInputMessage="1" showErrorMessage="1" sqref="D9369">
      <formula1>0</formula1>
    </dataValidation>
    <dataValidation type="decimal" operator="greaterThan" allowBlank="1" showInputMessage="1" showErrorMessage="1" sqref="E9369">
      <formula1>0</formula1>
    </dataValidation>
    <dataValidation type="whole" operator="greaterThan" allowBlank="1" showInputMessage="1" showErrorMessage="1" sqref="A9370">
      <formula1>0</formula1>
    </dataValidation>
    <dataValidation type="list" allowBlank="1" showInputMessage="1" showErrorMessage="1" sqref="C9370">
      <formula1>UnidadesList</formula1>
    </dataValidation>
    <dataValidation type="decimal" operator="greaterThan" allowBlank="1" showInputMessage="1" showErrorMessage="1" sqref="D9370">
      <formula1>0</formula1>
    </dataValidation>
    <dataValidation type="decimal" operator="greaterThan" allowBlank="1" showInputMessage="1" showErrorMessage="1" sqref="E9370">
      <formula1>0</formula1>
    </dataValidation>
    <dataValidation type="whole" operator="greaterThan" allowBlank="1" showInputMessage="1" showErrorMessage="1" sqref="A9371">
      <formula1>0</formula1>
    </dataValidation>
    <dataValidation type="list" allowBlank="1" showInputMessage="1" showErrorMessage="1" sqref="C9371">
      <formula1>UnidadesList</formula1>
    </dataValidation>
    <dataValidation type="decimal" operator="greaterThan" allowBlank="1" showInputMessage="1" showErrorMessage="1" sqref="D9371">
      <formula1>0</formula1>
    </dataValidation>
    <dataValidation type="decimal" operator="greaterThan" allowBlank="1" showInputMessage="1" showErrorMessage="1" sqref="E9371">
      <formula1>0</formula1>
    </dataValidation>
    <dataValidation type="whole" operator="greaterThan" allowBlank="1" showInputMessage="1" showErrorMessage="1" sqref="A9372">
      <formula1>0</formula1>
    </dataValidation>
    <dataValidation type="list" allowBlank="1" showInputMessage="1" showErrorMessage="1" sqref="C9372">
      <formula1>UnidadesList</formula1>
    </dataValidation>
    <dataValidation type="decimal" operator="greaterThan" allowBlank="1" showInputMessage="1" showErrorMessage="1" sqref="D9372">
      <formula1>0</formula1>
    </dataValidation>
    <dataValidation type="decimal" operator="greaterThan" allowBlank="1" showInputMessage="1" showErrorMessage="1" sqref="E9372">
      <formula1>0</formula1>
    </dataValidation>
    <dataValidation type="whole" operator="greaterThan" allowBlank="1" showInputMessage="1" showErrorMessage="1" sqref="A9373">
      <formula1>0</formula1>
    </dataValidation>
    <dataValidation type="list" allowBlank="1" showInputMessage="1" showErrorMessage="1" sqref="C9373">
      <formula1>UnidadesList</formula1>
    </dataValidation>
    <dataValidation type="decimal" operator="greaterThan" allowBlank="1" showInputMessage="1" showErrorMessage="1" sqref="D9373">
      <formula1>0</formula1>
    </dataValidation>
    <dataValidation type="decimal" operator="greaterThan" allowBlank="1" showInputMessage="1" showErrorMessage="1" sqref="E9373">
      <formula1>0</formula1>
    </dataValidation>
    <dataValidation type="whole" operator="greaterThan" allowBlank="1" showInputMessage="1" showErrorMessage="1" sqref="A9374">
      <formula1>0</formula1>
    </dataValidation>
    <dataValidation type="list" allowBlank="1" showInputMessage="1" showErrorMessage="1" sqref="C9374">
      <formula1>UnidadesList</formula1>
    </dataValidation>
    <dataValidation type="decimal" operator="greaterThan" allowBlank="1" showInputMessage="1" showErrorMessage="1" sqref="D9374">
      <formula1>0</formula1>
    </dataValidation>
    <dataValidation type="decimal" operator="greaterThan" allowBlank="1" showInputMessage="1" showErrorMessage="1" sqref="E9374">
      <formula1>0</formula1>
    </dataValidation>
    <dataValidation type="whole" operator="greaterThan" allowBlank="1" showInputMessage="1" showErrorMessage="1" sqref="A9375">
      <formula1>0</formula1>
    </dataValidation>
    <dataValidation type="list" allowBlank="1" showInputMessage="1" showErrorMessage="1" sqref="C9375">
      <formula1>UnidadesList</formula1>
    </dataValidation>
    <dataValidation type="decimal" operator="greaterThan" allowBlank="1" showInputMessage="1" showErrorMessage="1" sqref="D9375">
      <formula1>0</formula1>
    </dataValidation>
    <dataValidation type="decimal" operator="greaterThan" allowBlank="1" showInputMessage="1" showErrorMessage="1" sqref="E9375">
      <formula1>0</formula1>
    </dataValidation>
    <dataValidation type="whole" operator="greaterThan" allowBlank="1" showInputMessage="1" showErrorMessage="1" sqref="A9376">
      <formula1>0</formula1>
    </dataValidation>
    <dataValidation type="list" allowBlank="1" showInputMessage="1" showErrorMessage="1" sqref="C9376">
      <formula1>UnidadesList</formula1>
    </dataValidation>
    <dataValidation type="decimal" operator="greaterThan" allowBlank="1" showInputMessage="1" showErrorMessage="1" sqref="D9376">
      <formula1>0</formula1>
    </dataValidation>
    <dataValidation type="decimal" operator="greaterThan" allowBlank="1" showInputMessage="1" showErrorMessage="1" sqref="E9376">
      <formula1>0</formula1>
    </dataValidation>
    <dataValidation type="whole" operator="greaterThan" allowBlank="1" showInputMessage="1" showErrorMessage="1" sqref="A9377">
      <formula1>0</formula1>
    </dataValidation>
    <dataValidation type="list" allowBlank="1" showInputMessage="1" showErrorMessage="1" sqref="C9377">
      <formula1>UnidadesList</formula1>
    </dataValidation>
    <dataValidation type="decimal" operator="greaterThan" allowBlank="1" showInputMessage="1" showErrorMessage="1" sqref="D9377">
      <formula1>0</formula1>
    </dataValidation>
    <dataValidation type="decimal" operator="greaterThan" allowBlank="1" showInputMessage="1" showErrorMessage="1" sqref="E9377">
      <formula1>0</formula1>
    </dataValidation>
    <dataValidation type="whole" operator="greaterThan" allowBlank="1" showInputMessage="1" showErrorMessage="1" sqref="A9378">
      <formula1>0</formula1>
    </dataValidation>
    <dataValidation type="list" allowBlank="1" showInputMessage="1" showErrorMessage="1" sqref="C9378">
      <formula1>UnidadesList</formula1>
    </dataValidation>
    <dataValidation type="decimal" operator="greaterThan" allowBlank="1" showInputMessage="1" showErrorMessage="1" sqref="D9378">
      <formula1>0</formula1>
    </dataValidation>
    <dataValidation type="decimal" operator="greaterThan" allowBlank="1" showInputMessage="1" showErrorMessage="1" sqref="E9378">
      <formula1>0</formula1>
    </dataValidation>
    <dataValidation type="whole" operator="greaterThan" allowBlank="1" showInputMessage="1" showErrorMessage="1" sqref="A9379">
      <formula1>0</formula1>
    </dataValidation>
    <dataValidation type="list" allowBlank="1" showInputMessage="1" showErrorMessage="1" sqref="C9379">
      <formula1>UnidadesList</formula1>
    </dataValidation>
    <dataValidation type="decimal" operator="greaterThan" allowBlank="1" showInputMessage="1" showErrorMessage="1" sqref="D9379">
      <formula1>0</formula1>
    </dataValidation>
    <dataValidation type="decimal" operator="greaterThan" allowBlank="1" showInputMessage="1" showErrorMessage="1" sqref="E9379">
      <formula1>0</formula1>
    </dataValidation>
    <dataValidation type="whole" operator="greaterThan" allowBlank="1" showInputMessage="1" showErrorMessage="1" sqref="A9380">
      <formula1>0</formula1>
    </dataValidation>
    <dataValidation type="list" allowBlank="1" showInputMessage="1" showErrorMessage="1" sqref="C9380">
      <formula1>UnidadesList</formula1>
    </dataValidation>
    <dataValidation type="decimal" operator="greaterThan" allowBlank="1" showInputMessage="1" showErrorMessage="1" sqref="D9380">
      <formula1>0</formula1>
    </dataValidation>
    <dataValidation type="decimal" operator="greaterThan" allowBlank="1" showInputMessage="1" showErrorMessage="1" sqref="E9380">
      <formula1>0</formula1>
    </dataValidation>
    <dataValidation type="whole" operator="greaterThan" allowBlank="1" showInputMessage="1" showErrorMessage="1" sqref="A9381">
      <formula1>0</formula1>
    </dataValidation>
    <dataValidation type="list" allowBlank="1" showInputMessage="1" showErrorMessage="1" sqref="C9381">
      <formula1>UnidadesList</formula1>
    </dataValidation>
    <dataValidation type="decimal" operator="greaterThan" allowBlank="1" showInputMessage="1" showErrorMessage="1" sqref="D9381">
      <formula1>0</formula1>
    </dataValidation>
    <dataValidation type="decimal" operator="greaterThan" allowBlank="1" showInputMessage="1" showErrorMessage="1" sqref="E9381">
      <formula1>0</formula1>
    </dataValidation>
    <dataValidation type="date" operator="lessThanOrEqual" allowBlank="1" showInputMessage="1" showErrorMessage="1" sqref="C9386">
      <formula1>C9388</formula1>
    </dataValidation>
    <dataValidation type="date" operator="greaterThanOrEqual" allowBlank="1" showInputMessage="1" showErrorMessage="1" sqref="C9388">
      <formula1>C9386</formula1>
    </dataValidation>
    <dataValidation type="list" allowBlank="1" showInputMessage="1" showErrorMessage="1" sqref="F93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3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3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3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392">
      <formula1>0</formula1>
    </dataValidation>
    <dataValidation type="list" allowBlank="1" showInputMessage="1" showErrorMessage="1" sqref="C9392">
      <formula1>UnidadesList</formula1>
    </dataValidation>
    <dataValidation type="decimal" operator="greaterThan" allowBlank="1" showInputMessage="1" showErrorMessage="1" sqref="D9392">
      <formula1>0</formula1>
    </dataValidation>
    <dataValidation type="decimal" operator="greaterThan" allowBlank="1" showInputMessage="1" showErrorMessage="1" sqref="E9392">
      <formula1>0</formula1>
    </dataValidation>
    <dataValidation type="whole" operator="greaterThan" allowBlank="1" showInputMessage="1" showErrorMessage="1" sqref="A9393">
      <formula1>0</formula1>
    </dataValidation>
    <dataValidation type="list" allowBlank="1" showInputMessage="1" showErrorMessage="1" sqref="C9393">
      <formula1>UnidadesList</formula1>
    </dataValidation>
    <dataValidation type="decimal" operator="greaterThan" allowBlank="1" showInputMessage="1" showErrorMessage="1" sqref="D9393">
      <formula1>0</formula1>
    </dataValidation>
    <dataValidation type="decimal" operator="greaterThan" allowBlank="1" showInputMessage="1" showErrorMessage="1" sqref="E9393">
      <formula1>0</formula1>
    </dataValidation>
    <dataValidation type="whole" operator="greaterThan" allowBlank="1" showInputMessage="1" showErrorMessage="1" sqref="A9394">
      <formula1>0</formula1>
    </dataValidation>
    <dataValidation type="list" allowBlank="1" showInputMessage="1" showErrorMessage="1" sqref="C9394">
      <formula1>UnidadesList</formula1>
    </dataValidation>
    <dataValidation type="decimal" operator="greaterThan" allowBlank="1" showInputMessage="1" showErrorMessage="1" sqref="D9394">
      <formula1>0</formula1>
    </dataValidation>
    <dataValidation type="decimal" operator="greaterThan" allowBlank="1" showInputMessage="1" showErrorMessage="1" sqref="E9394">
      <formula1>0</formula1>
    </dataValidation>
    <dataValidation type="whole" operator="greaterThan" allowBlank="1" showInputMessage="1" showErrorMessage="1" sqref="A9395">
      <formula1>0</formula1>
    </dataValidation>
    <dataValidation type="list" allowBlank="1" showInputMessage="1" showErrorMessage="1" sqref="C9395">
      <formula1>UnidadesList</formula1>
    </dataValidation>
    <dataValidation type="decimal" operator="greaterThan" allowBlank="1" showInputMessage="1" showErrorMessage="1" sqref="D9395">
      <formula1>0</formula1>
    </dataValidation>
    <dataValidation type="decimal" operator="greaterThan" allowBlank="1" showInputMessage="1" showErrorMessage="1" sqref="E9395">
      <formula1>0</formula1>
    </dataValidation>
    <dataValidation type="whole" operator="greaterThan" allowBlank="1" showInputMessage="1" showErrorMessage="1" sqref="A9396">
      <formula1>0</formula1>
    </dataValidation>
    <dataValidation type="list" allowBlank="1" showInputMessage="1" showErrorMessage="1" sqref="C9396">
      <formula1>UnidadesList</formula1>
    </dataValidation>
    <dataValidation type="decimal" operator="greaterThan" allowBlank="1" showInputMessage="1" showErrorMessage="1" sqref="D9396">
      <formula1>0</formula1>
    </dataValidation>
    <dataValidation type="decimal" operator="greaterThan" allowBlank="1" showInputMessage="1" showErrorMessage="1" sqref="E9396">
      <formula1>0</formula1>
    </dataValidation>
    <dataValidation type="whole" operator="greaterThan" allowBlank="1" showInputMessage="1" showErrorMessage="1" sqref="A9397">
      <formula1>0</formula1>
    </dataValidation>
    <dataValidation type="list" allowBlank="1" showInputMessage="1" showErrorMessage="1" sqref="C9397">
      <formula1>UnidadesList</formula1>
    </dataValidation>
    <dataValidation type="decimal" operator="greaterThan" allowBlank="1" showInputMessage="1" showErrorMessage="1" sqref="D9397">
      <formula1>0</formula1>
    </dataValidation>
    <dataValidation type="decimal" operator="greaterThan" allowBlank="1" showInputMessage="1" showErrorMessage="1" sqref="E9397">
      <formula1>0</formula1>
    </dataValidation>
    <dataValidation type="whole" operator="greaterThan" allowBlank="1" showInputMessage="1" showErrorMessage="1" sqref="A9398">
      <formula1>0</formula1>
    </dataValidation>
    <dataValidation type="list" allowBlank="1" showInputMessage="1" showErrorMessage="1" sqref="C9398">
      <formula1>UnidadesList</formula1>
    </dataValidation>
    <dataValidation type="decimal" operator="greaterThan" allowBlank="1" showInputMessage="1" showErrorMessage="1" sqref="D9398">
      <formula1>0</formula1>
    </dataValidation>
    <dataValidation type="decimal" operator="greaterThan" allowBlank="1" showInputMessage="1" showErrorMessage="1" sqref="E9398">
      <formula1>0</formula1>
    </dataValidation>
    <dataValidation type="whole" operator="greaterThan" allowBlank="1" showInputMessage="1" showErrorMessage="1" sqref="A9399">
      <formula1>0</formula1>
    </dataValidation>
    <dataValidation type="list" allowBlank="1" showInputMessage="1" showErrorMessage="1" sqref="C9399">
      <formula1>UnidadesList</formula1>
    </dataValidation>
    <dataValidation type="decimal" operator="greaterThan" allowBlank="1" showInputMessage="1" showErrorMessage="1" sqref="D9399">
      <formula1>0</formula1>
    </dataValidation>
    <dataValidation type="decimal" operator="greaterThan" allowBlank="1" showInputMessage="1" showErrorMessage="1" sqref="E9399">
      <formula1>0</formula1>
    </dataValidation>
    <dataValidation type="whole" operator="greaterThan" allowBlank="1" showInputMessage="1" showErrorMessage="1" sqref="A9400">
      <formula1>0</formula1>
    </dataValidation>
    <dataValidation type="list" allowBlank="1" showInputMessage="1" showErrorMessage="1" sqref="C9400">
      <formula1>UnidadesList</formula1>
    </dataValidation>
    <dataValidation type="decimal" operator="greaterThan" allowBlank="1" showInputMessage="1" showErrorMessage="1" sqref="D9400">
      <formula1>0</formula1>
    </dataValidation>
    <dataValidation type="decimal" operator="greaterThan" allowBlank="1" showInputMessage="1" showErrorMessage="1" sqref="E9400">
      <formula1>0</formula1>
    </dataValidation>
    <dataValidation type="whole" operator="greaterThan" allowBlank="1" showInputMessage="1" showErrorMessage="1" sqref="A9401">
      <formula1>0</formula1>
    </dataValidation>
    <dataValidation type="list" allowBlank="1" showInputMessage="1" showErrorMessage="1" sqref="C9401">
      <formula1>UnidadesList</formula1>
    </dataValidation>
    <dataValidation type="decimal" operator="greaterThan" allowBlank="1" showInputMessage="1" showErrorMessage="1" sqref="D9401">
      <formula1>0</formula1>
    </dataValidation>
    <dataValidation type="decimal" operator="greaterThan" allowBlank="1" showInputMessage="1" showErrorMessage="1" sqref="E9401">
      <formula1>0</formula1>
    </dataValidation>
    <dataValidation type="whole" operator="greaterThan" allowBlank="1" showInputMessage="1" showErrorMessage="1" sqref="A9402">
      <formula1>0</formula1>
    </dataValidation>
    <dataValidation type="list" allowBlank="1" showInputMessage="1" showErrorMessage="1" sqref="C9402">
      <formula1>UnidadesList</formula1>
    </dataValidation>
    <dataValidation type="decimal" operator="greaterThan" allowBlank="1" showInputMessage="1" showErrorMessage="1" sqref="D9402">
      <formula1>0</formula1>
    </dataValidation>
    <dataValidation type="decimal" operator="greaterThan" allowBlank="1" showInputMessage="1" showErrorMessage="1" sqref="E9402">
      <formula1>0</formula1>
    </dataValidation>
    <dataValidation type="whole" operator="greaterThan" allowBlank="1" showInputMessage="1" showErrorMessage="1" sqref="A9403">
      <formula1>0</formula1>
    </dataValidation>
    <dataValidation type="list" allowBlank="1" showInputMessage="1" showErrorMessage="1" sqref="C9403">
      <formula1>UnidadesList</formula1>
    </dataValidation>
    <dataValidation type="decimal" operator="greaterThan" allowBlank="1" showInputMessage="1" showErrorMessage="1" sqref="D9403">
      <formula1>0</formula1>
    </dataValidation>
    <dataValidation type="decimal" operator="greaterThan" allowBlank="1" showInputMessage="1" showErrorMessage="1" sqref="E9403">
      <formula1>0</formula1>
    </dataValidation>
    <dataValidation type="whole" operator="greaterThan" allowBlank="1" showInputMessage="1" showErrorMessage="1" sqref="A9404">
      <formula1>0</formula1>
    </dataValidation>
    <dataValidation type="list" allowBlank="1" showInputMessage="1" showErrorMessage="1" sqref="C9404">
      <formula1>UnidadesList</formula1>
    </dataValidation>
    <dataValidation type="decimal" operator="greaterThan" allowBlank="1" showInputMessage="1" showErrorMessage="1" sqref="D9404">
      <formula1>0</formula1>
    </dataValidation>
    <dataValidation type="decimal" operator="greaterThan" allowBlank="1" showInputMessage="1" showErrorMessage="1" sqref="E9404">
      <formula1>0</formula1>
    </dataValidation>
    <dataValidation type="whole" operator="greaterThan" allowBlank="1" showInputMessage="1" showErrorMessage="1" sqref="A9405">
      <formula1>0</formula1>
    </dataValidation>
    <dataValidation type="list" allowBlank="1" showInputMessage="1" showErrorMessage="1" sqref="C9405">
      <formula1>UnidadesList</formula1>
    </dataValidation>
    <dataValidation type="decimal" operator="greaterThan" allowBlank="1" showInputMessage="1" showErrorMessage="1" sqref="D9405">
      <formula1>0</formula1>
    </dataValidation>
    <dataValidation type="decimal" operator="greaterThan" allowBlank="1" showInputMessage="1" showErrorMessage="1" sqref="E9405">
      <formula1>0</formula1>
    </dataValidation>
    <dataValidation type="whole" operator="greaterThan" allowBlank="1" showInputMessage="1" showErrorMessage="1" sqref="A9406">
      <formula1>0</formula1>
    </dataValidation>
    <dataValidation type="list" allowBlank="1" showInputMessage="1" showErrorMessage="1" sqref="C9406">
      <formula1>UnidadesList</formula1>
    </dataValidation>
    <dataValidation type="decimal" operator="greaterThan" allowBlank="1" showInputMessage="1" showErrorMessage="1" sqref="D9406">
      <formula1>0</formula1>
    </dataValidation>
    <dataValidation type="decimal" operator="greaterThan" allowBlank="1" showInputMessage="1" showErrorMessage="1" sqref="E9406">
      <formula1>0</formula1>
    </dataValidation>
    <dataValidation type="whole" operator="greaterThan" allowBlank="1" showInputMessage="1" showErrorMessage="1" sqref="A9407">
      <formula1>0</formula1>
    </dataValidation>
    <dataValidation type="list" allowBlank="1" showInputMessage="1" showErrorMessage="1" sqref="C9407">
      <formula1>UnidadesList</formula1>
    </dataValidation>
    <dataValidation type="decimal" operator="greaterThan" allowBlank="1" showInputMessage="1" showErrorMessage="1" sqref="D9407">
      <formula1>0</formula1>
    </dataValidation>
    <dataValidation type="decimal" operator="greaterThan" allowBlank="1" showInputMessage="1" showErrorMessage="1" sqref="E9407">
      <formula1>0</formula1>
    </dataValidation>
    <dataValidation type="whole" operator="greaterThan" allowBlank="1" showInputMessage="1" showErrorMessage="1" sqref="A9408">
      <formula1>0</formula1>
    </dataValidation>
    <dataValidation type="list" allowBlank="1" showInputMessage="1" showErrorMessage="1" sqref="C9408">
      <formula1>UnidadesList</formula1>
    </dataValidation>
    <dataValidation type="decimal" operator="greaterThan" allowBlank="1" showInputMessage="1" showErrorMessage="1" sqref="D9408">
      <formula1>0</formula1>
    </dataValidation>
    <dataValidation type="decimal" operator="greaterThan" allowBlank="1" showInputMessage="1" showErrorMessage="1" sqref="E9408">
      <formula1>0</formula1>
    </dataValidation>
    <dataValidation type="whole" operator="greaterThan" allowBlank="1" showInputMessage="1" showErrorMessage="1" sqref="A9409">
      <formula1>0</formula1>
    </dataValidation>
    <dataValidation type="list" allowBlank="1" showInputMessage="1" showErrorMessage="1" sqref="C9409">
      <formula1>UnidadesList</formula1>
    </dataValidation>
    <dataValidation type="decimal" operator="greaterThan" allowBlank="1" showInputMessage="1" showErrorMessage="1" sqref="D9409">
      <formula1>0</formula1>
    </dataValidation>
    <dataValidation type="decimal" operator="greaterThan" allowBlank="1" showInputMessage="1" showErrorMessage="1" sqref="E9409">
      <formula1>0</formula1>
    </dataValidation>
    <dataValidation type="whole" operator="greaterThan" allowBlank="1" showInputMessage="1" showErrorMessage="1" sqref="A9410">
      <formula1>0</formula1>
    </dataValidation>
    <dataValidation type="list" allowBlank="1" showInputMessage="1" showErrorMessage="1" sqref="C9410">
      <formula1>UnidadesList</formula1>
    </dataValidation>
    <dataValidation type="decimal" operator="greaterThan" allowBlank="1" showInputMessage="1" showErrorMessage="1" sqref="D9410">
      <formula1>0</formula1>
    </dataValidation>
    <dataValidation type="decimal" operator="greaterThan" allowBlank="1" showInputMessage="1" showErrorMessage="1" sqref="E9410">
      <formula1>0</formula1>
    </dataValidation>
    <dataValidation type="whole" operator="greaterThan" allowBlank="1" showInputMessage="1" showErrorMessage="1" sqref="A9411">
      <formula1>0</formula1>
    </dataValidation>
    <dataValidation type="list" allowBlank="1" showInputMessage="1" showErrorMessage="1" sqref="C9411">
      <formula1>UnidadesList</formula1>
    </dataValidation>
    <dataValidation type="decimal" operator="greaterThan" allowBlank="1" showInputMessage="1" showErrorMessage="1" sqref="D9411">
      <formula1>0</formula1>
    </dataValidation>
    <dataValidation type="decimal" operator="greaterThan" allowBlank="1" showInputMessage="1" showErrorMessage="1" sqref="E9411">
      <formula1>0</formula1>
    </dataValidation>
    <dataValidation type="whole" operator="greaterThan" allowBlank="1" showInputMessage="1" showErrorMessage="1" sqref="A9412">
      <formula1>0</formula1>
    </dataValidation>
    <dataValidation type="list" allowBlank="1" showInputMessage="1" showErrorMessage="1" sqref="C9412">
      <formula1>UnidadesList</formula1>
    </dataValidation>
    <dataValidation type="decimal" operator="greaterThan" allowBlank="1" showInputMessage="1" showErrorMessage="1" sqref="D9412">
      <formula1>0</formula1>
    </dataValidation>
    <dataValidation type="decimal" operator="greaterThan" allowBlank="1" showInputMessage="1" showErrorMessage="1" sqref="E9412">
      <formula1>0</formula1>
    </dataValidation>
    <dataValidation type="whole" operator="greaterThan" allowBlank="1" showInputMessage="1" showErrorMessage="1" sqref="A9413">
      <formula1>0</formula1>
    </dataValidation>
    <dataValidation type="list" allowBlank="1" showInputMessage="1" showErrorMessage="1" sqref="C9413">
      <formula1>UnidadesList</formula1>
    </dataValidation>
    <dataValidation type="decimal" operator="greaterThan" allowBlank="1" showInputMessage="1" showErrorMessage="1" sqref="D9413">
      <formula1>0</formula1>
    </dataValidation>
    <dataValidation type="decimal" operator="greaterThan" allowBlank="1" showInputMessage="1" showErrorMessage="1" sqref="E9413">
      <formula1>0</formula1>
    </dataValidation>
    <dataValidation type="whole" operator="greaterThan" allowBlank="1" showInputMessage="1" showErrorMessage="1" sqref="A9414">
      <formula1>0</formula1>
    </dataValidation>
    <dataValidation type="list" allowBlank="1" showInputMessage="1" showErrorMessage="1" sqref="C9414">
      <formula1>UnidadesList</formula1>
    </dataValidation>
    <dataValidation type="decimal" operator="greaterThan" allowBlank="1" showInputMessage="1" showErrorMessage="1" sqref="D9414">
      <formula1>0</formula1>
    </dataValidation>
    <dataValidation type="decimal" operator="greaterThan" allowBlank="1" showInputMessage="1" showErrorMessage="1" sqref="E9414">
      <formula1>0</formula1>
    </dataValidation>
    <dataValidation type="whole" operator="greaterThan" allowBlank="1" showInputMessage="1" showErrorMessage="1" sqref="A9415">
      <formula1>0</formula1>
    </dataValidation>
    <dataValidation type="list" allowBlank="1" showInputMessage="1" showErrorMessage="1" sqref="C9415">
      <formula1>UnidadesList</formula1>
    </dataValidation>
    <dataValidation type="decimal" operator="greaterThan" allowBlank="1" showInputMessage="1" showErrorMessage="1" sqref="D9415">
      <formula1>0</formula1>
    </dataValidation>
    <dataValidation type="decimal" operator="greaterThan" allowBlank="1" showInputMessage="1" showErrorMessage="1" sqref="E9415">
      <formula1>0</formula1>
    </dataValidation>
    <dataValidation type="whole" operator="greaterThan" allowBlank="1" showInputMessage="1" showErrorMessage="1" sqref="A9416">
      <formula1>0</formula1>
    </dataValidation>
    <dataValidation type="list" allowBlank="1" showInputMessage="1" showErrorMessage="1" sqref="C9416">
      <formula1>UnidadesList</formula1>
    </dataValidation>
    <dataValidation type="decimal" operator="greaterThan" allowBlank="1" showInputMessage="1" showErrorMessage="1" sqref="D9416">
      <formula1>0</formula1>
    </dataValidation>
    <dataValidation type="decimal" operator="greaterThan" allowBlank="1" showInputMessage="1" showErrorMessage="1" sqref="E9416">
      <formula1>0</formula1>
    </dataValidation>
    <dataValidation type="whole" operator="greaterThan" allowBlank="1" showInputMessage="1" showErrorMessage="1" sqref="A9417">
      <formula1>0</formula1>
    </dataValidation>
    <dataValidation type="list" allowBlank="1" showInputMessage="1" showErrorMessage="1" sqref="C9417">
      <formula1>UnidadesList</formula1>
    </dataValidation>
    <dataValidation type="decimal" operator="greaterThan" allowBlank="1" showInputMessage="1" showErrorMessage="1" sqref="D9417">
      <formula1>0</formula1>
    </dataValidation>
    <dataValidation type="decimal" operator="greaterThan" allowBlank="1" showInputMessage="1" showErrorMessage="1" sqref="E9417">
      <formula1>0</formula1>
    </dataValidation>
    <dataValidation type="whole" operator="greaterThan" allowBlank="1" showInputMessage="1" showErrorMessage="1" sqref="A9418">
      <formula1>0</formula1>
    </dataValidation>
    <dataValidation type="list" allowBlank="1" showInputMessage="1" showErrorMessage="1" sqref="C9418">
      <formula1>UnidadesList</formula1>
    </dataValidation>
    <dataValidation type="decimal" operator="greaterThan" allowBlank="1" showInputMessage="1" showErrorMessage="1" sqref="D9418">
      <formula1>0</formula1>
    </dataValidation>
    <dataValidation type="decimal" operator="greaterThan" allowBlank="1" showInputMessage="1" showErrorMessage="1" sqref="E9418">
      <formula1>0</formula1>
    </dataValidation>
    <dataValidation type="whole" operator="greaterThan" allowBlank="1" showInputMessage="1" showErrorMessage="1" sqref="A9419">
      <formula1>0</formula1>
    </dataValidation>
    <dataValidation type="list" allowBlank="1" showInputMessage="1" showErrorMessage="1" sqref="C9419">
      <formula1>UnidadesList</formula1>
    </dataValidation>
    <dataValidation type="decimal" operator="greaterThan" allowBlank="1" showInputMessage="1" showErrorMessage="1" sqref="D9419">
      <formula1>0</formula1>
    </dataValidation>
    <dataValidation type="decimal" operator="greaterThan" allowBlank="1" showInputMessage="1" showErrorMessage="1" sqref="E9419">
      <formula1>0</formula1>
    </dataValidation>
    <dataValidation type="whole" operator="greaterThan" allowBlank="1" showInputMessage="1" showErrorMessage="1" sqref="A9420">
      <formula1>0</formula1>
    </dataValidation>
    <dataValidation type="list" allowBlank="1" showInputMessage="1" showErrorMessage="1" sqref="C9420">
      <formula1>UnidadesList</formula1>
    </dataValidation>
    <dataValidation type="decimal" operator="greaterThan" allowBlank="1" showInputMessage="1" showErrorMessage="1" sqref="D9420">
      <formula1>0</formula1>
    </dataValidation>
    <dataValidation type="decimal" operator="greaterThan" allowBlank="1" showInputMessage="1" showErrorMessage="1" sqref="E9420">
      <formula1>0</formula1>
    </dataValidation>
    <dataValidation type="whole" operator="greaterThan" allowBlank="1" showInputMessage="1" showErrorMessage="1" sqref="A9421">
      <formula1>0</formula1>
    </dataValidation>
    <dataValidation type="list" allowBlank="1" showInputMessage="1" showErrorMessage="1" sqref="C9421">
      <formula1>UnidadesList</formula1>
    </dataValidation>
    <dataValidation type="decimal" operator="greaterThan" allowBlank="1" showInputMessage="1" showErrorMessage="1" sqref="D9421">
      <formula1>0</formula1>
    </dataValidation>
    <dataValidation type="decimal" operator="greaterThan" allowBlank="1" showInputMessage="1" showErrorMessage="1" sqref="E9421">
      <formula1>0</formula1>
    </dataValidation>
    <dataValidation type="whole" operator="greaterThan" allowBlank="1" showInputMessage="1" showErrorMessage="1" sqref="A9422">
      <formula1>0</formula1>
    </dataValidation>
    <dataValidation type="list" allowBlank="1" showInputMessage="1" showErrorMessage="1" sqref="C9422">
      <formula1>UnidadesList</formula1>
    </dataValidation>
    <dataValidation type="decimal" operator="greaterThan" allowBlank="1" showInputMessage="1" showErrorMessage="1" sqref="D9422">
      <formula1>0</formula1>
    </dataValidation>
    <dataValidation type="decimal" operator="greaterThan" allowBlank="1" showInputMessage="1" showErrorMessage="1" sqref="E9422">
      <formula1>0</formula1>
    </dataValidation>
    <dataValidation type="whole" operator="greaterThan" allowBlank="1" showInputMessage="1" showErrorMessage="1" sqref="A9423">
      <formula1>0</formula1>
    </dataValidation>
    <dataValidation type="list" allowBlank="1" showInputMessage="1" showErrorMessage="1" sqref="C9423">
      <formula1>UnidadesList</formula1>
    </dataValidation>
    <dataValidation type="decimal" operator="greaterThan" allowBlank="1" showInputMessage="1" showErrorMessage="1" sqref="D9423">
      <formula1>0</formula1>
    </dataValidation>
    <dataValidation type="decimal" operator="greaterThan" allowBlank="1" showInputMessage="1" showErrorMessage="1" sqref="E9423">
      <formula1>0</formula1>
    </dataValidation>
    <dataValidation type="whole" operator="greaterThan" allowBlank="1" showInputMessage="1" showErrorMessage="1" sqref="A9424">
      <formula1>0</formula1>
    </dataValidation>
    <dataValidation type="list" allowBlank="1" showInputMessage="1" showErrorMessage="1" sqref="C9424">
      <formula1>UnidadesList</formula1>
    </dataValidation>
    <dataValidation type="decimal" operator="greaterThan" allowBlank="1" showInputMessage="1" showErrorMessage="1" sqref="D9424">
      <formula1>0</formula1>
    </dataValidation>
    <dataValidation type="decimal" operator="greaterThan" allowBlank="1" showInputMessage="1" showErrorMessage="1" sqref="E9424">
      <formula1>0</formula1>
    </dataValidation>
    <dataValidation type="whole" operator="greaterThan" allowBlank="1" showInputMessage="1" showErrorMessage="1" sqref="A9425">
      <formula1>0</formula1>
    </dataValidation>
    <dataValidation type="list" allowBlank="1" showInputMessage="1" showErrorMessage="1" sqref="C9425">
      <formula1>UnidadesList</formula1>
    </dataValidation>
    <dataValidation type="decimal" operator="greaterThan" allowBlank="1" showInputMessage="1" showErrorMessage="1" sqref="D9425">
      <formula1>0</formula1>
    </dataValidation>
    <dataValidation type="decimal" operator="greaterThan" allowBlank="1" showInputMessage="1" showErrorMessage="1" sqref="E9425">
      <formula1>0</formula1>
    </dataValidation>
    <dataValidation type="whole" operator="greaterThan" allowBlank="1" showInputMessage="1" showErrorMessage="1" sqref="A9426">
      <formula1>0</formula1>
    </dataValidation>
    <dataValidation type="list" allowBlank="1" showInputMessage="1" showErrorMessage="1" sqref="C9426">
      <formula1>UnidadesList</formula1>
    </dataValidation>
    <dataValidation type="decimal" operator="greaterThan" allowBlank="1" showInputMessage="1" showErrorMessage="1" sqref="D9426">
      <formula1>0</formula1>
    </dataValidation>
    <dataValidation type="decimal" operator="greaterThan" allowBlank="1" showInputMessage="1" showErrorMessage="1" sqref="E9426">
      <formula1>0</formula1>
    </dataValidation>
    <dataValidation type="whole" operator="greaterThan" allowBlank="1" showInputMessage="1" showErrorMessage="1" sqref="A9427">
      <formula1>0</formula1>
    </dataValidation>
    <dataValidation type="list" allowBlank="1" showInputMessage="1" showErrorMessage="1" sqref="C9427">
      <formula1>UnidadesList</formula1>
    </dataValidation>
    <dataValidation type="decimal" operator="greaterThan" allowBlank="1" showInputMessage="1" showErrorMessage="1" sqref="D9427">
      <formula1>0</formula1>
    </dataValidation>
    <dataValidation type="decimal" operator="greaterThan" allowBlank="1" showInputMessage="1" showErrorMessage="1" sqref="E9427">
      <formula1>0</formula1>
    </dataValidation>
    <dataValidation type="whole" operator="greaterThan" allowBlank="1" showInputMessage="1" showErrorMessage="1" sqref="A9428">
      <formula1>0</formula1>
    </dataValidation>
    <dataValidation type="list" allowBlank="1" showInputMessage="1" showErrorMessage="1" sqref="C9428">
      <formula1>UnidadesList</formula1>
    </dataValidation>
    <dataValidation type="decimal" operator="greaterThan" allowBlank="1" showInputMessage="1" showErrorMessage="1" sqref="D9428">
      <formula1>0</formula1>
    </dataValidation>
    <dataValidation type="decimal" operator="greaterThan" allowBlank="1" showInputMessage="1" showErrorMessage="1" sqref="E9428">
      <formula1>0</formula1>
    </dataValidation>
    <dataValidation type="whole" operator="greaterThan" allowBlank="1" showInputMessage="1" showErrorMessage="1" sqref="A9429">
      <formula1>0</formula1>
    </dataValidation>
    <dataValidation type="list" allowBlank="1" showInputMessage="1" showErrorMessage="1" sqref="C9429">
      <formula1>UnidadesList</formula1>
    </dataValidation>
    <dataValidation type="decimal" operator="greaterThan" allowBlank="1" showInputMessage="1" showErrorMessage="1" sqref="D9429">
      <formula1>0</formula1>
    </dataValidation>
    <dataValidation type="decimal" operator="greaterThan" allowBlank="1" showInputMessage="1" showErrorMessage="1" sqref="E9429">
      <formula1>0</formula1>
    </dataValidation>
    <dataValidation type="whole" operator="greaterThan" allowBlank="1" showInputMessage="1" showErrorMessage="1" sqref="A9430">
      <formula1>0</formula1>
    </dataValidation>
    <dataValidation type="list" allowBlank="1" showInputMessage="1" showErrorMessage="1" sqref="C9430">
      <formula1>UnidadesList</formula1>
    </dataValidation>
    <dataValidation type="decimal" operator="greaterThan" allowBlank="1" showInputMessage="1" showErrorMessage="1" sqref="D9430">
      <formula1>0</formula1>
    </dataValidation>
    <dataValidation type="decimal" operator="greaterThan" allowBlank="1" showInputMessage="1" showErrorMessage="1" sqref="E9430">
      <formula1>0</formula1>
    </dataValidation>
    <dataValidation type="whole" operator="greaterThan" allowBlank="1" showInputMessage="1" showErrorMessage="1" sqref="A9431">
      <formula1>0</formula1>
    </dataValidation>
    <dataValidation type="list" allowBlank="1" showInputMessage="1" showErrorMessage="1" sqref="C9431">
      <formula1>UnidadesList</formula1>
    </dataValidation>
    <dataValidation type="decimal" operator="greaterThan" allowBlank="1" showInputMessage="1" showErrorMessage="1" sqref="D9431">
      <formula1>0</formula1>
    </dataValidation>
    <dataValidation type="decimal" operator="greaterThan" allowBlank="1" showInputMessage="1" showErrorMessage="1" sqref="E9431">
      <formula1>0</formula1>
    </dataValidation>
    <dataValidation type="whole" operator="greaterThan" allowBlank="1" showInputMessage="1" showErrorMessage="1" sqref="A9432">
      <formula1>0</formula1>
    </dataValidation>
    <dataValidation type="list" allowBlank="1" showInputMessage="1" showErrorMessage="1" sqref="C9432">
      <formula1>UnidadesList</formula1>
    </dataValidation>
    <dataValidation type="decimal" operator="greaterThan" allowBlank="1" showInputMessage="1" showErrorMessage="1" sqref="D9432">
      <formula1>0</formula1>
    </dataValidation>
    <dataValidation type="decimal" operator="greaterThan" allowBlank="1" showInputMessage="1" showErrorMessage="1" sqref="E9432">
      <formula1>0</formula1>
    </dataValidation>
    <dataValidation type="whole" operator="greaterThan" allowBlank="1" showInputMessage="1" showErrorMessage="1" sqref="A9433">
      <formula1>0</formula1>
    </dataValidation>
    <dataValidation type="list" allowBlank="1" showInputMessage="1" showErrorMessage="1" sqref="C9433">
      <formula1>UnidadesList</formula1>
    </dataValidation>
    <dataValidation type="decimal" operator="greaterThan" allowBlank="1" showInputMessage="1" showErrorMessage="1" sqref="D9433">
      <formula1>0</formula1>
    </dataValidation>
    <dataValidation type="decimal" operator="greaterThan" allowBlank="1" showInputMessage="1" showErrorMessage="1" sqref="E9433">
      <formula1>0</formula1>
    </dataValidation>
    <dataValidation type="whole" operator="greaterThan" allowBlank="1" showInputMessage="1" showErrorMessage="1" sqref="A9434">
      <formula1>0</formula1>
    </dataValidation>
    <dataValidation type="list" allowBlank="1" showInputMessage="1" showErrorMessage="1" sqref="C9434">
      <formula1>UnidadesList</formula1>
    </dataValidation>
    <dataValidation type="decimal" operator="greaterThan" allowBlank="1" showInputMessage="1" showErrorMessage="1" sqref="D9434">
      <formula1>0</formula1>
    </dataValidation>
    <dataValidation type="decimal" operator="greaterThan" allowBlank="1" showInputMessage="1" showErrorMessage="1" sqref="E9434">
      <formula1>0</formula1>
    </dataValidation>
    <dataValidation type="whole" operator="greaterThan" allowBlank="1" showInputMessage="1" showErrorMessage="1" sqref="A9435">
      <formula1>0</formula1>
    </dataValidation>
    <dataValidation type="list" allowBlank="1" showInputMessage="1" showErrorMessage="1" sqref="C9435">
      <formula1>UnidadesList</formula1>
    </dataValidation>
    <dataValidation type="decimal" operator="greaterThan" allowBlank="1" showInputMessage="1" showErrorMessage="1" sqref="D9435">
      <formula1>0</formula1>
    </dataValidation>
    <dataValidation type="decimal" operator="greaterThan" allowBlank="1" showInputMessage="1" showErrorMessage="1" sqref="E9435">
      <formula1>0</formula1>
    </dataValidation>
    <dataValidation type="whole" operator="greaterThan" allowBlank="1" showInputMessage="1" showErrorMessage="1" sqref="A9436">
      <formula1>0</formula1>
    </dataValidation>
    <dataValidation type="list" allowBlank="1" showInputMessage="1" showErrorMessage="1" sqref="C9436">
      <formula1>UnidadesList</formula1>
    </dataValidation>
    <dataValidation type="decimal" operator="greaterThan" allowBlank="1" showInputMessage="1" showErrorMessage="1" sqref="D9436">
      <formula1>0</formula1>
    </dataValidation>
    <dataValidation type="decimal" operator="greaterThan" allowBlank="1" showInputMessage="1" showErrorMessage="1" sqref="E9436">
      <formula1>0</formula1>
    </dataValidation>
    <dataValidation type="whole" operator="greaterThan" allowBlank="1" showInputMessage="1" showErrorMessage="1" sqref="A9437">
      <formula1>0</formula1>
    </dataValidation>
    <dataValidation type="list" allowBlank="1" showInputMessage="1" showErrorMessage="1" sqref="C9437">
      <formula1>UnidadesList</formula1>
    </dataValidation>
    <dataValidation type="decimal" operator="greaterThan" allowBlank="1" showInputMessage="1" showErrorMessage="1" sqref="D9437">
      <formula1>0</formula1>
    </dataValidation>
    <dataValidation type="decimal" operator="greaterThan" allowBlank="1" showInputMessage="1" showErrorMessage="1" sqref="E9437">
      <formula1>0</formula1>
    </dataValidation>
    <dataValidation type="whole" operator="greaterThan" allowBlank="1" showInputMessage="1" showErrorMessage="1" sqref="A9438">
      <formula1>0</formula1>
    </dataValidation>
    <dataValidation type="list" allowBlank="1" showInputMessage="1" showErrorMessage="1" sqref="C9438">
      <formula1>UnidadesList</formula1>
    </dataValidation>
    <dataValidation type="decimal" operator="greaterThan" allowBlank="1" showInputMessage="1" showErrorMessage="1" sqref="D9438">
      <formula1>0</formula1>
    </dataValidation>
    <dataValidation type="decimal" operator="greaterThan" allowBlank="1" showInputMessage="1" showErrorMessage="1" sqref="E9438">
      <formula1>0</formula1>
    </dataValidation>
    <dataValidation type="whole" operator="greaterThan" allowBlank="1" showInputMessage="1" showErrorMessage="1" sqref="A9439">
      <formula1>0</formula1>
    </dataValidation>
    <dataValidation type="list" allowBlank="1" showInputMessage="1" showErrorMessage="1" sqref="C9439">
      <formula1>UnidadesList</formula1>
    </dataValidation>
    <dataValidation type="decimal" operator="greaterThan" allowBlank="1" showInputMessage="1" showErrorMessage="1" sqref="D9439">
      <formula1>0</formula1>
    </dataValidation>
    <dataValidation type="decimal" operator="greaterThan" allowBlank="1" showInputMessage="1" showErrorMessage="1" sqref="E9439">
      <formula1>0</formula1>
    </dataValidation>
    <dataValidation type="whole" operator="greaterThan" allowBlank="1" showInputMessage="1" showErrorMessage="1" sqref="A9440">
      <formula1>0</formula1>
    </dataValidation>
    <dataValidation type="list" allowBlank="1" showInputMessage="1" showErrorMessage="1" sqref="C9440">
      <formula1>UnidadesList</formula1>
    </dataValidation>
    <dataValidation type="decimal" operator="greaterThan" allowBlank="1" showInputMessage="1" showErrorMessage="1" sqref="D9440">
      <formula1>0</formula1>
    </dataValidation>
    <dataValidation type="decimal" operator="greaterThan" allowBlank="1" showInputMessage="1" showErrorMessage="1" sqref="E9440">
      <formula1>0</formula1>
    </dataValidation>
    <dataValidation type="whole" operator="greaterThan" allowBlank="1" showInputMessage="1" showErrorMessage="1" sqref="A9441">
      <formula1>0</formula1>
    </dataValidation>
    <dataValidation type="list" allowBlank="1" showInputMessage="1" showErrorMessage="1" sqref="C9441">
      <formula1>UnidadesList</formula1>
    </dataValidation>
    <dataValidation type="decimal" operator="greaterThan" allowBlank="1" showInputMessage="1" showErrorMessage="1" sqref="D9441">
      <formula1>0</formula1>
    </dataValidation>
    <dataValidation type="decimal" operator="greaterThan" allowBlank="1" showInputMessage="1" showErrorMessage="1" sqref="E9441">
      <formula1>0</formula1>
    </dataValidation>
    <dataValidation type="whole" operator="greaterThan" allowBlank="1" showInputMessage="1" showErrorMessage="1" sqref="A9442">
      <formula1>0</formula1>
    </dataValidation>
    <dataValidation type="list" allowBlank="1" showInputMessage="1" showErrorMessage="1" sqref="C9442">
      <formula1>UnidadesList</formula1>
    </dataValidation>
    <dataValidation type="decimal" operator="greaterThan" allowBlank="1" showInputMessage="1" showErrorMessage="1" sqref="D9442">
      <formula1>0</formula1>
    </dataValidation>
    <dataValidation type="decimal" operator="greaterThan" allowBlank="1" showInputMessage="1" showErrorMessage="1" sqref="E9442">
      <formula1>0</formula1>
    </dataValidation>
    <dataValidation type="whole" operator="greaterThan" allowBlank="1" showInputMessage="1" showErrorMessage="1" sqref="A9443">
      <formula1>0</formula1>
    </dataValidation>
    <dataValidation type="list" allowBlank="1" showInputMessage="1" showErrorMessage="1" sqref="C9443">
      <formula1>UnidadesList</formula1>
    </dataValidation>
    <dataValidation type="decimal" operator="greaterThan" allowBlank="1" showInputMessage="1" showErrorMessage="1" sqref="D9443">
      <formula1>0</formula1>
    </dataValidation>
    <dataValidation type="decimal" operator="greaterThan" allowBlank="1" showInputMessage="1" showErrorMessage="1" sqref="E9443">
      <formula1>0</formula1>
    </dataValidation>
    <dataValidation type="whole" operator="greaterThan" allowBlank="1" showInputMessage="1" showErrorMessage="1" sqref="A9444">
      <formula1>0</formula1>
    </dataValidation>
    <dataValidation type="list" allowBlank="1" showInputMessage="1" showErrorMessage="1" sqref="C9444">
      <formula1>UnidadesList</formula1>
    </dataValidation>
    <dataValidation type="decimal" operator="greaterThan" allowBlank="1" showInputMessage="1" showErrorMessage="1" sqref="D9444">
      <formula1>0</formula1>
    </dataValidation>
    <dataValidation type="decimal" operator="greaterThan" allowBlank="1" showInputMessage="1" showErrorMessage="1" sqref="E9444">
      <formula1>0</formula1>
    </dataValidation>
    <dataValidation type="whole" operator="greaterThan" allowBlank="1" showInputMessage="1" showErrorMessage="1" sqref="A9445">
      <formula1>0</formula1>
    </dataValidation>
    <dataValidation type="list" allowBlank="1" showInputMessage="1" showErrorMessage="1" sqref="C9445">
      <formula1>UnidadesList</formula1>
    </dataValidation>
    <dataValidation type="decimal" operator="greaterThan" allowBlank="1" showInputMessage="1" showErrorMessage="1" sqref="D9445">
      <formula1>0</formula1>
    </dataValidation>
    <dataValidation type="decimal" operator="greaterThan" allowBlank="1" showInputMessage="1" showErrorMessage="1" sqref="E9445">
      <formula1>0</formula1>
    </dataValidation>
    <dataValidation type="whole" operator="greaterThan" allowBlank="1" showInputMessage="1" showErrorMessage="1" sqref="A9446">
      <formula1>0</formula1>
    </dataValidation>
    <dataValidation type="list" allowBlank="1" showInputMessage="1" showErrorMessage="1" sqref="C9446">
      <formula1>UnidadesList</formula1>
    </dataValidation>
    <dataValidation type="decimal" operator="greaterThan" allowBlank="1" showInputMessage="1" showErrorMessage="1" sqref="D9446">
      <formula1>0</formula1>
    </dataValidation>
    <dataValidation type="decimal" operator="greaterThan" allowBlank="1" showInputMessage="1" showErrorMessage="1" sqref="E9446">
      <formula1>0</formula1>
    </dataValidation>
    <dataValidation type="whole" operator="greaterThan" allowBlank="1" showInputMessage="1" showErrorMessage="1" sqref="A9447">
      <formula1>0</formula1>
    </dataValidation>
    <dataValidation type="list" allowBlank="1" showInputMessage="1" showErrorMessage="1" sqref="C9447">
      <formula1>UnidadesList</formula1>
    </dataValidation>
    <dataValidation type="decimal" operator="greaterThan" allowBlank="1" showInputMessage="1" showErrorMessage="1" sqref="D9447">
      <formula1>0</formula1>
    </dataValidation>
    <dataValidation type="decimal" operator="greaterThan" allowBlank="1" showInputMessage="1" showErrorMessage="1" sqref="E9447">
      <formula1>0</formula1>
    </dataValidation>
    <dataValidation type="whole" operator="greaterThan" allowBlank="1" showInputMessage="1" showErrorMessage="1" sqref="A9448">
      <formula1>0</formula1>
    </dataValidation>
    <dataValidation type="list" allowBlank="1" showInputMessage="1" showErrorMessage="1" sqref="C9448">
      <formula1>UnidadesList</formula1>
    </dataValidation>
    <dataValidation type="decimal" operator="greaterThan" allowBlank="1" showInputMessage="1" showErrorMessage="1" sqref="D9448">
      <formula1>0</formula1>
    </dataValidation>
    <dataValidation type="decimal" operator="greaterThan" allowBlank="1" showInputMessage="1" showErrorMessage="1" sqref="E9448">
      <formula1>0</formula1>
    </dataValidation>
    <dataValidation type="whole" operator="greaterThan" allowBlank="1" showInputMessage="1" showErrorMessage="1" sqref="A9449">
      <formula1>0</formula1>
    </dataValidation>
    <dataValidation type="list" allowBlank="1" showInputMessage="1" showErrorMessage="1" sqref="C9449">
      <formula1>UnidadesList</formula1>
    </dataValidation>
    <dataValidation type="decimal" operator="greaterThan" allowBlank="1" showInputMessage="1" showErrorMessage="1" sqref="D9449">
      <formula1>0</formula1>
    </dataValidation>
    <dataValidation type="decimal" operator="greaterThan" allowBlank="1" showInputMessage="1" showErrorMessage="1" sqref="E9449">
      <formula1>0</formula1>
    </dataValidation>
    <dataValidation type="whole" operator="greaterThan" allowBlank="1" showInputMessage="1" showErrorMessage="1" sqref="A9450">
      <formula1>0</formula1>
    </dataValidation>
    <dataValidation type="list" allowBlank="1" showInputMessage="1" showErrorMessage="1" sqref="C9450">
      <formula1>UnidadesList</formula1>
    </dataValidation>
    <dataValidation type="decimal" operator="greaterThan" allowBlank="1" showInputMessage="1" showErrorMessage="1" sqref="D9450">
      <formula1>0</formula1>
    </dataValidation>
    <dataValidation type="decimal" operator="greaterThan" allowBlank="1" showInputMessage="1" showErrorMessage="1" sqref="E9450">
      <formula1>0</formula1>
    </dataValidation>
    <dataValidation type="whole" operator="greaterThan" allowBlank="1" showInputMessage="1" showErrorMessage="1" sqref="A9451">
      <formula1>0</formula1>
    </dataValidation>
    <dataValidation type="list" allowBlank="1" showInputMessage="1" showErrorMessage="1" sqref="C9451">
      <formula1>UnidadesList</formula1>
    </dataValidation>
    <dataValidation type="decimal" operator="greaterThan" allowBlank="1" showInputMessage="1" showErrorMessage="1" sqref="D9451">
      <formula1>0</formula1>
    </dataValidation>
    <dataValidation type="decimal" operator="greaterThan" allowBlank="1" showInputMessage="1" showErrorMessage="1" sqref="E9451">
      <formula1>0</formula1>
    </dataValidation>
    <dataValidation type="whole" operator="greaterThan" allowBlank="1" showInputMessage="1" showErrorMessage="1" sqref="A9452">
      <formula1>0</formula1>
    </dataValidation>
    <dataValidation type="list" allowBlank="1" showInputMessage="1" showErrorMessage="1" sqref="C9452">
      <formula1>UnidadesList</formula1>
    </dataValidation>
    <dataValidation type="decimal" operator="greaterThan" allowBlank="1" showInputMessage="1" showErrorMessage="1" sqref="D9452">
      <formula1>0</formula1>
    </dataValidation>
    <dataValidation type="decimal" operator="greaterThan" allowBlank="1" showInputMessage="1" showErrorMessage="1" sqref="E9452">
      <formula1>0</formula1>
    </dataValidation>
    <dataValidation type="whole" operator="greaterThan" allowBlank="1" showInputMessage="1" showErrorMessage="1" sqref="A9453">
      <formula1>0</formula1>
    </dataValidation>
    <dataValidation type="list" allowBlank="1" showInputMessage="1" showErrorMessage="1" sqref="C9453">
      <formula1>UnidadesList</formula1>
    </dataValidation>
    <dataValidation type="decimal" operator="greaterThan" allowBlank="1" showInputMessage="1" showErrorMessage="1" sqref="D9453">
      <formula1>0</formula1>
    </dataValidation>
    <dataValidation type="decimal" operator="greaterThan" allowBlank="1" showInputMessage="1" showErrorMessage="1" sqref="E9453">
      <formula1>0</formula1>
    </dataValidation>
    <dataValidation type="whole" operator="greaterThan" allowBlank="1" showInputMessage="1" showErrorMessage="1" sqref="A9454">
      <formula1>0</formula1>
    </dataValidation>
    <dataValidation type="list" allowBlank="1" showInputMessage="1" showErrorMessage="1" sqref="C9454">
      <formula1>UnidadesList</formula1>
    </dataValidation>
    <dataValidation type="decimal" operator="greaterThan" allowBlank="1" showInputMessage="1" showErrorMessage="1" sqref="D9454">
      <formula1>0</formula1>
    </dataValidation>
    <dataValidation type="decimal" operator="greaterThan" allowBlank="1" showInputMessage="1" showErrorMessage="1" sqref="E9454">
      <formula1>0</formula1>
    </dataValidation>
    <dataValidation type="whole" operator="greaterThan" allowBlank="1" showInputMessage="1" showErrorMessage="1" sqref="A9455">
      <formula1>0</formula1>
    </dataValidation>
    <dataValidation type="list" allowBlank="1" showInputMessage="1" showErrorMessage="1" sqref="C9455">
      <formula1>UnidadesList</formula1>
    </dataValidation>
    <dataValidation type="decimal" operator="greaterThan" allowBlank="1" showInputMessage="1" showErrorMessage="1" sqref="D9455">
      <formula1>0</formula1>
    </dataValidation>
    <dataValidation type="decimal" operator="greaterThan" allowBlank="1" showInputMessage="1" showErrorMessage="1" sqref="E9455">
      <formula1>0</formula1>
    </dataValidation>
    <dataValidation type="whole" operator="greaterThan" allowBlank="1" showInputMessage="1" showErrorMessage="1" sqref="A9456">
      <formula1>0</formula1>
    </dataValidation>
    <dataValidation type="list" allowBlank="1" showInputMessage="1" showErrorMessage="1" sqref="C9456">
      <formula1>UnidadesList</formula1>
    </dataValidation>
    <dataValidation type="decimal" operator="greaterThan" allowBlank="1" showInputMessage="1" showErrorMessage="1" sqref="D9456">
      <formula1>0</formula1>
    </dataValidation>
    <dataValidation type="decimal" operator="greaterThan" allowBlank="1" showInputMessage="1" showErrorMessage="1" sqref="E9456">
      <formula1>0</formula1>
    </dataValidation>
    <dataValidation type="whole" operator="greaterThan" allowBlank="1" showInputMessage="1" showErrorMessage="1" sqref="A9457">
      <formula1>0</formula1>
    </dataValidation>
    <dataValidation type="list" allowBlank="1" showInputMessage="1" showErrorMessage="1" sqref="C9457">
      <formula1>UnidadesList</formula1>
    </dataValidation>
    <dataValidation type="decimal" operator="greaterThan" allowBlank="1" showInputMessage="1" showErrorMessage="1" sqref="D9457">
      <formula1>0</formula1>
    </dataValidation>
    <dataValidation type="decimal" operator="greaterThan" allowBlank="1" showInputMessage="1" showErrorMessage="1" sqref="E9457">
      <formula1>0</formula1>
    </dataValidation>
    <dataValidation type="whole" operator="greaterThan" allowBlank="1" showInputMessage="1" showErrorMessage="1" sqref="A9458">
      <formula1>0</formula1>
    </dataValidation>
    <dataValidation type="list" allowBlank="1" showInputMessage="1" showErrorMessage="1" sqref="C9458">
      <formula1>UnidadesList</formula1>
    </dataValidation>
    <dataValidation type="decimal" operator="greaterThan" allowBlank="1" showInputMessage="1" showErrorMessage="1" sqref="D9458">
      <formula1>0</formula1>
    </dataValidation>
    <dataValidation type="decimal" operator="greaterThan" allowBlank="1" showInputMessage="1" showErrorMessage="1" sqref="E9458">
      <formula1>0</formula1>
    </dataValidation>
    <dataValidation type="whole" operator="greaterThan" allowBlank="1" showInputMessage="1" showErrorMessage="1" sqref="A9459">
      <formula1>0</formula1>
    </dataValidation>
    <dataValidation type="list" allowBlank="1" showInputMessage="1" showErrorMessage="1" sqref="C9459">
      <formula1>UnidadesList</formula1>
    </dataValidation>
    <dataValidation type="decimal" operator="greaterThan" allowBlank="1" showInputMessage="1" showErrorMessage="1" sqref="D9459">
      <formula1>0</formula1>
    </dataValidation>
    <dataValidation type="decimal" operator="greaterThan" allowBlank="1" showInputMessage="1" showErrorMessage="1" sqref="E9459">
      <formula1>0</formula1>
    </dataValidation>
    <dataValidation type="whole" operator="greaterThan" allowBlank="1" showInputMessage="1" showErrorMessage="1" sqref="A9460">
      <formula1>0</formula1>
    </dataValidation>
    <dataValidation type="list" allowBlank="1" showInputMessage="1" showErrorMessage="1" sqref="C9460">
      <formula1>UnidadesList</formula1>
    </dataValidation>
    <dataValidation type="decimal" operator="greaterThan" allowBlank="1" showInputMessage="1" showErrorMessage="1" sqref="D9460">
      <formula1>0</formula1>
    </dataValidation>
    <dataValidation type="decimal" operator="greaterThan" allowBlank="1" showInputMessage="1" showErrorMessage="1" sqref="E9460">
      <formula1>0</formula1>
    </dataValidation>
    <dataValidation type="whole" operator="greaterThan" allowBlank="1" showInputMessage="1" showErrorMessage="1" sqref="A9461">
      <formula1>0</formula1>
    </dataValidation>
    <dataValidation type="list" allowBlank="1" showInputMessage="1" showErrorMessage="1" sqref="C9461">
      <formula1>UnidadesList</formula1>
    </dataValidation>
    <dataValidation type="decimal" operator="greaterThan" allowBlank="1" showInputMessage="1" showErrorMessage="1" sqref="D9461">
      <formula1>0</formula1>
    </dataValidation>
    <dataValidation type="decimal" operator="greaterThan" allowBlank="1" showInputMessage="1" showErrorMessage="1" sqref="E9461">
      <formula1>0</formula1>
    </dataValidation>
    <dataValidation type="whole" operator="greaterThan" allowBlank="1" showInputMessage="1" showErrorMessage="1" sqref="A9462">
      <formula1>0</formula1>
    </dataValidation>
    <dataValidation type="list" allowBlank="1" showInputMessage="1" showErrorMessage="1" sqref="C9462">
      <formula1>UnidadesList</formula1>
    </dataValidation>
    <dataValidation type="decimal" operator="greaterThan" allowBlank="1" showInputMessage="1" showErrorMessage="1" sqref="D9462">
      <formula1>0</formula1>
    </dataValidation>
    <dataValidation type="decimal" operator="greaterThan" allowBlank="1" showInputMessage="1" showErrorMessage="1" sqref="E9462">
      <formula1>0</formula1>
    </dataValidation>
    <dataValidation type="whole" operator="greaterThan" allowBlank="1" showInputMessage="1" showErrorMessage="1" sqref="A9463">
      <formula1>0</formula1>
    </dataValidation>
    <dataValidation type="list" allowBlank="1" showInputMessage="1" showErrorMessage="1" sqref="C9463">
      <formula1>UnidadesList</formula1>
    </dataValidation>
    <dataValidation type="decimal" operator="greaterThan" allowBlank="1" showInputMessage="1" showErrorMessage="1" sqref="D9463">
      <formula1>0</formula1>
    </dataValidation>
    <dataValidation type="decimal" operator="greaterThan" allowBlank="1" showInputMessage="1" showErrorMessage="1" sqref="E9463">
      <formula1>0</formula1>
    </dataValidation>
    <dataValidation type="whole" operator="greaterThan" allowBlank="1" showInputMessage="1" showErrorMessage="1" sqref="A9464">
      <formula1>0</formula1>
    </dataValidation>
    <dataValidation type="list" allowBlank="1" showInputMessage="1" showErrorMessage="1" sqref="C9464">
      <formula1>UnidadesList</formula1>
    </dataValidation>
    <dataValidation type="decimal" operator="greaterThan" allowBlank="1" showInputMessage="1" showErrorMessage="1" sqref="D9464">
      <formula1>0</formula1>
    </dataValidation>
    <dataValidation type="decimal" operator="greaterThan" allowBlank="1" showInputMessage="1" showErrorMessage="1" sqref="E9464">
      <formula1>0</formula1>
    </dataValidation>
    <dataValidation type="whole" operator="greaterThan" allowBlank="1" showInputMessage="1" showErrorMessage="1" sqref="A9465">
      <formula1>0</formula1>
    </dataValidation>
    <dataValidation type="list" allowBlank="1" showInputMessage="1" showErrorMessage="1" sqref="C9465">
      <formula1>UnidadesList</formula1>
    </dataValidation>
    <dataValidation type="decimal" operator="greaterThan" allowBlank="1" showInputMessage="1" showErrorMessage="1" sqref="D9465">
      <formula1>0</formula1>
    </dataValidation>
    <dataValidation type="decimal" operator="greaterThan" allowBlank="1" showInputMessage="1" showErrorMessage="1" sqref="E9465">
      <formula1>0</formula1>
    </dataValidation>
    <dataValidation type="whole" operator="greaterThan" allowBlank="1" showInputMessage="1" showErrorMessage="1" sqref="A9466">
      <formula1>0</formula1>
    </dataValidation>
    <dataValidation type="list" allowBlank="1" showInputMessage="1" showErrorMessage="1" sqref="C9466">
      <formula1>UnidadesList</formula1>
    </dataValidation>
    <dataValidation type="decimal" operator="greaterThan" allowBlank="1" showInputMessage="1" showErrorMessage="1" sqref="D9466">
      <formula1>0</formula1>
    </dataValidation>
    <dataValidation type="decimal" operator="greaterThan" allowBlank="1" showInputMessage="1" showErrorMessage="1" sqref="E9466">
      <formula1>0</formula1>
    </dataValidation>
    <dataValidation type="whole" operator="greaterThan" allowBlank="1" showInputMessage="1" showErrorMessage="1" sqref="A9467">
      <formula1>0</formula1>
    </dataValidation>
    <dataValidation type="list" allowBlank="1" showInputMessage="1" showErrorMessage="1" sqref="C9467">
      <formula1>UnidadesList</formula1>
    </dataValidation>
    <dataValidation type="decimal" operator="greaterThan" allowBlank="1" showInputMessage="1" showErrorMessage="1" sqref="D9467">
      <formula1>0</formula1>
    </dataValidation>
    <dataValidation type="decimal" operator="greaterThan" allowBlank="1" showInputMessage="1" showErrorMessage="1" sqref="E9467">
      <formula1>0</formula1>
    </dataValidation>
    <dataValidation type="whole" operator="greaterThan" allowBlank="1" showInputMessage="1" showErrorMessage="1" sqref="A9468">
      <formula1>0</formula1>
    </dataValidation>
    <dataValidation type="list" allowBlank="1" showInputMessage="1" showErrorMessage="1" sqref="C9468">
      <formula1>UnidadesList</formula1>
    </dataValidation>
    <dataValidation type="decimal" operator="greaterThan" allowBlank="1" showInputMessage="1" showErrorMessage="1" sqref="D9468">
      <formula1>0</formula1>
    </dataValidation>
    <dataValidation type="decimal" operator="greaterThan" allowBlank="1" showInputMessage="1" showErrorMessage="1" sqref="E9468">
      <formula1>0</formula1>
    </dataValidation>
    <dataValidation type="whole" operator="greaterThan" allowBlank="1" showInputMessage="1" showErrorMessage="1" sqref="A9469">
      <formula1>0</formula1>
    </dataValidation>
    <dataValidation type="list" allowBlank="1" showInputMessage="1" showErrorMessage="1" sqref="C9469">
      <formula1>UnidadesList</formula1>
    </dataValidation>
    <dataValidation type="decimal" operator="greaterThan" allowBlank="1" showInputMessage="1" showErrorMessage="1" sqref="D9469">
      <formula1>0</formula1>
    </dataValidation>
    <dataValidation type="decimal" operator="greaterThan" allowBlank="1" showInputMessage="1" showErrorMessage="1" sqref="E9469">
      <formula1>0</formula1>
    </dataValidation>
    <dataValidation type="whole" operator="greaterThan" allowBlank="1" showInputMessage="1" showErrorMessage="1" sqref="A9470">
      <formula1>0</formula1>
    </dataValidation>
    <dataValidation type="list" allowBlank="1" showInputMessage="1" showErrorMessage="1" sqref="C9470">
      <formula1>UnidadesList</formula1>
    </dataValidation>
    <dataValidation type="decimal" operator="greaterThan" allowBlank="1" showInputMessage="1" showErrorMessage="1" sqref="D9470">
      <formula1>0</formula1>
    </dataValidation>
    <dataValidation type="decimal" operator="greaterThan" allowBlank="1" showInputMessage="1" showErrorMessage="1" sqref="E9470">
      <formula1>0</formula1>
    </dataValidation>
    <dataValidation type="whole" operator="greaterThan" allowBlank="1" showInputMessage="1" showErrorMessage="1" sqref="A9471">
      <formula1>0</formula1>
    </dataValidation>
    <dataValidation type="list" allowBlank="1" showInputMessage="1" showErrorMessage="1" sqref="C9471">
      <formula1>UnidadesList</formula1>
    </dataValidation>
    <dataValidation type="decimal" operator="greaterThan" allowBlank="1" showInputMessage="1" showErrorMessage="1" sqref="D9471">
      <formula1>0</formula1>
    </dataValidation>
    <dataValidation type="decimal" operator="greaterThan" allowBlank="1" showInputMessage="1" showErrorMessage="1" sqref="E9471">
      <formula1>0</formula1>
    </dataValidation>
    <dataValidation type="whole" operator="greaterThan" allowBlank="1" showInputMessage="1" showErrorMessage="1" sqref="A9472">
      <formula1>0</formula1>
    </dataValidation>
    <dataValidation type="list" allowBlank="1" showInputMessage="1" showErrorMessage="1" sqref="C9472">
      <formula1>UnidadesList</formula1>
    </dataValidation>
    <dataValidation type="decimal" operator="greaterThan" allowBlank="1" showInputMessage="1" showErrorMessage="1" sqref="D9472">
      <formula1>0</formula1>
    </dataValidation>
    <dataValidation type="decimal" operator="greaterThan" allowBlank="1" showInputMessage="1" showErrorMessage="1" sqref="E9472">
      <formula1>0</formula1>
    </dataValidation>
    <dataValidation type="whole" operator="greaterThan" allowBlank="1" showInputMessage="1" showErrorMessage="1" sqref="A9473">
      <formula1>0</formula1>
    </dataValidation>
    <dataValidation type="list" allowBlank="1" showInputMessage="1" showErrorMessage="1" sqref="C9473">
      <formula1>UnidadesList</formula1>
    </dataValidation>
    <dataValidation type="decimal" operator="greaterThan" allowBlank="1" showInputMessage="1" showErrorMessage="1" sqref="D9473">
      <formula1>0</formula1>
    </dataValidation>
    <dataValidation type="decimal" operator="greaterThan" allowBlank="1" showInputMessage="1" showErrorMessage="1" sqref="E9473">
      <formula1>0</formula1>
    </dataValidation>
    <dataValidation type="whole" operator="greaterThan" allowBlank="1" showInputMessage="1" showErrorMessage="1" sqref="A9474">
      <formula1>0</formula1>
    </dataValidation>
    <dataValidation type="list" allowBlank="1" showInputMessage="1" showErrorMessage="1" sqref="C9474">
      <formula1>UnidadesList</formula1>
    </dataValidation>
    <dataValidation type="decimal" operator="greaterThan" allowBlank="1" showInputMessage="1" showErrorMessage="1" sqref="D9474">
      <formula1>0</formula1>
    </dataValidation>
    <dataValidation type="decimal" operator="greaterThan" allowBlank="1" showInputMessage="1" showErrorMessage="1" sqref="E9474">
      <formula1>0</formula1>
    </dataValidation>
    <dataValidation type="whole" operator="greaterThan" allowBlank="1" showInputMessage="1" showErrorMessage="1" sqref="A9475">
      <formula1>0</formula1>
    </dataValidation>
    <dataValidation type="list" allowBlank="1" showInputMessage="1" showErrorMessage="1" sqref="C9475">
      <formula1>UnidadesList</formula1>
    </dataValidation>
    <dataValidation type="decimal" operator="greaterThan" allowBlank="1" showInputMessage="1" showErrorMessage="1" sqref="D9475">
      <formula1>0</formula1>
    </dataValidation>
    <dataValidation type="decimal" operator="greaterThan" allowBlank="1" showInputMessage="1" showErrorMessage="1" sqref="E9475">
      <formula1>0</formula1>
    </dataValidation>
    <dataValidation type="whole" operator="greaterThan" allowBlank="1" showInputMessage="1" showErrorMessage="1" sqref="A9476">
      <formula1>0</formula1>
    </dataValidation>
    <dataValidation type="list" allowBlank="1" showInputMessage="1" showErrorMessage="1" sqref="C9476">
      <formula1>UnidadesList</formula1>
    </dataValidation>
    <dataValidation type="decimal" operator="greaterThan" allowBlank="1" showInputMessage="1" showErrorMessage="1" sqref="D9476">
      <formula1>0</formula1>
    </dataValidation>
    <dataValidation type="decimal" operator="greaterThan" allowBlank="1" showInputMessage="1" showErrorMessage="1" sqref="E9476">
      <formula1>0</formula1>
    </dataValidation>
    <dataValidation type="whole" operator="greaterThan" allowBlank="1" showInputMessage="1" showErrorMessage="1" sqref="A9477">
      <formula1>0</formula1>
    </dataValidation>
    <dataValidation type="list" allowBlank="1" showInputMessage="1" showErrorMessage="1" sqref="C9477">
      <formula1>UnidadesList</formula1>
    </dataValidation>
    <dataValidation type="decimal" operator="greaterThan" allowBlank="1" showInputMessage="1" showErrorMessage="1" sqref="D9477">
      <formula1>0</formula1>
    </dataValidation>
    <dataValidation type="decimal" operator="greaterThan" allowBlank="1" showInputMessage="1" showErrorMessage="1" sqref="E9477">
      <formula1>0</formula1>
    </dataValidation>
    <dataValidation type="whole" operator="greaterThan" allowBlank="1" showInputMessage="1" showErrorMessage="1" sqref="A9478">
      <formula1>0</formula1>
    </dataValidation>
    <dataValidation type="list" allowBlank="1" showInputMessage="1" showErrorMessage="1" sqref="C9478">
      <formula1>UnidadesList</formula1>
    </dataValidation>
    <dataValidation type="decimal" operator="greaterThan" allowBlank="1" showInputMessage="1" showErrorMessage="1" sqref="D9478">
      <formula1>0</formula1>
    </dataValidation>
    <dataValidation type="decimal" operator="greaterThan" allowBlank="1" showInputMessage="1" showErrorMessage="1" sqref="E9478">
      <formula1>0</formula1>
    </dataValidation>
    <dataValidation type="whole" operator="greaterThan" allowBlank="1" showInputMessage="1" showErrorMessage="1" sqref="A9479">
      <formula1>0</formula1>
    </dataValidation>
    <dataValidation type="list" allowBlank="1" showInputMessage="1" showErrorMessage="1" sqref="C9479">
      <formula1>UnidadesList</formula1>
    </dataValidation>
    <dataValidation type="decimal" operator="greaterThan" allowBlank="1" showInputMessage="1" showErrorMessage="1" sqref="D9479">
      <formula1>0</formula1>
    </dataValidation>
    <dataValidation type="decimal" operator="greaterThan" allowBlank="1" showInputMessage="1" showErrorMessage="1" sqref="E9479">
      <formula1>0</formula1>
    </dataValidation>
    <dataValidation type="whole" operator="greaterThan" allowBlank="1" showInputMessage="1" showErrorMessage="1" sqref="A9480">
      <formula1>0</formula1>
    </dataValidation>
    <dataValidation type="list" allowBlank="1" showInputMessage="1" showErrorMessage="1" sqref="C9480">
      <formula1>UnidadesList</formula1>
    </dataValidation>
    <dataValidation type="decimal" operator="greaterThan" allowBlank="1" showInputMessage="1" showErrorMessage="1" sqref="D9480">
      <formula1>0</formula1>
    </dataValidation>
    <dataValidation type="decimal" operator="greaterThan" allowBlank="1" showInputMessage="1" showErrorMessage="1" sqref="E9480">
      <formula1>0</formula1>
    </dataValidation>
    <dataValidation type="whole" operator="greaterThan" allowBlank="1" showInputMessage="1" showErrorMessage="1" sqref="A9481">
      <formula1>0</formula1>
    </dataValidation>
    <dataValidation type="list" allowBlank="1" showInputMessage="1" showErrorMessage="1" sqref="C9481">
      <formula1>UnidadesList</formula1>
    </dataValidation>
    <dataValidation type="decimal" operator="greaterThan" allowBlank="1" showInputMessage="1" showErrorMessage="1" sqref="D9481">
      <formula1>0</formula1>
    </dataValidation>
    <dataValidation type="decimal" operator="greaterThan" allowBlank="1" showInputMessage="1" showErrorMessage="1" sqref="E9481">
      <formula1>0</formula1>
    </dataValidation>
    <dataValidation type="whole" operator="greaterThan" allowBlank="1" showInputMessage="1" showErrorMessage="1" sqref="A9482">
      <formula1>0</formula1>
    </dataValidation>
    <dataValidation type="list" allowBlank="1" showInputMessage="1" showErrorMessage="1" sqref="C9482">
      <formula1>UnidadesList</formula1>
    </dataValidation>
    <dataValidation type="decimal" operator="greaterThan" allowBlank="1" showInputMessage="1" showErrorMessage="1" sqref="D9482">
      <formula1>0</formula1>
    </dataValidation>
    <dataValidation type="decimal" operator="greaterThan" allowBlank="1" showInputMessage="1" showErrorMessage="1" sqref="E9482">
      <formula1>0</formula1>
    </dataValidation>
    <dataValidation type="whole" operator="greaterThan" allowBlank="1" showInputMessage="1" showErrorMessage="1" sqref="A9483">
      <formula1>0</formula1>
    </dataValidation>
    <dataValidation type="list" allowBlank="1" showInputMessage="1" showErrorMessage="1" sqref="C9483">
      <formula1>UnidadesList</formula1>
    </dataValidation>
    <dataValidation type="decimal" operator="greaterThan" allowBlank="1" showInputMessage="1" showErrorMessage="1" sqref="D9483">
      <formula1>0</formula1>
    </dataValidation>
    <dataValidation type="decimal" operator="greaterThan" allowBlank="1" showInputMessage="1" showErrorMessage="1" sqref="E9483">
      <formula1>0</formula1>
    </dataValidation>
    <dataValidation type="whole" operator="greaterThan" allowBlank="1" showInputMessage="1" showErrorMessage="1" sqref="A9484">
      <formula1>0</formula1>
    </dataValidation>
    <dataValidation type="list" allowBlank="1" showInputMessage="1" showErrorMessage="1" sqref="C9484">
      <formula1>UnidadesList</formula1>
    </dataValidation>
    <dataValidation type="decimal" operator="greaterThan" allowBlank="1" showInputMessage="1" showErrorMessage="1" sqref="D9484">
      <formula1>0</formula1>
    </dataValidation>
    <dataValidation type="decimal" operator="greaterThan" allowBlank="1" showInputMessage="1" showErrorMessage="1" sqref="E9484">
      <formula1>0</formula1>
    </dataValidation>
    <dataValidation type="whole" operator="greaterThan" allowBlank="1" showInputMessage="1" showErrorMessage="1" sqref="A9485">
      <formula1>0</formula1>
    </dataValidation>
    <dataValidation type="list" allowBlank="1" showInputMessage="1" showErrorMessage="1" sqref="C9485">
      <formula1>UnidadesList</formula1>
    </dataValidation>
    <dataValidation type="decimal" operator="greaterThan" allowBlank="1" showInputMessage="1" showErrorMessage="1" sqref="D9485">
      <formula1>0</formula1>
    </dataValidation>
    <dataValidation type="decimal" operator="greaterThan" allowBlank="1" showInputMessage="1" showErrorMessage="1" sqref="E9485">
      <formula1>0</formula1>
    </dataValidation>
    <dataValidation type="whole" operator="greaterThan" allowBlank="1" showInputMessage="1" showErrorMessage="1" sqref="A9486">
      <formula1>0</formula1>
    </dataValidation>
    <dataValidation type="list" allowBlank="1" showInputMessage="1" showErrorMessage="1" sqref="C9486">
      <formula1>UnidadesList</formula1>
    </dataValidation>
    <dataValidation type="decimal" operator="greaterThan" allowBlank="1" showInputMessage="1" showErrorMessage="1" sqref="D9486">
      <formula1>0</formula1>
    </dataValidation>
    <dataValidation type="decimal" operator="greaterThan" allowBlank="1" showInputMessage="1" showErrorMessage="1" sqref="E9486">
      <formula1>0</formula1>
    </dataValidation>
    <dataValidation type="whole" operator="greaterThan" allowBlank="1" showInputMessage="1" showErrorMessage="1" sqref="A9487">
      <formula1>0</formula1>
    </dataValidation>
    <dataValidation type="list" allowBlank="1" showInputMessage="1" showErrorMessage="1" sqref="C9487">
      <formula1>UnidadesList</formula1>
    </dataValidation>
    <dataValidation type="decimal" operator="greaterThan" allowBlank="1" showInputMessage="1" showErrorMessage="1" sqref="D9487">
      <formula1>0</formula1>
    </dataValidation>
    <dataValidation type="decimal" operator="greaterThan" allowBlank="1" showInputMessage="1" showErrorMessage="1" sqref="E9487">
      <formula1>0</formula1>
    </dataValidation>
    <dataValidation type="whole" operator="greaterThan" allowBlank="1" showInputMessage="1" showErrorMessage="1" sqref="A9488">
      <formula1>0</formula1>
    </dataValidation>
    <dataValidation type="list" allowBlank="1" showInputMessage="1" showErrorMessage="1" sqref="C9488">
      <formula1>UnidadesList</formula1>
    </dataValidation>
    <dataValidation type="decimal" operator="greaterThan" allowBlank="1" showInputMessage="1" showErrorMessage="1" sqref="D9488">
      <formula1>0</formula1>
    </dataValidation>
    <dataValidation type="decimal" operator="greaterThan" allowBlank="1" showInputMessage="1" showErrorMessage="1" sqref="E9488">
      <formula1>0</formula1>
    </dataValidation>
    <dataValidation type="whole" operator="greaterThan" allowBlank="1" showInputMessage="1" showErrorMessage="1" sqref="A9489">
      <formula1>0</formula1>
    </dataValidation>
    <dataValidation type="list" allowBlank="1" showInputMessage="1" showErrorMessage="1" sqref="C9489">
      <formula1>UnidadesList</formula1>
    </dataValidation>
    <dataValidation type="decimal" operator="greaterThan" allowBlank="1" showInputMessage="1" showErrorMessage="1" sqref="D9489">
      <formula1>0</formula1>
    </dataValidation>
    <dataValidation type="decimal" operator="greaterThan" allowBlank="1" showInputMessage="1" showErrorMessage="1" sqref="E9489">
      <formula1>0</formula1>
    </dataValidation>
    <dataValidation type="whole" operator="greaterThan" allowBlank="1" showInputMessage="1" showErrorMessage="1" sqref="A9490">
      <formula1>0</formula1>
    </dataValidation>
    <dataValidation type="list" allowBlank="1" showInputMessage="1" showErrorMessage="1" sqref="C9490">
      <formula1>UnidadesList</formula1>
    </dataValidation>
    <dataValidation type="decimal" operator="greaterThan" allowBlank="1" showInputMessage="1" showErrorMessage="1" sqref="D9490">
      <formula1>0</formula1>
    </dataValidation>
    <dataValidation type="decimal" operator="greaterThan" allowBlank="1" showInputMessage="1" showErrorMessage="1" sqref="E9490">
      <formula1>0</formula1>
    </dataValidation>
    <dataValidation type="whole" operator="greaterThan" allowBlank="1" showInputMessage="1" showErrorMessage="1" sqref="A9491">
      <formula1>0</formula1>
    </dataValidation>
    <dataValidation type="list" allowBlank="1" showInputMessage="1" showErrorMessage="1" sqref="C9491">
      <formula1>UnidadesList</formula1>
    </dataValidation>
    <dataValidation type="decimal" operator="greaterThan" allowBlank="1" showInputMessage="1" showErrorMessage="1" sqref="D9491">
      <formula1>0</formula1>
    </dataValidation>
    <dataValidation type="decimal" operator="greaterThan" allowBlank="1" showInputMessage="1" showErrorMessage="1" sqref="E9491">
      <formula1>0</formula1>
    </dataValidation>
    <dataValidation type="whole" operator="greaterThan" allowBlank="1" showInputMessage="1" showErrorMessage="1" sqref="A9492">
      <formula1>0</formula1>
    </dataValidation>
    <dataValidation type="list" allowBlank="1" showInputMessage="1" showErrorMessage="1" sqref="C9492">
      <formula1>UnidadesList</formula1>
    </dataValidation>
    <dataValidation type="decimal" operator="greaterThan" allowBlank="1" showInputMessage="1" showErrorMessage="1" sqref="D9492">
      <formula1>0</formula1>
    </dataValidation>
    <dataValidation type="decimal" operator="greaterThan" allowBlank="1" showInputMessage="1" showErrorMessage="1" sqref="E9492">
      <formula1>0</formula1>
    </dataValidation>
    <dataValidation type="whole" operator="greaterThan" allowBlank="1" showInputMessage="1" showErrorMessage="1" sqref="A9493">
      <formula1>0</formula1>
    </dataValidation>
    <dataValidation type="list" allowBlank="1" showInputMessage="1" showErrorMessage="1" sqref="C9493">
      <formula1>UnidadesList</formula1>
    </dataValidation>
    <dataValidation type="decimal" operator="greaterThan" allowBlank="1" showInputMessage="1" showErrorMessage="1" sqref="D9493">
      <formula1>0</formula1>
    </dataValidation>
    <dataValidation type="decimal" operator="greaterThan" allowBlank="1" showInputMessage="1" showErrorMessage="1" sqref="E9493">
      <formula1>0</formula1>
    </dataValidation>
    <dataValidation type="whole" operator="greaterThan" allowBlank="1" showInputMessage="1" showErrorMessage="1" sqref="A9494">
      <formula1>0</formula1>
    </dataValidation>
    <dataValidation type="list" allowBlank="1" showInputMessage="1" showErrorMessage="1" sqref="C9494">
      <formula1>UnidadesList</formula1>
    </dataValidation>
    <dataValidation type="decimal" operator="greaterThan" allowBlank="1" showInputMessage="1" showErrorMessage="1" sqref="D9494">
      <formula1>0</formula1>
    </dataValidation>
    <dataValidation type="decimal" operator="greaterThan" allowBlank="1" showInputMessage="1" showErrorMessage="1" sqref="E9494">
      <formula1>0</formula1>
    </dataValidation>
    <dataValidation type="whole" operator="greaterThan" allowBlank="1" showInputMessage="1" showErrorMessage="1" sqref="A9495">
      <formula1>0</formula1>
    </dataValidation>
    <dataValidation type="list" allowBlank="1" showInputMessage="1" showErrorMessage="1" sqref="C9495">
      <formula1>UnidadesList</formula1>
    </dataValidation>
    <dataValidation type="decimal" operator="greaterThan" allowBlank="1" showInputMessage="1" showErrorMessage="1" sqref="D9495">
      <formula1>0</formula1>
    </dataValidation>
    <dataValidation type="decimal" operator="greaterThan" allowBlank="1" showInputMessage="1" showErrorMessage="1" sqref="E9495">
      <formula1>0</formula1>
    </dataValidation>
    <dataValidation type="whole" operator="greaterThan" allowBlank="1" showInputMessage="1" showErrorMessage="1" sqref="A9496">
      <formula1>0</formula1>
    </dataValidation>
    <dataValidation type="list" allowBlank="1" showInputMessage="1" showErrorMessage="1" sqref="C9496">
      <formula1>UnidadesList</formula1>
    </dataValidation>
    <dataValidation type="decimal" operator="greaterThan" allowBlank="1" showInputMessage="1" showErrorMessage="1" sqref="D9496">
      <formula1>0</formula1>
    </dataValidation>
    <dataValidation type="decimal" operator="greaterThan" allowBlank="1" showInputMessage="1" showErrorMessage="1" sqref="E9496">
      <formula1>0</formula1>
    </dataValidation>
    <dataValidation type="whole" operator="greaterThan" allowBlank="1" showInputMessage="1" showErrorMessage="1" sqref="A9497">
      <formula1>0</formula1>
    </dataValidation>
    <dataValidation type="list" allowBlank="1" showInputMessage="1" showErrorMessage="1" sqref="C9497">
      <formula1>UnidadesList</formula1>
    </dataValidation>
    <dataValidation type="decimal" operator="greaterThan" allowBlank="1" showInputMessage="1" showErrorMessage="1" sqref="D9497">
      <formula1>0</formula1>
    </dataValidation>
    <dataValidation type="decimal" operator="greaterThan" allowBlank="1" showInputMessage="1" showErrorMessage="1" sqref="E9497">
      <formula1>0</formula1>
    </dataValidation>
    <dataValidation type="whole" operator="greaterThan" allowBlank="1" showInputMessage="1" showErrorMessage="1" sqref="A9498">
      <formula1>0</formula1>
    </dataValidation>
    <dataValidation type="list" allowBlank="1" showInputMessage="1" showErrorMessage="1" sqref="C9498">
      <formula1>UnidadesList</formula1>
    </dataValidation>
    <dataValidation type="decimal" operator="greaterThan" allowBlank="1" showInputMessage="1" showErrorMessage="1" sqref="D9498">
      <formula1>0</formula1>
    </dataValidation>
    <dataValidation type="decimal" operator="greaterThan" allowBlank="1" showInputMessage="1" showErrorMessage="1" sqref="E9498">
      <formula1>0</formula1>
    </dataValidation>
    <dataValidation type="whole" operator="greaterThan" allowBlank="1" showInputMessage="1" showErrorMessage="1" sqref="A9499">
      <formula1>0</formula1>
    </dataValidation>
    <dataValidation type="list" allowBlank="1" showInputMessage="1" showErrorMessage="1" sqref="C9499">
      <formula1>UnidadesList</formula1>
    </dataValidation>
    <dataValidation type="decimal" operator="greaterThan" allowBlank="1" showInputMessage="1" showErrorMessage="1" sqref="D9499">
      <formula1>0</formula1>
    </dataValidation>
    <dataValidation type="decimal" operator="greaterThan" allowBlank="1" showInputMessage="1" showErrorMessage="1" sqref="E9499">
      <formula1>0</formula1>
    </dataValidation>
    <dataValidation type="whole" operator="greaterThan" allowBlank="1" showInputMessage="1" showErrorMessage="1" sqref="A9500">
      <formula1>0</formula1>
    </dataValidation>
    <dataValidation type="list" allowBlank="1" showInputMessage="1" showErrorMessage="1" sqref="C9500">
      <formula1>UnidadesList</formula1>
    </dataValidation>
    <dataValidation type="decimal" operator="greaterThan" allowBlank="1" showInputMessage="1" showErrorMessage="1" sqref="D9500">
      <formula1>0</formula1>
    </dataValidation>
    <dataValidation type="decimal" operator="greaterThan" allowBlank="1" showInputMessage="1" showErrorMessage="1" sqref="E9500">
      <formula1>0</formula1>
    </dataValidation>
    <dataValidation type="whole" operator="greaterThan" allowBlank="1" showInputMessage="1" showErrorMessage="1" sqref="A9501">
      <formula1>0</formula1>
    </dataValidation>
    <dataValidation type="list" allowBlank="1" showInputMessage="1" showErrorMessage="1" sqref="C9501">
      <formula1>UnidadesList</formula1>
    </dataValidation>
    <dataValidation type="decimal" operator="greaterThan" allowBlank="1" showInputMessage="1" showErrorMessage="1" sqref="D9501">
      <formula1>0</formula1>
    </dataValidation>
    <dataValidation type="decimal" operator="greaterThan" allowBlank="1" showInputMessage="1" showErrorMessage="1" sqref="E9501">
      <formula1>0</formula1>
    </dataValidation>
    <dataValidation type="whole" operator="greaterThan" allowBlank="1" showInputMessage="1" showErrorMessage="1" sqref="A9502">
      <formula1>0</formula1>
    </dataValidation>
    <dataValidation type="list" allowBlank="1" showInputMessage="1" showErrorMessage="1" sqref="C9502">
      <formula1>UnidadesList</formula1>
    </dataValidation>
    <dataValidation type="decimal" operator="greaterThan" allowBlank="1" showInputMessage="1" showErrorMessage="1" sqref="D9502">
      <formula1>0</formula1>
    </dataValidation>
    <dataValidation type="decimal" operator="greaterThan" allowBlank="1" showInputMessage="1" showErrorMessage="1" sqref="E9502">
      <formula1>0</formula1>
    </dataValidation>
    <dataValidation type="whole" operator="greaterThan" allowBlank="1" showInputMessage="1" showErrorMessage="1" sqref="A9503">
      <formula1>0</formula1>
    </dataValidation>
    <dataValidation type="list" allowBlank="1" showInputMessage="1" showErrorMessage="1" sqref="C9503">
      <formula1>UnidadesList</formula1>
    </dataValidation>
    <dataValidation type="decimal" operator="greaterThan" allowBlank="1" showInputMessage="1" showErrorMessage="1" sqref="D9503">
      <formula1>0</formula1>
    </dataValidation>
    <dataValidation type="decimal" operator="greaterThan" allowBlank="1" showInputMessage="1" showErrorMessage="1" sqref="E9503">
      <formula1>0</formula1>
    </dataValidation>
    <dataValidation type="whole" operator="greaterThan" allowBlank="1" showInputMessage="1" showErrorMessage="1" sqref="A9504">
      <formula1>0</formula1>
    </dataValidation>
    <dataValidation type="list" allowBlank="1" showInputMessage="1" showErrorMessage="1" sqref="C9504">
      <formula1>UnidadesList</formula1>
    </dataValidation>
    <dataValidation type="decimal" operator="greaterThan" allowBlank="1" showInputMessage="1" showErrorMessage="1" sqref="D9504">
      <formula1>0</formula1>
    </dataValidation>
    <dataValidation type="decimal" operator="greaterThan" allowBlank="1" showInputMessage="1" showErrorMessage="1" sqref="E9504">
      <formula1>0</formula1>
    </dataValidation>
    <dataValidation type="whole" operator="greaterThan" allowBlank="1" showInputMessage="1" showErrorMessage="1" sqref="A9505">
      <formula1>0</formula1>
    </dataValidation>
    <dataValidation type="list" allowBlank="1" showInputMessage="1" showErrorMessage="1" sqref="C9505">
      <formula1>UnidadesList</formula1>
    </dataValidation>
    <dataValidation type="decimal" operator="greaterThan" allowBlank="1" showInputMessage="1" showErrorMessage="1" sqref="D9505">
      <formula1>0</formula1>
    </dataValidation>
    <dataValidation type="decimal" operator="greaterThan" allowBlank="1" showInputMessage="1" showErrorMessage="1" sqref="E9505">
      <formula1>0</formula1>
    </dataValidation>
    <dataValidation type="whole" operator="greaterThan" allowBlank="1" showInputMessage="1" showErrorMessage="1" sqref="A9506">
      <formula1>0</formula1>
    </dataValidation>
    <dataValidation type="list" allowBlank="1" showInputMessage="1" showErrorMessage="1" sqref="C9506">
      <formula1>UnidadesList</formula1>
    </dataValidation>
    <dataValidation type="decimal" operator="greaterThan" allowBlank="1" showInputMessage="1" showErrorMessage="1" sqref="D9506">
      <formula1>0</formula1>
    </dataValidation>
    <dataValidation type="decimal" operator="greaterThan" allowBlank="1" showInputMessage="1" showErrorMessage="1" sqref="E9506">
      <formula1>0</formula1>
    </dataValidation>
    <dataValidation type="whole" operator="greaterThan" allowBlank="1" showInputMessage="1" showErrorMessage="1" sqref="A9507">
      <formula1>0</formula1>
    </dataValidation>
    <dataValidation type="list" allowBlank="1" showInputMessage="1" showErrorMessage="1" sqref="C9507">
      <formula1>UnidadesList</formula1>
    </dataValidation>
    <dataValidation type="decimal" operator="greaterThan" allowBlank="1" showInputMessage="1" showErrorMessage="1" sqref="D9507">
      <formula1>0</formula1>
    </dataValidation>
    <dataValidation type="decimal" operator="greaterThan" allowBlank="1" showInputMessage="1" showErrorMessage="1" sqref="E9507">
      <formula1>0</formula1>
    </dataValidation>
    <dataValidation type="whole" operator="greaterThan" allowBlank="1" showInputMessage="1" showErrorMessage="1" sqref="A9508">
      <formula1>0</formula1>
    </dataValidation>
    <dataValidation type="list" allowBlank="1" showInputMessage="1" showErrorMessage="1" sqref="C9508">
      <formula1>UnidadesList</formula1>
    </dataValidation>
    <dataValidation type="decimal" operator="greaterThan" allowBlank="1" showInputMessage="1" showErrorMessage="1" sqref="D9508">
      <formula1>0</formula1>
    </dataValidation>
    <dataValidation type="decimal" operator="greaterThan" allowBlank="1" showInputMessage="1" showErrorMessage="1" sqref="E9508">
      <formula1>0</formula1>
    </dataValidation>
    <dataValidation type="whole" operator="greaterThan" allowBlank="1" showInputMessage="1" showErrorMessage="1" sqref="A9509">
      <formula1>0</formula1>
    </dataValidation>
    <dataValidation type="list" allowBlank="1" showInputMessage="1" showErrorMessage="1" sqref="C9509">
      <formula1>UnidadesList</formula1>
    </dataValidation>
    <dataValidation type="decimal" operator="greaterThan" allowBlank="1" showInputMessage="1" showErrorMessage="1" sqref="D9509">
      <formula1>0</formula1>
    </dataValidation>
    <dataValidation type="decimal" operator="greaterThan" allowBlank="1" showInputMessage="1" showErrorMessage="1" sqref="E9509">
      <formula1>0</formula1>
    </dataValidation>
    <dataValidation type="whole" operator="greaterThan" allowBlank="1" showInputMessage="1" showErrorMessage="1" sqref="A9510">
      <formula1>0</formula1>
    </dataValidation>
    <dataValidation type="list" allowBlank="1" showInputMessage="1" showErrorMessage="1" sqref="C9510">
      <formula1>UnidadesList</formula1>
    </dataValidation>
    <dataValidation type="decimal" operator="greaterThan" allowBlank="1" showInputMessage="1" showErrorMessage="1" sqref="D9510">
      <formula1>0</formula1>
    </dataValidation>
    <dataValidation type="decimal" operator="greaterThan" allowBlank="1" showInputMessage="1" showErrorMessage="1" sqref="E9510">
      <formula1>0</formula1>
    </dataValidation>
    <dataValidation type="whole" operator="greaterThan" allowBlank="1" showInputMessage="1" showErrorMessage="1" sqref="A9511">
      <formula1>0</formula1>
    </dataValidation>
    <dataValidation type="list" allowBlank="1" showInputMessage="1" showErrorMessage="1" sqref="C9511">
      <formula1>UnidadesList</formula1>
    </dataValidation>
    <dataValidation type="decimal" operator="greaterThan" allowBlank="1" showInputMessage="1" showErrorMessage="1" sqref="D9511">
      <formula1>0</formula1>
    </dataValidation>
    <dataValidation type="decimal" operator="greaterThan" allowBlank="1" showInputMessage="1" showErrorMessage="1" sqref="E9511">
      <formula1>0</formula1>
    </dataValidation>
    <dataValidation type="whole" operator="greaterThan" allowBlank="1" showInputMessage="1" showErrorMessage="1" sqref="A9512">
      <formula1>0</formula1>
    </dataValidation>
    <dataValidation type="list" allowBlank="1" showInputMessage="1" showErrorMessage="1" sqref="C9512">
      <formula1>UnidadesList</formula1>
    </dataValidation>
    <dataValidation type="decimal" operator="greaterThan" allowBlank="1" showInputMessage="1" showErrorMessage="1" sqref="D9512">
      <formula1>0</formula1>
    </dataValidation>
    <dataValidation type="decimal" operator="greaterThan" allowBlank="1" showInputMessage="1" showErrorMessage="1" sqref="E9512">
      <formula1>0</formula1>
    </dataValidation>
    <dataValidation type="whole" operator="greaterThan" allowBlank="1" showInputMessage="1" showErrorMessage="1" sqref="A9513">
      <formula1>0</formula1>
    </dataValidation>
    <dataValidation type="list" allowBlank="1" showInputMessage="1" showErrorMessage="1" sqref="C9513">
      <formula1>UnidadesList</formula1>
    </dataValidation>
    <dataValidation type="decimal" operator="greaterThan" allowBlank="1" showInputMessage="1" showErrorMessage="1" sqref="D9513">
      <formula1>0</formula1>
    </dataValidation>
    <dataValidation type="decimal" operator="greaterThan" allowBlank="1" showInputMessage="1" showErrorMessage="1" sqref="E9513">
      <formula1>0</formula1>
    </dataValidation>
    <dataValidation type="whole" operator="greaterThan" allowBlank="1" showInputMessage="1" showErrorMessage="1" sqref="A9514">
      <formula1>0</formula1>
    </dataValidation>
    <dataValidation type="list" allowBlank="1" showInputMessage="1" showErrorMessage="1" sqref="C9514">
      <formula1>UnidadesList</formula1>
    </dataValidation>
    <dataValidation type="decimal" operator="greaterThan" allowBlank="1" showInputMessage="1" showErrorMessage="1" sqref="D9514">
      <formula1>0</formula1>
    </dataValidation>
    <dataValidation type="decimal" operator="greaterThan" allowBlank="1" showInputMessage="1" showErrorMessage="1" sqref="E9514">
      <formula1>0</formula1>
    </dataValidation>
    <dataValidation type="whole" operator="greaterThan" allowBlank="1" showInputMessage="1" showErrorMessage="1" sqref="A9515">
      <formula1>0</formula1>
    </dataValidation>
    <dataValidation type="list" allowBlank="1" showInputMessage="1" showErrorMessage="1" sqref="C9515">
      <formula1>UnidadesList</formula1>
    </dataValidation>
    <dataValidation type="decimal" operator="greaterThan" allowBlank="1" showInputMessage="1" showErrorMessage="1" sqref="D9515">
      <formula1>0</formula1>
    </dataValidation>
    <dataValidation type="decimal" operator="greaterThan" allowBlank="1" showInputMessage="1" showErrorMessage="1" sqref="E9515">
      <formula1>0</formula1>
    </dataValidation>
    <dataValidation type="whole" operator="greaterThan" allowBlank="1" showInputMessage="1" showErrorMessage="1" sqref="A9516">
      <formula1>0</formula1>
    </dataValidation>
    <dataValidation type="list" allowBlank="1" showInputMessage="1" showErrorMessage="1" sqref="C9516">
      <formula1>UnidadesList</formula1>
    </dataValidation>
    <dataValidation type="decimal" operator="greaterThan" allowBlank="1" showInputMessage="1" showErrorMessage="1" sqref="D9516">
      <formula1>0</formula1>
    </dataValidation>
    <dataValidation type="decimal" operator="greaterThan" allowBlank="1" showInputMessage="1" showErrorMessage="1" sqref="E9516">
      <formula1>0</formula1>
    </dataValidation>
    <dataValidation type="whole" operator="greaterThan" allowBlank="1" showInputMessage="1" showErrorMessage="1" sqref="A9517">
      <formula1>0</formula1>
    </dataValidation>
    <dataValidation type="list" allowBlank="1" showInputMessage="1" showErrorMessage="1" sqref="C9517">
      <formula1>UnidadesList</formula1>
    </dataValidation>
    <dataValidation type="decimal" operator="greaterThan" allowBlank="1" showInputMessage="1" showErrorMessage="1" sqref="D9517">
      <formula1>0</formula1>
    </dataValidation>
    <dataValidation type="decimal" operator="greaterThan" allowBlank="1" showInputMessage="1" showErrorMessage="1" sqref="E9517">
      <formula1>0</formula1>
    </dataValidation>
    <dataValidation type="whole" operator="greaterThan" allowBlank="1" showInputMessage="1" showErrorMessage="1" sqref="A9518">
      <formula1>0</formula1>
    </dataValidation>
    <dataValidation type="list" allowBlank="1" showInputMessage="1" showErrorMessage="1" sqref="C9518">
      <formula1>UnidadesList</formula1>
    </dataValidation>
    <dataValidation type="decimal" operator="greaterThan" allowBlank="1" showInputMessage="1" showErrorMessage="1" sqref="D9518">
      <formula1>0</formula1>
    </dataValidation>
    <dataValidation type="decimal" operator="greaterThan" allowBlank="1" showInputMessage="1" showErrorMessage="1" sqref="E9518">
      <formula1>0</formula1>
    </dataValidation>
    <dataValidation type="date" operator="lessThanOrEqual" allowBlank="1" showInputMessage="1" showErrorMessage="1" sqref="C9523">
      <formula1>C9525</formula1>
    </dataValidation>
    <dataValidation type="date" operator="greaterThanOrEqual" allowBlank="1" showInputMessage="1" showErrorMessage="1" sqref="C9525">
      <formula1>C9523</formula1>
    </dataValidation>
    <dataValidation type="list" allowBlank="1" showInputMessage="1" showErrorMessage="1" sqref="F952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52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52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52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529">
      <formula1>0</formula1>
    </dataValidation>
    <dataValidation type="list" allowBlank="1" showInputMessage="1" showErrorMessage="1" sqref="C9529">
      <formula1>UnidadesList</formula1>
    </dataValidation>
    <dataValidation type="decimal" operator="greaterThan" allowBlank="1" showInputMessage="1" showErrorMessage="1" sqref="D9529">
      <formula1>0</formula1>
    </dataValidation>
    <dataValidation type="decimal" operator="greaterThan" allowBlank="1" showInputMessage="1" showErrorMessage="1" sqref="E9529">
      <formula1>0</formula1>
    </dataValidation>
    <dataValidation type="whole" operator="greaterThan" allowBlank="1" showInputMessage="1" showErrorMessage="1" sqref="A9530">
      <formula1>0</formula1>
    </dataValidation>
    <dataValidation type="list" allowBlank="1" showInputMessage="1" showErrorMessage="1" sqref="C9530">
      <formula1>UnidadesList</formula1>
    </dataValidation>
    <dataValidation type="decimal" operator="greaterThan" allowBlank="1" showInputMessage="1" showErrorMessage="1" sqref="D9530">
      <formula1>0</formula1>
    </dataValidation>
    <dataValidation type="decimal" operator="greaterThan" allowBlank="1" showInputMessage="1" showErrorMessage="1" sqref="E9530">
      <formula1>0</formula1>
    </dataValidation>
    <dataValidation type="whole" operator="greaterThan" allowBlank="1" showInputMessage="1" showErrorMessage="1" sqref="A9531">
      <formula1>0</formula1>
    </dataValidation>
    <dataValidation type="list" allowBlank="1" showInputMessage="1" showErrorMessage="1" sqref="C9531">
      <formula1>UnidadesList</formula1>
    </dataValidation>
    <dataValidation type="decimal" operator="greaterThan" allowBlank="1" showInputMessage="1" showErrorMessage="1" sqref="D9531">
      <formula1>0</formula1>
    </dataValidation>
    <dataValidation type="decimal" operator="greaterThan" allowBlank="1" showInputMessage="1" showErrorMessage="1" sqref="E9531">
      <formula1>0</formula1>
    </dataValidation>
    <dataValidation type="whole" operator="greaterThan" allowBlank="1" showInputMessage="1" showErrorMessage="1" sqref="A9532">
      <formula1>0</formula1>
    </dataValidation>
    <dataValidation type="list" allowBlank="1" showInputMessage="1" showErrorMessage="1" sqref="C9532">
      <formula1>UnidadesList</formula1>
    </dataValidation>
    <dataValidation type="decimal" operator="greaterThan" allowBlank="1" showInputMessage="1" showErrorMessage="1" sqref="D9532">
      <formula1>0</formula1>
    </dataValidation>
    <dataValidation type="decimal" operator="greaterThan" allowBlank="1" showInputMessage="1" showErrorMessage="1" sqref="E9532">
      <formula1>0</formula1>
    </dataValidation>
    <dataValidation type="whole" operator="greaterThan" allowBlank="1" showInputMessage="1" showErrorMessage="1" sqref="A9533">
      <formula1>0</formula1>
    </dataValidation>
    <dataValidation type="list" allowBlank="1" showInputMessage="1" showErrorMessage="1" sqref="C9533">
      <formula1>UnidadesList</formula1>
    </dataValidation>
    <dataValidation type="decimal" operator="greaterThan" allowBlank="1" showInputMessage="1" showErrorMessage="1" sqref="D9533">
      <formula1>0</formula1>
    </dataValidation>
    <dataValidation type="decimal" operator="greaterThan" allowBlank="1" showInputMessage="1" showErrorMessage="1" sqref="E9533">
      <formula1>0</formula1>
    </dataValidation>
    <dataValidation type="whole" operator="greaterThan" allowBlank="1" showInputMessage="1" showErrorMessage="1" sqref="A9534">
      <formula1>0</formula1>
    </dataValidation>
    <dataValidation type="list" allowBlank="1" showInputMessage="1" showErrorMessage="1" sqref="C9534">
      <formula1>UnidadesList</formula1>
    </dataValidation>
    <dataValidation type="decimal" operator="greaterThan" allowBlank="1" showInputMessage="1" showErrorMessage="1" sqref="D9534">
      <formula1>0</formula1>
    </dataValidation>
    <dataValidation type="decimal" operator="greaterThan" allowBlank="1" showInputMessage="1" showErrorMessage="1" sqref="E9534">
      <formula1>0</formula1>
    </dataValidation>
    <dataValidation type="whole" operator="greaterThan" allowBlank="1" showInputMessage="1" showErrorMessage="1" sqref="A9535">
      <formula1>0</formula1>
    </dataValidation>
    <dataValidation type="list" allowBlank="1" showInputMessage="1" showErrorMessage="1" sqref="C9535">
      <formula1>UnidadesList</formula1>
    </dataValidation>
    <dataValidation type="decimal" operator="greaterThan" allowBlank="1" showInputMessage="1" showErrorMessage="1" sqref="D9535">
      <formula1>0</formula1>
    </dataValidation>
    <dataValidation type="decimal" operator="greaterThan" allowBlank="1" showInputMessage="1" showErrorMessage="1" sqref="E9535">
      <formula1>0</formula1>
    </dataValidation>
    <dataValidation type="whole" operator="greaterThan" allowBlank="1" showInputMessage="1" showErrorMessage="1" sqref="A9536">
      <formula1>0</formula1>
    </dataValidation>
    <dataValidation type="list" allowBlank="1" showInputMessage="1" showErrorMessage="1" sqref="C9536">
      <formula1>UnidadesList</formula1>
    </dataValidation>
    <dataValidation type="decimal" operator="greaterThan" allowBlank="1" showInputMessage="1" showErrorMessage="1" sqref="D9536">
      <formula1>0</formula1>
    </dataValidation>
    <dataValidation type="decimal" operator="greaterThan" allowBlank="1" showInputMessage="1" showErrorMessage="1" sqref="E9536">
      <formula1>0</formula1>
    </dataValidation>
    <dataValidation type="whole" operator="greaterThan" allowBlank="1" showInputMessage="1" showErrorMessage="1" sqref="A9537">
      <formula1>0</formula1>
    </dataValidation>
    <dataValidation type="list" allowBlank="1" showInputMessage="1" showErrorMessage="1" sqref="C9537">
      <formula1>UnidadesList</formula1>
    </dataValidation>
    <dataValidation type="decimal" operator="greaterThan" allowBlank="1" showInputMessage="1" showErrorMessage="1" sqref="D9537">
      <formula1>0</formula1>
    </dataValidation>
    <dataValidation type="decimal" operator="greaterThan" allowBlank="1" showInputMessage="1" showErrorMessage="1" sqref="E9537">
      <formula1>0</formula1>
    </dataValidation>
    <dataValidation type="whole" operator="greaterThan" allowBlank="1" showInputMessage="1" showErrorMessage="1" sqref="A9538">
      <formula1>0</formula1>
    </dataValidation>
    <dataValidation type="list" allowBlank="1" showInputMessage="1" showErrorMessage="1" sqref="C9538">
      <formula1>UnidadesList</formula1>
    </dataValidation>
    <dataValidation type="decimal" operator="greaterThan" allowBlank="1" showInputMessage="1" showErrorMessage="1" sqref="D9538">
      <formula1>0</formula1>
    </dataValidation>
    <dataValidation type="decimal" operator="greaterThan" allowBlank="1" showInputMessage="1" showErrorMessage="1" sqref="E9538">
      <formula1>0</formula1>
    </dataValidation>
    <dataValidation type="whole" operator="greaterThan" allowBlank="1" showInputMessage="1" showErrorMessage="1" sqref="A9539">
      <formula1>0</formula1>
    </dataValidation>
    <dataValidation type="list" allowBlank="1" showInputMessage="1" showErrorMessage="1" sqref="C9539">
      <formula1>UnidadesList</formula1>
    </dataValidation>
    <dataValidation type="decimal" operator="greaterThan" allowBlank="1" showInputMessage="1" showErrorMessage="1" sqref="D9539">
      <formula1>0</formula1>
    </dataValidation>
    <dataValidation type="decimal" operator="greaterThan" allowBlank="1" showInputMessage="1" showErrorMessage="1" sqref="E9539">
      <formula1>0</formula1>
    </dataValidation>
    <dataValidation type="whole" operator="greaterThan" allowBlank="1" showInputMessage="1" showErrorMessage="1" sqref="A9540">
      <formula1>0</formula1>
    </dataValidation>
    <dataValidation type="list" allowBlank="1" showInputMessage="1" showErrorMessage="1" sqref="C9540">
      <formula1>UnidadesList</formula1>
    </dataValidation>
    <dataValidation type="decimal" operator="greaterThan" allowBlank="1" showInputMessage="1" showErrorMessage="1" sqref="D9540">
      <formula1>0</formula1>
    </dataValidation>
    <dataValidation type="decimal" operator="greaterThan" allowBlank="1" showInputMessage="1" showErrorMessage="1" sqref="E9540">
      <formula1>0</formula1>
    </dataValidation>
    <dataValidation type="whole" operator="greaterThan" allowBlank="1" showInputMessage="1" showErrorMessage="1" sqref="A9541">
      <formula1>0</formula1>
    </dataValidation>
    <dataValidation type="list" allowBlank="1" showInputMessage="1" showErrorMessage="1" sqref="C9541">
      <formula1>UnidadesList</formula1>
    </dataValidation>
    <dataValidation type="decimal" operator="greaterThan" allowBlank="1" showInputMessage="1" showErrorMessage="1" sqref="D9541">
      <formula1>0</formula1>
    </dataValidation>
    <dataValidation type="decimal" operator="greaterThan" allowBlank="1" showInputMessage="1" showErrorMessage="1" sqref="E9541">
      <formula1>0</formula1>
    </dataValidation>
    <dataValidation type="whole" operator="greaterThan" allowBlank="1" showInputMessage="1" showErrorMessage="1" sqref="A9542">
      <formula1>0</formula1>
    </dataValidation>
    <dataValidation type="list" allowBlank="1" showInputMessage="1" showErrorMessage="1" sqref="C9542">
      <formula1>UnidadesList</formula1>
    </dataValidation>
    <dataValidation type="decimal" operator="greaterThan" allowBlank="1" showInputMessage="1" showErrorMessage="1" sqref="D9542">
      <formula1>0</formula1>
    </dataValidation>
    <dataValidation type="decimal" operator="greaterThan" allowBlank="1" showInputMessage="1" showErrorMessage="1" sqref="E9542">
      <formula1>0</formula1>
    </dataValidation>
    <dataValidation type="whole" operator="greaterThan" allowBlank="1" showInputMessage="1" showErrorMessage="1" sqref="A9543">
      <formula1>0</formula1>
    </dataValidation>
    <dataValidation type="list" allowBlank="1" showInputMessage="1" showErrorMessage="1" sqref="C9543">
      <formula1>UnidadesList</formula1>
    </dataValidation>
    <dataValidation type="decimal" operator="greaterThan" allowBlank="1" showInputMessage="1" showErrorMessage="1" sqref="D9543">
      <formula1>0</formula1>
    </dataValidation>
    <dataValidation type="decimal" operator="greaterThan" allowBlank="1" showInputMessage="1" showErrorMessage="1" sqref="E9543">
      <formula1>0</formula1>
    </dataValidation>
    <dataValidation type="whole" operator="greaterThan" allowBlank="1" showInputMessage="1" showErrorMessage="1" sqref="A9544">
      <formula1>0</formula1>
    </dataValidation>
    <dataValidation type="list" allowBlank="1" showInputMessage="1" showErrorMessage="1" sqref="C9544">
      <formula1>UnidadesList</formula1>
    </dataValidation>
    <dataValidation type="decimal" operator="greaterThan" allowBlank="1" showInputMessage="1" showErrorMessage="1" sqref="D9544">
      <formula1>0</formula1>
    </dataValidation>
    <dataValidation type="decimal" operator="greaterThan" allowBlank="1" showInputMessage="1" showErrorMessage="1" sqref="E9544">
      <formula1>0</formula1>
    </dataValidation>
    <dataValidation type="whole" operator="greaterThan" allowBlank="1" showInputMessage="1" showErrorMessage="1" sqref="A9545">
      <formula1>0</formula1>
    </dataValidation>
    <dataValidation type="list" allowBlank="1" showInputMessage="1" showErrorMessage="1" sqref="C9545">
      <formula1>UnidadesList</formula1>
    </dataValidation>
    <dataValidation type="decimal" operator="greaterThan" allowBlank="1" showInputMessage="1" showErrorMessage="1" sqref="D9545">
      <formula1>0</formula1>
    </dataValidation>
    <dataValidation type="decimal" operator="greaterThan" allowBlank="1" showInputMessage="1" showErrorMessage="1" sqref="E9545">
      <formula1>0</formula1>
    </dataValidation>
    <dataValidation type="whole" operator="greaterThan" allowBlank="1" showInputMessage="1" showErrorMessage="1" sqref="A9546">
      <formula1>0</formula1>
    </dataValidation>
    <dataValidation type="list" allowBlank="1" showInputMessage="1" showErrorMessage="1" sqref="C9546">
      <formula1>UnidadesList</formula1>
    </dataValidation>
    <dataValidation type="decimal" operator="greaterThan" allowBlank="1" showInputMessage="1" showErrorMessage="1" sqref="D9546">
      <formula1>0</formula1>
    </dataValidation>
    <dataValidation type="decimal" operator="greaterThan" allowBlank="1" showInputMessage="1" showErrorMessage="1" sqref="E9546">
      <formula1>0</formula1>
    </dataValidation>
    <dataValidation type="whole" operator="greaterThan" allowBlank="1" showInputMessage="1" showErrorMessage="1" sqref="A9547">
      <formula1>0</formula1>
    </dataValidation>
    <dataValidation type="list" allowBlank="1" showInputMessage="1" showErrorMessage="1" sqref="C9547">
      <formula1>UnidadesList</formula1>
    </dataValidation>
    <dataValidation type="decimal" operator="greaterThan" allowBlank="1" showInputMessage="1" showErrorMessage="1" sqref="D9547">
      <formula1>0</formula1>
    </dataValidation>
    <dataValidation type="decimal" operator="greaterThan" allowBlank="1" showInputMessage="1" showErrorMessage="1" sqref="E9547">
      <formula1>0</formula1>
    </dataValidation>
    <dataValidation type="whole" operator="greaterThan" allowBlank="1" showInputMessage="1" showErrorMessage="1" sqref="A9548">
      <formula1>0</formula1>
    </dataValidation>
    <dataValidation type="list" allowBlank="1" showInputMessage="1" showErrorMessage="1" sqref="C9548">
      <formula1>UnidadesList</formula1>
    </dataValidation>
    <dataValidation type="decimal" operator="greaterThan" allowBlank="1" showInputMessage="1" showErrorMessage="1" sqref="D9548">
      <formula1>0</formula1>
    </dataValidation>
    <dataValidation type="decimal" operator="greaterThan" allowBlank="1" showInputMessage="1" showErrorMessage="1" sqref="E9548">
      <formula1>0</formula1>
    </dataValidation>
    <dataValidation type="whole" operator="greaterThan" allowBlank="1" showInputMessage="1" showErrorMessage="1" sqref="A9549">
      <formula1>0</formula1>
    </dataValidation>
    <dataValidation type="list" allowBlank="1" showInputMessage="1" showErrorMessage="1" sqref="C9549">
      <formula1>UnidadesList</formula1>
    </dataValidation>
    <dataValidation type="decimal" operator="greaterThan" allowBlank="1" showInputMessage="1" showErrorMessage="1" sqref="D9549">
      <formula1>0</formula1>
    </dataValidation>
    <dataValidation type="decimal" operator="greaterThan" allowBlank="1" showInputMessage="1" showErrorMessage="1" sqref="E9549">
      <formula1>0</formula1>
    </dataValidation>
    <dataValidation type="whole" operator="greaterThan" allowBlank="1" showInputMessage="1" showErrorMessage="1" sqref="A9550">
      <formula1>0</formula1>
    </dataValidation>
    <dataValidation type="list" allowBlank="1" showInputMessage="1" showErrorMessage="1" sqref="C9550">
      <formula1>UnidadesList</formula1>
    </dataValidation>
    <dataValidation type="decimal" operator="greaterThan" allowBlank="1" showInputMessage="1" showErrorMessage="1" sqref="D9550">
      <formula1>0</formula1>
    </dataValidation>
    <dataValidation type="decimal" operator="greaterThan" allowBlank="1" showInputMessage="1" showErrorMessage="1" sqref="E9550">
      <formula1>0</formula1>
    </dataValidation>
    <dataValidation type="whole" operator="greaterThan" allowBlank="1" showInputMessage="1" showErrorMessage="1" sqref="A9551">
      <formula1>0</formula1>
    </dataValidation>
    <dataValidation type="list" allowBlank="1" showInputMessage="1" showErrorMessage="1" sqref="C9551">
      <formula1>UnidadesList</formula1>
    </dataValidation>
    <dataValidation type="decimal" operator="greaterThan" allowBlank="1" showInputMessage="1" showErrorMessage="1" sqref="D9551">
      <formula1>0</formula1>
    </dataValidation>
    <dataValidation type="decimal" operator="greaterThan" allowBlank="1" showInputMessage="1" showErrorMessage="1" sqref="E9551">
      <formula1>0</formula1>
    </dataValidation>
    <dataValidation type="whole" operator="greaterThan" allowBlank="1" showInputMessage="1" showErrorMessage="1" sqref="A9552">
      <formula1>0</formula1>
    </dataValidation>
    <dataValidation type="list" allowBlank="1" showInputMessage="1" showErrorMessage="1" sqref="C9552">
      <formula1>UnidadesList</formula1>
    </dataValidation>
    <dataValidation type="decimal" operator="greaterThan" allowBlank="1" showInputMessage="1" showErrorMessage="1" sqref="D9552">
      <formula1>0</formula1>
    </dataValidation>
    <dataValidation type="decimal" operator="greaterThan" allowBlank="1" showInputMessage="1" showErrorMessage="1" sqref="E9552">
      <formula1>0</formula1>
    </dataValidation>
    <dataValidation type="whole" operator="greaterThan" allowBlank="1" showInputMessage="1" showErrorMessage="1" sqref="A9553">
      <formula1>0</formula1>
    </dataValidation>
    <dataValidation type="list" allowBlank="1" showInputMessage="1" showErrorMessage="1" sqref="C9553">
      <formula1>UnidadesList</formula1>
    </dataValidation>
    <dataValidation type="decimal" operator="greaterThan" allowBlank="1" showInputMessage="1" showErrorMessage="1" sqref="D9553">
      <formula1>0</formula1>
    </dataValidation>
    <dataValidation type="decimal" operator="greaterThan" allowBlank="1" showInputMessage="1" showErrorMessage="1" sqref="E9553">
      <formula1>0</formula1>
    </dataValidation>
    <dataValidation type="whole" operator="greaterThan" allowBlank="1" showInputMessage="1" showErrorMessage="1" sqref="A9554">
      <formula1>0</formula1>
    </dataValidation>
    <dataValidation type="list" allowBlank="1" showInputMessage="1" showErrorMessage="1" sqref="C9554">
      <formula1>UnidadesList</formula1>
    </dataValidation>
    <dataValidation type="decimal" operator="greaterThan" allowBlank="1" showInputMessage="1" showErrorMessage="1" sqref="D9554">
      <formula1>0</formula1>
    </dataValidation>
    <dataValidation type="decimal" operator="greaterThan" allowBlank="1" showInputMessage="1" showErrorMessage="1" sqref="E9554">
      <formula1>0</formula1>
    </dataValidation>
    <dataValidation type="whole" operator="greaterThan" allowBlank="1" showInputMessage="1" showErrorMessage="1" sqref="A9555">
      <formula1>0</formula1>
    </dataValidation>
    <dataValidation type="list" allowBlank="1" showInputMessage="1" showErrorMessage="1" sqref="C9555">
      <formula1>UnidadesList</formula1>
    </dataValidation>
    <dataValidation type="decimal" operator="greaterThan" allowBlank="1" showInputMessage="1" showErrorMessage="1" sqref="D9555">
      <formula1>0</formula1>
    </dataValidation>
    <dataValidation type="decimal" operator="greaterThan" allowBlank="1" showInputMessage="1" showErrorMessage="1" sqref="E9555">
      <formula1>0</formula1>
    </dataValidation>
    <dataValidation type="whole" operator="greaterThan" allowBlank="1" showInputMessage="1" showErrorMessage="1" sqref="A9556">
      <formula1>0</formula1>
    </dataValidation>
    <dataValidation type="list" allowBlank="1" showInputMessage="1" showErrorMessage="1" sqref="C9556">
      <formula1>UnidadesList</formula1>
    </dataValidation>
    <dataValidation type="decimal" operator="greaterThan" allowBlank="1" showInputMessage="1" showErrorMessage="1" sqref="D9556">
      <formula1>0</formula1>
    </dataValidation>
    <dataValidation type="decimal" operator="greaterThan" allowBlank="1" showInputMessage="1" showErrorMessage="1" sqref="E9556">
      <formula1>0</formula1>
    </dataValidation>
    <dataValidation type="whole" operator="greaterThan" allowBlank="1" showInputMessage="1" showErrorMessage="1" sqref="A9557">
      <formula1>0</formula1>
    </dataValidation>
    <dataValidation type="list" allowBlank="1" showInputMessage="1" showErrorMessage="1" sqref="C9557">
      <formula1>UnidadesList</formula1>
    </dataValidation>
    <dataValidation type="decimal" operator="greaterThan" allowBlank="1" showInputMessage="1" showErrorMessage="1" sqref="D9557">
      <formula1>0</formula1>
    </dataValidation>
    <dataValidation type="decimal" operator="greaterThan" allowBlank="1" showInputMessage="1" showErrorMessage="1" sqref="E9557">
      <formula1>0</formula1>
    </dataValidation>
    <dataValidation type="whole" operator="greaterThan" allowBlank="1" showInputMessage="1" showErrorMessage="1" sqref="A9558">
      <formula1>0</formula1>
    </dataValidation>
    <dataValidation type="list" allowBlank="1" showInputMessage="1" showErrorMessage="1" sqref="C9558">
      <formula1>UnidadesList</formula1>
    </dataValidation>
    <dataValidation type="decimal" operator="greaterThan" allowBlank="1" showInputMessage="1" showErrorMessage="1" sqref="D9558">
      <formula1>0</formula1>
    </dataValidation>
    <dataValidation type="decimal" operator="greaterThan" allowBlank="1" showInputMessage="1" showErrorMessage="1" sqref="E9558">
      <formula1>0</formula1>
    </dataValidation>
    <dataValidation type="whole" operator="greaterThan" allowBlank="1" showInputMessage="1" showErrorMessage="1" sqref="A9559">
      <formula1>0</formula1>
    </dataValidation>
    <dataValidation type="list" allowBlank="1" showInputMessage="1" showErrorMessage="1" sqref="C9559">
      <formula1>UnidadesList</formula1>
    </dataValidation>
    <dataValidation type="decimal" operator="greaterThan" allowBlank="1" showInputMessage="1" showErrorMessage="1" sqref="D9559">
      <formula1>0</formula1>
    </dataValidation>
    <dataValidation type="decimal" operator="greaterThan" allowBlank="1" showInputMessage="1" showErrorMessage="1" sqref="E9559">
      <formula1>0</formula1>
    </dataValidation>
    <dataValidation type="whole" operator="greaterThan" allowBlank="1" showInputMessage="1" showErrorMessage="1" sqref="A9560">
      <formula1>0</formula1>
    </dataValidation>
    <dataValidation type="list" allowBlank="1" showInputMessage="1" showErrorMessage="1" sqref="C9560">
      <formula1>UnidadesList</formula1>
    </dataValidation>
    <dataValidation type="decimal" operator="greaterThan" allowBlank="1" showInputMessage="1" showErrorMessage="1" sqref="D9560">
      <formula1>0</formula1>
    </dataValidation>
    <dataValidation type="decimal" operator="greaterThan" allowBlank="1" showInputMessage="1" showErrorMessage="1" sqref="E9560">
      <formula1>0</formula1>
    </dataValidation>
    <dataValidation type="whole" operator="greaterThan" allowBlank="1" showInputMessage="1" showErrorMessage="1" sqref="A9561">
      <formula1>0</formula1>
    </dataValidation>
    <dataValidation type="list" allowBlank="1" showInputMessage="1" showErrorMessage="1" sqref="C9561">
      <formula1>UnidadesList</formula1>
    </dataValidation>
    <dataValidation type="decimal" operator="greaterThan" allowBlank="1" showInputMessage="1" showErrorMessage="1" sqref="D9561">
      <formula1>0</formula1>
    </dataValidation>
    <dataValidation type="decimal" operator="greaterThan" allowBlank="1" showInputMessage="1" showErrorMessage="1" sqref="E9561">
      <formula1>0</formula1>
    </dataValidation>
    <dataValidation type="whole" operator="greaterThan" allowBlank="1" showInputMessage="1" showErrorMessage="1" sqref="A9562">
      <formula1>0</formula1>
    </dataValidation>
    <dataValidation type="list" allowBlank="1" showInputMessage="1" showErrorMessage="1" sqref="C9562">
      <formula1>UnidadesList</formula1>
    </dataValidation>
    <dataValidation type="decimal" operator="greaterThan" allowBlank="1" showInputMessage="1" showErrorMessage="1" sqref="D9562">
      <formula1>0</formula1>
    </dataValidation>
    <dataValidation type="decimal" operator="greaterThan" allowBlank="1" showInputMessage="1" showErrorMessage="1" sqref="E9562">
      <formula1>0</formula1>
    </dataValidation>
    <dataValidation type="whole" operator="greaterThan" allowBlank="1" showInputMessage="1" showErrorMessage="1" sqref="A9563">
      <formula1>0</formula1>
    </dataValidation>
    <dataValidation type="list" allowBlank="1" showInputMessage="1" showErrorMessage="1" sqref="C9563">
      <formula1>UnidadesList</formula1>
    </dataValidation>
    <dataValidation type="decimal" operator="greaterThan" allowBlank="1" showInputMessage="1" showErrorMessage="1" sqref="D9563">
      <formula1>0</formula1>
    </dataValidation>
    <dataValidation type="decimal" operator="greaterThan" allowBlank="1" showInputMessage="1" showErrorMessage="1" sqref="E9563">
      <formula1>0</formula1>
    </dataValidation>
    <dataValidation type="whole" operator="greaterThan" allowBlank="1" showInputMessage="1" showErrorMessage="1" sqref="A9564">
      <formula1>0</formula1>
    </dataValidation>
    <dataValidation type="list" allowBlank="1" showInputMessage="1" showErrorMessage="1" sqref="C9564">
      <formula1>UnidadesList</formula1>
    </dataValidation>
    <dataValidation type="decimal" operator="greaterThan" allowBlank="1" showInputMessage="1" showErrorMessage="1" sqref="D9564">
      <formula1>0</formula1>
    </dataValidation>
    <dataValidation type="decimal" operator="greaterThan" allowBlank="1" showInputMessage="1" showErrorMessage="1" sqref="E9564">
      <formula1>0</formula1>
    </dataValidation>
    <dataValidation type="whole" operator="greaterThan" allowBlank="1" showInputMessage="1" showErrorMessage="1" sqref="A9565">
      <formula1>0</formula1>
    </dataValidation>
    <dataValidation type="list" allowBlank="1" showInputMessage="1" showErrorMessage="1" sqref="C9565">
      <formula1>UnidadesList</formula1>
    </dataValidation>
    <dataValidation type="decimal" operator="greaterThan" allowBlank="1" showInputMessage="1" showErrorMessage="1" sqref="D9565">
      <formula1>0</formula1>
    </dataValidation>
    <dataValidation type="decimal" operator="greaterThan" allowBlank="1" showInputMessage="1" showErrorMessage="1" sqref="E9565">
      <formula1>0</formula1>
    </dataValidation>
    <dataValidation type="whole" operator="greaterThan" allowBlank="1" showInputMessage="1" showErrorMessage="1" sqref="A9566">
      <formula1>0</formula1>
    </dataValidation>
    <dataValidation type="list" allowBlank="1" showInputMessage="1" showErrorMessage="1" sqref="C9566">
      <formula1>UnidadesList</formula1>
    </dataValidation>
    <dataValidation type="decimal" operator="greaterThan" allowBlank="1" showInputMessage="1" showErrorMessage="1" sqref="D9566">
      <formula1>0</formula1>
    </dataValidation>
    <dataValidation type="decimal" operator="greaterThan" allowBlank="1" showInputMessage="1" showErrorMessage="1" sqref="E9566">
      <formula1>0</formula1>
    </dataValidation>
    <dataValidation type="whole" operator="greaterThan" allowBlank="1" showInputMessage="1" showErrorMessage="1" sqref="A9567">
      <formula1>0</formula1>
    </dataValidation>
    <dataValidation type="list" allowBlank="1" showInputMessage="1" showErrorMessage="1" sqref="C9567">
      <formula1>UnidadesList</formula1>
    </dataValidation>
    <dataValidation type="decimal" operator="greaterThan" allowBlank="1" showInputMessage="1" showErrorMessage="1" sqref="D9567">
      <formula1>0</formula1>
    </dataValidation>
    <dataValidation type="decimal" operator="greaterThan" allowBlank="1" showInputMessage="1" showErrorMessage="1" sqref="E9567">
      <formula1>0</formula1>
    </dataValidation>
    <dataValidation type="whole" operator="greaterThan" allowBlank="1" showInputMessage="1" showErrorMessage="1" sqref="A9568">
      <formula1>0</formula1>
    </dataValidation>
    <dataValidation type="list" allowBlank="1" showInputMessage="1" showErrorMessage="1" sqref="C9568">
      <formula1>UnidadesList</formula1>
    </dataValidation>
    <dataValidation type="decimal" operator="greaterThan" allowBlank="1" showInputMessage="1" showErrorMessage="1" sqref="D9568">
      <formula1>0</formula1>
    </dataValidation>
    <dataValidation type="decimal" operator="greaterThan" allowBlank="1" showInputMessage="1" showErrorMessage="1" sqref="E9568">
      <formula1>0</formula1>
    </dataValidation>
    <dataValidation type="whole" operator="greaterThan" allowBlank="1" showInputMessage="1" showErrorMessage="1" sqref="A9569">
      <formula1>0</formula1>
    </dataValidation>
    <dataValidation type="list" allowBlank="1" showInputMessage="1" showErrorMessage="1" sqref="C9569">
      <formula1>UnidadesList</formula1>
    </dataValidation>
    <dataValidation type="decimal" operator="greaterThan" allowBlank="1" showInputMessage="1" showErrorMessage="1" sqref="D9569">
      <formula1>0</formula1>
    </dataValidation>
    <dataValidation type="decimal" operator="greaterThan" allowBlank="1" showInputMessage="1" showErrorMessage="1" sqref="E9569">
      <formula1>0</formula1>
    </dataValidation>
    <dataValidation type="whole" operator="greaterThan" allowBlank="1" showInputMessage="1" showErrorMessage="1" sqref="A9570">
      <formula1>0</formula1>
    </dataValidation>
    <dataValidation type="list" allowBlank="1" showInputMessage="1" showErrorMessage="1" sqref="C9570">
      <formula1>UnidadesList</formula1>
    </dataValidation>
    <dataValidation type="decimal" operator="greaterThan" allowBlank="1" showInputMessage="1" showErrorMessage="1" sqref="D9570">
      <formula1>0</formula1>
    </dataValidation>
    <dataValidation type="decimal" operator="greaterThan" allowBlank="1" showInputMessage="1" showErrorMessage="1" sqref="E9570">
      <formula1>0</formula1>
    </dataValidation>
    <dataValidation type="whole" operator="greaterThan" allowBlank="1" showInputMessage="1" showErrorMessage="1" sqref="A9571">
      <formula1>0</formula1>
    </dataValidation>
    <dataValidation type="list" allowBlank="1" showInputMessage="1" showErrorMessage="1" sqref="C9571">
      <formula1>UnidadesList</formula1>
    </dataValidation>
    <dataValidation type="decimal" operator="greaterThan" allowBlank="1" showInputMessage="1" showErrorMessage="1" sqref="D9571">
      <formula1>0</formula1>
    </dataValidation>
    <dataValidation type="decimal" operator="greaterThan" allowBlank="1" showInputMessage="1" showErrorMessage="1" sqref="E9571">
      <formula1>0</formula1>
    </dataValidation>
    <dataValidation type="whole" operator="greaterThan" allowBlank="1" showInputMessage="1" showErrorMessage="1" sqref="A9572">
      <formula1>0</formula1>
    </dataValidation>
    <dataValidation type="list" allowBlank="1" showInputMessage="1" showErrorMessage="1" sqref="C9572">
      <formula1>UnidadesList</formula1>
    </dataValidation>
    <dataValidation type="decimal" operator="greaterThan" allowBlank="1" showInputMessage="1" showErrorMessage="1" sqref="D9572">
      <formula1>0</formula1>
    </dataValidation>
    <dataValidation type="decimal" operator="greaterThan" allowBlank="1" showInputMessage="1" showErrorMessage="1" sqref="E9572">
      <formula1>0</formula1>
    </dataValidation>
    <dataValidation type="whole" operator="greaterThan" allowBlank="1" showInputMessage="1" showErrorMessage="1" sqref="A9573">
      <formula1>0</formula1>
    </dataValidation>
    <dataValidation type="list" allowBlank="1" showInputMessage="1" showErrorMessage="1" sqref="C9573">
      <formula1>UnidadesList</formula1>
    </dataValidation>
    <dataValidation type="decimal" operator="greaterThan" allowBlank="1" showInputMessage="1" showErrorMessage="1" sqref="D9573">
      <formula1>0</formula1>
    </dataValidation>
    <dataValidation type="decimal" operator="greaterThan" allowBlank="1" showInputMessage="1" showErrorMessage="1" sqref="E9573">
      <formula1>0</formula1>
    </dataValidation>
    <dataValidation type="whole" operator="greaterThan" allowBlank="1" showInputMessage="1" showErrorMessage="1" sqref="A9574">
      <formula1>0</formula1>
    </dataValidation>
    <dataValidation type="list" allowBlank="1" showInputMessage="1" showErrorMessage="1" sqref="C9574">
      <formula1>UnidadesList</formula1>
    </dataValidation>
    <dataValidation type="decimal" operator="greaterThan" allowBlank="1" showInputMessage="1" showErrorMessage="1" sqref="D9574">
      <formula1>0</formula1>
    </dataValidation>
    <dataValidation type="decimal" operator="greaterThan" allowBlank="1" showInputMessage="1" showErrorMessage="1" sqref="E9574">
      <formula1>0</formula1>
    </dataValidation>
    <dataValidation type="whole" operator="greaterThan" allowBlank="1" showInputMessage="1" showErrorMessage="1" sqref="A9575">
      <formula1>0</formula1>
    </dataValidation>
    <dataValidation type="list" allowBlank="1" showInputMessage="1" showErrorMessage="1" sqref="C9575">
      <formula1>UnidadesList</formula1>
    </dataValidation>
    <dataValidation type="decimal" operator="greaterThan" allowBlank="1" showInputMessage="1" showErrorMessage="1" sqref="D9575">
      <formula1>0</formula1>
    </dataValidation>
    <dataValidation type="decimal" operator="greaterThan" allowBlank="1" showInputMessage="1" showErrorMessage="1" sqref="E9575">
      <formula1>0</formula1>
    </dataValidation>
    <dataValidation type="whole" operator="greaterThan" allowBlank="1" showInputMessage="1" showErrorMessage="1" sqref="A9576">
      <formula1>0</formula1>
    </dataValidation>
    <dataValidation type="list" allowBlank="1" showInputMessage="1" showErrorMessage="1" sqref="C9576">
      <formula1>UnidadesList</formula1>
    </dataValidation>
    <dataValidation type="decimal" operator="greaterThan" allowBlank="1" showInputMessage="1" showErrorMessage="1" sqref="D9576">
      <formula1>0</formula1>
    </dataValidation>
    <dataValidation type="decimal" operator="greaterThan" allowBlank="1" showInputMessage="1" showErrorMessage="1" sqref="E9576">
      <formula1>0</formula1>
    </dataValidation>
    <dataValidation type="whole" operator="greaterThan" allowBlank="1" showInputMessage="1" showErrorMessage="1" sqref="A9577">
      <formula1>0</formula1>
    </dataValidation>
    <dataValidation type="list" allowBlank="1" showInputMessage="1" showErrorMessage="1" sqref="C9577">
      <formula1>UnidadesList</formula1>
    </dataValidation>
    <dataValidation type="decimal" operator="greaterThan" allowBlank="1" showInputMessage="1" showErrorMessage="1" sqref="D9577">
      <formula1>0</formula1>
    </dataValidation>
    <dataValidation type="decimal" operator="greaterThan" allowBlank="1" showInputMessage="1" showErrorMessage="1" sqref="E9577">
      <formula1>0</formula1>
    </dataValidation>
    <dataValidation type="whole" operator="greaterThan" allowBlank="1" showInputMessage="1" showErrorMessage="1" sqref="A9578">
      <formula1>0</formula1>
    </dataValidation>
    <dataValidation type="list" allowBlank="1" showInputMessage="1" showErrorMessage="1" sqref="C9578">
      <formula1>UnidadesList</formula1>
    </dataValidation>
    <dataValidation type="decimal" operator="greaterThan" allowBlank="1" showInputMessage="1" showErrorMessage="1" sqref="D9578">
      <formula1>0</formula1>
    </dataValidation>
    <dataValidation type="decimal" operator="greaterThan" allowBlank="1" showInputMessage="1" showErrorMessage="1" sqref="E9578">
      <formula1>0</formula1>
    </dataValidation>
    <dataValidation type="whole" operator="greaterThan" allowBlank="1" showInputMessage="1" showErrorMessage="1" sqref="A9579">
      <formula1>0</formula1>
    </dataValidation>
    <dataValidation type="list" allowBlank="1" showInputMessage="1" showErrorMessage="1" sqref="C9579">
      <formula1>UnidadesList</formula1>
    </dataValidation>
    <dataValidation type="decimal" operator="greaterThan" allowBlank="1" showInputMessage="1" showErrorMessage="1" sqref="D9579">
      <formula1>0</formula1>
    </dataValidation>
    <dataValidation type="decimal" operator="greaterThan" allowBlank="1" showInputMessage="1" showErrorMessage="1" sqref="E9579">
      <formula1>0</formula1>
    </dataValidation>
    <dataValidation type="whole" operator="greaterThan" allowBlank="1" showInputMessage="1" showErrorMessage="1" sqref="A9580">
      <formula1>0</formula1>
    </dataValidation>
    <dataValidation type="list" allowBlank="1" showInputMessage="1" showErrorMessage="1" sqref="C9580">
      <formula1>UnidadesList</formula1>
    </dataValidation>
    <dataValidation type="decimal" operator="greaterThan" allowBlank="1" showInputMessage="1" showErrorMessage="1" sqref="D9580">
      <formula1>0</formula1>
    </dataValidation>
    <dataValidation type="decimal" operator="greaterThan" allowBlank="1" showInputMessage="1" showErrorMessage="1" sqref="E9580">
      <formula1>0</formula1>
    </dataValidation>
    <dataValidation type="whole" operator="greaterThan" allowBlank="1" showInputMessage="1" showErrorMessage="1" sqref="A9581">
      <formula1>0</formula1>
    </dataValidation>
    <dataValidation type="list" allowBlank="1" showInputMessage="1" showErrorMessage="1" sqref="C9581">
      <formula1>UnidadesList</formula1>
    </dataValidation>
    <dataValidation type="decimal" operator="greaterThan" allowBlank="1" showInputMessage="1" showErrorMessage="1" sqref="D9581">
      <formula1>0</formula1>
    </dataValidation>
    <dataValidation type="decimal" operator="greaterThan" allowBlank="1" showInputMessage="1" showErrorMessage="1" sqref="E9581">
      <formula1>0</formula1>
    </dataValidation>
    <dataValidation type="whole" operator="greaterThan" allowBlank="1" showInputMessage="1" showErrorMessage="1" sqref="A9582">
      <formula1>0</formula1>
    </dataValidation>
    <dataValidation type="list" allowBlank="1" showInputMessage="1" showErrorMessage="1" sqref="C9582">
      <formula1>UnidadesList</formula1>
    </dataValidation>
    <dataValidation type="decimal" operator="greaterThan" allowBlank="1" showInputMessage="1" showErrorMessage="1" sqref="D9582">
      <formula1>0</formula1>
    </dataValidation>
    <dataValidation type="decimal" operator="greaterThan" allowBlank="1" showInputMessage="1" showErrorMessage="1" sqref="E9582">
      <formula1>0</formula1>
    </dataValidation>
    <dataValidation type="whole" operator="greaterThan" allowBlank="1" showInputMessage="1" showErrorMessage="1" sqref="A9583">
      <formula1>0</formula1>
    </dataValidation>
    <dataValidation type="list" allowBlank="1" showInputMessage="1" showErrorMessage="1" sqref="C9583">
      <formula1>UnidadesList</formula1>
    </dataValidation>
    <dataValidation type="decimal" operator="greaterThan" allowBlank="1" showInputMessage="1" showErrorMessage="1" sqref="D9583">
      <formula1>0</formula1>
    </dataValidation>
    <dataValidation type="decimal" operator="greaterThan" allowBlank="1" showInputMessage="1" showErrorMessage="1" sqref="E9583">
      <formula1>0</formula1>
    </dataValidation>
    <dataValidation type="whole" operator="greaterThan" allowBlank="1" showInputMessage="1" showErrorMessage="1" sqref="A9584">
      <formula1>0</formula1>
    </dataValidation>
    <dataValidation type="list" allowBlank="1" showInputMessage="1" showErrorMessage="1" sqref="C9584">
      <formula1>UnidadesList</formula1>
    </dataValidation>
    <dataValidation type="decimal" operator="greaterThan" allowBlank="1" showInputMessage="1" showErrorMessage="1" sqref="D9584">
      <formula1>0</formula1>
    </dataValidation>
    <dataValidation type="decimal" operator="greaterThan" allowBlank="1" showInputMessage="1" showErrorMessage="1" sqref="E9584">
      <formula1>0</formula1>
    </dataValidation>
    <dataValidation type="whole" operator="greaterThan" allowBlank="1" showInputMessage="1" showErrorMessage="1" sqref="A9585">
      <formula1>0</formula1>
    </dataValidation>
    <dataValidation type="list" allowBlank="1" showInputMessage="1" showErrorMessage="1" sqref="C9585">
      <formula1>UnidadesList</formula1>
    </dataValidation>
    <dataValidation type="decimal" operator="greaterThan" allowBlank="1" showInputMessage="1" showErrorMessage="1" sqref="D9585">
      <formula1>0</formula1>
    </dataValidation>
    <dataValidation type="decimal" operator="greaterThan" allowBlank="1" showInputMessage="1" showErrorMessage="1" sqref="E9585">
      <formula1>0</formula1>
    </dataValidation>
    <dataValidation type="whole" operator="greaterThan" allowBlank="1" showInputMessage="1" showErrorMessage="1" sqref="A9586">
      <formula1>0</formula1>
    </dataValidation>
    <dataValidation type="list" allowBlank="1" showInputMessage="1" showErrorMessage="1" sqref="C9586">
      <formula1>UnidadesList</formula1>
    </dataValidation>
    <dataValidation type="decimal" operator="greaterThan" allowBlank="1" showInputMessage="1" showErrorMessage="1" sqref="D9586">
      <formula1>0</formula1>
    </dataValidation>
    <dataValidation type="decimal" operator="greaterThan" allowBlank="1" showInputMessage="1" showErrorMessage="1" sqref="E9586">
      <formula1>0</formula1>
    </dataValidation>
    <dataValidation type="whole" operator="greaterThan" allowBlank="1" showInputMessage="1" showErrorMessage="1" sqref="A9587">
      <formula1>0</formula1>
    </dataValidation>
    <dataValidation type="list" allowBlank="1" showInputMessage="1" showErrorMessage="1" sqref="C9587">
      <formula1>UnidadesList</formula1>
    </dataValidation>
    <dataValidation type="decimal" operator="greaterThan" allowBlank="1" showInputMessage="1" showErrorMessage="1" sqref="D9587">
      <formula1>0</formula1>
    </dataValidation>
    <dataValidation type="decimal" operator="greaterThan" allowBlank="1" showInputMessage="1" showErrorMessage="1" sqref="E9587">
      <formula1>0</formula1>
    </dataValidation>
    <dataValidation type="whole" operator="greaterThan" allowBlank="1" showInputMessage="1" showErrorMessage="1" sqref="A9588">
      <formula1>0</formula1>
    </dataValidation>
    <dataValidation type="list" allowBlank="1" showInputMessage="1" showErrorMessage="1" sqref="C9588">
      <formula1>UnidadesList</formula1>
    </dataValidation>
    <dataValidation type="decimal" operator="greaterThan" allowBlank="1" showInputMessage="1" showErrorMessage="1" sqref="D9588">
      <formula1>0</formula1>
    </dataValidation>
    <dataValidation type="decimal" operator="greaterThan" allowBlank="1" showInputMessage="1" showErrorMessage="1" sqref="E9588">
      <formula1>0</formula1>
    </dataValidation>
    <dataValidation type="whole" operator="greaterThan" allowBlank="1" showInputMessage="1" showErrorMessage="1" sqref="A9589">
      <formula1>0</formula1>
    </dataValidation>
    <dataValidation type="list" allowBlank="1" showInputMessage="1" showErrorMessage="1" sqref="C9589">
      <formula1>UnidadesList</formula1>
    </dataValidation>
    <dataValidation type="decimal" operator="greaterThan" allowBlank="1" showInputMessage="1" showErrorMessage="1" sqref="D9589">
      <formula1>0</formula1>
    </dataValidation>
    <dataValidation type="decimal" operator="greaterThan" allowBlank="1" showInputMessage="1" showErrorMessage="1" sqref="E9589">
      <formula1>0</formula1>
    </dataValidation>
    <dataValidation type="whole" operator="greaterThan" allowBlank="1" showInputMessage="1" showErrorMessage="1" sqref="A9590">
      <formula1>0</formula1>
    </dataValidation>
    <dataValidation type="list" allowBlank="1" showInputMessage="1" showErrorMessage="1" sqref="C9590">
      <formula1>UnidadesList</formula1>
    </dataValidation>
    <dataValidation type="decimal" operator="greaterThan" allowBlank="1" showInputMessage="1" showErrorMessage="1" sqref="D9590">
      <formula1>0</formula1>
    </dataValidation>
    <dataValidation type="decimal" operator="greaterThan" allowBlank="1" showInputMessage="1" showErrorMessage="1" sqref="E9590">
      <formula1>0</formula1>
    </dataValidation>
    <dataValidation type="whole" operator="greaterThan" allowBlank="1" showInputMessage="1" showErrorMessage="1" sqref="A9591">
      <formula1>0</formula1>
    </dataValidation>
    <dataValidation type="list" allowBlank="1" showInputMessage="1" showErrorMessage="1" sqref="C9591">
      <formula1>UnidadesList</formula1>
    </dataValidation>
    <dataValidation type="decimal" operator="greaterThan" allowBlank="1" showInputMessage="1" showErrorMessage="1" sqref="D9591">
      <formula1>0</formula1>
    </dataValidation>
    <dataValidation type="decimal" operator="greaterThan" allowBlank="1" showInputMessage="1" showErrorMessage="1" sqref="E9591">
      <formula1>0</formula1>
    </dataValidation>
    <dataValidation type="whole" operator="greaterThan" allowBlank="1" showInputMessage="1" showErrorMessage="1" sqref="A9592">
      <formula1>0</formula1>
    </dataValidation>
    <dataValidation type="list" allowBlank="1" showInputMessage="1" showErrorMessage="1" sqref="C9592">
      <formula1>UnidadesList</formula1>
    </dataValidation>
    <dataValidation type="decimal" operator="greaterThan" allowBlank="1" showInputMessage="1" showErrorMessage="1" sqref="D9592">
      <formula1>0</formula1>
    </dataValidation>
    <dataValidation type="decimal" operator="greaterThan" allowBlank="1" showInputMessage="1" showErrorMessage="1" sqref="E9592">
      <formula1>0</formula1>
    </dataValidation>
    <dataValidation type="whole" operator="greaterThan" allowBlank="1" showInputMessage="1" showErrorMessage="1" sqref="A9593">
      <formula1>0</formula1>
    </dataValidation>
    <dataValidation type="list" allowBlank="1" showInputMessage="1" showErrorMessage="1" sqref="C9593">
      <formula1>UnidadesList</formula1>
    </dataValidation>
    <dataValidation type="decimal" operator="greaterThan" allowBlank="1" showInputMessage="1" showErrorMessage="1" sqref="D9593">
      <formula1>0</formula1>
    </dataValidation>
    <dataValidation type="decimal" operator="greaterThan" allowBlank="1" showInputMessage="1" showErrorMessage="1" sqref="E9593">
      <formula1>0</formula1>
    </dataValidation>
    <dataValidation type="whole" operator="greaterThan" allowBlank="1" showInputMessage="1" showErrorMessage="1" sqref="A9594">
      <formula1>0</formula1>
    </dataValidation>
    <dataValidation type="list" allowBlank="1" showInputMessage="1" showErrorMessage="1" sqref="C9594">
      <formula1>UnidadesList</formula1>
    </dataValidation>
    <dataValidation type="decimal" operator="greaterThan" allowBlank="1" showInputMessage="1" showErrorMessage="1" sqref="D9594">
      <formula1>0</formula1>
    </dataValidation>
    <dataValidation type="decimal" operator="greaterThan" allowBlank="1" showInputMessage="1" showErrorMessage="1" sqref="E9594">
      <formula1>0</formula1>
    </dataValidation>
    <dataValidation type="whole" operator="greaterThan" allowBlank="1" showInputMessage="1" showErrorMessage="1" sqref="A9595">
      <formula1>0</formula1>
    </dataValidation>
    <dataValidation type="list" allowBlank="1" showInputMessage="1" showErrorMessage="1" sqref="C9595">
      <formula1>UnidadesList</formula1>
    </dataValidation>
    <dataValidation type="decimal" operator="greaterThan" allowBlank="1" showInputMessage="1" showErrorMessage="1" sqref="D9595">
      <formula1>0</formula1>
    </dataValidation>
    <dataValidation type="decimal" operator="greaterThan" allowBlank="1" showInputMessage="1" showErrorMessage="1" sqref="E9595">
      <formula1>0</formula1>
    </dataValidation>
    <dataValidation type="whole" operator="greaterThan" allowBlank="1" showInputMessage="1" showErrorMessage="1" sqref="A9596">
      <formula1>0</formula1>
    </dataValidation>
    <dataValidation type="list" allowBlank="1" showInputMessage="1" showErrorMessage="1" sqref="C9596">
      <formula1>UnidadesList</formula1>
    </dataValidation>
    <dataValidation type="decimal" operator="greaterThan" allowBlank="1" showInputMessage="1" showErrorMessage="1" sqref="D9596">
      <formula1>0</formula1>
    </dataValidation>
    <dataValidation type="decimal" operator="greaterThan" allowBlank="1" showInputMessage="1" showErrorMessage="1" sqref="E9596">
      <formula1>0</formula1>
    </dataValidation>
    <dataValidation type="whole" operator="greaterThan" allowBlank="1" showInputMessage="1" showErrorMessage="1" sqref="A9597">
      <formula1>0</formula1>
    </dataValidation>
    <dataValidation type="list" allowBlank="1" showInputMessage="1" showErrorMessage="1" sqref="C9597">
      <formula1>UnidadesList</formula1>
    </dataValidation>
    <dataValidation type="decimal" operator="greaterThan" allowBlank="1" showInputMessage="1" showErrorMessage="1" sqref="D9597">
      <formula1>0</formula1>
    </dataValidation>
    <dataValidation type="decimal" operator="greaterThan" allowBlank="1" showInputMessage="1" showErrorMessage="1" sqref="E9597">
      <formula1>0</formula1>
    </dataValidation>
    <dataValidation type="whole" operator="greaterThan" allowBlank="1" showInputMessage="1" showErrorMessage="1" sqref="A9598">
      <formula1>0</formula1>
    </dataValidation>
    <dataValidation type="list" allowBlank="1" showInputMessage="1" showErrorMessage="1" sqref="C9598">
      <formula1>UnidadesList</formula1>
    </dataValidation>
    <dataValidation type="decimal" operator="greaterThan" allowBlank="1" showInputMessage="1" showErrorMessage="1" sqref="D9598">
      <formula1>0</formula1>
    </dataValidation>
    <dataValidation type="decimal" operator="greaterThan" allowBlank="1" showInputMessage="1" showErrorMessage="1" sqref="E9598">
      <formula1>0</formula1>
    </dataValidation>
    <dataValidation type="whole" operator="greaterThan" allowBlank="1" showInputMessage="1" showErrorMessage="1" sqref="A9599">
      <formula1>0</formula1>
    </dataValidation>
    <dataValidation type="list" allowBlank="1" showInputMessage="1" showErrorMessage="1" sqref="C9599">
      <formula1>UnidadesList</formula1>
    </dataValidation>
    <dataValidation type="decimal" operator="greaterThan" allowBlank="1" showInputMessage="1" showErrorMessage="1" sqref="D9599">
      <formula1>0</formula1>
    </dataValidation>
    <dataValidation type="decimal" operator="greaterThan" allowBlank="1" showInputMessage="1" showErrorMessage="1" sqref="E9599">
      <formula1>0</formula1>
    </dataValidation>
    <dataValidation type="whole" operator="greaterThan" allowBlank="1" showInputMessage="1" showErrorMessage="1" sqref="A9600">
      <formula1>0</formula1>
    </dataValidation>
    <dataValidation type="list" allowBlank="1" showInputMessage="1" showErrorMessage="1" sqref="C9600">
      <formula1>UnidadesList</formula1>
    </dataValidation>
    <dataValidation type="decimal" operator="greaterThan" allowBlank="1" showInputMessage="1" showErrorMessage="1" sqref="D9600">
      <formula1>0</formula1>
    </dataValidation>
    <dataValidation type="decimal" operator="greaterThan" allowBlank="1" showInputMessage="1" showErrorMessage="1" sqref="E9600">
      <formula1>0</formula1>
    </dataValidation>
    <dataValidation type="whole" operator="greaterThan" allowBlank="1" showInputMessage="1" showErrorMessage="1" sqref="A9601">
      <formula1>0</formula1>
    </dataValidation>
    <dataValidation type="list" allowBlank="1" showInputMessage="1" showErrorMessage="1" sqref="C9601">
      <formula1>UnidadesList</formula1>
    </dataValidation>
    <dataValidation type="decimal" operator="greaterThan" allowBlank="1" showInputMessage="1" showErrorMessage="1" sqref="D9601">
      <formula1>0</formula1>
    </dataValidation>
    <dataValidation type="decimal" operator="greaterThan" allowBlank="1" showInputMessage="1" showErrorMessage="1" sqref="E9601">
      <formula1>0</formula1>
    </dataValidation>
    <dataValidation type="whole" operator="greaterThan" allowBlank="1" showInputMessage="1" showErrorMessage="1" sqref="A9602">
      <formula1>0</formula1>
    </dataValidation>
    <dataValidation type="list" allowBlank="1" showInputMessage="1" showErrorMessage="1" sqref="C9602">
      <formula1>UnidadesList</formula1>
    </dataValidation>
    <dataValidation type="decimal" operator="greaterThan" allowBlank="1" showInputMessage="1" showErrorMessage="1" sqref="D9602">
      <formula1>0</formula1>
    </dataValidation>
    <dataValidation type="decimal" operator="greaterThan" allowBlank="1" showInputMessage="1" showErrorMessage="1" sqref="E9602">
      <formula1>0</formula1>
    </dataValidation>
    <dataValidation type="whole" operator="greaterThan" allowBlank="1" showInputMessage="1" showErrorMessage="1" sqref="A9603">
      <formula1>0</formula1>
    </dataValidation>
    <dataValidation type="list" allowBlank="1" showInputMessage="1" showErrorMessage="1" sqref="C9603">
      <formula1>UnidadesList</formula1>
    </dataValidation>
    <dataValidation type="decimal" operator="greaterThan" allowBlank="1" showInputMessage="1" showErrorMessage="1" sqref="D9603">
      <formula1>0</formula1>
    </dataValidation>
    <dataValidation type="decimal" operator="greaterThan" allowBlank="1" showInputMessage="1" showErrorMessage="1" sqref="E9603">
      <formula1>0</formula1>
    </dataValidation>
    <dataValidation type="whole" operator="greaterThan" allowBlank="1" showInputMessage="1" showErrorMessage="1" sqref="A9604">
      <formula1>0</formula1>
    </dataValidation>
    <dataValidation type="list" allowBlank="1" showInputMessage="1" showErrorMessage="1" sqref="C9604">
      <formula1>UnidadesList</formula1>
    </dataValidation>
    <dataValidation type="decimal" operator="greaterThan" allowBlank="1" showInputMessage="1" showErrorMessage="1" sqref="D9604">
      <formula1>0</formula1>
    </dataValidation>
    <dataValidation type="decimal" operator="greaterThan" allowBlank="1" showInputMessage="1" showErrorMessage="1" sqref="E9604">
      <formula1>0</formula1>
    </dataValidation>
    <dataValidation type="whole" operator="greaterThan" allowBlank="1" showInputMessage="1" showErrorMessage="1" sqref="A9605">
      <formula1>0</formula1>
    </dataValidation>
    <dataValidation type="list" allowBlank="1" showInputMessage="1" showErrorMessage="1" sqref="C9605">
      <formula1>UnidadesList</formula1>
    </dataValidation>
    <dataValidation type="decimal" operator="greaterThan" allowBlank="1" showInputMessage="1" showErrorMessage="1" sqref="D9605">
      <formula1>0</formula1>
    </dataValidation>
    <dataValidation type="decimal" operator="greaterThan" allowBlank="1" showInputMessage="1" showErrorMessage="1" sqref="E9605">
      <formula1>0</formula1>
    </dataValidation>
    <dataValidation type="whole" operator="greaterThan" allowBlank="1" showInputMessage="1" showErrorMessage="1" sqref="A9606">
      <formula1>0</formula1>
    </dataValidation>
    <dataValidation type="list" allowBlank="1" showInputMessage="1" showErrorMessage="1" sqref="C9606">
      <formula1>UnidadesList</formula1>
    </dataValidation>
    <dataValidation type="decimal" operator="greaterThan" allowBlank="1" showInputMessage="1" showErrorMessage="1" sqref="D9606">
      <formula1>0</formula1>
    </dataValidation>
    <dataValidation type="decimal" operator="greaterThan" allowBlank="1" showInputMessage="1" showErrorMessage="1" sqref="E9606">
      <formula1>0</formula1>
    </dataValidation>
    <dataValidation type="whole" operator="greaterThan" allowBlank="1" showInputMessage="1" showErrorMessage="1" sqref="A9607">
      <formula1>0</formula1>
    </dataValidation>
    <dataValidation type="list" allowBlank="1" showInputMessage="1" showErrorMessage="1" sqref="C9607">
      <formula1>UnidadesList</formula1>
    </dataValidation>
    <dataValidation type="decimal" operator="greaterThan" allowBlank="1" showInputMessage="1" showErrorMessage="1" sqref="D9607">
      <formula1>0</formula1>
    </dataValidation>
    <dataValidation type="decimal" operator="greaterThan" allowBlank="1" showInputMessage="1" showErrorMessage="1" sqref="E9607">
      <formula1>0</formula1>
    </dataValidation>
    <dataValidation type="whole" operator="greaterThan" allowBlank="1" showInputMessage="1" showErrorMessage="1" sqref="A9608">
      <formula1>0</formula1>
    </dataValidation>
    <dataValidation type="list" allowBlank="1" showInputMessage="1" showErrorMessage="1" sqref="C9608">
      <formula1>UnidadesList</formula1>
    </dataValidation>
    <dataValidation type="decimal" operator="greaterThan" allowBlank="1" showInputMessage="1" showErrorMessage="1" sqref="D9608">
      <formula1>0</formula1>
    </dataValidation>
    <dataValidation type="decimal" operator="greaterThan" allowBlank="1" showInputMessage="1" showErrorMessage="1" sqref="E9608">
      <formula1>0</formula1>
    </dataValidation>
    <dataValidation type="whole" operator="greaterThan" allowBlank="1" showInputMessage="1" showErrorMessage="1" sqref="A9609">
      <formula1>0</formula1>
    </dataValidation>
    <dataValidation type="list" allowBlank="1" showInputMessage="1" showErrorMessage="1" sqref="C9609">
      <formula1>UnidadesList</formula1>
    </dataValidation>
    <dataValidation type="decimal" operator="greaterThan" allowBlank="1" showInputMessage="1" showErrorMessage="1" sqref="D9609">
      <formula1>0</formula1>
    </dataValidation>
    <dataValidation type="decimal" operator="greaterThan" allowBlank="1" showInputMessage="1" showErrorMessage="1" sqref="E9609">
      <formula1>0</formula1>
    </dataValidation>
    <dataValidation type="whole" operator="greaterThan" allowBlank="1" showInputMessage="1" showErrorMessage="1" sqref="A9610">
      <formula1>0</formula1>
    </dataValidation>
    <dataValidation type="list" allowBlank="1" showInputMessage="1" showErrorMessage="1" sqref="C9610">
      <formula1>UnidadesList</formula1>
    </dataValidation>
    <dataValidation type="decimal" operator="greaterThan" allowBlank="1" showInputMessage="1" showErrorMessage="1" sqref="D9610">
      <formula1>0</formula1>
    </dataValidation>
    <dataValidation type="decimal" operator="greaterThan" allowBlank="1" showInputMessage="1" showErrorMessage="1" sqref="E9610">
      <formula1>0</formula1>
    </dataValidation>
    <dataValidation type="whole" operator="greaterThan" allowBlank="1" showInputMessage="1" showErrorMessage="1" sqref="A9611">
      <formula1>0</formula1>
    </dataValidation>
    <dataValidation type="list" allowBlank="1" showInputMessage="1" showErrorMessage="1" sqref="C9611">
      <formula1>UnidadesList</formula1>
    </dataValidation>
    <dataValidation type="decimal" operator="greaterThan" allowBlank="1" showInputMessage="1" showErrorMessage="1" sqref="D9611">
      <formula1>0</formula1>
    </dataValidation>
    <dataValidation type="decimal" operator="greaterThan" allowBlank="1" showInputMessage="1" showErrorMessage="1" sqref="E9611">
      <formula1>0</formula1>
    </dataValidation>
    <dataValidation type="whole" operator="greaterThan" allowBlank="1" showInputMessage="1" showErrorMessage="1" sqref="A9612">
      <formula1>0</formula1>
    </dataValidation>
    <dataValidation type="list" allowBlank="1" showInputMessage="1" showErrorMessage="1" sqref="C9612">
      <formula1>UnidadesList</formula1>
    </dataValidation>
    <dataValidation type="decimal" operator="greaterThan" allowBlank="1" showInputMessage="1" showErrorMessage="1" sqref="D9612">
      <formula1>0</formula1>
    </dataValidation>
    <dataValidation type="decimal" operator="greaterThan" allowBlank="1" showInputMessage="1" showErrorMessage="1" sqref="E9612">
      <formula1>0</formula1>
    </dataValidation>
    <dataValidation type="whole" operator="greaterThan" allowBlank="1" showInputMessage="1" showErrorMessage="1" sqref="A9613">
      <formula1>0</formula1>
    </dataValidation>
    <dataValidation type="list" allowBlank="1" showInputMessage="1" showErrorMessage="1" sqref="C9613">
      <formula1>UnidadesList</formula1>
    </dataValidation>
    <dataValidation type="decimal" operator="greaterThan" allowBlank="1" showInputMessage="1" showErrorMessage="1" sqref="D9613">
      <formula1>0</formula1>
    </dataValidation>
    <dataValidation type="decimal" operator="greaterThan" allowBlank="1" showInputMessage="1" showErrorMessage="1" sqref="E9613">
      <formula1>0</formula1>
    </dataValidation>
    <dataValidation type="whole" operator="greaterThan" allowBlank="1" showInputMessage="1" showErrorMessage="1" sqref="A9614">
      <formula1>0</formula1>
    </dataValidation>
    <dataValidation type="list" allowBlank="1" showInputMessage="1" showErrorMessage="1" sqref="C9614">
      <formula1>UnidadesList</formula1>
    </dataValidation>
    <dataValidation type="decimal" operator="greaterThan" allowBlank="1" showInputMessage="1" showErrorMessage="1" sqref="D9614">
      <formula1>0</formula1>
    </dataValidation>
    <dataValidation type="decimal" operator="greaterThan" allowBlank="1" showInputMessage="1" showErrorMessage="1" sqref="E9614">
      <formula1>0</formula1>
    </dataValidation>
    <dataValidation type="whole" operator="greaterThan" allowBlank="1" showInputMessage="1" showErrorMessage="1" sqref="A9615">
      <formula1>0</formula1>
    </dataValidation>
    <dataValidation type="list" allowBlank="1" showInputMessage="1" showErrorMessage="1" sqref="C9615">
      <formula1>UnidadesList</formula1>
    </dataValidation>
    <dataValidation type="decimal" operator="greaterThan" allowBlank="1" showInputMessage="1" showErrorMessage="1" sqref="D9615">
      <formula1>0</formula1>
    </dataValidation>
    <dataValidation type="decimal" operator="greaterThan" allowBlank="1" showInputMessage="1" showErrorMessage="1" sqref="E9615">
      <formula1>0</formula1>
    </dataValidation>
    <dataValidation type="whole" operator="greaterThan" allowBlank="1" showInputMessage="1" showErrorMessage="1" sqref="A9616">
      <formula1>0</formula1>
    </dataValidation>
    <dataValidation type="list" allowBlank="1" showInputMessage="1" showErrorMessage="1" sqref="C9616">
      <formula1>UnidadesList</formula1>
    </dataValidation>
    <dataValidation type="decimal" operator="greaterThan" allowBlank="1" showInputMessage="1" showErrorMessage="1" sqref="D9616">
      <formula1>0</formula1>
    </dataValidation>
    <dataValidation type="decimal" operator="greaterThan" allowBlank="1" showInputMessage="1" showErrorMessage="1" sqref="E9616">
      <formula1>0</formula1>
    </dataValidation>
    <dataValidation type="whole" operator="greaterThan" allowBlank="1" showInputMessage="1" showErrorMessage="1" sqref="A9617">
      <formula1>0</formula1>
    </dataValidation>
    <dataValidation type="list" allowBlank="1" showInputMessage="1" showErrorMessage="1" sqref="C9617">
      <formula1>UnidadesList</formula1>
    </dataValidation>
    <dataValidation type="decimal" operator="greaterThan" allowBlank="1" showInputMessage="1" showErrorMessage="1" sqref="D9617">
      <formula1>0</formula1>
    </dataValidation>
    <dataValidation type="decimal" operator="greaterThan" allowBlank="1" showInputMessage="1" showErrorMessage="1" sqref="E9617">
      <formula1>0</formula1>
    </dataValidation>
    <dataValidation type="whole" operator="greaterThan" allowBlank="1" showInputMessage="1" showErrorMessage="1" sqref="A9618">
      <formula1>0</formula1>
    </dataValidation>
    <dataValidation type="list" allowBlank="1" showInputMessage="1" showErrorMessage="1" sqref="C9618">
      <formula1>UnidadesList</formula1>
    </dataValidation>
    <dataValidation type="decimal" operator="greaterThan" allowBlank="1" showInputMessage="1" showErrorMessage="1" sqref="D9618">
      <formula1>0</formula1>
    </dataValidation>
    <dataValidation type="decimal" operator="greaterThan" allowBlank="1" showInputMessage="1" showErrorMessage="1" sqref="E9618">
      <formula1>0</formula1>
    </dataValidation>
    <dataValidation type="whole" operator="greaterThan" allowBlank="1" showInputMessage="1" showErrorMessage="1" sqref="A9619">
      <formula1>0</formula1>
    </dataValidation>
    <dataValidation type="list" allowBlank="1" showInputMessage="1" showErrorMessage="1" sqref="C9619">
      <formula1>UnidadesList</formula1>
    </dataValidation>
    <dataValidation type="decimal" operator="greaterThan" allowBlank="1" showInputMessage="1" showErrorMessage="1" sqref="D9619">
      <formula1>0</formula1>
    </dataValidation>
    <dataValidation type="decimal" operator="greaterThan" allowBlank="1" showInputMessage="1" showErrorMessage="1" sqref="E9619">
      <formula1>0</formula1>
    </dataValidation>
    <dataValidation type="whole" operator="greaterThan" allowBlank="1" showInputMessage="1" showErrorMessage="1" sqref="A9620">
      <formula1>0</formula1>
    </dataValidation>
    <dataValidation type="list" allowBlank="1" showInputMessage="1" showErrorMessage="1" sqref="C9620">
      <formula1>UnidadesList</formula1>
    </dataValidation>
    <dataValidation type="decimal" operator="greaterThan" allowBlank="1" showInputMessage="1" showErrorMessage="1" sqref="D9620">
      <formula1>0</formula1>
    </dataValidation>
    <dataValidation type="decimal" operator="greaterThan" allowBlank="1" showInputMessage="1" showErrorMessage="1" sqref="E9620">
      <formula1>0</formula1>
    </dataValidation>
    <dataValidation type="whole" operator="greaterThan" allowBlank="1" showInputMessage="1" showErrorMessage="1" sqref="A9621">
      <formula1>0</formula1>
    </dataValidation>
    <dataValidation type="list" allowBlank="1" showInputMessage="1" showErrorMessage="1" sqref="C9621">
      <formula1>UnidadesList</formula1>
    </dataValidation>
    <dataValidation type="decimal" operator="greaterThan" allowBlank="1" showInputMessage="1" showErrorMessage="1" sqref="D9621">
      <formula1>0</formula1>
    </dataValidation>
    <dataValidation type="decimal" operator="greaterThan" allowBlank="1" showInputMessage="1" showErrorMessage="1" sqref="E9621">
      <formula1>0</formula1>
    </dataValidation>
    <dataValidation type="whole" operator="greaterThan" allowBlank="1" showInputMessage="1" showErrorMessage="1" sqref="A9622">
      <formula1>0</formula1>
    </dataValidation>
    <dataValidation type="list" allowBlank="1" showInputMessage="1" showErrorMessage="1" sqref="C9622">
      <formula1>UnidadesList</formula1>
    </dataValidation>
    <dataValidation type="decimal" operator="greaterThan" allowBlank="1" showInputMessage="1" showErrorMessage="1" sqref="D9622">
      <formula1>0</formula1>
    </dataValidation>
    <dataValidation type="decimal" operator="greaterThan" allowBlank="1" showInputMessage="1" showErrorMessage="1" sqref="E9622">
      <formula1>0</formula1>
    </dataValidation>
    <dataValidation type="whole" operator="greaterThan" allowBlank="1" showInputMessage="1" showErrorMessage="1" sqref="A9623">
      <formula1>0</formula1>
    </dataValidation>
    <dataValidation type="list" allowBlank="1" showInputMessage="1" showErrorMessage="1" sqref="C9623">
      <formula1>UnidadesList</formula1>
    </dataValidation>
    <dataValidation type="decimal" operator="greaterThan" allowBlank="1" showInputMessage="1" showErrorMessage="1" sqref="D9623">
      <formula1>0</formula1>
    </dataValidation>
    <dataValidation type="decimal" operator="greaterThan" allowBlank="1" showInputMessage="1" showErrorMessage="1" sqref="E9623">
      <formula1>0</formula1>
    </dataValidation>
    <dataValidation type="whole" operator="greaterThan" allowBlank="1" showInputMessage="1" showErrorMessage="1" sqref="A9624">
      <formula1>0</formula1>
    </dataValidation>
    <dataValidation type="list" allowBlank="1" showInputMessage="1" showErrorMessage="1" sqref="C9624">
      <formula1>UnidadesList</formula1>
    </dataValidation>
    <dataValidation type="decimal" operator="greaterThan" allowBlank="1" showInputMessage="1" showErrorMessage="1" sqref="D9624">
      <formula1>0</formula1>
    </dataValidation>
    <dataValidation type="decimal" operator="greaterThan" allowBlank="1" showInputMessage="1" showErrorMessage="1" sqref="E9624">
      <formula1>0</formula1>
    </dataValidation>
    <dataValidation type="whole" operator="greaterThan" allowBlank="1" showInputMessage="1" showErrorMessage="1" sqref="A9625">
      <formula1>0</formula1>
    </dataValidation>
    <dataValidation type="list" allowBlank="1" showInputMessage="1" showErrorMessage="1" sqref="C9625">
      <formula1>UnidadesList</formula1>
    </dataValidation>
    <dataValidation type="decimal" operator="greaterThan" allowBlank="1" showInputMessage="1" showErrorMessage="1" sqref="D9625">
      <formula1>0</formula1>
    </dataValidation>
    <dataValidation type="decimal" operator="greaterThan" allowBlank="1" showInputMessage="1" showErrorMessage="1" sqref="E9625">
      <formula1>0</formula1>
    </dataValidation>
    <dataValidation type="whole" operator="greaterThan" allowBlank="1" showInputMessage="1" showErrorMessage="1" sqref="A9626">
      <formula1>0</formula1>
    </dataValidation>
    <dataValidation type="list" allowBlank="1" showInputMessage="1" showErrorMessage="1" sqref="C9626">
      <formula1>UnidadesList</formula1>
    </dataValidation>
    <dataValidation type="decimal" operator="greaterThan" allowBlank="1" showInputMessage="1" showErrorMessage="1" sqref="D9626">
      <formula1>0</formula1>
    </dataValidation>
    <dataValidation type="decimal" operator="greaterThan" allowBlank="1" showInputMessage="1" showErrorMessage="1" sqref="E9626">
      <formula1>0</formula1>
    </dataValidation>
    <dataValidation type="whole" operator="greaterThan" allowBlank="1" showInputMessage="1" showErrorMessage="1" sqref="A9627">
      <formula1>0</formula1>
    </dataValidation>
    <dataValidation type="list" allowBlank="1" showInputMessage="1" showErrorMessage="1" sqref="C9627">
      <formula1>UnidadesList</formula1>
    </dataValidation>
    <dataValidation type="decimal" operator="greaterThan" allowBlank="1" showInputMessage="1" showErrorMessage="1" sqref="D9627">
      <formula1>0</formula1>
    </dataValidation>
    <dataValidation type="decimal" operator="greaterThan" allowBlank="1" showInputMessage="1" showErrorMessage="1" sqref="E9627">
      <formula1>0</formula1>
    </dataValidation>
    <dataValidation type="whole" operator="greaterThan" allowBlank="1" showInputMessage="1" showErrorMessage="1" sqref="A9628">
      <formula1>0</formula1>
    </dataValidation>
    <dataValidation type="list" allowBlank="1" showInputMessage="1" showErrorMessage="1" sqref="C9628">
      <formula1>UnidadesList</formula1>
    </dataValidation>
    <dataValidation type="decimal" operator="greaterThan" allowBlank="1" showInputMessage="1" showErrorMessage="1" sqref="D9628">
      <formula1>0</formula1>
    </dataValidation>
    <dataValidation type="decimal" operator="greaterThan" allowBlank="1" showInputMessage="1" showErrorMessage="1" sqref="E9628">
      <formula1>0</formula1>
    </dataValidation>
    <dataValidation type="whole" operator="greaterThan" allowBlank="1" showInputMessage="1" showErrorMessage="1" sqref="A9629">
      <formula1>0</formula1>
    </dataValidation>
    <dataValidation type="list" allowBlank="1" showInputMessage="1" showErrorMessage="1" sqref="C9629">
      <formula1>UnidadesList</formula1>
    </dataValidation>
    <dataValidation type="decimal" operator="greaterThan" allowBlank="1" showInputMessage="1" showErrorMessage="1" sqref="D9629">
      <formula1>0</formula1>
    </dataValidation>
    <dataValidation type="decimal" operator="greaterThan" allowBlank="1" showInputMessage="1" showErrorMessage="1" sqref="E9629">
      <formula1>0</formula1>
    </dataValidation>
    <dataValidation type="whole" operator="greaterThan" allowBlank="1" showInputMessage="1" showErrorMessage="1" sqref="A9630">
      <formula1>0</formula1>
    </dataValidation>
    <dataValidation type="list" allowBlank="1" showInputMessage="1" showErrorMessage="1" sqref="C9630">
      <formula1>UnidadesList</formula1>
    </dataValidation>
    <dataValidation type="decimal" operator="greaterThan" allowBlank="1" showInputMessage="1" showErrorMessage="1" sqref="D9630">
      <formula1>0</formula1>
    </dataValidation>
    <dataValidation type="decimal" operator="greaterThan" allowBlank="1" showInputMessage="1" showErrorMessage="1" sqref="E9630">
      <formula1>0</formula1>
    </dataValidation>
    <dataValidation type="whole" operator="greaterThan" allowBlank="1" showInputMessage="1" showErrorMessage="1" sqref="A9631">
      <formula1>0</formula1>
    </dataValidation>
    <dataValidation type="list" allowBlank="1" showInputMessage="1" showErrorMessage="1" sqref="C9631">
      <formula1>UnidadesList</formula1>
    </dataValidation>
    <dataValidation type="decimal" operator="greaterThan" allowBlank="1" showInputMessage="1" showErrorMessage="1" sqref="D9631">
      <formula1>0</formula1>
    </dataValidation>
    <dataValidation type="decimal" operator="greaterThan" allowBlank="1" showInputMessage="1" showErrorMessage="1" sqref="E9631">
      <formula1>0</formula1>
    </dataValidation>
    <dataValidation type="whole" operator="greaterThan" allowBlank="1" showInputMessage="1" showErrorMessage="1" sqref="A9632">
      <formula1>0</formula1>
    </dataValidation>
    <dataValidation type="list" allowBlank="1" showInputMessage="1" showErrorMessage="1" sqref="C9632">
      <formula1>UnidadesList</formula1>
    </dataValidation>
    <dataValidation type="decimal" operator="greaterThan" allowBlank="1" showInputMessage="1" showErrorMessage="1" sqref="D9632">
      <formula1>0</formula1>
    </dataValidation>
    <dataValidation type="decimal" operator="greaterThan" allowBlank="1" showInputMessage="1" showErrorMessage="1" sqref="E9632">
      <formula1>0</formula1>
    </dataValidation>
    <dataValidation type="whole" operator="greaterThan" allowBlank="1" showInputMessage="1" showErrorMessage="1" sqref="A9633">
      <formula1>0</formula1>
    </dataValidation>
    <dataValidation type="list" allowBlank="1" showInputMessage="1" showErrorMessage="1" sqref="C9633">
      <formula1>UnidadesList</formula1>
    </dataValidation>
    <dataValidation type="decimal" operator="greaterThan" allowBlank="1" showInputMessage="1" showErrorMessage="1" sqref="D9633">
      <formula1>0</formula1>
    </dataValidation>
    <dataValidation type="decimal" operator="greaterThan" allowBlank="1" showInputMessage="1" showErrorMessage="1" sqref="E9633">
      <formula1>0</formula1>
    </dataValidation>
    <dataValidation type="whole" operator="greaterThan" allowBlank="1" showInputMessage="1" showErrorMessage="1" sqref="A9634">
      <formula1>0</formula1>
    </dataValidation>
    <dataValidation type="list" allowBlank="1" showInputMessage="1" showErrorMessage="1" sqref="C9634">
      <formula1>UnidadesList</formula1>
    </dataValidation>
    <dataValidation type="decimal" operator="greaterThan" allowBlank="1" showInputMessage="1" showErrorMessage="1" sqref="D9634">
      <formula1>0</formula1>
    </dataValidation>
    <dataValidation type="decimal" operator="greaterThan" allowBlank="1" showInputMessage="1" showErrorMessage="1" sqref="E9634">
      <formula1>0</formula1>
    </dataValidation>
    <dataValidation type="whole" operator="greaterThan" allowBlank="1" showInputMessage="1" showErrorMessage="1" sqref="A9635">
      <formula1>0</formula1>
    </dataValidation>
    <dataValidation type="list" allowBlank="1" showInputMessage="1" showErrorMessage="1" sqref="C9635">
      <formula1>UnidadesList</formula1>
    </dataValidation>
    <dataValidation type="decimal" operator="greaterThan" allowBlank="1" showInputMessage="1" showErrorMessage="1" sqref="D9635">
      <formula1>0</formula1>
    </dataValidation>
    <dataValidation type="decimal" operator="greaterThan" allowBlank="1" showInputMessage="1" showErrorMessage="1" sqref="E9635">
      <formula1>0</formula1>
    </dataValidation>
    <dataValidation type="whole" operator="greaterThan" allowBlank="1" showInputMessage="1" showErrorMessage="1" sqref="A9636">
      <formula1>0</formula1>
    </dataValidation>
    <dataValidation type="list" allowBlank="1" showInputMessage="1" showErrorMessage="1" sqref="C9636">
      <formula1>UnidadesList</formula1>
    </dataValidation>
    <dataValidation type="decimal" operator="greaterThan" allowBlank="1" showInputMessage="1" showErrorMessage="1" sqref="D9636">
      <formula1>0</formula1>
    </dataValidation>
    <dataValidation type="decimal" operator="greaterThan" allowBlank="1" showInputMessage="1" showErrorMessage="1" sqref="E9636">
      <formula1>0</formula1>
    </dataValidation>
    <dataValidation type="whole" operator="greaterThan" allowBlank="1" showInputMessage="1" showErrorMessage="1" sqref="A9637">
      <formula1>0</formula1>
    </dataValidation>
    <dataValidation type="list" allowBlank="1" showInputMessage="1" showErrorMessage="1" sqref="C9637">
      <formula1>UnidadesList</formula1>
    </dataValidation>
    <dataValidation type="decimal" operator="greaterThan" allowBlank="1" showInputMessage="1" showErrorMessage="1" sqref="D9637">
      <formula1>0</formula1>
    </dataValidation>
    <dataValidation type="decimal" operator="greaterThan" allowBlank="1" showInputMessage="1" showErrorMessage="1" sqref="E9637">
      <formula1>0</formula1>
    </dataValidation>
    <dataValidation type="whole" operator="greaterThan" allowBlank="1" showInputMessage="1" showErrorMessage="1" sqref="A9638">
      <formula1>0</formula1>
    </dataValidation>
    <dataValidation type="list" allowBlank="1" showInputMessage="1" showErrorMessage="1" sqref="C9638">
      <formula1>UnidadesList</formula1>
    </dataValidation>
    <dataValidation type="decimal" operator="greaterThan" allowBlank="1" showInputMessage="1" showErrorMessage="1" sqref="D9638">
      <formula1>0</formula1>
    </dataValidation>
    <dataValidation type="decimal" operator="greaterThan" allowBlank="1" showInputMessage="1" showErrorMessage="1" sqref="E9638">
      <formula1>0</formula1>
    </dataValidation>
    <dataValidation type="whole" operator="greaterThan" allowBlank="1" showInputMessage="1" showErrorMessage="1" sqref="A9639">
      <formula1>0</formula1>
    </dataValidation>
    <dataValidation type="list" allowBlank="1" showInputMessage="1" showErrorMessage="1" sqref="C9639">
      <formula1>UnidadesList</formula1>
    </dataValidation>
    <dataValidation type="decimal" operator="greaterThan" allowBlank="1" showInputMessage="1" showErrorMessage="1" sqref="D9639">
      <formula1>0</formula1>
    </dataValidation>
    <dataValidation type="decimal" operator="greaterThan" allowBlank="1" showInputMessage="1" showErrorMessage="1" sqref="E9639">
      <formula1>0</formula1>
    </dataValidation>
    <dataValidation type="whole" operator="greaterThan" allowBlank="1" showInputMessage="1" showErrorMessage="1" sqref="A9640">
      <formula1>0</formula1>
    </dataValidation>
    <dataValidation type="list" allowBlank="1" showInputMessage="1" showErrorMessage="1" sqref="C9640">
      <formula1>UnidadesList</formula1>
    </dataValidation>
    <dataValidation type="decimal" operator="greaterThan" allowBlank="1" showInputMessage="1" showErrorMessage="1" sqref="D9640">
      <formula1>0</formula1>
    </dataValidation>
    <dataValidation type="decimal" operator="greaterThan" allowBlank="1" showInputMessage="1" showErrorMessage="1" sqref="E9640">
      <formula1>0</formula1>
    </dataValidation>
    <dataValidation type="whole" operator="greaterThan" allowBlank="1" showInputMessage="1" showErrorMessage="1" sqref="A9641">
      <formula1>0</formula1>
    </dataValidation>
    <dataValidation type="list" allowBlank="1" showInputMessage="1" showErrorMessage="1" sqref="C9641">
      <formula1>UnidadesList</formula1>
    </dataValidation>
    <dataValidation type="decimal" operator="greaterThan" allowBlank="1" showInputMessage="1" showErrorMessage="1" sqref="D9641">
      <formula1>0</formula1>
    </dataValidation>
    <dataValidation type="decimal" operator="greaterThan" allowBlank="1" showInputMessage="1" showErrorMessage="1" sqref="E9641">
      <formula1>0</formula1>
    </dataValidation>
    <dataValidation type="whole" operator="greaterThan" allowBlank="1" showInputMessage="1" showErrorMessage="1" sqref="A9642">
      <formula1>0</formula1>
    </dataValidation>
    <dataValidation type="list" allowBlank="1" showInputMessage="1" showErrorMessage="1" sqref="C9642">
      <formula1>UnidadesList</formula1>
    </dataValidation>
    <dataValidation type="decimal" operator="greaterThan" allowBlank="1" showInputMessage="1" showErrorMessage="1" sqref="D9642">
      <formula1>0</formula1>
    </dataValidation>
    <dataValidation type="decimal" operator="greaterThan" allowBlank="1" showInputMessage="1" showErrorMessage="1" sqref="E9642">
      <formula1>0</formula1>
    </dataValidation>
    <dataValidation type="whole" operator="greaterThan" allowBlank="1" showInputMessage="1" showErrorMessage="1" sqref="A9643">
      <formula1>0</formula1>
    </dataValidation>
    <dataValidation type="list" allowBlank="1" showInputMessage="1" showErrorMessage="1" sqref="C9643">
      <formula1>UnidadesList</formula1>
    </dataValidation>
    <dataValidation type="decimal" operator="greaterThan" allowBlank="1" showInputMessage="1" showErrorMessage="1" sqref="D9643">
      <formula1>0</formula1>
    </dataValidation>
    <dataValidation type="decimal" operator="greaterThan" allowBlank="1" showInputMessage="1" showErrorMessage="1" sqref="E9643">
      <formula1>0</formula1>
    </dataValidation>
    <dataValidation type="whole" operator="greaterThan" allowBlank="1" showInputMessage="1" showErrorMessage="1" sqref="A9644">
      <formula1>0</formula1>
    </dataValidation>
    <dataValidation type="list" allowBlank="1" showInputMessage="1" showErrorMessage="1" sqref="C9644">
      <formula1>UnidadesList</formula1>
    </dataValidation>
    <dataValidation type="decimal" operator="greaterThan" allowBlank="1" showInputMessage="1" showErrorMessage="1" sqref="D9644">
      <formula1>0</formula1>
    </dataValidation>
    <dataValidation type="decimal" operator="greaterThan" allowBlank="1" showInputMessage="1" showErrorMessage="1" sqref="E9644">
      <formula1>0</formula1>
    </dataValidation>
    <dataValidation type="whole" operator="greaterThan" allowBlank="1" showInputMessage="1" showErrorMessage="1" sqref="A9645">
      <formula1>0</formula1>
    </dataValidation>
    <dataValidation type="list" allowBlank="1" showInputMessage="1" showErrorMessage="1" sqref="C9645">
      <formula1>UnidadesList</formula1>
    </dataValidation>
    <dataValidation type="decimal" operator="greaterThan" allowBlank="1" showInputMessage="1" showErrorMessage="1" sqref="D9645">
      <formula1>0</formula1>
    </dataValidation>
    <dataValidation type="decimal" operator="greaterThan" allowBlank="1" showInputMessage="1" showErrorMessage="1" sqref="E9645">
      <formula1>0</formula1>
    </dataValidation>
    <dataValidation type="whole" operator="greaterThan" allowBlank="1" showInputMessage="1" showErrorMessage="1" sqref="A9646">
      <formula1>0</formula1>
    </dataValidation>
    <dataValidation type="list" allowBlank="1" showInputMessage="1" showErrorMessage="1" sqref="C9646">
      <formula1>UnidadesList</formula1>
    </dataValidation>
    <dataValidation type="decimal" operator="greaterThan" allowBlank="1" showInputMessage="1" showErrorMessage="1" sqref="D9646">
      <formula1>0</formula1>
    </dataValidation>
    <dataValidation type="decimal" operator="greaterThan" allowBlank="1" showInputMessage="1" showErrorMessage="1" sqref="E9646">
      <formula1>0</formula1>
    </dataValidation>
    <dataValidation type="whole" operator="greaterThan" allowBlank="1" showInputMessage="1" showErrorMessage="1" sqref="A9647">
      <formula1>0</formula1>
    </dataValidation>
    <dataValidation type="list" allowBlank="1" showInputMessage="1" showErrorMessage="1" sqref="C9647">
      <formula1>UnidadesList</formula1>
    </dataValidation>
    <dataValidation type="decimal" operator="greaterThan" allowBlank="1" showInputMessage="1" showErrorMessage="1" sqref="D9647">
      <formula1>0</formula1>
    </dataValidation>
    <dataValidation type="decimal" operator="greaterThan" allowBlank="1" showInputMessage="1" showErrorMessage="1" sqref="E9647">
      <formula1>0</formula1>
    </dataValidation>
    <dataValidation type="whole" operator="greaterThan" allowBlank="1" showInputMessage="1" showErrorMessage="1" sqref="A9648">
      <formula1>0</formula1>
    </dataValidation>
    <dataValidation type="list" allowBlank="1" showInputMessage="1" showErrorMessage="1" sqref="C9648">
      <formula1>UnidadesList</formula1>
    </dataValidation>
    <dataValidation type="decimal" operator="greaterThan" allowBlank="1" showInputMessage="1" showErrorMessage="1" sqref="D9648">
      <formula1>0</formula1>
    </dataValidation>
    <dataValidation type="decimal" operator="greaterThan" allowBlank="1" showInputMessage="1" showErrorMessage="1" sqref="E9648">
      <formula1>0</formula1>
    </dataValidation>
    <dataValidation type="whole" operator="greaterThan" allowBlank="1" showInputMessage="1" showErrorMessage="1" sqref="A9649">
      <formula1>0</formula1>
    </dataValidation>
    <dataValidation type="list" allowBlank="1" showInputMessage="1" showErrorMessage="1" sqref="C9649">
      <formula1>UnidadesList</formula1>
    </dataValidation>
    <dataValidation type="decimal" operator="greaterThan" allowBlank="1" showInputMessage="1" showErrorMessage="1" sqref="D9649">
      <formula1>0</formula1>
    </dataValidation>
    <dataValidation type="decimal" operator="greaterThan" allowBlank="1" showInputMessage="1" showErrorMessage="1" sqref="E9649">
      <formula1>0</formula1>
    </dataValidation>
    <dataValidation type="whole" operator="greaterThan" allowBlank="1" showInputMessage="1" showErrorMessage="1" sqref="A9650">
      <formula1>0</formula1>
    </dataValidation>
    <dataValidation type="list" allowBlank="1" showInputMessage="1" showErrorMessage="1" sqref="C9650">
      <formula1>UnidadesList</formula1>
    </dataValidation>
    <dataValidation type="decimal" operator="greaterThan" allowBlank="1" showInputMessage="1" showErrorMessage="1" sqref="D9650">
      <formula1>0</formula1>
    </dataValidation>
    <dataValidation type="decimal" operator="greaterThan" allowBlank="1" showInputMessage="1" showErrorMessage="1" sqref="E9650">
      <formula1>0</formula1>
    </dataValidation>
    <dataValidation type="whole" operator="greaterThan" allowBlank="1" showInputMessage="1" showErrorMessage="1" sqref="A9651">
      <formula1>0</formula1>
    </dataValidation>
    <dataValidation type="list" allowBlank="1" showInputMessage="1" showErrorMessage="1" sqref="C9651">
      <formula1>UnidadesList</formula1>
    </dataValidation>
    <dataValidation type="decimal" operator="greaterThan" allowBlank="1" showInputMessage="1" showErrorMessage="1" sqref="D9651">
      <formula1>0</formula1>
    </dataValidation>
    <dataValidation type="decimal" operator="greaterThan" allowBlank="1" showInputMessage="1" showErrorMessage="1" sqref="E9651">
      <formula1>0</formula1>
    </dataValidation>
    <dataValidation type="whole" operator="greaterThan" allowBlank="1" showInputMessage="1" showErrorMessage="1" sqref="A9652">
      <formula1>0</formula1>
    </dataValidation>
    <dataValidation type="list" allowBlank="1" showInputMessage="1" showErrorMessage="1" sqref="C9652">
      <formula1>UnidadesList</formula1>
    </dataValidation>
    <dataValidation type="decimal" operator="greaterThan" allowBlank="1" showInputMessage="1" showErrorMessage="1" sqref="D9652">
      <formula1>0</formula1>
    </dataValidation>
    <dataValidation type="decimal" operator="greaterThan" allowBlank="1" showInputMessage="1" showErrorMessage="1" sqref="E9652">
      <formula1>0</formula1>
    </dataValidation>
    <dataValidation type="whole" operator="greaterThan" allowBlank="1" showInputMessage="1" showErrorMessage="1" sqref="A9653">
      <formula1>0</formula1>
    </dataValidation>
    <dataValidation type="list" allowBlank="1" showInputMessage="1" showErrorMessage="1" sqref="C9653">
      <formula1>UnidadesList</formula1>
    </dataValidation>
    <dataValidation type="decimal" operator="greaterThan" allowBlank="1" showInputMessage="1" showErrorMessage="1" sqref="D9653">
      <formula1>0</formula1>
    </dataValidation>
    <dataValidation type="decimal" operator="greaterThan" allowBlank="1" showInputMessage="1" showErrorMessage="1" sqref="E9653">
      <formula1>0</formula1>
    </dataValidation>
    <dataValidation type="whole" operator="greaterThan" allowBlank="1" showInputMessage="1" showErrorMessage="1" sqref="A9654">
      <formula1>0</formula1>
    </dataValidation>
    <dataValidation type="list" allowBlank="1" showInputMessage="1" showErrorMessage="1" sqref="C9654">
      <formula1>UnidadesList</formula1>
    </dataValidation>
    <dataValidation type="decimal" operator="greaterThan" allowBlank="1" showInputMessage="1" showErrorMessage="1" sqref="D9654">
      <formula1>0</formula1>
    </dataValidation>
    <dataValidation type="decimal" operator="greaterThan" allowBlank="1" showInputMessage="1" showErrorMessage="1" sqref="E9654">
      <formula1>0</formula1>
    </dataValidation>
    <dataValidation type="whole" operator="greaterThan" allowBlank="1" showInputMessage="1" showErrorMessage="1" sqref="A9655">
      <formula1>0</formula1>
    </dataValidation>
    <dataValidation type="list" allowBlank="1" showInputMessage="1" showErrorMessage="1" sqref="C9655">
      <formula1>UnidadesList</formula1>
    </dataValidation>
    <dataValidation type="decimal" operator="greaterThan" allowBlank="1" showInputMessage="1" showErrorMessage="1" sqref="D9655">
      <formula1>0</formula1>
    </dataValidation>
    <dataValidation type="decimal" operator="greaterThan" allowBlank="1" showInputMessage="1" showErrorMessage="1" sqref="E9655">
      <formula1>0</formula1>
    </dataValidation>
    <dataValidation type="whole" operator="greaterThan" allowBlank="1" showInputMessage="1" showErrorMessage="1" sqref="A9656">
      <formula1>0</formula1>
    </dataValidation>
    <dataValidation type="list" allowBlank="1" showInputMessage="1" showErrorMessage="1" sqref="C9656">
      <formula1>UnidadesList</formula1>
    </dataValidation>
    <dataValidation type="decimal" operator="greaterThan" allowBlank="1" showInputMessage="1" showErrorMessage="1" sqref="D9656">
      <formula1>0</formula1>
    </dataValidation>
    <dataValidation type="decimal" operator="greaterThan" allowBlank="1" showInputMessage="1" showErrorMessage="1" sqref="E9656">
      <formula1>0</formula1>
    </dataValidation>
    <dataValidation type="date" operator="lessThanOrEqual" allowBlank="1" showInputMessage="1" showErrorMessage="1" sqref="C9661">
      <formula1>C9663</formula1>
    </dataValidation>
    <dataValidation type="date" operator="greaterThanOrEqual" allowBlank="1" showInputMessage="1" showErrorMessage="1" sqref="C9663">
      <formula1>C9661</formula1>
    </dataValidation>
    <dataValidation type="list" allowBlank="1" showInputMessage="1" showErrorMessage="1" sqref="F966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6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6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6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67">
      <formula1>0</formula1>
    </dataValidation>
    <dataValidation type="list" allowBlank="1" showInputMessage="1" showErrorMessage="1" sqref="C9667">
      <formula1>UnidadesList</formula1>
    </dataValidation>
    <dataValidation type="decimal" operator="greaterThan" allowBlank="1" showInputMessage="1" showErrorMessage="1" sqref="D9667">
      <formula1>0</formula1>
    </dataValidation>
    <dataValidation type="decimal" operator="greaterThan" allowBlank="1" showInputMessage="1" showErrorMessage="1" sqref="E9667">
      <formula1>0</formula1>
    </dataValidation>
    <dataValidation type="whole" operator="greaterThan" allowBlank="1" showInputMessage="1" showErrorMessage="1" sqref="A9668">
      <formula1>0</formula1>
    </dataValidation>
    <dataValidation type="list" allowBlank="1" showInputMessage="1" showErrorMessage="1" sqref="C9668">
      <formula1>UnidadesList</formula1>
    </dataValidation>
    <dataValidation type="decimal" operator="greaterThan" allowBlank="1" showInputMessage="1" showErrorMessage="1" sqref="D9668">
      <formula1>0</formula1>
    </dataValidation>
    <dataValidation type="decimal" operator="greaterThan" allowBlank="1" showInputMessage="1" showErrorMessage="1" sqref="E9668">
      <formula1>0</formula1>
    </dataValidation>
    <dataValidation type="whole" operator="greaterThan" allowBlank="1" showInputMessage="1" showErrorMessage="1" sqref="A9669">
      <formula1>0</formula1>
    </dataValidation>
    <dataValidation type="list" allowBlank="1" showInputMessage="1" showErrorMessage="1" sqref="C9669">
      <formula1>UnidadesList</formula1>
    </dataValidation>
    <dataValidation type="decimal" operator="greaterThan" allowBlank="1" showInputMessage="1" showErrorMessage="1" sqref="D9669">
      <formula1>0</formula1>
    </dataValidation>
    <dataValidation type="decimal" operator="greaterThan" allowBlank="1" showInputMessage="1" showErrorMessage="1" sqref="E9669">
      <formula1>0</formula1>
    </dataValidation>
    <dataValidation type="whole" operator="greaterThan" allowBlank="1" showInputMessage="1" showErrorMessage="1" sqref="A9670">
      <formula1>0</formula1>
    </dataValidation>
    <dataValidation type="list" allowBlank="1" showInputMessage="1" showErrorMessage="1" sqref="C9670">
      <formula1>UnidadesList</formula1>
    </dataValidation>
    <dataValidation type="decimal" operator="greaterThan" allowBlank="1" showInputMessage="1" showErrorMessage="1" sqref="D9670">
      <formula1>0</formula1>
    </dataValidation>
    <dataValidation type="decimal" operator="greaterThan" allowBlank="1" showInputMessage="1" showErrorMessage="1" sqref="E9670">
      <formula1>0</formula1>
    </dataValidation>
    <dataValidation type="whole" operator="greaterThan" allowBlank="1" showInputMessage="1" showErrorMessage="1" sqref="A9671">
      <formula1>0</formula1>
    </dataValidation>
    <dataValidation type="list" allowBlank="1" showInputMessage="1" showErrorMessage="1" sqref="C9671">
      <formula1>UnidadesList</formula1>
    </dataValidation>
    <dataValidation type="decimal" operator="greaterThan" allowBlank="1" showInputMessage="1" showErrorMessage="1" sqref="D9671">
      <formula1>0</formula1>
    </dataValidation>
    <dataValidation type="decimal" operator="greaterThan" allowBlank="1" showInputMessage="1" showErrorMessage="1" sqref="E9671">
      <formula1>0</formula1>
    </dataValidation>
    <dataValidation type="whole" operator="greaterThan" allowBlank="1" showInputMessage="1" showErrorMessage="1" sqref="A9672">
      <formula1>0</formula1>
    </dataValidation>
    <dataValidation type="list" allowBlank="1" showInputMessage="1" showErrorMessage="1" sqref="C9672">
      <formula1>UnidadesList</formula1>
    </dataValidation>
    <dataValidation type="decimal" operator="greaterThan" allowBlank="1" showInputMessage="1" showErrorMessage="1" sqref="D9672">
      <formula1>0</formula1>
    </dataValidation>
    <dataValidation type="decimal" operator="greaterThan" allowBlank="1" showInputMessage="1" showErrorMessage="1" sqref="E9672">
      <formula1>0</formula1>
    </dataValidation>
    <dataValidation type="whole" operator="greaterThan" allowBlank="1" showInputMessage="1" showErrorMessage="1" sqref="A9673">
      <formula1>0</formula1>
    </dataValidation>
    <dataValidation type="list" allowBlank="1" showInputMessage="1" showErrorMessage="1" sqref="C9673">
      <formula1>UnidadesList</formula1>
    </dataValidation>
    <dataValidation type="decimal" operator="greaterThan" allowBlank="1" showInputMessage="1" showErrorMessage="1" sqref="D9673">
      <formula1>0</formula1>
    </dataValidation>
    <dataValidation type="decimal" operator="greaterThan" allowBlank="1" showInputMessage="1" showErrorMessage="1" sqref="E9673">
      <formula1>0</formula1>
    </dataValidation>
    <dataValidation type="whole" operator="greaterThan" allowBlank="1" showInputMessage="1" showErrorMessage="1" sqref="A9674">
      <formula1>0</formula1>
    </dataValidation>
    <dataValidation type="list" allowBlank="1" showInputMessage="1" showErrorMessage="1" sqref="C9674">
      <formula1>UnidadesList</formula1>
    </dataValidation>
    <dataValidation type="decimal" operator="greaterThan" allowBlank="1" showInputMessage="1" showErrorMessage="1" sqref="D9674">
      <formula1>0</formula1>
    </dataValidation>
    <dataValidation type="decimal" operator="greaterThan" allowBlank="1" showInputMessage="1" showErrorMessage="1" sqref="E9674">
      <formula1>0</formula1>
    </dataValidation>
    <dataValidation type="whole" operator="greaterThan" allowBlank="1" showInputMessage="1" showErrorMessage="1" sqref="A9675">
      <formula1>0</formula1>
    </dataValidation>
    <dataValidation type="list" allowBlank="1" showInputMessage="1" showErrorMessage="1" sqref="C9675">
      <formula1>UnidadesList</formula1>
    </dataValidation>
    <dataValidation type="decimal" operator="greaterThan" allowBlank="1" showInputMessage="1" showErrorMessage="1" sqref="D9675">
      <formula1>0</formula1>
    </dataValidation>
    <dataValidation type="decimal" operator="greaterThan" allowBlank="1" showInputMessage="1" showErrorMessage="1" sqref="E9675">
      <formula1>0</formula1>
    </dataValidation>
    <dataValidation type="whole" operator="greaterThan" allowBlank="1" showInputMessage="1" showErrorMessage="1" sqref="A9676">
      <formula1>0</formula1>
    </dataValidation>
    <dataValidation type="list" allowBlank="1" showInputMessage="1" showErrorMessage="1" sqref="C9676">
      <formula1>UnidadesList</formula1>
    </dataValidation>
    <dataValidation type="decimal" operator="greaterThan" allowBlank="1" showInputMessage="1" showErrorMessage="1" sqref="D9676">
      <formula1>0</formula1>
    </dataValidation>
    <dataValidation type="decimal" operator="greaterThan" allowBlank="1" showInputMessage="1" showErrorMessage="1" sqref="E9676">
      <formula1>0</formula1>
    </dataValidation>
    <dataValidation type="whole" operator="greaterThan" allowBlank="1" showInputMessage="1" showErrorMessage="1" sqref="A9677">
      <formula1>0</formula1>
    </dataValidation>
    <dataValidation type="list" allowBlank="1" showInputMessage="1" showErrorMessage="1" sqref="C9677">
      <formula1>UnidadesList</formula1>
    </dataValidation>
    <dataValidation type="decimal" operator="greaterThan" allowBlank="1" showInputMessage="1" showErrorMessage="1" sqref="D9677">
      <formula1>0</formula1>
    </dataValidation>
    <dataValidation type="decimal" operator="greaterThan" allowBlank="1" showInputMessage="1" showErrorMessage="1" sqref="E9677">
      <formula1>0</formula1>
    </dataValidation>
    <dataValidation type="whole" operator="greaterThan" allowBlank="1" showInputMessage="1" showErrorMessage="1" sqref="A9678">
      <formula1>0</formula1>
    </dataValidation>
    <dataValidation type="list" allowBlank="1" showInputMessage="1" showErrorMessage="1" sqref="C9678">
      <formula1>UnidadesList</formula1>
    </dataValidation>
    <dataValidation type="decimal" operator="greaterThan" allowBlank="1" showInputMessage="1" showErrorMessage="1" sqref="D9678">
      <formula1>0</formula1>
    </dataValidation>
    <dataValidation type="decimal" operator="greaterThan" allowBlank="1" showInputMessage="1" showErrorMessage="1" sqref="E9678">
      <formula1>0</formula1>
    </dataValidation>
    <dataValidation type="whole" operator="greaterThan" allowBlank="1" showInputMessage="1" showErrorMessage="1" sqref="A9679">
      <formula1>0</formula1>
    </dataValidation>
    <dataValidation type="list" allowBlank="1" showInputMessage="1" showErrorMessage="1" sqref="C9679">
      <formula1>UnidadesList</formula1>
    </dataValidation>
    <dataValidation type="decimal" operator="greaterThan" allowBlank="1" showInputMessage="1" showErrorMessage="1" sqref="D9679">
      <formula1>0</formula1>
    </dataValidation>
    <dataValidation type="decimal" operator="greaterThan" allowBlank="1" showInputMessage="1" showErrorMessage="1" sqref="E9679">
      <formula1>0</formula1>
    </dataValidation>
    <dataValidation type="whole" operator="greaterThan" allowBlank="1" showInputMessage="1" showErrorMessage="1" sqref="A9680">
      <formula1>0</formula1>
    </dataValidation>
    <dataValidation type="list" allowBlank="1" showInputMessage="1" showErrorMessage="1" sqref="C9680">
      <formula1>UnidadesList</formula1>
    </dataValidation>
    <dataValidation type="decimal" operator="greaterThan" allowBlank="1" showInputMessage="1" showErrorMessage="1" sqref="D9680">
      <formula1>0</formula1>
    </dataValidation>
    <dataValidation type="decimal" operator="greaterThan" allowBlank="1" showInputMessage="1" showErrorMessage="1" sqref="E9680">
      <formula1>0</formula1>
    </dataValidation>
    <dataValidation type="whole" operator="greaterThan" allowBlank="1" showInputMessage="1" showErrorMessage="1" sqref="A9681">
      <formula1>0</formula1>
    </dataValidation>
    <dataValidation type="list" allowBlank="1" showInputMessage="1" showErrorMessage="1" sqref="C9681">
      <formula1>UnidadesList</formula1>
    </dataValidation>
    <dataValidation type="decimal" operator="greaterThan" allowBlank="1" showInputMessage="1" showErrorMessage="1" sqref="D9681">
      <formula1>0</formula1>
    </dataValidation>
    <dataValidation type="decimal" operator="greaterThan" allowBlank="1" showInputMessage="1" showErrorMessage="1" sqref="E9681">
      <formula1>0</formula1>
    </dataValidation>
    <dataValidation type="whole" operator="greaterThan" allowBlank="1" showInputMessage="1" showErrorMessage="1" sqref="A9682">
      <formula1>0</formula1>
    </dataValidation>
    <dataValidation type="list" allowBlank="1" showInputMessage="1" showErrorMessage="1" sqref="C9682">
      <formula1>UnidadesList</formula1>
    </dataValidation>
    <dataValidation type="decimal" operator="greaterThan" allowBlank="1" showInputMessage="1" showErrorMessage="1" sqref="D9682">
      <formula1>0</formula1>
    </dataValidation>
    <dataValidation type="decimal" operator="greaterThan" allowBlank="1" showInputMessage="1" showErrorMessage="1" sqref="E9682">
      <formula1>0</formula1>
    </dataValidation>
    <dataValidation type="whole" operator="greaterThan" allowBlank="1" showInputMessage="1" showErrorMessage="1" sqref="A9683">
      <formula1>0</formula1>
    </dataValidation>
    <dataValidation type="list" allowBlank="1" showInputMessage="1" showErrorMessage="1" sqref="C9683">
      <formula1>UnidadesList</formula1>
    </dataValidation>
    <dataValidation type="decimal" operator="greaterThan" allowBlank="1" showInputMessage="1" showErrorMessage="1" sqref="D9683">
      <formula1>0</formula1>
    </dataValidation>
    <dataValidation type="decimal" operator="greaterThan" allowBlank="1" showInputMessage="1" showErrorMessage="1" sqref="E9683">
      <formula1>0</formula1>
    </dataValidation>
    <dataValidation type="whole" operator="greaterThan" allowBlank="1" showInputMessage="1" showErrorMessage="1" sqref="A9684">
      <formula1>0</formula1>
    </dataValidation>
    <dataValidation type="list" allowBlank="1" showInputMessage="1" showErrorMessage="1" sqref="C9684">
      <formula1>UnidadesList</formula1>
    </dataValidation>
    <dataValidation type="decimal" operator="greaterThan" allowBlank="1" showInputMessage="1" showErrorMessage="1" sqref="D9684">
      <formula1>0</formula1>
    </dataValidation>
    <dataValidation type="decimal" operator="greaterThan" allowBlank="1" showInputMessage="1" showErrorMessage="1" sqref="E9684">
      <formula1>0</formula1>
    </dataValidation>
    <dataValidation type="whole" operator="greaterThan" allowBlank="1" showInputMessage="1" showErrorMessage="1" sqref="A9685">
      <formula1>0</formula1>
    </dataValidation>
    <dataValidation type="list" allowBlank="1" showInputMessage="1" showErrorMessage="1" sqref="C9685">
      <formula1>UnidadesList</formula1>
    </dataValidation>
    <dataValidation type="decimal" operator="greaterThan" allowBlank="1" showInputMessage="1" showErrorMessage="1" sqref="D9685">
      <formula1>0</formula1>
    </dataValidation>
    <dataValidation type="decimal" operator="greaterThan" allowBlank="1" showInputMessage="1" showErrorMessage="1" sqref="E9685">
      <formula1>0</formula1>
    </dataValidation>
    <dataValidation type="whole" operator="greaterThan" allowBlank="1" showInputMessage="1" showErrorMessage="1" sqref="A9686">
      <formula1>0</formula1>
    </dataValidation>
    <dataValidation type="list" allowBlank="1" showInputMessage="1" showErrorMessage="1" sqref="C9686">
      <formula1>UnidadesList</formula1>
    </dataValidation>
    <dataValidation type="decimal" operator="greaterThan" allowBlank="1" showInputMessage="1" showErrorMessage="1" sqref="D9686">
      <formula1>0</formula1>
    </dataValidation>
    <dataValidation type="decimal" operator="greaterThan" allowBlank="1" showInputMessage="1" showErrorMessage="1" sqref="E9686">
      <formula1>0</formula1>
    </dataValidation>
    <dataValidation type="whole" operator="greaterThan" allowBlank="1" showInputMessage="1" showErrorMessage="1" sqref="A9687">
      <formula1>0</formula1>
    </dataValidation>
    <dataValidation type="list" allowBlank="1" showInputMessage="1" showErrorMessage="1" sqref="C9687">
      <formula1>UnidadesList</formula1>
    </dataValidation>
    <dataValidation type="decimal" operator="greaterThan" allowBlank="1" showInputMessage="1" showErrorMessage="1" sqref="D9687">
      <formula1>0</formula1>
    </dataValidation>
    <dataValidation type="decimal" operator="greaterThan" allowBlank="1" showInputMessage="1" showErrorMessage="1" sqref="E9687">
      <formula1>0</formula1>
    </dataValidation>
    <dataValidation type="whole" operator="greaterThan" allowBlank="1" showInputMessage="1" showErrorMessage="1" sqref="A9688">
      <formula1>0</formula1>
    </dataValidation>
    <dataValidation type="list" allowBlank="1" showInputMessage="1" showErrorMessage="1" sqref="C9688">
      <formula1>UnidadesList</formula1>
    </dataValidation>
    <dataValidation type="decimal" operator="greaterThan" allowBlank="1" showInputMessage="1" showErrorMessage="1" sqref="D9688">
      <formula1>0</formula1>
    </dataValidation>
    <dataValidation type="decimal" operator="greaterThan" allowBlank="1" showInputMessage="1" showErrorMessage="1" sqref="E9688">
      <formula1>0</formula1>
    </dataValidation>
    <dataValidation type="whole" operator="greaterThan" allowBlank="1" showInputMessage="1" showErrorMessage="1" sqref="A9689">
      <formula1>0</formula1>
    </dataValidation>
    <dataValidation type="list" allowBlank="1" showInputMessage="1" showErrorMessage="1" sqref="C9689">
      <formula1>UnidadesList</formula1>
    </dataValidation>
    <dataValidation type="decimal" operator="greaterThan" allowBlank="1" showInputMessage="1" showErrorMessage="1" sqref="D9689">
      <formula1>0</formula1>
    </dataValidation>
    <dataValidation type="decimal" operator="greaterThan" allowBlank="1" showInputMessage="1" showErrorMessage="1" sqref="E9689">
      <formula1>0</formula1>
    </dataValidation>
    <dataValidation type="whole" operator="greaterThan" allowBlank="1" showInputMessage="1" showErrorMessage="1" sqref="A9690">
      <formula1>0</formula1>
    </dataValidation>
    <dataValidation type="list" allowBlank="1" showInputMessage="1" showErrorMessage="1" sqref="C9690">
      <formula1>UnidadesList</formula1>
    </dataValidation>
    <dataValidation type="decimal" operator="greaterThan" allowBlank="1" showInputMessage="1" showErrorMessage="1" sqref="D9690">
      <formula1>0</formula1>
    </dataValidation>
    <dataValidation type="decimal" operator="greaterThan" allowBlank="1" showInputMessage="1" showErrorMessage="1" sqref="E9690">
      <formula1>0</formula1>
    </dataValidation>
    <dataValidation type="whole" operator="greaterThan" allowBlank="1" showInputMessage="1" showErrorMessage="1" sqref="A9691">
      <formula1>0</formula1>
    </dataValidation>
    <dataValidation type="list" allowBlank="1" showInputMessage="1" showErrorMessage="1" sqref="C9691">
      <formula1>UnidadesList</formula1>
    </dataValidation>
    <dataValidation type="decimal" operator="greaterThan" allowBlank="1" showInputMessage="1" showErrorMessage="1" sqref="D9691">
      <formula1>0</formula1>
    </dataValidation>
    <dataValidation type="decimal" operator="greaterThan" allowBlank="1" showInputMessage="1" showErrorMessage="1" sqref="E9691">
      <formula1>0</formula1>
    </dataValidation>
    <dataValidation type="whole" operator="greaterThan" allowBlank="1" showInputMessage="1" showErrorMessage="1" sqref="A9692">
      <formula1>0</formula1>
    </dataValidation>
    <dataValidation type="list" allowBlank="1" showInputMessage="1" showErrorMessage="1" sqref="C9692">
      <formula1>UnidadesList</formula1>
    </dataValidation>
    <dataValidation type="decimal" operator="greaterThan" allowBlank="1" showInputMessage="1" showErrorMessage="1" sqref="D9692">
      <formula1>0</formula1>
    </dataValidation>
    <dataValidation type="decimal" operator="greaterThan" allowBlank="1" showInputMessage="1" showErrorMessage="1" sqref="E9692">
      <formula1>0</formula1>
    </dataValidation>
    <dataValidation type="whole" operator="greaterThan" allowBlank="1" showInputMessage="1" showErrorMessage="1" sqref="A9693">
      <formula1>0</formula1>
    </dataValidation>
    <dataValidation type="list" allowBlank="1" showInputMessage="1" showErrorMessage="1" sqref="C9693">
      <formula1>UnidadesList</formula1>
    </dataValidation>
    <dataValidation type="decimal" operator="greaterThan" allowBlank="1" showInputMessage="1" showErrorMessage="1" sqref="D9693">
      <formula1>0</formula1>
    </dataValidation>
    <dataValidation type="decimal" operator="greaterThan" allowBlank="1" showInputMessage="1" showErrorMessage="1" sqref="E9693">
      <formula1>0</formula1>
    </dataValidation>
    <dataValidation type="whole" operator="greaterThan" allowBlank="1" showInputMessage="1" showErrorMessage="1" sqref="A9694">
      <formula1>0</formula1>
    </dataValidation>
    <dataValidation type="list" allowBlank="1" showInputMessage="1" showErrorMessage="1" sqref="C9694">
      <formula1>UnidadesList</formula1>
    </dataValidation>
    <dataValidation type="decimal" operator="greaterThan" allowBlank="1" showInputMessage="1" showErrorMessage="1" sqref="D9694">
      <formula1>0</formula1>
    </dataValidation>
    <dataValidation type="decimal" operator="greaterThan" allowBlank="1" showInputMessage="1" showErrorMessage="1" sqref="E9694">
      <formula1>0</formula1>
    </dataValidation>
    <dataValidation type="whole" operator="greaterThan" allowBlank="1" showInputMessage="1" showErrorMessage="1" sqref="A9695">
      <formula1>0</formula1>
    </dataValidation>
    <dataValidation type="list" allowBlank="1" showInputMessage="1" showErrorMessage="1" sqref="C9695">
      <formula1>UnidadesList</formula1>
    </dataValidation>
    <dataValidation type="decimal" operator="greaterThan" allowBlank="1" showInputMessage="1" showErrorMessage="1" sqref="D9695">
      <formula1>0</formula1>
    </dataValidation>
    <dataValidation type="decimal" operator="greaterThan" allowBlank="1" showInputMessage="1" showErrorMessage="1" sqref="E9695">
      <formula1>0</formula1>
    </dataValidation>
    <dataValidation type="whole" operator="greaterThan" allowBlank="1" showInputMessage="1" showErrorMessage="1" sqref="A9696">
      <formula1>0</formula1>
    </dataValidation>
    <dataValidation type="list" allowBlank="1" showInputMessage="1" showErrorMessage="1" sqref="C9696">
      <formula1>UnidadesList</formula1>
    </dataValidation>
    <dataValidation type="decimal" operator="greaterThan" allowBlank="1" showInputMessage="1" showErrorMessage="1" sqref="D9696">
      <formula1>0</formula1>
    </dataValidation>
    <dataValidation type="decimal" operator="greaterThan" allowBlank="1" showInputMessage="1" showErrorMessage="1" sqref="E9696">
      <formula1>0</formula1>
    </dataValidation>
    <dataValidation type="whole" operator="greaterThan" allowBlank="1" showInputMessage="1" showErrorMessage="1" sqref="A9697">
      <formula1>0</formula1>
    </dataValidation>
    <dataValidation type="list" allowBlank="1" showInputMessage="1" showErrorMessage="1" sqref="C9697">
      <formula1>UnidadesList</formula1>
    </dataValidation>
    <dataValidation type="decimal" operator="greaterThan" allowBlank="1" showInputMessage="1" showErrorMessage="1" sqref="D9697">
      <formula1>0</formula1>
    </dataValidation>
    <dataValidation type="decimal" operator="greaterThan" allowBlank="1" showInputMessage="1" showErrorMessage="1" sqref="E9697">
      <formula1>0</formula1>
    </dataValidation>
    <dataValidation type="whole" operator="greaterThan" allowBlank="1" showInputMessage="1" showErrorMessage="1" sqref="A9698">
      <formula1>0</formula1>
    </dataValidation>
    <dataValidation type="list" allowBlank="1" showInputMessage="1" showErrorMessage="1" sqref="C9698">
      <formula1>UnidadesList</formula1>
    </dataValidation>
    <dataValidation type="decimal" operator="greaterThan" allowBlank="1" showInputMessage="1" showErrorMessage="1" sqref="D9698">
      <formula1>0</formula1>
    </dataValidation>
    <dataValidation type="decimal" operator="greaterThan" allowBlank="1" showInputMessage="1" showErrorMessage="1" sqref="E9698">
      <formula1>0</formula1>
    </dataValidation>
    <dataValidation type="whole" operator="greaterThan" allowBlank="1" showInputMessage="1" showErrorMessage="1" sqref="A9699">
      <formula1>0</formula1>
    </dataValidation>
    <dataValidation type="list" allowBlank="1" showInputMessage="1" showErrorMessage="1" sqref="C9699">
      <formula1>UnidadesList</formula1>
    </dataValidation>
    <dataValidation type="decimal" operator="greaterThan" allowBlank="1" showInputMessage="1" showErrorMessage="1" sqref="D9699">
      <formula1>0</formula1>
    </dataValidation>
    <dataValidation type="decimal" operator="greaterThan" allowBlank="1" showInputMessage="1" showErrorMessage="1" sqref="E9699">
      <formula1>0</formula1>
    </dataValidation>
    <dataValidation type="whole" operator="greaterThan" allowBlank="1" showInputMessage="1" showErrorMessage="1" sqref="A9700">
      <formula1>0</formula1>
    </dataValidation>
    <dataValidation type="list" allowBlank="1" showInputMessage="1" showErrorMessage="1" sqref="C9700">
      <formula1>UnidadesList</formula1>
    </dataValidation>
    <dataValidation type="decimal" operator="greaterThan" allowBlank="1" showInputMessage="1" showErrorMessage="1" sqref="D9700">
      <formula1>0</formula1>
    </dataValidation>
    <dataValidation type="decimal" operator="greaterThan" allowBlank="1" showInputMessage="1" showErrorMessage="1" sqref="E9700">
      <formula1>0</formula1>
    </dataValidation>
    <dataValidation type="whole" operator="greaterThan" allowBlank="1" showInputMessage="1" showErrorMessage="1" sqref="A9701">
      <formula1>0</formula1>
    </dataValidation>
    <dataValidation type="list" allowBlank="1" showInputMessage="1" showErrorMessage="1" sqref="C9701">
      <formula1>UnidadesList</formula1>
    </dataValidation>
    <dataValidation type="decimal" operator="greaterThan" allowBlank="1" showInputMessage="1" showErrorMessage="1" sqref="D9701">
      <formula1>0</formula1>
    </dataValidation>
    <dataValidation type="decimal" operator="greaterThan" allowBlank="1" showInputMessage="1" showErrorMessage="1" sqref="E9701">
      <formula1>0</formula1>
    </dataValidation>
    <dataValidation type="whole" operator="greaterThan" allowBlank="1" showInputMessage="1" showErrorMessage="1" sqref="A9702">
      <formula1>0</formula1>
    </dataValidation>
    <dataValidation type="list" allowBlank="1" showInputMessage="1" showErrorMessage="1" sqref="C9702">
      <formula1>UnidadesList</formula1>
    </dataValidation>
    <dataValidation type="decimal" operator="greaterThan" allowBlank="1" showInputMessage="1" showErrorMessage="1" sqref="D9702">
      <formula1>0</formula1>
    </dataValidation>
    <dataValidation type="decimal" operator="greaterThan" allowBlank="1" showInputMessage="1" showErrorMessage="1" sqref="E9702">
      <formula1>0</formula1>
    </dataValidation>
    <dataValidation type="whole" operator="greaterThan" allowBlank="1" showInputMessage="1" showErrorMessage="1" sqref="A9703">
      <formula1>0</formula1>
    </dataValidation>
    <dataValidation type="list" allowBlank="1" showInputMessage="1" showErrorMessage="1" sqref="C9703">
      <formula1>UnidadesList</formula1>
    </dataValidation>
    <dataValidation type="decimal" operator="greaterThan" allowBlank="1" showInputMessage="1" showErrorMessage="1" sqref="D9703">
      <formula1>0</formula1>
    </dataValidation>
    <dataValidation type="decimal" operator="greaterThan" allowBlank="1" showInputMessage="1" showErrorMessage="1" sqref="E9703">
      <formula1>0</formula1>
    </dataValidation>
    <dataValidation type="whole" operator="greaterThan" allowBlank="1" showInputMessage="1" showErrorMessage="1" sqref="A9704">
      <formula1>0</formula1>
    </dataValidation>
    <dataValidation type="list" allowBlank="1" showInputMessage="1" showErrorMessage="1" sqref="C9704">
      <formula1>UnidadesList</formula1>
    </dataValidation>
    <dataValidation type="decimal" operator="greaterThan" allowBlank="1" showInputMessage="1" showErrorMessage="1" sqref="D9704">
      <formula1>0</formula1>
    </dataValidation>
    <dataValidation type="decimal" operator="greaterThan" allowBlank="1" showInputMessage="1" showErrorMessage="1" sqref="E9704">
      <formula1>0</formula1>
    </dataValidation>
    <dataValidation type="whole" operator="greaterThan" allowBlank="1" showInputMessage="1" showErrorMessage="1" sqref="A9705">
      <formula1>0</formula1>
    </dataValidation>
    <dataValidation type="list" allowBlank="1" showInputMessage="1" showErrorMessage="1" sqref="C9705">
      <formula1>UnidadesList</formula1>
    </dataValidation>
    <dataValidation type="decimal" operator="greaterThan" allowBlank="1" showInputMessage="1" showErrorMessage="1" sqref="D9705">
      <formula1>0</formula1>
    </dataValidation>
    <dataValidation type="decimal" operator="greaterThan" allowBlank="1" showInputMessage="1" showErrorMessage="1" sqref="E9705">
      <formula1>0</formula1>
    </dataValidation>
    <dataValidation type="whole" operator="greaterThan" allowBlank="1" showInputMessage="1" showErrorMessage="1" sqref="A9706">
      <formula1>0</formula1>
    </dataValidation>
    <dataValidation type="list" allowBlank="1" showInputMessage="1" showErrorMessage="1" sqref="C9706">
      <formula1>UnidadesList</formula1>
    </dataValidation>
    <dataValidation type="decimal" operator="greaterThan" allowBlank="1" showInputMessage="1" showErrorMessage="1" sqref="D9706">
      <formula1>0</formula1>
    </dataValidation>
    <dataValidation type="decimal" operator="greaterThan" allowBlank="1" showInputMessage="1" showErrorMessage="1" sqref="E9706">
      <formula1>0</formula1>
    </dataValidation>
    <dataValidation type="whole" operator="greaterThan" allowBlank="1" showInputMessage="1" showErrorMessage="1" sqref="A9707">
      <formula1>0</formula1>
    </dataValidation>
    <dataValidation type="list" allowBlank="1" showInputMessage="1" showErrorMessage="1" sqref="C9707">
      <formula1>UnidadesList</formula1>
    </dataValidation>
    <dataValidation type="decimal" operator="greaterThan" allowBlank="1" showInputMessage="1" showErrorMessage="1" sqref="D9707">
      <formula1>0</formula1>
    </dataValidation>
    <dataValidation type="decimal" operator="greaterThan" allowBlank="1" showInputMessage="1" showErrorMessage="1" sqref="E9707">
      <formula1>0</formula1>
    </dataValidation>
    <dataValidation type="whole" operator="greaterThan" allowBlank="1" showInputMessage="1" showErrorMessage="1" sqref="A9708">
      <formula1>0</formula1>
    </dataValidation>
    <dataValidation type="list" allowBlank="1" showInputMessage="1" showErrorMessage="1" sqref="C9708">
      <formula1>UnidadesList</formula1>
    </dataValidation>
    <dataValidation type="decimal" operator="greaterThan" allowBlank="1" showInputMessage="1" showErrorMessage="1" sqref="D9708">
      <formula1>0</formula1>
    </dataValidation>
    <dataValidation type="decimal" operator="greaterThan" allowBlank="1" showInputMessage="1" showErrorMessage="1" sqref="E9708">
      <formula1>0</formula1>
    </dataValidation>
    <dataValidation type="whole" operator="greaterThan" allowBlank="1" showInputMessage="1" showErrorMessage="1" sqref="A9709">
      <formula1>0</formula1>
    </dataValidation>
    <dataValidation type="list" allowBlank="1" showInputMessage="1" showErrorMessage="1" sqref="C9709">
      <formula1>UnidadesList</formula1>
    </dataValidation>
    <dataValidation type="decimal" operator="greaterThan" allowBlank="1" showInputMessage="1" showErrorMessage="1" sqref="D9709">
      <formula1>0</formula1>
    </dataValidation>
    <dataValidation type="decimal" operator="greaterThan" allowBlank="1" showInputMessage="1" showErrorMessage="1" sqref="E9709">
      <formula1>0</formula1>
    </dataValidation>
    <dataValidation type="whole" operator="greaterThan" allowBlank="1" showInputMessage="1" showErrorMessage="1" sqref="A9710">
      <formula1>0</formula1>
    </dataValidation>
    <dataValidation type="list" allowBlank="1" showInputMessage="1" showErrorMessage="1" sqref="C9710">
      <formula1>UnidadesList</formula1>
    </dataValidation>
    <dataValidation type="decimal" operator="greaterThan" allowBlank="1" showInputMessage="1" showErrorMessage="1" sqref="D9710">
      <formula1>0</formula1>
    </dataValidation>
    <dataValidation type="decimal" operator="greaterThan" allowBlank="1" showInputMessage="1" showErrorMessage="1" sqref="E9710">
      <formula1>0</formula1>
    </dataValidation>
    <dataValidation type="whole" operator="greaterThan" allowBlank="1" showInputMessage="1" showErrorMessage="1" sqref="A9711">
      <formula1>0</formula1>
    </dataValidation>
    <dataValidation type="list" allowBlank="1" showInputMessage="1" showErrorMessage="1" sqref="C9711">
      <formula1>UnidadesList</formula1>
    </dataValidation>
    <dataValidation type="decimal" operator="greaterThan" allowBlank="1" showInputMessage="1" showErrorMessage="1" sqref="D9711">
      <formula1>0</formula1>
    </dataValidation>
    <dataValidation type="decimal" operator="greaterThan" allowBlank="1" showInputMessage="1" showErrorMessage="1" sqref="E9711">
      <formula1>0</formula1>
    </dataValidation>
    <dataValidation type="whole" operator="greaterThan" allowBlank="1" showInputMessage="1" showErrorMessage="1" sqref="A9712">
      <formula1>0</formula1>
    </dataValidation>
    <dataValidation type="list" allowBlank="1" showInputMessage="1" showErrorMessage="1" sqref="C9712">
      <formula1>UnidadesList</formula1>
    </dataValidation>
    <dataValidation type="decimal" operator="greaterThan" allowBlank="1" showInputMessage="1" showErrorMessage="1" sqref="D9712">
      <formula1>0</formula1>
    </dataValidation>
    <dataValidation type="decimal" operator="greaterThan" allowBlank="1" showInputMessage="1" showErrorMessage="1" sqref="E9712">
      <formula1>0</formula1>
    </dataValidation>
    <dataValidation type="whole" operator="greaterThan" allowBlank="1" showInputMessage="1" showErrorMessage="1" sqref="A9713">
      <formula1>0</formula1>
    </dataValidation>
    <dataValidation type="list" allowBlank="1" showInputMessage="1" showErrorMessage="1" sqref="C9713">
      <formula1>UnidadesList</formula1>
    </dataValidation>
    <dataValidation type="decimal" operator="greaterThan" allowBlank="1" showInputMessage="1" showErrorMessage="1" sqref="D9713">
      <formula1>0</formula1>
    </dataValidation>
    <dataValidation type="decimal" operator="greaterThan" allowBlank="1" showInputMessage="1" showErrorMessage="1" sqref="E9713">
      <formula1>0</formula1>
    </dataValidation>
    <dataValidation type="whole" operator="greaterThan" allowBlank="1" showInputMessage="1" showErrorMessage="1" sqref="A9714">
      <formula1>0</formula1>
    </dataValidation>
    <dataValidation type="list" allowBlank="1" showInputMessage="1" showErrorMessage="1" sqref="C9714">
      <formula1>UnidadesList</formula1>
    </dataValidation>
    <dataValidation type="decimal" operator="greaterThan" allowBlank="1" showInputMessage="1" showErrorMessage="1" sqref="D9714">
      <formula1>0</formula1>
    </dataValidation>
    <dataValidation type="decimal" operator="greaterThan" allowBlank="1" showInputMessage="1" showErrorMessage="1" sqref="E9714">
      <formula1>0</formula1>
    </dataValidation>
    <dataValidation type="whole" operator="greaterThan" allowBlank="1" showInputMessage="1" showErrorMessage="1" sqref="A9715">
      <formula1>0</formula1>
    </dataValidation>
    <dataValidation type="list" allowBlank="1" showInputMessage="1" showErrorMessage="1" sqref="C9715">
      <formula1>UnidadesList</formula1>
    </dataValidation>
    <dataValidation type="decimal" operator="greaterThan" allowBlank="1" showInputMessage="1" showErrorMessage="1" sqref="D9715">
      <formula1>0</formula1>
    </dataValidation>
    <dataValidation type="decimal" operator="greaterThan" allowBlank="1" showInputMessage="1" showErrorMessage="1" sqref="E9715">
      <formula1>0</formula1>
    </dataValidation>
    <dataValidation type="whole" operator="greaterThan" allowBlank="1" showInputMessage="1" showErrorMessage="1" sqref="A9716">
      <formula1>0</formula1>
    </dataValidation>
    <dataValidation type="list" allowBlank="1" showInputMessage="1" showErrorMessage="1" sqref="C9716">
      <formula1>UnidadesList</formula1>
    </dataValidation>
    <dataValidation type="decimal" operator="greaterThan" allowBlank="1" showInputMessage="1" showErrorMessage="1" sqref="D9716">
      <formula1>0</formula1>
    </dataValidation>
    <dataValidation type="decimal" operator="greaterThan" allowBlank="1" showInputMessage="1" showErrorMessage="1" sqref="E9716">
      <formula1>0</formula1>
    </dataValidation>
    <dataValidation type="whole" operator="greaterThan" allowBlank="1" showInputMessage="1" showErrorMessage="1" sqref="A9717">
      <formula1>0</formula1>
    </dataValidation>
    <dataValidation type="list" allowBlank="1" showInputMessage="1" showErrorMessage="1" sqref="C9717">
      <formula1>UnidadesList</formula1>
    </dataValidation>
    <dataValidation type="decimal" operator="greaterThan" allowBlank="1" showInputMessage="1" showErrorMessage="1" sqref="D9717">
      <formula1>0</formula1>
    </dataValidation>
    <dataValidation type="decimal" operator="greaterThan" allowBlank="1" showInputMessage="1" showErrorMessage="1" sqref="E9717">
      <formula1>0</formula1>
    </dataValidation>
    <dataValidation type="whole" operator="greaterThan" allowBlank="1" showInputMessage="1" showErrorMessage="1" sqref="A9718">
      <formula1>0</formula1>
    </dataValidation>
    <dataValidation type="list" allowBlank="1" showInputMessage="1" showErrorMessage="1" sqref="C9718">
      <formula1>UnidadesList</formula1>
    </dataValidation>
    <dataValidation type="decimal" operator="greaterThan" allowBlank="1" showInputMessage="1" showErrorMessage="1" sqref="D9718">
      <formula1>0</formula1>
    </dataValidation>
    <dataValidation type="decimal" operator="greaterThan" allowBlank="1" showInputMessage="1" showErrorMessage="1" sqref="E9718">
      <formula1>0</formula1>
    </dataValidation>
    <dataValidation type="whole" operator="greaterThan" allowBlank="1" showInputMessage="1" showErrorMessage="1" sqref="A9719">
      <formula1>0</formula1>
    </dataValidation>
    <dataValidation type="list" allowBlank="1" showInputMessage="1" showErrorMessage="1" sqref="C9719">
      <formula1>UnidadesList</formula1>
    </dataValidation>
    <dataValidation type="decimal" operator="greaterThan" allowBlank="1" showInputMessage="1" showErrorMessage="1" sqref="D9719">
      <formula1>0</formula1>
    </dataValidation>
    <dataValidation type="decimal" operator="greaterThan" allowBlank="1" showInputMessage="1" showErrorMessage="1" sqref="E9719">
      <formula1>0</formula1>
    </dataValidation>
    <dataValidation type="whole" operator="greaterThan" allowBlank="1" showInputMessage="1" showErrorMessage="1" sqref="A9720">
      <formula1>0</formula1>
    </dataValidation>
    <dataValidation type="list" allowBlank="1" showInputMessage="1" showErrorMessage="1" sqref="C9720">
      <formula1>UnidadesList</formula1>
    </dataValidation>
    <dataValidation type="decimal" operator="greaterThan" allowBlank="1" showInputMessage="1" showErrorMessage="1" sqref="D9720">
      <formula1>0</formula1>
    </dataValidation>
    <dataValidation type="decimal" operator="greaterThan" allowBlank="1" showInputMessage="1" showErrorMessage="1" sqref="E9720">
      <formula1>0</formula1>
    </dataValidation>
    <dataValidation type="whole" operator="greaterThan" allowBlank="1" showInputMessage="1" showErrorMessage="1" sqref="A9721">
      <formula1>0</formula1>
    </dataValidation>
    <dataValidation type="list" allowBlank="1" showInputMessage="1" showErrorMessage="1" sqref="C9721">
      <formula1>UnidadesList</formula1>
    </dataValidation>
    <dataValidation type="decimal" operator="greaterThan" allowBlank="1" showInputMessage="1" showErrorMessage="1" sqref="D9721">
      <formula1>0</formula1>
    </dataValidation>
    <dataValidation type="decimal" operator="greaterThan" allowBlank="1" showInputMessage="1" showErrorMessage="1" sqref="E9721">
      <formula1>0</formula1>
    </dataValidation>
    <dataValidation type="whole" operator="greaterThan" allowBlank="1" showInputMessage="1" showErrorMessage="1" sqref="A9722">
      <formula1>0</formula1>
    </dataValidation>
    <dataValidation type="list" allowBlank="1" showInputMessage="1" showErrorMessage="1" sqref="C9722">
      <formula1>UnidadesList</formula1>
    </dataValidation>
    <dataValidation type="decimal" operator="greaterThan" allowBlank="1" showInputMessage="1" showErrorMessage="1" sqref="D9722">
      <formula1>0</formula1>
    </dataValidation>
    <dataValidation type="decimal" operator="greaterThan" allowBlank="1" showInputMessage="1" showErrorMessage="1" sqref="E9722">
      <formula1>0</formula1>
    </dataValidation>
    <dataValidation type="whole" operator="greaterThan" allowBlank="1" showInputMessage="1" showErrorMessage="1" sqref="A9723">
      <formula1>0</formula1>
    </dataValidation>
    <dataValidation type="list" allowBlank="1" showInputMessage="1" showErrorMessage="1" sqref="C9723">
      <formula1>UnidadesList</formula1>
    </dataValidation>
    <dataValidation type="decimal" operator="greaterThan" allowBlank="1" showInputMessage="1" showErrorMessage="1" sqref="D9723">
      <formula1>0</formula1>
    </dataValidation>
    <dataValidation type="decimal" operator="greaterThan" allowBlank="1" showInputMessage="1" showErrorMessage="1" sqref="E9723">
      <formula1>0</formula1>
    </dataValidation>
    <dataValidation type="whole" operator="greaterThan" allowBlank="1" showInputMessage="1" showErrorMessage="1" sqref="A9724">
      <formula1>0</formula1>
    </dataValidation>
    <dataValidation type="list" allowBlank="1" showInputMessage="1" showErrorMessage="1" sqref="C9724">
      <formula1>UnidadesList</formula1>
    </dataValidation>
    <dataValidation type="decimal" operator="greaterThan" allowBlank="1" showInputMessage="1" showErrorMessage="1" sqref="D9724">
      <formula1>0</formula1>
    </dataValidation>
    <dataValidation type="decimal" operator="greaterThan" allowBlank="1" showInputMessage="1" showErrorMessage="1" sqref="E9724">
      <formula1>0</formula1>
    </dataValidation>
    <dataValidation type="whole" operator="greaterThan" allowBlank="1" showInputMessage="1" showErrorMessage="1" sqref="A9725">
      <formula1>0</formula1>
    </dataValidation>
    <dataValidation type="list" allowBlank="1" showInputMessage="1" showErrorMessage="1" sqref="C9725">
      <formula1>UnidadesList</formula1>
    </dataValidation>
    <dataValidation type="decimal" operator="greaterThan" allowBlank="1" showInputMessage="1" showErrorMessage="1" sqref="D9725">
      <formula1>0</formula1>
    </dataValidation>
    <dataValidation type="decimal" operator="greaterThan" allowBlank="1" showInputMessage="1" showErrorMessage="1" sqref="E9725">
      <formula1>0</formula1>
    </dataValidation>
    <dataValidation type="whole" operator="greaterThan" allowBlank="1" showInputMessage="1" showErrorMessage="1" sqref="A9726">
      <formula1>0</formula1>
    </dataValidation>
    <dataValidation type="list" allowBlank="1" showInputMessage="1" showErrorMessage="1" sqref="C9726">
      <formula1>UnidadesList</formula1>
    </dataValidation>
    <dataValidation type="decimal" operator="greaterThan" allowBlank="1" showInputMessage="1" showErrorMessage="1" sqref="D9726">
      <formula1>0</formula1>
    </dataValidation>
    <dataValidation type="decimal" operator="greaterThan" allowBlank="1" showInputMessage="1" showErrorMessage="1" sqref="E9726">
      <formula1>0</formula1>
    </dataValidation>
    <dataValidation type="whole" operator="greaterThan" allowBlank="1" showInputMessage="1" showErrorMessage="1" sqref="A9727">
      <formula1>0</formula1>
    </dataValidation>
    <dataValidation type="list" allowBlank="1" showInputMessage="1" showErrorMessage="1" sqref="C9727">
      <formula1>UnidadesList</formula1>
    </dataValidation>
    <dataValidation type="decimal" operator="greaterThan" allowBlank="1" showInputMessage="1" showErrorMessage="1" sqref="D9727">
      <formula1>0</formula1>
    </dataValidation>
    <dataValidation type="decimal" operator="greaterThan" allowBlank="1" showInputMessage="1" showErrorMessage="1" sqref="E9727">
      <formula1>0</formula1>
    </dataValidation>
    <dataValidation type="whole" operator="greaterThan" allowBlank="1" showInputMessage="1" showErrorMessage="1" sqref="A9728">
      <formula1>0</formula1>
    </dataValidation>
    <dataValidation type="list" allowBlank="1" showInputMessage="1" showErrorMessage="1" sqref="C9728">
      <formula1>UnidadesList</formula1>
    </dataValidation>
    <dataValidation type="decimal" operator="greaterThan" allowBlank="1" showInputMessage="1" showErrorMessage="1" sqref="D9728">
      <formula1>0</formula1>
    </dataValidation>
    <dataValidation type="decimal" operator="greaterThan" allowBlank="1" showInputMessage="1" showErrorMessage="1" sqref="E9728">
      <formula1>0</formula1>
    </dataValidation>
    <dataValidation type="whole" operator="greaterThan" allowBlank="1" showInputMessage="1" showErrorMessage="1" sqref="A9729">
      <formula1>0</formula1>
    </dataValidation>
    <dataValidation type="list" allowBlank="1" showInputMessage="1" showErrorMessage="1" sqref="C9729">
      <formula1>UnidadesList</formula1>
    </dataValidation>
    <dataValidation type="decimal" operator="greaterThan" allowBlank="1" showInputMessage="1" showErrorMessage="1" sqref="D9729">
      <formula1>0</formula1>
    </dataValidation>
    <dataValidation type="decimal" operator="greaterThan" allowBlank="1" showInputMessage="1" showErrorMessage="1" sqref="E9729">
      <formula1>0</formula1>
    </dataValidation>
    <dataValidation type="whole" operator="greaterThan" allowBlank="1" showInputMessage="1" showErrorMessage="1" sqref="A9730">
      <formula1>0</formula1>
    </dataValidation>
    <dataValidation type="list" allowBlank="1" showInputMessage="1" showErrorMessage="1" sqref="C9730">
      <formula1>UnidadesList</formula1>
    </dataValidation>
    <dataValidation type="decimal" operator="greaterThan" allowBlank="1" showInputMessage="1" showErrorMessage="1" sqref="D9730">
      <formula1>0</formula1>
    </dataValidation>
    <dataValidation type="decimal" operator="greaterThan" allowBlank="1" showInputMessage="1" showErrorMessage="1" sqref="E9730">
      <formula1>0</formula1>
    </dataValidation>
    <dataValidation type="whole" operator="greaterThan" allowBlank="1" showInputMessage="1" showErrorMessage="1" sqref="A9731">
      <formula1>0</formula1>
    </dataValidation>
    <dataValidation type="list" allowBlank="1" showInputMessage="1" showErrorMessage="1" sqref="C9731">
      <formula1>UnidadesList</formula1>
    </dataValidation>
    <dataValidation type="decimal" operator="greaterThan" allowBlank="1" showInputMessage="1" showErrorMessage="1" sqref="D9731">
      <formula1>0</formula1>
    </dataValidation>
    <dataValidation type="decimal" operator="greaterThan" allowBlank="1" showInputMessage="1" showErrorMessage="1" sqref="E9731">
      <formula1>0</formula1>
    </dataValidation>
    <dataValidation type="whole" operator="greaterThan" allowBlank="1" showInputMessage="1" showErrorMessage="1" sqref="A9732">
      <formula1>0</formula1>
    </dataValidation>
    <dataValidation type="list" allowBlank="1" showInputMessage="1" showErrorMessage="1" sqref="C9732">
      <formula1>UnidadesList</formula1>
    </dataValidation>
    <dataValidation type="decimal" operator="greaterThan" allowBlank="1" showInputMessage="1" showErrorMessage="1" sqref="D9732">
      <formula1>0</formula1>
    </dataValidation>
    <dataValidation type="decimal" operator="greaterThan" allowBlank="1" showInputMessage="1" showErrorMessage="1" sqref="E9732">
      <formula1>0</formula1>
    </dataValidation>
    <dataValidation type="whole" operator="greaterThan" allowBlank="1" showInputMessage="1" showErrorMessage="1" sqref="A9733">
      <formula1>0</formula1>
    </dataValidation>
    <dataValidation type="list" allowBlank="1" showInputMessage="1" showErrorMessage="1" sqref="C9733">
      <formula1>UnidadesList</formula1>
    </dataValidation>
    <dataValidation type="decimal" operator="greaterThan" allowBlank="1" showInputMessage="1" showErrorMessage="1" sqref="D9733">
      <formula1>0</formula1>
    </dataValidation>
    <dataValidation type="decimal" operator="greaterThan" allowBlank="1" showInputMessage="1" showErrorMessage="1" sqref="E9733">
      <formula1>0</formula1>
    </dataValidation>
    <dataValidation type="whole" operator="greaterThan" allowBlank="1" showInputMessage="1" showErrorMessage="1" sqref="A9734">
      <formula1>0</formula1>
    </dataValidation>
    <dataValidation type="list" allowBlank="1" showInputMessage="1" showErrorMessage="1" sqref="C9734">
      <formula1>UnidadesList</formula1>
    </dataValidation>
    <dataValidation type="decimal" operator="greaterThan" allowBlank="1" showInputMessage="1" showErrorMessage="1" sqref="D9734">
      <formula1>0</formula1>
    </dataValidation>
    <dataValidation type="decimal" operator="greaterThan" allowBlank="1" showInputMessage="1" showErrorMessage="1" sqref="E9734">
      <formula1>0</formula1>
    </dataValidation>
    <dataValidation type="whole" operator="greaterThan" allowBlank="1" showInputMessage="1" showErrorMessage="1" sqref="A9735">
      <formula1>0</formula1>
    </dataValidation>
    <dataValidation type="list" allowBlank="1" showInputMessage="1" showErrorMessage="1" sqref="C9735">
      <formula1>UnidadesList</formula1>
    </dataValidation>
    <dataValidation type="decimal" operator="greaterThan" allowBlank="1" showInputMessage="1" showErrorMessage="1" sqref="D9735">
      <formula1>0</formula1>
    </dataValidation>
    <dataValidation type="decimal" operator="greaterThan" allowBlank="1" showInputMessage="1" showErrorMessage="1" sqref="E9735">
      <formula1>0</formula1>
    </dataValidation>
    <dataValidation type="whole" operator="greaterThan" allowBlank="1" showInputMessage="1" showErrorMessage="1" sqref="A9736">
      <formula1>0</formula1>
    </dataValidation>
    <dataValidation type="list" allowBlank="1" showInputMessage="1" showErrorMessage="1" sqref="C9736">
      <formula1>UnidadesList</formula1>
    </dataValidation>
    <dataValidation type="decimal" operator="greaterThan" allowBlank="1" showInputMessage="1" showErrorMessage="1" sqref="D9736">
      <formula1>0</formula1>
    </dataValidation>
    <dataValidation type="decimal" operator="greaterThan" allowBlank="1" showInputMessage="1" showErrorMessage="1" sqref="E9736">
      <formula1>0</formula1>
    </dataValidation>
    <dataValidation type="whole" operator="greaterThan" allowBlank="1" showInputMessage="1" showErrorMessage="1" sqref="A9737">
      <formula1>0</formula1>
    </dataValidation>
    <dataValidation type="list" allowBlank="1" showInputMessage="1" showErrorMessage="1" sqref="C9737">
      <formula1>UnidadesList</formula1>
    </dataValidation>
    <dataValidation type="decimal" operator="greaterThan" allowBlank="1" showInputMessage="1" showErrorMessage="1" sqref="D9737">
      <formula1>0</formula1>
    </dataValidation>
    <dataValidation type="decimal" operator="greaterThan" allowBlank="1" showInputMessage="1" showErrorMessage="1" sqref="E9737">
      <formula1>0</formula1>
    </dataValidation>
    <dataValidation type="whole" operator="greaterThan" allowBlank="1" showInputMessage="1" showErrorMessage="1" sqref="A9738">
      <formula1>0</formula1>
    </dataValidation>
    <dataValidation type="list" allowBlank="1" showInputMessage="1" showErrorMessage="1" sqref="C9738">
      <formula1>UnidadesList</formula1>
    </dataValidation>
    <dataValidation type="decimal" operator="greaterThan" allowBlank="1" showInputMessage="1" showErrorMessage="1" sqref="D9738">
      <formula1>0</formula1>
    </dataValidation>
    <dataValidation type="decimal" operator="greaterThan" allowBlank="1" showInputMessage="1" showErrorMessage="1" sqref="E9738">
      <formula1>0</formula1>
    </dataValidation>
    <dataValidation type="whole" operator="greaterThan" allowBlank="1" showInputMessage="1" showErrorMessage="1" sqref="A9739">
      <formula1>0</formula1>
    </dataValidation>
    <dataValidation type="list" allowBlank="1" showInputMessage="1" showErrorMessage="1" sqref="C9739">
      <formula1>UnidadesList</formula1>
    </dataValidation>
    <dataValidation type="decimal" operator="greaterThan" allowBlank="1" showInputMessage="1" showErrorMessage="1" sqref="D9739">
      <formula1>0</formula1>
    </dataValidation>
    <dataValidation type="decimal" operator="greaterThan" allowBlank="1" showInputMessage="1" showErrorMessage="1" sqref="E9739">
      <formula1>0</formula1>
    </dataValidation>
    <dataValidation type="whole" operator="greaterThan" allowBlank="1" showInputMessage="1" showErrorMessage="1" sqref="A9740">
      <formula1>0</formula1>
    </dataValidation>
    <dataValidation type="list" allowBlank="1" showInputMessage="1" showErrorMessage="1" sqref="C9740">
      <formula1>UnidadesList</formula1>
    </dataValidation>
    <dataValidation type="decimal" operator="greaterThan" allowBlank="1" showInputMessage="1" showErrorMessage="1" sqref="D9740">
      <formula1>0</formula1>
    </dataValidation>
    <dataValidation type="decimal" operator="greaterThan" allowBlank="1" showInputMessage="1" showErrorMessage="1" sqref="E9740">
      <formula1>0</formula1>
    </dataValidation>
    <dataValidation type="whole" operator="greaterThan" allowBlank="1" showInputMessage="1" showErrorMessage="1" sqref="A9741">
      <formula1>0</formula1>
    </dataValidation>
    <dataValidation type="list" allowBlank="1" showInputMessage="1" showErrorMessage="1" sqref="C9741">
      <formula1>UnidadesList</formula1>
    </dataValidation>
    <dataValidation type="decimal" operator="greaterThan" allowBlank="1" showInputMessage="1" showErrorMessage="1" sqref="D9741">
      <formula1>0</formula1>
    </dataValidation>
    <dataValidation type="decimal" operator="greaterThan" allowBlank="1" showInputMessage="1" showErrorMessage="1" sqref="E9741">
      <formula1>0</formula1>
    </dataValidation>
    <dataValidation type="whole" operator="greaterThan" allowBlank="1" showInputMessage="1" showErrorMessage="1" sqref="A9742">
      <formula1>0</formula1>
    </dataValidation>
    <dataValidation type="list" allowBlank="1" showInputMessage="1" showErrorMessage="1" sqref="C9742">
      <formula1>UnidadesList</formula1>
    </dataValidation>
    <dataValidation type="decimal" operator="greaterThan" allowBlank="1" showInputMessage="1" showErrorMessage="1" sqref="D9742">
      <formula1>0</formula1>
    </dataValidation>
    <dataValidation type="decimal" operator="greaterThan" allowBlank="1" showInputMessage="1" showErrorMessage="1" sqref="E9742">
      <formula1>0</formula1>
    </dataValidation>
    <dataValidation type="whole" operator="greaterThan" allowBlank="1" showInputMessage="1" showErrorMessage="1" sqref="A9743">
      <formula1>0</formula1>
    </dataValidation>
    <dataValidation type="list" allowBlank="1" showInputMessage="1" showErrorMessage="1" sqref="C9743">
      <formula1>UnidadesList</formula1>
    </dataValidation>
    <dataValidation type="decimal" operator="greaterThan" allowBlank="1" showInputMessage="1" showErrorMessage="1" sqref="D9743">
      <formula1>0</formula1>
    </dataValidation>
    <dataValidation type="decimal" operator="greaterThan" allowBlank="1" showInputMessage="1" showErrorMessage="1" sqref="E9743">
      <formula1>0</formula1>
    </dataValidation>
    <dataValidation type="whole" operator="greaterThan" allowBlank="1" showInputMessage="1" showErrorMessage="1" sqref="A9744">
      <formula1>0</formula1>
    </dataValidation>
    <dataValidation type="list" allowBlank="1" showInputMessage="1" showErrorMessage="1" sqref="C9744">
      <formula1>UnidadesList</formula1>
    </dataValidation>
    <dataValidation type="decimal" operator="greaterThan" allowBlank="1" showInputMessage="1" showErrorMessage="1" sqref="D9744">
      <formula1>0</formula1>
    </dataValidation>
    <dataValidation type="decimal" operator="greaterThan" allowBlank="1" showInputMessage="1" showErrorMessage="1" sqref="E9744">
      <formula1>0</formula1>
    </dataValidation>
    <dataValidation type="whole" operator="greaterThan" allowBlank="1" showInputMessage="1" showErrorMessage="1" sqref="A9745">
      <formula1>0</formula1>
    </dataValidation>
    <dataValidation type="list" allowBlank="1" showInputMessage="1" showErrorMessage="1" sqref="C9745">
      <formula1>UnidadesList</formula1>
    </dataValidation>
    <dataValidation type="decimal" operator="greaterThan" allowBlank="1" showInputMessage="1" showErrorMessage="1" sqref="D9745">
      <formula1>0</formula1>
    </dataValidation>
    <dataValidation type="decimal" operator="greaterThan" allowBlank="1" showInputMessage="1" showErrorMessage="1" sqref="E9745">
      <formula1>0</formula1>
    </dataValidation>
    <dataValidation type="whole" operator="greaterThan" allowBlank="1" showInputMessage="1" showErrorMessage="1" sqref="A9746">
      <formula1>0</formula1>
    </dataValidation>
    <dataValidation type="list" allowBlank="1" showInputMessage="1" showErrorMessage="1" sqref="C9746">
      <formula1>UnidadesList</formula1>
    </dataValidation>
    <dataValidation type="decimal" operator="greaterThan" allowBlank="1" showInputMessage="1" showErrorMessage="1" sqref="D9746">
      <formula1>0</formula1>
    </dataValidation>
    <dataValidation type="decimal" operator="greaterThan" allowBlank="1" showInputMessage="1" showErrorMessage="1" sqref="E9746">
      <formula1>0</formula1>
    </dataValidation>
    <dataValidation type="whole" operator="greaterThan" allowBlank="1" showInputMessage="1" showErrorMessage="1" sqref="A9747">
      <formula1>0</formula1>
    </dataValidation>
    <dataValidation type="list" allowBlank="1" showInputMessage="1" showErrorMessage="1" sqref="C9747">
      <formula1>UnidadesList</formula1>
    </dataValidation>
    <dataValidation type="decimal" operator="greaterThan" allowBlank="1" showInputMessage="1" showErrorMessage="1" sqref="D9747">
      <formula1>0</formula1>
    </dataValidation>
    <dataValidation type="decimal" operator="greaterThan" allowBlank="1" showInputMessage="1" showErrorMessage="1" sqref="E9747">
      <formula1>0</formula1>
    </dataValidation>
    <dataValidation type="whole" operator="greaterThan" allowBlank="1" showInputMessage="1" showErrorMessage="1" sqref="A9748">
      <formula1>0</formula1>
    </dataValidation>
    <dataValidation type="list" allowBlank="1" showInputMessage="1" showErrorMessage="1" sqref="C9748">
      <formula1>UnidadesList</formula1>
    </dataValidation>
    <dataValidation type="decimal" operator="greaterThan" allowBlank="1" showInputMessage="1" showErrorMessage="1" sqref="D9748">
      <formula1>0</formula1>
    </dataValidation>
    <dataValidation type="decimal" operator="greaterThan" allowBlank="1" showInputMessage="1" showErrorMessage="1" sqref="E9748">
      <formula1>0</formula1>
    </dataValidation>
    <dataValidation type="whole" operator="greaterThan" allowBlank="1" showInputMessage="1" showErrorMessage="1" sqref="A9749">
      <formula1>0</formula1>
    </dataValidation>
    <dataValidation type="list" allowBlank="1" showInputMessage="1" showErrorMessage="1" sqref="C9749">
      <formula1>UnidadesList</formula1>
    </dataValidation>
    <dataValidation type="decimal" operator="greaterThan" allowBlank="1" showInputMessage="1" showErrorMessage="1" sqref="D9749">
      <formula1>0</formula1>
    </dataValidation>
    <dataValidation type="decimal" operator="greaterThan" allowBlank="1" showInputMessage="1" showErrorMessage="1" sqref="E9749">
      <formula1>0</formula1>
    </dataValidation>
    <dataValidation type="whole" operator="greaterThan" allowBlank="1" showInputMessage="1" showErrorMessage="1" sqref="A9750">
      <formula1>0</formula1>
    </dataValidation>
    <dataValidation type="list" allowBlank="1" showInputMessage="1" showErrorMessage="1" sqref="C9750">
      <formula1>UnidadesList</formula1>
    </dataValidation>
    <dataValidation type="decimal" operator="greaterThan" allowBlank="1" showInputMessage="1" showErrorMessage="1" sqref="D9750">
      <formula1>0</formula1>
    </dataValidation>
    <dataValidation type="decimal" operator="greaterThan" allowBlank="1" showInputMessage="1" showErrorMessage="1" sqref="E9750">
      <formula1>0</formula1>
    </dataValidation>
    <dataValidation type="whole" operator="greaterThan" allowBlank="1" showInputMessage="1" showErrorMessage="1" sqref="A9751">
      <formula1>0</formula1>
    </dataValidation>
    <dataValidation type="list" allowBlank="1" showInputMessage="1" showErrorMessage="1" sqref="C9751">
      <formula1>UnidadesList</formula1>
    </dataValidation>
    <dataValidation type="decimal" operator="greaterThan" allowBlank="1" showInputMessage="1" showErrorMessage="1" sqref="D9751">
      <formula1>0</formula1>
    </dataValidation>
    <dataValidation type="decimal" operator="greaterThan" allowBlank="1" showInputMessage="1" showErrorMessage="1" sqref="E9751">
      <formula1>0</formula1>
    </dataValidation>
    <dataValidation type="whole" operator="greaterThan" allowBlank="1" showInputMessage="1" showErrorMessage="1" sqref="A9752">
      <formula1>0</formula1>
    </dataValidation>
    <dataValidation type="list" allowBlank="1" showInputMessage="1" showErrorMessage="1" sqref="C9752">
      <formula1>UnidadesList</formula1>
    </dataValidation>
    <dataValidation type="decimal" operator="greaterThan" allowBlank="1" showInputMessage="1" showErrorMessage="1" sqref="D9752">
      <formula1>0</formula1>
    </dataValidation>
    <dataValidation type="decimal" operator="greaterThan" allowBlank="1" showInputMessage="1" showErrorMessage="1" sqref="E9752">
      <formula1>0</formula1>
    </dataValidation>
    <dataValidation type="whole" operator="greaterThan" allowBlank="1" showInputMessage="1" showErrorMessage="1" sqref="A9753">
      <formula1>0</formula1>
    </dataValidation>
    <dataValidation type="list" allowBlank="1" showInputMessage="1" showErrorMessage="1" sqref="C9753">
      <formula1>UnidadesList</formula1>
    </dataValidation>
    <dataValidation type="decimal" operator="greaterThan" allowBlank="1" showInputMessage="1" showErrorMessage="1" sqref="D9753">
      <formula1>0</formula1>
    </dataValidation>
    <dataValidation type="decimal" operator="greaterThan" allowBlank="1" showInputMessage="1" showErrorMessage="1" sqref="E9753">
      <formula1>0</formula1>
    </dataValidation>
    <dataValidation type="whole" operator="greaterThan" allowBlank="1" showInputMessage="1" showErrorMessage="1" sqref="A9754">
      <formula1>0</formula1>
    </dataValidation>
    <dataValidation type="list" allowBlank="1" showInputMessage="1" showErrorMessage="1" sqref="C9754">
      <formula1>UnidadesList</formula1>
    </dataValidation>
    <dataValidation type="decimal" operator="greaterThan" allowBlank="1" showInputMessage="1" showErrorMessage="1" sqref="D9754">
      <formula1>0</formula1>
    </dataValidation>
    <dataValidation type="decimal" operator="greaterThan" allowBlank="1" showInputMessage="1" showErrorMessage="1" sqref="E9754">
      <formula1>0</formula1>
    </dataValidation>
    <dataValidation type="whole" operator="greaterThan" allowBlank="1" showInputMessage="1" showErrorMessage="1" sqref="A9755">
      <formula1>0</formula1>
    </dataValidation>
    <dataValidation type="list" allowBlank="1" showInputMessage="1" showErrorMessage="1" sqref="C9755">
      <formula1>UnidadesList</formula1>
    </dataValidation>
    <dataValidation type="decimal" operator="greaterThan" allowBlank="1" showInputMessage="1" showErrorMessage="1" sqref="D9755">
      <formula1>0</formula1>
    </dataValidation>
    <dataValidation type="decimal" operator="greaterThan" allowBlank="1" showInputMessage="1" showErrorMessage="1" sqref="E9755">
      <formula1>0</formula1>
    </dataValidation>
    <dataValidation type="whole" operator="greaterThan" allowBlank="1" showInputMessage="1" showErrorMessage="1" sqref="A9756">
      <formula1>0</formula1>
    </dataValidation>
    <dataValidation type="list" allowBlank="1" showInputMessage="1" showErrorMessage="1" sqref="C9756">
      <formula1>UnidadesList</formula1>
    </dataValidation>
    <dataValidation type="decimal" operator="greaterThan" allowBlank="1" showInputMessage="1" showErrorMessage="1" sqref="D9756">
      <formula1>0</formula1>
    </dataValidation>
    <dataValidation type="decimal" operator="greaterThan" allowBlank="1" showInputMessage="1" showErrorMessage="1" sqref="E9756">
      <formula1>0</formula1>
    </dataValidation>
    <dataValidation type="whole" operator="greaterThan" allowBlank="1" showInputMessage="1" showErrorMessage="1" sqref="A9757">
      <formula1>0</formula1>
    </dataValidation>
    <dataValidation type="list" allowBlank="1" showInputMessage="1" showErrorMessage="1" sqref="C9757">
      <formula1>UnidadesList</formula1>
    </dataValidation>
    <dataValidation type="decimal" operator="greaterThan" allowBlank="1" showInputMessage="1" showErrorMessage="1" sqref="D9757">
      <formula1>0</formula1>
    </dataValidation>
    <dataValidation type="decimal" operator="greaterThan" allowBlank="1" showInputMessage="1" showErrorMessage="1" sqref="E9757">
      <formula1>0</formula1>
    </dataValidation>
    <dataValidation type="whole" operator="greaterThan" allowBlank="1" showInputMessage="1" showErrorMessage="1" sqref="A9758">
      <formula1>0</formula1>
    </dataValidation>
    <dataValidation type="list" allowBlank="1" showInputMessage="1" showErrorMessage="1" sqref="C9758">
      <formula1>UnidadesList</formula1>
    </dataValidation>
    <dataValidation type="decimal" operator="greaterThan" allowBlank="1" showInputMessage="1" showErrorMessage="1" sqref="D9758">
      <formula1>0</formula1>
    </dataValidation>
    <dataValidation type="decimal" operator="greaterThan" allowBlank="1" showInputMessage="1" showErrorMessage="1" sqref="E9758">
      <formula1>0</formula1>
    </dataValidation>
    <dataValidation type="whole" operator="greaterThan" allowBlank="1" showInputMessage="1" showErrorMessage="1" sqref="A9759">
      <formula1>0</formula1>
    </dataValidation>
    <dataValidation type="list" allowBlank="1" showInputMessage="1" showErrorMessage="1" sqref="C9759">
      <formula1>UnidadesList</formula1>
    </dataValidation>
    <dataValidation type="decimal" operator="greaterThan" allowBlank="1" showInputMessage="1" showErrorMessage="1" sqref="D9759">
      <formula1>0</formula1>
    </dataValidation>
    <dataValidation type="decimal" operator="greaterThan" allowBlank="1" showInputMessage="1" showErrorMessage="1" sqref="E9759">
      <formula1>0</formula1>
    </dataValidation>
    <dataValidation type="whole" operator="greaterThan" allowBlank="1" showInputMessage="1" showErrorMessage="1" sqref="A9760">
      <formula1>0</formula1>
    </dataValidation>
    <dataValidation type="list" allowBlank="1" showInputMessage="1" showErrorMessage="1" sqref="C9760">
      <formula1>UnidadesList</formula1>
    </dataValidation>
    <dataValidation type="decimal" operator="greaterThan" allowBlank="1" showInputMessage="1" showErrorMessage="1" sqref="D9760">
      <formula1>0</formula1>
    </dataValidation>
    <dataValidation type="decimal" operator="greaterThan" allowBlank="1" showInputMessage="1" showErrorMessage="1" sqref="E9760">
      <formula1>0</formula1>
    </dataValidation>
    <dataValidation type="whole" operator="greaterThan" allowBlank="1" showInputMessage="1" showErrorMessage="1" sqref="A9761">
      <formula1>0</formula1>
    </dataValidation>
    <dataValidation type="list" allowBlank="1" showInputMessage="1" showErrorMessage="1" sqref="C9761">
      <formula1>UnidadesList</formula1>
    </dataValidation>
    <dataValidation type="decimal" operator="greaterThan" allowBlank="1" showInputMessage="1" showErrorMessage="1" sqref="D9761">
      <formula1>0</formula1>
    </dataValidation>
    <dataValidation type="decimal" operator="greaterThan" allowBlank="1" showInputMessage="1" showErrorMessage="1" sqref="E9761">
      <formula1>0</formula1>
    </dataValidation>
    <dataValidation type="whole" operator="greaterThan" allowBlank="1" showInputMessage="1" showErrorMessage="1" sqref="A9762">
      <formula1>0</formula1>
    </dataValidation>
    <dataValidation type="list" allowBlank="1" showInputMessage="1" showErrorMessage="1" sqref="C9762">
      <formula1>UnidadesList</formula1>
    </dataValidation>
    <dataValidation type="decimal" operator="greaterThan" allowBlank="1" showInputMessage="1" showErrorMessage="1" sqref="D9762">
      <formula1>0</formula1>
    </dataValidation>
    <dataValidation type="decimal" operator="greaterThan" allowBlank="1" showInputMessage="1" showErrorMessage="1" sqref="E9762">
      <formula1>0</formula1>
    </dataValidation>
    <dataValidation type="whole" operator="greaterThan" allowBlank="1" showInputMessage="1" showErrorMessage="1" sqref="A9763">
      <formula1>0</formula1>
    </dataValidation>
    <dataValidation type="list" allowBlank="1" showInputMessage="1" showErrorMessage="1" sqref="C9763">
      <formula1>UnidadesList</formula1>
    </dataValidation>
    <dataValidation type="decimal" operator="greaterThan" allowBlank="1" showInputMessage="1" showErrorMessage="1" sqref="D9763">
      <formula1>0</formula1>
    </dataValidation>
    <dataValidation type="decimal" operator="greaterThan" allowBlank="1" showInputMessage="1" showErrorMessage="1" sqref="E9763">
      <formula1>0</formula1>
    </dataValidation>
    <dataValidation type="whole" operator="greaterThan" allowBlank="1" showInputMessage="1" showErrorMessage="1" sqref="A9764">
      <formula1>0</formula1>
    </dataValidation>
    <dataValidation type="list" allowBlank="1" showInputMessage="1" showErrorMessage="1" sqref="C9764">
      <formula1>UnidadesList</formula1>
    </dataValidation>
    <dataValidation type="decimal" operator="greaterThan" allowBlank="1" showInputMessage="1" showErrorMessage="1" sqref="D9764">
      <formula1>0</formula1>
    </dataValidation>
    <dataValidation type="decimal" operator="greaterThan" allowBlank="1" showInputMessage="1" showErrorMessage="1" sqref="E9764">
      <formula1>0</formula1>
    </dataValidation>
    <dataValidation type="whole" operator="greaterThan" allowBlank="1" showInputMessage="1" showErrorMessage="1" sqref="A9765">
      <formula1>0</formula1>
    </dataValidation>
    <dataValidation type="list" allowBlank="1" showInputMessage="1" showErrorMessage="1" sqref="C9765">
      <formula1>UnidadesList</formula1>
    </dataValidation>
    <dataValidation type="decimal" operator="greaterThan" allowBlank="1" showInputMessage="1" showErrorMessage="1" sqref="D9765">
      <formula1>0</formula1>
    </dataValidation>
    <dataValidation type="decimal" operator="greaterThan" allowBlank="1" showInputMessage="1" showErrorMessage="1" sqref="E9765">
      <formula1>0</formula1>
    </dataValidation>
    <dataValidation type="whole" operator="greaterThan" allowBlank="1" showInputMessage="1" showErrorMessage="1" sqref="A9766">
      <formula1>0</formula1>
    </dataValidation>
    <dataValidation type="list" allowBlank="1" showInputMessage="1" showErrorMessage="1" sqref="C9766">
      <formula1>UnidadesList</formula1>
    </dataValidation>
    <dataValidation type="decimal" operator="greaterThan" allowBlank="1" showInputMessage="1" showErrorMessage="1" sqref="D9766">
      <formula1>0</formula1>
    </dataValidation>
    <dataValidation type="decimal" operator="greaterThan" allowBlank="1" showInputMessage="1" showErrorMessage="1" sqref="E9766">
      <formula1>0</formula1>
    </dataValidation>
    <dataValidation type="whole" operator="greaterThan" allowBlank="1" showInputMessage="1" showErrorMessage="1" sqref="A9767">
      <formula1>0</formula1>
    </dataValidation>
    <dataValidation type="list" allowBlank="1" showInputMessage="1" showErrorMessage="1" sqref="C9767">
      <formula1>UnidadesList</formula1>
    </dataValidation>
    <dataValidation type="decimal" operator="greaterThan" allowBlank="1" showInputMessage="1" showErrorMessage="1" sqref="D9767">
      <formula1>0</formula1>
    </dataValidation>
    <dataValidation type="decimal" operator="greaterThan" allowBlank="1" showInputMessage="1" showErrorMessage="1" sqref="E9767">
      <formula1>0</formula1>
    </dataValidation>
    <dataValidation type="whole" operator="greaterThan" allowBlank="1" showInputMessage="1" showErrorMessage="1" sqref="A9768">
      <formula1>0</formula1>
    </dataValidation>
    <dataValidation type="list" allowBlank="1" showInputMessage="1" showErrorMessage="1" sqref="C9768">
      <formula1>UnidadesList</formula1>
    </dataValidation>
    <dataValidation type="decimal" operator="greaterThan" allowBlank="1" showInputMessage="1" showErrorMessage="1" sqref="D9768">
      <formula1>0</formula1>
    </dataValidation>
    <dataValidation type="decimal" operator="greaterThan" allowBlank="1" showInputMessage="1" showErrorMessage="1" sqref="E9768">
      <formula1>0</formula1>
    </dataValidation>
    <dataValidation type="whole" operator="greaterThan" allowBlank="1" showInputMessage="1" showErrorMessage="1" sqref="A9769">
      <formula1>0</formula1>
    </dataValidation>
    <dataValidation type="list" allowBlank="1" showInputMessage="1" showErrorMessage="1" sqref="C9769">
      <formula1>UnidadesList</formula1>
    </dataValidation>
    <dataValidation type="decimal" operator="greaterThan" allowBlank="1" showInputMessage="1" showErrorMessage="1" sqref="D9769">
      <formula1>0</formula1>
    </dataValidation>
    <dataValidation type="decimal" operator="greaterThan" allowBlank="1" showInputMessage="1" showErrorMessage="1" sqref="E9769">
      <formula1>0</formula1>
    </dataValidation>
    <dataValidation type="whole" operator="greaterThan" allowBlank="1" showInputMessage="1" showErrorMessage="1" sqref="A9770">
      <formula1>0</formula1>
    </dataValidation>
    <dataValidation type="list" allowBlank="1" showInputMessage="1" showErrorMessage="1" sqref="C9770">
      <formula1>UnidadesList</formula1>
    </dataValidation>
    <dataValidation type="decimal" operator="greaterThan" allowBlank="1" showInputMessage="1" showErrorMessage="1" sqref="D9770">
      <formula1>0</formula1>
    </dataValidation>
    <dataValidation type="decimal" operator="greaterThan" allowBlank="1" showInputMessage="1" showErrorMessage="1" sqref="E9770">
      <formula1>0</formula1>
    </dataValidation>
    <dataValidation type="whole" operator="greaterThan" allowBlank="1" showInputMessage="1" showErrorMessage="1" sqref="A9771">
      <formula1>0</formula1>
    </dataValidation>
    <dataValidation type="list" allowBlank="1" showInputMessage="1" showErrorMessage="1" sqref="C9771">
      <formula1>UnidadesList</formula1>
    </dataValidation>
    <dataValidation type="decimal" operator="greaterThan" allowBlank="1" showInputMessage="1" showErrorMessage="1" sqref="D9771">
      <formula1>0</formula1>
    </dataValidation>
    <dataValidation type="decimal" operator="greaterThan" allowBlank="1" showInputMessage="1" showErrorMessage="1" sqref="E9771">
      <formula1>0</formula1>
    </dataValidation>
    <dataValidation type="whole" operator="greaterThan" allowBlank="1" showInputMessage="1" showErrorMessage="1" sqref="A9772">
      <formula1>0</formula1>
    </dataValidation>
    <dataValidation type="list" allowBlank="1" showInputMessage="1" showErrorMessage="1" sqref="C9772">
      <formula1>UnidadesList</formula1>
    </dataValidation>
    <dataValidation type="decimal" operator="greaterThan" allowBlank="1" showInputMessage="1" showErrorMessage="1" sqref="D9772">
      <formula1>0</formula1>
    </dataValidation>
    <dataValidation type="decimal" operator="greaterThan" allowBlank="1" showInputMessage="1" showErrorMessage="1" sqref="E9772">
      <formula1>0</formula1>
    </dataValidation>
    <dataValidation type="whole" operator="greaterThan" allowBlank="1" showInputMessage="1" showErrorMessage="1" sqref="A9773">
      <formula1>0</formula1>
    </dataValidation>
    <dataValidation type="list" allowBlank="1" showInputMessage="1" showErrorMessage="1" sqref="C9773">
      <formula1>UnidadesList</formula1>
    </dataValidation>
    <dataValidation type="decimal" operator="greaterThan" allowBlank="1" showInputMessage="1" showErrorMessage="1" sqref="D9773">
      <formula1>0</formula1>
    </dataValidation>
    <dataValidation type="decimal" operator="greaterThan" allowBlank="1" showInputMessage="1" showErrorMessage="1" sqref="E9773">
      <formula1>0</formula1>
    </dataValidation>
    <dataValidation type="whole" operator="greaterThan" allowBlank="1" showInputMessage="1" showErrorMessage="1" sqref="A9774">
      <formula1>0</formula1>
    </dataValidation>
    <dataValidation type="list" allowBlank="1" showInputMessage="1" showErrorMessage="1" sqref="C9774">
      <formula1>UnidadesList</formula1>
    </dataValidation>
    <dataValidation type="decimal" operator="greaterThan" allowBlank="1" showInputMessage="1" showErrorMessage="1" sqref="D9774">
      <formula1>0</formula1>
    </dataValidation>
    <dataValidation type="decimal" operator="greaterThan" allowBlank="1" showInputMessage="1" showErrorMessage="1" sqref="E9774">
      <formula1>0</formula1>
    </dataValidation>
    <dataValidation type="whole" operator="greaterThan" allowBlank="1" showInputMessage="1" showErrorMessage="1" sqref="A9775">
      <formula1>0</formula1>
    </dataValidation>
    <dataValidation type="list" allowBlank="1" showInputMessage="1" showErrorMessage="1" sqref="C9775">
      <formula1>UnidadesList</formula1>
    </dataValidation>
    <dataValidation type="decimal" operator="greaterThan" allowBlank="1" showInputMessage="1" showErrorMessage="1" sqref="D9775">
      <formula1>0</formula1>
    </dataValidation>
    <dataValidation type="decimal" operator="greaterThan" allowBlank="1" showInputMessage="1" showErrorMessage="1" sqref="E9775">
      <formula1>0</formula1>
    </dataValidation>
    <dataValidation type="whole" operator="greaterThan" allowBlank="1" showInputMessage="1" showErrorMessage="1" sqref="A9776">
      <formula1>0</formula1>
    </dataValidation>
    <dataValidation type="list" allowBlank="1" showInputMessage="1" showErrorMessage="1" sqref="C9776">
      <formula1>UnidadesList</formula1>
    </dataValidation>
    <dataValidation type="decimal" operator="greaterThan" allowBlank="1" showInputMessage="1" showErrorMessage="1" sqref="D9776">
      <formula1>0</formula1>
    </dataValidation>
    <dataValidation type="decimal" operator="greaterThan" allowBlank="1" showInputMessage="1" showErrorMessage="1" sqref="E9776">
      <formula1>0</formula1>
    </dataValidation>
    <dataValidation type="whole" operator="greaterThan" allowBlank="1" showInputMessage="1" showErrorMessage="1" sqref="A9777">
      <formula1>0</formula1>
    </dataValidation>
    <dataValidation type="list" allowBlank="1" showInputMessage="1" showErrorMessage="1" sqref="C9777">
      <formula1>UnidadesList</formula1>
    </dataValidation>
    <dataValidation type="decimal" operator="greaterThan" allowBlank="1" showInputMessage="1" showErrorMessage="1" sqref="D9777">
      <formula1>0</formula1>
    </dataValidation>
    <dataValidation type="decimal" operator="greaterThan" allowBlank="1" showInputMessage="1" showErrorMessage="1" sqref="E9777">
      <formula1>0</formula1>
    </dataValidation>
    <dataValidation type="whole" operator="greaterThan" allowBlank="1" showInputMessage="1" showErrorMessage="1" sqref="A9778">
      <formula1>0</formula1>
    </dataValidation>
    <dataValidation type="list" allowBlank="1" showInputMessage="1" showErrorMessage="1" sqref="C9778">
      <formula1>UnidadesList</formula1>
    </dataValidation>
    <dataValidation type="decimal" operator="greaterThan" allowBlank="1" showInputMessage="1" showErrorMessage="1" sqref="D9778">
      <formula1>0</formula1>
    </dataValidation>
    <dataValidation type="decimal" operator="greaterThan" allowBlank="1" showInputMessage="1" showErrorMessage="1" sqref="E9778">
      <formula1>0</formula1>
    </dataValidation>
    <dataValidation type="whole" operator="greaterThan" allowBlank="1" showInputMessage="1" showErrorMessage="1" sqref="A9779">
      <formula1>0</formula1>
    </dataValidation>
    <dataValidation type="list" allowBlank="1" showInputMessage="1" showErrorMessage="1" sqref="C9779">
      <formula1>UnidadesList</formula1>
    </dataValidation>
    <dataValidation type="decimal" operator="greaterThan" allowBlank="1" showInputMessage="1" showErrorMessage="1" sqref="D9779">
      <formula1>0</formula1>
    </dataValidation>
    <dataValidation type="decimal" operator="greaterThan" allowBlank="1" showInputMessage="1" showErrorMessage="1" sqref="E9779">
      <formula1>0</formula1>
    </dataValidation>
    <dataValidation type="whole" operator="greaterThan" allowBlank="1" showInputMessage="1" showErrorMessage="1" sqref="A9780">
      <formula1>0</formula1>
    </dataValidation>
    <dataValidation type="list" allowBlank="1" showInputMessage="1" showErrorMessage="1" sqref="C9780">
      <formula1>UnidadesList</formula1>
    </dataValidation>
    <dataValidation type="decimal" operator="greaterThan" allowBlank="1" showInputMessage="1" showErrorMessage="1" sqref="D9780">
      <formula1>0</formula1>
    </dataValidation>
    <dataValidation type="decimal" operator="greaterThan" allowBlank="1" showInputMessage="1" showErrorMessage="1" sqref="E9780">
      <formula1>0</formula1>
    </dataValidation>
    <dataValidation type="whole" operator="greaterThan" allowBlank="1" showInputMessage="1" showErrorMessage="1" sqref="A9781">
      <formula1>0</formula1>
    </dataValidation>
    <dataValidation type="list" allowBlank="1" showInputMessage="1" showErrorMessage="1" sqref="C9781">
      <formula1>UnidadesList</formula1>
    </dataValidation>
    <dataValidation type="decimal" operator="greaterThan" allowBlank="1" showInputMessage="1" showErrorMessage="1" sqref="D9781">
      <formula1>0</formula1>
    </dataValidation>
    <dataValidation type="decimal" operator="greaterThan" allowBlank="1" showInputMessage="1" showErrorMessage="1" sqref="E9781">
      <formula1>0</formula1>
    </dataValidation>
    <dataValidation type="whole" operator="greaterThan" allowBlank="1" showInputMessage="1" showErrorMessage="1" sqref="A9782">
      <formula1>0</formula1>
    </dataValidation>
    <dataValidation type="list" allowBlank="1" showInputMessage="1" showErrorMessage="1" sqref="C9782">
      <formula1>UnidadesList</formula1>
    </dataValidation>
    <dataValidation type="decimal" operator="greaterThan" allowBlank="1" showInputMessage="1" showErrorMessage="1" sqref="D9782">
      <formula1>0</formula1>
    </dataValidation>
    <dataValidation type="decimal" operator="greaterThan" allowBlank="1" showInputMessage="1" showErrorMessage="1" sqref="E9782">
      <formula1>0</formula1>
    </dataValidation>
    <dataValidation type="whole" operator="greaterThan" allowBlank="1" showInputMessage="1" showErrorMessage="1" sqref="A9783">
      <formula1>0</formula1>
    </dataValidation>
    <dataValidation type="list" allowBlank="1" showInputMessage="1" showErrorMessage="1" sqref="C9783">
      <formula1>UnidadesList</formula1>
    </dataValidation>
    <dataValidation type="decimal" operator="greaterThan" allowBlank="1" showInputMessage="1" showErrorMessage="1" sqref="D9783">
      <formula1>0</formula1>
    </dataValidation>
    <dataValidation type="decimal" operator="greaterThan" allowBlank="1" showInputMessage="1" showErrorMessage="1" sqref="E9783">
      <formula1>0</formula1>
    </dataValidation>
    <dataValidation type="whole" operator="greaterThan" allowBlank="1" showInputMessage="1" showErrorMessage="1" sqref="A9784">
      <formula1>0</formula1>
    </dataValidation>
    <dataValidation type="list" allowBlank="1" showInputMessage="1" showErrorMessage="1" sqref="C9784">
      <formula1>UnidadesList</formula1>
    </dataValidation>
    <dataValidation type="decimal" operator="greaterThan" allowBlank="1" showInputMessage="1" showErrorMessage="1" sqref="D9784">
      <formula1>0</formula1>
    </dataValidation>
    <dataValidation type="decimal" operator="greaterThan" allowBlank="1" showInputMessage="1" showErrorMessage="1" sqref="E9784">
      <formula1>0</formula1>
    </dataValidation>
    <dataValidation type="whole" operator="greaterThan" allowBlank="1" showInputMessage="1" showErrorMessage="1" sqref="A9785">
      <formula1>0</formula1>
    </dataValidation>
    <dataValidation type="list" allowBlank="1" showInputMessage="1" showErrorMessage="1" sqref="C9785">
      <formula1>UnidadesList</formula1>
    </dataValidation>
    <dataValidation type="decimal" operator="greaterThan" allowBlank="1" showInputMessage="1" showErrorMessage="1" sqref="D9785">
      <formula1>0</formula1>
    </dataValidation>
    <dataValidation type="decimal" operator="greaterThan" allowBlank="1" showInputMessage="1" showErrorMessage="1" sqref="E9785">
      <formula1>0</formula1>
    </dataValidation>
    <dataValidation type="whole" operator="greaterThan" allowBlank="1" showInputMessage="1" showErrorMessage="1" sqref="A9786">
      <formula1>0</formula1>
    </dataValidation>
    <dataValidation type="list" allowBlank="1" showInputMessage="1" showErrorMessage="1" sqref="C9786">
      <formula1>UnidadesList</formula1>
    </dataValidation>
    <dataValidation type="decimal" operator="greaterThan" allowBlank="1" showInputMessage="1" showErrorMessage="1" sqref="D9786">
      <formula1>0</formula1>
    </dataValidation>
    <dataValidation type="decimal" operator="greaterThan" allowBlank="1" showInputMessage="1" showErrorMessage="1" sqref="E9786">
      <formula1>0</formula1>
    </dataValidation>
    <dataValidation type="whole" operator="greaterThan" allowBlank="1" showInputMessage="1" showErrorMessage="1" sqref="A9787">
      <formula1>0</formula1>
    </dataValidation>
    <dataValidation type="list" allowBlank="1" showInputMessage="1" showErrorMessage="1" sqref="C9787">
      <formula1>UnidadesList</formula1>
    </dataValidation>
    <dataValidation type="decimal" operator="greaterThan" allowBlank="1" showInputMessage="1" showErrorMessage="1" sqref="D9787">
      <formula1>0</formula1>
    </dataValidation>
    <dataValidation type="decimal" operator="greaterThan" allowBlank="1" showInputMessage="1" showErrorMessage="1" sqref="E9787">
      <formula1>0</formula1>
    </dataValidation>
    <dataValidation type="whole" operator="greaterThan" allowBlank="1" showInputMessage="1" showErrorMessage="1" sqref="A9788">
      <formula1>0</formula1>
    </dataValidation>
    <dataValidation type="list" allowBlank="1" showInputMessage="1" showErrorMessage="1" sqref="C9788">
      <formula1>UnidadesList</formula1>
    </dataValidation>
    <dataValidation type="decimal" operator="greaterThan" allowBlank="1" showInputMessage="1" showErrorMessage="1" sqref="D9788">
      <formula1>0</formula1>
    </dataValidation>
    <dataValidation type="decimal" operator="greaterThan" allowBlank="1" showInputMessage="1" showErrorMessage="1" sqref="E9788">
      <formula1>0</formula1>
    </dataValidation>
    <dataValidation type="whole" operator="greaterThan" allowBlank="1" showInputMessage="1" showErrorMessage="1" sqref="A9789">
      <formula1>0</formula1>
    </dataValidation>
    <dataValidation type="list" allowBlank="1" showInputMessage="1" showErrorMessage="1" sqref="C9789">
      <formula1>UnidadesList</formula1>
    </dataValidation>
    <dataValidation type="decimal" operator="greaterThan" allowBlank="1" showInputMessage="1" showErrorMessage="1" sqref="D9789">
      <formula1>0</formula1>
    </dataValidation>
    <dataValidation type="decimal" operator="greaterThan" allowBlank="1" showInputMessage="1" showErrorMessage="1" sqref="E9789">
      <formula1>0</formula1>
    </dataValidation>
    <dataValidation type="whole" operator="greaterThan" allowBlank="1" showInputMessage="1" showErrorMessage="1" sqref="A9790">
      <formula1>0</formula1>
    </dataValidation>
    <dataValidation type="list" allowBlank="1" showInputMessage="1" showErrorMessage="1" sqref="C9790">
      <formula1>UnidadesList</formula1>
    </dataValidation>
    <dataValidation type="decimal" operator="greaterThan" allowBlank="1" showInputMessage="1" showErrorMessage="1" sqref="D9790">
      <formula1>0</formula1>
    </dataValidation>
    <dataValidation type="decimal" operator="greaterThan" allowBlank="1" showInputMessage="1" showErrorMessage="1" sqref="E9790">
      <formula1>0</formula1>
    </dataValidation>
    <dataValidation type="whole" operator="greaterThan" allowBlank="1" showInputMessage="1" showErrorMessage="1" sqref="A9791">
      <formula1>0</formula1>
    </dataValidation>
    <dataValidation type="list" allowBlank="1" showInputMessage="1" showErrorMessage="1" sqref="C9791">
      <formula1>UnidadesList</formula1>
    </dataValidation>
    <dataValidation type="decimal" operator="greaterThan" allowBlank="1" showInputMessage="1" showErrorMessage="1" sqref="D9791">
      <formula1>0</formula1>
    </dataValidation>
    <dataValidation type="decimal" operator="greaterThan" allowBlank="1" showInputMessage="1" showErrorMessage="1" sqref="E9791">
      <formula1>0</formula1>
    </dataValidation>
    <dataValidation type="whole" operator="greaterThan" allowBlank="1" showInputMessage="1" showErrorMessage="1" sqref="A9792">
      <formula1>0</formula1>
    </dataValidation>
    <dataValidation type="list" allowBlank="1" showInputMessage="1" showErrorMessage="1" sqref="C9792">
      <formula1>UnidadesList</formula1>
    </dataValidation>
    <dataValidation type="decimal" operator="greaterThan" allowBlank="1" showInputMessage="1" showErrorMessage="1" sqref="D9792">
      <formula1>0</formula1>
    </dataValidation>
    <dataValidation type="decimal" operator="greaterThan" allowBlank="1" showInputMessage="1" showErrorMessage="1" sqref="E9792">
      <formula1>0</formula1>
    </dataValidation>
    <dataValidation type="whole" operator="greaterThan" allowBlank="1" showInputMessage="1" showErrorMessage="1" sqref="A9793">
      <formula1>0</formula1>
    </dataValidation>
    <dataValidation type="list" allowBlank="1" showInputMessage="1" showErrorMessage="1" sqref="C9793">
      <formula1>UnidadesList</formula1>
    </dataValidation>
    <dataValidation type="decimal" operator="greaterThan" allowBlank="1" showInputMessage="1" showErrorMessage="1" sqref="D9793">
      <formula1>0</formula1>
    </dataValidation>
    <dataValidation type="decimal" operator="greaterThan" allowBlank="1" showInputMessage="1" showErrorMessage="1" sqref="E9793">
      <formula1>0</formula1>
    </dataValidation>
    <dataValidation type="date" operator="lessThanOrEqual" allowBlank="1" showInputMessage="1" showErrorMessage="1" sqref="C9798">
      <formula1>C9800</formula1>
    </dataValidation>
    <dataValidation type="date" operator="greaterThanOrEqual" allowBlank="1" showInputMessage="1" showErrorMessage="1" sqref="C9800">
      <formula1>C9798</formula1>
    </dataValidation>
    <dataValidation type="list" allowBlank="1" showInputMessage="1" showErrorMessage="1" sqref="F979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9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80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80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804">
      <formula1>0</formula1>
    </dataValidation>
    <dataValidation type="list" allowBlank="1" showInputMessage="1" showErrorMessage="1" sqref="C9804">
      <formula1>UnidadesList</formula1>
    </dataValidation>
    <dataValidation type="decimal" operator="greaterThan" allowBlank="1" showInputMessage="1" showErrorMessage="1" sqref="D9804">
      <formula1>0</formula1>
    </dataValidation>
    <dataValidation type="decimal" operator="greaterThan" allowBlank="1" showInputMessage="1" showErrorMessage="1" sqref="E9804">
      <formula1>0</formula1>
    </dataValidation>
    <dataValidation type="whole" operator="greaterThan" allowBlank="1" showInputMessage="1" showErrorMessage="1" sqref="A9805">
      <formula1>0</formula1>
    </dataValidation>
    <dataValidation type="list" allowBlank="1" showInputMessage="1" showErrorMessage="1" sqref="C9805">
      <formula1>UnidadesList</formula1>
    </dataValidation>
    <dataValidation type="decimal" operator="greaterThan" allowBlank="1" showInputMessage="1" showErrorMessage="1" sqref="D9805">
      <formula1>0</formula1>
    </dataValidation>
    <dataValidation type="decimal" operator="greaterThan" allowBlank="1" showInputMessage="1" showErrorMessage="1" sqref="E9805">
      <formula1>0</formula1>
    </dataValidation>
    <dataValidation type="whole" operator="greaterThan" allowBlank="1" showInputMessage="1" showErrorMessage="1" sqref="A9806">
      <formula1>0</formula1>
    </dataValidation>
    <dataValidation type="list" allowBlank="1" showInputMessage="1" showErrorMessage="1" sqref="C9806">
      <formula1>UnidadesList</formula1>
    </dataValidation>
    <dataValidation type="decimal" operator="greaterThan" allowBlank="1" showInputMessage="1" showErrorMessage="1" sqref="D9806">
      <formula1>0</formula1>
    </dataValidation>
    <dataValidation type="decimal" operator="greaterThan" allowBlank="1" showInputMessage="1" showErrorMessage="1" sqref="E9806">
      <formula1>0</formula1>
    </dataValidation>
    <dataValidation type="whole" operator="greaterThan" allowBlank="1" showInputMessage="1" showErrorMessage="1" sqref="A9807">
      <formula1>0</formula1>
    </dataValidation>
    <dataValidation type="list" allowBlank="1" showInputMessage="1" showErrorMessage="1" sqref="C9807">
      <formula1>UnidadesList</formula1>
    </dataValidation>
    <dataValidation type="decimal" operator="greaterThan" allowBlank="1" showInputMessage="1" showErrorMessage="1" sqref="D9807">
      <formula1>0</formula1>
    </dataValidation>
    <dataValidation type="decimal" operator="greaterThan" allowBlank="1" showInputMessage="1" showErrorMessage="1" sqref="E9807">
      <formula1>0</formula1>
    </dataValidation>
    <dataValidation type="whole" operator="greaterThan" allowBlank="1" showInputMessage="1" showErrorMessage="1" sqref="A9808">
      <formula1>0</formula1>
    </dataValidation>
    <dataValidation type="list" allowBlank="1" showInputMessage="1" showErrorMessage="1" sqref="C9808">
      <formula1>UnidadesList</formula1>
    </dataValidation>
    <dataValidation type="decimal" operator="greaterThan" allowBlank="1" showInputMessage="1" showErrorMessage="1" sqref="D9808">
      <formula1>0</formula1>
    </dataValidation>
    <dataValidation type="decimal" operator="greaterThan" allowBlank="1" showInputMessage="1" showErrorMessage="1" sqref="E9808">
      <formula1>0</formula1>
    </dataValidation>
    <dataValidation type="whole" operator="greaterThan" allowBlank="1" showInputMessage="1" showErrorMessage="1" sqref="A9809">
      <formula1>0</formula1>
    </dataValidation>
    <dataValidation type="list" allowBlank="1" showInputMessage="1" showErrorMessage="1" sqref="C9809">
      <formula1>UnidadesList</formula1>
    </dataValidation>
    <dataValidation type="decimal" operator="greaterThan" allowBlank="1" showInputMessage="1" showErrorMessage="1" sqref="D9809">
      <formula1>0</formula1>
    </dataValidation>
    <dataValidation type="decimal" operator="greaterThan" allowBlank="1" showInputMessage="1" showErrorMessage="1" sqref="E9809">
      <formula1>0</formula1>
    </dataValidation>
    <dataValidation type="whole" operator="greaterThan" allowBlank="1" showInputMessage="1" showErrorMessage="1" sqref="A9810">
      <formula1>0</formula1>
    </dataValidation>
    <dataValidation type="list" allowBlank="1" showInputMessage="1" showErrorMessage="1" sqref="C9810">
      <formula1>UnidadesList</formula1>
    </dataValidation>
    <dataValidation type="decimal" operator="greaterThan" allowBlank="1" showInputMessage="1" showErrorMessage="1" sqref="D9810">
      <formula1>0</formula1>
    </dataValidation>
    <dataValidation type="decimal" operator="greaterThan" allowBlank="1" showInputMessage="1" showErrorMessage="1" sqref="E9810">
      <formula1>0</formula1>
    </dataValidation>
    <dataValidation type="whole" operator="greaterThan" allowBlank="1" showInputMessage="1" showErrorMessage="1" sqref="A9811">
      <formula1>0</formula1>
    </dataValidation>
    <dataValidation type="list" allowBlank="1" showInputMessage="1" showErrorMessage="1" sqref="C9811">
      <formula1>UnidadesList</formula1>
    </dataValidation>
    <dataValidation type="decimal" operator="greaterThan" allowBlank="1" showInputMessage="1" showErrorMessage="1" sqref="D9811">
      <formula1>0</formula1>
    </dataValidation>
    <dataValidation type="decimal" operator="greaterThan" allowBlank="1" showInputMessage="1" showErrorMessage="1" sqref="E9811">
      <formula1>0</formula1>
    </dataValidation>
    <dataValidation type="whole" operator="greaterThan" allowBlank="1" showInputMessage="1" showErrorMessage="1" sqref="A9812">
      <formula1>0</formula1>
    </dataValidation>
    <dataValidation type="list" allowBlank="1" showInputMessage="1" showErrorMessage="1" sqref="C9812">
      <formula1>UnidadesList</formula1>
    </dataValidation>
    <dataValidation type="decimal" operator="greaterThan" allowBlank="1" showInputMessage="1" showErrorMessage="1" sqref="D9812">
      <formula1>0</formula1>
    </dataValidation>
    <dataValidation type="decimal" operator="greaterThan" allowBlank="1" showInputMessage="1" showErrorMessage="1" sqref="E9812">
      <formula1>0</formula1>
    </dataValidation>
    <dataValidation type="whole" operator="greaterThan" allowBlank="1" showInputMessage="1" showErrorMessage="1" sqref="A9813">
      <formula1>0</formula1>
    </dataValidation>
    <dataValidation type="list" allowBlank="1" showInputMessage="1" showErrorMessage="1" sqref="C9813">
      <formula1>UnidadesList</formula1>
    </dataValidation>
    <dataValidation type="decimal" operator="greaterThan" allowBlank="1" showInputMessage="1" showErrorMessage="1" sqref="D9813">
      <formula1>0</formula1>
    </dataValidation>
    <dataValidation type="decimal" operator="greaterThan" allowBlank="1" showInputMessage="1" showErrorMessage="1" sqref="E9813">
      <formula1>0</formula1>
    </dataValidation>
    <dataValidation type="whole" operator="greaterThan" allowBlank="1" showInputMessage="1" showErrorMessage="1" sqref="A9814">
      <formula1>0</formula1>
    </dataValidation>
    <dataValidation type="list" allowBlank="1" showInputMessage="1" showErrorMessage="1" sqref="C9814">
      <formula1>UnidadesList</formula1>
    </dataValidation>
    <dataValidation type="decimal" operator="greaterThan" allowBlank="1" showInputMessage="1" showErrorMessage="1" sqref="D9814">
      <formula1>0</formula1>
    </dataValidation>
    <dataValidation type="decimal" operator="greaterThan" allowBlank="1" showInputMessage="1" showErrorMessage="1" sqref="E9814">
      <formula1>0</formula1>
    </dataValidation>
    <dataValidation type="whole" operator="greaterThan" allowBlank="1" showInputMessage="1" showErrorMessage="1" sqref="A9815">
      <formula1>0</formula1>
    </dataValidation>
    <dataValidation type="list" allowBlank="1" showInputMessage="1" showErrorMessage="1" sqref="C9815">
      <formula1>UnidadesList</formula1>
    </dataValidation>
    <dataValidation type="decimal" operator="greaterThan" allowBlank="1" showInputMessage="1" showErrorMessage="1" sqref="D9815">
      <formula1>0</formula1>
    </dataValidation>
    <dataValidation type="decimal" operator="greaterThan" allowBlank="1" showInputMessage="1" showErrorMessage="1" sqref="E9815">
      <formula1>0</formula1>
    </dataValidation>
    <dataValidation type="whole" operator="greaterThan" allowBlank="1" showInputMessage="1" showErrorMessage="1" sqref="A9816">
      <formula1>0</formula1>
    </dataValidation>
    <dataValidation type="list" allowBlank="1" showInputMessage="1" showErrorMessage="1" sqref="C9816">
      <formula1>UnidadesList</formula1>
    </dataValidation>
    <dataValidation type="decimal" operator="greaterThan" allowBlank="1" showInputMessage="1" showErrorMessage="1" sqref="D9816">
      <formula1>0</formula1>
    </dataValidation>
    <dataValidation type="decimal" operator="greaterThan" allowBlank="1" showInputMessage="1" showErrorMessage="1" sqref="E9816">
      <formula1>0</formula1>
    </dataValidation>
    <dataValidation type="whole" operator="greaterThan" allowBlank="1" showInputMessage="1" showErrorMessage="1" sqref="A9817">
      <formula1>0</formula1>
    </dataValidation>
    <dataValidation type="list" allowBlank="1" showInputMessage="1" showErrorMessage="1" sqref="C9817">
      <formula1>UnidadesList</formula1>
    </dataValidation>
    <dataValidation type="decimal" operator="greaterThan" allowBlank="1" showInputMessage="1" showErrorMessage="1" sqref="D9817">
      <formula1>0</formula1>
    </dataValidation>
    <dataValidation type="decimal" operator="greaterThan" allowBlank="1" showInputMessage="1" showErrorMessage="1" sqref="E9817">
      <formula1>0</formula1>
    </dataValidation>
    <dataValidation type="whole" operator="greaterThan" allowBlank="1" showInputMessage="1" showErrorMessage="1" sqref="A9818">
      <formula1>0</formula1>
    </dataValidation>
    <dataValidation type="list" allowBlank="1" showInputMessage="1" showErrorMessage="1" sqref="C9818">
      <formula1>UnidadesList</formula1>
    </dataValidation>
    <dataValidation type="decimal" operator="greaterThan" allowBlank="1" showInputMessage="1" showErrorMessage="1" sqref="D9818">
      <formula1>0</formula1>
    </dataValidation>
    <dataValidation type="decimal" operator="greaterThan" allowBlank="1" showInputMessage="1" showErrorMessage="1" sqref="E9818">
      <formula1>0</formula1>
    </dataValidation>
    <dataValidation type="whole" operator="greaterThan" allowBlank="1" showInputMessage="1" showErrorMessage="1" sqref="A9819">
      <formula1>0</formula1>
    </dataValidation>
    <dataValidation type="list" allowBlank="1" showInputMessage="1" showErrorMessage="1" sqref="C9819">
      <formula1>UnidadesList</formula1>
    </dataValidation>
    <dataValidation type="decimal" operator="greaterThan" allowBlank="1" showInputMessage="1" showErrorMessage="1" sqref="D9819">
      <formula1>0</formula1>
    </dataValidation>
    <dataValidation type="decimal" operator="greaterThan" allowBlank="1" showInputMessage="1" showErrorMessage="1" sqref="E9819">
      <formula1>0</formula1>
    </dataValidation>
    <dataValidation type="whole" operator="greaterThan" allowBlank="1" showInputMessage="1" showErrorMessage="1" sqref="A9820">
      <formula1>0</formula1>
    </dataValidation>
    <dataValidation type="list" allowBlank="1" showInputMessage="1" showErrorMessage="1" sqref="C9820">
      <formula1>UnidadesList</formula1>
    </dataValidation>
    <dataValidation type="decimal" operator="greaterThan" allowBlank="1" showInputMessage="1" showErrorMessage="1" sqref="D9820">
      <formula1>0</formula1>
    </dataValidation>
    <dataValidation type="decimal" operator="greaterThan" allowBlank="1" showInputMessage="1" showErrorMessage="1" sqref="E9820">
      <formula1>0</formula1>
    </dataValidation>
    <dataValidation type="whole" operator="greaterThan" allowBlank="1" showInputMessage="1" showErrorMessage="1" sqref="A9821">
      <formula1>0</formula1>
    </dataValidation>
    <dataValidation type="list" allowBlank="1" showInputMessage="1" showErrorMessage="1" sqref="C9821">
      <formula1>UnidadesList</formula1>
    </dataValidation>
    <dataValidation type="decimal" operator="greaterThan" allowBlank="1" showInputMessage="1" showErrorMessage="1" sqref="D9821">
      <formula1>0</formula1>
    </dataValidation>
    <dataValidation type="decimal" operator="greaterThan" allowBlank="1" showInputMessage="1" showErrorMessage="1" sqref="E9821">
      <formula1>0</formula1>
    </dataValidation>
    <dataValidation type="whole" operator="greaterThan" allowBlank="1" showInputMessage="1" showErrorMessage="1" sqref="A9822">
      <formula1>0</formula1>
    </dataValidation>
    <dataValidation type="list" allowBlank="1" showInputMessage="1" showErrorMessage="1" sqref="C9822">
      <formula1>UnidadesList</formula1>
    </dataValidation>
    <dataValidation type="decimal" operator="greaterThan" allowBlank="1" showInputMessage="1" showErrorMessage="1" sqref="D9822">
      <formula1>0</formula1>
    </dataValidation>
    <dataValidation type="decimal" operator="greaterThan" allowBlank="1" showInputMessage="1" showErrorMessage="1" sqref="E9822">
      <formula1>0</formula1>
    </dataValidation>
    <dataValidation type="whole" operator="greaterThan" allowBlank="1" showInputMessage="1" showErrorMessage="1" sqref="A9823">
      <formula1>0</formula1>
    </dataValidation>
    <dataValidation type="list" allowBlank="1" showInputMessage="1" showErrorMessage="1" sqref="C9823">
      <formula1>UnidadesList</formula1>
    </dataValidation>
    <dataValidation type="decimal" operator="greaterThan" allowBlank="1" showInputMessage="1" showErrorMessage="1" sqref="D9823">
      <formula1>0</formula1>
    </dataValidation>
    <dataValidation type="decimal" operator="greaterThan" allowBlank="1" showInputMessage="1" showErrorMessage="1" sqref="E9823">
      <formula1>0</formula1>
    </dataValidation>
    <dataValidation type="whole" operator="greaterThan" allowBlank="1" showInputMessage="1" showErrorMessage="1" sqref="A9824">
      <formula1>0</formula1>
    </dataValidation>
    <dataValidation type="list" allowBlank="1" showInputMessage="1" showErrorMessage="1" sqref="C9824">
      <formula1>UnidadesList</formula1>
    </dataValidation>
    <dataValidation type="decimal" operator="greaterThan" allowBlank="1" showInputMessage="1" showErrorMessage="1" sqref="D9824">
      <formula1>0</formula1>
    </dataValidation>
    <dataValidation type="decimal" operator="greaterThan" allowBlank="1" showInputMessage="1" showErrorMessage="1" sqref="E9824">
      <formula1>0</formula1>
    </dataValidation>
    <dataValidation type="whole" operator="greaterThan" allowBlank="1" showInputMessage="1" showErrorMessage="1" sqref="A9825">
      <formula1>0</formula1>
    </dataValidation>
    <dataValidation type="list" allowBlank="1" showInputMessage="1" showErrorMessage="1" sqref="C9825">
      <formula1>UnidadesList</formula1>
    </dataValidation>
    <dataValidation type="decimal" operator="greaterThan" allowBlank="1" showInputMessage="1" showErrorMessage="1" sqref="D9825">
      <formula1>0</formula1>
    </dataValidation>
    <dataValidation type="decimal" operator="greaterThan" allowBlank="1" showInputMessage="1" showErrorMessage="1" sqref="E9825">
      <formula1>0</formula1>
    </dataValidation>
    <dataValidation type="whole" operator="greaterThan" allowBlank="1" showInputMessage="1" showErrorMessage="1" sqref="A9826">
      <formula1>0</formula1>
    </dataValidation>
    <dataValidation type="list" allowBlank="1" showInputMessage="1" showErrorMessage="1" sqref="C9826">
      <formula1>UnidadesList</formula1>
    </dataValidation>
    <dataValidation type="decimal" operator="greaterThan" allowBlank="1" showInputMessage="1" showErrorMessage="1" sqref="D9826">
      <formula1>0</formula1>
    </dataValidation>
    <dataValidation type="decimal" operator="greaterThan" allowBlank="1" showInputMessage="1" showErrorMessage="1" sqref="E9826">
      <formula1>0</formula1>
    </dataValidation>
    <dataValidation type="whole" operator="greaterThan" allowBlank="1" showInputMessage="1" showErrorMessage="1" sqref="A9827">
      <formula1>0</formula1>
    </dataValidation>
    <dataValidation type="list" allowBlank="1" showInputMessage="1" showErrorMessage="1" sqref="C9827">
      <formula1>UnidadesList</formula1>
    </dataValidation>
    <dataValidation type="decimal" operator="greaterThan" allowBlank="1" showInputMessage="1" showErrorMessage="1" sqref="D9827">
      <formula1>0</formula1>
    </dataValidation>
    <dataValidation type="decimal" operator="greaterThan" allowBlank="1" showInputMessage="1" showErrorMessage="1" sqref="E9827">
      <formula1>0</formula1>
    </dataValidation>
    <dataValidation type="whole" operator="greaterThan" allowBlank="1" showInputMessage="1" showErrorMessage="1" sqref="A9828">
      <formula1>0</formula1>
    </dataValidation>
    <dataValidation type="list" allowBlank="1" showInputMessage="1" showErrorMessage="1" sqref="C9828">
      <formula1>UnidadesList</formula1>
    </dataValidation>
    <dataValidation type="decimal" operator="greaterThan" allowBlank="1" showInputMessage="1" showErrorMessage="1" sqref="D9828">
      <formula1>0</formula1>
    </dataValidation>
    <dataValidation type="decimal" operator="greaterThan" allowBlank="1" showInputMessage="1" showErrorMessage="1" sqref="E9828">
      <formula1>0</formula1>
    </dataValidation>
    <dataValidation type="whole" operator="greaterThan" allowBlank="1" showInputMessage="1" showErrorMessage="1" sqref="A9829">
      <formula1>0</formula1>
    </dataValidation>
    <dataValidation type="list" allowBlank="1" showInputMessage="1" showErrorMessage="1" sqref="C9829">
      <formula1>UnidadesList</formula1>
    </dataValidation>
    <dataValidation type="decimal" operator="greaterThan" allowBlank="1" showInputMessage="1" showErrorMessage="1" sqref="D9829">
      <formula1>0</formula1>
    </dataValidation>
    <dataValidation type="decimal" operator="greaterThan" allowBlank="1" showInputMessage="1" showErrorMessage="1" sqref="E9829">
      <formula1>0</formula1>
    </dataValidation>
    <dataValidation type="whole" operator="greaterThan" allowBlank="1" showInputMessage="1" showErrorMessage="1" sqref="A9830">
      <formula1>0</formula1>
    </dataValidation>
    <dataValidation type="list" allowBlank="1" showInputMessage="1" showErrorMessage="1" sqref="C9830">
      <formula1>UnidadesList</formula1>
    </dataValidation>
    <dataValidation type="decimal" operator="greaterThan" allowBlank="1" showInputMessage="1" showErrorMessage="1" sqref="D9830">
      <formula1>0</formula1>
    </dataValidation>
    <dataValidation type="decimal" operator="greaterThan" allowBlank="1" showInputMessage="1" showErrorMessage="1" sqref="E9830">
      <formula1>0</formula1>
    </dataValidation>
    <dataValidation type="whole" operator="greaterThan" allowBlank="1" showInputMessage="1" showErrorMessage="1" sqref="A9831">
      <formula1>0</formula1>
    </dataValidation>
    <dataValidation type="list" allowBlank="1" showInputMessage="1" showErrorMessage="1" sqref="C9831">
      <formula1>UnidadesList</formula1>
    </dataValidation>
    <dataValidation type="decimal" operator="greaterThan" allowBlank="1" showInputMessage="1" showErrorMessage="1" sqref="D9831">
      <formula1>0</formula1>
    </dataValidation>
    <dataValidation type="decimal" operator="greaterThan" allowBlank="1" showInputMessage="1" showErrorMessage="1" sqref="E9831">
      <formula1>0</formula1>
    </dataValidation>
    <dataValidation type="whole" operator="greaterThan" allowBlank="1" showInputMessage="1" showErrorMessage="1" sqref="A9832">
      <formula1>0</formula1>
    </dataValidation>
    <dataValidation type="list" allowBlank="1" showInputMessage="1" showErrorMessage="1" sqref="C9832">
      <formula1>UnidadesList</formula1>
    </dataValidation>
    <dataValidation type="decimal" operator="greaterThan" allowBlank="1" showInputMessage="1" showErrorMessage="1" sqref="D9832">
      <formula1>0</formula1>
    </dataValidation>
    <dataValidation type="decimal" operator="greaterThan" allowBlank="1" showInputMessage="1" showErrorMessage="1" sqref="E9832">
      <formula1>0</formula1>
    </dataValidation>
    <dataValidation type="whole" operator="greaterThan" allowBlank="1" showInputMessage="1" showErrorMessage="1" sqref="A9833">
      <formula1>0</formula1>
    </dataValidation>
    <dataValidation type="list" allowBlank="1" showInputMessage="1" showErrorMessage="1" sqref="C9833">
      <formula1>UnidadesList</formula1>
    </dataValidation>
    <dataValidation type="decimal" operator="greaterThan" allowBlank="1" showInputMessage="1" showErrorMessage="1" sqref="D9833">
      <formula1>0</formula1>
    </dataValidation>
    <dataValidation type="decimal" operator="greaterThan" allowBlank="1" showInputMessage="1" showErrorMessage="1" sqref="E9833">
      <formula1>0</formula1>
    </dataValidation>
    <dataValidation type="whole" operator="greaterThan" allowBlank="1" showInputMessage="1" showErrorMessage="1" sqref="A9834">
      <formula1>0</formula1>
    </dataValidation>
    <dataValidation type="list" allowBlank="1" showInputMessage="1" showErrorMessage="1" sqref="C9834">
      <formula1>UnidadesList</formula1>
    </dataValidation>
    <dataValidation type="decimal" operator="greaterThan" allowBlank="1" showInputMessage="1" showErrorMessage="1" sqref="D9834">
      <formula1>0</formula1>
    </dataValidation>
    <dataValidation type="decimal" operator="greaterThan" allowBlank="1" showInputMessage="1" showErrorMessage="1" sqref="E9834">
      <formula1>0</formula1>
    </dataValidation>
    <dataValidation type="whole" operator="greaterThan" allowBlank="1" showInputMessage="1" showErrorMessage="1" sqref="A9835">
      <formula1>0</formula1>
    </dataValidation>
    <dataValidation type="list" allowBlank="1" showInputMessage="1" showErrorMessage="1" sqref="C9835">
      <formula1>UnidadesList</formula1>
    </dataValidation>
    <dataValidation type="decimal" operator="greaterThan" allowBlank="1" showInputMessage="1" showErrorMessage="1" sqref="D9835">
      <formula1>0</formula1>
    </dataValidation>
    <dataValidation type="decimal" operator="greaterThan" allowBlank="1" showInputMessage="1" showErrorMessage="1" sqref="E9835">
      <formula1>0</formula1>
    </dataValidation>
    <dataValidation type="whole" operator="greaterThan" allowBlank="1" showInputMessage="1" showErrorMessage="1" sqref="A9836">
      <formula1>0</formula1>
    </dataValidation>
    <dataValidation type="list" allowBlank="1" showInputMessage="1" showErrorMessage="1" sqref="C9836">
      <formula1>UnidadesList</formula1>
    </dataValidation>
    <dataValidation type="decimal" operator="greaterThan" allowBlank="1" showInputMessage="1" showErrorMessage="1" sqref="D9836">
      <formula1>0</formula1>
    </dataValidation>
    <dataValidation type="decimal" operator="greaterThan" allowBlank="1" showInputMessage="1" showErrorMessage="1" sqref="E9836">
      <formula1>0</formula1>
    </dataValidation>
    <dataValidation type="whole" operator="greaterThan" allowBlank="1" showInputMessage="1" showErrorMessage="1" sqref="A9837">
      <formula1>0</formula1>
    </dataValidation>
    <dataValidation type="list" allowBlank="1" showInputMessage="1" showErrorMessage="1" sqref="C9837">
      <formula1>UnidadesList</formula1>
    </dataValidation>
    <dataValidation type="decimal" operator="greaterThan" allowBlank="1" showInputMessage="1" showErrorMessage="1" sqref="D9837">
      <formula1>0</formula1>
    </dataValidation>
    <dataValidation type="decimal" operator="greaterThan" allowBlank="1" showInputMessage="1" showErrorMessage="1" sqref="E9837">
      <formula1>0</formula1>
    </dataValidation>
    <dataValidation type="whole" operator="greaterThan" allowBlank="1" showInputMessage="1" showErrorMessage="1" sqref="A9838">
      <formula1>0</formula1>
    </dataValidation>
    <dataValidation type="list" allowBlank="1" showInputMessage="1" showErrorMessage="1" sqref="C9838">
      <formula1>UnidadesList</formula1>
    </dataValidation>
    <dataValidation type="decimal" operator="greaterThan" allowBlank="1" showInputMessage="1" showErrorMessage="1" sqref="D9838">
      <formula1>0</formula1>
    </dataValidation>
    <dataValidation type="decimal" operator="greaterThan" allowBlank="1" showInputMessage="1" showErrorMessage="1" sqref="E9838">
      <formula1>0</formula1>
    </dataValidation>
    <dataValidation type="whole" operator="greaterThan" allowBlank="1" showInputMessage="1" showErrorMessage="1" sqref="A9839">
      <formula1>0</formula1>
    </dataValidation>
    <dataValidation type="list" allowBlank="1" showInputMessage="1" showErrorMessage="1" sqref="C9839">
      <formula1>UnidadesList</formula1>
    </dataValidation>
    <dataValidation type="decimal" operator="greaterThan" allowBlank="1" showInputMessage="1" showErrorMessage="1" sqref="D9839">
      <formula1>0</formula1>
    </dataValidation>
    <dataValidation type="decimal" operator="greaterThan" allowBlank="1" showInputMessage="1" showErrorMessage="1" sqref="E9839">
      <formula1>0</formula1>
    </dataValidation>
    <dataValidation type="whole" operator="greaterThan" allowBlank="1" showInputMessage="1" showErrorMessage="1" sqref="A9840">
      <formula1>0</formula1>
    </dataValidation>
    <dataValidation type="list" allowBlank="1" showInputMessage="1" showErrorMessage="1" sqref="C9840">
      <formula1>UnidadesList</formula1>
    </dataValidation>
    <dataValidation type="decimal" operator="greaterThan" allowBlank="1" showInputMessage="1" showErrorMessage="1" sqref="D9840">
      <formula1>0</formula1>
    </dataValidation>
    <dataValidation type="decimal" operator="greaterThan" allowBlank="1" showInputMessage="1" showErrorMessage="1" sqref="E9840">
      <formula1>0</formula1>
    </dataValidation>
    <dataValidation type="whole" operator="greaterThan" allowBlank="1" showInputMessage="1" showErrorMessage="1" sqref="A9841">
      <formula1>0</formula1>
    </dataValidation>
    <dataValidation type="list" allowBlank="1" showInputMessage="1" showErrorMessage="1" sqref="C9841">
      <formula1>UnidadesList</formula1>
    </dataValidation>
    <dataValidation type="decimal" operator="greaterThan" allowBlank="1" showInputMessage="1" showErrorMessage="1" sqref="D9841">
      <formula1>0</formula1>
    </dataValidation>
    <dataValidation type="decimal" operator="greaterThan" allowBlank="1" showInputMessage="1" showErrorMessage="1" sqref="E9841">
      <formula1>0</formula1>
    </dataValidation>
    <dataValidation type="whole" operator="greaterThan" allowBlank="1" showInputMessage="1" showErrorMessage="1" sqref="A9842">
      <formula1>0</formula1>
    </dataValidation>
    <dataValidation type="list" allowBlank="1" showInputMessage="1" showErrorMessage="1" sqref="C9842">
      <formula1>UnidadesList</formula1>
    </dataValidation>
    <dataValidation type="decimal" operator="greaterThan" allowBlank="1" showInputMessage="1" showErrorMessage="1" sqref="D9842">
      <formula1>0</formula1>
    </dataValidation>
    <dataValidation type="decimal" operator="greaterThan" allowBlank="1" showInputMessage="1" showErrorMessage="1" sqref="E9842">
      <formula1>0</formula1>
    </dataValidation>
    <dataValidation type="whole" operator="greaterThan" allowBlank="1" showInputMessage="1" showErrorMessage="1" sqref="A9843">
      <formula1>0</formula1>
    </dataValidation>
    <dataValidation type="list" allowBlank="1" showInputMessage="1" showErrorMessage="1" sqref="C9843">
      <formula1>UnidadesList</formula1>
    </dataValidation>
    <dataValidation type="decimal" operator="greaterThan" allowBlank="1" showInputMessage="1" showErrorMessage="1" sqref="D9843">
      <formula1>0</formula1>
    </dataValidation>
    <dataValidation type="decimal" operator="greaterThan" allowBlank="1" showInputMessage="1" showErrorMessage="1" sqref="E9843">
      <formula1>0</formula1>
    </dataValidation>
    <dataValidation type="whole" operator="greaterThan" allowBlank="1" showInputMessage="1" showErrorMessage="1" sqref="A9844">
      <formula1>0</formula1>
    </dataValidation>
    <dataValidation type="list" allowBlank="1" showInputMessage="1" showErrorMessage="1" sqref="C9844">
      <formula1>UnidadesList</formula1>
    </dataValidation>
    <dataValidation type="decimal" operator="greaterThan" allowBlank="1" showInputMessage="1" showErrorMessage="1" sqref="D9844">
      <formula1>0</formula1>
    </dataValidation>
    <dataValidation type="decimal" operator="greaterThan" allowBlank="1" showInputMessage="1" showErrorMessage="1" sqref="E9844">
      <formula1>0</formula1>
    </dataValidation>
    <dataValidation type="whole" operator="greaterThan" allowBlank="1" showInputMessage="1" showErrorMessage="1" sqref="A9845">
      <formula1>0</formula1>
    </dataValidation>
    <dataValidation type="list" allowBlank="1" showInputMessage="1" showErrorMessage="1" sqref="C9845">
      <formula1>UnidadesList</formula1>
    </dataValidation>
    <dataValidation type="decimal" operator="greaterThan" allowBlank="1" showInputMessage="1" showErrorMessage="1" sqref="D9845">
      <formula1>0</formula1>
    </dataValidation>
    <dataValidation type="decimal" operator="greaterThan" allowBlank="1" showInputMessage="1" showErrorMessage="1" sqref="E9845">
      <formula1>0</formula1>
    </dataValidation>
    <dataValidation type="whole" operator="greaterThan" allowBlank="1" showInputMessage="1" showErrorMessage="1" sqref="A9846">
      <formula1>0</formula1>
    </dataValidation>
    <dataValidation type="list" allowBlank="1" showInputMessage="1" showErrorMessage="1" sqref="C9846">
      <formula1>UnidadesList</formula1>
    </dataValidation>
    <dataValidation type="decimal" operator="greaterThan" allowBlank="1" showInputMessage="1" showErrorMessage="1" sqref="D9846">
      <formula1>0</formula1>
    </dataValidation>
    <dataValidation type="decimal" operator="greaterThan" allowBlank="1" showInputMessage="1" showErrorMessage="1" sqref="E9846">
      <formula1>0</formula1>
    </dataValidation>
    <dataValidation type="whole" operator="greaterThan" allowBlank="1" showInputMessage="1" showErrorMessage="1" sqref="A9847">
      <formula1>0</formula1>
    </dataValidation>
    <dataValidation type="list" allowBlank="1" showInputMessage="1" showErrorMessage="1" sqref="C9847">
      <formula1>UnidadesList</formula1>
    </dataValidation>
    <dataValidation type="decimal" operator="greaterThan" allowBlank="1" showInputMessage="1" showErrorMessage="1" sqref="D9847">
      <formula1>0</formula1>
    </dataValidation>
    <dataValidation type="decimal" operator="greaterThan" allowBlank="1" showInputMessage="1" showErrorMessage="1" sqref="E9847">
      <formula1>0</formula1>
    </dataValidation>
    <dataValidation type="whole" operator="greaterThan" allowBlank="1" showInputMessage="1" showErrorMessage="1" sqref="A9848">
      <formula1>0</formula1>
    </dataValidation>
    <dataValidation type="list" allowBlank="1" showInputMessage="1" showErrorMessage="1" sqref="C9848">
      <formula1>UnidadesList</formula1>
    </dataValidation>
    <dataValidation type="decimal" operator="greaterThan" allowBlank="1" showInputMessage="1" showErrorMessage="1" sqref="D9848">
      <formula1>0</formula1>
    </dataValidation>
    <dataValidation type="decimal" operator="greaterThan" allowBlank="1" showInputMessage="1" showErrorMessage="1" sqref="E9848">
      <formula1>0</formula1>
    </dataValidation>
    <dataValidation type="whole" operator="greaterThan" allowBlank="1" showInputMessage="1" showErrorMessage="1" sqref="A9849">
      <formula1>0</formula1>
    </dataValidation>
    <dataValidation type="list" allowBlank="1" showInputMessage="1" showErrorMessage="1" sqref="C9849">
      <formula1>UnidadesList</formula1>
    </dataValidation>
    <dataValidation type="decimal" operator="greaterThan" allowBlank="1" showInputMessage="1" showErrorMessage="1" sqref="D9849">
      <formula1>0</formula1>
    </dataValidation>
    <dataValidation type="decimal" operator="greaterThan" allowBlank="1" showInputMessage="1" showErrorMessage="1" sqref="E9849">
      <formula1>0</formula1>
    </dataValidation>
    <dataValidation type="whole" operator="greaterThan" allowBlank="1" showInputMessage="1" showErrorMessage="1" sqref="A9850">
      <formula1>0</formula1>
    </dataValidation>
    <dataValidation type="list" allowBlank="1" showInputMessage="1" showErrorMessage="1" sqref="C9850">
      <formula1>UnidadesList</formula1>
    </dataValidation>
    <dataValidation type="decimal" operator="greaterThan" allowBlank="1" showInputMessage="1" showErrorMessage="1" sqref="D9850">
      <formula1>0</formula1>
    </dataValidation>
    <dataValidation type="decimal" operator="greaterThan" allowBlank="1" showInputMessage="1" showErrorMessage="1" sqref="E9850">
      <formula1>0</formula1>
    </dataValidation>
    <dataValidation type="whole" operator="greaterThan" allowBlank="1" showInputMessage="1" showErrorMessage="1" sqref="A9851">
      <formula1>0</formula1>
    </dataValidation>
    <dataValidation type="list" allowBlank="1" showInputMessage="1" showErrorMessage="1" sqref="C9851">
      <formula1>UnidadesList</formula1>
    </dataValidation>
    <dataValidation type="decimal" operator="greaterThan" allowBlank="1" showInputMessage="1" showErrorMessage="1" sqref="D9851">
      <formula1>0</formula1>
    </dataValidation>
    <dataValidation type="decimal" operator="greaterThan" allowBlank="1" showInputMessage="1" showErrorMessage="1" sqref="E9851">
      <formula1>0</formula1>
    </dataValidation>
    <dataValidation type="whole" operator="greaterThan" allowBlank="1" showInputMessage="1" showErrorMessage="1" sqref="A9852">
      <formula1>0</formula1>
    </dataValidation>
    <dataValidation type="list" allowBlank="1" showInputMessage="1" showErrorMessage="1" sqref="C9852">
      <formula1>UnidadesList</formula1>
    </dataValidation>
    <dataValidation type="decimal" operator="greaterThan" allowBlank="1" showInputMessage="1" showErrorMessage="1" sqref="D9852">
      <formula1>0</formula1>
    </dataValidation>
    <dataValidation type="decimal" operator="greaterThan" allowBlank="1" showInputMessage="1" showErrorMessage="1" sqref="E9852">
      <formula1>0</formula1>
    </dataValidation>
    <dataValidation type="whole" operator="greaterThan" allowBlank="1" showInputMessage="1" showErrorMessage="1" sqref="A9853">
      <formula1>0</formula1>
    </dataValidation>
    <dataValidation type="list" allowBlank="1" showInputMessage="1" showErrorMessage="1" sqref="C9853">
      <formula1>UnidadesList</formula1>
    </dataValidation>
    <dataValidation type="decimal" operator="greaterThan" allowBlank="1" showInputMessage="1" showErrorMessage="1" sqref="D9853">
      <formula1>0</formula1>
    </dataValidation>
    <dataValidation type="decimal" operator="greaterThan" allowBlank="1" showInputMessage="1" showErrorMessage="1" sqref="E9853">
      <formula1>0</formula1>
    </dataValidation>
    <dataValidation type="whole" operator="greaterThan" allowBlank="1" showInputMessage="1" showErrorMessage="1" sqref="A9854">
      <formula1>0</formula1>
    </dataValidation>
    <dataValidation type="list" allowBlank="1" showInputMessage="1" showErrorMessage="1" sqref="C9854">
      <formula1>UnidadesList</formula1>
    </dataValidation>
    <dataValidation type="decimal" operator="greaterThan" allowBlank="1" showInputMessage="1" showErrorMessage="1" sqref="D9854">
      <formula1>0</formula1>
    </dataValidation>
    <dataValidation type="decimal" operator="greaterThan" allowBlank="1" showInputMessage="1" showErrorMessage="1" sqref="E9854">
      <formula1>0</formula1>
    </dataValidation>
    <dataValidation type="whole" operator="greaterThan" allowBlank="1" showInputMessage="1" showErrorMessage="1" sqref="A9855">
      <formula1>0</formula1>
    </dataValidation>
    <dataValidation type="list" allowBlank="1" showInputMessage="1" showErrorMessage="1" sqref="C9855">
      <formula1>UnidadesList</formula1>
    </dataValidation>
    <dataValidation type="decimal" operator="greaterThan" allowBlank="1" showInputMessage="1" showErrorMessage="1" sqref="D9855">
      <formula1>0</formula1>
    </dataValidation>
    <dataValidation type="decimal" operator="greaterThan" allowBlank="1" showInputMessage="1" showErrorMessage="1" sqref="E9855">
      <formula1>0</formula1>
    </dataValidation>
    <dataValidation type="whole" operator="greaterThan" allowBlank="1" showInputMessage="1" showErrorMessage="1" sqref="A9856">
      <formula1>0</formula1>
    </dataValidation>
    <dataValidation type="list" allowBlank="1" showInputMessage="1" showErrorMessage="1" sqref="C9856">
      <formula1>UnidadesList</formula1>
    </dataValidation>
    <dataValidation type="decimal" operator="greaterThan" allowBlank="1" showInputMessage="1" showErrorMessage="1" sqref="D9856">
      <formula1>0</formula1>
    </dataValidation>
    <dataValidation type="decimal" operator="greaterThan" allowBlank="1" showInputMessage="1" showErrorMessage="1" sqref="E9856">
      <formula1>0</formula1>
    </dataValidation>
    <dataValidation type="whole" operator="greaterThan" allowBlank="1" showInputMessage="1" showErrorMessage="1" sqref="A9857">
      <formula1>0</formula1>
    </dataValidation>
    <dataValidation type="list" allowBlank="1" showInputMessage="1" showErrorMessage="1" sqref="C9857">
      <formula1>UnidadesList</formula1>
    </dataValidation>
    <dataValidation type="decimal" operator="greaterThan" allowBlank="1" showInputMessage="1" showErrorMessage="1" sqref="D9857">
      <formula1>0</formula1>
    </dataValidation>
    <dataValidation type="decimal" operator="greaterThan" allowBlank="1" showInputMessage="1" showErrorMessage="1" sqref="E9857">
      <formula1>0</formula1>
    </dataValidation>
    <dataValidation type="whole" operator="greaterThan" allowBlank="1" showInputMessage="1" showErrorMessage="1" sqref="A9858">
      <formula1>0</formula1>
    </dataValidation>
    <dataValidation type="list" allowBlank="1" showInputMessage="1" showErrorMessage="1" sqref="C9858">
      <formula1>UnidadesList</formula1>
    </dataValidation>
    <dataValidation type="decimal" operator="greaterThan" allowBlank="1" showInputMessage="1" showErrorMessage="1" sqref="D9858">
      <formula1>0</formula1>
    </dataValidation>
    <dataValidation type="decimal" operator="greaterThan" allowBlank="1" showInputMessage="1" showErrorMessage="1" sqref="E9858">
      <formula1>0</formula1>
    </dataValidation>
    <dataValidation type="whole" operator="greaterThan" allowBlank="1" showInputMessage="1" showErrorMessage="1" sqref="A9859">
      <formula1>0</formula1>
    </dataValidation>
    <dataValidation type="list" allowBlank="1" showInputMessage="1" showErrorMessage="1" sqref="C9859">
      <formula1>UnidadesList</formula1>
    </dataValidation>
    <dataValidation type="decimal" operator="greaterThan" allowBlank="1" showInputMessage="1" showErrorMessage="1" sqref="D9859">
      <formula1>0</formula1>
    </dataValidation>
    <dataValidation type="decimal" operator="greaterThan" allowBlank="1" showInputMessage="1" showErrorMessage="1" sqref="E9859">
      <formula1>0</formula1>
    </dataValidation>
    <dataValidation type="whole" operator="greaterThan" allowBlank="1" showInputMessage="1" showErrorMessage="1" sqref="A9860">
      <formula1>0</formula1>
    </dataValidation>
    <dataValidation type="list" allowBlank="1" showInputMessage="1" showErrorMessage="1" sqref="C9860">
      <formula1>UnidadesList</formula1>
    </dataValidation>
    <dataValidation type="decimal" operator="greaterThan" allowBlank="1" showInputMessage="1" showErrorMessage="1" sqref="D9860">
      <formula1>0</formula1>
    </dataValidation>
    <dataValidation type="decimal" operator="greaterThan" allowBlank="1" showInputMessage="1" showErrorMessage="1" sqref="E9860">
      <formula1>0</formula1>
    </dataValidation>
    <dataValidation type="whole" operator="greaterThan" allowBlank="1" showInputMessage="1" showErrorMessage="1" sqref="A9861">
      <formula1>0</formula1>
    </dataValidation>
    <dataValidation type="list" allowBlank="1" showInputMessage="1" showErrorMessage="1" sqref="C9861">
      <formula1>UnidadesList</formula1>
    </dataValidation>
    <dataValidation type="decimal" operator="greaterThan" allowBlank="1" showInputMessage="1" showErrorMessage="1" sqref="D9861">
      <formula1>0</formula1>
    </dataValidation>
    <dataValidation type="decimal" operator="greaterThan" allowBlank="1" showInputMessage="1" showErrorMessage="1" sqref="E9861">
      <formula1>0</formula1>
    </dataValidation>
    <dataValidation type="whole" operator="greaterThan" allowBlank="1" showInputMessage="1" showErrorMessage="1" sqref="A9862">
      <formula1>0</formula1>
    </dataValidation>
    <dataValidation type="list" allowBlank="1" showInputMessage="1" showErrorMessage="1" sqref="C9862">
      <formula1>UnidadesList</formula1>
    </dataValidation>
    <dataValidation type="decimal" operator="greaterThan" allowBlank="1" showInputMessage="1" showErrorMessage="1" sqref="D9862">
      <formula1>0</formula1>
    </dataValidation>
    <dataValidation type="decimal" operator="greaterThan" allowBlank="1" showInputMessage="1" showErrorMessage="1" sqref="E9862">
      <formula1>0</formula1>
    </dataValidation>
    <dataValidation type="whole" operator="greaterThan" allowBlank="1" showInputMessage="1" showErrorMessage="1" sqref="A9863">
      <formula1>0</formula1>
    </dataValidation>
    <dataValidation type="list" allowBlank="1" showInputMessage="1" showErrorMessage="1" sqref="C9863">
      <formula1>UnidadesList</formula1>
    </dataValidation>
    <dataValidation type="decimal" operator="greaterThan" allowBlank="1" showInputMessage="1" showErrorMessage="1" sqref="D9863">
      <formula1>0</formula1>
    </dataValidation>
    <dataValidation type="decimal" operator="greaterThan" allowBlank="1" showInputMessage="1" showErrorMessage="1" sqref="E9863">
      <formula1>0</formula1>
    </dataValidation>
    <dataValidation type="whole" operator="greaterThan" allowBlank="1" showInputMessage="1" showErrorMessage="1" sqref="A9864">
      <formula1>0</formula1>
    </dataValidation>
    <dataValidation type="list" allowBlank="1" showInputMessage="1" showErrorMessage="1" sqref="C9864">
      <formula1>UnidadesList</formula1>
    </dataValidation>
    <dataValidation type="decimal" operator="greaterThan" allowBlank="1" showInputMessage="1" showErrorMessage="1" sqref="D9864">
      <formula1>0</formula1>
    </dataValidation>
    <dataValidation type="decimal" operator="greaterThan" allowBlank="1" showInputMessage="1" showErrorMessage="1" sqref="E9864">
      <formula1>0</formula1>
    </dataValidation>
    <dataValidation type="whole" operator="greaterThan" allowBlank="1" showInputMessage="1" showErrorMessage="1" sqref="A9865">
      <formula1>0</formula1>
    </dataValidation>
    <dataValidation type="list" allowBlank="1" showInputMessage="1" showErrorMessage="1" sqref="C9865">
      <formula1>UnidadesList</formula1>
    </dataValidation>
    <dataValidation type="decimal" operator="greaterThan" allowBlank="1" showInputMessage="1" showErrorMessage="1" sqref="D9865">
      <formula1>0</formula1>
    </dataValidation>
    <dataValidation type="decimal" operator="greaterThan" allowBlank="1" showInputMessage="1" showErrorMessage="1" sqref="E9865">
      <formula1>0</formula1>
    </dataValidation>
    <dataValidation type="whole" operator="greaterThan" allowBlank="1" showInputMessage="1" showErrorMessage="1" sqref="A9866">
      <formula1>0</formula1>
    </dataValidation>
    <dataValidation type="list" allowBlank="1" showInputMessage="1" showErrorMessage="1" sqref="C9866">
      <formula1>UnidadesList</formula1>
    </dataValidation>
    <dataValidation type="decimal" operator="greaterThan" allowBlank="1" showInputMessage="1" showErrorMessage="1" sqref="D9866">
      <formula1>0</formula1>
    </dataValidation>
    <dataValidation type="decimal" operator="greaterThan" allowBlank="1" showInputMessage="1" showErrorMessage="1" sqref="E9866">
      <formula1>0</formula1>
    </dataValidation>
    <dataValidation type="whole" operator="greaterThan" allowBlank="1" showInputMessage="1" showErrorMessage="1" sqref="A9867">
      <formula1>0</formula1>
    </dataValidation>
    <dataValidation type="list" allowBlank="1" showInputMessage="1" showErrorMessage="1" sqref="C9867">
      <formula1>UnidadesList</formula1>
    </dataValidation>
    <dataValidation type="decimal" operator="greaterThan" allowBlank="1" showInputMessage="1" showErrorMessage="1" sqref="D9867">
      <formula1>0</formula1>
    </dataValidation>
    <dataValidation type="decimal" operator="greaterThan" allowBlank="1" showInputMessage="1" showErrorMessage="1" sqref="E9867">
      <formula1>0</formula1>
    </dataValidation>
    <dataValidation type="whole" operator="greaterThan" allowBlank="1" showInputMessage="1" showErrorMessage="1" sqref="A9868">
      <formula1>0</formula1>
    </dataValidation>
    <dataValidation type="list" allowBlank="1" showInputMessage="1" showErrorMessage="1" sqref="C9868">
      <formula1>UnidadesList</formula1>
    </dataValidation>
    <dataValidation type="decimal" operator="greaterThan" allowBlank="1" showInputMessage="1" showErrorMessage="1" sqref="D9868">
      <formula1>0</formula1>
    </dataValidation>
    <dataValidation type="decimal" operator="greaterThan" allowBlank="1" showInputMessage="1" showErrorMessage="1" sqref="E9868">
      <formula1>0</formula1>
    </dataValidation>
    <dataValidation type="whole" operator="greaterThan" allowBlank="1" showInputMessage="1" showErrorMessage="1" sqref="A9869">
      <formula1>0</formula1>
    </dataValidation>
    <dataValidation type="list" allowBlank="1" showInputMessage="1" showErrorMessage="1" sqref="C9869">
      <formula1>UnidadesList</formula1>
    </dataValidation>
    <dataValidation type="decimal" operator="greaterThan" allowBlank="1" showInputMessage="1" showErrorMessage="1" sqref="D9869">
      <formula1>0</formula1>
    </dataValidation>
    <dataValidation type="decimal" operator="greaterThan" allowBlank="1" showInputMessage="1" showErrorMessage="1" sqref="E9869">
      <formula1>0</formula1>
    </dataValidation>
    <dataValidation type="whole" operator="greaterThan" allowBlank="1" showInputMessage="1" showErrorMessage="1" sqref="A9870">
      <formula1>0</formula1>
    </dataValidation>
    <dataValidation type="list" allowBlank="1" showInputMessage="1" showErrorMessage="1" sqref="C9870">
      <formula1>UnidadesList</formula1>
    </dataValidation>
    <dataValidation type="decimal" operator="greaterThan" allowBlank="1" showInputMessage="1" showErrorMessage="1" sqref="D9870">
      <formula1>0</formula1>
    </dataValidation>
    <dataValidation type="decimal" operator="greaterThan" allowBlank="1" showInputMessage="1" showErrorMessage="1" sqref="E9870">
      <formula1>0</formula1>
    </dataValidation>
    <dataValidation type="whole" operator="greaterThan" allowBlank="1" showInputMessage="1" showErrorMessage="1" sqref="A9871">
      <formula1>0</formula1>
    </dataValidation>
    <dataValidation type="list" allowBlank="1" showInputMessage="1" showErrorMessage="1" sqref="C9871">
      <formula1>UnidadesList</formula1>
    </dataValidation>
    <dataValidation type="decimal" operator="greaterThan" allowBlank="1" showInputMessage="1" showErrorMessage="1" sqref="D9871">
      <formula1>0</formula1>
    </dataValidation>
    <dataValidation type="decimal" operator="greaterThan" allowBlank="1" showInputMessage="1" showErrorMessage="1" sqref="E9871">
      <formula1>0</formula1>
    </dataValidation>
    <dataValidation type="whole" operator="greaterThan" allowBlank="1" showInputMessage="1" showErrorMessage="1" sqref="A9872">
      <formula1>0</formula1>
    </dataValidation>
    <dataValidation type="list" allowBlank="1" showInputMessage="1" showErrorMessage="1" sqref="C9872">
      <formula1>UnidadesList</formula1>
    </dataValidation>
    <dataValidation type="decimal" operator="greaterThan" allowBlank="1" showInputMessage="1" showErrorMessage="1" sqref="D9872">
      <formula1>0</formula1>
    </dataValidation>
    <dataValidation type="decimal" operator="greaterThan" allowBlank="1" showInputMessage="1" showErrorMessage="1" sqref="E9872">
      <formula1>0</formula1>
    </dataValidation>
    <dataValidation type="whole" operator="greaterThan" allowBlank="1" showInputMessage="1" showErrorMessage="1" sqref="A9873">
      <formula1>0</formula1>
    </dataValidation>
    <dataValidation type="list" allowBlank="1" showInputMessage="1" showErrorMessage="1" sqref="C9873">
      <formula1>UnidadesList</formula1>
    </dataValidation>
    <dataValidation type="decimal" operator="greaterThan" allowBlank="1" showInputMessage="1" showErrorMessage="1" sqref="D9873">
      <formula1>0</formula1>
    </dataValidation>
    <dataValidation type="decimal" operator="greaterThan" allowBlank="1" showInputMessage="1" showErrorMessage="1" sqref="E9873">
      <formula1>0</formula1>
    </dataValidation>
    <dataValidation type="whole" operator="greaterThan" allowBlank="1" showInputMessage="1" showErrorMessage="1" sqref="A9874">
      <formula1>0</formula1>
    </dataValidation>
    <dataValidation type="list" allowBlank="1" showInputMessage="1" showErrorMessage="1" sqref="C9874">
      <formula1>UnidadesList</formula1>
    </dataValidation>
    <dataValidation type="decimal" operator="greaterThan" allowBlank="1" showInputMessage="1" showErrorMessage="1" sqref="D9874">
      <formula1>0</formula1>
    </dataValidation>
    <dataValidation type="decimal" operator="greaterThan" allowBlank="1" showInputMessage="1" showErrorMessage="1" sqref="E9874">
      <formula1>0</formula1>
    </dataValidation>
    <dataValidation type="whole" operator="greaterThan" allowBlank="1" showInputMessage="1" showErrorMessage="1" sqref="A9875">
      <formula1>0</formula1>
    </dataValidation>
    <dataValidation type="list" allowBlank="1" showInputMessage="1" showErrorMessage="1" sqref="C9875">
      <formula1>UnidadesList</formula1>
    </dataValidation>
    <dataValidation type="decimal" operator="greaterThan" allowBlank="1" showInputMessage="1" showErrorMessage="1" sqref="D9875">
      <formula1>0</formula1>
    </dataValidation>
    <dataValidation type="decimal" operator="greaterThan" allowBlank="1" showInputMessage="1" showErrorMessage="1" sqref="E9875">
      <formula1>0</formula1>
    </dataValidation>
    <dataValidation type="date" operator="lessThanOrEqual" allowBlank="1" showInputMessage="1" showErrorMessage="1" sqref="C9880">
      <formula1>C9882</formula1>
    </dataValidation>
    <dataValidation type="date" operator="greaterThanOrEqual" allowBlank="1" showInputMessage="1" showErrorMessage="1" sqref="C9882">
      <formula1>C9880</formula1>
    </dataValidation>
    <dataValidation type="list" allowBlank="1" showInputMessage="1" showErrorMessage="1" sqref="F988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88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88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88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886">
      <formula1>0</formula1>
    </dataValidation>
    <dataValidation type="list" allowBlank="1" showInputMessage="1" showErrorMessage="1" sqref="C9886">
      <formula1>UnidadesList</formula1>
    </dataValidation>
    <dataValidation type="decimal" operator="greaterThan" allowBlank="1" showInputMessage="1" showErrorMessage="1" sqref="D9886">
      <formula1>0</formula1>
    </dataValidation>
    <dataValidation type="decimal" operator="greaterThan" allowBlank="1" showInputMessage="1" showErrorMessage="1" sqref="E9886">
      <formula1>0</formula1>
    </dataValidation>
    <dataValidation type="whole" operator="greaterThan" allowBlank="1" showInputMessage="1" showErrorMessage="1" sqref="A9887">
      <formula1>0</formula1>
    </dataValidation>
    <dataValidation type="list" allowBlank="1" showInputMessage="1" showErrorMessage="1" sqref="C9887">
      <formula1>UnidadesList</formula1>
    </dataValidation>
    <dataValidation type="decimal" operator="greaterThan" allowBlank="1" showInputMessage="1" showErrorMessage="1" sqref="D9887">
      <formula1>0</formula1>
    </dataValidation>
    <dataValidation type="decimal" operator="greaterThan" allowBlank="1" showInputMessage="1" showErrorMessage="1" sqref="E9887">
      <formula1>0</formula1>
    </dataValidation>
    <dataValidation type="whole" operator="greaterThan" allowBlank="1" showInputMessage="1" showErrorMessage="1" sqref="A9888">
      <formula1>0</formula1>
    </dataValidation>
    <dataValidation type="list" allowBlank="1" showInputMessage="1" showErrorMessage="1" sqref="C9888">
      <formula1>UnidadesList</formula1>
    </dataValidation>
    <dataValidation type="decimal" operator="greaterThan" allowBlank="1" showInputMessage="1" showErrorMessage="1" sqref="D9888">
      <formula1>0</formula1>
    </dataValidation>
    <dataValidation type="decimal" operator="greaterThan" allowBlank="1" showInputMessage="1" showErrorMessage="1" sqref="E9888">
      <formula1>0</formula1>
    </dataValidation>
    <dataValidation type="whole" operator="greaterThan" allowBlank="1" showInputMessage="1" showErrorMessage="1" sqref="A9889">
      <formula1>0</formula1>
    </dataValidation>
    <dataValidation type="list" allowBlank="1" showInputMessage="1" showErrorMessage="1" sqref="C9889">
      <formula1>UnidadesList</formula1>
    </dataValidation>
    <dataValidation type="decimal" operator="greaterThan" allowBlank="1" showInputMessage="1" showErrorMessage="1" sqref="D9889">
      <formula1>0</formula1>
    </dataValidation>
    <dataValidation type="decimal" operator="greaterThan" allowBlank="1" showInputMessage="1" showErrorMessage="1" sqref="E9889">
      <formula1>0</formula1>
    </dataValidation>
    <dataValidation type="whole" operator="greaterThan" allowBlank="1" showInputMessage="1" showErrorMessage="1" sqref="A9890">
      <formula1>0</formula1>
    </dataValidation>
    <dataValidation type="list" allowBlank="1" showInputMessage="1" showErrorMessage="1" sqref="C9890">
      <formula1>UnidadesList</formula1>
    </dataValidation>
    <dataValidation type="decimal" operator="greaterThan" allowBlank="1" showInputMessage="1" showErrorMessage="1" sqref="D9890">
      <formula1>0</formula1>
    </dataValidation>
    <dataValidation type="decimal" operator="greaterThan" allowBlank="1" showInputMessage="1" showErrorMessage="1" sqref="E9890">
      <formula1>0</formula1>
    </dataValidation>
    <dataValidation type="whole" operator="greaterThan" allowBlank="1" showInputMessage="1" showErrorMessage="1" sqref="A9891">
      <formula1>0</formula1>
    </dataValidation>
    <dataValidation type="list" allowBlank="1" showInputMessage="1" showErrorMessage="1" sqref="C9891">
      <formula1>UnidadesList</formula1>
    </dataValidation>
    <dataValidation type="decimal" operator="greaterThan" allowBlank="1" showInputMessage="1" showErrorMessage="1" sqref="D9891">
      <formula1>0</formula1>
    </dataValidation>
    <dataValidation type="decimal" operator="greaterThan" allowBlank="1" showInputMessage="1" showErrorMessage="1" sqref="E9891">
      <formula1>0</formula1>
    </dataValidation>
    <dataValidation type="whole" operator="greaterThan" allowBlank="1" showInputMessage="1" showErrorMessage="1" sqref="A9892">
      <formula1>0</formula1>
    </dataValidation>
    <dataValidation type="list" allowBlank="1" showInputMessage="1" showErrorMessage="1" sqref="C9892">
      <formula1>UnidadesList</formula1>
    </dataValidation>
    <dataValidation type="decimal" operator="greaterThan" allowBlank="1" showInputMessage="1" showErrorMessage="1" sqref="D9892">
      <formula1>0</formula1>
    </dataValidation>
    <dataValidation type="decimal" operator="greaterThan" allowBlank="1" showInputMessage="1" showErrorMessage="1" sqref="E9892">
      <formula1>0</formula1>
    </dataValidation>
    <dataValidation type="whole" operator="greaterThan" allowBlank="1" showInputMessage="1" showErrorMessage="1" sqref="A9893">
      <formula1>0</formula1>
    </dataValidation>
    <dataValidation type="list" allowBlank="1" showInputMessage="1" showErrorMessage="1" sqref="C9893">
      <formula1>UnidadesList</formula1>
    </dataValidation>
    <dataValidation type="decimal" operator="greaterThan" allowBlank="1" showInputMessage="1" showErrorMessage="1" sqref="D9893">
      <formula1>0</formula1>
    </dataValidation>
    <dataValidation type="decimal" operator="greaterThan" allowBlank="1" showInputMessage="1" showErrorMessage="1" sqref="E9893">
      <formula1>0</formula1>
    </dataValidation>
    <dataValidation type="whole" operator="greaterThan" allowBlank="1" showInputMessage="1" showErrorMessage="1" sqref="A9894">
      <formula1>0</formula1>
    </dataValidation>
    <dataValidation type="list" allowBlank="1" showInputMessage="1" showErrorMessage="1" sqref="C9894">
      <formula1>UnidadesList</formula1>
    </dataValidation>
    <dataValidation type="decimal" operator="greaterThan" allowBlank="1" showInputMessage="1" showErrorMessage="1" sqref="D9894">
      <formula1>0</formula1>
    </dataValidation>
    <dataValidation type="decimal" operator="greaterThan" allowBlank="1" showInputMessage="1" showErrorMessage="1" sqref="E9894">
      <formula1>0</formula1>
    </dataValidation>
    <dataValidation type="whole" operator="greaterThan" allowBlank="1" showInputMessage="1" showErrorMessage="1" sqref="A9895">
      <formula1>0</formula1>
    </dataValidation>
    <dataValidation type="list" allowBlank="1" showInputMessage="1" showErrorMessage="1" sqref="C9895">
      <formula1>UnidadesList</formula1>
    </dataValidation>
    <dataValidation type="decimal" operator="greaterThan" allowBlank="1" showInputMessage="1" showErrorMessage="1" sqref="D9895">
      <formula1>0</formula1>
    </dataValidation>
    <dataValidation type="decimal" operator="greaterThan" allowBlank="1" showInputMessage="1" showErrorMessage="1" sqref="E9895">
      <formula1>0</formula1>
    </dataValidation>
    <dataValidation type="whole" operator="greaterThan" allowBlank="1" showInputMessage="1" showErrorMessage="1" sqref="A9896">
      <formula1>0</formula1>
    </dataValidation>
    <dataValidation type="list" allowBlank="1" showInputMessage="1" showErrorMessage="1" sqref="C9896">
      <formula1>UnidadesList</formula1>
    </dataValidation>
    <dataValidation type="decimal" operator="greaterThan" allowBlank="1" showInputMessage="1" showErrorMessage="1" sqref="D9896">
      <formula1>0</formula1>
    </dataValidation>
    <dataValidation type="decimal" operator="greaterThan" allowBlank="1" showInputMessage="1" showErrorMessage="1" sqref="E9896">
      <formula1>0</formula1>
    </dataValidation>
    <dataValidation type="whole" operator="greaterThan" allowBlank="1" showInputMessage="1" showErrorMessage="1" sqref="A9897">
      <formula1>0</formula1>
    </dataValidation>
    <dataValidation type="list" allowBlank="1" showInputMessage="1" showErrorMessage="1" sqref="C9897">
      <formula1>UnidadesList</formula1>
    </dataValidation>
    <dataValidation type="decimal" operator="greaterThan" allowBlank="1" showInputMessage="1" showErrorMessage="1" sqref="D9897">
      <formula1>0</formula1>
    </dataValidation>
    <dataValidation type="decimal" operator="greaterThan" allowBlank="1" showInputMessage="1" showErrorMessage="1" sqref="E9897">
      <formula1>0</formula1>
    </dataValidation>
    <dataValidation type="whole" operator="greaterThan" allowBlank="1" showInputMessage="1" showErrorMessage="1" sqref="A9898">
      <formula1>0</formula1>
    </dataValidation>
    <dataValidation type="list" allowBlank="1" showInputMessage="1" showErrorMessage="1" sqref="C9898">
      <formula1>UnidadesList</formula1>
    </dataValidation>
    <dataValidation type="decimal" operator="greaterThan" allowBlank="1" showInputMessage="1" showErrorMessage="1" sqref="D9898">
      <formula1>0</formula1>
    </dataValidation>
    <dataValidation type="decimal" operator="greaterThan" allowBlank="1" showInputMessage="1" showErrorMessage="1" sqref="E9898">
      <formula1>0</formula1>
    </dataValidation>
    <dataValidation type="whole" operator="greaterThan" allowBlank="1" showInputMessage="1" showErrorMessage="1" sqref="A9899">
      <formula1>0</formula1>
    </dataValidation>
    <dataValidation type="list" allowBlank="1" showInputMessage="1" showErrorMessage="1" sqref="C9899">
      <formula1>UnidadesList</formula1>
    </dataValidation>
    <dataValidation type="decimal" operator="greaterThan" allowBlank="1" showInputMessage="1" showErrorMessage="1" sqref="D9899">
      <formula1>0</formula1>
    </dataValidation>
    <dataValidation type="decimal" operator="greaterThan" allowBlank="1" showInputMessage="1" showErrorMessage="1" sqref="E9899">
      <formula1>0</formula1>
    </dataValidation>
    <dataValidation type="whole" operator="greaterThan" allowBlank="1" showInputMessage="1" showErrorMessage="1" sqref="A9900">
      <formula1>0</formula1>
    </dataValidation>
    <dataValidation type="list" allowBlank="1" showInputMessage="1" showErrorMessage="1" sqref="C9900">
      <formula1>UnidadesList</formula1>
    </dataValidation>
    <dataValidation type="decimal" operator="greaterThan" allowBlank="1" showInputMessage="1" showErrorMessage="1" sqref="D9900">
      <formula1>0</formula1>
    </dataValidation>
    <dataValidation type="decimal" operator="greaterThan" allowBlank="1" showInputMessage="1" showErrorMessage="1" sqref="E9900">
      <formula1>0</formula1>
    </dataValidation>
    <dataValidation type="whole" operator="greaterThan" allowBlank="1" showInputMessage="1" showErrorMessage="1" sqref="A9901">
      <formula1>0</formula1>
    </dataValidation>
    <dataValidation type="list" allowBlank="1" showInputMessage="1" showErrorMessage="1" sqref="C9901">
      <formula1>UnidadesList</formula1>
    </dataValidation>
    <dataValidation type="decimal" operator="greaterThan" allowBlank="1" showInputMessage="1" showErrorMessage="1" sqref="D9901">
      <formula1>0</formula1>
    </dataValidation>
    <dataValidation type="decimal" operator="greaterThan" allowBlank="1" showInputMessage="1" showErrorMessage="1" sqref="E9901">
      <formula1>0</formula1>
    </dataValidation>
    <dataValidation type="whole" operator="greaterThan" allowBlank="1" showInputMessage="1" showErrorMessage="1" sqref="A9902">
      <formula1>0</formula1>
    </dataValidation>
    <dataValidation type="list" allowBlank="1" showInputMessage="1" showErrorMessage="1" sqref="C9902">
      <formula1>UnidadesList</formula1>
    </dataValidation>
    <dataValidation type="decimal" operator="greaterThan" allowBlank="1" showInputMessage="1" showErrorMessage="1" sqref="D9902">
      <formula1>0</formula1>
    </dataValidation>
    <dataValidation type="decimal" operator="greaterThan" allowBlank="1" showInputMessage="1" showErrorMessage="1" sqref="E9902">
      <formula1>0</formula1>
    </dataValidation>
    <dataValidation type="whole" operator="greaterThan" allowBlank="1" showInputMessage="1" showErrorMessage="1" sqref="A9903">
      <formula1>0</formula1>
    </dataValidation>
    <dataValidation type="list" allowBlank="1" showInputMessage="1" showErrorMessage="1" sqref="C9903">
      <formula1>UnidadesList</formula1>
    </dataValidation>
    <dataValidation type="decimal" operator="greaterThan" allowBlank="1" showInputMessage="1" showErrorMessage="1" sqref="D9903">
      <formula1>0</formula1>
    </dataValidation>
    <dataValidation type="decimal" operator="greaterThan" allowBlank="1" showInputMessage="1" showErrorMessage="1" sqref="E9903">
      <formula1>0</formula1>
    </dataValidation>
    <dataValidation type="whole" operator="greaterThan" allowBlank="1" showInputMessage="1" showErrorMessage="1" sqref="A9904">
      <formula1>0</formula1>
    </dataValidation>
    <dataValidation type="list" allowBlank="1" showInputMessage="1" showErrorMessage="1" sqref="C9904">
      <formula1>UnidadesList</formula1>
    </dataValidation>
    <dataValidation type="decimal" operator="greaterThan" allowBlank="1" showInputMessage="1" showErrorMessage="1" sqref="D9904">
      <formula1>0</formula1>
    </dataValidation>
    <dataValidation type="decimal" operator="greaterThan" allowBlank="1" showInputMessage="1" showErrorMessage="1" sqref="E9904">
      <formula1>0</formula1>
    </dataValidation>
    <dataValidation type="whole" operator="greaterThan" allowBlank="1" showInputMessage="1" showErrorMessage="1" sqref="A9905">
      <formula1>0</formula1>
    </dataValidation>
    <dataValidation type="list" allowBlank="1" showInputMessage="1" showErrorMessage="1" sqref="C9905">
      <formula1>UnidadesList</formula1>
    </dataValidation>
    <dataValidation type="decimal" operator="greaterThan" allowBlank="1" showInputMessage="1" showErrorMessage="1" sqref="D9905">
      <formula1>0</formula1>
    </dataValidation>
    <dataValidation type="decimal" operator="greaterThan" allowBlank="1" showInputMessage="1" showErrorMessage="1" sqref="E9905">
      <formula1>0</formula1>
    </dataValidation>
    <dataValidation type="whole" operator="greaterThan" allowBlank="1" showInputMessage="1" showErrorMessage="1" sqref="A9906">
      <formula1>0</formula1>
    </dataValidation>
    <dataValidation type="list" allowBlank="1" showInputMessage="1" showErrorMessage="1" sqref="C9906">
      <formula1>UnidadesList</formula1>
    </dataValidation>
    <dataValidation type="decimal" operator="greaterThan" allowBlank="1" showInputMessage="1" showErrorMessage="1" sqref="D9906">
      <formula1>0</formula1>
    </dataValidation>
    <dataValidation type="decimal" operator="greaterThan" allowBlank="1" showInputMessage="1" showErrorMessage="1" sqref="E9906">
      <formula1>0</formula1>
    </dataValidation>
    <dataValidation type="whole" operator="greaterThan" allowBlank="1" showInputMessage="1" showErrorMessage="1" sqref="A9907">
      <formula1>0</formula1>
    </dataValidation>
    <dataValidation type="list" allowBlank="1" showInputMessage="1" showErrorMessage="1" sqref="C9907">
      <formula1>UnidadesList</formula1>
    </dataValidation>
    <dataValidation type="decimal" operator="greaterThan" allowBlank="1" showInputMessage="1" showErrorMessage="1" sqref="D9907">
      <formula1>0</formula1>
    </dataValidation>
    <dataValidation type="decimal" operator="greaterThan" allowBlank="1" showInputMessage="1" showErrorMessage="1" sqref="E9907">
      <formula1>0</formula1>
    </dataValidation>
    <dataValidation type="whole" operator="greaterThan" allowBlank="1" showInputMessage="1" showErrorMessage="1" sqref="A9908">
      <formula1>0</formula1>
    </dataValidation>
    <dataValidation type="list" allowBlank="1" showInputMessage="1" showErrorMessage="1" sqref="C9908">
      <formula1>UnidadesList</formula1>
    </dataValidation>
    <dataValidation type="decimal" operator="greaterThan" allowBlank="1" showInputMessage="1" showErrorMessage="1" sqref="D9908">
      <formula1>0</formula1>
    </dataValidation>
    <dataValidation type="decimal" operator="greaterThan" allowBlank="1" showInputMessage="1" showErrorMessage="1" sqref="E9908">
      <formula1>0</formula1>
    </dataValidation>
    <dataValidation type="whole" operator="greaterThan" allowBlank="1" showInputMessage="1" showErrorMessage="1" sqref="A9909">
      <formula1>0</formula1>
    </dataValidation>
    <dataValidation type="list" allowBlank="1" showInputMessage="1" showErrorMessage="1" sqref="C9909">
      <formula1>UnidadesList</formula1>
    </dataValidation>
    <dataValidation type="decimal" operator="greaterThan" allowBlank="1" showInputMessage="1" showErrorMessage="1" sqref="D9909">
      <formula1>0</formula1>
    </dataValidation>
    <dataValidation type="decimal" operator="greaterThan" allowBlank="1" showInputMessage="1" showErrorMessage="1" sqref="E9909">
      <formula1>0</formula1>
    </dataValidation>
    <dataValidation type="whole" operator="greaterThan" allowBlank="1" showInputMessage="1" showErrorMessage="1" sqref="A9910">
      <formula1>0</formula1>
    </dataValidation>
    <dataValidation type="list" allowBlank="1" showInputMessage="1" showErrorMessage="1" sqref="C9910">
      <formula1>UnidadesList</formula1>
    </dataValidation>
    <dataValidation type="decimal" operator="greaterThan" allowBlank="1" showInputMessage="1" showErrorMessage="1" sqref="D9910">
      <formula1>0</formula1>
    </dataValidation>
    <dataValidation type="decimal" operator="greaterThan" allowBlank="1" showInputMessage="1" showErrorMessage="1" sqref="E9910">
      <formula1>0</formula1>
    </dataValidation>
    <dataValidation type="whole" operator="greaterThan" allowBlank="1" showInputMessage="1" showErrorMessage="1" sqref="A9911">
      <formula1>0</formula1>
    </dataValidation>
    <dataValidation type="list" allowBlank="1" showInputMessage="1" showErrorMessage="1" sqref="C9911">
      <formula1>UnidadesList</formula1>
    </dataValidation>
    <dataValidation type="decimal" operator="greaterThan" allowBlank="1" showInputMessage="1" showErrorMessage="1" sqref="D9911">
      <formula1>0</formula1>
    </dataValidation>
    <dataValidation type="decimal" operator="greaterThan" allowBlank="1" showInputMessage="1" showErrorMessage="1" sqref="E9911">
      <formula1>0</formula1>
    </dataValidation>
    <dataValidation type="whole" operator="greaterThan" allowBlank="1" showInputMessage="1" showErrorMessage="1" sqref="A9912">
      <formula1>0</formula1>
    </dataValidation>
    <dataValidation type="list" allowBlank="1" showInputMessage="1" showErrorMessage="1" sqref="C9912">
      <formula1>UnidadesList</formula1>
    </dataValidation>
    <dataValidation type="decimal" operator="greaterThan" allowBlank="1" showInputMessage="1" showErrorMessage="1" sqref="D9912">
      <formula1>0</formula1>
    </dataValidation>
    <dataValidation type="decimal" operator="greaterThan" allowBlank="1" showInputMessage="1" showErrorMessage="1" sqref="E9912">
      <formula1>0</formula1>
    </dataValidation>
    <dataValidation type="whole" operator="greaterThan" allowBlank="1" showInputMessage="1" showErrorMessage="1" sqref="A9913">
      <formula1>0</formula1>
    </dataValidation>
    <dataValidation type="list" allowBlank="1" showInputMessage="1" showErrorMessage="1" sqref="C9913">
      <formula1>UnidadesList</formula1>
    </dataValidation>
    <dataValidation type="decimal" operator="greaterThan" allowBlank="1" showInputMessage="1" showErrorMessage="1" sqref="D9913">
      <formula1>0</formula1>
    </dataValidation>
    <dataValidation type="decimal" operator="greaterThan" allowBlank="1" showInputMessage="1" showErrorMessage="1" sqref="E9913">
      <formula1>0</formula1>
    </dataValidation>
    <dataValidation type="whole" operator="greaterThan" allowBlank="1" showInputMessage="1" showErrorMessage="1" sqref="A9914">
      <formula1>0</formula1>
    </dataValidation>
    <dataValidation type="list" allowBlank="1" showInputMessage="1" showErrorMessage="1" sqref="C9914">
      <formula1>UnidadesList</formula1>
    </dataValidation>
    <dataValidation type="decimal" operator="greaterThan" allowBlank="1" showInputMessage="1" showErrorMessage="1" sqref="D9914">
      <formula1>0</formula1>
    </dataValidation>
    <dataValidation type="decimal" operator="greaterThan" allowBlank="1" showInputMessage="1" showErrorMessage="1" sqref="E9914">
      <formula1>0</formula1>
    </dataValidation>
    <dataValidation type="whole" operator="greaterThan" allowBlank="1" showInputMessage="1" showErrorMessage="1" sqref="A9915">
      <formula1>0</formula1>
    </dataValidation>
    <dataValidation type="list" allowBlank="1" showInputMessage="1" showErrorMessage="1" sqref="C9915">
      <formula1>UnidadesList</formula1>
    </dataValidation>
    <dataValidation type="decimal" operator="greaterThan" allowBlank="1" showInputMessage="1" showErrorMessage="1" sqref="D9915">
      <formula1>0</formula1>
    </dataValidation>
    <dataValidation type="decimal" operator="greaterThan" allowBlank="1" showInputMessage="1" showErrorMessage="1" sqref="E9915">
      <formula1>0</formula1>
    </dataValidation>
    <dataValidation type="whole" operator="greaterThan" allowBlank="1" showInputMessage="1" showErrorMessage="1" sqref="A9916">
      <formula1>0</formula1>
    </dataValidation>
    <dataValidation type="list" allowBlank="1" showInputMessage="1" showErrorMessage="1" sqref="C9916">
      <formula1>UnidadesList</formula1>
    </dataValidation>
    <dataValidation type="decimal" operator="greaterThan" allowBlank="1" showInputMessage="1" showErrorMessage="1" sqref="D9916">
      <formula1>0</formula1>
    </dataValidation>
    <dataValidation type="decimal" operator="greaterThan" allowBlank="1" showInputMessage="1" showErrorMessage="1" sqref="E9916">
      <formula1>0</formula1>
    </dataValidation>
    <dataValidation type="whole" operator="greaterThan" allowBlank="1" showInputMessage="1" showErrorMessage="1" sqref="A9917">
      <formula1>0</formula1>
    </dataValidation>
    <dataValidation type="list" allowBlank="1" showInputMessage="1" showErrorMessage="1" sqref="C9917">
      <formula1>UnidadesList</formula1>
    </dataValidation>
    <dataValidation type="decimal" operator="greaterThan" allowBlank="1" showInputMessage="1" showErrorMessage="1" sqref="D9917">
      <formula1>0</formula1>
    </dataValidation>
    <dataValidation type="decimal" operator="greaterThan" allowBlank="1" showInputMessage="1" showErrorMessage="1" sqref="E9917">
      <formula1>0</formula1>
    </dataValidation>
    <dataValidation type="whole" operator="greaterThan" allowBlank="1" showInputMessage="1" showErrorMessage="1" sqref="A9918">
      <formula1>0</formula1>
    </dataValidation>
    <dataValidation type="list" allowBlank="1" showInputMessage="1" showErrorMessage="1" sqref="C9918">
      <formula1>UnidadesList</formula1>
    </dataValidation>
    <dataValidation type="decimal" operator="greaterThan" allowBlank="1" showInputMessage="1" showErrorMessage="1" sqref="D9918">
      <formula1>0</formula1>
    </dataValidation>
    <dataValidation type="decimal" operator="greaterThan" allowBlank="1" showInputMessage="1" showErrorMessage="1" sqref="E9918">
      <formula1>0</formula1>
    </dataValidation>
    <dataValidation type="whole" operator="greaterThan" allowBlank="1" showInputMessage="1" showErrorMessage="1" sqref="A9919">
      <formula1>0</formula1>
    </dataValidation>
    <dataValidation type="list" allowBlank="1" showInputMessage="1" showErrorMessage="1" sqref="C9919">
      <formula1>UnidadesList</formula1>
    </dataValidation>
    <dataValidation type="decimal" operator="greaterThan" allowBlank="1" showInputMessage="1" showErrorMessage="1" sqref="D9919">
      <formula1>0</formula1>
    </dataValidation>
    <dataValidation type="decimal" operator="greaterThan" allowBlank="1" showInputMessage="1" showErrorMessage="1" sqref="E9919">
      <formula1>0</formula1>
    </dataValidation>
    <dataValidation type="whole" operator="greaterThan" allowBlank="1" showInputMessage="1" showErrorMessage="1" sqref="A9920">
      <formula1>0</formula1>
    </dataValidation>
    <dataValidation type="list" allowBlank="1" showInputMessage="1" showErrorMessage="1" sqref="C9920">
      <formula1>UnidadesList</formula1>
    </dataValidation>
    <dataValidation type="decimal" operator="greaterThan" allowBlank="1" showInputMessage="1" showErrorMessage="1" sqref="D9920">
      <formula1>0</formula1>
    </dataValidation>
    <dataValidation type="decimal" operator="greaterThan" allowBlank="1" showInputMessage="1" showErrorMessage="1" sqref="E9920">
      <formula1>0</formula1>
    </dataValidation>
    <dataValidation type="whole" operator="greaterThan" allowBlank="1" showInputMessage="1" showErrorMessage="1" sqref="A9921">
      <formula1>0</formula1>
    </dataValidation>
    <dataValidation type="list" allowBlank="1" showInputMessage="1" showErrorMessage="1" sqref="C9921">
      <formula1>UnidadesList</formula1>
    </dataValidation>
    <dataValidation type="decimal" operator="greaterThan" allowBlank="1" showInputMessage="1" showErrorMessage="1" sqref="D9921">
      <formula1>0</formula1>
    </dataValidation>
    <dataValidation type="decimal" operator="greaterThan" allowBlank="1" showInputMessage="1" showErrorMessage="1" sqref="E9921">
      <formula1>0</formula1>
    </dataValidation>
    <dataValidation type="whole" operator="greaterThan" allowBlank="1" showInputMessage="1" showErrorMessage="1" sqref="A9922">
      <formula1>0</formula1>
    </dataValidation>
    <dataValidation type="list" allowBlank="1" showInputMessage="1" showErrorMessage="1" sqref="C9922">
      <formula1>UnidadesList</formula1>
    </dataValidation>
    <dataValidation type="decimal" operator="greaterThan" allowBlank="1" showInputMessage="1" showErrorMessage="1" sqref="D9922">
      <formula1>0</formula1>
    </dataValidation>
    <dataValidation type="decimal" operator="greaterThan" allowBlank="1" showInputMessage="1" showErrorMessage="1" sqref="E9922">
      <formula1>0</formula1>
    </dataValidation>
    <dataValidation type="whole" operator="greaterThan" allowBlank="1" showInputMessage="1" showErrorMessage="1" sqref="A9923">
      <formula1>0</formula1>
    </dataValidation>
    <dataValidation type="list" allowBlank="1" showInputMessage="1" showErrorMessage="1" sqref="C9923">
      <formula1>UnidadesList</formula1>
    </dataValidation>
    <dataValidation type="decimal" operator="greaterThan" allowBlank="1" showInputMessage="1" showErrorMessage="1" sqref="D9923">
      <formula1>0</formula1>
    </dataValidation>
    <dataValidation type="decimal" operator="greaterThan" allowBlank="1" showInputMessage="1" showErrorMessage="1" sqref="E9923">
      <formula1>0</formula1>
    </dataValidation>
    <dataValidation type="whole" operator="greaterThan" allowBlank="1" showInputMessage="1" showErrorMessage="1" sqref="A9924">
      <formula1>0</formula1>
    </dataValidation>
    <dataValidation type="list" allowBlank="1" showInputMessage="1" showErrorMessage="1" sqref="C9924">
      <formula1>UnidadesList</formula1>
    </dataValidation>
    <dataValidation type="decimal" operator="greaterThan" allowBlank="1" showInputMessage="1" showErrorMessage="1" sqref="D9924">
      <formula1>0</formula1>
    </dataValidation>
    <dataValidation type="decimal" operator="greaterThan" allowBlank="1" showInputMessage="1" showErrorMessage="1" sqref="E9924">
      <formula1>0</formula1>
    </dataValidation>
    <dataValidation type="whole" operator="greaterThan" allowBlank="1" showInputMessage="1" showErrorMessage="1" sqref="A9925">
      <formula1>0</formula1>
    </dataValidation>
    <dataValidation type="list" allowBlank="1" showInputMessage="1" showErrorMessage="1" sqref="C9925">
      <formula1>UnidadesList</formula1>
    </dataValidation>
    <dataValidation type="decimal" operator="greaterThan" allowBlank="1" showInputMessage="1" showErrorMessage="1" sqref="D9925">
      <formula1>0</formula1>
    </dataValidation>
    <dataValidation type="decimal" operator="greaterThan" allowBlank="1" showInputMessage="1" showErrorMessage="1" sqref="E9925">
      <formula1>0</formula1>
    </dataValidation>
    <dataValidation type="whole" operator="greaterThan" allowBlank="1" showInputMessage="1" showErrorMessage="1" sqref="A9926">
      <formula1>0</formula1>
    </dataValidation>
    <dataValidation type="list" allowBlank="1" showInputMessage="1" showErrorMessage="1" sqref="C9926">
      <formula1>UnidadesList</formula1>
    </dataValidation>
    <dataValidation type="decimal" operator="greaterThan" allowBlank="1" showInputMessage="1" showErrorMessage="1" sqref="D9926">
      <formula1>0</formula1>
    </dataValidation>
    <dataValidation type="decimal" operator="greaterThan" allowBlank="1" showInputMessage="1" showErrorMessage="1" sqref="E9926">
      <formula1>0</formula1>
    </dataValidation>
    <dataValidation type="whole" operator="greaterThan" allowBlank="1" showInputMessage="1" showErrorMessage="1" sqref="A9927">
      <formula1>0</formula1>
    </dataValidation>
    <dataValidation type="list" allowBlank="1" showInputMessage="1" showErrorMessage="1" sqref="C9927">
      <formula1>UnidadesList</formula1>
    </dataValidation>
    <dataValidation type="decimal" operator="greaterThan" allowBlank="1" showInputMessage="1" showErrorMessage="1" sqref="D9927">
      <formula1>0</formula1>
    </dataValidation>
    <dataValidation type="decimal" operator="greaterThan" allowBlank="1" showInputMessage="1" showErrorMessage="1" sqref="E9927">
      <formula1>0</formula1>
    </dataValidation>
    <dataValidation type="whole" operator="greaterThan" allowBlank="1" showInputMessage="1" showErrorMessage="1" sqref="A9928">
      <formula1>0</formula1>
    </dataValidation>
    <dataValidation type="list" allowBlank="1" showInputMessage="1" showErrorMessage="1" sqref="C9928">
      <formula1>UnidadesList</formula1>
    </dataValidation>
    <dataValidation type="decimal" operator="greaterThan" allowBlank="1" showInputMessage="1" showErrorMessage="1" sqref="D9928">
      <formula1>0</formula1>
    </dataValidation>
    <dataValidation type="decimal" operator="greaterThan" allowBlank="1" showInputMessage="1" showErrorMessage="1" sqref="E9928">
      <formula1>0</formula1>
    </dataValidation>
    <dataValidation type="whole" operator="greaterThan" allowBlank="1" showInputMessage="1" showErrorMessage="1" sqref="A9929">
      <formula1>0</formula1>
    </dataValidation>
    <dataValidation type="list" allowBlank="1" showInputMessage="1" showErrorMessage="1" sqref="C9929">
      <formula1>UnidadesList</formula1>
    </dataValidation>
    <dataValidation type="decimal" operator="greaterThan" allowBlank="1" showInputMessage="1" showErrorMessage="1" sqref="D9929">
      <formula1>0</formula1>
    </dataValidation>
    <dataValidation type="decimal" operator="greaterThan" allowBlank="1" showInputMessage="1" showErrorMessage="1" sqref="E9929">
      <formula1>0</formula1>
    </dataValidation>
    <dataValidation type="whole" operator="greaterThan" allowBlank="1" showInputMessage="1" showErrorMessage="1" sqref="A9930">
      <formula1>0</formula1>
    </dataValidation>
    <dataValidation type="list" allowBlank="1" showInputMessage="1" showErrorMessage="1" sqref="C9930">
      <formula1>UnidadesList</formula1>
    </dataValidation>
    <dataValidation type="decimal" operator="greaterThan" allowBlank="1" showInputMessage="1" showErrorMessage="1" sqref="D9930">
      <formula1>0</formula1>
    </dataValidation>
    <dataValidation type="decimal" operator="greaterThan" allowBlank="1" showInputMessage="1" showErrorMessage="1" sqref="E9930">
      <formula1>0</formula1>
    </dataValidation>
    <dataValidation type="whole" operator="greaterThan" allowBlank="1" showInputMessage="1" showErrorMessage="1" sqref="A9931">
      <formula1>0</formula1>
    </dataValidation>
    <dataValidation type="list" allowBlank="1" showInputMessage="1" showErrorMessage="1" sqref="C9931">
      <formula1>UnidadesList</formula1>
    </dataValidation>
    <dataValidation type="decimal" operator="greaterThan" allowBlank="1" showInputMessage="1" showErrorMessage="1" sqref="D9931">
      <formula1>0</formula1>
    </dataValidation>
    <dataValidation type="decimal" operator="greaterThan" allowBlank="1" showInputMessage="1" showErrorMessage="1" sqref="E9931">
      <formula1>0</formula1>
    </dataValidation>
    <dataValidation type="whole" operator="greaterThan" allowBlank="1" showInputMessage="1" showErrorMessage="1" sqref="A9932">
      <formula1>0</formula1>
    </dataValidation>
    <dataValidation type="list" allowBlank="1" showInputMessage="1" showErrorMessage="1" sqref="C9932">
      <formula1>UnidadesList</formula1>
    </dataValidation>
    <dataValidation type="decimal" operator="greaterThan" allowBlank="1" showInputMessage="1" showErrorMessage="1" sqref="D9932">
      <formula1>0</formula1>
    </dataValidation>
    <dataValidation type="decimal" operator="greaterThan" allowBlank="1" showInputMessage="1" showErrorMessage="1" sqref="E9932">
      <formula1>0</formula1>
    </dataValidation>
    <dataValidation type="whole" operator="greaterThan" allowBlank="1" showInputMessage="1" showErrorMessage="1" sqref="A9933">
      <formula1>0</formula1>
    </dataValidation>
    <dataValidation type="list" allowBlank="1" showInputMessage="1" showErrorMessage="1" sqref="C9933">
      <formula1>UnidadesList</formula1>
    </dataValidation>
    <dataValidation type="decimal" operator="greaterThan" allowBlank="1" showInputMessage="1" showErrorMessage="1" sqref="D9933">
      <formula1>0</formula1>
    </dataValidation>
    <dataValidation type="decimal" operator="greaterThan" allowBlank="1" showInputMessage="1" showErrorMessage="1" sqref="E9933">
      <formula1>0</formula1>
    </dataValidation>
    <dataValidation type="whole" operator="greaterThan" allowBlank="1" showInputMessage="1" showErrorMessage="1" sqref="A9934">
      <formula1>0</formula1>
    </dataValidation>
    <dataValidation type="list" allowBlank="1" showInputMessage="1" showErrorMessage="1" sqref="C9934">
      <formula1>UnidadesList</formula1>
    </dataValidation>
    <dataValidation type="decimal" operator="greaterThan" allowBlank="1" showInputMessage="1" showErrorMessage="1" sqref="D9934">
      <formula1>0</formula1>
    </dataValidation>
    <dataValidation type="decimal" operator="greaterThan" allowBlank="1" showInputMessage="1" showErrorMessage="1" sqref="E9934">
      <formula1>0</formula1>
    </dataValidation>
    <dataValidation type="whole" operator="greaterThan" allowBlank="1" showInputMessage="1" showErrorMessage="1" sqref="A9935">
      <formula1>0</formula1>
    </dataValidation>
    <dataValidation type="list" allowBlank="1" showInputMessage="1" showErrorMessage="1" sqref="C9935">
      <formula1>UnidadesList</formula1>
    </dataValidation>
    <dataValidation type="decimal" operator="greaterThan" allowBlank="1" showInputMessage="1" showErrorMessage="1" sqref="D9935">
      <formula1>0</formula1>
    </dataValidation>
    <dataValidation type="decimal" operator="greaterThan" allowBlank="1" showInputMessage="1" showErrorMessage="1" sqref="E9935">
      <formula1>0</formula1>
    </dataValidation>
    <dataValidation type="whole" operator="greaterThan" allowBlank="1" showInputMessage="1" showErrorMessage="1" sqref="A9936">
      <formula1>0</formula1>
    </dataValidation>
    <dataValidation type="list" allowBlank="1" showInputMessage="1" showErrorMessage="1" sqref="C9936">
      <formula1>UnidadesList</formula1>
    </dataValidation>
    <dataValidation type="decimal" operator="greaterThan" allowBlank="1" showInputMessage="1" showErrorMessage="1" sqref="D9936">
      <formula1>0</formula1>
    </dataValidation>
    <dataValidation type="decimal" operator="greaterThan" allowBlank="1" showInputMessage="1" showErrorMessage="1" sqref="E9936">
      <formula1>0</formula1>
    </dataValidation>
    <dataValidation type="whole" operator="greaterThan" allowBlank="1" showInputMessage="1" showErrorMessage="1" sqref="A9937">
      <formula1>0</formula1>
    </dataValidation>
    <dataValidation type="list" allowBlank="1" showInputMessage="1" showErrorMessage="1" sqref="C9937">
      <formula1>UnidadesList</formula1>
    </dataValidation>
    <dataValidation type="decimal" operator="greaterThan" allowBlank="1" showInputMessage="1" showErrorMessage="1" sqref="D9937">
      <formula1>0</formula1>
    </dataValidation>
    <dataValidation type="decimal" operator="greaterThan" allowBlank="1" showInputMessage="1" showErrorMessage="1" sqref="E9937">
      <formula1>0</formula1>
    </dataValidation>
    <dataValidation type="whole" operator="greaterThan" allowBlank="1" showInputMessage="1" showErrorMessage="1" sqref="A9938">
      <formula1>0</formula1>
    </dataValidation>
    <dataValidation type="list" allowBlank="1" showInputMessage="1" showErrorMessage="1" sqref="C9938">
      <formula1>UnidadesList</formula1>
    </dataValidation>
    <dataValidation type="decimal" operator="greaterThan" allowBlank="1" showInputMessage="1" showErrorMessage="1" sqref="D9938">
      <formula1>0</formula1>
    </dataValidation>
    <dataValidation type="decimal" operator="greaterThan" allowBlank="1" showInputMessage="1" showErrorMessage="1" sqref="E9938">
      <formula1>0</formula1>
    </dataValidation>
    <dataValidation type="whole" operator="greaterThan" allowBlank="1" showInputMessage="1" showErrorMessage="1" sqref="A9939">
      <formula1>0</formula1>
    </dataValidation>
    <dataValidation type="list" allowBlank="1" showInputMessage="1" showErrorMessage="1" sqref="C9939">
      <formula1>UnidadesList</formula1>
    </dataValidation>
    <dataValidation type="decimal" operator="greaterThan" allowBlank="1" showInputMessage="1" showErrorMessage="1" sqref="D9939">
      <formula1>0</formula1>
    </dataValidation>
    <dataValidation type="decimal" operator="greaterThan" allowBlank="1" showInputMessage="1" showErrorMessage="1" sqref="E9939">
      <formula1>0</formula1>
    </dataValidation>
    <dataValidation type="whole" operator="greaterThan" allowBlank="1" showInputMessage="1" showErrorMessage="1" sqref="A9940">
      <formula1>0</formula1>
    </dataValidation>
    <dataValidation type="list" allowBlank="1" showInputMessage="1" showErrorMessage="1" sqref="C9940">
      <formula1>UnidadesList</formula1>
    </dataValidation>
    <dataValidation type="decimal" operator="greaterThan" allowBlank="1" showInputMessage="1" showErrorMessage="1" sqref="D9940">
      <formula1>0</formula1>
    </dataValidation>
    <dataValidation type="decimal" operator="greaterThan" allowBlank="1" showInputMessage="1" showErrorMessage="1" sqref="E9940">
      <formula1>0</formula1>
    </dataValidation>
    <dataValidation type="whole" operator="greaterThan" allowBlank="1" showInputMessage="1" showErrorMessage="1" sqref="A9941">
      <formula1>0</formula1>
    </dataValidation>
    <dataValidation type="list" allowBlank="1" showInputMessage="1" showErrorMessage="1" sqref="C9941">
      <formula1>UnidadesList</formula1>
    </dataValidation>
    <dataValidation type="decimal" operator="greaterThan" allowBlank="1" showInputMessage="1" showErrorMessage="1" sqref="D9941">
      <formula1>0</formula1>
    </dataValidation>
    <dataValidation type="decimal" operator="greaterThan" allowBlank="1" showInputMessage="1" showErrorMessage="1" sqref="E9941">
      <formula1>0</formula1>
    </dataValidation>
    <dataValidation type="whole" operator="greaterThan" allowBlank="1" showInputMessage="1" showErrorMessage="1" sqref="A9942">
      <formula1>0</formula1>
    </dataValidation>
    <dataValidation type="list" allowBlank="1" showInputMessage="1" showErrorMessage="1" sqref="C9942">
      <formula1>UnidadesList</formula1>
    </dataValidation>
    <dataValidation type="decimal" operator="greaterThan" allowBlank="1" showInputMessage="1" showErrorMessage="1" sqref="D9942">
      <formula1>0</formula1>
    </dataValidation>
    <dataValidation type="decimal" operator="greaterThan" allowBlank="1" showInputMessage="1" showErrorMessage="1" sqref="E9942">
      <formula1>0</formula1>
    </dataValidation>
    <dataValidation type="whole" operator="greaterThan" allowBlank="1" showInputMessage="1" showErrorMessage="1" sqref="A9943">
      <formula1>0</formula1>
    </dataValidation>
    <dataValidation type="list" allowBlank="1" showInputMessage="1" showErrorMessage="1" sqref="C9943">
      <formula1>UnidadesList</formula1>
    </dataValidation>
    <dataValidation type="decimal" operator="greaterThan" allowBlank="1" showInputMessage="1" showErrorMessage="1" sqref="D9943">
      <formula1>0</formula1>
    </dataValidation>
    <dataValidation type="decimal" operator="greaterThan" allowBlank="1" showInputMessage="1" showErrorMessage="1" sqref="E9943">
      <formula1>0</formula1>
    </dataValidation>
    <dataValidation type="whole" operator="greaterThan" allowBlank="1" showInputMessage="1" showErrorMessage="1" sqref="A9944">
      <formula1>0</formula1>
    </dataValidation>
    <dataValidation type="list" allowBlank="1" showInputMessage="1" showErrorMessage="1" sqref="C9944">
      <formula1>UnidadesList</formula1>
    </dataValidation>
    <dataValidation type="decimal" operator="greaterThan" allowBlank="1" showInputMessage="1" showErrorMessage="1" sqref="D9944">
      <formula1>0</formula1>
    </dataValidation>
    <dataValidation type="decimal" operator="greaterThan" allowBlank="1" showInputMessage="1" showErrorMessage="1" sqref="E9944">
      <formula1>0</formula1>
    </dataValidation>
    <dataValidation type="whole" operator="greaterThan" allowBlank="1" showInputMessage="1" showErrorMessage="1" sqref="A9945">
      <formula1>0</formula1>
    </dataValidation>
    <dataValidation type="list" allowBlank="1" showInputMessage="1" showErrorMessage="1" sqref="C9945">
      <formula1>UnidadesList</formula1>
    </dataValidation>
    <dataValidation type="decimal" operator="greaterThan" allowBlank="1" showInputMessage="1" showErrorMessage="1" sqref="D9945">
      <formula1>0</formula1>
    </dataValidation>
    <dataValidation type="decimal" operator="greaterThan" allowBlank="1" showInputMessage="1" showErrorMessage="1" sqref="E9945">
      <formula1>0</formula1>
    </dataValidation>
    <dataValidation type="whole" operator="greaterThan" allowBlank="1" showInputMessage="1" showErrorMessage="1" sqref="A9946">
      <formula1>0</formula1>
    </dataValidation>
    <dataValidation type="list" allowBlank="1" showInputMessage="1" showErrorMessage="1" sqref="C9946">
      <formula1>UnidadesList</formula1>
    </dataValidation>
    <dataValidation type="decimal" operator="greaterThan" allowBlank="1" showInputMessage="1" showErrorMessage="1" sqref="D9946">
      <formula1>0</formula1>
    </dataValidation>
    <dataValidation type="decimal" operator="greaterThan" allowBlank="1" showInputMessage="1" showErrorMessage="1" sqref="E9946">
      <formula1>0</formula1>
    </dataValidation>
    <dataValidation type="whole" operator="greaterThan" allowBlank="1" showInputMessage="1" showErrorMessage="1" sqref="A9947">
      <formula1>0</formula1>
    </dataValidation>
    <dataValidation type="list" allowBlank="1" showInputMessage="1" showErrorMessage="1" sqref="C9947">
      <formula1>UnidadesList</formula1>
    </dataValidation>
    <dataValidation type="decimal" operator="greaterThan" allowBlank="1" showInputMessage="1" showErrorMessage="1" sqref="D9947">
      <formula1>0</formula1>
    </dataValidation>
    <dataValidation type="decimal" operator="greaterThan" allowBlank="1" showInputMessage="1" showErrorMessage="1" sqref="E9947">
      <formula1>0</formula1>
    </dataValidation>
    <dataValidation type="whole" operator="greaterThan" allowBlank="1" showInputMessage="1" showErrorMessage="1" sqref="A9948">
      <formula1>0</formula1>
    </dataValidation>
    <dataValidation type="list" allowBlank="1" showInputMessage="1" showErrorMessage="1" sqref="C9948">
      <formula1>UnidadesList</formula1>
    </dataValidation>
    <dataValidation type="decimal" operator="greaterThan" allowBlank="1" showInputMessage="1" showErrorMessage="1" sqref="D9948">
      <formula1>0</formula1>
    </dataValidation>
    <dataValidation type="decimal" operator="greaterThan" allowBlank="1" showInputMessage="1" showErrorMessage="1" sqref="E9948">
      <formula1>0</formula1>
    </dataValidation>
    <dataValidation type="whole" operator="greaterThan" allowBlank="1" showInputMessage="1" showErrorMessage="1" sqref="A9949">
      <formula1>0</formula1>
    </dataValidation>
    <dataValidation type="list" allowBlank="1" showInputMessage="1" showErrorMessage="1" sqref="C9949">
      <formula1>UnidadesList</formula1>
    </dataValidation>
    <dataValidation type="decimal" operator="greaterThan" allowBlank="1" showInputMessage="1" showErrorMessage="1" sqref="D9949">
      <formula1>0</formula1>
    </dataValidation>
    <dataValidation type="decimal" operator="greaterThan" allowBlank="1" showInputMessage="1" showErrorMessage="1" sqref="E9949">
      <formula1>0</formula1>
    </dataValidation>
    <dataValidation type="whole" operator="greaterThan" allowBlank="1" showInputMessage="1" showErrorMessage="1" sqref="A9950">
      <formula1>0</formula1>
    </dataValidation>
    <dataValidation type="list" allowBlank="1" showInputMessage="1" showErrorMessage="1" sqref="C9950">
      <formula1>UnidadesList</formula1>
    </dataValidation>
    <dataValidation type="decimal" operator="greaterThan" allowBlank="1" showInputMessage="1" showErrorMessage="1" sqref="D9950">
      <formula1>0</formula1>
    </dataValidation>
    <dataValidation type="decimal" operator="greaterThan" allowBlank="1" showInputMessage="1" showErrorMessage="1" sqref="E9950">
      <formula1>0</formula1>
    </dataValidation>
    <dataValidation type="whole" operator="greaterThan" allowBlank="1" showInputMessage="1" showErrorMessage="1" sqref="A9951">
      <formula1>0</formula1>
    </dataValidation>
    <dataValidation type="list" allowBlank="1" showInputMessage="1" showErrorMessage="1" sqref="C9951">
      <formula1>UnidadesList</formula1>
    </dataValidation>
    <dataValidation type="decimal" operator="greaterThan" allowBlank="1" showInputMessage="1" showErrorMessage="1" sqref="D9951">
      <formula1>0</formula1>
    </dataValidation>
    <dataValidation type="decimal" operator="greaterThan" allowBlank="1" showInputMessage="1" showErrorMessage="1" sqref="E9951">
      <formula1>0</formula1>
    </dataValidation>
    <dataValidation type="whole" operator="greaterThan" allowBlank="1" showInputMessage="1" showErrorMessage="1" sqref="A9952">
      <formula1>0</formula1>
    </dataValidation>
    <dataValidation type="list" allowBlank="1" showInputMessage="1" showErrorMessage="1" sqref="C9952">
      <formula1>UnidadesList</formula1>
    </dataValidation>
    <dataValidation type="decimal" operator="greaterThan" allowBlank="1" showInputMessage="1" showErrorMessage="1" sqref="D9952">
      <formula1>0</formula1>
    </dataValidation>
    <dataValidation type="decimal" operator="greaterThan" allowBlank="1" showInputMessage="1" showErrorMessage="1" sqref="E9952">
      <formula1>0</formula1>
    </dataValidation>
    <dataValidation type="whole" operator="greaterThan" allowBlank="1" showInputMessage="1" showErrorMessage="1" sqref="A9953">
      <formula1>0</formula1>
    </dataValidation>
    <dataValidation type="list" allowBlank="1" showInputMessage="1" showErrorMessage="1" sqref="C9953">
      <formula1>UnidadesList</formula1>
    </dataValidation>
    <dataValidation type="decimal" operator="greaterThan" allowBlank="1" showInputMessage="1" showErrorMessage="1" sqref="D9953">
      <formula1>0</formula1>
    </dataValidation>
    <dataValidation type="decimal" operator="greaterThan" allowBlank="1" showInputMessage="1" showErrorMessage="1" sqref="E9953">
      <formula1>0</formula1>
    </dataValidation>
    <dataValidation type="whole" operator="greaterThan" allowBlank="1" showInputMessage="1" showErrorMessage="1" sqref="A9954">
      <formula1>0</formula1>
    </dataValidation>
    <dataValidation type="list" allowBlank="1" showInputMessage="1" showErrorMessage="1" sqref="C9954">
      <formula1>UnidadesList</formula1>
    </dataValidation>
    <dataValidation type="decimal" operator="greaterThan" allowBlank="1" showInputMessage="1" showErrorMessage="1" sqref="D9954">
      <formula1>0</formula1>
    </dataValidation>
    <dataValidation type="decimal" operator="greaterThan" allowBlank="1" showInputMessage="1" showErrorMessage="1" sqref="E9954">
      <formula1>0</formula1>
    </dataValidation>
    <dataValidation type="whole" operator="greaterThan" allowBlank="1" showInputMessage="1" showErrorMessage="1" sqref="A9955">
      <formula1>0</formula1>
    </dataValidation>
    <dataValidation type="list" allowBlank="1" showInputMessage="1" showErrorMessage="1" sqref="C9955">
      <formula1>UnidadesList</formula1>
    </dataValidation>
    <dataValidation type="decimal" operator="greaterThan" allowBlank="1" showInputMessage="1" showErrorMessage="1" sqref="D9955">
      <formula1>0</formula1>
    </dataValidation>
    <dataValidation type="decimal" operator="greaterThan" allowBlank="1" showInputMessage="1" showErrorMessage="1" sqref="E9955">
      <formula1>0</formula1>
    </dataValidation>
    <dataValidation type="whole" operator="greaterThan" allowBlank="1" showInputMessage="1" showErrorMessage="1" sqref="A9956">
      <formula1>0</formula1>
    </dataValidation>
    <dataValidation type="list" allowBlank="1" showInputMessage="1" showErrorMessage="1" sqref="C9956">
      <formula1>UnidadesList</formula1>
    </dataValidation>
    <dataValidation type="decimal" operator="greaterThan" allowBlank="1" showInputMessage="1" showErrorMessage="1" sqref="D9956">
      <formula1>0</formula1>
    </dataValidation>
    <dataValidation type="decimal" operator="greaterThan" allowBlank="1" showInputMessage="1" showErrorMessage="1" sqref="E9956">
      <formula1>0</formula1>
    </dataValidation>
    <dataValidation type="whole" operator="greaterThan" allowBlank="1" showInputMessage="1" showErrorMessage="1" sqref="A9957">
      <formula1>0</formula1>
    </dataValidation>
    <dataValidation type="list" allowBlank="1" showInputMessage="1" showErrorMessage="1" sqref="C9957">
      <formula1>UnidadesList</formula1>
    </dataValidation>
    <dataValidation type="decimal" operator="greaterThan" allowBlank="1" showInputMessage="1" showErrorMessage="1" sqref="D9957">
      <formula1>0</formula1>
    </dataValidation>
    <dataValidation type="decimal" operator="greaterThan" allowBlank="1" showInputMessage="1" showErrorMessage="1" sqref="E9957">
      <formula1>0</formula1>
    </dataValidation>
    <dataValidation type="date" operator="lessThanOrEqual" allowBlank="1" showInputMessage="1" showErrorMessage="1" sqref="C9962">
      <formula1>C9964</formula1>
    </dataValidation>
    <dataValidation type="date" operator="greaterThanOrEqual" allowBlank="1" showInputMessage="1" showErrorMessage="1" sqref="C9964">
      <formula1>C9962</formula1>
    </dataValidation>
    <dataValidation type="list" allowBlank="1" showInputMessage="1" showErrorMessage="1" sqref="F99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9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9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9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968">
      <formula1>0</formula1>
    </dataValidation>
    <dataValidation type="list" allowBlank="1" showInputMessage="1" showErrorMessage="1" sqref="C9968">
      <formula1>UnidadesList</formula1>
    </dataValidation>
    <dataValidation type="decimal" operator="greaterThan" allowBlank="1" showInputMessage="1" showErrorMessage="1" sqref="D9968">
      <formula1>0</formula1>
    </dataValidation>
    <dataValidation type="decimal" operator="greaterThan" allowBlank="1" showInputMessage="1" showErrorMessage="1" sqref="E9968">
      <formula1>0</formula1>
    </dataValidation>
    <dataValidation type="whole" operator="greaterThan" allowBlank="1" showInputMessage="1" showErrorMessage="1" sqref="A9969">
      <formula1>0</formula1>
    </dataValidation>
    <dataValidation type="list" allowBlank="1" showInputMessage="1" showErrorMessage="1" sqref="C9969">
      <formula1>UnidadesList</formula1>
    </dataValidation>
    <dataValidation type="decimal" operator="greaterThan" allowBlank="1" showInputMessage="1" showErrorMessage="1" sqref="D9969">
      <formula1>0</formula1>
    </dataValidation>
    <dataValidation type="decimal" operator="greaterThan" allowBlank="1" showInputMessage="1" showErrorMessage="1" sqref="E9969">
      <formula1>0</formula1>
    </dataValidation>
    <dataValidation type="whole" operator="greaterThan" allowBlank="1" showInputMessage="1" showErrorMessage="1" sqref="A9970">
      <formula1>0</formula1>
    </dataValidation>
    <dataValidation type="list" allowBlank="1" showInputMessage="1" showErrorMessage="1" sqref="C9970">
      <formula1>UnidadesList</formula1>
    </dataValidation>
    <dataValidation type="decimal" operator="greaterThan" allowBlank="1" showInputMessage="1" showErrorMessage="1" sqref="D9970">
      <formula1>0</formula1>
    </dataValidation>
    <dataValidation type="decimal" operator="greaterThan" allowBlank="1" showInputMessage="1" showErrorMessage="1" sqref="E9970">
      <formula1>0</formula1>
    </dataValidation>
    <dataValidation type="whole" operator="greaterThan" allowBlank="1" showInputMessage="1" showErrorMessage="1" sqref="A9971">
      <formula1>0</formula1>
    </dataValidation>
    <dataValidation type="list" allowBlank="1" showInputMessage="1" showErrorMessage="1" sqref="C9971">
      <formula1>UnidadesList</formula1>
    </dataValidation>
    <dataValidation type="decimal" operator="greaterThan" allowBlank="1" showInputMessage="1" showErrorMessage="1" sqref="D9971">
      <formula1>0</formula1>
    </dataValidation>
    <dataValidation type="decimal" operator="greaterThan" allowBlank="1" showInputMessage="1" showErrorMessage="1" sqref="E9971">
      <formula1>0</formula1>
    </dataValidation>
    <dataValidation type="whole" operator="greaterThan" allowBlank="1" showInputMessage="1" showErrorMessage="1" sqref="A9972">
      <formula1>0</formula1>
    </dataValidation>
    <dataValidation type="list" allowBlank="1" showInputMessage="1" showErrorMessage="1" sqref="C9972">
      <formula1>UnidadesList</formula1>
    </dataValidation>
    <dataValidation type="decimal" operator="greaterThan" allowBlank="1" showInputMessage="1" showErrorMessage="1" sqref="D9972">
      <formula1>0</formula1>
    </dataValidation>
    <dataValidation type="decimal" operator="greaterThan" allowBlank="1" showInputMessage="1" showErrorMessage="1" sqref="E9972">
      <formula1>0</formula1>
    </dataValidation>
    <dataValidation type="whole" operator="greaterThan" allowBlank="1" showInputMessage="1" showErrorMessage="1" sqref="A9973">
      <formula1>0</formula1>
    </dataValidation>
    <dataValidation type="list" allowBlank="1" showInputMessage="1" showErrorMessage="1" sqref="C9973">
      <formula1>UnidadesList</formula1>
    </dataValidation>
    <dataValidation type="decimal" operator="greaterThan" allowBlank="1" showInputMessage="1" showErrorMessage="1" sqref="D9973">
      <formula1>0</formula1>
    </dataValidation>
    <dataValidation type="decimal" operator="greaterThan" allowBlank="1" showInputMessage="1" showErrorMessage="1" sqref="E9973">
      <formula1>0</formula1>
    </dataValidation>
    <dataValidation type="whole" operator="greaterThan" allowBlank="1" showInputMessage="1" showErrorMessage="1" sqref="A9974">
      <formula1>0</formula1>
    </dataValidation>
    <dataValidation type="list" allowBlank="1" showInputMessage="1" showErrorMessage="1" sqref="C9974">
      <formula1>UnidadesList</formula1>
    </dataValidation>
    <dataValidation type="decimal" operator="greaterThan" allowBlank="1" showInputMessage="1" showErrorMessage="1" sqref="D9974">
      <formula1>0</formula1>
    </dataValidation>
    <dataValidation type="decimal" operator="greaterThan" allowBlank="1" showInputMessage="1" showErrorMessage="1" sqref="E9974">
      <formula1>0</formula1>
    </dataValidation>
    <dataValidation type="whole" operator="greaterThan" allowBlank="1" showInputMessage="1" showErrorMessage="1" sqref="A9975">
      <formula1>0</formula1>
    </dataValidation>
    <dataValidation type="list" allowBlank="1" showInputMessage="1" showErrorMessage="1" sqref="C9975">
      <formula1>UnidadesList</formula1>
    </dataValidation>
    <dataValidation type="decimal" operator="greaterThan" allowBlank="1" showInputMessage="1" showErrorMessage="1" sqref="D9975">
      <formula1>0</formula1>
    </dataValidation>
    <dataValidation type="decimal" operator="greaterThan" allowBlank="1" showInputMessage="1" showErrorMessage="1" sqref="E9975">
      <formula1>0</formula1>
    </dataValidation>
    <dataValidation type="whole" operator="greaterThan" allowBlank="1" showInputMessage="1" showErrorMessage="1" sqref="A9976">
      <formula1>0</formula1>
    </dataValidation>
    <dataValidation type="list" allowBlank="1" showInputMessage="1" showErrorMessage="1" sqref="C9976">
      <formula1>UnidadesList</formula1>
    </dataValidation>
    <dataValidation type="decimal" operator="greaterThan" allowBlank="1" showInputMessage="1" showErrorMessage="1" sqref="D9976">
      <formula1>0</formula1>
    </dataValidation>
    <dataValidation type="decimal" operator="greaterThan" allowBlank="1" showInputMessage="1" showErrorMessage="1" sqref="E9976">
      <formula1>0</formula1>
    </dataValidation>
    <dataValidation type="whole" operator="greaterThan" allowBlank="1" showInputMessage="1" showErrorMessage="1" sqref="A9977">
      <formula1>0</formula1>
    </dataValidation>
    <dataValidation type="list" allowBlank="1" showInputMessage="1" showErrorMessage="1" sqref="C9977">
      <formula1>UnidadesList</formula1>
    </dataValidation>
    <dataValidation type="decimal" operator="greaterThan" allowBlank="1" showInputMessage="1" showErrorMessage="1" sqref="D9977">
      <formula1>0</formula1>
    </dataValidation>
    <dataValidation type="decimal" operator="greaterThan" allowBlank="1" showInputMessage="1" showErrorMessage="1" sqref="E9977">
      <formula1>0</formula1>
    </dataValidation>
    <dataValidation type="whole" operator="greaterThan" allowBlank="1" showInputMessage="1" showErrorMessage="1" sqref="A9978">
      <formula1>0</formula1>
    </dataValidation>
    <dataValidation type="list" allowBlank="1" showInputMessage="1" showErrorMessage="1" sqref="C9978">
      <formula1>UnidadesList</formula1>
    </dataValidation>
    <dataValidation type="decimal" operator="greaterThan" allowBlank="1" showInputMessage="1" showErrorMessage="1" sqref="D9978">
      <formula1>0</formula1>
    </dataValidation>
    <dataValidation type="decimal" operator="greaterThan" allowBlank="1" showInputMessage="1" showErrorMessage="1" sqref="E9978">
      <formula1>0</formula1>
    </dataValidation>
    <dataValidation type="whole" operator="greaterThan" allowBlank="1" showInputMessage="1" showErrorMessage="1" sqref="A9979">
      <formula1>0</formula1>
    </dataValidation>
    <dataValidation type="list" allowBlank="1" showInputMessage="1" showErrorMessage="1" sqref="C9979">
      <formula1>UnidadesList</formula1>
    </dataValidation>
    <dataValidation type="decimal" operator="greaterThan" allowBlank="1" showInputMessage="1" showErrorMessage="1" sqref="D9979">
      <formula1>0</formula1>
    </dataValidation>
    <dataValidation type="decimal" operator="greaterThan" allowBlank="1" showInputMessage="1" showErrorMessage="1" sqref="E9979">
      <formula1>0</formula1>
    </dataValidation>
    <dataValidation type="whole" operator="greaterThan" allowBlank="1" showInputMessage="1" showErrorMessage="1" sqref="A9980">
      <formula1>0</formula1>
    </dataValidation>
    <dataValidation type="list" allowBlank="1" showInputMessage="1" showErrorMessage="1" sqref="C9980">
      <formula1>UnidadesList</formula1>
    </dataValidation>
    <dataValidation type="decimal" operator="greaterThan" allowBlank="1" showInputMessage="1" showErrorMessage="1" sqref="D9980">
      <formula1>0</formula1>
    </dataValidation>
    <dataValidation type="decimal" operator="greaterThan" allowBlank="1" showInputMessage="1" showErrorMessage="1" sqref="E9980">
      <formula1>0</formula1>
    </dataValidation>
    <dataValidation type="whole" operator="greaterThan" allowBlank="1" showInputMessage="1" showErrorMessage="1" sqref="A9981">
      <formula1>0</formula1>
    </dataValidation>
    <dataValidation type="list" allowBlank="1" showInputMessage="1" showErrorMessage="1" sqref="C9981">
      <formula1>UnidadesList</formula1>
    </dataValidation>
    <dataValidation type="decimal" operator="greaterThan" allowBlank="1" showInputMessage="1" showErrorMessage="1" sqref="D9981">
      <formula1>0</formula1>
    </dataValidation>
    <dataValidation type="decimal" operator="greaterThan" allowBlank="1" showInputMessage="1" showErrorMessage="1" sqref="E9981">
      <formula1>0</formula1>
    </dataValidation>
    <dataValidation type="whole" operator="greaterThan" allowBlank="1" showInputMessage="1" showErrorMessage="1" sqref="A9982">
      <formula1>0</formula1>
    </dataValidation>
    <dataValidation type="list" allowBlank="1" showInputMessage="1" showErrorMessage="1" sqref="C9982">
      <formula1>UnidadesList</formula1>
    </dataValidation>
    <dataValidation type="decimal" operator="greaterThan" allowBlank="1" showInputMessage="1" showErrorMessage="1" sqref="D9982">
      <formula1>0</formula1>
    </dataValidation>
    <dataValidation type="decimal" operator="greaterThan" allowBlank="1" showInputMessage="1" showErrorMessage="1" sqref="E9982">
      <formula1>0</formula1>
    </dataValidation>
    <dataValidation type="whole" operator="greaterThan" allowBlank="1" showInputMessage="1" showErrorMessage="1" sqref="A9983">
      <formula1>0</formula1>
    </dataValidation>
    <dataValidation type="list" allowBlank="1" showInputMessage="1" showErrorMessage="1" sqref="C9983">
      <formula1>UnidadesList</formula1>
    </dataValidation>
    <dataValidation type="decimal" operator="greaterThan" allowBlank="1" showInputMessage="1" showErrorMessage="1" sqref="D9983">
      <formula1>0</formula1>
    </dataValidation>
    <dataValidation type="decimal" operator="greaterThan" allowBlank="1" showInputMessage="1" showErrorMessage="1" sqref="E9983">
      <formula1>0</formula1>
    </dataValidation>
    <dataValidation type="whole" operator="greaterThan" allowBlank="1" showInputMessage="1" showErrorMessage="1" sqref="A9984">
      <formula1>0</formula1>
    </dataValidation>
    <dataValidation type="list" allowBlank="1" showInputMessage="1" showErrorMessage="1" sqref="C9984">
      <formula1>UnidadesList</formula1>
    </dataValidation>
    <dataValidation type="decimal" operator="greaterThan" allowBlank="1" showInputMessage="1" showErrorMessage="1" sqref="D9984">
      <formula1>0</formula1>
    </dataValidation>
    <dataValidation type="decimal" operator="greaterThan" allowBlank="1" showInputMessage="1" showErrorMessage="1" sqref="E9984">
      <formula1>0</formula1>
    </dataValidation>
    <dataValidation type="whole" operator="greaterThan" allowBlank="1" showInputMessage="1" showErrorMessage="1" sqref="A9985">
      <formula1>0</formula1>
    </dataValidation>
    <dataValidation type="list" allowBlank="1" showInputMessage="1" showErrorMessage="1" sqref="C9985">
      <formula1>UnidadesList</formula1>
    </dataValidation>
    <dataValidation type="decimal" operator="greaterThan" allowBlank="1" showInputMessage="1" showErrorMessage="1" sqref="D9985">
      <formula1>0</formula1>
    </dataValidation>
    <dataValidation type="decimal" operator="greaterThan" allowBlank="1" showInputMessage="1" showErrorMessage="1" sqref="E9985">
      <formula1>0</formula1>
    </dataValidation>
    <dataValidation type="whole" operator="greaterThan" allowBlank="1" showInputMessage="1" showErrorMessage="1" sqref="A9986">
      <formula1>0</formula1>
    </dataValidation>
    <dataValidation type="list" allowBlank="1" showInputMessage="1" showErrorMessage="1" sqref="C9986">
      <formula1>UnidadesList</formula1>
    </dataValidation>
    <dataValidation type="decimal" operator="greaterThan" allowBlank="1" showInputMessage="1" showErrorMessage="1" sqref="D9986">
      <formula1>0</formula1>
    </dataValidation>
    <dataValidation type="decimal" operator="greaterThan" allowBlank="1" showInputMessage="1" showErrorMessage="1" sqref="E9986">
      <formula1>0</formula1>
    </dataValidation>
    <dataValidation type="whole" operator="greaterThan" allowBlank="1" showInputMessage="1" showErrorMessage="1" sqref="A9987">
      <formula1>0</formula1>
    </dataValidation>
    <dataValidation type="list" allowBlank="1" showInputMessage="1" showErrorMessage="1" sqref="C9987">
      <formula1>UnidadesList</formula1>
    </dataValidation>
    <dataValidation type="decimal" operator="greaterThan" allowBlank="1" showInputMessage="1" showErrorMessage="1" sqref="D9987">
      <formula1>0</formula1>
    </dataValidation>
    <dataValidation type="decimal" operator="greaterThan" allowBlank="1" showInputMessage="1" showErrorMessage="1" sqref="E9987">
      <formula1>0</formula1>
    </dataValidation>
    <dataValidation type="whole" operator="greaterThan" allowBlank="1" showInputMessage="1" showErrorMessage="1" sqref="A9988">
      <formula1>0</formula1>
    </dataValidation>
    <dataValidation type="list" allowBlank="1" showInputMessage="1" showErrorMessage="1" sqref="C9988">
      <formula1>UnidadesList</formula1>
    </dataValidation>
    <dataValidation type="decimal" operator="greaterThan" allowBlank="1" showInputMessage="1" showErrorMessage="1" sqref="D9988">
      <formula1>0</formula1>
    </dataValidation>
    <dataValidation type="decimal" operator="greaterThan" allowBlank="1" showInputMessage="1" showErrorMessage="1" sqref="E9988">
      <formula1>0</formula1>
    </dataValidation>
    <dataValidation type="whole" operator="greaterThan" allowBlank="1" showInputMessage="1" showErrorMessage="1" sqref="A9989">
      <formula1>0</formula1>
    </dataValidation>
    <dataValidation type="list" allowBlank="1" showInputMessage="1" showErrorMessage="1" sqref="C9989">
      <formula1>UnidadesList</formula1>
    </dataValidation>
    <dataValidation type="decimal" operator="greaterThan" allowBlank="1" showInputMessage="1" showErrorMessage="1" sqref="D9989">
      <formula1>0</formula1>
    </dataValidation>
    <dataValidation type="decimal" operator="greaterThan" allowBlank="1" showInputMessage="1" showErrorMessage="1" sqref="E9989">
      <formula1>0</formula1>
    </dataValidation>
    <dataValidation type="whole" operator="greaterThan" allowBlank="1" showInputMessage="1" showErrorMessage="1" sqref="A9990">
      <formula1>0</formula1>
    </dataValidation>
    <dataValidation type="list" allowBlank="1" showInputMessage="1" showErrorMessage="1" sqref="C9990">
      <formula1>UnidadesList</formula1>
    </dataValidation>
    <dataValidation type="decimal" operator="greaterThan" allowBlank="1" showInputMessage="1" showErrorMessage="1" sqref="D9990">
      <formula1>0</formula1>
    </dataValidation>
    <dataValidation type="decimal" operator="greaterThan" allowBlank="1" showInputMessage="1" showErrorMessage="1" sqref="E9990">
      <formula1>0</formula1>
    </dataValidation>
    <dataValidation type="whole" operator="greaterThan" allowBlank="1" showInputMessage="1" showErrorMessage="1" sqref="A9991">
      <formula1>0</formula1>
    </dataValidation>
    <dataValidation type="list" allowBlank="1" showInputMessage="1" showErrorMessage="1" sqref="C9991">
      <formula1>UnidadesList</formula1>
    </dataValidation>
    <dataValidation type="decimal" operator="greaterThan" allowBlank="1" showInputMessage="1" showErrorMessage="1" sqref="D9991">
      <formula1>0</formula1>
    </dataValidation>
    <dataValidation type="decimal" operator="greaterThan" allowBlank="1" showInputMessage="1" showErrorMessage="1" sqref="E9991">
      <formula1>0</formula1>
    </dataValidation>
    <dataValidation type="whole" operator="greaterThan" allowBlank="1" showInputMessage="1" showErrorMessage="1" sqref="A9992">
      <formula1>0</formula1>
    </dataValidation>
    <dataValidation type="list" allowBlank="1" showInputMessage="1" showErrorMessage="1" sqref="C9992">
      <formula1>UnidadesList</formula1>
    </dataValidation>
    <dataValidation type="decimal" operator="greaterThan" allowBlank="1" showInputMessage="1" showErrorMessage="1" sqref="D9992">
      <formula1>0</formula1>
    </dataValidation>
    <dataValidation type="decimal" operator="greaterThan" allowBlank="1" showInputMessage="1" showErrorMessage="1" sqref="E9992">
      <formula1>0</formula1>
    </dataValidation>
    <dataValidation type="whole" operator="greaterThan" allowBlank="1" showInputMessage="1" showErrorMessage="1" sqref="A9993">
      <formula1>0</formula1>
    </dataValidation>
    <dataValidation type="list" allowBlank="1" showInputMessage="1" showErrorMessage="1" sqref="C9993">
      <formula1>UnidadesList</formula1>
    </dataValidation>
    <dataValidation type="decimal" operator="greaterThan" allowBlank="1" showInputMessage="1" showErrorMessage="1" sqref="D9993">
      <formula1>0</formula1>
    </dataValidation>
    <dataValidation type="decimal" operator="greaterThan" allowBlank="1" showInputMessage="1" showErrorMessage="1" sqref="E9993">
      <formula1>0</formula1>
    </dataValidation>
    <dataValidation type="whole" operator="greaterThan" allowBlank="1" showInputMessage="1" showErrorMessage="1" sqref="A9994">
      <formula1>0</formula1>
    </dataValidation>
    <dataValidation type="list" allowBlank="1" showInputMessage="1" showErrorMessage="1" sqref="C9994">
      <formula1>UnidadesList</formula1>
    </dataValidation>
    <dataValidation type="decimal" operator="greaterThan" allowBlank="1" showInputMessage="1" showErrorMessage="1" sqref="D9994">
      <formula1>0</formula1>
    </dataValidation>
    <dataValidation type="decimal" operator="greaterThan" allowBlank="1" showInputMessage="1" showErrorMessage="1" sqref="E9994">
      <formula1>0</formula1>
    </dataValidation>
    <dataValidation type="whole" operator="greaterThan" allowBlank="1" showInputMessage="1" showErrorMessage="1" sqref="A9995">
      <formula1>0</formula1>
    </dataValidation>
    <dataValidation type="list" allowBlank="1" showInputMessage="1" showErrorMessage="1" sqref="C9995">
      <formula1>UnidadesList</formula1>
    </dataValidation>
    <dataValidation type="decimal" operator="greaterThan" allowBlank="1" showInputMessage="1" showErrorMessage="1" sqref="D9995">
      <formula1>0</formula1>
    </dataValidation>
    <dataValidation type="decimal" operator="greaterThan" allowBlank="1" showInputMessage="1" showErrorMessage="1" sqref="E9995">
      <formula1>0</formula1>
    </dataValidation>
    <dataValidation type="whole" operator="greaterThan" allowBlank="1" showInputMessage="1" showErrorMessage="1" sqref="A9996">
      <formula1>0</formula1>
    </dataValidation>
    <dataValidation type="list" allowBlank="1" showInputMessage="1" showErrorMessage="1" sqref="C9996">
      <formula1>UnidadesList</formula1>
    </dataValidation>
    <dataValidation type="decimal" operator="greaterThan" allowBlank="1" showInputMessage="1" showErrorMessage="1" sqref="D9996">
      <formula1>0</formula1>
    </dataValidation>
    <dataValidation type="decimal" operator="greaterThan" allowBlank="1" showInputMessage="1" showErrorMessage="1" sqref="E9996">
      <formula1>0</formula1>
    </dataValidation>
    <dataValidation type="whole" operator="greaterThan" allowBlank="1" showInputMessage="1" showErrorMessage="1" sqref="A9997">
      <formula1>0</formula1>
    </dataValidation>
    <dataValidation type="list" allowBlank="1" showInputMessage="1" showErrorMessage="1" sqref="C9997">
      <formula1>UnidadesList</formula1>
    </dataValidation>
    <dataValidation type="decimal" operator="greaterThan" allowBlank="1" showInputMessage="1" showErrorMessage="1" sqref="D9997">
      <formula1>0</formula1>
    </dataValidation>
    <dataValidation type="decimal" operator="greaterThan" allowBlank="1" showInputMessage="1" showErrorMessage="1" sqref="E9997">
      <formula1>0</formula1>
    </dataValidation>
    <dataValidation type="whole" operator="greaterThan" allowBlank="1" showInputMessage="1" showErrorMessage="1" sqref="A9998">
      <formula1>0</formula1>
    </dataValidation>
    <dataValidation type="list" allowBlank="1" showInputMessage="1" showErrorMessage="1" sqref="C9998">
      <formula1>UnidadesList</formula1>
    </dataValidation>
    <dataValidation type="decimal" operator="greaterThan" allowBlank="1" showInputMessage="1" showErrorMessage="1" sqref="D9998">
      <formula1>0</formula1>
    </dataValidation>
    <dataValidation type="decimal" operator="greaterThan" allowBlank="1" showInputMessage="1" showErrorMessage="1" sqref="E9998">
      <formula1>0</formula1>
    </dataValidation>
    <dataValidation type="whole" operator="greaterThan" allowBlank="1" showInputMessage="1" showErrorMessage="1" sqref="A9999">
      <formula1>0</formula1>
    </dataValidation>
    <dataValidation type="list" allowBlank="1" showInputMessage="1" showErrorMessage="1" sqref="C9999">
      <formula1>UnidadesList</formula1>
    </dataValidation>
    <dataValidation type="decimal" operator="greaterThan" allowBlank="1" showInputMessage="1" showErrorMessage="1" sqref="D9999">
      <formula1>0</formula1>
    </dataValidation>
    <dataValidation type="decimal" operator="greaterThan" allowBlank="1" showInputMessage="1" showErrorMessage="1" sqref="E9999">
      <formula1>0</formula1>
    </dataValidation>
    <dataValidation type="whole" operator="greaterThan" allowBlank="1" showInputMessage="1" showErrorMessage="1" sqref="A10000">
      <formula1>0</formula1>
    </dataValidation>
    <dataValidation type="list" allowBlank="1" showInputMessage="1" showErrorMessage="1" sqref="C10000">
      <formula1>UnidadesList</formula1>
    </dataValidation>
    <dataValidation type="decimal" operator="greaterThan" allowBlank="1" showInputMessage="1" showErrorMessage="1" sqref="D10000">
      <formula1>0</formula1>
    </dataValidation>
    <dataValidation type="decimal" operator="greaterThan" allowBlank="1" showInputMessage="1" showErrorMessage="1" sqref="E10000">
      <formula1>0</formula1>
    </dataValidation>
    <dataValidation type="whole" operator="greaterThan" allowBlank="1" showInputMessage="1" showErrorMessage="1" sqref="A10001">
      <formula1>0</formula1>
    </dataValidation>
    <dataValidation type="list" allowBlank="1" showInputMessage="1" showErrorMessage="1" sqref="C10001">
      <formula1>UnidadesList</formula1>
    </dataValidation>
    <dataValidation type="decimal" operator="greaterThan" allowBlank="1" showInputMessage="1" showErrorMessage="1" sqref="D10001">
      <formula1>0</formula1>
    </dataValidation>
    <dataValidation type="decimal" operator="greaterThan" allowBlank="1" showInputMessage="1" showErrorMessage="1" sqref="E10001">
      <formula1>0</formula1>
    </dataValidation>
    <dataValidation type="whole" operator="greaterThan" allowBlank="1" showInputMessage="1" showErrorMessage="1" sqref="A10002">
      <formula1>0</formula1>
    </dataValidation>
    <dataValidation type="list" allowBlank="1" showInputMessage="1" showErrorMessage="1" sqref="C10002">
      <formula1>UnidadesList</formula1>
    </dataValidation>
    <dataValidation type="decimal" operator="greaterThan" allowBlank="1" showInputMessage="1" showErrorMessage="1" sqref="D10002">
      <formula1>0</formula1>
    </dataValidation>
    <dataValidation type="decimal" operator="greaterThan" allowBlank="1" showInputMessage="1" showErrorMessage="1" sqref="E10002">
      <formula1>0</formula1>
    </dataValidation>
    <dataValidation type="whole" operator="greaterThan" allowBlank="1" showInputMessage="1" showErrorMessage="1" sqref="A10003">
      <formula1>0</formula1>
    </dataValidation>
    <dataValidation type="list" allowBlank="1" showInputMessage="1" showErrorMessage="1" sqref="C10003">
      <formula1>UnidadesList</formula1>
    </dataValidation>
    <dataValidation type="decimal" operator="greaterThan" allowBlank="1" showInputMessage="1" showErrorMessage="1" sqref="D10003">
      <formula1>0</formula1>
    </dataValidation>
    <dataValidation type="decimal" operator="greaterThan" allowBlank="1" showInputMessage="1" showErrorMessage="1" sqref="E10003">
      <formula1>0</formula1>
    </dataValidation>
    <dataValidation type="whole" operator="greaterThan" allowBlank="1" showInputMessage="1" showErrorMessage="1" sqref="A10004">
      <formula1>0</formula1>
    </dataValidation>
    <dataValidation type="list" allowBlank="1" showInputMessage="1" showErrorMessage="1" sqref="C10004">
      <formula1>UnidadesList</formula1>
    </dataValidation>
    <dataValidation type="decimal" operator="greaterThan" allowBlank="1" showInputMessage="1" showErrorMessage="1" sqref="D10004">
      <formula1>0</formula1>
    </dataValidation>
    <dataValidation type="decimal" operator="greaterThan" allowBlank="1" showInputMessage="1" showErrorMessage="1" sqref="E10004">
      <formula1>0</formula1>
    </dataValidation>
    <dataValidation type="whole" operator="greaterThan" allowBlank="1" showInputMessage="1" showErrorMessage="1" sqref="A10005">
      <formula1>0</formula1>
    </dataValidation>
    <dataValidation type="list" allowBlank="1" showInputMessage="1" showErrorMessage="1" sqref="C10005">
      <formula1>UnidadesList</formula1>
    </dataValidation>
    <dataValidation type="decimal" operator="greaterThan" allowBlank="1" showInputMessage="1" showErrorMessage="1" sqref="D10005">
      <formula1>0</formula1>
    </dataValidation>
    <dataValidation type="decimal" operator="greaterThan" allowBlank="1" showInputMessage="1" showErrorMessage="1" sqref="E10005">
      <formula1>0</formula1>
    </dataValidation>
    <dataValidation type="whole" operator="greaterThan" allowBlank="1" showInputMessage="1" showErrorMessage="1" sqref="A10006">
      <formula1>0</formula1>
    </dataValidation>
    <dataValidation type="list" allowBlank="1" showInputMessage="1" showErrorMessage="1" sqref="C10006">
      <formula1>UnidadesList</formula1>
    </dataValidation>
    <dataValidation type="decimal" operator="greaterThan" allowBlank="1" showInputMessage="1" showErrorMessage="1" sqref="D10006">
      <formula1>0</formula1>
    </dataValidation>
    <dataValidation type="decimal" operator="greaterThan" allowBlank="1" showInputMessage="1" showErrorMessage="1" sqref="E10006">
      <formula1>0</formula1>
    </dataValidation>
    <dataValidation type="whole" operator="greaterThan" allowBlank="1" showInputMessage="1" showErrorMessage="1" sqref="A10007">
      <formula1>0</formula1>
    </dataValidation>
    <dataValidation type="list" allowBlank="1" showInputMessage="1" showErrorMessage="1" sqref="C10007">
      <formula1>UnidadesList</formula1>
    </dataValidation>
    <dataValidation type="decimal" operator="greaterThan" allowBlank="1" showInputMessage="1" showErrorMessage="1" sqref="D10007">
      <formula1>0</formula1>
    </dataValidation>
    <dataValidation type="decimal" operator="greaterThan" allowBlank="1" showInputMessage="1" showErrorMessage="1" sqref="E10007">
      <formula1>0</formula1>
    </dataValidation>
    <dataValidation type="whole" operator="greaterThan" allowBlank="1" showInputMessage="1" showErrorMessage="1" sqref="A10008">
      <formula1>0</formula1>
    </dataValidation>
    <dataValidation type="list" allowBlank="1" showInputMessage="1" showErrorMessage="1" sqref="C10008">
      <formula1>UnidadesList</formula1>
    </dataValidation>
    <dataValidation type="decimal" operator="greaterThan" allowBlank="1" showInputMessage="1" showErrorMessage="1" sqref="D10008">
      <formula1>0</formula1>
    </dataValidation>
    <dataValidation type="decimal" operator="greaterThan" allowBlank="1" showInputMessage="1" showErrorMessage="1" sqref="E10008">
      <formula1>0</formula1>
    </dataValidation>
    <dataValidation type="whole" operator="greaterThan" allowBlank="1" showInputMessage="1" showErrorMessage="1" sqref="A10009">
      <formula1>0</formula1>
    </dataValidation>
    <dataValidation type="list" allowBlank="1" showInputMessage="1" showErrorMessage="1" sqref="C10009">
      <formula1>UnidadesList</formula1>
    </dataValidation>
    <dataValidation type="decimal" operator="greaterThan" allowBlank="1" showInputMessage="1" showErrorMessage="1" sqref="D10009">
      <formula1>0</formula1>
    </dataValidation>
    <dataValidation type="decimal" operator="greaterThan" allowBlank="1" showInputMessage="1" showErrorMessage="1" sqref="E10009">
      <formula1>0</formula1>
    </dataValidation>
    <dataValidation type="whole" operator="greaterThan" allowBlank="1" showInputMessage="1" showErrorMessage="1" sqref="A10010">
      <formula1>0</formula1>
    </dataValidation>
    <dataValidation type="list" allowBlank="1" showInputMessage="1" showErrorMessage="1" sqref="C10010">
      <formula1>UnidadesList</formula1>
    </dataValidation>
    <dataValidation type="decimal" operator="greaterThan" allowBlank="1" showInputMessage="1" showErrorMessage="1" sqref="D10010">
      <formula1>0</formula1>
    </dataValidation>
    <dataValidation type="decimal" operator="greaterThan" allowBlank="1" showInputMessage="1" showErrorMessage="1" sqref="E10010">
      <formula1>0</formula1>
    </dataValidation>
    <dataValidation type="whole" operator="greaterThan" allowBlank="1" showInputMessage="1" showErrorMessage="1" sqref="A10011">
      <formula1>0</formula1>
    </dataValidation>
    <dataValidation type="list" allowBlank="1" showInputMessage="1" showErrorMessage="1" sqref="C10011">
      <formula1>UnidadesList</formula1>
    </dataValidation>
    <dataValidation type="decimal" operator="greaterThan" allowBlank="1" showInputMessage="1" showErrorMessage="1" sqref="D10011">
      <formula1>0</formula1>
    </dataValidation>
    <dataValidation type="decimal" operator="greaterThan" allowBlank="1" showInputMessage="1" showErrorMessage="1" sqref="E10011">
      <formula1>0</formula1>
    </dataValidation>
    <dataValidation type="whole" operator="greaterThan" allowBlank="1" showInputMessage="1" showErrorMessage="1" sqref="A10012">
      <formula1>0</formula1>
    </dataValidation>
    <dataValidation type="list" allowBlank="1" showInputMessage="1" showErrorMessage="1" sqref="C10012">
      <formula1>UnidadesList</formula1>
    </dataValidation>
    <dataValidation type="decimal" operator="greaterThan" allowBlank="1" showInputMessage="1" showErrorMessage="1" sqref="D10012">
      <formula1>0</formula1>
    </dataValidation>
    <dataValidation type="decimal" operator="greaterThan" allowBlank="1" showInputMessage="1" showErrorMessage="1" sqref="E10012">
      <formula1>0</formula1>
    </dataValidation>
    <dataValidation type="whole" operator="greaterThan" allowBlank="1" showInputMessage="1" showErrorMessage="1" sqref="A10013">
      <formula1>0</formula1>
    </dataValidation>
    <dataValidation type="list" allowBlank="1" showInputMessage="1" showErrorMessage="1" sqref="C10013">
      <formula1>UnidadesList</formula1>
    </dataValidation>
    <dataValidation type="decimal" operator="greaterThan" allowBlank="1" showInputMessage="1" showErrorMessage="1" sqref="D10013">
      <formula1>0</formula1>
    </dataValidation>
    <dataValidation type="decimal" operator="greaterThan" allowBlank="1" showInputMessage="1" showErrorMessage="1" sqref="E10013">
      <formula1>0</formula1>
    </dataValidation>
    <dataValidation type="whole" operator="greaterThan" allowBlank="1" showInputMessage="1" showErrorMessage="1" sqref="A10014">
      <formula1>0</formula1>
    </dataValidation>
    <dataValidation type="list" allowBlank="1" showInputMessage="1" showErrorMessage="1" sqref="C10014">
      <formula1>UnidadesList</formula1>
    </dataValidation>
    <dataValidation type="decimal" operator="greaterThan" allowBlank="1" showInputMessage="1" showErrorMessage="1" sqref="D10014">
      <formula1>0</formula1>
    </dataValidation>
    <dataValidation type="decimal" operator="greaterThan" allowBlank="1" showInputMessage="1" showErrorMessage="1" sqref="E10014">
      <formula1>0</formula1>
    </dataValidation>
    <dataValidation type="whole" operator="greaterThan" allowBlank="1" showInputMessage="1" showErrorMessage="1" sqref="A10015">
      <formula1>0</formula1>
    </dataValidation>
    <dataValidation type="list" allowBlank="1" showInputMessage="1" showErrorMessage="1" sqref="C10015">
      <formula1>UnidadesList</formula1>
    </dataValidation>
    <dataValidation type="decimal" operator="greaterThan" allowBlank="1" showInputMessage="1" showErrorMessage="1" sqref="D10015">
      <formula1>0</formula1>
    </dataValidation>
    <dataValidation type="decimal" operator="greaterThan" allowBlank="1" showInputMessage="1" showErrorMessage="1" sqref="E10015">
      <formula1>0</formula1>
    </dataValidation>
    <dataValidation type="whole" operator="greaterThan" allowBlank="1" showInputMessage="1" showErrorMessage="1" sqref="A10016">
      <formula1>0</formula1>
    </dataValidation>
    <dataValidation type="list" allowBlank="1" showInputMessage="1" showErrorMessage="1" sqref="C10016">
      <formula1>UnidadesList</formula1>
    </dataValidation>
    <dataValidation type="decimal" operator="greaterThan" allowBlank="1" showInputMessage="1" showErrorMessage="1" sqref="D10016">
      <formula1>0</formula1>
    </dataValidation>
    <dataValidation type="decimal" operator="greaterThan" allowBlank="1" showInputMessage="1" showErrorMessage="1" sqref="E10016">
      <formula1>0</formula1>
    </dataValidation>
    <dataValidation type="whole" operator="greaterThan" allowBlank="1" showInputMessage="1" showErrorMessage="1" sqref="A10017">
      <formula1>0</formula1>
    </dataValidation>
    <dataValidation type="list" allowBlank="1" showInputMessage="1" showErrorMessage="1" sqref="C10017">
      <formula1>UnidadesList</formula1>
    </dataValidation>
    <dataValidation type="decimal" operator="greaterThan" allowBlank="1" showInputMessage="1" showErrorMessage="1" sqref="D10017">
      <formula1>0</formula1>
    </dataValidation>
    <dataValidation type="decimal" operator="greaterThan" allowBlank="1" showInputMessage="1" showErrorMessage="1" sqref="E10017">
      <formula1>0</formula1>
    </dataValidation>
    <dataValidation type="whole" operator="greaterThan" allowBlank="1" showInputMessage="1" showErrorMessage="1" sqref="A10018">
      <formula1>0</formula1>
    </dataValidation>
    <dataValidation type="list" allowBlank="1" showInputMessage="1" showErrorMessage="1" sqref="C10018">
      <formula1>UnidadesList</formula1>
    </dataValidation>
    <dataValidation type="decimal" operator="greaterThan" allowBlank="1" showInputMessage="1" showErrorMessage="1" sqref="D10018">
      <formula1>0</formula1>
    </dataValidation>
    <dataValidation type="decimal" operator="greaterThan" allowBlank="1" showInputMessage="1" showErrorMessage="1" sqref="E10018">
      <formula1>0</formula1>
    </dataValidation>
    <dataValidation type="whole" operator="greaterThan" allowBlank="1" showInputMessage="1" showErrorMessage="1" sqref="A10019">
      <formula1>0</formula1>
    </dataValidation>
    <dataValidation type="list" allowBlank="1" showInputMessage="1" showErrorMessage="1" sqref="C10019">
      <formula1>UnidadesList</formula1>
    </dataValidation>
    <dataValidation type="decimal" operator="greaterThan" allowBlank="1" showInputMessage="1" showErrorMessage="1" sqref="D10019">
      <formula1>0</formula1>
    </dataValidation>
    <dataValidation type="decimal" operator="greaterThan" allowBlank="1" showInputMessage="1" showErrorMessage="1" sqref="E10019">
      <formula1>0</formula1>
    </dataValidation>
    <dataValidation type="whole" operator="greaterThan" allowBlank="1" showInputMessage="1" showErrorMessage="1" sqref="A10020">
      <formula1>0</formula1>
    </dataValidation>
    <dataValidation type="list" allowBlank="1" showInputMessage="1" showErrorMessage="1" sqref="C10020">
      <formula1>UnidadesList</formula1>
    </dataValidation>
    <dataValidation type="decimal" operator="greaterThan" allowBlank="1" showInputMessage="1" showErrorMessage="1" sqref="D10020">
      <formula1>0</formula1>
    </dataValidation>
    <dataValidation type="decimal" operator="greaterThan" allowBlank="1" showInputMessage="1" showErrorMessage="1" sqref="E10020">
      <formula1>0</formula1>
    </dataValidation>
    <dataValidation type="whole" operator="greaterThan" allowBlank="1" showInputMessage="1" showErrorMessage="1" sqref="A10021">
      <formula1>0</formula1>
    </dataValidation>
    <dataValidation type="list" allowBlank="1" showInputMessage="1" showErrorMessage="1" sqref="C10021">
      <formula1>UnidadesList</formula1>
    </dataValidation>
    <dataValidation type="decimal" operator="greaterThan" allowBlank="1" showInputMessage="1" showErrorMessage="1" sqref="D10021">
      <formula1>0</formula1>
    </dataValidation>
    <dataValidation type="decimal" operator="greaterThan" allowBlank="1" showInputMessage="1" showErrorMessage="1" sqref="E10021">
      <formula1>0</formula1>
    </dataValidation>
    <dataValidation type="whole" operator="greaterThan" allowBlank="1" showInputMessage="1" showErrorMessage="1" sqref="A10022">
      <formula1>0</formula1>
    </dataValidation>
    <dataValidation type="list" allowBlank="1" showInputMessage="1" showErrorMessage="1" sqref="C10022">
      <formula1>UnidadesList</formula1>
    </dataValidation>
    <dataValidation type="decimal" operator="greaterThan" allowBlank="1" showInputMessage="1" showErrorMessage="1" sqref="D10022">
      <formula1>0</formula1>
    </dataValidation>
    <dataValidation type="decimal" operator="greaterThan" allowBlank="1" showInputMessage="1" showErrorMessage="1" sqref="E10022">
      <formula1>0</formula1>
    </dataValidation>
    <dataValidation type="whole" operator="greaterThan" allowBlank="1" showInputMessage="1" showErrorMessage="1" sqref="A10023">
      <formula1>0</formula1>
    </dataValidation>
    <dataValidation type="list" allowBlank="1" showInputMessage="1" showErrorMessage="1" sqref="C10023">
      <formula1>UnidadesList</formula1>
    </dataValidation>
    <dataValidation type="decimal" operator="greaterThan" allowBlank="1" showInputMessage="1" showErrorMessage="1" sqref="D10023">
      <formula1>0</formula1>
    </dataValidation>
    <dataValidation type="decimal" operator="greaterThan" allowBlank="1" showInputMessage="1" showErrorMessage="1" sqref="E10023">
      <formula1>0</formula1>
    </dataValidation>
    <dataValidation type="whole" operator="greaterThan" allowBlank="1" showInputMessage="1" showErrorMessage="1" sqref="A10024">
      <formula1>0</formula1>
    </dataValidation>
    <dataValidation type="list" allowBlank="1" showInputMessage="1" showErrorMessage="1" sqref="C10024">
      <formula1>UnidadesList</formula1>
    </dataValidation>
    <dataValidation type="decimal" operator="greaterThan" allowBlank="1" showInputMessage="1" showErrorMessage="1" sqref="D10024">
      <formula1>0</formula1>
    </dataValidation>
    <dataValidation type="decimal" operator="greaterThan" allowBlank="1" showInputMessage="1" showErrorMessage="1" sqref="E10024">
      <formula1>0</formula1>
    </dataValidation>
    <dataValidation type="whole" operator="greaterThan" allowBlank="1" showInputMessage="1" showErrorMessage="1" sqref="A10025">
      <formula1>0</formula1>
    </dataValidation>
    <dataValidation type="list" allowBlank="1" showInputMessage="1" showErrorMessage="1" sqref="C10025">
      <formula1>UnidadesList</formula1>
    </dataValidation>
    <dataValidation type="decimal" operator="greaterThan" allowBlank="1" showInputMessage="1" showErrorMessage="1" sqref="D10025">
      <formula1>0</formula1>
    </dataValidation>
    <dataValidation type="decimal" operator="greaterThan" allowBlank="1" showInputMessage="1" showErrorMessage="1" sqref="E10025">
      <formula1>0</formula1>
    </dataValidation>
    <dataValidation type="whole" operator="greaterThan" allowBlank="1" showInputMessage="1" showErrorMessage="1" sqref="A10026">
      <formula1>0</formula1>
    </dataValidation>
    <dataValidation type="list" allowBlank="1" showInputMessage="1" showErrorMessage="1" sqref="C10026">
      <formula1>UnidadesList</formula1>
    </dataValidation>
    <dataValidation type="decimal" operator="greaterThan" allowBlank="1" showInputMessage="1" showErrorMessage="1" sqref="D10026">
      <formula1>0</formula1>
    </dataValidation>
    <dataValidation type="decimal" operator="greaterThan" allowBlank="1" showInputMessage="1" showErrorMessage="1" sqref="E10026">
      <formula1>0</formula1>
    </dataValidation>
    <dataValidation type="whole" operator="greaterThan" allowBlank="1" showInputMessage="1" showErrorMessage="1" sqref="A10027">
      <formula1>0</formula1>
    </dataValidation>
    <dataValidation type="list" allowBlank="1" showInputMessage="1" showErrorMessage="1" sqref="C10027">
      <formula1>UnidadesList</formula1>
    </dataValidation>
    <dataValidation type="decimal" operator="greaterThan" allowBlank="1" showInputMessage="1" showErrorMessage="1" sqref="D10027">
      <formula1>0</formula1>
    </dataValidation>
    <dataValidation type="decimal" operator="greaterThan" allowBlank="1" showInputMessage="1" showErrorMessage="1" sqref="E10027">
      <formula1>0</formula1>
    </dataValidation>
    <dataValidation type="whole" operator="greaterThan" allowBlank="1" showInputMessage="1" showErrorMessage="1" sqref="A10028">
      <formula1>0</formula1>
    </dataValidation>
    <dataValidation type="list" allowBlank="1" showInputMessage="1" showErrorMessage="1" sqref="C10028">
      <formula1>UnidadesList</formula1>
    </dataValidation>
    <dataValidation type="decimal" operator="greaterThan" allowBlank="1" showInputMessage="1" showErrorMessage="1" sqref="D10028">
      <formula1>0</formula1>
    </dataValidation>
    <dataValidation type="decimal" operator="greaterThan" allowBlank="1" showInputMessage="1" showErrorMessage="1" sqref="E10028">
      <formula1>0</formula1>
    </dataValidation>
    <dataValidation type="whole" operator="greaterThan" allowBlank="1" showInputMessage="1" showErrorMessage="1" sqref="A10029">
      <formula1>0</formula1>
    </dataValidation>
    <dataValidation type="list" allowBlank="1" showInputMessage="1" showErrorMessage="1" sqref="C10029">
      <formula1>UnidadesList</formula1>
    </dataValidation>
    <dataValidation type="decimal" operator="greaterThan" allowBlank="1" showInputMessage="1" showErrorMessage="1" sqref="D10029">
      <formula1>0</formula1>
    </dataValidation>
    <dataValidation type="decimal" operator="greaterThan" allowBlank="1" showInputMessage="1" showErrorMessage="1" sqref="E10029">
      <formula1>0</formula1>
    </dataValidation>
    <dataValidation type="whole" operator="greaterThan" allowBlank="1" showInputMessage="1" showErrorMessage="1" sqref="A10030">
      <formula1>0</formula1>
    </dataValidation>
    <dataValidation type="list" allowBlank="1" showInputMessage="1" showErrorMessage="1" sqref="C10030">
      <formula1>UnidadesList</formula1>
    </dataValidation>
    <dataValidation type="decimal" operator="greaterThan" allowBlank="1" showInputMessage="1" showErrorMessage="1" sqref="D10030">
      <formula1>0</formula1>
    </dataValidation>
    <dataValidation type="decimal" operator="greaterThan" allowBlank="1" showInputMessage="1" showErrorMessage="1" sqref="E10030">
      <formula1>0</formula1>
    </dataValidation>
    <dataValidation type="whole" operator="greaterThan" allowBlank="1" showInputMessage="1" showErrorMessage="1" sqref="A10031">
      <formula1>0</formula1>
    </dataValidation>
    <dataValidation type="list" allowBlank="1" showInputMessage="1" showErrorMessage="1" sqref="C10031">
      <formula1>UnidadesList</formula1>
    </dataValidation>
    <dataValidation type="decimal" operator="greaterThan" allowBlank="1" showInputMessage="1" showErrorMessage="1" sqref="D10031">
      <formula1>0</formula1>
    </dataValidation>
    <dataValidation type="decimal" operator="greaterThan" allowBlank="1" showInputMessage="1" showErrorMessage="1" sqref="E10031">
      <formula1>0</formula1>
    </dataValidation>
    <dataValidation type="whole" operator="greaterThan" allowBlank="1" showInputMessage="1" showErrorMessage="1" sqref="A10032">
      <formula1>0</formula1>
    </dataValidation>
    <dataValidation type="list" allowBlank="1" showInputMessage="1" showErrorMessage="1" sqref="C10032">
      <formula1>UnidadesList</formula1>
    </dataValidation>
    <dataValidation type="decimal" operator="greaterThan" allowBlank="1" showInputMessage="1" showErrorMessage="1" sqref="D10032">
      <formula1>0</formula1>
    </dataValidation>
    <dataValidation type="decimal" operator="greaterThan" allowBlank="1" showInputMessage="1" showErrorMessage="1" sqref="E10032">
      <formula1>0</formula1>
    </dataValidation>
    <dataValidation type="whole" operator="greaterThan" allowBlank="1" showInputMessage="1" showErrorMessage="1" sqref="A10033">
      <formula1>0</formula1>
    </dataValidation>
    <dataValidation type="list" allowBlank="1" showInputMessage="1" showErrorMessage="1" sqref="C10033">
      <formula1>UnidadesList</formula1>
    </dataValidation>
    <dataValidation type="decimal" operator="greaterThan" allowBlank="1" showInputMessage="1" showErrorMessage="1" sqref="D10033">
      <formula1>0</formula1>
    </dataValidation>
    <dataValidation type="decimal" operator="greaterThan" allowBlank="1" showInputMessage="1" showErrorMessage="1" sqref="E10033">
      <formula1>0</formula1>
    </dataValidation>
    <dataValidation type="whole" operator="greaterThan" allowBlank="1" showInputMessage="1" showErrorMessage="1" sqref="A10034">
      <formula1>0</formula1>
    </dataValidation>
    <dataValidation type="list" allowBlank="1" showInputMessage="1" showErrorMessage="1" sqref="C10034">
      <formula1>UnidadesList</formula1>
    </dataValidation>
    <dataValidation type="decimal" operator="greaterThan" allowBlank="1" showInputMessage="1" showErrorMessage="1" sqref="D10034">
      <formula1>0</formula1>
    </dataValidation>
    <dataValidation type="decimal" operator="greaterThan" allowBlank="1" showInputMessage="1" showErrorMessage="1" sqref="E10034">
      <formula1>0</formula1>
    </dataValidation>
    <dataValidation type="whole" operator="greaterThan" allowBlank="1" showInputMessage="1" showErrorMessage="1" sqref="A10035">
      <formula1>0</formula1>
    </dataValidation>
    <dataValidation type="list" allowBlank="1" showInputMessage="1" showErrorMessage="1" sqref="C10035">
      <formula1>UnidadesList</formula1>
    </dataValidation>
    <dataValidation type="decimal" operator="greaterThan" allowBlank="1" showInputMessage="1" showErrorMessage="1" sqref="D10035">
      <formula1>0</formula1>
    </dataValidation>
    <dataValidation type="decimal" operator="greaterThan" allowBlank="1" showInputMessage="1" showErrorMessage="1" sqref="E10035">
      <formula1>0</formula1>
    </dataValidation>
    <dataValidation type="whole" operator="greaterThan" allowBlank="1" showInputMessage="1" showErrorMessage="1" sqref="A10036">
      <formula1>0</formula1>
    </dataValidation>
    <dataValidation type="list" allowBlank="1" showInputMessage="1" showErrorMessage="1" sqref="C10036">
      <formula1>UnidadesList</formula1>
    </dataValidation>
    <dataValidation type="decimal" operator="greaterThan" allowBlank="1" showInputMessage="1" showErrorMessage="1" sqref="D10036">
      <formula1>0</formula1>
    </dataValidation>
    <dataValidation type="decimal" operator="greaterThan" allowBlank="1" showInputMessage="1" showErrorMessage="1" sqref="E10036">
      <formula1>0</formula1>
    </dataValidation>
    <dataValidation type="whole" operator="greaterThan" allowBlank="1" showInputMessage="1" showErrorMessage="1" sqref="A10037">
      <formula1>0</formula1>
    </dataValidation>
    <dataValidation type="list" allowBlank="1" showInputMessage="1" showErrorMessage="1" sqref="C10037">
      <formula1>UnidadesList</formula1>
    </dataValidation>
    <dataValidation type="decimal" operator="greaterThan" allowBlank="1" showInputMessage="1" showErrorMessage="1" sqref="D10037">
      <formula1>0</formula1>
    </dataValidation>
    <dataValidation type="decimal" operator="greaterThan" allowBlank="1" showInputMessage="1" showErrorMessage="1" sqref="E10037">
      <formula1>0</formula1>
    </dataValidation>
    <dataValidation type="whole" operator="greaterThan" allowBlank="1" showInputMessage="1" showErrorMessage="1" sqref="A10038">
      <formula1>0</formula1>
    </dataValidation>
    <dataValidation type="list" allowBlank="1" showInputMessage="1" showErrorMessage="1" sqref="C10038">
      <formula1>UnidadesList</formula1>
    </dataValidation>
    <dataValidation type="decimal" operator="greaterThan" allowBlank="1" showInputMessage="1" showErrorMessage="1" sqref="D10038">
      <formula1>0</formula1>
    </dataValidation>
    <dataValidation type="decimal" operator="greaterThan" allowBlank="1" showInputMessage="1" showErrorMessage="1" sqref="E10038">
      <formula1>0</formula1>
    </dataValidation>
    <dataValidation type="whole" operator="greaterThan" allowBlank="1" showInputMessage="1" showErrorMessage="1" sqref="A10039">
      <formula1>0</formula1>
    </dataValidation>
    <dataValidation type="list" allowBlank="1" showInputMessage="1" showErrorMessage="1" sqref="C10039">
      <formula1>UnidadesList</formula1>
    </dataValidation>
    <dataValidation type="decimal" operator="greaterThan" allowBlank="1" showInputMessage="1" showErrorMessage="1" sqref="D10039">
      <formula1>0</formula1>
    </dataValidation>
    <dataValidation type="decimal" operator="greaterThan" allowBlank="1" showInputMessage="1" showErrorMessage="1" sqref="E10039">
      <formula1>0</formula1>
    </dataValidation>
    <dataValidation type="date" operator="lessThanOrEqual" allowBlank="1" showInputMessage="1" showErrorMessage="1" sqref="C10044">
      <formula1>C10046</formula1>
    </dataValidation>
    <dataValidation type="date" operator="greaterThanOrEqual" allowBlank="1" showInputMessage="1" showErrorMessage="1" sqref="C10046">
      <formula1>C10044</formula1>
    </dataValidation>
    <dataValidation type="list" allowBlank="1" showInputMessage="1" showErrorMessage="1" sqref="F100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0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0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0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050">
      <formula1>0</formula1>
    </dataValidation>
    <dataValidation type="list" allowBlank="1" showInputMessage="1" showErrorMessage="1" sqref="C10050">
      <formula1>UnidadesList</formula1>
    </dataValidation>
    <dataValidation type="decimal" operator="greaterThan" allowBlank="1" showInputMessage="1" showErrorMessage="1" sqref="D10050">
      <formula1>0</formula1>
    </dataValidation>
    <dataValidation type="decimal" operator="greaterThan" allowBlank="1" showInputMessage="1" showErrorMessage="1" sqref="E10050">
      <formula1>0</formula1>
    </dataValidation>
    <dataValidation type="whole" operator="greaterThan" allowBlank="1" showInputMessage="1" showErrorMessage="1" sqref="A10051">
      <formula1>0</formula1>
    </dataValidation>
    <dataValidation type="list" allowBlank="1" showInputMessage="1" showErrorMessage="1" sqref="C10051">
      <formula1>UnidadesList</formula1>
    </dataValidation>
    <dataValidation type="decimal" operator="greaterThan" allowBlank="1" showInputMessage="1" showErrorMessage="1" sqref="D10051">
      <formula1>0</formula1>
    </dataValidation>
    <dataValidation type="decimal" operator="greaterThan" allowBlank="1" showInputMessage="1" showErrorMessage="1" sqref="E10051">
      <formula1>0</formula1>
    </dataValidation>
    <dataValidation type="whole" operator="greaterThan" allowBlank="1" showInputMessage="1" showErrorMessage="1" sqref="A10052">
      <formula1>0</formula1>
    </dataValidation>
    <dataValidation type="list" allowBlank="1" showInputMessage="1" showErrorMessage="1" sqref="C10052">
      <formula1>UnidadesList</formula1>
    </dataValidation>
    <dataValidation type="decimal" operator="greaterThan" allowBlank="1" showInputMessage="1" showErrorMessage="1" sqref="D10052">
      <formula1>0</formula1>
    </dataValidation>
    <dataValidation type="decimal" operator="greaterThan" allowBlank="1" showInputMessage="1" showErrorMessage="1" sqref="E10052">
      <formula1>0</formula1>
    </dataValidation>
    <dataValidation type="whole" operator="greaterThan" allowBlank="1" showInputMessage="1" showErrorMessage="1" sqref="A10053">
      <formula1>0</formula1>
    </dataValidation>
    <dataValidation type="list" allowBlank="1" showInputMessage="1" showErrorMessage="1" sqref="C10053">
      <formula1>UnidadesList</formula1>
    </dataValidation>
    <dataValidation type="decimal" operator="greaterThan" allowBlank="1" showInputMessage="1" showErrorMessage="1" sqref="D10053">
      <formula1>0</formula1>
    </dataValidation>
    <dataValidation type="decimal" operator="greaterThan" allowBlank="1" showInputMessage="1" showErrorMessage="1" sqref="E10053">
      <formula1>0</formula1>
    </dataValidation>
    <dataValidation type="whole" operator="greaterThan" allowBlank="1" showInputMessage="1" showErrorMessage="1" sqref="A10054">
      <formula1>0</formula1>
    </dataValidation>
    <dataValidation type="list" allowBlank="1" showInputMessage="1" showErrorMessage="1" sqref="C10054">
      <formula1>UnidadesList</formula1>
    </dataValidation>
    <dataValidation type="decimal" operator="greaterThan" allowBlank="1" showInputMessage="1" showErrorMessage="1" sqref="D10054">
      <formula1>0</formula1>
    </dataValidation>
    <dataValidation type="decimal" operator="greaterThan" allowBlank="1" showInputMessage="1" showErrorMessage="1" sqref="E10054">
      <formula1>0</formula1>
    </dataValidation>
    <dataValidation type="whole" operator="greaterThan" allowBlank="1" showInputMessage="1" showErrorMessage="1" sqref="A10055">
      <formula1>0</formula1>
    </dataValidation>
    <dataValidation type="list" allowBlank="1" showInputMessage="1" showErrorMessage="1" sqref="C10055">
      <formula1>UnidadesList</formula1>
    </dataValidation>
    <dataValidation type="decimal" operator="greaterThan" allowBlank="1" showInputMessage="1" showErrorMessage="1" sqref="D10055">
      <formula1>0</formula1>
    </dataValidation>
    <dataValidation type="decimal" operator="greaterThan" allowBlank="1" showInputMessage="1" showErrorMessage="1" sqref="E10055">
      <formula1>0</formula1>
    </dataValidation>
    <dataValidation type="whole" operator="greaterThan" allowBlank="1" showInputMessage="1" showErrorMessage="1" sqref="A10056">
      <formula1>0</formula1>
    </dataValidation>
    <dataValidation type="list" allowBlank="1" showInputMessage="1" showErrorMessage="1" sqref="C10056">
      <formula1>UnidadesList</formula1>
    </dataValidation>
    <dataValidation type="decimal" operator="greaterThan" allowBlank="1" showInputMessage="1" showErrorMessage="1" sqref="D10056">
      <formula1>0</formula1>
    </dataValidation>
    <dataValidation type="decimal" operator="greaterThan" allowBlank="1" showInputMessage="1" showErrorMessage="1" sqref="E10056">
      <formula1>0</formula1>
    </dataValidation>
    <dataValidation type="whole" operator="greaterThan" allowBlank="1" showInputMessage="1" showErrorMessage="1" sqref="A10057">
      <formula1>0</formula1>
    </dataValidation>
    <dataValidation type="list" allowBlank="1" showInputMessage="1" showErrorMessage="1" sqref="C10057">
      <formula1>UnidadesList</formula1>
    </dataValidation>
    <dataValidation type="decimal" operator="greaterThan" allowBlank="1" showInputMessage="1" showErrorMessage="1" sqref="D10057">
      <formula1>0</formula1>
    </dataValidation>
    <dataValidation type="decimal" operator="greaterThan" allowBlank="1" showInputMessage="1" showErrorMessage="1" sqref="E10057">
      <formula1>0</formula1>
    </dataValidation>
    <dataValidation type="whole" operator="greaterThan" allowBlank="1" showInputMessage="1" showErrorMessage="1" sqref="A10058">
      <formula1>0</formula1>
    </dataValidation>
    <dataValidation type="list" allowBlank="1" showInputMessage="1" showErrorMessage="1" sqref="C10058">
      <formula1>UnidadesList</formula1>
    </dataValidation>
    <dataValidation type="decimal" operator="greaterThan" allowBlank="1" showInputMessage="1" showErrorMessage="1" sqref="D10058">
      <formula1>0</formula1>
    </dataValidation>
    <dataValidation type="decimal" operator="greaterThan" allowBlank="1" showInputMessage="1" showErrorMessage="1" sqref="E10058">
      <formula1>0</formula1>
    </dataValidation>
    <dataValidation type="whole" operator="greaterThan" allowBlank="1" showInputMessage="1" showErrorMessage="1" sqref="A10059">
      <formula1>0</formula1>
    </dataValidation>
    <dataValidation type="list" allowBlank="1" showInputMessage="1" showErrorMessage="1" sqref="C10059">
      <formula1>UnidadesList</formula1>
    </dataValidation>
    <dataValidation type="decimal" operator="greaterThan" allowBlank="1" showInputMessage="1" showErrorMessage="1" sqref="D10059">
      <formula1>0</formula1>
    </dataValidation>
    <dataValidation type="decimal" operator="greaterThan" allowBlank="1" showInputMessage="1" showErrorMessage="1" sqref="E10059">
      <formula1>0</formula1>
    </dataValidation>
    <dataValidation type="whole" operator="greaterThan" allowBlank="1" showInputMessage="1" showErrorMessage="1" sqref="A10060">
      <formula1>0</formula1>
    </dataValidation>
    <dataValidation type="list" allowBlank="1" showInputMessage="1" showErrorMessage="1" sqref="C10060">
      <formula1>UnidadesList</formula1>
    </dataValidation>
    <dataValidation type="decimal" operator="greaterThan" allowBlank="1" showInputMessage="1" showErrorMessage="1" sqref="D10060">
      <formula1>0</formula1>
    </dataValidation>
    <dataValidation type="decimal" operator="greaterThan" allowBlank="1" showInputMessage="1" showErrorMessage="1" sqref="E10060">
      <formula1>0</formula1>
    </dataValidation>
    <dataValidation type="whole" operator="greaterThan" allowBlank="1" showInputMessage="1" showErrorMessage="1" sqref="A10061">
      <formula1>0</formula1>
    </dataValidation>
    <dataValidation type="list" allowBlank="1" showInputMessage="1" showErrorMessage="1" sqref="C10061">
      <formula1>UnidadesList</formula1>
    </dataValidation>
    <dataValidation type="decimal" operator="greaterThan" allowBlank="1" showInputMessage="1" showErrorMessage="1" sqref="D10061">
      <formula1>0</formula1>
    </dataValidation>
    <dataValidation type="decimal" operator="greaterThan" allowBlank="1" showInputMessage="1" showErrorMessage="1" sqref="E10061">
      <formula1>0</formula1>
    </dataValidation>
    <dataValidation type="whole" operator="greaterThan" allowBlank="1" showInputMessage="1" showErrorMessage="1" sqref="A10062">
      <formula1>0</formula1>
    </dataValidation>
    <dataValidation type="list" allowBlank="1" showInputMessage="1" showErrorMessage="1" sqref="C10062">
      <formula1>UnidadesList</formula1>
    </dataValidation>
    <dataValidation type="decimal" operator="greaterThan" allowBlank="1" showInputMessage="1" showErrorMessage="1" sqref="D10062">
      <formula1>0</formula1>
    </dataValidation>
    <dataValidation type="decimal" operator="greaterThan" allowBlank="1" showInputMessage="1" showErrorMessage="1" sqref="E10062">
      <formula1>0</formula1>
    </dataValidation>
    <dataValidation type="whole" operator="greaterThan" allowBlank="1" showInputMessage="1" showErrorMessage="1" sqref="A10063">
      <formula1>0</formula1>
    </dataValidation>
    <dataValidation type="list" allowBlank="1" showInputMessage="1" showErrorMessage="1" sqref="C10063">
      <formula1>UnidadesList</formula1>
    </dataValidation>
    <dataValidation type="decimal" operator="greaterThan" allowBlank="1" showInputMessage="1" showErrorMessage="1" sqref="D10063">
      <formula1>0</formula1>
    </dataValidation>
    <dataValidation type="decimal" operator="greaterThan" allowBlank="1" showInputMessage="1" showErrorMessage="1" sqref="E10063">
      <formula1>0</formula1>
    </dataValidation>
    <dataValidation type="whole" operator="greaterThan" allowBlank="1" showInputMessage="1" showErrorMessage="1" sqref="A10064">
      <formula1>0</formula1>
    </dataValidation>
    <dataValidation type="list" allowBlank="1" showInputMessage="1" showErrorMessage="1" sqref="C10064">
      <formula1>UnidadesList</formula1>
    </dataValidation>
    <dataValidation type="decimal" operator="greaterThan" allowBlank="1" showInputMessage="1" showErrorMessage="1" sqref="D10064">
      <formula1>0</formula1>
    </dataValidation>
    <dataValidation type="decimal" operator="greaterThan" allowBlank="1" showInputMessage="1" showErrorMessage="1" sqref="E10064">
      <formula1>0</formula1>
    </dataValidation>
    <dataValidation type="whole" operator="greaterThan" allowBlank="1" showInputMessage="1" showErrorMessage="1" sqref="A10065">
      <formula1>0</formula1>
    </dataValidation>
    <dataValidation type="list" allowBlank="1" showInputMessage="1" showErrorMessage="1" sqref="C10065">
      <formula1>UnidadesList</formula1>
    </dataValidation>
    <dataValidation type="decimal" operator="greaterThan" allowBlank="1" showInputMessage="1" showErrorMessage="1" sqref="D10065">
      <formula1>0</formula1>
    </dataValidation>
    <dataValidation type="decimal" operator="greaterThan" allowBlank="1" showInputMessage="1" showErrorMessage="1" sqref="E10065">
      <formula1>0</formula1>
    </dataValidation>
    <dataValidation type="whole" operator="greaterThan" allowBlank="1" showInputMessage="1" showErrorMessage="1" sqref="A10066">
      <formula1>0</formula1>
    </dataValidation>
    <dataValidation type="list" allowBlank="1" showInputMessage="1" showErrorMessage="1" sqref="C10066">
      <formula1>UnidadesList</formula1>
    </dataValidation>
    <dataValidation type="decimal" operator="greaterThan" allowBlank="1" showInputMessage="1" showErrorMessage="1" sqref="D10066">
      <formula1>0</formula1>
    </dataValidation>
    <dataValidation type="decimal" operator="greaterThan" allowBlank="1" showInputMessage="1" showErrorMessage="1" sqref="E10066">
      <formula1>0</formula1>
    </dataValidation>
    <dataValidation type="whole" operator="greaterThan" allowBlank="1" showInputMessage="1" showErrorMessage="1" sqref="A10067">
      <formula1>0</formula1>
    </dataValidation>
    <dataValidation type="list" allowBlank="1" showInputMessage="1" showErrorMessage="1" sqref="C10067">
      <formula1>UnidadesList</formula1>
    </dataValidation>
    <dataValidation type="decimal" operator="greaterThan" allowBlank="1" showInputMessage="1" showErrorMessage="1" sqref="D10067">
      <formula1>0</formula1>
    </dataValidation>
    <dataValidation type="decimal" operator="greaterThan" allowBlank="1" showInputMessage="1" showErrorMessage="1" sqref="E10067">
      <formula1>0</formula1>
    </dataValidation>
    <dataValidation type="whole" operator="greaterThan" allowBlank="1" showInputMessage="1" showErrorMessage="1" sqref="A10068">
      <formula1>0</formula1>
    </dataValidation>
    <dataValidation type="list" allowBlank="1" showInputMessage="1" showErrorMessage="1" sqref="C10068">
      <formula1>UnidadesList</formula1>
    </dataValidation>
    <dataValidation type="decimal" operator="greaterThan" allowBlank="1" showInputMessage="1" showErrorMessage="1" sqref="D10068">
      <formula1>0</formula1>
    </dataValidation>
    <dataValidation type="decimal" operator="greaterThan" allowBlank="1" showInputMessage="1" showErrorMessage="1" sqref="E10068">
      <formula1>0</formula1>
    </dataValidation>
    <dataValidation type="whole" operator="greaterThan" allowBlank="1" showInputMessage="1" showErrorMessage="1" sqref="A10069">
      <formula1>0</formula1>
    </dataValidation>
    <dataValidation type="list" allowBlank="1" showInputMessage="1" showErrorMessage="1" sqref="C10069">
      <formula1>UnidadesList</formula1>
    </dataValidation>
    <dataValidation type="decimal" operator="greaterThan" allowBlank="1" showInputMessage="1" showErrorMessage="1" sqref="D10069">
      <formula1>0</formula1>
    </dataValidation>
    <dataValidation type="decimal" operator="greaterThan" allowBlank="1" showInputMessage="1" showErrorMessage="1" sqref="E10069">
      <formula1>0</formula1>
    </dataValidation>
    <dataValidation type="whole" operator="greaterThan" allowBlank="1" showInputMessage="1" showErrorMessage="1" sqref="A10070">
      <formula1>0</formula1>
    </dataValidation>
    <dataValidation type="list" allowBlank="1" showInputMessage="1" showErrorMessage="1" sqref="C10070">
      <formula1>UnidadesList</formula1>
    </dataValidation>
    <dataValidation type="decimal" operator="greaterThan" allowBlank="1" showInputMessage="1" showErrorMessage="1" sqref="D10070">
      <formula1>0</formula1>
    </dataValidation>
    <dataValidation type="decimal" operator="greaterThan" allowBlank="1" showInputMessage="1" showErrorMessage="1" sqref="E10070">
      <formula1>0</formula1>
    </dataValidation>
    <dataValidation type="whole" operator="greaterThan" allowBlank="1" showInputMessage="1" showErrorMessage="1" sqref="A10071">
      <formula1>0</formula1>
    </dataValidation>
    <dataValidation type="list" allowBlank="1" showInputMessage="1" showErrorMessage="1" sqref="C10071">
      <formula1>UnidadesList</formula1>
    </dataValidation>
    <dataValidation type="decimal" operator="greaterThan" allowBlank="1" showInputMessage="1" showErrorMessage="1" sqref="D10071">
      <formula1>0</formula1>
    </dataValidation>
    <dataValidation type="decimal" operator="greaterThan" allowBlank="1" showInputMessage="1" showErrorMessage="1" sqref="E10071">
      <formula1>0</formula1>
    </dataValidation>
    <dataValidation type="whole" operator="greaterThan" allowBlank="1" showInputMessage="1" showErrorMessage="1" sqref="A10072">
      <formula1>0</formula1>
    </dataValidation>
    <dataValidation type="list" allowBlank="1" showInputMessage="1" showErrorMessage="1" sqref="C10072">
      <formula1>UnidadesList</formula1>
    </dataValidation>
    <dataValidation type="decimal" operator="greaterThan" allowBlank="1" showInputMessage="1" showErrorMessage="1" sqref="D10072">
      <formula1>0</formula1>
    </dataValidation>
    <dataValidation type="decimal" operator="greaterThan" allowBlank="1" showInputMessage="1" showErrorMessage="1" sqref="E10072">
      <formula1>0</formula1>
    </dataValidation>
    <dataValidation type="whole" operator="greaterThan" allowBlank="1" showInputMessage="1" showErrorMessage="1" sqref="A10073">
      <formula1>0</formula1>
    </dataValidation>
    <dataValidation type="list" allowBlank="1" showInputMessage="1" showErrorMessage="1" sqref="C10073">
      <formula1>UnidadesList</formula1>
    </dataValidation>
    <dataValidation type="decimal" operator="greaterThan" allowBlank="1" showInputMessage="1" showErrorMessage="1" sqref="D10073">
      <formula1>0</formula1>
    </dataValidation>
    <dataValidation type="decimal" operator="greaterThan" allowBlank="1" showInputMessage="1" showErrorMessage="1" sqref="E10073">
      <formula1>0</formula1>
    </dataValidation>
    <dataValidation type="whole" operator="greaterThan" allowBlank="1" showInputMessage="1" showErrorMessage="1" sqref="A10074">
      <formula1>0</formula1>
    </dataValidation>
    <dataValidation type="list" allowBlank="1" showInputMessage="1" showErrorMessage="1" sqref="C10074">
      <formula1>UnidadesList</formula1>
    </dataValidation>
    <dataValidation type="decimal" operator="greaterThan" allowBlank="1" showInputMessage="1" showErrorMessage="1" sqref="D10074">
      <formula1>0</formula1>
    </dataValidation>
    <dataValidation type="decimal" operator="greaterThan" allowBlank="1" showInputMessage="1" showErrorMessage="1" sqref="E10074">
      <formula1>0</formula1>
    </dataValidation>
    <dataValidation type="whole" operator="greaterThan" allowBlank="1" showInputMessage="1" showErrorMessage="1" sqref="A10075">
      <formula1>0</formula1>
    </dataValidation>
    <dataValidation type="list" allowBlank="1" showInputMessage="1" showErrorMessage="1" sqref="C10075">
      <formula1>UnidadesList</formula1>
    </dataValidation>
    <dataValidation type="decimal" operator="greaterThan" allowBlank="1" showInputMessage="1" showErrorMessage="1" sqref="D10075">
      <formula1>0</formula1>
    </dataValidation>
    <dataValidation type="decimal" operator="greaterThan" allowBlank="1" showInputMessage="1" showErrorMessage="1" sqref="E10075">
      <formula1>0</formula1>
    </dataValidation>
    <dataValidation type="whole" operator="greaterThan" allowBlank="1" showInputMessage="1" showErrorMessage="1" sqref="A10076">
      <formula1>0</formula1>
    </dataValidation>
    <dataValidation type="list" allowBlank="1" showInputMessage="1" showErrorMessage="1" sqref="C10076">
      <formula1>UnidadesList</formula1>
    </dataValidation>
    <dataValidation type="decimal" operator="greaterThan" allowBlank="1" showInputMessage="1" showErrorMessage="1" sqref="D10076">
      <formula1>0</formula1>
    </dataValidation>
    <dataValidation type="decimal" operator="greaterThan" allowBlank="1" showInputMessage="1" showErrorMessage="1" sqref="E10076">
      <formula1>0</formula1>
    </dataValidation>
    <dataValidation type="whole" operator="greaterThan" allowBlank="1" showInputMessage="1" showErrorMessage="1" sqref="A10077">
      <formula1>0</formula1>
    </dataValidation>
    <dataValidation type="list" allowBlank="1" showInputMessage="1" showErrorMessage="1" sqref="C10077">
      <formula1>UnidadesList</formula1>
    </dataValidation>
    <dataValidation type="decimal" operator="greaterThan" allowBlank="1" showInputMessage="1" showErrorMessage="1" sqref="D10077">
      <formula1>0</formula1>
    </dataValidation>
    <dataValidation type="decimal" operator="greaterThan" allowBlank="1" showInputMessage="1" showErrorMessage="1" sqref="E10077">
      <formula1>0</formula1>
    </dataValidation>
    <dataValidation type="whole" operator="greaterThan" allowBlank="1" showInputMessage="1" showErrorMessage="1" sqref="A10078">
      <formula1>0</formula1>
    </dataValidation>
    <dataValidation type="list" allowBlank="1" showInputMessage="1" showErrorMessage="1" sqref="C10078">
      <formula1>UnidadesList</formula1>
    </dataValidation>
    <dataValidation type="decimal" operator="greaterThan" allowBlank="1" showInputMessage="1" showErrorMessage="1" sqref="D10078">
      <formula1>0</formula1>
    </dataValidation>
    <dataValidation type="decimal" operator="greaterThan" allowBlank="1" showInputMessage="1" showErrorMessage="1" sqref="E10078">
      <formula1>0</formula1>
    </dataValidation>
    <dataValidation type="whole" operator="greaterThan" allowBlank="1" showInputMessage="1" showErrorMessage="1" sqref="A10079">
      <formula1>0</formula1>
    </dataValidation>
    <dataValidation type="list" allowBlank="1" showInputMessage="1" showErrorMessage="1" sqref="C10079">
      <formula1>UnidadesList</formula1>
    </dataValidation>
    <dataValidation type="decimal" operator="greaterThan" allowBlank="1" showInputMessage="1" showErrorMessage="1" sqref="D10079">
      <formula1>0</formula1>
    </dataValidation>
    <dataValidation type="decimal" operator="greaterThan" allowBlank="1" showInputMessage="1" showErrorMessage="1" sqref="E10079">
      <formula1>0</formula1>
    </dataValidation>
    <dataValidation type="whole" operator="greaterThan" allowBlank="1" showInputMessage="1" showErrorMessage="1" sqref="A10080">
      <formula1>0</formula1>
    </dataValidation>
    <dataValidation type="list" allowBlank="1" showInputMessage="1" showErrorMessage="1" sqref="C10080">
      <formula1>UnidadesList</formula1>
    </dataValidation>
    <dataValidation type="decimal" operator="greaterThan" allowBlank="1" showInputMessage="1" showErrorMessage="1" sqref="D10080">
      <formula1>0</formula1>
    </dataValidation>
    <dataValidation type="decimal" operator="greaterThan" allowBlank="1" showInputMessage="1" showErrorMessage="1" sqref="E10080">
      <formula1>0</formula1>
    </dataValidation>
    <dataValidation type="whole" operator="greaterThan" allowBlank="1" showInputMessage="1" showErrorMessage="1" sqref="A10081">
      <formula1>0</formula1>
    </dataValidation>
    <dataValidation type="list" allowBlank="1" showInputMessage="1" showErrorMessage="1" sqref="C10081">
      <formula1>UnidadesList</formula1>
    </dataValidation>
    <dataValidation type="decimal" operator="greaterThan" allowBlank="1" showInputMessage="1" showErrorMessage="1" sqref="D10081">
      <formula1>0</formula1>
    </dataValidation>
    <dataValidation type="decimal" operator="greaterThan" allowBlank="1" showInputMessage="1" showErrorMessage="1" sqref="E10081">
      <formula1>0</formula1>
    </dataValidation>
    <dataValidation type="whole" operator="greaterThan" allowBlank="1" showInputMessage="1" showErrorMessage="1" sqref="A10082">
      <formula1>0</formula1>
    </dataValidation>
    <dataValidation type="list" allowBlank="1" showInputMessage="1" showErrorMessage="1" sqref="C10082">
      <formula1>UnidadesList</formula1>
    </dataValidation>
    <dataValidation type="decimal" operator="greaterThan" allowBlank="1" showInputMessage="1" showErrorMessage="1" sqref="D10082">
      <formula1>0</formula1>
    </dataValidation>
    <dataValidation type="decimal" operator="greaterThan" allowBlank="1" showInputMessage="1" showErrorMessage="1" sqref="E10082">
      <formula1>0</formula1>
    </dataValidation>
    <dataValidation type="whole" operator="greaterThan" allowBlank="1" showInputMessage="1" showErrorMessage="1" sqref="A10083">
      <formula1>0</formula1>
    </dataValidation>
    <dataValidation type="list" allowBlank="1" showInputMessage="1" showErrorMessage="1" sqref="C10083">
      <formula1>UnidadesList</formula1>
    </dataValidation>
    <dataValidation type="decimal" operator="greaterThan" allowBlank="1" showInputMessage="1" showErrorMessage="1" sqref="D10083">
      <formula1>0</formula1>
    </dataValidation>
    <dataValidation type="decimal" operator="greaterThan" allowBlank="1" showInputMessage="1" showErrorMessage="1" sqref="E10083">
      <formula1>0</formula1>
    </dataValidation>
    <dataValidation type="whole" operator="greaterThan" allowBlank="1" showInputMessage="1" showErrorMessage="1" sqref="A10084">
      <formula1>0</formula1>
    </dataValidation>
    <dataValidation type="list" allowBlank="1" showInputMessage="1" showErrorMessage="1" sqref="C10084">
      <formula1>UnidadesList</formula1>
    </dataValidation>
    <dataValidation type="decimal" operator="greaterThan" allowBlank="1" showInputMessage="1" showErrorMessage="1" sqref="D10084">
      <formula1>0</formula1>
    </dataValidation>
    <dataValidation type="decimal" operator="greaterThan" allowBlank="1" showInputMessage="1" showErrorMessage="1" sqref="E10084">
      <formula1>0</formula1>
    </dataValidation>
    <dataValidation type="whole" operator="greaterThan" allowBlank="1" showInputMessage="1" showErrorMessage="1" sqref="A10085">
      <formula1>0</formula1>
    </dataValidation>
    <dataValidation type="list" allowBlank="1" showInputMessage="1" showErrorMessage="1" sqref="C10085">
      <formula1>UnidadesList</formula1>
    </dataValidation>
    <dataValidation type="decimal" operator="greaterThan" allowBlank="1" showInputMessage="1" showErrorMessage="1" sqref="D10085">
      <formula1>0</formula1>
    </dataValidation>
    <dataValidation type="decimal" operator="greaterThan" allowBlank="1" showInputMessage="1" showErrorMessage="1" sqref="E10085">
      <formula1>0</formula1>
    </dataValidation>
    <dataValidation type="whole" operator="greaterThan" allowBlank="1" showInputMessage="1" showErrorMessage="1" sqref="A10086">
      <formula1>0</formula1>
    </dataValidation>
    <dataValidation type="list" allowBlank="1" showInputMessage="1" showErrorMessage="1" sqref="C10086">
      <formula1>UnidadesList</formula1>
    </dataValidation>
    <dataValidation type="decimal" operator="greaterThan" allowBlank="1" showInputMessage="1" showErrorMessage="1" sqref="D10086">
      <formula1>0</formula1>
    </dataValidation>
    <dataValidation type="decimal" operator="greaterThan" allowBlank="1" showInputMessage="1" showErrorMessage="1" sqref="E10086">
      <formula1>0</formula1>
    </dataValidation>
    <dataValidation type="whole" operator="greaterThan" allowBlank="1" showInputMessage="1" showErrorMessage="1" sqref="A10087">
      <formula1>0</formula1>
    </dataValidation>
    <dataValidation type="list" allowBlank="1" showInputMessage="1" showErrorMessage="1" sqref="C10087">
      <formula1>UnidadesList</formula1>
    </dataValidation>
    <dataValidation type="decimal" operator="greaterThan" allowBlank="1" showInputMessage="1" showErrorMessage="1" sqref="D10087">
      <formula1>0</formula1>
    </dataValidation>
    <dataValidation type="decimal" operator="greaterThan" allowBlank="1" showInputMessage="1" showErrorMessage="1" sqref="E10087">
      <formula1>0</formula1>
    </dataValidation>
    <dataValidation type="whole" operator="greaterThan" allowBlank="1" showInputMessage="1" showErrorMessage="1" sqref="A10088">
      <formula1>0</formula1>
    </dataValidation>
    <dataValidation type="list" allowBlank="1" showInputMessage="1" showErrorMessage="1" sqref="C10088">
      <formula1>UnidadesList</formula1>
    </dataValidation>
    <dataValidation type="decimal" operator="greaterThan" allowBlank="1" showInputMessage="1" showErrorMessage="1" sqref="D10088">
      <formula1>0</formula1>
    </dataValidation>
    <dataValidation type="decimal" operator="greaterThan" allowBlank="1" showInputMessage="1" showErrorMessage="1" sqref="E10088">
      <formula1>0</formula1>
    </dataValidation>
    <dataValidation type="whole" operator="greaterThan" allowBlank="1" showInputMessage="1" showErrorMessage="1" sqref="A10089">
      <formula1>0</formula1>
    </dataValidation>
    <dataValidation type="list" allowBlank="1" showInputMessage="1" showErrorMessage="1" sqref="C10089">
      <formula1>UnidadesList</formula1>
    </dataValidation>
    <dataValidation type="decimal" operator="greaterThan" allowBlank="1" showInputMessage="1" showErrorMessage="1" sqref="D10089">
      <formula1>0</formula1>
    </dataValidation>
    <dataValidation type="decimal" operator="greaterThan" allowBlank="1" showInputMessage="1" showErrorMessage="1" sqref="E10089">
      <formula1>0</formula1>
    </dataValidation>
    <dataValidation type="whole" operator="greaterThan" allowBlank="1" showInputMessage="1" showErrorMessage="1" sqref="A10090">
      <formula1>0</formula1>
    </dataValidation>
    <dataValidation type="list" allowBlank="1" showInputMessage="1" showErrorMessage="1" sqref="C10090">
      <formula1>UnidadesList</formula1>
    </dataValidation>
    <dataValidation type="decimal" operator="greaterThan" allowBlank="1" showInputMessage="1" showErrorMessage="1" sqref="D10090">
      <formula1>0</formula1>
    </dataValidation>
    <dataValidation type="decimal" operator="greaterThan" allowBlank="1" showInputMessage="1" showErrorMessage="1" sqref="E10090">
      <formula1>0</formula1>
    </dataValidation>
    <dataValidation type="whole" operator="greaterThan" allowBlank="1" showInputMessage="1" showErrorMessage="1" sqref="A10091">
      <formula1>0</formula1>
    </dataValidation>
    <dataValidation type="list" allowBlank="1" showInputMessage="1" showErrorMessage="1" sqref="C10091">
      <formula1>UnidadesList</formula1>
    </dataValidation>
    <dataValidation type="decimal" operator="greaterThan" allowBlank="1" showInputMessage="1" showErrorMessage="1" sqref="D10091">
      <formula1>0</formula1>
    </dataValidation>
    <dataValidation type="decimal" operator="greaterThan" allowBlank="1" showInputMessage="1" showErrorMessage="1" sqref="E10091">
      <formula1>0</formula1>
    </dataValidation>
    <dataValidation type="whole" operator="greaterThan" allowBlank="1" showInputMessage="1" showErrorMessage="1" sqref="A10092">
      <formula1>0</formula1>
    </dataValidation>
    <dataValidation type="list" allowBlank="1" showInputMessage="1" showErrorMessage="1" sqref="C10092">
      <formula1>UnidadesList</formula1>
    </dataValidation>
    <dataValidation type="decimal" operator="greaterThan" allowBlank="1" showInputMessage="1" showErrorMessage="1" sqref="D10092">
      <formula1>0</formula1>
    </dataValidation>
    <dataValidation type="decimal" operator="greaterThan" allowBlank="1" showInputMessage="1" showErrorMessage="1" sqref="E10092">
      <formula1>0</formula1>
    </dataValidation>
    <dataValidation type="whole" operator="greaterThan" allowBlank="1" showInputMessage="1" showErrorMessage="1" sqref="A10093">
      <formula1>0</formula1>
    </dataValidation>
    <dataValidation type="list" allowBlank="1" showInputMessage="1" showErrorMessage="1" sqref="C10093">
      <formula1>UnidadesList</formula1>
    </dataValidation>
    <dataValidation type="decimal" operator="greaterThan" allowBlank="1" showInputMessage="1" showErrorMessage="1" sqref="D10093">
      <formula1>0</formula1>
    </dataValidation>
    <dataValidation type="decimal" operator="greaterThan" allowBlank="1" showInputMessage="1" showErrorMessage="1" sqref="E10093">
      <formula1>0</formula1>
    </dataValidation>
    <dataValidation type="whole" operator="greaterThan" allowBlank="1" showInputMessage="1" showErrorMessage="1" sqref="A10094">
      <formula1>0</formula1>
    </dataValidation>
    <dataValidation type="list" allowBlank="1" showInputMessage="1" showErrorMessage="1" sqref="C10094">
      <formula1>UnidadesList</formula1>
    </dataValidation>
    <dataValidation type="decimal" operator="greaterThan" allowBlank="1" showInputMessage="1" showErrorMessage="1" sqref="D10094">
      <formula1>0</formula1>
    </dataValidation>
    <dataValidation type="decimal" operator="greaterThan" allowBlank="1" showInputMessage="1" showErrorMessage="1" sqref="E10094">
      <formula1>0</formula1>
    </dataValidation>
    <dataValidation type="whole" operator="greaterThan" allowBlank="1" showInputMessage="1" showErrorMessage="1" sqref="A10095">
      <formula1>0</formula1>
    </dataValidation>
    <dataValidation type="list" allowBlank="1" showInputMessage="1" showErrorMessage="1" sqref="C10095">
      <formula1>UnidadesList</formula1>
    </dataValidation>
    <dataValidation type="decimal" operator="greaterThan" allowBlank="1" showInputMessage="1" showErrorMessage="1" sqref="D10095">
      <formula1>0</formula1>
    </dataValidation>
    <dataValidation type="decimal" operator="greaterThan" allowBlank="1" showInputMessage="1" showErrorMessage="1" sqref="E10095">
      <formula1>0</formula1>
    </dataValidation>
    <dataValidation type="whole" operator="greaterThan" allowBlank="1" showInputMessage="1" showErrorMessage="1" sqref="A10096">
      <formula1>0</formula1>
    </dataValidation>
    <dataValidation type="list" allowBlank="1" showInputMessage="1" showErrorMessage="1" sqref="C10096">
      <formula1>UnidadesList</formula1>
    </dataValidation>
    <dataValidation type="decimal" operator="greaterThan" allowBlank="1" showInputMessage="1" showErrorMessage="1" sqref="D10096">
      <formula1>0</formula1>
    </dataValidation>
    <dataValidation type="decimal" operator="greaterThan" allowBlank="1" showInputMessage="1" showErrorMessage="1" sqref="E10096">
      <formula1>0</formula1>
    </dataValidation>
    <dataValidation type="whole" operator="greaterThan" allowBlank="1" showInputMessage="1" showErrorMessage="1" sqref="A10097">
      <formula1>0</formula1>
    </dataValidation>
    <dataValidation type="list" allowBlank="1" showInputMessage="1" showErrorMessage="1" sqref="C10097">
      <formula1>UnidadesList</formula1>
    </dataValidation>
    <dataValidation type="decimal" operator="greaterThan" allowBlank="1" showInputMessage="1" showErrorMessage="1" sqref="D10097">
      <formula1>0</formula1>
    </dataValidation>
    <dataValidation type="decimal" operator="greaterThan" allowBlank="1" showInputMessage="1" showErrorMessage="1" sqref="E10097">
      <formula1>0</formula1>
    </dataValidation>
    <dataValidation type="whole" operator="greaterThan" allowBlank="1" showInputMessage="1" showErrorMessage="1" sqref="A10098">
      <formula1>0</formula1>
    </dataValidation>
    <dataValidation type="list" allowBlank="1" showInputMessage="1" showErrorMessage="1" sqref="C10098">
      <formula1>UnidadesList</formula1>
    </dataValidation>
    <dataValidation type="decimal" operator="greaterThan" allowBlank="1" showInputMessage="1" showErrorMessage="1" sqref="D10098">
      <formula1>0</formula1>
    </dataValidation>
    <dataValidation type="decimal" operator="greaterThan" allowBlank="1" showInputMessage="1" showErrorMessage="1" sqref="E10098">
      <formula1>0</formula1>
    </dataValidation>
    <dataValidation type="whole" operator="greaterThan" allowBlank="1" showInputMessage="1" showErrorMessage="1" sqref="A10099">
      <formula1>0</formula1>
    </dataValidation>
    <dataValidation type="list" allowBlank="1" showInputMessage="1" showErrorMessage="1" sqref="C10099">
      <formula1>UnidadesList</formula1>
    </dataValidation>
    <dataValidation type="decimal" operator="greaterThan" allowBlank="1" showInputMessage="1" showErrorMessage="1" sqref="D10099">
      <formula1>0</formula1>
    </dataValidation>
    <dataValidation type="decimal" operator="greaterThan" allowBlank="1" showInputMessage="1" showErrorMessage="1" sqref="E10099">
      <formula1>0</formula1>
    </dataValidation>
    <dataValidation type="whole" operator="greaterThan" allowBlank="1" showInputMessage="1" showErrorMessage="1" sqref="A10100">
      <formula1>0</formula1>
    </dataValidation>
    <dataValidation type="list" allowBlank="1" showInputMessage="1" showErrorMessage="1" sqref="C10100">
      <formula1>UnidadesList</formula1>
    </dataValidation>
    <dataValidation type="decimal" operator="greaterThan" allowBlank="1" showInputMessage="1" showErrorMessage="1" sqref="D10100">
      <formula1>0</formula1>
    </dataValidation>
    <dataValidation type="decimal" operator="greaterThan" allowBlank="1" showInputMessage="1" showErrorMessage="1" sqref="E10100">
      <formula1>0</formula1>
    </dataValidation>
    <dataValidation type="whole" operator="greaterThan" allowBlank="1" showInputMessage="1" showErrorMessage="1" sqref="A10101">
      <formula1>0</formula1>
    </dataValidation>
    <dataValidation type="list" allowBlank="1" showInputMessage="1" showErrorMessage="1" sqref="C10101">
      <formula1>UnidadesList</formula1>
    </dataValidation>
    <dataValidation type="decimal" operator="greaterThan" allowBlank="1" showInputMessage="1" showErrorMessage="1" sqref="D10101">
      <formula1>0</formula1>
    </dataValidation>
    <dataValidation type="decimal" operator="greaterThan" allowBlank="1" showInputMessage="1" showErrorMessage="1" sqref="E10101">
      <formula1>0</formula1>
    </dataValidation>
    <dataValidation type="whole" operator="greaterThan" allowBlank="1" showInputMessage="1" showErrorMessage="1" sqref="A10102">
      <formula1>0</formula1>
    </dataValidation>
    <dataValidation type="list" allowBlank="1" showInputMessage="1" showErrorMessage="1" sqref="C10102">
      <formula1>UnidadesList</formula1>
    </dataValidation>
    <dataValidation type="decimal" operator="greaterThan" allowBlank="1" showInputMessage="1" showErrorMessage="1" sqref="D10102">
      <formula1>0</formula1>
    </dataValidation>
    <dataValidation type="decimal" operator="greaterThan" allowBlank="1" showInputMessage="1" showErrorMessage="1" sqref="E10102">
      <formula1>0</formula1>
    </dataValidation>
    <dataValidation type="whole" operator="greaterThan" allowBlank="1" showInputMessage="1" showErrorMessage="1" sqref="A10103">
      <formula1>0</formula1>
    </dataValidation>
    <dataValidation type="list" allowBlank="1" showInputMessage="1" showErrorMessage="1" sqref="C10103">
      <formula1>UnidadesList</formula1>
    </dataValidation>
    <dataValidation type="decimal" operator="greaterThan" allowBlank="1" showInputMessage="1" showErrorMessage="1" sqref="D10103">
      <formula1>0</formula1>
    </dataValidation>
    <dataValidation type="decimal" operator="greaterThan" allowBlank="1" showInputMessage="1" showErrorMessage="1" sqref="E10103">
      <formula1>0</formula1>
    </dataValidation>
    <dataValidation type="whole" operator="greaterThan" allowBlank="1" showInputMessage="1" showErrorMessage="1" sqref="A10104">
      <formula1>0</formula1>
    </dataValidation>
    <dataValidation type="list" allowBlank="1" showInputMessage="1" showErrorMessage="1" sqref="C10104">
      <formula1>UnidadesList</formula1>
    </dataValidation>
    <dataValidation type="decimal" operator="greaterThan" allowBlank="1" showInputMessage="1" showErrorMessage="1" sqref="D10104">
      <formula1>0</formula1>
    </dataValidation>
    <dataValidation type="decimal" operator="greaterThan" allowBlank="1" showInputMessage="1" showErrorMessage="1" sqref="E10104">
      <formula1>0</formula1>
    </dataValidation>
    <dataValidation type="whole" operator="greaterThan" allowBlank="1" showInputMessage="1" showErrorMessage="1" sqref="A10105">
      <formula1>0</formula1>
    </dataValidation>
    <dataValidation type="list" allowBlank="1" showInputMessage="1" showErrorMessage="1" sqref="C10105">
      <formula1>UnidadesList</formula1>
    </dataValidation>
    <dataValidation type="decimal" operator="greaterThan" allowBlank="1" showInputMessage="1" showErrorMessage="1" sqref="D10105">
      <formula1>0</formula1>
    </dataValidation>
    <dataValidation type="decimal" operator="greaterThan" allowBlank="1" showInputMessage="1" showErrorMessage="1" sqref="E10105">
      <formula1>0</formula1>
    </dataValidation>
    <dataValidation type="whole" operator="greaterThan" allowBlank="1" showInputMessage="1" showErrorMessage="1" sqref="A10106">
      <formula1>0</formula1>
    </dataValidation>
    <dataValidation type="list" allowBlank="1" showInputMessage="1" showErrorMessage="1" sqref="C10106">
      <formula1>UnidadesList</formula1>
    </dataValidation>
    <dataValidation type="decimal" operator="greaterThan" allowBlank="1" showInputMessage="1" showErrorMessage="1" sqref="D10106">
      <formula1>0</formula1>
    </dataValidation>
    <dataValidation type="decimal" operator="greaterThan" allowBlank="1" showInputMessage="1" showErrorMessage="1" sqref="E10106">
      <formula1>0</formula1>
    </dataValidation>
    <dataValidation type="whole" operator="greaterThan" allowBlank="1" showInputMessage="1" showErrorMessage="1" sqref="A10107">
      <formula1>0</formula1>
    </dataValidation>
    <dataValidation type="list" allowBlank="1" showInputMessage="1" showErrorMessage="1" sqref="C10107">
      <formula1>UnidadesList</formula1>
    </dataValidation>
    <dataValidation type="decimal" operator="greaterThan" allowBlank="1" showInputMessage="1" showErrorMessage="1" sqref="D10107">
      <formula1>0</formula1>
    </dataValidation>
    <dataValidation type="decimal" operator="greaterThan" allowBlank="1" showInputMessage="1" showErrorMessage="1" sqref="E10107">
      <formula1>0</formula1>
    </dataValidation>
    <dataValidation type="whole" operator="greaterThan" allowBlank="1" showInputMessage="1" showErrorMessage="1" sqref="A10108">
      <formula1>0</formula1>
    </dataValidation>
    <dataValidation type="list" allowBlank="1" showInputMessage="1" showErrorMessage="1" sqref="C10108">
      <formula1>UnidadesList</formula1>
    </dataValidation>
    <dataValidation type="decimal" operator="greaterThan" allowBlank="1" showInputMessage="1" showErrorMessage="1" sqref="D10108">
      <formula1>0</formula1>
    </dataValidation>
    <dataValidation type="decimal" operator="greaterThan" allowBlank="1" showInputMessage="1" showErrorMessage="1" sqref="E10108">
      <formula1>0</formula1>
    </dataValidation>
    <dataValidation type="whole" operator="greaterThan" allowBlank="1" showInputMessage="1" showErrorMessage="1" sqref="A10109">
      <formula1>0</formula1>
    </dataValidation>
    <dataValidation type="list" allowBlank="1" showInputMessage="1" showErrorMessage="1" sqref="C10109">
      <formula1>UnidadesList</formula1>
    </dataValidation>
    <dataValidation type="decimal" operator="greaterThan" allowBlank="1" showInputMessage="1" showErrorMessage="1" sqref="D10109">
      <formula1>0</formula1>
    </dataValidation>
    <dataValidation type="decimal" operator="greaterThan" allowBlank="1" showInputMessage="1" showErrorMessage="1" sqref="E10109">
      <formula1>0</formula1>
    </dataValidation>
    <dataValidation type="whole" operator="greaterThan" allowBlank="1" showInputMessage="1" showErrorMessage="1" sqref="A10110">
      <formula1>0</formula1>
    </dataValidation>
    <dataValidation type="list" allowBlank="1" showInputMessage="1" showErrorMessage="1" sqref="C10110">
      <formula1>UnidadesList</formula1>
    </dataValidation>
    <dataValidation type="decimal" operator="greaterThan" allowBlank="1" showInputMessage="1" showErrorMessage="1" sqref="D10110">
      <formula1>0</formula1>
    </dataValidation>
    <dataValidation type="decimal" operator="greaterThan" allowBlank="1" showInputMessage="1" showErrorMessage="1" sqref="E10110">
      <formula1>0</formula1>
    </dataValidation>
    <dataValidation type="whole" operator="greaterThan" allowBlank="1" showInputMessage="1" showErrorMessage="1" sqref="A10111">
      <formula1>0</formula1>
    </dataValidation>
    <dataValidation type="list" allowBlank="1" showInputMessage="1" showErrorMessage="1" sqref="C10111">
      <formula1>UnidadesList</formula1>
    </dataValidation>
    <dataValidation type="decimal" operator="greaterThan" allowBlank="1" showInputMessage="1" showErrorMessage="1" sqref="D10111">
      <formula1>0</formula1>
    </dataValidation>
    <dataValidation type="decimal" operator="greaterThan" allowBlank="1" showInputMessage="1" showErrorMessage="1" sqref="E10111">
      <formula1>0</formula1>
    </dataValidation>
    <dataValidation type="whole" operator="greaterThan" allowBlank="1" showInputMessage="1" showErrorMessage="1" sqref="A10112">
      <formula1>0</formula1>
    </dataValidation>
    <dataValidation type="list" allowBlank="1" showInputMessage="1" showErrorMessage="1" sqref="C10112">
      <formula1>UnidadesList</formula1>
    </dataValidation>
    <dataValidation type="decimal" operator="greaterThan" allowBlank="1" showInputMessage="1" showErrorMessage="1" sqref="D10112">
      <formula1>0</formula1>
    </dataValidation>
    <dataValidation type="decimal" operator="greaterThan" allowBlank="1" showInputMessage="1" showErrorMessage="1" sqref="E10112">
      <formula1>0</formula1>
    </dataValidation>
    <dataValidation type="whole" operator="greaterThan" allowBlank="1" showInputMessage="1" showErrorMessage="1" sqref="A10113">
      <formula1>0</formula1>
    </dataValidation>
    <dataValidation type="list" allowBlank="1" showInputMessage="1" showErrorMessage="1" sqref="C10113">
      <formula1>UnidadesList</formula1>
    </dataValidation>
    <dataValidation type="decimal" operator="greaterThan" allowBlank="1" showInputMessage="1" showErrorMessage="1" sqref="D10113">
      <formula1>0</formula1>
    </dataValidation>
    <dataValidation type="decimal" operator="greaterThan" allowBlank="1" showInputMessage="1" showErrorMessage="1" sqref="E10113">
      <formula1>0</formula1>
    </dataValidation>
    <dataValidation type="whole" operator="greaterThan" allowBlank="1" showInputMessage="1" showErrorMessage="1" sqref="A10114">
      <formula1>0</formula1>
    </dataValidation>
    <dataValidation type="list" allowBlank="1" showInputMessage="1" showErrorMessage="1" sqref="C10114">
      <formula1>UnidadesList</formula1>
    </dataValidation>
    <dataValidation type="decimal" operator="greaterThan" allowBlank="1" showInputMessage="1" showErrorMessage="1" sqref="D10114">
      <formula1>0</formula1>
    </dataValidation>
    <dataValidation type="decimal" operator="greaterThan" allowBlank="1" showInputMessage="1" showErrorMessage="1" sqref="E10114">
      <formula1>0</formula1>
    </dataValidation>
    <dataValidation type="whole" operator="greaterThan" allowBlank="1" showInputMessage="1" showErrorMessage="1" sqref="A10115">
      <formula1>0</formula1>
    </dataValidation>
    <dataValidation type="list" allowBlank="1" showInputMessage="1" showErrorMessage="1" sqref="C10115">
      <formula1>UnidadesList</formula1>
    </dataValidation>
    <dataValidation type="decimal" operator="greaterThan" allowBlank="1" showInputMessage="1" showErrorMessage="1" sqref="D10115">
      <formula1>0</formula1>
    </dataValidation>
    <dataValidation type="decimal" operator="greaterThan" allowBlank="1" showInputMessage="1" showErrorMessage="1" sqref="E10115">
      <formula1>0</formula1>
    </dataValidation>
    <dataValidation type="whole" operator="greaterThan" allowBlank="1" showInputMessage="1" showErrorMessage="1" sqref="A10116">
      <formula1>0</formula1>
    </dataValidation>
    <dataValidation type="list" allowBlank="1" showInputMessage="1" showErrorMessage="1" sqref="C10116">
      <formula1>UnidadesList</formula1>
    </dataValidation>
    <dataValidation type="decimal" operator="greaterThan" allowBlank="1" showInputMessage="1" showErrorMessage="1" sqref="D10116">
      <formula1>0</formula1>
    </dataValidation>
    <dataValidation type="decimal" operator="greaterThan" allowBlank="1" showInputMessage="1" showErrorMessage="1" sqref="E10116">
      <formula1>0</formula1>
    </dataValidation>
    <dataValidation type="whole" operator="greaterThan" allowBlank="1" showInputMessage="1" showErrorMessage="1" sqref="A10117">
      <formula1>0</formula1>
    </dataValidation>
    <dataValidation type="list" allowBlank="1" showInputMessage="1" showErrorMessage="1" sqref="C10117">
      <formula1>UnidadesList</formula1>
    </dataValidation>
    <dataValidation type="decimal" operator="greaterThan" allowBlank="1" showInputMessage="1" showErrorMessage="1" sqref="D10117">
      <formula1>0</formula1>
    </dataValidation>
    <dataValidation type="decimal" operator="greaterThan" allowBlank="1" showInputMessage="1" showErrorMessage="1" sqref="E10117">
      <formula1>0</formula1>
    </dataValidation>
    <dataValidation type="whole" operator="greaterThan" allowBlank="1" showInputMessage="1" showErrorMessage="1" sqref="A10118">
      <formula1>0</formula1>
    </dataValidation>
    <dataValidation type="list" allowBlank="1" showInputMessage="1" showErrorMessage="1" sqref="C10118">
      <formula1>UnidadesList</formula1>
    </dataValidation>
    <dataValidation type="decimal" operator="greaterThan" allowBlank="1" showInputMessage="1" showErrorMessage="1" sqref="D10118">
      <formula1>0</formula1>
    </dataValidation>
    <dataValidation type="decimal" operator="greaterThan" allowBlank="1" showInputMessage="1" showErrorMessage="1" sqref="E10118">
      <formula1>0</formula1>
    </dataValidation>
    <dataValidation type="whole" operator="greaterThan" allowBlank="1" showInputMessage="1" showErrorMessage="1" sqref="A10119">
      <formula1>0</formula1>
    </dataValidation>
    <dataValidation type="list" allowBlank="1" showInputMessage="1" showErrorMessage="1" sqref="C10119">
      <formula1>UnidadesList</formula1>
    </dataValidation>
    <dataValidation type="decimal" operator="greaterThan" allowBlank="1" showInputMessage="1" showErrorMessage="1" sqref="D10119">
      <formula1>0</formula1>
    </dataValidation>
    <dataValidation type="decimal" operator="greaterThan" allowBlank="1" showInputMessage="1" showErrorMessage="1" sqref="E10119">
      <formula1>0</formula1>
    </dataValidation>
    <dataValidation type="whole" operator="greaterThan" allowBlank="1" showInputMessage="1" showErrorMessage="1" sqref="A10120">
      <formula1>0</formula1>
    </dataValidation>
    <dataValidation type="list" allowBlank="1" showInputMessage="1" showErrorMessage="1" sqref="C10120">
      <formula1>UnidadesList</formula1>
    </dataValidation>
    <dataValidation type="decimal" operator="greaterThan" allowBlank="1" showInputMessage="1" showErrorMessage="1" sqref="D10120">
      <formula1>0</formula1>
    </dataValidation>
    <dataValidation type="decimal" operator="greaterThan" allowBlank="1" showInputMessage="1" showErrorMessage="1" sqref="E10120">
      <formula1>0</formula1>
    </dataValidation>
    <dataValidation type="whole" operator="greaterThan" allowBlank="1" showInputMessage="1" showErrorMessage="1" sqref="A10121">
      <formula1>0</formula1>
    </dataValidation>
    <dataValidation type="list" allowBlank="1" showInputMessage="1" showErrorMessage="1" sqref="C10121">
      <formula1>UnidadesList</formula1>
    </dataValidation>
    <dataValidation type="decimal" operator="greaterThan" allowBlank="1" showInputMessage="1" showErrorMessage="1" sqref="D10121">
      <formula1>0</formula1>
    </dataValidation>
    <dataValidation type="decimal" operator="greaterThan" allowBlank="1" showInputMessage="1" showErrorMessage="1" sqref="E10121">
      <formula1>0</formula1>
    </dataValidation>
  </dataValidations>
  <pageMargins left="0.7" right="0.7" top="0.75" bottom="0.75" header="0.3" footer="0.3"/>
  <pageSetup scale="31" orientation="portrait"/>
  <drawing r:id="rId1"/>
  <legacyDrawing r:id="rId2"/>
  <tableParts count="23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  <tablePart r:id="rId120"/>
    <tablePart r:id="rId121"/>
    <tablePart r:id="rId122"/>
    <tablePart r:id="rId123"/>
    <tablePart r:id="rId124"/>
    <tablePart r:id="rId125"/>
    <tablePart r:id="rId126"/>
    <tablePart r:id="rId127"/>
    <tablePart r:id="rId128"/>
    <tablePart r:id="rId129"/>
    <tablePart r:id="rId130"/>
    <tablePart r:id="rId131"/>
    <tablePart r:id="rId132"/>
    <tablePart r:id="rId133"/>
    <tablePart r:id="rId134"/>
    <tablePart r:id="rId135"/>
    <tablePart r:id="rId136"/>
    <tablePart r:id="rId137"/>
    <tablePart r:id="rId138"/>
    <tablePart r:id="rId139"/>
    <tablePart r:id="rId140"/>
    <tablePart r:id="rId141"/>
    <tablePart r:id="rId142"/>
    <tablePart r:id="rId143"/>
    <tablePart r:id="rId144"/>
    <tablePart r:id="rId145"/>
    <tablePart r:id="rId146"/>
    <tablePart r:id="rId147"/>
    <tablePart r:id="rId148"/>
    <tablePart r:id="rId149"/>
    <tablePart r:id="rId150"/>
    <tablePart r:id="rId151"/>
    <tablePart r:id="rId152"/>
    <tablePart r:id="rId153"/>
    <tablePart r:id="rId154"/>
    <tablePart r:id="rId155"/>
    <tablePart r:id="rId156"/>
    <tablePart r:id="rId157"/>
    <tablePart r:id="rId158"/>
    <tablePart r:id="rId159"/>
    <tablePart r:id="rId160"/>
    <tablePart r:id="rId161"/>
    <tablePart r:id="rId162"/>
    <tablePart r:id="rId163"/>
    <tablePart r:id="rId164"/>
    <tablePart r:id="rId165"/>
    <tablePart r:id="rId166"/>
    <tablePart r:id="rId167"/>
    <tablePart r:id="rId168"/>
    <tablePart r:id="rId169"/>
    <tablePart r:id="rId170"/>
    <tablePart r:id="rId171"/>
    <tablePart r:id="rId172"/>
    <tablePart r:id="rId173"/>
    <tablePart r:id="rId174"/>
    <tablePart r:id="rId175"/>
    <tablePart r:id="rId176"/>
    <tablePart r:id="rId177"/>
    <tablePart r:id="rId178"/>
    <tablePart r:id="rId179"/>
    <tablePart r:id="rId180"/>
    <tablePart r:id="rId181"/>
    <tablePart r:id="rId182"/>
    <tablePart r:id="rId183"/>
    <tablePart r:id="rId184"/>
    <tablePart r:id="rId185"/>
    <tablePart r:id="rId186"/>
    <tablePart r:id="rId187"/>
    <tablePart r:id="rId188"/>
    <tablePart r:id="rId189"/>
    <tablePart r:id="rId190"/>
    <tablePart r:id="rId191"/>
    <tablePart r:id="rId192"/>
    <tablePart r:id="rId193"/>
    <tablePart r:id="rId194"/>
    <tablePart r:id="rId195"/>
    <tablePart r:id="rId196"/>
    <tablePart r:id="rId197"/>
    <tablePart r:id="rId198"/>
    <tablePart r:id="rId199"/>
    <tablePart r:id="rId200"/>
    <tablePart r:id="rId201"/>
    <tablePart r:id="rId202"/>
    <tablePart r:id="rId203"/>
    <tablePart r:id="rId204"/>
    <tablePart r:id="rId205"/>
    <tablePart r:id="rId206"/>
    <tablePart r:id="rId207"/>
    <tablePart r:id="rId208"/>
    <tablePart r:id="rId209"/>
    <tablePart r:id="rId210"/>
    <tablePart r:id="rId211"/>
    <tablePart r:id="rId212"/>
    <tablePart r:id="rId213"/>
    <tablePart r:id="rId214"/>
    <tablePart r:id="rId215"/>
    <tablePart r:id="rId216"/>
    <tablePart r:id="rId217"/>
    <tablePart r:id="rId218"/>
    <tablePart r:id="rId219"/>
    <tablePart r:id="rId220"/>
    <tablePart r:id="rId221"/>
    <tablePart r:id="rId222"/>
    <tablePart r:id="rId223"/>
    <tablePart r:id="rId224"/>
    <tablePart r:id="rId225"/>
    <tablePart r:id="rId226"/>
    <tablePart r:id="rId227"/>
    <tablePart r:id="rId228"/>
    <tablePart r:id="rId229"/>
    <tablePart r:id="rId230"/>
    <tablePart r:id="rId231"/>
    <tablePart r:id="rId232"/>
    <tablePart r:id="rId233"/>
  </tableParts>
  <extLst>
    <ext xmlns:x14="http://schemas.microsoft.com/office/spreadsheetml/2009/9/main" uri="{CCE6A557-97BC-4b89-ADB6-D9C93CAAB3DF}">
      <x14:dataValidations xmlns:xm="http://schemas.microsoft.com/office/excel/2006/main" count="693">
        <x14:dataValidation type="list" allowBlank="1" showInputMessage="1" showErrorMessage="1">
          <x14:formula1>
            <xm:f>'Informacion '!$S$3:$S$7</xm:f>
          </x14:formula1>
          <xm:sqref>C16</xm:sqref>
        </x14:dataValidation>
        <x14:dataValidation type="list" allowBlank="1" showInputMessage="1" showErrorMessage="1">
          <x14:formula1>
            <xm:f>'Informacion '!$L$3:$L$17</xm:f>
          </x14:formula1>
          <xm:sqref>D16</xm:sqref>
        </x14:dataValidation>
        <x14:dataValidation type="list" allowBlank="1" showInputMessage="1" showErrorMessage="1">
          <x14:formula1>
            <xm:f>'Informacion '!$N$3:$N$5</xm:f>
          </x14:formula1>
          <xm:sqref>E16</xm:sqref>
        </x14:dataValidation>
        <x14:dataValidation type="list" allowBlank="1" showInputMessage="1" showErrorMessage="1">
          <x14:formula1>
            <xm:f>'Informacion '!$S$3:$S$7</xm:f>
          </x14:formula1>
          <xm:sqref>C47</xm:sqref>
        </x14:dataValidation>
        <x14:dataValidation type="list" allowBlank="1" showInputMessage="1" showErrorMessage="1">
          <x14:formula1>
            <xm:f>'Informacion '!$L$3:$L$17</xm:f>
          </x14:formula1>
          <xm:sqref>D47</xm:sqref>
        </x14:dataValidation>
        <x14:dataValidation type="list" allowBlank="1" showInputMessage="1" showErrorMessage="1">
          <x14:formula1>
            <xm:f>'Informacion '!$N$3:$N$5</xm:f>
          </x14:formula1>
          <xm:sqref>E47</xm:sqref>
        </x14:dataValidation>
        <x14:dataValidation type="list" allowBlank="1" showInputMessage="1" showErrorMessage="1">
          <x14:formula1>
            <xm:f>'Informacion '!$S$3:$S$7</xm:f>
          </x14:formula1>
          <xm:sqref>C101</xm:sqref>
        </x14:dataValidation>
        <x14:dataValidation type="list" allowBlank="1" showInputMessage="1" showErrorMessage="1">
          <x14:formula1>
            <xm:f>'Informacion '!$L$3:$L$17</xm:f>
          </x14:formula1>
          <xm:sqref>D101</xm:sqref>
        </x14:dataValidation>
        <x14:dataValidation type="list" allowBlank="1" showInputMessage="1" showErrorMessage="1">
          <x14:formula1>
            <xm:f>'Informacion '!$N$3:$N$5</xm:f>
          </x14:formula1>
          <xm:sqref>E101</xm:sqref>
        </x14:dataValidation>
        <x14:dataValidation type="list" allowBlank="1" showInputMessage="1" showErrorMessage="1">
          <x14:formula1>
            <xm:f>'Informacion '!$S$3:$S$7</xm:f>
          </x14:formula1>
          <xm:sqref>C155</xm:sqref>
        </x14:dataValidation>
        <x14:dataValidation type="list" allowBlank="1" showInputMessage="1" showErrorMessage="1">
          <x14:formula1>
            <xm:f>'Informacion '!$L$3:$L$17</xm:f>
          </x14:formula1>
          <xm:sqref>D155</xm:sqref>
        </x14:dataValidation>
        <x14:dataValidation type="list" allowBlank="1" showInputMessage="1" showErrorMessage="1">
          <x14:formula1>
            <xm:f>'Informacion '!$N$3:$N$5</xm:f>
          </x14:formula1>
          <xm:sqref>E155</xm:sqref>
        </x14:dataValidation>
        <x14:dataValidation type="list" allowBlank="1" showInputMessage="1" showErrorMessage="1">
          <x14:formula1>
            <xm:f>'Informacion '!$S$3:$S$7</xm:f>
          </x14:formula1>
          <xm:sqref>C209</xm:sqref>
        </x14:dataValidation>
        <x14:dataValidation type="list" allowBlank="1" showInputMessage="1" showErrorMessage="1">
          <x14:formula1>
            <xm:f>'Informacion '!$L$3:$L$17</xm:f>
          </x14:formula1>
          <xm:sqref>D209</xm:sqref>
        </x14:dataValidation>
        <x14:dataValidation type="list" allowBlank="1" showInputMessage="1" showErrorMessage="1">
          <x14:formula1>
            <xm:f>'Informacion '!$N$3:$N$5</xm:f>
          </x14:formula1>
          <xm:sqref>E209</xm:sqref>
        </x14:dataValidation>
        <x14:dataValidation type="list" allowBlank="1" showInputMessage="1" showErrorMessage="1">
          <x14:formula1>
            <xm:f>'Informacion '!$S$3:$S$7</xm:f>
          </x14:formula1>
          <xm:sqref>C261</xm:sqref>
        </x14:dataValidation>
        <x14:dataValidation type="list" allowBlank="1" showInputMessage="1" showErrorMessage="1">
          <x14:formula1>
            <xm:f>'Informacion '!$L$3:$L$17</xm:f>
          </x14:formula1>
          <xm:sqref>D261</xm:sqref>
        </x14:dataValidation>
        <x14:dataValidation type="list" allowBlank="1" showInputMessage="1" showErrorMessage="1">
          <x14:formula1>
            <xm:f>'Informacion '!$N$3:$N$5</xm:f>
          </x14:formula1>
          <xm:sqref>E261</xm:sqref>
        </x14:dataValidation>
        <x14:dataValidation type="list" allowBlank="1" showInputMessage="1" showErrorMessage="1">
          <x14:formula1>
            <xm:f>'Informacion '!$S$3:$S$7</xm:f>
          </x14:formula1>
          <xm:sqref>C292</xm:sqref>
        </x14:dataValidation>
        <x14:dataValidation type="list" allowBlank="1" showInputMessage="1" showErrorMessage="1">
          <x14:formula1>
            <xm:f>'Informacion '!$L$3:$L$17</xm:f>
          </x14:formula1>
          <xm:sqref>D292</xm:sqref>
        </x14:dataValidation>
        <x14:dataValidation type="list" allowBlank="1" showInputMessage="1" showErrorMessage="1">
          <x14:formula1>
            <xm:f>'Informacion '!$N$3:$N$5</xm:f>
          </x14:formula1>
          <xm:sqref>E292</xm:sqref>
        </x14:dataValidation>
        <x14:dataValidation type="list" allowBlank="1" showInputMessage="1" showErrorMessage="1">
          <x14:formula1>
            <xm:f>'Informacion '!$S$3:$S$7</xm:f>
          </x14:formula1>
          <xm:sqref>C326</xm:sqref>
        </x14:dataValidation>
        <x14:dataValidation type="list" allowBlank="1" showInputMessage="1" showErrorMessage="1">
          <x14:formula1>
            <xm:f>'Informacion '!$L$3:$L$17</xm:f>
          </x14:formula1>
          <xm:sqref>D326</xm:sqref>
        </x14:dataValidation>
        <x14:dataValidation type="list" allowBlank="1" showInputMessage="1" showErrorMessage="1">
          <x14:formula1>
            <xm:f>'Informacion '!$N$3:$N$5</xm:f>
          </x14:formula1>
          <xm:sqref>E326</xm:sqref>
        </x14:dataValidation>
        <x14:dataValidation type="list" allowBlank="1" showInputMessage="1" showErrorMessage="1">
          <x14:formula1>
            <xm:f>'Informacion '!$S$3:$S$7</xm:f>
          </x14:formula1>
          <xm:sqref>C340</xm:sqref>
        </x14:dataValidation>
        <x14:dataValidation type="list" allowBlank="1" showInputMessage="1" showErrorMessage="1">
          <x14:formula1>
            <xm:f>'Informacion '!$L$3:$L$17</xm:f>
          </x14:formula1>
          <xm:sqref>D340</xm:sqref>
        </x14:dataValidation>
        <x14:dataValidation type="list" allowBlank="1" showInputMessage="1" showErrorMessage="1">
          <x14:formula1>
            <xm:f>'Informacion '!$N$3:$N$5</xm:f>
          </x14:formula1>
          <xm:sqref>E340</xm:sqref>
        </x14:dataValidation>
        <x14:dataValidation type="list" allowBlank="1" showInputMessage="1" showErrorMessage="1">
          <x14:formula1>
            <xm:f>'Informacion '!$S$3:$S$7</xm:f>
          </x14:formula1>
          <xm:sqref>C368</xm:sqref>
        </x14:dataValidation>
        <x14:dataValidation type="list" allowBlank="1" showInputMessage="1" showErrorMessage="1">
          <x14:formula1>
            <xm:f>'Informacion '!$L$3:$L$17</xm:f>
          </x14:formula1>
          <xm:sqref>D368</xm:sqref>
        </x14:dataValidation>
        <x14:dataValidation type="list" allowBlank="1" showInputMessage="1" showErrorMessage="1">
          <x14:formula1>
            <xm:f>'Informacion '!$N$3:$N$5</xm:f>
          </x14:formula1>
          <xm:sqref>E368</xm:sqref>
        </x14:dataValidation>
        <x14:dataValidation type="list" allowBlank="1" showInputMessage="1" showErrorMessage="1">
          <x14:formula1>
            <xm:f>'Informacion '!$S$3:$S$7</xm:f>
          </x14:formula1>
          <xm:sqref>C381</xm:sqref>
        </x14:dataValidation>
        <x14:dataValidation type="list" allowBlank="1" showInputMessage="1" showErrorMessage="1">
          <x14:formula1>
            <xm:f>'Informacion '!$L$3:$L$17</xm:f>
          </x14:formula1>
          <xm:sqref>D381</xm:sqref>
        </x14:dataValidation>
        <x14:dataValidation type="list" allowBlank="1" showInputMessage="1" showErrorMessage="1">
          <x14:formula1>
            <xm:f>'Informacion '!$N$3:$N$5</xm:f>
          </x14:formula1>
          <xm:sqref>E381</xm:sqref>
        </x14:dataValidation>
        <x14:dataValidation type="list" allowBlank="1" showInputMessage="1" showErrorMessage="1">
          <x14:formula1>
            <xm:f>'Informacion '!$S$3:$S$7</xm:f>
          </x14:formula1>
          <xm:sqref>C412</xm:sqref>
        </x14:dataValidation>
        <x14:dataValidation type="list" allowBlank="1" showInputMessage="1" showErrorMessage="1">
          <x14:formula1>
            <xm:f>'Informacion '!$L$3:$L$17</xm:f>
          </x14:formula1>
          <xm:sqref>D412</xm:sqref>
        </x14:dataValidation>
        <x14:dataValidation type="list" allowBlank="1" showInputMessage="1" showErrorMessage="1">
          <x14:formula1>
            <xm:f>'Informacion '!$N$3:$N$5</xm:f>
          </x14:formula1>
          <xm:sqref>E412</xm:sqref>
        </x14:dataValidation>
        <x14:dataValidation type="list" allowBlank="1" showInputMessage="1" showErrorMessage="1">
          <x14:formula1>
            <xm:f>'Informacion '!$S$3:$S$7</xm:f>
          </x14:formula1>
          <xm:sqref>C443</xm:sqref>
        </x14:dataValidation>
        <x14:dataValidation type="list" allowBlank="1" showInputMessage="1" showErrorMessage="1">
          <x14:formula1>
            <xm:f>'Informacion '!$L$3:$L$17</xm:f>
          </x14:formula1>
          <xm:sqref>D443</xm:sqref>
        </x14:dataValidation>
        <x14:dataValidation type="list" allowBlank="1" showInputMessage="1" showErrorMessage="1">
          <x14:formula1>
            <xm:f>'Informacion '!$N$3:$N$5</xm:f>
          </x14:formula1>
          <xm:sqref>E443</xm:sqref>
        </x14:dataValidation>
        <x14:dataValidation type="list" allowBlank="1" showInputMessage="1" showErrorMessage="1">
          <x14:formula1>
            <xm:f>'Informacion '!$S$3:$S$7</xm:f>
          </x14:formula1>
          <xm:sqref>C456</xm:sqref>
        </x14:dataValidation>
        <x14:dataValidation type="list" allowBlank="1" showInputMessage="1" showErrorMessage="1">
          <x14:formula1>
            <xm:f>'Informacion '!$L$3:$L$17</xm:f>
          </x14:formula1>
          <xm:sqref>D456</xm:sqref>
        </x14:dataValidation>
        <x14:dataValidation type="list" allowBlank="1" showInputMessage="1" showErrorMessage="1">
          <x14:formula1>
            <xm:f>'Informacion '!$N$3:$N$5</xm:f>
          </x14:formula1>
          <xm:sqref>E456</xm:sqref>
        </x14:dataValidation>
        <x14:dataValidation type="list" allowBlank="1" showInputMessage="1" showErrorMessage="1">
          <x14:formula1>
            <xm:f>'Informacion '!$S$3:$S$7</xm:f>
          </x14:formula1>
          <xm:sqref>C468</xm:sqref>
        </x14:dataValidation>
        <x14:dataValidation type="list" allowBlank="1" showInputMessage="1" showErrorMessage="1">
          <x14:formula1>
            <xm:f>'Informacion '!$L$3:$L$17</xm:f>
          </x14:formula1>
          <xm:sqref>D468</xm:sqref>
        </x14:dataValidation>
        <x14:dataValidation type="list" allowBlank="1" showInputMessage="1" showErrorMessage="1">
          <x14:formula1>
            <xm:f>'Informacion '!$N$3:$N$5</xm:f>
          </x14:formula1>
          <xm:sqref>E468</xm:sqref>
        </x14:dataValidation>
        <x14:dataValidation type="list" allowBlank="1" showInputMessage="1" showErrorMessage="1">
          <x14:formula1>
            <xm:f>'Informacion '!$S$3:$S$7</xm:f>
          </x14:formula1>
          <xm:sqref>C480</xm:sqref>
        </x14:dataValidation>
        <x14:dataValidation type="list" allowBlank="1" showInputMessage="1" showErrorMessage="1">
          <x14:formula1>
            <xm:f>'Informacion '!$L$3:$L$17</xm:f>
          </x14:formula1>
          <xm:sqref>D480</xm:sqref>
        </x14:dataValidation>
        <x14:dataValidation type="list" allowBlank="1" showInputMessage="1" showErrorMessage="1">
          <x14:formula1>
            <xm:f>'Informacion '!$N$3:$N$5</xm:f>
          </x14:formula1>
          <xm:sqref>E480</xm:sqref>
        </x14:dataValidation>
        <x14:dataValidation type="list" allowBlank="1" showInputMessage="1" showErrorMessage="1">
          <x14:formula1>
            <xm:f>'Informacion '!$S$3:$S$7</xm:f>
          </x14:formula1>
          <xm:sqref>C493</xm:sqref>
        </x14:dataValidation>
        <x14:dataValidation type="list" allowBlank="1" showInputMessage="1" showErrorMessage="1">
          <x14:formula1>
            <xm:f>'Informacion '!$L$3:$L$17</xm:f>
          </x14:formula1>
          <xm:sqref>D493</xm:sqref>
        </x14:dataValidation>
        <x14:dataValidation type="list" allowBlank="1" showInputMessage="1" showErrorMessage="1">
          <x14:formula1>
            <xm:f>'Informacion '!$N$3:$N$5</xm:f>
          </x14:formula1>
          <xm:sqref>E493</xm:sqref>
        </x14:dataValidation>
        <x14:dataValidation type="list" allowBlank="1" showInputMessage="1" showErrorMessage="1">
          <x14:formula1>
            <xm:f>'Informacion '!$S$3:$S$7</xm:f>
          </x14:formula1>
          <xm:sqref>C575</xm:sqref>
        </x14:dataValidation>
        <x14:dataValidation type="list" allowBlank="1" showInputMessage="1" showErrorMessage="1">
          <x14:formula1>
            <xm:f>'Informacion '!$L$3:$L$17</xm:f>
          </x14:formula1>
          <xm:sqref>D575</xm:sqref>
        </x14:dataValidation>
        <x14:dataValidation type="list" allowBlank="1" showInputMessage="1" showErrorMessage="1">
          <x14:formula1>
            <xm:f>'Informacion '!$N$3:$N$5</xm:f>
          </x14:formula1>
          <xm:sqref>E575</xm:sqref>
        </x14:dataValidation>
        <x14:dataValidation type="list" allowBlank="1" showInputMessage="1" showErrorMessage="1">
          <x14:formula1>
            <xm:f>'Informacion '!$S$3:$S$7</xm:f>
          </x14:formula1>
          <xm:sqref>C590</xm:sqref>
        </x14:dataValidation>
        <x14:dataValidation type="list" allowBlank="1" showInputMessage="1" showErrorMessage="1">
          <x14:formula1>
            <xm:f>'Informacion '!$L$3:$L$17</xm:f>
          </x14:formula1>
          <xm:sqref>D590</xm:sqref>
        </x14:dataValidation>
        <x14:dataValidation type="list" allowBlank="1" showInputMessage="1" showErrorMessage="1">
          <x14:formula1>
            <xm:f>'Informacion '!$N$3:$N$5</xm:f>
          </x14:formula1>
          <xm:sqref>E590</xm:sqref>
        </x14:dataValidation>
        <x14:dataValidation type="list" allowBlank="1" showInputMessage="1" showErrorMessage="1">
          <x14:formula1>
            <xm:f>'Informacion '!$S$3:$S$7</xm:f>
          </x14:formula1>
          <xm:sqref>C605</xm:sqref>
        </x14:dataValidation>
        <x14:dataValidation type="list" allowBlank="1" showInputMessage="1" showErrorMessage="1">
          <x14:formula1>
            <xm:f>'Informacion '!$L$3:$L$17</xm:f>
          </x14:formula1>
          <xm:sqref>D605</xm:sqref>
        </x14:dataValidation>
        <x14:dataValidation type="list" allowBlank="1" showInputMessage="1" showErrorMessage="1">
          <x14:formula1>
            <xm:f>'Informacion '!$N$3:$N$5</xm:f>
          </x14:formula1>
          <xm:sqref>E605</xm:sqref>
        </x14:dataValidation>
        <x14:dataValidation type="list" allowBlank="1" showInputMessage="1" showErrorMessage="1">
          <x14:formula1>
            <xm:f>'Informacion '!$S$3:$S$7</xm:f>
          </x14:formula1>
          <xm:sqref>C620</xm:sqref>
        </x14:dataValidation>
        <x14:dataValidation type="list" allowBlank="1" showInputMessage="1" showErrorMessage="1">
          <x14:formula1>
            <xm:f>'Informacion '!$L$3:$L$17</xm:f>
          </x14:formula1>
          <xm:sqref>D620</xm:sqref>
        </x14:dataValidation>
        <x14:dataValidation type="list" allowBlank="1" showInputMessage="1" showErrorMessage="1">
          <x14:formula1>
            <xm:f>'Informacion '!$N$3:$N$5</xm:f>
          </x14:formula1>
          <xm:sqref>E620</xm:sqref>
        </x14:dataValidation>
        <x14:dataValidation type="list" allowBlank="1" showInputMessage="1" showErrorMessage="1">
          <x14:formula1>
            <xm:f>'Informacion '!$S$3:$S$7</xm:f>
          </x14:formula1>
          <xm:sqref>C635</xm:sqref>
        </x14:dataValidation>
        <x14:dataValidation type="list" allowBlank="1" showInputMessage="1" showErrorMessage="1">
          <x14:formula1>
            <xm:f>'Informacion '!$L$3:$L$17</xm:f>
          </x14:formula1>
          <xm:sqref>D635</xm:sqref>
        </x14:dataValidation>
        <x14:dataValidation type="list" allowBlank="1" showInputMessage="1" showErrorMessage="1">
          <x14:formula1>
            <xm:f>'Informacion '!$N$3:$N$5</xm:f>
          </x14:formula1>
          <xm:sqref>E635</xm:sqref>
        </x14:dataValidation>
        <x14:dataValidation type="list" allowBlank="1" showInputMessage="1" showErrorMessage="1">
          <x14:formula1>
            <xm:f>'Informacion '!$S$3:$S$7</xm:f>
          </x14:formula1>
          <xm:sqref>C648</xm:sqref>
        </x14:dataValidation>
        <x14:dataValidation type="list" allowBlank="1" showInputMessage="1" showErrorMessage="1">
          <x14:formula1>
            <xm:f>'Informacion '!$L$3:$L$17</xm:f>
          </x14:formula1>
          <xm:sqref>D648</xm:sqref>
        </x14:dataValidation>
        <x14:dataValidation type="list" allowBlank="1" showInputMessage="1" showErrorMessage="1">
          <x14:formula1>
            <xm:f>'Informacion '!$N$3:$N$5</xm:f>
          </x14:formula1>
          <xm:sqref>E648</xm:sqref>
        </x14:dataValidation>
        <x14:dataValidation type="list" allowBlank="1" showInputMessage="1" showErrorMessage="1">
          <x14:formula1>
            <xm:f>'Informacion '!$S$3:$S$7</xm:f>
          </x14:formula1>
          <xm:sqref>C661</xm:sqref>
        </x14:dataValidation>
        <x14:dataValidation type="list" allowBlank="1" showInputMessage="1" showErrorMessage="1">
          <x14:formula1>
            <xm:f>'Informacion '!$L$3:$L$17</xm:f>
          </x14:formula1>
          <xm:sqref>D661</xm:sqref>
        </x14:dataValidation>
        <x14:dataValidation type="list" allowBlank="1" showInputMessage="1" showErrorMessage="1">
          <x14:formula1>
            <xm:f>'Informacion '!$N$3:$N$5</xm:f>
          </x14:formula1>
          <xm:sqref>E661</xm:sqref>
        </x14:dataValidation>
        <x14:dataValidation type="list" allowBlank="1" showInputMessage="1" showErrorMessage="1">
          <x14:formula1>
            <xm:f>'Informacion '!$S$3:$S$7</xm:f>
          </x14:formula1>
          <xm:sqref>C674</xm:sqref>
        </x14:dataValidation>
        <x14:dataValidation type="list" allowBlank="1" showInputMessage="1" showErrorMessage="1">
          <x14:formula1>
            <xm:f>'Informacion '!$L$3:$L$17</xm:f>
          </x14:formula1>
          <xm:sqref>D674</xm:sqref>
        </x14:dataValidation>
        <x14:dataValidation type="list" allowBlank="1" showInputMessage="1" showErrorMessage="1">
          <x14:formula1>
            <xm:f>'Informacion '!$N$3:$N$5</xm:f>
          </x14:formula1>
          <xm:sqref>E674</xm:sqref>
        </x14:dataValidation>
        <x14:dataValidation type="list" allowBlank="1" showInputMessage="1" showErrorMessage="1">
          <x14:formula1>
            <xm:f>'Informacion '!$S$3:$S$7</xm:f>
          </x14:formula1>
          <xm:sqref>C687</xm:sqref>
        </x14:dataValidation>
        <x14:dataValidation type="list" allowBlank="1" showInputMessage="1" showErrorMessage="1">
          <x14:formula1>
            <xm:f>'Informacion '!$L$3:$L$17</xm:f>
          </x14:formula1>
          <xm:sqref>D687</xm:sqref>
        </x14:dataValidation>
        <x14:dataValidation type="list" allowBlank="1" showInputMessage="1" showErrorMessage="1">
          <x14:formula1>
            <xm:f>'Informacion '!$N$3:$N$5</xm:f>
          </x14:formula1>
          <xm:sqref>E687</xm:sqref>
        </x14:dataValidation>
        <x14:dataValidation type="list" allowBlank="1" showInputMessage="1" showErrorMessage="1">
          <x14:formula1>
            <xm:f>'Informacion '!$S$3:$S$7</xm:f>
          </x14:formula1>
          <xm:sqref>C703</xm:sqref>
        </x14:dataValidation>
        <x14:dataValidation type="list" allowBlank="1" showInputMessage="1" showErrorMessage="1">
          <x14:formula1>
            <xm:f>'Informacion '!$L$3:$L$17</xm:f>
          </x14:formula1>
          <xm:sqref>D703</xm:sqref>
        </x14:dataValidation>
        <x14:dataValidation type="list" allowBlank="1" showInputMessage="1" showErrorMessage="1">
          <x14:formula1>
            <xm:f>'Informacion '!$N$3:$N$5</xm:f>
          </x14:formula1>
          <xm:sqref>E703</xm:sqref>
        </x14:dataValidation>
        <x14:dataValidation type="list" allowBlank="1" showInputMessage="1" showErrorMessage="1">
          <x14:formula1>
            <xm:f>'Informacion '!$S$3:$S$7</xm:f>
          </x14:formula1>
          <xm:sqref>C721</xm:sqref>
        </x14:dataValidation>
        <x14:dataValidation type="list" allowBlank="1" showInputMessage="1" showErrorMessage="1">
          <x14:formula1>
            <xm:f>'Informacion '!$L$3:$L$17</xm:f>
          </x14:formula1>
          <xm:sqref>D721</xm:sqref>
        </x14:dataValidation>
        <x14:dataValidation type="list" allowBlank="1" showInputMessage="1" showErrorMessage="1">
          <x14:formula1>
            <xm:f>'Informacion '!$N$3:$N$5</xm:f>
          </x14:formula1>
          <xm:sqref>E721</xm:sqref>
        </x14:dataValidation>
        <x14:dataValidation type="list" allowBlank="1" showInputMessage="1" showErrorMessage="1">
          <x14:formula1>
            <xm:f>'Informacion '!$S$3:$S$7</xm:f>
          </x14:formula1>
          <xm:sqref>C739</xm:sqref>
        </x14:dataValidation>
        <x14:dataValidation type="list" allowBlank="1" showInputMessage="1" showErrorMessage="1">
          <x14:formula1>
            <xm:f>'Informacion '!$L$3:$L$17</xm:f>
          </x14:formula1>
          <xm:sqref>D739</xm:sqref>
        </x14:dataValidation>
        <x14:dataValidation type="list" allowBlank="1" showInputMessage="1" showErrorMessage="1">
          <x14:formula1>
            <xm:f>'Informacion '!$N$3:$N$5</xm:f>
          </x14:formula1>
          <xm:sqref>E739</xm:sqref>
        </x14:dataValidation>
        <x14:dataValidation type="list" allowBlank="1" showInputMessage="1" showErrorMessage="1">
          <x14:formula1>
            <xm:f>'Informacion '!$S$3:$S$7</xm:f>
          </x14:formula1>
          <xm:sqref>C757</xm:sqref>
        </x14:dataValidation>
        <x14:dataValidation type="list" allowBlank="1" showInputMessage="1" showErrorMessage="1">
          <x14:formula1>
            <xm:f>'Informacion '!$L$3:$L$17</xm:f>
          </x14:formula1>
          <xm:sqref>D757</xm:sqref>
        </x14:dataValidation>
        <x14:dataValidation type="list" allowBlank="1" showInputMessage="1" showErrorMessage="1">
          <x14:formula1>
            <xm:f>'Informacion '!$N$3:$N$5</xm:f>
          </x14:formula1>
          <xm:sqref>E757</xm:sqref>
        </x14:dataValidation>
        <x14:dataValidation type="list" allowBlank="1" showInputMessage="1" showErrorMessage="1">
          <x14:formula1>
            <xm:f>'Informacion '!$S$3:$S$7</xm:f>
          </x14:formula1>
          <xm:sqref>C775</xm:sqref>
        </x14:dataValidation>
        <x14:dataValidation type="list" allowBlank="1" showInputMessage="1" showErrorMessage="1">
          <x14:formula1>
            <xm:f>'Informacion '!$L$3:$L$17</xm:f>
          </x14:formula1>
          <xm:sqref>D775</xm:sqref>
        </x14:dataValidation>
        <x14:dataValidation type="list" allowBlank="1" showInputMessage="1" showErrorMessage="1">
          <x14:formula1>
            <xm:f>'Informacion '!$N$3:$N$5</xm:f>
          </x14:formula1>
          <xm:sqref>E775</xm:sqref>
        </x14:dataValidation>
        <x14:dataValidation type="list" allowBlank="1" showInputMessage="1" showErrorMessage="1">
          <x14:formula1>
            <xm:f>'Informacion '!$S$3:$S$7</xm:f>
          </x14:formula1>
          <xm:sqref>C791</xm:sqref>
        </x14:dataValidation>
        <x14:dataValidation type="list" allowBlank="1" showInputMessage="1" showErrorMessage="1">
          <x14:formula1>
            <xm:f>'Informacion '!$L$3:$L$17</xm:f>
          </x14:formula1>
          <xm:sqref>D791</xm:sqref>
        </x14:dataValidation>
        <x14:dataValidation type="list" allowBlank="1" showInputMessage="1" showErrorMessage="1">
          <x14:formula1>
            <xm:f>'Informacion '!$N$3:$N$5</xm:f>
          </x14:formula1>
          <xm:sqref>E791</xm:sqref>
        </x14:dataValidation>
        <x14:dataValidation type="list" allowBlank="1" showInputMessage="1" showErrorMessage="1">
          <x14:formula1>
            <xm:f>'Informacion '!$S$3:$S$7</xm:f>
          </x14:formula1>
          <xm:sqref>C818</xm:sqref>
        </x14:dataValidation>
        <x14:dataValidation type="list" allowBlank="1" showInputMessage="1" showErrorMessage="1">
          <x14:formula1>
            <xm:f>'Informacion '!$L$3:$L$17</xm:f>
          </x14:formula1>
          <xm:sqref>D818</xm:sqref>
        </x14:dataValidation>
        <x14:dataValidation type="list" allowBlank="1" showInputMessage="1" showErrorMessage="1">
          <x14:formula1>
            <xm:f>'Informacion '!$N$3:$N$5</xm:f>
          </x14:formula1>
          <xm:sqref>E818</xm:sqref>
        </x14:dataValidation>
        <x14:dataValidation type="list" allowBlank="1" showInputMessage="1" showErrorMessage="1">
          <x14:formula1>
            <xm:f>'Informacion '!$S$3:$S$7</xm:f>
          </x14:formula1>
          <xm:sqref>C836</xm:sqref>
        </x14:dataValidation>
        <x14:dataValidation type="list" allowBlank="1" showInputMessage="1" showErrorMessage="1">
          <x14:formula1>
            <xm:f>'Informacion '!$L$3:$L$17</xm:f>
          </x14:formula1>
          <xm:sqref>D836</xm:sqref>
        </x14:dataValidation>
        <x14:dataValidation type="list" allowBlank="1" showInputMessage="1" showErrorMessage="1">
          <x14:formula1>
            <xm:f>'Informacion '!$N$3:$N$5</xm:f>
          </x14:formula1>
          <xm:sqref>E836</xm:sqref>
        </x14:dataValidation>
        <x14:dataValidation type="list" allowBlank="1" showInputMessage="1" showErrorMessage="1">
          <x14:formula1>
            <xm:f>'Informacion '!$S$3:$S$7</xm:f>
          </x14:formula1>
          <xm:sqref>C857</xm:sqref>
        </x14:dataValidation>
        <x14:dataValidation type="list" allowBlank="1" showInputMessage="1" showErrorMessage="1">
          <x14:formula1>
            <xm:f>'Informacion '!$L$3:$L$17</xm:f>
          </x14:formula1>
          <xm:sqref>D857</xm:sqref>
        </x14:dataValidation>
        <x14:dataValidation type="list" allowBlank="1" showInputMessage="1" showErrorMessage="1">
          <x14:formula1>
            <xm:f>'Informacion '!$N$3:$N$5</xm:f>
          </x14:formula1>
          <xm:sqref>E857</xm:sqref>
        </x14:dataValidation>
        <x14:dataValidation type="list" allowBlank="1" showInputMessage="1" showErrorMessage="1">
          <x14:formula1>
            <xm:f>'Informacion '!$S$3:$S$7</xm:f>
          </x14:formula1>
          <xm:sqref>C874</xm:sqref>
        </x14:dataValidation>
        <x14:dataValidation type="list" allowBlank="1" showInputMessage="1" showErrorMessage="1">
          <x14:formula1>
            <xm:f>'Informacion '!$L$3:$L$17</xm:f>
          </x14:formula1>
          <xm:sqref>D874</xm:sqref>
        </x14:dataValidation>
        <x14:dataValidation type="list" allowBlank="1" showInputMessage="1" showErrorMessage="1">
          <x14:formula1>
            <xm:f>'Informacion '!$N$3:$N$5</xm:f>
          </x14:formula1>
          <xm:sqref>E874</xm:sqref>
        </x14:dataValidation>
        <x14:dataValidation type="list" allowBlank="1" showInputMessage="1" showErrorMessage="1">
          <x14:formula1>
            <xm:f>'Informacion '!$S$3:$S$7</xm:f>
          </x14:formula1>
          <xm:sqref>C899</xm:sqref>
        </x14:dataValidation>
        <x14:dataValidation type="list" allowBlank="1" showInputMessage="1" showErrorMessage="1">
          <x14:formula1>
            <xm:f>'Informacion '!$L$3:$L$17</xm:f>
          </x14:formula1>
          <xm:sqref>D899</xm:sqref>
        </x14:dataValidation>
        <x14:dataValidation type="list" allowBlank="1" showInputMessage="1" showErrorMessage="1">
          <x14:formula1>
            <xm:f>'Informacion '!$N$3:$N$5</xm:f>
          </x14:formula1>
          <xm:sqref>E899</xm:sqref>
        </x14:dataValidation>
        <x14:dataValidation type="list" allowBlank="1" showInputMessage="1" showErrorMessage="1">
          <x14:formula1>
            <xm:f>'Informacion '!$S$3:$S$7</xm:f>
          </x14:formula1>
          <xm:sqref>C924</xm:sqref>
        </x14:dataValidation>
        <x14:dataValidation type="list" allowBlank="1" showInputMessage="1" showErrorMessage="1">
          <x14:formula1>
            <xm:f>'Informacion '!$L$3:$L$17</xm:f>
          </x14:formula1>
          <xm:sqref>D924</xm:sqref>
        </x14:dataValidation>
        <x14:dataValidation type="list" allowBlank="1" showInputMessage="1" showErrorMessage="1">
          <x14:formula1>
            <xm:f>'Informacion '!$N$3:$N$5</xm:f>
          </x14:formula1>
          <xm:sqref>E924</xm:sqref>
        </x14:dataValidation>
        <x14:dataValidation type="list" allowBlank="1" showInputMessage="1" showErrorMessage="1">
          <x14:formula1>
            <xm:f>'Informacion '!$S$3:$S$7</xm:f>
          </x14:formula1>
          <xm:sqref>C947</xm:sqref>
        </x14:dataValidation>
        <x14:dataValidation type="list" allowBlank="1" showInputMessage="1" showErrorMessage="1">
          <x14:formula1>
            <xm:f>'Informacion '!$L$3:$L$17</xm:f>
          </x14:formula1>
          <xm:sqref>D947</xm:sqref>
        </x14:dataValidation>
        <x14:dataValidation type="list" allowBlank="1" showInputMessage="1" showErrorMessage="1">
          <x14:formula1>
            <xm:f>'Informacion '!$N$3:$N$5</xm:f>
          </x14:formula1>
          <xm:sqref>E947</xm:sqref>
        </x14:dataValidation>
        <x14:dataValidation type="list" allowBlank="1" showInputMessage="1" showErrorMessage="1">
          <x14:formula1>
            <xm:f>'Informacion '!$S$3:$S$7</xm:f>
          </x14:formula1>
          <xm:sqref>C994</xm:sqref>
        </x14:dataValidation>
        <x14:dataValidation type="list" allowBlank="1" showInputMessage="1" showErrorMessage="1">
          <x14:formula1>
            <xm:f>'Informacion '!$L$3:$L$17</xm:f>
          </x14:formula1>
          <xm:sqref>D994</xm:sqref>
        </x14:dataValidation>
        <x14:dataValidation type="list" allowBlank="1" showInputMessage="1" showErrorMessage="1">
          <x14:formula1>
            <xm:f>'Informacion '!$N$3:$N$5</xm:f>
          </x14:formula1>
          <xm:sqref>E994</xm:sqref>
        </x14:dataValidation>
        <x14:dataValidation type="list" allowBlank="1" showInputMessage="1" showErrorMessage="1">
          <x14:formula1>
            <xm:f>'Informacion '!$S$3:$S$7</xm:f>
          </x14:formula1>
          <xm:sqref>C1041</xm:sqref>
        </x14:dataValidation>
        <x14:dataValidation type="list" allowBlank="1" showInputMessage="1" showErrorMessage="1">
          <x14:formula1>
            <xm:f>'Informacion '!$L$3:$L$17</xm:f>
          </x14:formula1>
          <xm:sqref>D1041</xm:sqref>
        </x14:dataValidation>
        <x14:dataValidation type="list" allowBlank="1" showInputMessage="1" showErrorMessage="1">
          <x14:formula1>
            <xm:f>'Informacion '!$N$3:$N$5</xm:f>
          </x14:formula1>
          <xm:sqref>E1041</xm:sqref>
        </x14:dataValidation>
        <x14:dataValidation type="list" allowBlank="1" showInputMessage="1" showErrorMessage="1">
          <x14:formula1>
            <xm:f>'Informacion '!$S$3:$S$7</xm:f>
          </x14:formula1>
          <xm:sqref>C1088</xm:sqref>
        </x14:dataValidation>
        <x14:dataValidation type="list" allowBlank="1" showInputMessage="1" showErrorMessage="1">
          <x14:formula1>
            <xm:f>'Informacion '!$L$3:$L$17</xm:f>
          </x14:formula1>
          <xm:sqref>D1088</xm:sqref>
        </x14:dataValidation>
        <x14:dataValidation type="list" allowBlank="1" showInputMessage="1" showErrorMessage="1">
          <x14:formula1>
            <xm:f>'Informacion '!$N$3:$N$5</xm:f>
          </x14:formula1>
          <xm:sqref>E1088</xm:sqref>
        </x14:dataValidation>
        <x14:dataValidation type="list" allowBlank="1" showInputMessage="1" showErrorMessage="1">
          <x14:formula1>
            <xm:f>'Informacion '!$S$3:$S$7</xm:f>
          </x14:formula1>
          <xm:sqref>C1135</xm:sqref>
        </x14:dataValidation>
        <x14:dataValidation type="list" allowBlank="1" showInputMessage="1" showErrorMessage="1">
          <x14:formula1>
            <xm:f>'Informacion '!$L$3:$L$17</xm:f>
          </x14:formula1>
          <xm:sqref>D1135</xm:sqref>
        </x14:dataValidation>
        <x14:dataValidation type="list" allowBlank="1" showInputMessage="1" showErrorMessage="1">
          <x14:formula1>
            <xm:f>'Informacion '!$N$3:$N$5</xm:f>
          </x14:formula1>
          <xm:sqref>E1135</xm:sqref>
        </x14:dataValidation>
        <x14:dataValidation type="list" allowBlank="1" showInputMessage="1" showErrorMessage="1">
          <x14:formula1>
            <xm:f>'Informacion '!$S$3:$S$7</xm:f>
          </x14:formula1>
          <xm:sqref>C1160</xm:sqref>
        </x14:dataValidation>
        <x14:dataValidation type="list" allowBlank="1" showInputMessage="1" showErrorMessage="1">
          <x14:formula1>
            <xm:f>'Informacion '!$L$3:$L$17</xm:f>
          </x14:formula1>
          <xm:sqref>D1160</xm:sqref>
        </x14:dataValidation>
        <x14:dataValidation type="list" allowBlank="1" showInputMessage="1" showErrorMessage="1">
          <x14:formula1>
            <xm:f>'Informacion '!$N$3:$N$5</xm:f>
          </x14:formula1>
          <xm:sqref>E1160</xm:sqref>
        </x14:dataValidation>
        <x14:dataValidation type="list" allowBlank="1" showInputMessage="1" showErrorMessage="1">
          <x14:formula1>
            <xm:f>'Informacion '!$S$3:$S$7</xm:f>
          </x14:formula1>
          <xm:sqref>C1185</xm:sqref>
        </x14:dataValidation>
        <x14:dataValidation type="list" allowBlank="1" showInputMessage="1" showErrorMessage="1">
          <x14:formula1>
            <xm:f>'Informacion '!$L$3:$L$17</xm:f>
          </x14:formula1>
          <xm:sqref>D1185</xm:sqref>
        </x14:dataValidation>
        <x14:dataValidation type="list" allowBlank="1" showInputMessage="1" showErrorMessage="1">
          <x14:formula1>
            <xm:f>'Informacion '!$N$3:$N$5</xm:f>
          </x14:formula1>
          <xm:sqref>E1185</xm:sqref>
        </x14:dataValidation>
        <x14:dataValidation type="list" allowBlank="1" showInputMessage="1" showErrorMessage="1">
          <x14:formula1>
            <xm:f>'Informacion '!$S$3:$S$7</xm:f>
          </x14:formula1>
          <xm:sqref>C1205</xm:sqref>
        </x14:dataValidation>
        <x14:dataValidation type="list" allowBlank="1" showInputMessage="1" showErrorMessage="1">
          <x14:formula1>
            <xm:f>'Informacion '!$L$3:$L$17</xm:f>
          </x14:formula1>
          <xm:sqref>D1205</xm:sqref>
        </x14:dataValidation>
        <x14:dataValidation type="list" allowBlank="1" showInputMessage="1" showErrorMessage="1">
          <x14:formula1>
            <xm:f>'Informacion '!$N$3:$N$5</xm:f>
          </x14:formula1>
          <xm:sqref>E1205</xm:sqref>
        </x14:dataValidation>
        <x14:dataValidation type="list" allowBlank="1" showInputMessage="1" showErrorMessage="1">
          <x14:formula1>
            <xm:f>'Informacion '!$S$3:$S$7</xm:f>
          </x14:formula1>
          <xm:sqref>C1225</xm:sqref>
        </x14:dataValidation>
        <x14:dataValidation type="list" allowBlank="1" showInputMessage="1" showErrorMessage="1">
          <x14:formula1>
            <xm:f>'Informacion '!$L$3:$L$17</xm:f>
          </x14:formula1>
          <xm:sqref>D1225</xm:sqref>
        </x14:dataValidation>
        <x14:dataValidation type="list" allowBlank="1" showInputMessage="1" showErrorMessage="1">
          <x14:formula1>
            <xm:f>'Informacion '!$N$3:$N$5</xm:f>
          </x14:formula1>
          <xm:sqref>E1225</xm:sqref>
        </x14:dataValidation>
        <x14:dataValidation type="list" allowBlank="1" showInputMessage="1" showErrorMessage="1">
          <x14:formula1>
            <xm:f>'Informacion '!$S$3:$S$7</xm:f>
          </x14:formula1>
          <xm:sqref>C1245</xm:sqref>
        </x14:dataValidation>
        <x14:dataValidation type="list" allowBlank="1" showInputMessage="1" showErrorMessage="1">
          <x14:formula1>
            <xm:f>'Informacion '!$L$3:$L$17</xm:f>
          </x14:formula1>
          <xm:sqref>D1245</xm:sqref>
        </x14:dataValidation>
        <x14:dataValidation type="list" allowBlank="1" showInputMessage="1" showErrorMessage="1">
          <x14:formula1>
            <xm:f>'Informacion '!$N$3:$N$5</xm:f>
          </x14:formula1>
          <xm:sqref>E1245</xm:sqref>
        </x14:dataValidation>
        <x14:dataValidation type="list" allowBlank="1" showInputMessage="1" showErrorMessage="1">
          <x14:formula1>
            <xm:f>'Informacion '!$S$3:$S$7</xm:f>
          </x14:formula1>
          <xm:sqref>C1265</xm:sqref>
        </x14:dataValidation>
        <x14:dataValidation type="list" allowBlank="1" showInputMessage="1" showErrorMessage="1">
          <x14:formula1>
            <xm:f>'Informacion '!$L$3:$L$17</xm:f>
          </x14:formula1>
          <xm:sqref>D1265</xm:sqref>
        </x14:dataValidation>
        <x14:dataValidation type="list" allowBlank="1" showInputMessage="1" showErrorMessage="1">
          <x14:formula1>
            <xm:f>'Informacion '!$N$3:$N$5</xm:f>
          </x14:formula1>
          <xm:sqref>E1265</xm:sqref>
        </x14:dataValidation>
        <x14:dataValidation type="list" allowBlank="1" showInputMessage="1" showErrorMessage="1">
          <x14:formula1>
            <xm:f>'Informacion '!$S$3:$S$7</xm:f>
          </x14:formula1>
          <xm:sqref>C1291</xm:sqref>
        </x14:dataValidation>
        <x14:dataValidation type="list" allowBlank="1" showInputMessage="1" showErrorMessage="1">
          <x14:formula1>
            <xm:f>'Informacion '!$L$3:$L$17</xm:f>
          </x14:formula1>
          <xm:sqref>D1291</xm:sqref>
        </x14:dataValidation>
        <x14:dataValidation type="list" allowBlank="1" showInputMessage="1" showErrorMessage="1">
          <x14:formula1>
            <xm:f>'Informacion '!$N$3:$N$5</xm:f>
          </x14:formula1>
          <xm:sqref>E1291</xm:sqref>
        </x14:dataValidation>
        <x14:dataValidation type="list" allowBlank="1" showInputMessage="1" showErrorMessage="1">
          <x14:formula1>
            <xm:f>'Informacion '!$S$3:$S$7</xm:f>
          </x14:formula1>
          <xm:sqref>C1317</xm:sqref>
        </x14:dataValidation>
        <x14:dataValidation type="list" allowBlank="1" showInputMessage="1" showErrorMessage="1">
          <x14:formula1>
            <xm:f>'Informacion '!$L$3:$L$17</xm:f>
          </x14:formula1>
          <xm:sqref>D1317</xm:sqref>
        </x14:dataValidation>
        <x14:dataValidation type="list" allowBlank="1" showInputMessage="1" showErrorMessage="1">
          <x14:formula1>
            <xm:f>'Informacion '!$N$3:$N$5</xm:f>
          </x14:formula1>
          <xm:sqref>E1317</xm:sqref>
        </x14:dataValidation>
        <x14:dataValidation type="list" allowBlank="1" showInputMessage="1" showErrorMessage="1">
          <x14:formula1>
            <xm:f>'Informacion '!$S$3:$S$7</xm:f>
          </x14:formula1>
          <xm:sqref>C1343</xm:sqref>
        </x14:dataValidation>
        <x14:dataValidation type="list" allowBlank="1" showInputMessage="1" showErrorMessage="1">
          <x14:formula1>
            <xm:f>'Informacion '!$L$3:$L$17</xm:f>
          </x14:formula1>
          <xm:sqref>D1343</xm:sqref>
        </x14:dataValidation>
        <x14:dataValidation type="list" allowBlank="1" showInputMessage="1" showErrorMessage="1">
          <x14:formula1>
            <xm:f>'Informacion '!$N$3:$N$5</xm:f>
          </x14:formula1>
          <xm:sqref>E1343</xm:sqref>
        </x14:dataValidation>
        <x14:dataValidation type="list" allowBlank="1" showInputMessage="1" showErrorMessage="1">
          <x14:formula1>
            <xm:f>'Informacion '!$S$3:$S$7</xm:f>
          </x14:formula1>
          <xm:sqref>C1369</xm:sqref>
        </x14:dataValidation>
        <x14:dataValidation type="list" allowBlank="1" showInputMessage="1" showErrorMessage="1">
          <x14:formula1>
            <xm:f>'Informacion '!$L$3:$L$17</xm:f>
          </x14:formula1>
          <xm:sqref>D1369</xm:sqref>
        </x14:dataValidation>
        <x14:dataValidation type="list" allowBlank="1" showInputMessage="1" showErrorMessage="1">
          <x14:formula1>
            <xm:f>'Informacion '!$N$3:$N$5</xm:f>
          </x14:formula1>
          <xm:sqref>E1369</xm:sqref>
        </x14:dataValidation>
        <x14:dataValidation type="list" allowBlank="1" showInputMessage="1" showErrorMessage="1">
          <x14:formula1>
            <xm:f>'Informacion '!$S$3:$S$7</xm:f>
          </x14:formula1>
          <xm:sqref>C1385</xm:sqref>
        </x14:dataValidation>
        <x14:dataValidation type="list" allowBlank="1" showInputMessage="1" showErrorMessage="1">
          <x14:formula1>
            <xm:f>'Informacion '!$L$3:$L$17</xm:f>
          </x14:formula1>
          <xm:sqref>D1385</xm:sqref>
        </x14:dataValidation>
        <x14:dataValidation type="list" allowBlank="1" showInputMessage="1" showErrorMessage="1">
          <x14:formula1>
            <xm:f>'Informacion '!$N$3:$N$5</xm:f>
          </x14:formula1>
          <xm:sqref>E1385</xm:sqref>
        </x14:dataValidation>
        <x14:dataValidation type="list" allowBlank="1" showInputMessage="1" showErrorMessage="1">
          <x14:formula1>
            <xm:f>'Informacion '!$S$3:$S$7</xm:f>
          </x14:formula1>
          <xm:sqref>C1401</xm:sqref>
        </x14:dataValidation>
        <x14:dataValidation type="list" allowBlank="1" showInputMessage="1" showErrorMessage="1">
          <x14:formula1>
            <xm:f>'Informacion '!$L$3:$L$17</xm:f>
          </x14:formula1>
          <xm:sqref>D1401</xm:sqref>
        </x14:dataValidation>
        <x14:dataValidation type="list" allowBlank="1" showInputMessage="1" showErrorMessage="1">
          <x14:formula1>
            <xm:f>'Informacion '!$N$3:$N$5</xm:f>
          </x14:formula1>
          <xm:sqref>E1401</xm:sqref>
        </x14:dataValidation>
        <x14:dataValidation type="list" allowBlank="1" showInputMessage="1" showErrorMessage="1">
          <x14:formula1>
            <xm:f>'Informacion '!$S$3:$S$7</xm:f>
          </x14:formula1>
          <xm:sqref>C1423</xm:sqref>
        </x14:dataValidation>
        <x14:dataValidation type="list" allowBlank="1" showInputMessage="1" showErrorMessage="1">
          <x14:formula1>
            <xm:f>'Informacion '!$L$3:$L$17</xm:f>
          </x14:formula1>
          <xm:sqref>D1423</xm:sqref>
        </x14:dataValidation>
        <x14:dataValidation type="list" allowBlank="1" showInputMessage="1" showErrorMessage="1">
          <x14:formula1>
            <xm:f>'Informacion '!$N$3:$N$5</xm:f>
          </x14:formula1>
          <xm:sqref>E1423</xm:sqref>
        </x14:dataValidation>
        <x14:dataValidation type="list" allowBlank="1" showInputMessage="1" showErrorMessage="1">
          <x14:formula1>
            <xm:f>'Informacion '!$S$3:$S$7</xm:f>
          </x14:formula1>
          <xm:sqref>C1445</xm:sqref>
        </x14:dataValidation>
        <x14:dataValidation type="list" allowBlank="1" showInputMessage="1" showErrorMessage="1">
          <x14:formula1>
            <xm:f>'Informacion '!$L$3:$L$17</xm:f>
          </x14:formula1>
          <xm:sqref>D1445</xm:sqref>
        </x14:dataValidation>
        <x14:dataValidation type="list" allowBlank="1" showInputMessage="1" showErrorMessage="1">
          <x14:formula1>
            <xm:f>'Informacion '!$N$3:$N$5</xm:f>
          </x14:formula1>
          <xm:sqref>E1445</xm:sqref>
        </x14:dataValidation>
        <x14:dataValidation type="list" allowBlank="1" showInputMessage="1" showErrorMessage="1">
          <x14:formula1>
            <xm:f>'Informacion '!$S$3:$S$7</xm:f>
          </x14:formula1>
          <xm:sqref>C1467</xm:sqref>
        </x14:dataValidation>
        <x14:dataValidation type="list" allowBlank="1" showInputMessage="1" showErrorMessage="1">
          <x14:formula1>
            <xm:f>'Informacion '!$L$3:$L$17</xm:f>
          </x14:formula1>
          <xm:sqref>D1467</xm:sqref>
        </x14:dataValidation>
        <x14:dataValidation type="list" allowBlank="1" showInputMessage="1" showErrorMessage="1">
          <x14:formula1>
            <xm:f>'Informacion '!$N$3:$N$5</xm:f>
          </x14:formula1>
          <xm:sqref>E1467</xm:sqref>
        </x14:dataValidation>
        <x14:dataValidation type="list" allowBlank="1" showInputMessage="1" showErrorMessage="1">
          <x14:formula1>
            <xm:f>'Informacion '!$S$3:$S$7</xm:f>
          </x14:formula1>
          <xm:sqref>C1488</xm:sqref>
        </x14:dataValidation>
        <x14:dataValidation type="list" allowBlank="1" showInputMessage="1" showErrorMessage="1">
          <x14:formula1>
            <xm:f>'Informacion '!$L$3:$L$17</xm:f>
          </x14:formula1>
          <xm:sqref>D1488</xm:sqref>
        </x14:dataValidation>
        <x14:dataValidation type="list" allowBlank="1" showInputMessage="1" showErrorMessage="1">
          <x14:formula1>
            <xm:f>'Informacion '!$N$3:$N$5</xm:f>
          </x14:formula1>
          <xm:sqref>E1488</xm:sqref>
        </x14:dataValidation>
        <x14:dataValidation type="list" allowBlank="1" showInputMessage="1" showErrorMessage="1">
          <x14:formula1>
            <xm:f>'Informacion '!$S$3:$S$7</xm:f>
          </x14:formula1>
          <xm:sqref>C1509</xm:sqref>
        </x14:dataValidation>
        <x14:dataValidation type="list" allowBlank="1" showInputMessage="1" showErrorMessage="1">
          <x14:formula1>
            <xm:f>'Informacion '!$L$3:$L$17</xm:f>
          </x14:formula1>
          <xm:sqref>D1509</xm:sqref>
        </x14:dataValidation>
        <x14:dataValidation type="list" allowBlank="1" showInputMessage="1" showErrorMessage="1">
          <x14:formula1>
            <xm:f>'Informacion '!$N$3:$N$5</xm:f>
          </x14:formula1>
          <xm:sqref>E1509</xm:sqref>
        </x14:dataValidation>
        <x14:dataValidation type="list" allowBlank="1" showInputMessage="1" showErrorMessage="1">
          <x14:formula1>
            <xm:f>'Informacion '!$S$3:$S$7</xm:f>
          </x14:formula1>
          <xm:sqref>C1530</xm:sqref>
        </x14:dataValidation>
        <x14:dataValidation type="list" allowBlank="1" showInputMessage="1" showErrorMessage="1">
          <x14:formula1>
            <xm:f>'Informacion '!$L$3:$L$17</xm:f>
          </x14:formula1>
          <xm:sqref>D1530</xm:sqref>
        </x14:dataValidation>
        <x14:dataValidation type="list" allowBlank="1" showInputMessage="1" showErrorMessage="1">
          <x14:formula1>
            <xm:f>'Informacion '!$N$3:$N$5</xm:f>
          </x14:formula1>
          <xm:sqref>E1530</xm:sqref>
        </x14:dataValidation>
        <x14:dataValidation type="list" allowBlank="1" showInputMessage="1" showErrorMessage="1">
          <x14:formula1>
            <xm:f>'Informacion '!$S$3:$S$7</xm:f>
          </x14:formula1>
          <xm:sqref>C1551</xm:sqref>
        </x14:dataValidation>
        <x14:dataValidation type="list" allowBlank="1" showInputMessage="1" showErrorMessage="1">
          <x14:formula1>
            <xm:f>'Informacion '!$L$3:$L$17</xm:f>
          </x14:formula1>
          <xm:sqref>D1551</xm:sqref>
        </x14:dataValidation>
        <x14:dataValidation type="list" allowBlank="1" showInputMessage="1" showErrorMessage="1">
          <x14:formula1>
            <xm:f>'Informacion '!$N$3:$N$5</xm:f>
          </x14:formula1>
          <xm:sqref>E1551</xm:sqref>
        </x14:dataValidation>
        <x14:dataValidation type="list" allowBlank="1" showInputMessage="1" showErrorMessage="1">
          <x14:formula1>
            <xm:f>'Informacion '!$S$3:$S$7</xm:f>
          </x14:formula1>
          <xm:sqref>C1573</xm:sqref>
        </x14:dataValidation>
        <x14:dataValidation type="list" allowBlank="1" showInputMessage="1" showErrorMessage="1">
          <x14:formula1>
            <xm:f>'Informacion '!$L$3:$L$17</xm:f>
          </x14:formula1>
          <xm:sqref>D1573</xm:sqref>
        </x14:dataValidation>
        <x14:dataValidation type="list" allowBlank="1" showInputMessage="1" showErrorMessage="1">
          <x14:formula1>
            <xm:f>'Informacion '!$N$3:$N$5</xm:f>
          </x14:formula1>
          <xm:sqref>E1573</xm:sqref>
        </x14:dataValidation>
        <x14:dataValidation type="list" allowBlank="1" showInputMessage="1" showErrorMessage="1">
          <x14:formula1>
            <xm:f>'Informacion '!$S$3:$S$7</xm:f>
          </x14:formula1>
          <xm:sqref>C1588</xm:sqref>
        </x14:dataValidation>
        <x14:dataValidation type="list" allowBlank="1" showInputMessage="1" showErrorMessage="1">
          <x14:formula1>
            <xm:f>'Informacion '!$L$3:$L$17</xm:f>
          </x14:formula1>
          <xm:sqref>D1588</xm:sqref>
        </x14:dataValidation>
        <x14:dataValidation type="list" allowBlank="1" showInputMessage="1" showErrorMessage="1">
          <x14:formula1>
            <xm:f>'Informacion '!$N$3:$N$5</xm:f>
          </x14:formula1>
          <xm:sqref>E1588</xm:sqref>
        </x14:dataValidation>
        <x14:dataValidation type="list" allowBlank="1" showInputMessage="1" showErrorMessage="1">
          <x14:formula1>
            <xm:f>'Informacion '!$S$3:$S$7</xm:f>
          </x14:formula1>
          <xm:sqref>C1603</xm:sqref>
        </x14:dataValidation>
        <x14:dataValidation type="list" allowBlank="1" showInputMessage="1" showErrorMessage="1">
          <x14:formula1>
            <xm:f>'Informacion '!$L$3:$L$17</xm:f>
          </x14:formula1>
          <xm:sqref>D1603</xm:sqref>
        </x14:dataValidation>
        <x14:dataValidation type="list" allowBlank="1" showInputMessage="1" showErrorMessage="1">
          <x14:formula1>
            <xm:f>'Informacion '!$N$3:$N$5</xm:f>
          </x14:formula1>
          <xm:sqref>E1603</xm:sqref>
        </x14:dataValidation>
        <x14:dataValidation type="list" allowBlank="1" showInputMessage="1" showErrorMessage="1">
          <x14:formula1>
            <xm:f>'Informacion '!$S$3:$S$7</xm:f>
          </x14:formula1>
          <xm:sqref>C1659</xm:sqref>
        </x14:dataValidation>
        <x14:dataValidation type="list" allowBlank="1" showInputMessage="1" showErrorMessage="1">
          <x14:formula1>
            <xm:f>'Informacion '!$L$3:$L$17</xm:f>
          </x14:formula1>
          <xm:sqref>D1659</xm:sqref>
        </x14:dataValidation>
        <x14:dataValidation type="list" allowBlank="1" showInputMessage="1" showErrorMessage="1">
          <x14:formula1>
            <xm:f>'Informacion '!$N$3:$N$5</xm:f>
          </x14:formula1>
          <xm:sqref>E1659</xm:sqref>
        </x14:dataValidation>
        <x14:dataValidation type="list" allowBlank="1" showInputMessage="1" showErrorMessage="1">
          <x14:formula1>
            <xm:f>'Informacion '!$S$3:$S$7</xm:f>
          </x14:formula1>
          <xm:sqref>C1674</xm:sqref>
        </x14:dataValidation>
        <x14:dataValidation type="list" allowBlank="1" showInputMessage="1" showErrorMessage="1">
          <x14:formula1>
            <xm:f>'Informacion '!$L$3:$L$17</xm:f>
          </x14:formula1>
          <xm:sqref>D1674</xm:sqref>
        </x14:dataValidation>
        <x14:dataValidation type="list" allowBlank="1" showInputMessage="1" showErrorMessage="1">
          <x14:formula1>
            <xm:f>'Informacion '!$N$3:$N$5</xm:f>
          </x14:formula1>
          <xm:sqref>E1674</xm:sqref>
        </x14:dataValidation>
        <x14:dataValidation type="list" allowBlank="1" showInputMessage="1" showErrorMessage="1">
          <x14:formula1>
            <xm:f>'Informacion '!$S$3:$S$7</xm:f>
          </x14:formula1>
          <xm:sqref>C1689</xm:sqref>
        </x14:dataValidation>
        <x14:dataValidation type="list" allowBlank="1" showInputMessage="1" showErrorMessage="1">
          <x14:formula1>
            <xm:f>'Informacion '!$L$3:$L$17</xm:f>
          </x14:formula1>
          <xm:sqref>D1689</xm:sqref>
        </x14:dataValidation>
        <x14:dataValidation type="list" allowBlank="1" showInputMessage="1" showErrorMessage="1">
          <x14:formula1>
            <xm:f>'Informacion '!$N$3:$N$5</xm:f>
          </x14:formula1>
          <xm:sqref>E1689</xm:sqref>
        </x14:dataValidation>
        <x14:dataValidation type="list" allowBlank="1" showInputMessage="1" showErrorMessage="1">
          <x14:formula1>
            <xm:f>'Informacion '!$S$3:$S$7</xm:f>
          </x14:formula1>
          <xm:sqref>C1776</xm:sqref>
        </x14:dataValidation>
        <x14:dataValidation type="list" allowBlank="1" showInputMessage="1" showErrorMessage="1">
          <x14:formula1>
            <xm:f>'Informacion '!$L$3:$L$17</xm:f>
          </x14:formula1>
          <xm:sqref>D1776</xm:sqref>
        </x14:dataValidation>
        <x14:dataValidation type="list" allowBlank="1" showInputMessage="1" showErrorMessage="1">
          <x14:formula1>
            <xm:f>'Informacion '!$N$3:$N$5</xm:f>
          </x14:formula1>
          <xm:sqref>E1776</xm:sqref>
        </x14:dataValidation>
        <x14:dataValidation type="list" allowBlank="1" showInputMessage="1" showErrorMessage="1">
          <x14:formula1>
            <xm:f>'Informacion '!$S$3:$S$7</xm:f>
          </x14:formula1>
          <xm:sqref>C1801</xm:sqref>
        </x14:dataValidation>
        <x14:dataValidation type="list" allowBlank="1" showInputMessage="1" showErrorMessage="1">
          <x14:formula1>
            <xm:f>'Informacion '!$L$3:$L$17</xm:f>
          </x14:formula1>
          <xm:sqref>D1801</xm:sqref>
        </x14:dataValidation>
        <x14:dataValidation type="list" allowBlank="1" showInputMessage="1" showErrorMessage="1">
          <x14:formula1>
            <xm:f>'Informacion '!$N$3:$N$5</xm:f>
          </x14:formula1>
          <xm:sqref>E1801</xm:sqref>
        </x14:dataValidation>
        <x14:dataValidation type="list" allowBlank="1" showInputMessage="1" showErrorMessage="1">
          <x14:formula1>
            <xm:f>'Informacion '!$S$3:$S$7</xm:f>
          </x14:formula1>
          <xm:sqref>C1857</xm:sqref>
        </x14:dataValidation>
        <x14:dataValidation type="list" allowBlank="1" showInputMessage="1" showErrorMessage="1">
          <x14:formula1>
            <xm:f>'Informacion '!$L$3:$L$17</xm:f>
          </x14:formula1>
          <xm:sqref>D1857</xm:sqref>
        </x14:dataValidation>
        <x14:dataValidation type="list" allowBlank="1" showInputMessage="1" showErrorMessage="1">
          <x14:formula1>
            <xm:f>'Informacion '!$N$3:$N$5</xm:f>
          </x14:formula1>
          <xm:sqref>E1857</xm:sqref>
        </x14:dataValidation>
        <x14:dataValidation type="list" allowBlank="1" showInputMessage="1" showErrorMessage="1">
          <x14:formula1>
            <xm:f>'Informacion '!$S$3:$S$7</xm:f>
          </x14:formula1>
          <xm:sqref>C1870</xm:sqref>
        </x14:dataValidation>
        <x14:dataValidation type="list" allowBlank="1" showInputMessage="1" showErrorMessage="1">
          <x14:formula1>
            <xm:f>'Informacion '!$L$3:$L$17</xm:f>
          </x14:formula1>
          <xm:sqref>D1870</xm:sqref>
        </x14:dataValidation>
        <x14:dataValidation type="list" allowBlank="1" showInputMessage="1" showErrorMessage="1">
          <x14:formula1>
            <xm:f>'Informacion '!$N$3:$N$5</xm:f>
          </x14:formula1>
          <xm:sqref>E1870</xm:sqref>
        </x14:dataValidation>
        <x14:dataValidation type="list" allowBlank="1" showInputMessage="1" showErrorMessage="1">
          <x14:formula1>
            <xm:f>'Informacion '!$S$3:$S$7</xm:f>
          </x14:formula1>
          <xm:sqref>C1883</xm:sqref>
        </x14:dataValidation>
        <x14:dataValidation type="list" allowBlank="1" showInputMessage="1" showErrorMessage="1">
          <x14:formula1>
            <xm:f>'Informacion '!$L$3:$L$17</xm:f>
          </x14:formula1>
          <xm:sqref>D1883</xm:sqref>
        </x14:dataValidation>
        <x14:dataValidation type="list" allowBlank="1" showInputMessage="1" showErrorMessage="1">
          <x14:formula1>
            <xm:f>'Informacion '!$N$3:$N$5</xm:f>
          </x14:formula1>
          <xm:sqref>E1883</xm:sqref>
        </x14:dataValidation>
        <x14:dataValidation type="list" allowBlank="1" showInputMessage="1" showErrorMessage="1">
          <x14:formula1>
            <xm:f>'Informacion '!$S$3:$S$7</xm:f>
          </x14:formula1>
          <xm:sqref>C1896</xm:sqref>
        </x14:dataValidation>
        <x14:dataValidation type="list" allowBlank="1" showInputMessage="1" showErrorMessage="1">
          <x14:formula1>
            <xm:f>'Informacion '!$L$3:$L$17</xm:f>
          </x14:formula1>
          <xm:sqref>D1896</xm:sqref>
        </x14:dataValidation>
        <x14:dataValidation type="list" allowBlank="1" showInputMessage="1" showErrorMessage="1">
          <x14:formula1>
            <xm:f>'Informacion '!$N$3:$N$5</xm:f>
          </x14:formula1>
          <xm:sqref>E1896</xm:sqref>
        </x14:dataValidation>
        <x14:dataValidation type="list" allowBlank="1" showInputMessage="1" showErrorMessage="1">
          <x14:formula1>
            <xm:f>'Informacion '!$S$3:$S$7</xm:f>
          </x14:formula1>
          <xm:sqref>C1909</xm:sqref>
        </x14:dataValidation>
        <x14:dataValidation type="list" allowBlank="1" showInputMessage="1" showErrorMessage="1">
          <x14:formula1>
            <xm:f>'Informacion '!$L$3:$L$17</xm:f>
          </x14:formula1>
          <xm:sqref>D1909</xm:sqref>
        </x14:dataValidation>
        <x14:dataValidation type="list" allowBlank="1" showInputMessage="1" showErrorMessage="1">
          <x14:formula1>
            <xm:f>'Informacion '!$N$3:$N$5</xm:f>
          </x14:formula1>
          <xm:sqref>E1909</xm:sqref>
        </x14:dataValidation>
        <x14:dataValidation type="list" allowBlank="1" showInputMessage="1" showErrorMessage="1">
          <x14:formula1>
            <xm:f>'Informacion '!$S$3:$S$7</xm:f>
          </x14:formula1>
          <xm:sqref>C1924</xm:sqref>
        </x14:dataValidation>
        <x14:dataValidation type="list" allowBlank="1" showInputMessage="1" showErrorMessage="1">
          <x14:formula1>
            <xm:f>'Informacion '!$L$3:$L$17</xm:f>
          </x14:formula1>
          <xm:sqref>D1924</xm:sqref>
        </x14:dataValidation>
        <x14:dataValidation type="list" allowBlank="1" showInputMessage="1" showErrorMessage="1">
          <x14:formula1>
            <xm:f>'Informacion '!$N$3:$N$5</xm:f>
          </x14:formula1>
          <xm:sqref>E1924</xm:sqref>
        </x14:dataValidation>
        <x14:dataValidation type="list" allowBlank="1" showInputMessage="1" showErrorMessage="1">
          <x14:formula1>
            <xm:f>'Informacion '!$S$3:$S$7</xm:f>
          </x14:formula1>
          <xm:sqref>C1956</xm:sqref>
        </x14:dataValidation>
        <x14:dataValidation type="list" allowBlank="1" showInputMessage="1" showErrorMessage="1">
          <x14:formula1>
            <xm:f>'Informacion '!$L$3:$L$17</xm:f>
          </x14:formula1>
          <xm:sqref>D1956</xm:sqref>
        </x14:dataValidation>
        <x14:dataValidation type="list" allowBlank="1" showInputMessage="1" showErrorMessage="1">
          <x14:formula1>
            <xm:f>'Informacion '!$N$3:$N$5</xm:f>
          </x14:formula1>
          <xm:sqref>E1956</xm:sqref>
        </x14:dataValidation>
        <x14:dataValidation type="list" allowBlank="1" showInputMessage="1" showErrorMessage="1">
          <x14:formula1>
            <xm:f>'Informacion '!$S$3:$S$7</xm:f>
          </x14:formula1>
          <xm:sqref>C1988</xm:sqref>
        </x14:dataValidation>
        <x14:dataValidation type="list" allowBlank="1" showInputMessage="1" showErrorMessage="1">
          <x14:formula1>
            <xm:f>'Informacion '!$L$3:$L$17</xm:f>
          </x14:formula1>
          <xm:sqref>D1988</xm:sqref>
        </x14:dataValidation>
        <x14:dataValidation type="list" allowBlank="1" showInputMessage="1" showErrorMessage="1">
          <x14:formula1>
            <xm:f>'Informacion '!$N$3:$N$5</xm:f>
          </x14:formula1>
          <xm:sqref>E1988</xm:sqref>
        </x14:dataValidation>
        <x14:dataValidation type="list" allowBlank="1" showInputMessage="1" showErrorMessage="1">
          <x14:formula1>
            <xm:f>'Informacion '!$S$3:$S$7</xm:f>
          </x14:formula1>
          <xm:sqref>C2020</xm:sqref>
        </x14:dataValidation>
        <x14:dataValidation type="list" allowBlank="1" showInputMessage="1" showErrorMessage="1">
          <x14:formula1>
            <xm:f>'Informacion '!$L$3:$L$17</xm:f>
          </x14:formula1>
          <xm:sqref>D2020</xm:sqref>
        </x14:dataValidation>
        <x14:dataValidation type="list" allowBlank="1" showInputMessage="1" showErrorMessage="1">
          <x14:formula1>
            <xm:f>'Informacion '!$N$3:$N$5</xm:f>
          </x14:formula1>
          <xm:sqref>E2020</xm:sqref>
        </x14:dataValidation>
        <x14:dataValidation type="list" allowBlank="1" showInputMessage="1" showErrorMessage="1">
          <x14:formula1>
            <xm:f>'Informacion '!$S$3:$S$7</xm:f>
          </x14:formula1>
          <xm:sqref>C2035</xm:sqref>
        </x14:dataValidation>
        <x14:dataValidation type="list" allowBlank="1" showInputMessage="1" showErrorMessage="1">
          <x14:formula1>
            <xm:f>'Informacion '!$L$3:$L$17</xm:f>
          </x14:formula1>
          <xm:sqref>D2035</xm:sqref>
        </x14:dataValidation>
        <x14:dataValidation type="list" allowBlank="1" showInputMessage="1" showErrorMessage="1">
          <x14:formula1>
            <xm:f>'Informacion '!$N$3:$N$5</xm:f>
          </x14:formula1>
          <xm:sqref>E2035</xm:sqref>
        </x14:dataValidation>
        <x14:dataValidation type="list" allowBlank="1" showInputMessage="1" showErrorMessage="1">
          <x14:formula1>
            <xm:f>'Informacion '!$S$3:$S$7</xm:f>
          </x14:formula1>
          <xm:sqref>C2067</xm:sqref>
        </x14:dataValidation>
        <x14:dataValidation type="list" allowBlank="1" showInputMessage="1" showErrorMessage="1">
          <x14:formula1>
            <xm:f>'Informacion '!$L$3:$L$17</xm:f>
          </x14:formula1>
          <xm:sqref>D2067</xm:sqref>
        </x14:dataValidation>
        <x14:dataValidation type="list" allowBlank="1" showInputMessage="1" showErrorMessage="1">
          <x14:formula1>
            <xm:f>'Informacion '!$N$3:$N$5</xm:f>
          </x14:formula1>
          <xm:sqref>E2067</xm:sqref>
        </x14:dataValidation>
        <x14:dataValidation type="list" allowBlank="1" showInputMessage="1" showErrorMessage="1">
          <x14:formula1>
            <xm:f>'Informacion '!$S$3:$S$7</xm:f>
          </x14:formula1>
          <xm:sqref>C2082</xm:sqref>
        </x14:dataValidation>
        <x14:dataValidation type="list" allowBlank="1" showInputMessage="1" showErrorMessage="1">
          <x14:formula1>
            <xm:f>'Informacion '!$L$3:$L$17</xm:f>
          </x14:formula1>
          <xm:sqref>D2082</xm:sqref>
        </x14:dataValidation>
        <x14:dataValidation type="list" allowBlank="1" showInputMessage="1" showErrorMessage="1">
          <x14:formula1>
            <xm:f>'Informacion '!$N$3:$N$5</xm:f>
          </x14:formula1>
          <xm:sqref>E2082</xm:sqref>
        </x14:dataValidation>
        <x14:dataValidation type="list" allowBlank="1" showInputMessage="1" showErrorMessage="1">
          <x14:formula1>
            <xm:f>'Informacion '!$S$3:$S$7</xm:f>
          </x14:formula1>
          <xm:sqref>C2097</xm:sqref>
        </x14:dataValidation>
        <x14:dataValidation type="list" allowBlank="1" showInputMessage="1" showErrorMessage="1">
          <x14:formula1>
            <xm:f>'Informacion '!$L$3:$L$17</xm:f>
          </x14:formula1>
          <xm:sqref>D2097</xm:sqref>
        </x14:dataValidation>
        <x14:dataValidation type="list" allowBlank="1" showInputMessage="1" showErrorMessage="1">
          <x14:formula1>
            <xm:f>'Informacion '!$N$3:$N$5</xm:f>
          </x14:formula1>
          <xm:sqref>E2097</xm:sqref>
        </x14:dataValidation>
        <x14:dataValidation type="list" allowBlank="1" showInputMessage="1" showErrorMessage="1">
          <x14:formula1>
            <xm:f>'Informacion '!$S$3:$S$7</xm:f>
          </x14:formula1>
          <xm:sqref>C2123</xm:sqref>
        </x14:dataValidation>
        <x14:dataValidation type="list" allowBlank="1" showInputMessage="1" showErrorMessage="1">
          <x14:formula1>
            <xm:f>'Informacion '!$L$3:$L$17</xm:f>
          </x14:formula1>
          <xm:sqref>D2123</xm:sqref>
        </x14:dataValidation>
        <x14:dataValidation type="list" allowBlank="1" showInputMessage="1" showErrorMessage="1">
          <x14:formula1>
            <xm:f>'Informacion '!$N$3:$N$5</xm:f>
          </x14:formula1>
          <xm:sqref>E2123</xm:sqref>
        </x14:dataValidation>
        <x14:dataValidation type="list" allowBlank="1" showInputMessage="1" showErrorMessage="1">
          <x14:formula1>
            <xm:f>'Informacion '!$S$3:$S$7</xm:f>
          </x14:formula1>
          <xm:sqref>C2169</xm:sqref>
        </x14:dataValidation>
        <x14:dataValidation type="list" allowBlank="1" showInputMessage="1" showErrorMessage="1">
          <x14:formula1>
            <xm:f>'Informacion '!$L$3:$L$17</xm:f>
          </x14:formula1>
          <xm:sqref>D2169</xm:sqref>
        </x14:dataValidation>
        <x14:dataValidation type="list" allowBlank="1" showInputMessage="1" showErrorMessage="1">
          <x14:formula1>
            <xm:f>'Informacion '!$N$3:$N$5</xm:f>
          </x14:formula1>
          <xm:sqref>E2169</xm:sqref>
        </x14:dataValidation>
        <x14:dataValidation type="list" allowBlank="1" showInputMessage="1" showErrorMessage="1">
          <x14:formula1>
            <xm:f>'Informacion '!$S$3:$S$7</xm:f>
          </x14:formula1>
          <xm:sqref>C2195</xm:sqref>
        </x14:dataValidation>
        <x14:dataValidation type="list" allowBlank="1" showInputMessage="1" showErrorMessage="1">
          <x14:formula1>
            <xm:f>'Informacion '!$L$3:$L$17</xm:f>
          </x14:formula1>
          <xm:sqref>D2195</xm:sqref>
        </x14:dataValidation>
        <x14:dataValidation type="list" allowBlank="1" showInputMessage="1" showErrorMessage="1">
          <x14:formula1>
            <xm:f>'Informacion '!$N$3:$N$5</xm:f>
          </x14:formula1>
          <xm:sqref>E2195</xm:sqref>
        </x14:dataValidation>
        <x14:dataValidation type="list" allowBlank="1" showInputMessage="1" showErrorMessage="1">
          <x14:formula1>
            <xm:f>'Informacion '!$S$3:$S$7</xm:f>
          </x14:formula1>
          <xm:sqref>C2241</xm:sqref>
        </x14:dataValidation>
        <x14:dataValidation type="list" allowBlank="1" showInputMessage="1" showErrorMessage="1">
          <x14:formula1>
            <xm:f>'Informacion '!$L$3:$L$17</xm:f>
          </x14:formula1>
          <xm:sqref>D2241</xm:sqref>
        </x14:dataValidation>
        <x14:dataValidation type="list" allowBlank="1" showInputMessage="1" showErrorMessage="1">
          <x14:formula1>
            <xm:f>'Informacion '!$N$3:$N$5</xm:f>
          </x14:formula1>
          <xm:sqref>E2241</xm:sqref>
        </x14:dataValidation>
        <x14:dataValidation type="list" allowBlank="1" showInputMessage="1" showErrorMessage="1">
          <x14:formula1>
            <xm:f>'Informacion '!$S$3:$S$7</xm:f>
          </x14:formula1>
          <xm:sqref>C2287</xm:sqref>
        </x14:dataValidation>
        <x14:dataValidation type="list" allowBlank="1" showInputMessage="1" showErrorMessage="1">
          <x14:formula1>
            <xm:f>'Informacion '!$L$3:$L$17</xm:f>
          </x14:formula1>
          <xm:sqref>D2287</xm:sqref>
        </x14:dataValidation>
        <x14:dataValidation type="list" allowBlank="1" showInputMessage="1" showErrorMessage="1">
          <x14:formula1>
            <xm:f>'Informacion '!$N$3:$N$5</xm:f>
          </x14:formula1>
          <xm:sqref>E2287</xm:sqref>
        </x14:dataValidation>
        <x14:dataValidation type="list" allowBlank="1" showInputMessage="1" showErrorMessage="1">
          <x14:formula1>
            <xm:f>'Informacion '!$S$3:$S$7</xm:f>
          </x14:formula1>
          <xm:sqref>C2333</xm:sqref>
        </x14:dataValidation>
        <x14:dataValidation type="list" allowBlank="1" showInputMessage="1" showErrorMessage="1">
          <x14:formula1>
            <xm:f>'Informacion '!$L$3:$L$17</xm:f>
          </x14:formula1>
          <xm:sqref>D2333</xm:sqref>
        </x14:dataValidation>
        <x14:dataValidation type="list" allowBlank="1" showInputMessage="1" showErrorMessage="1">
          <x14:formula1>
            <xm:f>'Informacion '!$N$3:$N$5</xm:f>
          </x14:formula1>
          <xm:sqref>E2333</xm:sqref>
        </x14:dataValidation>
        <x14:dataValidation type="list" allowBlank="1" showInputMessage="1" showErrorMessage="1">
          <x14:formula1>
            <xm:f>'Informacion '!$S$3:$S$7</xm:f>
          </x14:formula1>
          <xm:sqref>C2359</xm:sqref>
        </x14:dataValidation>
        <x14:dataValidation type="list" allowBlank="1" showInputMessage="1" showErrorMessage="1">
          <x14:formula1>
            <xm:f>'Informacion '!$L$3:$L$17</xm:f>
          </x14:formula1>
          <xm:sqref>D2359</xm:sqref>
        </x14:dataValidation>
        <x14:dataValidation type="list" allowBlank="1" showInputMessage="1" showErrorMessage="1">
          <x14:formula1>
            <xm:f>'Informacion '!$N$3:$N$5</xm:f>
          </x14:formula1>
          <xm:sqref>E2359</xm:sqref>
        </x14:dataValidation>
        <x14:dataValidation type="list" allowBlank="1" showInputMessage="1" showErrorMessage="1">
          <x14:formula1>
            <xm:f>'Informacion '!$S$3:$S$7</xm:f>
          </x14:formula1>
          <xm:sqref>C2419</xm:sqref>
        </x14:dataValidation>
        <x14:dataValidation type="list" allowBlank="1" showInputMessage="1" showErrorMessage="1">
          <x14:formula1>
            <xm:f>'Informacion '!$L$3:$L$17</xm:f>
          </x14:formula1>
          <xm:sqref>D2419</xm:sqref>
        </x14:dataValidation>
        <x14:dataValidation type="list" allowBlank="1" showInputMessage="1" showErrorMessage="1">
          <x14:formula1>
            <xm:f>'Informacion '!$N$3:$N$5</xm:f>
          </x14:formula1>
          <xm:sqref>E2419</xm:sqref>
        </x14:dataValidation>
        <x14:dataValidation type="list" allowBlank="1" showInputMessage="1" showErrorMessage="1">
          <x14:formula1>
            <xm:f>'Informacion '!$S$3:$S$7</xm:f>
          </x14:formula1>
          <xm:sqref>C2479</xm:sqref>
        </x14:dataValidation>
        <x14:dataValidation type="list" allowBlank="1" showInputMessage="1" showErrorMessage="1">
          <x14:formula1>
            <xm:f>'Informacion '!$L$3:$L$17</xm:f>
          </x14:formula1>
          <xm:sqref>D2479</xm:sqref>
        </x14:dataValidation>
        <x14:dataValidation type="list" allowBlank="1" showInputMessage="1" showErrorMessage="1">
          <x14:formula1>
            <xm:f>'Informacion '!$N$3:$N$5</xm:f>
          </x14:formula1>
          <xm:sqref>E2479</xm:sqref>
        </x14:dataValidation>
        <x14:dataValidation type="list" allowBlank="1" showInputMessage="1" showErrorMessage="1">
          <x14:formula1>
            <xm:f>'Informacion '!$S$3:$S$7</xm:f>
          </x14:formula1>
          <xm:sqref>C2539</xm:sqref>
        </x14:dataValidation>
        <x14:dataValidation type="list" allowBlank="1" showInputMessage="1" showErrorMessage="1">
          <x14:formula1>
            <xm:f>'Informacion '!$L$3:$L$17</xm:f>
          </x14:formula1>
          <xm:sqref>D2539</xm:sqref>
        </x14:dataValidation>
        <x14:dataValidation type="list" allowBlank="1" showInputMessage="1" showErrorMessage="1">
          <x14:formula1>
            <xm:f>'Informacion '!$N$3:$N$5</xm:f>
          </x14:formula1>
          <xm:sqref>E2539</xm:sqref>
        </x14:dataValidation>
        <x14:dataValidation type="list" allowBlank="1" showInputMessage="1" showErrorMessage="1">
          <x14:formula1>
            <xm:f>'Informacion '!$S$3:$S$7</xm:f>
          </x14:formula1>
          <xm:sqref>C2599</xm:sqref>
        </x14:dataValidation>
        <x14:dataValidation type="list" allowBlank="1" showInputMessage="1" showErrorMessage="1">
          <x14:formula1>
            <xm:f>'Informacion '!$L$3:$L$17</xm:f>
          </x14:formula1>
          <xm:sqref>D2599</xm:sqref>
        </x14:dataValidation>
        <x14:dataValidation type="list" allowBlank="1" showInputMessage="1" showErrorMessage="1">
          <x14:formula1>
            <xm:f>'Informacion '!$N$3:$N$5</xm:f>
          </x14:formula1>
          <xm:sqref>E2599</xm:sqref>
        </x14:dataValidation>
        <x14:dataValidation type="list" allowBlank="1" showInputMessage="1" showErrorMessage="1">
          <x14:formula1>
            <xm:f>'Informacion '!$S$3:$S$7</xm:f>
          </x14:formula1>
          <xm:sqref>C2667</xm:sqref>
        </x14:dataValidation>
        <x14:dataValidation type="list" allowBlank="1" showInputMessage="1" showErrorMessage="1">
          <x14:formula1>
            <xm:f>'Informacion '!$L$3:$L$17</xm:f>
          </x14:formula1>
          <xm:sqref>D2667</xm:sqref>
        </x14:dataValidation>
        <x14:dataValidation type="list" allowBlank="1" showInputMessage="1" showErrorMessage="1">
          <x14:formula1>
            <xm:f>'Informacion '!$N$3:$N$5</xm:f>
          </x14:formula1>
          <xm:sqref>E2667</xm:sqref>
        </x14:dataValidation>
        <x14:dataValidation type="list" allowBlank="1" showInputMessage="1" showErrorMessage="1">
          <x14:formula1>
            <xm:f>'Informacion '!$S$3:$S$7</xm:f>
          </x14:formula1>
          <xm:sqref>C2694</xm:sqref>
        </x14:dataValidation>
        <x14:dataValidation type="list" allowBlank="1" showInputMessage="1" showErrorMessage="1">
          <x14:formula1>
            <xm:f>'Informacion '!$L$3:$L$17</xm:f>
          </x14:formula1>
          <xm:sqref>D2694</xm:sqref>
        </x14:dataValidation>
        <x14:dataValidation type="list" allowBlank="1" showInputMessage="1" showErrorMessage="1">
          <x14:formula1>
            <xm:f>'Informacion '!$N$3:$N$5</xm:f>
          </x14:formula1>
          <xm:sqref>E2694</xm:sqref>
        </x14:dataValidation>
        <x14:dataValidation type="list" allowBlank="1" showInputMessage="1" showErrorMessage="1">
          <x14:formula1>
            <xm:f>'Informacion '!$S$3:$S$7</xm:f>
          </x14:formula1>
          <xm:sqref>C2768</xm:sqref>
        </x14:dataValidation>
        <x14:dataValidation type="list" allowBlank="1" showInputMessage="1" showErrorMessage="1">
          <x14:formula1>
            <xm:f>'Informacion '!$L$3:$L$17</xm:f>
          </x14:formula1>
          <xm:sqref>D2768</xm:sqref>
        </x14:dataValidation>
        <x14:dataValidation type="list" allowBlank="1" showInputMessage="1" showErrorMessage="1">
          <x14:formula1>
            <xm:f>'Informacion '!$N$3:$N$5</xm:f>
          </x14:formula1>
          <xm:sqref>E2768</xm:sqref>
        </x14:dataValidation>
        <x14:dataValidation type="list" allowBlank="1" showInputMessage="1" showErrorMessage="1">
          <x14:formula1>
            <xm:f>'Informacion '!$S$3:$S$7</xm:f>
          </x14:formula1>
          <xm:sqref>C2791</xm:sqref>
        </x14:dataValidation>
        <x14:dataValidation type="list" allowBlank="1" showInputMessage="1" showErrorMessage="1">
          <x14:formula1>
            <xm:f>'Informacion '!$L$3:$L$17</xm:f>
          </x14:formula1>
          <xm:sqref>D2791</xm:sqref>
        </x14:dataValidation>
        <x14:dataValidation type="list" allowBlank="1" showInputMessage="1" showErrorMessage="1">
          <x14:formula1>
            <xm:f>'Informacion '!$N$3:$N$5</xm:f>
          </x14:formula1>
          <xm:sqref>E2791</xm:sqref>
        </x14:dataValidation>
        <x14:dataValidation type="list" allowBlank="1" showInputMessage="1" showErrorMessage="1">
          <x14:formula1>
            <xm:f>'Informacion '!$S$3:$S$7</xm:f>
          </x14:formula1>
          <xm:sqref>C2815</xm:sqref>
        </x14:dataValidation>
        <x14:dataValidation type="list" allowBlank="1" showInputMessage="1" showErrorMessage="1">
          <x14:formula1>
            <xm:f>'Informacion '!$L$3:$L$17</xm:f>
          </x14:formula1>
          <xm:sqref>D2815</xm:sqref>
        </x14:dataValidation>
        <x14:dataValidation type="list" allowBlank="1" showInputMessage="1" showErrorMessage="1">
          <x14:formula1>
            <xm:f>'Informacion '!$N$3:$N$5</xm:f>
          </x14:formula1>
          <xm:sqref>E2815</xm:sqref>
        </x14:dataValidation>
        <x14:dataValidation type="list" allowBlank="1" showInputMessage="1" showErrorMessage="1">
          <x14:formula1>
            <xm:f>'Informacion '!$S$3:$S$7</xm:f>
          </x14:formula1>
          <xm:sqref>C2893</xm:sqref>
        </x14:dataValidation>
        <x14:dataValidation type="list" allowBlank="1" showInputMessage="1" showErrorMessage="1">
          <x14:formula1>
            <xm:f>'Informacion '!$L$3:$L$17</xm:f>
          </x14:formula1>
          <xm:sqref>D2893</xm:sqref>
        </x14:dataValidation>
        <x14:dataValidation type="list" allowBlank="1" showInputMessage="1" showErrorMessage="1">
          <x14:formula1>
            <xm:f>'Informacion '!$N$3:$N$5</xm:f>
          </x14:formula1>
          <xm:sqref>E2893</xm:sqref>
        </x14:dataValidation>
        <x14:dataValidation type="list" allowBlank="1" showInputMessage="1" showErrorMessage="1">
          <x14:formula1>
            <xm:f>'Informacion '!$S$3:$S$7</xm:f>
          </x14:formula1>
          <xm:sqref>C2949</xm:sqref>
        </x14:dataValidation>
        <x14:dataValidation type="list" allowBlank="1" showInputMessage="1" showErrorMessage="1">
          <x14:formula1>
            <xm:f>'Informacion '!$L$3:$L$17</xm:f>
          </x14:formula1>
          <xm:sqref>D2949</xm:sqref>
        </x14:dataValidation>
        <x14:dataValidation type="list" allowBlank="1" showInputMessage="1" showErrorMessage="1">
          <x14:formula1>
            <xm:f>'Informacion '!$N$3:$N$5</xm:f>
          </x14:formula1>
          <xm:sqref>E2949</xm:sqref>
        </x14:dataValidation>
        <x14:dataValidation type="list" allowBlank="1" showInputMessage="1" showErrorMessage="1">
          <x14:formula1>
            <xm:f>'Informacion '!$S$3:$S$7</xm:f>
          </x14:formula1>
          <xm:sqref>C3017</xm:sqref>
        </x14:dataValidation>
        <x14:dataValidation type="list" allowBlank="1" showInputMessage="1" showErrorMessage="1">
          <x14:formula1>
            <xm:f>'Informacion '!$L$3:$L$17</xm:f>
          </x14:formula1>
          <xm:sqref>D3017</xm:sqref>
        </x14:dataValidation>
        <x14:dataValidation type="list" allowBlank="1" showInputMessage="1" showErrorMessage="1">
          <x14:formula1>
            <xm:f>'Informacion '!$N$3:$N$5</xm:f>
          </x14:formula1>
          <xm:sqref>E3017</xm:sqref>
        </x14:dataValidation>
        <x14:dataValidation type="list" allowBlank="1" showInputMessage="1" showErrorMessage="1">
          <x14:formula1>
            <xm:f>'Informacion '!$S$3:$S$7</xm:f>
          </x14:formula1>
          <xm:sqref>C3041</xm:sqref>
        </x14:dataValidation>
        <x14:dataValidation type="list" allowBlank="1" showInputMessage="1" showErrorMessage="1">
          <x14:formula1>
            <xm:f>'Informacion '!$L$3:$L$17</xm:f>
          </x14:formula1>
          <xm:sqref>D3041</xm:sqref>
        </x14:dataValidation>
        <x14:dataValidation type="list" allowBlank="1" showInputMessage="1" showErrorMessage="1">
          <x14:formula1>
            <xm:f>'Informacion '!$N$3:$N$5</xm:f>
          </x14:formula1>
          <xm:sqref>E3041</xm:sqref>
        </x14:dataValidation>
        <x14:dataValidation type="list" allowBlank="1" showInputMessage="1" showErrorMessage="1">
          <x14:formula1>
            <xm:f>'Informacion '!$S$3:$S$7</xm:f>
          </x14:formula1>
          <xm:sqref>C3118</xm:sqref>
        </x14:dataValidation>
        <x14:dataValidation type="list" allowBlank="1" showInputMessage="1" showErrorMessage="1">
          <x14:formula1>
            <xm:f>'Informacion '!$L$3:$L$17</xm:f>
          </x14:formula1>
          <xm:sqref>D3118</xm:sqref>
        </x14:dataValidation>
        <x14:dataValidation type="list" allowBlank="1" showInputMessage="1" showErrorMessage="1">
          <x14:formula1>
            <xm:f>'Informacion '!$N$3:$N$5</xm:f>
          </x14:formula1>
          <xm:sqref>E3118</xm:sqref>
        </x14:dataValidation>
        <x14:dataValidation type="list" allowBlank="1" showInputMessage="1" showErrorMessage="1">
          <x14:formula1>
            <xm:f>'Informacion '!$S$3:$S$7</xm:f>
          </x14:formula1>
          <xm:sqref>C3186</xm:sqref>
        </x14:dataValidation>
        <x14:dataValidation type="list" allowBlank="1" showInputMessage="1" showErrorMessage="1">
          <x14:formula1>
            <xm:f>'Informacion '!$L$3:$L$17</xm:f>
          </x14:formula1>
          <xm:sqref>D3186</xm:sqref>
        </x14:dataValidation>
        <x14:dataValidation type="list" allowBlank="1" showInputMessage="1" showErrorMessage="1">
          <x14:formula1>
            <xm:f>'Informacion '!$N$3:$N$5</xm:f>
          </x14:formula1>
          <xm:sqref>E3186</xm:sqref>
        </x14:dataValidation>
        <x14:dataValidation type="list" allowBlank="1" showInputMessage="1" showErrorMessage="1">
          <x14:formula1>
            <xm:f>'Informacion '!$S$3:$S$7</xm:f>
          </x14:formula1>
          <xm:sqref>C3237</xm:sqref>
        </x14:dataValidation>
        <x14:dataValidation type="list" allowBlank="1" showInputMessage="1" showErrorMessage="1">
          <x14:formula1>
            <xm:f>'Informacion '!$L$3:$L$17</xm:f>
          </x14:formula1>
          <xm:sqref>D3237</xm:sqref>
        </x14:dataValidation>
        <x14:dataValidation type="list" allowBlank="1" showInputMessage="1" showErrorMessage="1">
          <x14:formula1>
            <xm:f>'Informacion '!$N$3:$N$5</xm:f>
          </x14:formula1>
          <xm:sqref>E3237</xm:sqref>
        </x14:dataValidation>
        <x14:dataValidation type="list" allowBlank="1" showInputMessage="1" showErrorMessage="1">
          <x14:formula1>
            <xm:f>'Informacion '!$S$3:$S$7</xm:f>
          </x14:formula1>
          <xm:sqref>C3316</xm:sqref>
        </x14:dataValidation>
        <x14:dataValidation type="list" allowBlank="1" showInputMessage="1" showErrorMessage="1">
          <x14:formula1>
            <xm:f>'Informacion '!$L$3:$L$17</xm:f>
          </x14:formula1>
          <xm:sqref>D3316</xm:sqref>
        </x14:dataValidation>
        <x14:dataValidation type="list" allowBlank="1" showInputMessage="1" showErrorMessage="1">
          <x14:formula1>
            <xm:f>'Informacion '!$N$3:$N$5</xm:f>
          </x14:formula1>
          <xm:sqref>E3316</xm:sqref>
        </x14:dataValidation>
        <x14:dataValidation type="list" allowBlank="1" showInputMessage="1" showErrorMessage="1">
          <x14:formula1>
            <xm:f>'Informacion '!$S$3:$S$7</xm:f>
          </x14:formula1>
          <xm:sqref>C3445</xm:sqref>
        </x14:dataValidation>
        <x14:dataValidation type="list" allowBlank="1" showInputMessage="1" showErrorMessage="1">
          <x14:formula1>
            <xm:f>'Informacion '!$L$3:$L$17</xm:f>
          </x14:formula1>
          <xm:sqref>D3445</xm:sqref>
        </x14:dataValidation>
        <x14:dataValidation type="list" allowBlank="1" showInputMessage="1" showErrorMessage="1">
          <x14:formula1>
            <xm:f>'Informacion '!$N$3:$N$5</xm:f>
          </x14:formula1>
          <xm:sqref>E3445</xm:sqref>
        </x14:dataValidation>
        <x14:dataValidation type="list" allowBlank="1" showInputMessage="1" showErrorMessage="1">
          <x14:formula1>
            <xm:f>'Informacion '!$S$3:$S$7</xm:f>
          </x14:formula1>
          <xm:sqref>C3509</xm:sqref>
        </x14:dataValidation>
        <x14:dataValidation type="list" allowBlank="1" showInputMessage="1" showErrorMessage="1">
          <x14:formula1>
            <xm:f>'Informacion '!$L$3:$L$17</xm:f>
          </x14:formula1>
          <xm:sqref>D3509</xm:sqref>
        </x14:dataValidation>
        <x14:dataValidation type="list" allowBlank="1" showInputMessage="1" showErrorMessage="1">
          <x14:formula1>
            <xm:f>'Informacion '!$N$3:$N$5</xm:f>
          </x14:formula1>
          <xm:sqref>E3509</xm:sqref>
        </x14:dataValidation>
        <x14:dataValidation type="list" allowBlank="1" showInputMessage="1" showErrorMessage="1">
          <x14:formula1>
            <xm:f>'Informacion '!$S$3:$S$7</xm:f>
          </x14:formula1>
          <xm:sqref>C3563</xm:sqref>
        </x14:dataValidation>
        <x14:dataValidation type="list" allowBlank="1" showInputMessage="1" showErrorMessage="1">
          <x14:formula1>
            <xm:f>'Informacion '!$L$3:$L$17</xm:f>
          </x14:formula1>
          <xm:sqref>D3563</xm:sqref>
        </x14:dataValidation>
        <x14:dataValidation type="list" allowBlank="1" showInputMessage="1" showErrorMessage="1">
          <x14:formula1>
            <xm:f>'Informacion '!$N$3:$N$5</xm:f>
          </x14:formula1>
          <xm:sqref>E3563</xm:sqref>
        </x14:dataValidation>
        <x14:dataValidation type="list" allowBlank="1" showInputMessage="1" showErrorMessage="1">
          <x14:formula1>
            <xm:f>'Informacion '!$S$3:$S$7</xm:f>
          </x14:formula1>
          <xm:sqref>C3591</xm:sqref>
        </x14:dataValidation>
        <x14:dataValidation type="list" allowBlank="1" showInputMessage="1" showErrorMessage="1">
          <x14:formula1>
            <xm:f>'Informacion '!$L$3:$L$17</xm:f>
          </x14:formula1>
          <xm:sqref>D3591</xm:sqref>
        </x14:dataValidation>
        <x14:dataValidation type="list" allowBlank="1" showInputMessage="1" showErrorMessage="1">
          <x14:formula1>
            <xm:f>'Informacion '!$N$3:$N$5</xm:f>
          </x14:formula1>
          <xm:sqref>E3591</xm:sqref>
        </x14:dataValidation>
        <x14:dataValidation type="list" allowBlank="1" showInputMessage="1" showErrorMessage="1">
          <x14:formula1>
            <xm:f>'Informacion '!$S$3:$S$7</xm:f>
          </x14:formula1>
          <xm:sqref>C3643</xm:sqref>
        </x14:dataValidation>
        <x14:dataValidation type="list" allowBlank="1" showInputMessage="1" showErrorMessage="1">
          <x14:formula1>
            <xm:f>'Informacion '!$L$3:$L$17</xm:f>
          </x14:formula1>
          <xm:sqref>D3643</xm:sqref>
        </x14:dataValidation>
        <x14:dataValidation type="list" allowBlank="1" showInputMessage="1" showErrorMessage="1">
          <x14:formula1>
            <xm:f>'Informacion '!$N$3:$N$5</xm:f>
          </x14:formula1>
          <xm:sqref>E3643</xm:sqref>
        </x14:dataValidation>
        <x14:dataValidation type="list" allowBlank="1" showInputMessage="1" showErrorMessage="1">
          <x14:formula1>
            <xm:f>'Informacion '!$S$3:$S$7</xm:f>
          </x14:formula1>
          <xm:sqref>C3961</xm:sqref>
        </x14:dataValidation>
        <x14:dataValidation type="list" allowBlank="1" showInputMessage="1" showErrorMessage="1">
          <x14:formula1>
            <xm:f>'Informacion '!$L$3:$L$17</xm:f>
          </x14:formula1>
          <xm:sqref>D3961</xm:sqref>
        </x14:dataValidation>
        <x14:dataValidation type="list" allowBlank="1" showInputMessage="1" showErrorMessage="1">
          <x14:formula1>
            <xm:f>'Informacion '!$N$3:$N$5</xm:f>
          </x14:formula1>
          <xm:sqref>E3961</xm:sqref>
        </x14:dataValidation>
        <x14:dataValidation type="list" allowBlank="1" showInputMessage="1" showErrorMessage="1">
          <x14:formula1>
            <xm:f>'Informacion '!$S$3:$S$7</xm:f>
          </x14:formula1>
          <xm:sqref>C4012</xm:sqref>
        </x14:dataValidation>
        <x14:dataValidation type="list" allowBlank="1" showInputMessage="1" showErrorMessage="1">
          <x14:formula1>
            <xm:f>'Informacion '!$L$3:$L$17</xm:f>
          </x14:formula1>
          <xm:sqref>D4012</xm:sqref>
        </x14:dataValidation>
        <x14:dataValidation type="list" allowBlank="1" showInputMessage="1" showErrorMessage="1">
          <x14:formula1>
            <xm:f>'Informacion '!$N$3:$N$5</xm:f>
          </x14:formula1>
          <xm:sqref>E4012</xm:sqref>
        </x14:dataValidation>
        <x14:dataValidation type="list" allowBlank="1" showInputMessage="1" showErrorMessage="1">
          <x14:formula1>
            <xm:f>'Informacion '!$S$3:$S$7</xm:f>
          </x14:formula1>
          <xm:sqref>C4072</xm:sqref>
        </x14:dataValidation>
        <x14:dataValidation type="list" allowBlank="1" showInputMessage="1" showErrorMessage="1">
          <x14:formula1>
            <xm:f>'Informacion '!$L$3:$L$17</xm:f>
          </x14:formula1>
          <xm:sqref>D4072</xm:sqref>
        </x14:dataValidation>
        <x14:dataValidation type="list" allowBlank="1" showInputMessage="1" showErrorMessage="1">
          <x14:formula1>
            <xm:f>'Informacion '!$N$3:$N$5</xm:f>
          </x14:formula1>
          <xm:sqref>E4072</xm:sqref>
        </x14:dataValidation>
        <x14:dataValidation type="list" allowBlank="1" showInputMessage="1" showErrorMessage="1">
          <x14:formula1>
            <xm:f>'Informacion '!$S$3:$S$7</xm:f>
          </x14:formula1>
          <xm:sqref>C4110</xm:sqref>
        </x14:dataValidation>
        <x14:dataValidation type="list" allowBlank="1" showInputMessage="1" showErrorMessage="1">
          <x14:formula1>
            <xm:f>'Informacion '!$L$3:$L$17</xm:f>
          </x14:formula1>
          <xm:sqref>D4110</xm:sqref>
        </x14:dataValidation>
        <x14:dataValidation type="list" allowBlank="1" showInputMessage="1" showErrorMessage="1">
          <x14:formula1>
            <xm:f>'Informacion '!$N$3:$N$5</xm:f>
          </x14:formula1>
          <xm:sqref>E4110</xm:sqref>
        </x14:dataValidation>
        <x14:dataValidation type="list" allowBlank="1" showInputMessage="1" showErrorMessage="1">
          <x14:formula1>
            <xm:f>'Informacion '!$S$3:$S$7</xm:f>
          </x14:formula1>
          <xm:sqref>C4159</xm:sqref>
        </x14:dataValidation>
        <x14:dataValidation type="list" allowBlank="1" showInputMessage="1" showErrorMessage="1">
          <x14:formula1>
            <xm:f>'Informacion '!$L$3:$L$17</xm:f>
          </x14:formula1>
          <xm:sqref>D4159</xm:sqref>
        </x14:dataValidation>
        <x14:dataValidation type="list" allowBlank="1" showInputMessage="1" showErrorMessage="1">
          <x14:formula1>
            <xm:f>'Informacion '!$N$3:$N$5</xm:f>
          </x14:formula1>
          <xm:sqref>E4159</xm:sqref>
        </x14:dataValidation>
        <x14:dataValidation type="list" allowBlank="1" showInputMessage="1" showErrorMessage="1">
          <x14:formula1>
            <xm:f>'Informacion '!$S$3:$S$7</xm:f>
          </x14:formula1>
          <xm:sqref>C4194</xm:sqref>
        </x14:dataValidation>
        <x14:dataValidation type="list" allowBlank="1" showInputMessage="1" showErrorMessage="1">
          <x14:formula1>
            <xm:f>'Informacion '!$L$3:$L$17</xm:f>
          </x14:formula1>
          <xm:sqref>D4194</xm:sqref>
        </x14:dataValidation>
        <x14:dataValidation type="list" allowBlank="1" showInputMessage="1" showErrorMessage="1">
          <x14:formula1>
            <xm:f>'Informacion '!$N$3:$N$5</xm:f>
          </x14:formula1>
          <xm:sqref>E4194</xm:sqref>
        </x14:dataValidation>
        <x14:dataValidation type="list" allowBlank="1" showInputMessage="1" showErrorMessage="1">
          <x14:formula1>
            <xm:f>'Informacion '!$S$3:$S$7</xm:f>
          </x14:formula1>
          <xm:sqref>C4230</xm:sqref>
        </x14:dataValidation>
        <x14:dataValidation type="list" allowBlank="1" showInputMessage="1" showErrorMessage="1">
          <x14:formula1>
            <xm:f>'Informacion '!$L$3:$L$17</xm:f>
          </x14:formula1>
          <xm:sqref>D4230</xm:sqref>
        </x14:dataValidation>
        <x14:dataValidation type="list" allowBlank="1" showInputMessage="1" showErrorMessage="1">
          <x14:formula1>
            <xm:f>'Informacion '!$N$3:$N$5</xm:f>
          </x14:formula1>
          <xm:sqref>E4230</xm:sqref>
        </x14:dataValidation>
        <x14:dataValidation type="list" allowBlank="1" showInputMessage="1" showErrorMessage="1">
          <x14:formula1>
            <xm:f>'Informacion '!$S$3:$S$7</xm:f>
          </x14:formula1>
          <xm:sqref>C4413</xm:sqref>
        </x14:dataValidation>
        <x14:dataValidation type="list" allowBlank="1" showInputMessage="1" showErrorMessage="1">
          <x14:formula1>
            <xm:f>'Informacion '!$L$3:$L$17</xm:f>
          </x14:formula1>
          <xm:sqref>D4413</xm:sqref>
        </x14:dataValidation>
        <x14:dataValidation type="list" allowBlank="1" showInputMessage="1" showErrorMessage="1">
          <x14:formula1>
            <xm:f>'Informacion '!$N$3:$N$5</xm:f>
          </x14:formula1>
          <xm:sqref>E4413</xm:sqref>
        </x14:dataValidation>
        <x14:dataValidation type="list" allowBlank="1" showInputMessage="1" showErrorMessage="1">
          <x14:formula1>
            <xm:f>'Informacion '!$S$3:$S$7</xm:f>
          </x14:formula1>
          <xm:sqref>C4589</xm:sqref>
        </x14:dataValidation>
        <x14:dataValidation type="list" allowBlank="1" showInputMessage="1" showErrorMessage="1">
          <x14:formula1>
            <xm:f>'Informacion '!$L$3:$L$17</xm:f>
          </x14:formula1>
          <xm:sqref>D4589</xm:sqref>
        </x14:dataValidation>
        <x14:dataValidation type="list" allowBlank="1" showInputMessage="1" showErrorMessage="1">
          <x14:formula1>
            <xm:f>'Informacion '!$N$3:$N$5</xm:f>
          </x14:formula1>
          <xm:sqref>E4589</xm:sqref>
        </x14:dataValidation>
        <x14:dataValidation type="list" allowBlank="1" showInputMessage="1" showErrorMessage="1">
          <x14:formula1>
            <xm:f>'Informacion '!$S$3:$S$7</xm:f>
          </x14:formula1>
          <xm:sqref>C4734</xm:sqref>
        </x14:dataValidation>
        <x14:dataValidation type="list" allowBlank="1" showInputMessage="1" showErrorMessage="1">
          <x14:formula1>
            <xm:f>'Informacion '!$L$3:$L$17</xm:f>
          </x14:formula1>
          <xm:sqref>D4734</xm:sqref>
        </x14:dataValidation>
        <x14:dataValidation type="list" allowBlank="1" showInputMessage="1" showErrorMessage="1">
          <x14:formula1>
            <xm:f>'Informacion '!$N$3:$N$5</xm:f>
          </x14:formula1>
          <xm:sqref>E4734</xm:sqref>
        </x14:dataValidation>
        <x14:dataValidation type="list" allowBlank="1" showInputMessage="1" showErrorMessage="1">
          <x14:formula1>
            <xm:f>'Informacion '!$S$3:$S$7</xm:f>
          </x14:formula1>
          <xm:sqref>C4784</xm:sqref>
        </x14:dataValidation>
        <x14:dataValidation type="list" allowBlank="1" showInputMessage="1" showErrorMessage="1">
          <x14:formula1>
            <xm:f>'Informacion '!$L$3:$L$17</xm:f>
          </x14:formula1>
          <xm:sqref>D4784</xm:sqref>
        </x14:dataValidation>
        <x14:dataValidation type="list" allowBlank="1" showInputMessage="1" showErrorMessage="1">
          <x14:formula1>
            <xm:f>'Informacion '!$N$3:$N$5</xm:f>
          </x14:formula1>
          <xm:sqref>E4784</xm:sqref>
        </x14:dataValidation>
        <x14:dataValidation type="list" allowBlank="1" showInputMessage="1" showErrorMessage="1">
          <x14:formula1>
            <xm:f>'Informacion '!$S$3:$S$7</xm:f>
          </x14:formula1>
          <xm:sqref>C4796</xm:sqref>
        </x14:dataValidation>
        <x14:dataValidation type="list" allowBlank="1" showInputMessage="1" showErrorMessage="1">
          <x14:formula1>
            <xm:f>'Informacion '!$L$3:$L$17</xm:f>
          </x14:formula1>
          <xm:sqref>D4796</xm:sqref>
        </x14:dataValidation>
        <x14:dataValidation type="list" allowBlank="1" showInputMessage="1" showErrorMessage="1">
          <x14:formula1>
            <xm:f>'Informacion '!$N$3:$N$5</xm:f>
          </x14:formula1>
          <xm:sqref>E4796</xm:sqref>
        </x14:dataValidation>
        <x14:dataValidation type="list" allowBlank="1" showInputMessage="1" showErrorMessage="1">
          <x14:formula1>
            <xm:f>'Informacion '!$S$3:$S$7</xm:f>
          </x14:formula1>
          <xm:sqref>C4825</xm:sqref>
        </x14:dataValidation>
        <x14:dataValidation type="list" allowBlank="1" showInputMessage="1" showErrorMessage="1">
          <x14:formula1>
            <xm:f>'Informacion '!$L$3:$L$17</xm:f>
          </x14:formula1>
          <xm:sqref>D4825</xm:sqref>
        </x14:dataValidation>
        <x14:dataValidation type="list" allowBlank="1" showInputMessage="1" showErrorMessage="1">
          <x14:formula1>
            <xm:f>'Informacion '!$N$3:$N$5</xm:f>
          </x14:formula1>
          <xm:sqref>E4825</xm:sqref>
        </x14:dataValidation>
        <x14:dataValidation type="list" allowBlank="1" showInputMessage="1" showErrorMessage="1">
          <x14:formula1>
            <xm:f>'Informacion '!$S$3:$S$7</xm:f>
          </x14:formula1>
          <xm:sqref>C4846</xm:sqref>
        </x14:dataValidation>
        <x14:dataValidation type="list" allowBlank="1" showInputMessage="1" showErrorMessage="1">
          <x14:formula1>
            <xm:f>'Informacion '!$L$3:$L$17</xm:f>
          </x14:formula1>
          <xm:sqref>D4846</xm:sqref>
        </x14:dataValidation>
        <x14:dataValidation type="list" allowBlank="1" showInputMessage="1" showErrorMessage="1">
          <x14:formula1>
            <xm:f>'Informacion '!$N$3:$N$5</xm:f>
          </x14:formula1>
          <xm:sqref>E4846</xm:sqref>
        </x14:dataValidation>
        <x14:dataValidation type="list" allowBlank="1" showInputMessage="1" showErrorMessage="1">
          <x14:formula1>
            <xm:f>'Informacion '!$S$3:$S$7</xm:f>
          </x14:formula1>
          <xm:sqref>C4993</xm:sqref>
        </x14:dataValidation>
        <x14:dataValidation type="list" allowBlank="1" showInputMessage="1" showErrorMessage="1">
          <x14:formula1>
            <xm:f>'Informacion '!$L$3:$L$17</xm:f>
          </x14:formula1>
          <xm:sqref>D4993</xm:sqref>
        </x14:dataValidation>
        <x14:dataValidation type="list" allowBlank="1" showInputMessage="1" showErrorMessage="1">
          <x14:formula1>
            <xm:f>'Informacion '!$N$3:$N$5</xm:f>
          </x14:formula1>
          <xm:sqref>E4993</xm:sqref>
        </x14:dataValidation>
        <x14:dataValidation type="list" allowBlank="1" showInputMessage="1" showErrorMessage="1">
          <x14:formula1>
            <xm:f>'Informacion '!$S$3:$S$7</xm:f>
          </x14:formula1>
          <xm:sqref>C5128</xm:sqref>
        </x14:dataValidation>
        <x14:dataValidation type="list" allowBlank="1" showInputMessage="1" showErrorMessage="1">
          <x14:formula1>
            <xm:f>'Informacion '!$L$3:$L$17</xm:f>
          </x14:formula1>
          <xm:sqref>D5128</xm:sqref>
        </x14:dataValidation>
        <x14:dataValidation type="list" allowBlank="1" showInputMessage="1" showErrorMessage="1">
          <x14:formula1>
            <xm:f>'Informacion '!$N$3:$N$5</xm:f>
          </x14:formula1>
          <xm:sqref>E5128</xm:sqref>
        </x14:dataValidation>
        <x14:dataValidation type="list" allowBlank="1" showInputMessage="1" showErrorMessage="1">
          <x14:formula1>
            <xm:f>'Informacion '!$S$3:$S$7</xm:f>
          </x14:formula1>
          <xm:sqref>C5174</xm:sqref>
        </x14:dataValidation>
        <x14:dataValidation type="list" allowBlank="1" showInputMessage="1" showErrorMessage="1">
          <x14:formula1>
            <xm:f>'Informacion '!$L$3:$L$17</xm:f>
          </x14:formula1>
          <xm:sqref>D5174</xm:sqref>
        </x14:dataValidation>
        <x14:dataValidation type="list" allowBlank="1" showInputMessage="1" showErrorMessage="1">
          <x14:formula1>
            <xm:f>'Informacion '!$N$3:$N$5</xm:f>
          </x14:formula1>
          <xm:sqref>E5174</xm:sqref>
        </x14:dataValidation>
        <x14:dataValidation type="list" allowBlank="1" showInputMessage="1" showErrorMessage="1">
          <x14:formula1>
            <xm:f>'Informacion '!$S$3:$S$7</xm:f>
          </x14:formula1>
          <xm:sqref>C5282</xm:sqref>
        </x14:dataValidation>
        <x14:dataValidation type="list" allowBlank="1" showInputMessage="1" showErrorMessage="1">
          <x14:formula1>
            <xm:f>'Informacion '!$L$3:$L$17</xm:f>
          </x14:formula1>
          <xm:sqref>D5282</xm:sqref>
        </x14:dataValidation>
        <x14:dataValidation type="list" allowBlank="1" showInputMessage="1" showErrorMessage="1">
          <x14:formula1>
            <xm:f>'Informacion '!$N$3:$N$5</xm:f>
          </x14:formula1>
          <xm:sqref>E5282</xm:sqref>
        </x14:dataValidation>
        <x14:dataValidation type="list" allowBlank="1" showInputMessage="1" showErrorMessage="1">
          <x14:formula1>
            <xm:f>'Informacion '!$S$3:$S$7</xm:f>
          </x14:formula1>
          <xm:sqref>C5305</xm:sqref>
        </x14:dataValidation>
        <x14:dataValidation type="list" allowBlank="1" showInputMessage="1" showErrorMessage="1">
          <x14:formula1>
            <xm:f>'Informacion '!$L$3:$L$17</xm:f>
          </x14:formula1>
          <xm:sqref>D5305</xm:sqref>
        </x14:dataValidation>
        <x14:dataValidation type="list" allowBlank="1" showInputMessage="1" showErrorMessage="1">
          <x14:formula1>
            <xm:f>'Informacion '!$N$3:$N$5</xm:f>
          </x14:formula1>
          <xm:sqref>E5305</xm:sqref>
        </x14:dataValidation>
        <x14:dataValidation type="list" allowBlank="1" showInputMessage="1" showErrorMessage="1">
          <x14:formula1>
            <xm:f>'Informacion '!$S$3:$S$7</xm:f>
          </x14:formula1>
          <xm:sqref>C5321</xm:sqref>
        </x14:dataValidation>
        <x14:dataValidation type="list" allowBlank="1" showInputMessage="1" showErrorMessage="1">
          <x14:formula1>
            <xm:f>'Informacion '!$L$3:$L$17</xm:f>
          </x14:formula1>
          <xm:sqref>D5321</xm:sqref>
        </x14:dataValidation>
        <x14:dataValidation type="list" allowBlank="1" showInputMessage="1" showErrorMessage="1">
          <x14:formula1>
            <xm:f>'Informacion '!$N$3:$N$5</xm:f>
          </x14:formula1>
          <xm:sqref>E5321</xm:sqref>
        </x14:dataValidation>
        <x14:dataValidation type="list" allowBlank="1" showInputMessage="1" showErrorMessage="1">
          <x14:formula1>
            <xm:f>'Informacion '!$S$3:$S$7</xm:f>
          </x14:formula1>
          <xm:sqref>C5340</xm:sqref>
        </x14:dataValidation>
        <x14:dataValidation type="list" allowBlank="1" showInputMessage="1" showErrorMessage="1">
          <x14:formula1>
            <xm:f>'Informacion '!$L$3:$L$17</xm:f>
          </x14:formula1>
          <xm:sqref>D5340</xm:sqref>
        </x14:dataValidation>
        <x14:dataValidation type="list" allowBlank="1" showInputMessage="1" showErrorMessage="1">
          <x14:formula1>
            <xm:f>'Informacion '!$N$3:$N$5</xm:f>
          </x14:formula1>
          <xm:sqref>E5340</xm:sqref>
        </x14:dataValidation>
        <x14:dataValidation type="list" allowBlank="1" showInputMessage="1" showErrorMessage="1">
          <x14:formula1>
            <xm:f>'Informacion '!$S$3:$S$7</xm:f>
          </x14:formula1>
          <xm:sqref>C5359</xm:sqref>
        </x14:dataValidation>
        <x14:dataValidation type="list" allowBlank="1" showInputMessage="1" showErrorMessage="1">
          <x14:formula1>
            <xm:f>'Informacion '!$L$3:$L$17</xm:f>
          </x14:formula1>
          <xm:sqref>D5359</xm:sqref>
        </x14:dataValidation>
        <x14:dataValidation type="list" allowBlank="1" showInputMessage="1" showErrorMessage="1">
          <x14:formula1>
            <xm:f>'Informacion '!$N$3:$N$5</xm:f>
          </x14:formula1>
          <xm:sqref>E5359</xm:sqref>
        </x14:dataValidation>
        <x14:dataValidation type="list" allowBlank="1" showInputMessage="1" showErrorMessage="1">
          <x14:formula1>
            <xm:f>'Informacion '!$S$3:$S$7</xm:f>
          </x14:formula1>
          <xm:sqref>C5380</xm:sqref>
        </x14:dataValidation>
        <x14:dataValidation type="list" allowBlank="1" showInputMessage="1" showErrorMessage="1">
          <x14:formula1>
            <xm:f>'Informacion '!$L$3:$L$17</xm:f>
          </x14:formula1>
          <xm:sqref>D5380</xm:sqref>
        </x14:dataValidation>
        <x14:dataValidation type="list" allowBlank="1" showInputMessage="1" showErrorMessage="1">
          <x14:formula1>
            <xm:f>'Informacion '!$N$3:$N$5</xm:f>
          </x14:formula1>
          <xm:sqref>E5380</xm:sqref>
        </x14:dataValidation>
        <x14:dataValidation type="list" allowBlank="1" showInputMessage="1" showErrorMessage="1">
          <x14:formula1>
            <xm:f>'Informacion '!$S$3:$S$7</xm:f>
          </x14:formula1>
          <xm:sqref>C5402</xm:sqref>
        </x14:dataValidation>
        <x14:dataValidation type="list" allowBlank="1" showInputMessage="1" showErrorMessage="1">
          <x14:formula1>
            <xm:f>'Informacion '!$L$3:$L$17</xm:f>
          </x14:formula1>
          <xm:sqref>D5402</xm:sqref>
        </x14:dataValidation>
        <x14:dataValidation type="list" allowBlank="1" showInputMessage="1" showErrorMessage="1">
          <x14:formula1>
            <xm:f>'Informacion '!$N$3:$N$5</xm:f>
          </x14:formula1>
          <xm:sqref>E5402</xm:sqref>
        </x14:dataValidation>
        <x14:dataValidation type="list" allowBlank="1" showInputMessage="1" showErrorMessage="1">
          <x14:formula1>
            <xm:f>'Informacion '!$S$3:$S$7</xm:f>
          </x14:formula1>
          <xm:sqref>C5424</xm:sqref>
        </x14:dataValidation>
        <x14:dataValidation type="list" allowBlank="1" showInputMessage="1" showErrorMessage="1">
          <x14:formula1>
            <xm:f>'Informacion '!$L$3:$L$17</xm:f>
          </x14:formula1>
          <xm:sqref>D5424</xm:sqref>
        </x14:dataValidation>
        <x14:dataValidation type="list" allowBlank="1" showInputMessage="1" showErrorMessage="1">
          <x14:formula1>
            <xm:f>'Informacion '!$N$3:$N$5</xm:f>
          </x14:formula1>
          <xm:sqref>E5424</xm:sqref>
        </x14:dataValidation>
        <x14:dataValidation type="list" allowBlank="1" showInputMessage="1" showErrorMessage="1">
          <x14:formula1>
            <xm:f>'Informacion '!$S$3:$S$7</xm:f>
          </x14:formula1>
          <xm:sqref>C5446</xm:sqref>
        </x14:dataValidation>
        <x14:dataValidation type="list" allowBlank="1" showInputMessage="1" showErrorMessage="1">
          <x14:formula1>
            <xm:f>'Informacion '!$L$3:$L$17</xm:f>
          </x14:formula1>
          <xm:sqref>D5446</xm:sqref>
        </x14:dataValidation>
        <x14:dataValidation type="list" allowBlank="1" showInputMessage="1" showErrorMessage="1">
          <x14:formula1>
            <xm:f>'Informacion '!$N$3:$N$5</xm:f>
          </x14:formula1>
          <xm:sqref>E5446</xm:sqref>
        </x14:dataValidation>
        <x14:dataValidation type="list" allowBlank="1" showInputMessage="1" showErrorMessage="1">
          <x14:formula1>
            <xm:f>'Informacion '!$S$3:$S$7</xm:f>
          </x14:formula1>
          <xm:sqref>C5468</xm:sqref>
        </x14:dataValidation>
        <x14:dataValidation type="list" allowBlank="1" showInputMessage="1" showErrorMessage="1">
          <x14:formula1>
            <xm:f>'Informacion '!$L$3:$L$17</xm:f>
          </x14:formula1>
          <xm:sqref>D5468</xm:sqref>
        </x14:dataValidation>
        <x14:dataValidation type="list" allowBlank="1" showInputMessage="1" showErrorMessage="1">
          <x14:formula1>
            <xm:f>'Informacion '!$N$3:$N$5</xm:f>
          </x14:formula1>
          <xm:sqref>E5468</xm:sqref>
        </x14:dataValidation>
        <x14:dataValidation type="list" allowBlank="1" showInputMessage="1" showErrorMessage="1">
          <x14:formula1>
            <xm:f>'Informacion '!$S$3:$S$7</xm:f>
          </x14:formula1>
          <xm:sqref>C5508</xm:sqref>
        </x14:dataValidation>
        <x14:dataValidation type="list" allowBlank="1" showInputMessage="1" showErrorMessage="1">
          <x14:formula1>
            <xm:f>'Informacion '!$L$3:$L$17</xm:f>
          </x14:formula1>
          <xm:sqref>D5508</xm:sqref>
        </x14:dataValidation>
        <x14:dataValidation type="list" allowBlank="1" showInputMessage="1" showErrorMessage="1">
          <x14:formula1>
            <xm:f>'Informacion '!$N$3:$N$5</xm:f>
          </x14:formula1>
          <xm:sqref>E5508</xm:sqref>
        </x14:dataValidation>
        <x14:dataValidation type="list" allowBlank="1" showInputMessage="1" showErrorMessage="1">
          <x14:formula1>
            <xm:f>'Informacion '!$S$3:$S$7</xm:f>
          </x14:formula1>
          <xm:sqref>C5548</xm:sqref>
        </x14:dataValidation>
        <x14:dataValidation type="list" allowBlank="1" showInputMessage="1" showErrorMessage="1">
          <x14:formula1>
            <xm:f>'Informacion '!$L$3:$L$17</xm:f>
          </x14:formula1>
          <xm:sqref>D5548</xm:sqref>
        </x14:dataValidation>
        <x14:dataValidation type="list" allowBlank="1" showInputMessage="1" showErrorMessage="1">
          <x14:formula1>
            <xm:f>'Informacion '!$N$3:$N$5</xm:f>
          </x14:formula1>
          <xm:sqref>E5548</xm:sqref>
        </x14:dataValidation>
        <x14:dataValidation type="list" allowBlank="1" showInputMessage="1" showErrorMessage="1">
          <x14:formula1>
            <xm:f>'Informacion '!$S$3:$S$7</xm:f>
          </x14:formula1>
          <xm:sqref>C5569</xm:sqref>
        </x14:dataValidation>
        <x14:dataValidation type="list" allowBlank="1" showInputMessage="1" showErrorMessage="1">
          <x14:formula1>
            <xm:f>'Informacion '!$L$3:$L$17</xm:f>
          </x14:formula1>
          <xm:sqref>D5569</xm:sqref>
        </x14:dataValidation>
        <x14:dataValidation type="list" allowBlank="1" showInputMessage="1" showErrorMessage="1">
          <x14:formula1>
            <xm:f>'Informacion '!$N$3:$N$5</xm:f>
          </x14:formula1>
          <xm:sqref>E5569</xm:sqref>
        </x14:dataValidation>
        <x14:dataValidation type="list" allowBlank="1" showInputMessage="1" showErrorMessage="1">
          <x14:formula1>
            <xm:f>'Informacion '!$S$3:$S$7</xm:f>
          </x14:formula1>
          <xm:sqref>C5590</xm:sqref>
        </x14:dataValidation>
        <x14:dataValidation type="list" allowBlank="1" showInputMessage="1" showErrorMessage="1">
          <x14:formula1>
            <xm:f>'Informacion '!$L$3:$L$17</xm:f>
          </x14:formula1>
          <xm:sqref>D5590</xm:sqref>
        </x14:dataValidation>
        <x14:dataValidation type="list" allowBlank="1" showInputMessage="1" showErrorMessage="1">
          <x14:formula1>
            <xm:f>'Informacion '!$N$3:$N$5</xm:f>
          </x14:formula1>
          <xm:sqref>E5590</xm:sqref>
        </x14:dataValidation>
        <x14:dataValidation type="list" allowBlank="1" showInputMessage="1" showErrorMessage="1">
          <x14:formula1>
            <xm:f>'Informacion '!$S$3:$S$7</xm:f>
          </x14:formula1>
          <xm:sqref>C5611</xm:sqref>
        </x14:dataValidation>
        <x14:dataValidation type="list" allowBlank="1" showInputMessage="1" showErrorMessage="1">
          <x14:formula1>
            <xm:f>'Informacion '!$L$3:$L$17</xm:f>
          </x14:formula1>
          <xm:sqref>D5611</xm:sqref>
        </x14:dataValidation>
        <x14:dataValidation type="list" allowBlank="1" showInputMessage="1" showErrorMessage="1">
          <x14:formula1>
            <xm:f>'Informacion '!$N$3:$N$5</xm:f>
          </x14:formula1>
          <xm:sqref>E5611</xm:sqref>
        </x14:dataValidation>
        <x14:dataValidation type="list" allowBlank="1" showInputMessage="1" showErrorMessage="1">
          <x14:formula1>
            <xm:f>'Informacion '!$S$3:$S$7</xm:f>
          </x14:formula1>
          <xm:sqref>C5632</xm:sqref>
        </x14:dataValidation>
        <x14:dataValidation type="list" allowBlank="1" showInputMessage="1" showErrorMessage="1">
          <x14:formula1>
            <xm:f>'Informacion '!$L$3:$L$17</xm:f>
          </x14:formula1>
          <xm:sqref>D5632</xm:sqref>
        </x14:dataValidation>
        <x14:dataValidation type="list" allowBlank="1" showInputMessage="1" showErrorMessage="1">
          <x14:formula1>
            <xm:f>'Informacion '!$N$3:$N$5</xm:f>
          </x14:formula1>
          <xm:sqref>E5632</xm:sqref>
        </x14:dataValidation>
        <x14:dataValidation type="list" allowBlank="1" showInputMessage="1" showErrorMessage="1">
          <x14:formula1>
            <xm:f>'Informacion '!$S$3:$S$7</xm:f>
          </x14:formula1>
          <xm:sqref>C5653</xm:sqref>
        </x14:dataValidation>
        <x14:dataValidation type="list" allowBlank="1" showInputMessage="1" showErrorMessage="1">
          <x14:formula1>
            <xm:f>'Informacion '!$L$3:$L$17</xm:f>
          </x14:formula1>
          <xm:sqref>D5653</xm:sqref>
        </x14:dataValidation>
        <x14:dataValidation type="list" allowBlank="1" showInputMessage="1" showErrorMessage="1">
          <x14:formula1>
            <xm:f>'Informacion '!$N$3:$N$5</xm:f>
          </x14:formula1>
          <xm:sqref>E5653</xm:sqref>
        </x14:dataValidation>
        <x14:dataValidation type="list" allowBlank="1" showInputMessage="1" showErrorMessage="1">
          <x14:formula1>
            <xm:f>'Informacion '!$S$3:$S$7</xm:f>
          </x14:formula1>
          <xm:sqref>C5674</xm:sqref>
        </x14:dataValidation>
        <x14:dataValidation type="list" allowBlank="1" showInputMessage="1" showErrorMessage="1">
          <x14:formula1>
            <xm:f>'Informacion '!$L$3:$L$17</xm:f>
          </x14:formula1>
          <xm:sqref>D5674</xm:sqref>
        </x14:dataValidation>
        <x14:dataValidation type="list" allowBlank="1" showInputMessage="1" showErrorMessage="1">
          <x14:formula1>
            <xm:f>'Informacion '!$N$3:$N$5</xm:f>
          </x14:formula1>
          <xm:sqref>E5674</xm:sqref>
        </x14:dataValidation>
        <x14:dataValidation type="list" allowBlank="1" showInputMessage="1" showErrorMessage="1">
          <x14:formula1>
            <xm:f>'Informacion '!$S$3:$S$7</xm:f>
          </x14:formula1>
          <xm:sqref>C5695</xm:sqref>
        </x14:dataValidation>
        <x14:dataValidation type="list" allowBlank="1" showInputMessage="1" showErrorMessage="1">
          <x14:formula1>
            <xm:f>'Informacion '!$L$3:$L$17</xm:f>
          </x14:formula1>
          <xm:sqref>D5695</xm:sqref>
        </x14:dataValidation>
        <x14:dataValidation type="list" allowBlank="1" showInputMessage="1" showErrorMessage="1">
          <x14:formula1>
            <xm:f>'Informacion '!$N$3:$N$5</xm:f>
          </x14:formula1>
          <xm:sqref>E5695</xm:sqref>
        </x14:dataValidation>
        <x14:dataValidation type="list" allowBlank="1" showInputMessage="1" showErrorMessage="1">
          <x14:formula1>
            <xm:f>'Informacion '!$S$3:$S$7</xm:f>
          </x14:formula1>
          <xm:sqref>C5708</xm:sqref>
        </x14:dataValidation>
        <x14:dataValidation type="list" allowBlank="1" showInputMessage="1" showErrorMessage="1">
          <x14:formula1>
            <xm:f>'Informacion '!$L$3:$L$17</xm:f>
          </x14:formula1>
          <xm:sqref>D5708</xm:sqref>
        </x14:dataValidation>
        <x14:dataValidation type="list" allowBlank="1" showInputMessage="1" showErrorMessage="1">
          <x14:formula1>
            <xm:f>'Informacion '!$N$3:$N$5</xm:f>
          </x14:formula1>
          <xm:sqref>E5708</xm:sqref>
        </x14:dataValidation>
        <x14:dataValidation type="list" allowBlank="1" showInputMessage="1" showErrorMessage="1">
          <x14:formula1>
            <xm:f>'Informacion '!$S$3:$S$7</xm:f>
          </x14:formula1>
          <xm:sqref>C5721</xm:sqref>
        </x14:dataValidation>
        <x14:dataValidation type="list" allowBlank="1" showInputMessage="1" showErrorMessage="1">
          <x14:formula1>
            <xm:f>'Informacion '!$L$3:$L$17</xm:f>
          </x14:formula1>
          <xm:sqref>D5721</xm:sqref>
        </x14:dataValidation>
        <x14:dataValidation type="list" allowBlank="1" showInputMessage="1" showErrorMessage="1">
          <x14:formula1>
            <xm:f>'Informacion '!$N$3:$N$5</xm:f>
          </x14:formula1>
          <xm:sqref>E5721</xm:sqref>
        </x14:dataValidation>
        <x14:dataValidation type="list" allowBlank="1" showInputMessage="1" showErrorMessage="1">
          <x14:formula1>
            <xm:f>'Informacion '!$S$3:$S$7</xm:f>
          </x14:formula1>
          <xm:sqref>C5761</xm:sqref>
        </x14:dataValidation>
        <x14:dataValidation type="list" allowBlank="1" showInputMessage="1" showErrorMessage="1">
          <x14:formula1>
            <xm:f>'Informacion '!$L$3:$L$17</xm:f>
          </x14:formula1>
          <xm:sqref>D5761</xm:sqref>
        </x14:dataValidation>
        <x14:dataValidation type="list" allowBlank="1" showInputMessage="1" showErrorMessage="1">
          <x14:formula1>
            <xm:f>'Informacion '!$N$3:$N$5</xm:f>
          </x14:formula1>
          <xm:sqref>E5761</xm:sqref>
        </x14:dataValidation>
        <x14:dataValidation type="list" allowBlank="1" showInputMessage="1" showErrorMessage="1">
          <x14:formula1>
            <xm:f>'Informacion '!$S$3:$S$7</xm:f>
          </x14:formula1>
          <xm:sqref>C5798</xm:sqref>
        </x14:dataValidation>
        <x14:dataValidation type="list" allowBlank="1" showInputMessage="1" showErrorMessage="1">
          <x14:formula1>
            <xm:f>'Informacion '!$L$3:$L$17</xm:f>
          </x14:formula1>
          <xm:sqref>D5798</xm:sqref>
        </x14:dataValidation>
        <x14:dataValidation type="list" allowBlank="1" showInputMessage="1" showErrorMessage="1">
          <x14:formula1>
            <xm:f>'Informacion '!$N$3:$N$5</xm:f>
          </x14:formula1>
          <xm:sqref>E5798</xm:sqref>
        </x14:dataValidation>
        <x14:dataValidation type="list" allowBlank="1" showInputMessage="1" showErrorMessage="1">
          <x14:formula1>
            <xm:f>'Informacion '!$S$3:$S$7</xm:f>
          </x14:formula1>
          <xm:sqref>C5811</xm:sqref>
        </x14:dataValidation>
        <x14:dataValidation type="list" allowBlank="1" showInputMessage="1" showErrorMessage="1">
          <x14:formula1>
            <xm:f>'Informacion '!$L$3:$L$17</xm:f>
          </x14:formula1>
          <xm:sqref>D5811</xm:sqref>
        </x14:dataValidation>
        <x14:dataValidation type="list" allowBlank="1" showInputMessage="1" showErrorMessage="1">
          <x14:formula1>
            <xm:f>'Informacion '!$N$3:$N$5</xm:f>
          </x14:formula1>
          <xm:sqref>E5811</xm:sqref>
        </x14:dataValidation>
        <x14:dataValidation type="list" allowBlank="1" showInputMessage="1" showErrorMessage="1">
          <x14:formula1>
            <xm:f>'Informacion '!$S$3:$S$7</xm:f>
          </x14:formula1>
          <xm:sqref>C5824</xm:sqref>
        </x14:dataValidation>
        <x14:dataValidation type="list" allowBlank="1" showInputMessage="1" showErrorMessage="1">
          <x14:formula1>
            <xm:f>'Informacion '!$L$3:$L$17</xm:f>
          </x14:formula1>
          <xm:sqref>D5824</xm:sqref>
        </x14:dataValidation>
        <x14:dataValidation type="list" allowBlank="1" showInputMessage="1" showErrorMessage="1">
          <x14:formula1>
            <xm:f>'Informacion '!$N$3:$N$5</xm:f>
          </x14:formula1>
          <xm:sqref>E5824</xm:sqref>
        </x14:dataValidation>
        <x14:dataValidation type="list" allowBlank="1" showInputMessage="1" showErrorMessage="1">
          <x14:formula1>
            <xm:f>'Informacion '!$S$3:$S$7</xm:f>
          </x14:formula1>
          <xm:sqref>C5853</xm:sqref>
        </x14:dataValidation>
        <x14:dataValidation type="list" allowBlank="1" showInputMessage="1" showErrorMessage="1">
          <x14:formula1>
            <xm:f>'Informacion '!$L$3:$L$17</xm:f>
          </x14:formula1>
          <xm:sqref>D5853</xm:sqref>
        </x14:dataValidation>
        <x14:dataValidation type="list" allowBlank="1" showInputMessage="1" showErrorMessage="1">
          <x14:formula1>
            <xm:f>'Informacion '!$N$3:$N$5</xm:f>
          </x14:formula1>
          <xm:sqref>E5853</xm:sqref>
        </x14:dataValidation>
        <x14:dataValidation type="list" allowBlank="1" showInputMessage="1" showErrorMessage="1">
          <x14:formula1>
            <xm:f>'Informacion '!$S$3:$S$7</xm:f>
          </x14:formula1>
          <xm:sqref>C5882</xm:sqref>
        </x14:dataValidation>
        <x14:dataValidation type="list" allowBlank="1" showInputMessage="1" showErrorMessage="1">
          <x14:formula1>
            <xm:f>'Informacion '!$L$3:$L$17</xm:f>
          </x14:formula1>
          <xm:sqref>D5882</xm:sqref>
        </x14:dataValidation>
        <x14:dataValidation type="list" allowBlank="1" showInputMessage="1" showErrorMessage="1">
          <x14:formula1>
            <xm:f>'Informacion '!$N$3:$N$5</xm:f>
          </x14:formula1>
          <xm:sqref>E5882</xm:sqref>
        </x14:dataValidation>
        <x14:dataValidation type="list" allowBlank="1" showInputMessage="1" showErrorMessage="1">
          <x14:formula1>
            <xm:f>'Informacion '!$S$3:$S$7</xm:f>
          </x14:formula1>
          <xm:sqref>C5919</xm:sqref>
        </x14:dataValidation>
        <x14:dataValidation type="list" allowBlank="1" showInputMessage="1" showErrorMessage="1">
          <x14:formula1>
            <xm:f>'Informacion '!$L$3:$L$17</xm:f>
          </x14:formula1>
          <xm:sqref>D5919</xm:sqref>
        </x14:dataValidation>
        <x14:dataValidation type="list" allowBlank="1" showInputMessage="1" showErrorMessage="1">
          <x14:formula1>
            <xm:f>'Informacion '!$N$3:$N$5</xm:f>
          </x14:formula1>
          <xm:sqref>E5919</xm:sqref>
        </x14:dataValidation>
        <x14:dataValidation type="list" allowBlank="1" showInputMessage="1" showErrorMessage="1">
          <x14:formula1>
            <xm:f>'Informacion '!$S$3:$S$7</xm:f>
          </x14:formula1>
          <xm:sqref>C5948</xm:sqref>
        </x14:dataValidation>
        <x14:dataValidation type="list" allowBlank="1" showInputMessage="1" showErrorMessage="1">
          <x14:formula1>
            <xm:f>'Informacion '!$L$3:$L$17</xm:f>
          </x14:formula1>
          <xm:sqref>D5948</xm:sqref>
        </x14:dataValidation>
        <x14:dataValidation type="list" allowBlank="1" showInputMessage="1" showErrorMessage="1">
          <x14:formula1>
            <xm:f>'Informacion '!$N$3:$N$5</xm:f>
          </x14:formula1>
          <xm:sqref>E5948</xm:sqref>
        </x14:dataValidation>
        <x14:dataValidation type="list" allowBlank="1" showInputMessage="1" showErrorMessage="1">
          <x14:formula1>
            <xm:f>'Informacion '!$S$3:$S$7</xm:f>
          </x14:formula1>
          <xm:sqref>C5977</xm:sqref>
        </x14:dataValidation>
        <x14:dataValidation type="list" allowBlank="1" showInputMessage="1" showErrorMessage="1">
          <x14:formula1>
            <xm:f>'Informacion '!$L$3:$L$17</xm:f>
          </x14:formula1>
          <xm:sqref>D5977</xm:sqref>
        </x14:dataValidation>
        <x14:dataValidation type="list" allowBlank="1" showInputMessage="1" showErrorMessage="1">
          <x14:formula1>
            <xm:f>'Informacion '!$N$3:$N$5</xm:f>
          </x14:formula1>
          <xm:sqref>E5977</xm:sqref>
        </x14:dataValidation>
        <x14:dataValidation type="list" allowBlank="1" showInputMessage="1" showErrorMessage="1">
          <x14:formula1>
            <xm:f>'Informacion '!$S$3:$S$7</xm:f>
          </x14:formula1>
          <xm:sqref>C5997</xm:sqref>
        </x14:dataValidation>
        <x14:dataValidation type="list" allowBlank="1" showInputMessage="1" showErrorMessage="1">
          <x14:formula1>
            <xm:f>'Informacion '!$L$3:$L$17</xm:f>
          </x14:formula1>
          <xm:sqref>D5997</xm:sqref>
        </x14:dataValidation>
        <x14:dataValidation type="list" allowBlank="1" showInputMessage="1" showErrorMessage="1">
          <x14:formula1>
            <xm:f>'Informacion '!$N$3:$N$5</xm:f>
          </x14:formula1>
          <xm:sqref>E5997</xm:sqref>
        </x14:dataValidation>
        <x14:dataValidation type="list" allowBlank="1" showInputMessage="1" showErrorMessage="1">
          <x14:formula1>
            <xm:f>'Informacion '!$S$3:$S$7</xm:f>
          </x14:formula1>
          <xm:sqref>C6017</xm:sqref>
        </x14:dataValidation>
        <x14:dataValidation type="list" allowBlank="1" showInputMessage="1" showErrorMessage="1">
          <x14:formula1>
            <xm:f>'Informacion '!$L$3:$L$17</xm:f>
          </x14:formula1>
          <xm:sqref>D6017</xm:sqref>
        </x14:dataValidation>
        <x14:dataValidation type="list" allowBlank="1" showInputMessage="1" showErrorMessage="1">
          <x14:formula1>
            <xm:f>'Informacion '!$N$3:$N$5</xm:f>
          </x14:formula1>
          <xm:sqref>E6017</xm:sqref>
        </x14:dataValidation>
        <x14:dataValidation type="list" allowBlank="1" showInputMessage="1" showErrorMessage="1">
          <x14:formula1>
            <xm:f>'Informacion '!$S$3:$S$7</xm:f>
          </x14:formula1>
          <xm:sqref>C6037</xm:sqref>
        </x14:dataValidation>
        <x14:dataValidation type="list" allowBlank="1" showInputMessage="1" showErrorMessage="1">
          <x14:formula1>
            <xm:f>'Informacion '!$L$3:$L$17</xm:f>
          </x14:formula1>
          <xm:sqref>D6037</xm:sqref>
        </x14:dataValidation>
        <x14:dataValidation type="list" allowBlank="1" showInputMessage="1" showErrorMessage="1">
          <x14:formula1>
            <xm:f>'Informacion '!$N$3:$N$5</xm:f>
          </x14:formula1>
          <xm:sqref>E6037</xm:sqref>
        </x14:dataValidation>
        <x14:dataValidation type="list" allowBlank="1" showInputMessage="1" showErrorMessage="1">
          <x14:formula1>
            <xm:f>'Informacion '!$S$3:$S$7</xm:f>
          </x14:formula1>
          <xm:sqref>C6057</xm:sqref>
        </x14:dataValidation>
        <x14:dataValidation type="list" allowBlank="1" showInputMessage="1" showErrorMessage="1">
          <x14:formula1>
            <xm:f>'Informacion '!$L$3:$L$17</xm:f>
          </x14:formula1>
          <xm:sqref>D6057</xm:sqref>
        </x14:dataValidation>
        <x14:dataValidation type="list" allowBlank="1" showInputMessage="1" showErrorMessage="1">
          <x14:formula1>
            <xm:f>'Informacion '!$N$3:$N$5</xm:f>
          </x14:formula1>
          <xm:sqref>E6057</xm:sqref>
        </x14:dataValidation>
        <x14:dataValidation type="list" allowBlank="1" showInputMessage="1" showErrorMessage="1">
          <x14:formula1>
            <xm:f>'Informacion '!$S$3:$S$7</xm:f>
          </x14:formula1>
          <xm:sqref>C6070</xm:sqref>
        </x14:dataValidation>
        <x14:dataValidation type="list" allowBlank="1" showInputMessage="1" showErrorMessage="1">
          <x14:formula1>
            <xm:f>'Informacion '!$L$3:$L$17</xm:f>
          </x14:formula1>
          <xm:sqref>D6070</xm:sqref>
        </x14:dataValidation>
        <x14:dataValidation type="list" allowBlank="1" showInputMessage="1" showErrorMessage="1">
          <x14:formula1>
            <xm:f>'Informacion '!$N$3:$N$5</xm:f>
          </x14:formula1>
          <xm:sqref>E6070</xm:sqref>
        </x14:dataValidation>
        <x14:dataValidation type="list" allowBlank="1" showInputMessage="1" showErrorMessage="1">
          <x14:formula1>
            <xm:f>'Informacion '!$S$3:$S$7</xm:f>
          </x14:formula1>
          <xm:sqref>C6083</xm:sqref>
        </x14:dataValidation>
        <x14:dataValidation type="list" allowBlank="1" showInputMessage="1" showErrorMessage="1">
          <x14:formula1>
            <xm:f>'Informacion '!$L$3:$L$17</xm:f>
          </x14:formula1>
          <xm:sqref>D6083</xm:sqref>
        </x14:dataValidation>
        <x14:dataValidation type="list" allowBlank="1" showInputMessage="1" showErrorMessage="1">
          <x14:formula1>
            <xm:f>'Informacion '!$N$3:$N$5</xm:f>
          </x14:formula1>
          <xm:sqref>E6083</xm:sqref>
        </x14:dataValidation>
        <x14:dataValidation type="list" allowBlank="1" showInputMessage="1" showErrorMessage="1">
          <x14:formula1>
            <xm:f>'Informacion '!$S$3:$S$7</xm:f>
          </x14:formula1>
          <xm:sqref>C6096</xm:sqref>
        </x14:dataValidation>
        <x14:dataValidation type="list" allowBlank="1" showInputMessage="1" showErrorMessage="1">
          <x14:formula1>
            <xm:f>'Informacion '!$L$3:$L$17</xm:f>
          </x14:formula1>
          <xm:sqref>D6096</xm:sqref>
        </x14:dataValidation>
        <x14:dataValidation type="list" allowBlank="1" showInputMessage="1" showErrorMessage="1">
          <x14:formula1>
            <xm:f>'Informacion '!$N$3:$N$5</xm:f>
          </x14:formula1>
          <xm:sqref>E6096</xm:sqref>
        </x14:dataValidation>
        <x14:dataValidation type="list" allowBlank="1" showInputMessage="1" showErrorMessage="1">
          <x14:formula1>
            <xm:f>'Informacion '!$S$3:$S$7</xm:f>
          </x14:formula1>
          <xm:sqref>C6109</xm:sqref>
        </x14:dataValidation>
        <x14:dataValidation type="list" allowBlank="1" showInputMessage="1" showErrorMessage="1">
          <x14:formula1>
            <xm:f>'Informacion '!$L$3:$L$17</xm:f>
          </x14:formula1>
          <xm:sqref>D6109</xm:sqref>
        </x14:dataValidation>
        <x14:dataValidation type="list" allowBlank="1" showInputMessage="1" showErrorMessage="1">
          <x14:formula1>
            <xm:f>'Informacion '!$N$3:$N$5</xm:f>
          </x14:formula1>
          <xm:sqref>E6109</xm:sqref>
        </x14:dataValidation>
        <x14:dataValidation type="list" allowBlank="1" showInputMessage="1" showErrorMessage="1">
          <x14:formula1>
            <xm:f>'Informacion '!$S$3:$S$7</xm:f>
          </x14:formula1>
          <xm:sqref>C6120</xm:sqref>
        </x14:dataValidation>
        <x14:dataValidation type="list" allowBlank="1" showInputMessage="1" showErrorMessage="1">
          <x14:formula1>
            <xm:f>'Informacion '!$L$3:$L$17</xm:f>
          </x14:formula1>
          <xm:sqref>D6120</xm:sqref>
        </x14:dataValidation>
        <x14:dataValidation type="list" allowBlank="1" showInputMessage="1" showErrorMessage="1">
          <x14:formula1>
            <xm:f>'Informacion '!$N$3:$N$5</xm:f>
          </x14:formula1>
          <xm:sqref>E6120</xm:sqref>
        </x14:dataValidation>
        <x14:dataValidation type="list" allowBlank="1" showInputMessage="1" showErrorMessage="1">
          <x14:formula1>
            <xm:f>'Informacion '!$S$3:$S$7</xm:f>
          </x14:formula1>
          <xm:sqref>C6131</xm:sqref>
        </x14:dataValidation>
        <x14:dataValidation type="list" allowBlank="1" showInputMessage="1" showErrorMessage="1">
          <x14:formula1>
            <xm:f>'Informacion '!$L$3:$L$17</xm:f>
          </x14:formula1>
          <xm:sqref>D6131</xm:sqref>
        </x14:dataValidation>
        <x14:dataValidation type="list" allowBlank="1" showInputMessage="1" showErrorMessage="1">
          <x14:formula1>
            <xm:f>'Informacion '!$N$3:$N$5</xm:f>
          </x14:formula1>
          <xm:sqref>E6131</xm:sqref>
        </x14:dataValidation>
        <x14:dataValidation type="list" allowBlank="1" showInputMessage="1" showErrorMessage="1">
          <x14:formula1>
            <xm:f>'Informacion '!$S$3:$S$7</xm:f>
          </x14:formula1>
          <xm:sqref>C6142</xm:sqref>
        </x14:dataValidation>
        <x14:dataValidation type="list" allowBlank="1" showInputMessage="1" showErrorMessage="1">
          <x14:formula1>
            <xm:f>'Informacion '!$L$3:$L$17</xm:f>
          </x14:formula1>
          <xm:sqref>D6142</xm:sqref>
        </x14:dataValidation>
        <x14:dataValidation type="list" allowBlank="1" showInputMessage="1" showErrorMessage="1">
          <x14:formula1>
            <xm:f>'Informacion '!$N$3:$N$5</xm:f>
          </x14:formula1>
          <xm:sqref>E6142</xm:sqref>
        </x14:dataValidation>
        <x14:dataValidation type="list" allowBlank="1" showInputMessage="1" showErrorMessage="1">
          <x14:formula1>
            <xm:f>'Informacion '!$S$3:$S$7</xm:f>
          </x14:formula1>
          <xm:sqref>C6153</xm:sqref>
        </x14:dataValidation>
        <x14:dataValidation type="list" allowBlank="1" showInputMessage="1" showErrorMessage="1">
          <x14:formula1>
            <xm:f>'Informacion '!$L$3:$L$17</xm:f>
          </x14:formula1>
          <xm:sqref>D6153</xm:sqref>
        </x14:dataValidation>
        <x14:dataValidation type="list" allowBlank="1" showInputMessage="1" showErrorMessage="1">
          <x14:formula1>
            <xm:f>'Informacion '!$N$3:$N$5</xm:f>
          </x14:formula1>
          <xm:sqref>E6153</xm:sqref>
        </x14:dataValidation>
        <x14:dataValidation type="list" allowBlank="1" showInputMessage="1" showErrorMessage="1">
          <x14:formula1>
            <xm:f>'Informacion '!$S$3:$S$7</xm:f>
          </x14:formula1>
          <xm:sqref>C6225</xm:sqref>
        </x14:dataValidation>
        <x14:dataValidation type="list" allowBlank="1" showInputMessage="1" showErrorMessage="1">
          <x14:formula1>
            <xm:f>'Informacion '!$L$3:$L$17</xm:f>
          </x14:formula1>
          <xm:sqref>D6225</xm:sqref>
        </x14:dataValidation>
        <x14:dataValidation type="list" allowBlank="1" showInputMessage="1" showErrorMessage="1">
          <x14:formula1>
            <xm:f>'Informacion '!$N$3:$N$5</xm:f>
          </x14:formula1>
          <xm:sqref>E6225</xm:sqref>
        </x14:dataValidation>
        <x14:dataValidation type="list" allowBlank="1" showInputMessage="1" showErrorMessage="1">
          <x14:formula1>
            <xm:f>'Informacion '!$S$3:$S$7</xm:f>
          </x14:formula1>
          <xm:sqref>C6297</xm:sqref>
        </x14:dataValidation>
        <x14:dataValidation type="list" allowBlank="1" showInputMessage="1" showErrorMessage="1">
          <x14:formula1>
            <xm:f>'Informacion '!$L$3:$L$17</xm:f>
          </x14:formula1>
          <xm:sqref>D6297</xm:sqref>
        </x14:dataValidation>
        <x14:dataValidation type="list" allowBlank="1" showInputMessage="1" showErrorMessage="1">
          <x14:formula1>
            <xm:f>'Informacion '!$N$3:$N$5</xm:f>
          </x14:formula1>
          <xm:sqref>E6297</xm:sqref>
        </x14:dataValidation>
        <x14:dataValidation type="list" allowBlank="1" showInputMessage="1" showErrorMessage="1">
          <x14:formula1>
            <xm:f>'Informacion '!$S$3:$S$7</xm:f>
          </x14:formula1>
          <xm:sqref>C6369</xm:sqref>
        </x14:dataValidation>
        <x14:dataValidation type="list" allowBlank="1" showInputMessage="1" showErrorMessage="1">
          <x14:formula1>
            <xm:f>'Informacion '!$L$3:$L$17</xm:f>
          </x14:formula1>
          <xm:sqref>D6369</xm:sqref>
        </x14:dataValidation>
        <x14:dataValidation type="list" allowBlank="1" showInputMessage="1" showErrorMessage="1">
          <x14:formula1>
            <xm:f>'Informacion '!$N$3:$N$5</xm:f>
          </x14:formula1>
          <xm:sqref>E6369</xm:sqref>
        </x14:dataValidation>
        <x14:dataValidation type="list" allowBlank="1" showInputMessage="1" showErrorMessage="1">
          <x14:formula1>
            <xm:f>'Informacion '!$S$3:$S$7</xm:f>
          </x14:formula1>
          <xm:sqref>C6441</xm:sqref>
        </x14:dataValidation>
        <x14:dataValidation type="list" allowBlank="1" showInputMessage="1" showErrorMessage="1">
          <x14:formula1>
            <xm:f>'Informacion '!$L$3:$L$17</xm:f>
          </x14:formula1>
          <xm:sqref>D6441</xm:sqref>
        </x14:dataValidation>
        <x14:dataValidation type="list" allowBlank="1" showInputMessage="1" showErrorMessage="1">
          <x14:formula1>
            <xm:f>'Informacion '!$N$3:$N$5</xm:f>
          </x14:formula1>
          <xm:sqref>E6441</xm:sqref>
        </x14:dataValidation>
        <x14:dataValidation type="list" allowBlank="1" showInputMessage="1" showErrorMessage="1">
          <x14:formula1>
            <xm:f>'Informacion '!$S$3:$S$7</xm:f>
          </x14:formula1>
          <xm:sqref>C6478</xm:sqref>
        </x14:dataValidation>
        <x14:dataValidation type="list" allowBlank="1" showInputMessage="1" showErrorMessage="1">
          <x14:formula1>
            <xm:f>'Informacion '!$L$3:$L$17</xm:f>
          </x14:formula1>
          <xm:sqref>D6478</xm:sqref>
        </x14:dataValidation>
        <x14:dataValidation type="list" allowBlank="1" showInputMessage="1" showErrorMessage="1">
          <x14:formula1>
            <xm:f>'Informacion '!$N$3:$N$5</xm:f>
          </x14:formula1>
          <xm:sqref>E6478</xm:sqref>
        </x14:dataValidation>
        <x14:dataValidation type="list" allowBlank="1" showInputMessage="1" showErrorMessage="1">
          <x14:formula1>
            <xm:f>'Informacion '!$S$3:$S$7</xm:f>
          </x14:formula1>
          <xm:sqref>C6516</xm:sqref>
        </x14:dataValidation>
        <x14:dataValidation type="list" allowBlank="1" showInputMessage="1" showErrorMessage="1">
          <x14:formula1>
            <xm:f>'Informacion '!$L$3:$L$17</xm:f>
          </x14:formula1>
          <xm:sqref>D6516</xm:sqref>
        </x14:dataValidation>
        <x14:dataValidation type="list" allowBlank="1" showInputMessage="1" showErrorMessage="1">
          <x14:formula1>
            <xm:f>'Informacion '!$N$3:$N$5</xm:f>
          </x14:formula1>
          <xm:sqref>E6516</xm:sqref>
        </x14:dataValidation>
        <x14:dataValidation type="list" allowBlank="1" showInputMessage="1" showErrorMessage="1">
          <x14:formula1>
            <xm:f>'Informacion '!$S$3:$S$7</xm:f>
          </x14:formula1>
          <xm:sqref>C6619</xm:sqref>
        </x14:dataValidation>
        <x14:dataValidation type="list" allowBlank="1" showInputMessage="1" showErrorMessage="1">
          <x14:formula1>
            <xm:f>'Informacion '!$L$3:$L$17</xm:f>
          </x14:formula1>
          <xm:sqref>D6619</xm:sqref>
        </x14:dataValidation>
        <x14:dataValidation type="list" allowBlank="1" showInputMessage="1" showErrorMessage="1">
          <x14:formula1>
            <xm:f>'Informacion '!$N$3:$N$5</xm:f>
          </x14:formula1>
          <xm:sqref>E6619</xm:sqref>
        </x14:dataValidation>
        <x14:dataValidation type="list" allowBlank="1" showInputMessage="1" showErrorMessage="1">
          <x14:formula1>
            <xm:f>'Informacion '!$S$3:$S$7</xm:f>
          </x14:formula1>
          <xm:sqref>C6674</xm:sqref>
        </x14:dataValidation>
        <x14:dataValidation type="list" allowBlank="1" showInputMessage="1" showErrorMessage="1">
          <x14:formula1>
            <xm:f>'Informacion '!$L$3:$L$17</xm:f>
          </x14:formula1>
          <xm:sqref>D6674</xm:sqref>
        </x14:dataValidation>
        <x14:dataValidation type="list" allowBlank="1" showInputMessage="1" showErrorMessage="1">
          <x14:formula1>
            <xm:f>'Informacion '!$N$3:$N$5</xm:f>
          </x14:formula1>
          <xm:sqref>E6674</xm:sqref>
        </x14:dataValidation>
        <x14:dataValidation type="list" allowBlank="1" showInputMessage="1" showErrorMessage="1">
          <x14:formula1>
            <xm:f>'Informacion '!$S$3:$S$7</xm:f>
          </x14:formula1>
          <xm:sqref>C6687</xm:sqref>
        </x14:dataValidation>
        <x14:dataValidation type="list" allowBlank="1" showInputMessage="1" showErrorMessage="1">
          <x14:formula1>
            <xm:f>'Informacion '!$L$3:$L$17</xm:f>
          </x14:formula1>
          <xm:sqref>D6687</xm:sqref>
        </x14:dataValidation>
        <x14:dataValidation type="list" allowBlank="1" showInputMessage="1" showErrorMessage="1">
          <x14:formula1>
            <xm:f>'Informacion '!$N$3:$N$5</xm:f>
          </x14:formula1>
          <xm:sqref>E6687</xm:sqref>
        </x14:dataValidation>
        <x14:dataValidation type="list" allowBlank="1" showInputMessage="1" showErrorMessage="1">
          <x14:formula1>
            <xm:f>'Informacion '!$S$3:$S$7</xm:f>
          </x14:formula1>
          <xm:sqref>C6716</xm:sqref>
        </x14:dataValidation>
        <x14:dataValidation type="list" allowBlank="1" showInputMessage="1" showErrorMessage="1">
          <x14:formula1>
            <xm:f>'Informacion '!$L$3:$L$17</xm:f>
          </x14:formula1>
          <xm:sqref>D6716</xm:sqref>
        </x14:dataValidation>
        <x14:dataValidation type="list" allowBlank="1" showInputMessage="1" showErrorMessage="1">
          <x14:formula1>
            <xm:f>'Informacion '!$N$3:$N$5</xm:f>
          </x14:formula1>
          <xm:sqref>E6716</xm:sqref>
        </x14:dataValidation>
        <x14:dataValidation type="list" allowBlank="1" showInputMessage="1" showErrorMessage="1">
          <x14:formula1>
            <xm:f>'Informacion '!$S$3:$S$7</xm:f>
          </x14:formula1>
          <xm:sqref>C6745</xm:sqref>
        </x14:dataValidation>
        <x14:dataValidation type="list" allowBlank="1" showInputMessage="1" showErrorMessage="1">
          <x14:formula1>
            <xm:f>'Informacion '!$L$3:$L$17</xm:f>
          </x14:formula1>
          <xm:sqref>D6745</xm:sqref>
        </x14:dataValidation>
        <x14:dataValidation type="list" allowBlank="1" showInputMessage="1" showErrorMessage="1">
          <x14:formula1>
            <xm:f>'Informacion '!$N$3:$N$5</xm:f>
          </x14:formula1>
          <xm:sqref>E6745</xm:sqref>
        </x14:dataValidation>
        <x14:dataValidation type="list" allowBlank="1" showInputMessage="1" showErrorMessage="1">
          <x14:formula1>
            <xm:f>'Informacion '!$S$3:$S$7</xm:f>
          </x14:formula1>
          <xm:sqref>C6774</xm:sqref>
        </x14:dataValidation>
        <x14:dataValidation type="list" allowBlank="1" showInputMessage="1" showErrorMessage="1">
          <x14:formula1>
            <xm:f>'Informacion '!$L$3:$L$17</xm:f>
          </x14:formula1>
          <xm:sqref>D6774</xm:sqref>
        </x14:dataValidation>
        <x14:dataValidation type="list" allowBlank="1" showInputMessage="1" showErrorMessage="1">
          <x14:formula1>
            <xm:f>'Informacion '!$N$3:$N$5</xm:f>
          </x14:formula1>
          <xm:sqref>E6774</xm:sqref>
        </x14:dataValidation>
        <x14:dataValidation type="list" allowBlank="1" showInputMessage="1" showErrorMessage="1">
          <x14:formula1>
            <xm:f>'Informacion '!$S$3:$S$7</xm:f>
          </x14:formula1>
          <xm:sqref>C6803</xm:sqref>
        </x14:dataValidation>
        <x14:dataValidation type="list" allowBlank="1" showInputMessage="1" showErrorMessage="1">
          <x14:formula1>
            <xm:f>'Informacion '!$L$3:$L$17</xm:f>
          </x14:formula1>
          <xm:sqref>D6803</xm:sqref>
        </x14:dataValidation>
        <x14:dataValidation type="list" allowBlank="1" showInputMessage="1" showErrorMessage="1">
          <x14:formula1>
            <xm:f>'Informacion '!$N$3:$N$5</xm:f>
          </x14:formula1>
          <xm:sqref>E6803</xm:sqref>
        </x14:dataValidation>
        <x14:dataValidation type="list" allowBlank="1" showInputMessage="1" showErrorMessage="1">
          <x14:formula1>
            <xm:f>'Informacion '!$S$3:$S$7</xm:f>
          </x14:formula1>
          <xm:sqref>C6822</xm:sqref>
        </x14:dataValidation>
        <x14:dataValidation type="list" allowBlank="1" showInputMessage="1" showErrorMessage="1">
          <x14:formula1>
            <xm:f>'Informacion '!$L$3:$L$17</xm:f>
          </x14:formula1>
          <xm:sqref>D6822</xm:sqref>
        </x14:dataValidation>
        <x14:dataValidation type="list" allowBlank="1" showInputMessage="1" showErrorMessage="1">
          <x14:formula1>
            <xm:f>'Informacion '!$N$3:$N$5</xm:f>
          </x14:formula1>
          <xm:sqref>E6822</xm:sqref>
        </x14:dataValidation>
        <x14:dataValidation type="list" allowBlank="1" showInputMessage="1" showErrorMessage="1">
          <x14:formula1>
            <xm:f>'Informacion '!$S$3:$S$7</xm:f>
          </x14:formula1>
          <xm:sqref>C6839</xm:sqref>
        </x14:dataValidation>
        <x14:dataValidation type="list" allowBlank="1" showInputMessage="1" showErrorMessage="1">
          <x14:formula1>
            <xm:f>'Informacion '!$L$3:$L$17</xm:f>
          </x14:formula1>
          <xm:sqref>D6839</xm:sqref>
        </x14:dataValidation>
        <x14:dataValidation type="list" allowBlank="1" showInputMessage="1" showErrorMessage="1">
          <x14:formula1>
            <xm:f>'Informacion '!$N$3:$N$5</xm:f>
          </x14:formula1>
          <xm:sqref>E6839</xm:sqref>
        </x14:dataValidation>
        <x14:dataValidation type="list" allowBlank="1" showInputMessage="1" showErrorMessage="1">
          <x14:formula1>
            <xm:f>'Informacion '!$S$3:$S$7</xm:f>
          </x14:formula1>
          <xm:sqref>C6855</xm:sqref>
        </x14:dataValidation>
        <x14:dataValidation type="list" allowBlank="1" showInputMessage="1" showErrorMessage="1">
          <x14:formula1>
            <xm:f>'Informacion '!$L$3:$L$17</xm:f>
          </x14:formula1>
          <xm:sqref>D6855</xm:sqref>
        </x14:dataValidation>
        <x14:dataValidation type="list" allowBlank="1" showInputMessage="1" showErrorMessage="1">
          <x14:formula1>
            <xm:f>'Informacion '!$N$3:$N$5</xm:f>
          </x14:formula1>
          <xm:sqref>E6855</xm:sqref>
        </x14:dataValidation>
        <x14:dataValidation type="list" allowBlank="1" showInputMessage="1" showErrorMessage="1">
          <x14:formula1>
            <xm:f>'Informacion '!$S$3:$S$7</xm:f>
          </x14:formula1>
          <xm:sqref>C6871</xm:sqref>
        </x14:dataValidation>
        <x14:dataValidation type="list" allowBlank="1" showInputMessage="1" showErrorMessage="1">
          <x14:formula1>
            <xm:f>'Informacion '!$L$3:$L$17</xm:f>
          </x14:formula1>
          <xm:sqref>D6871</xm:sqref>
        </x14:dataValidation>
        <x14:dataValidation type="list" allowBlank="1" showInputMessage="1" showErrorMessage="1">
          <x14:formula1>
            <xm:f>'Informacion '!$N$3:$N$5</xm:f>
          </x14:formula1>
          <xm:sqref>E6871</xm:sqref>
        </x14:dataValidation>
        <x14:dataValidation type="list" allowBlank="1" showInputMessage="1" showErrorMessage="1">
          <x14:formula1>
            <xm:f>'Informacion '!$S$3:$S$7</xm:f>
          </x14:formula1>
          <xm:sqref>C6903</xm:sqref>
        </x14:dataValidation>
        <x14:dataValidation type="list" allowBlank="1" showInputMessage="1" showErrorMessage="1">
          <x14:formula1>
            <xm:f>'Informacion '!$L$3:$L$17</xm:f>
          </x14:formula1>
          <xm:sqref>D6903</xm:sqref>
        </x14:dataValidation>
        <x14:dataValidation type="list" allowBlank="1" showInputMessage="1" showErrorMessage="1">
          <x14:formula1>
            <xm:f>'Informacion '!$N$3:$N$5</xm:f>
          </x14:formula1>
          <xm:sqref>E6903</xm:sqref>
        </x14:dataValidation>
        <x14:dataValidation type="list" allowBlank="1" showInputMessage="1" showErrorMessage="1">
          <x14:formula1>
            <xm:f>'Informacion '!$S$3:$S$7</xm:f>
          </x14:formula1>
          <xm:sqref>C6935</xm:sqref>
        </x14:dataValidation>
        <x14:dataValidation type="list" allowBlank="1" showInputMessage="1" showErrorMessage="1">
          <x14:formula1>
            <xm:f>'Informacion '!$L$3:$L$17</xm:f>
          </x14:formula1>
          <xm:sqref>D6935</xm:sqref>
        </x14:dataValidation>
        <x14:dataValidation type="list" allowBlank="1" showInputMessage="1" showErrorMessage="1">
          <x14:formula1>
            <xm:f>'Informacion '!$N$3:$N$5</xm:f>
          </x14:formula1>
          <xm:sqref>E6935</xm:sqref>
        </x14:dataValidation>
        <x14:dataValidation type="list" allowBlank="1" showInputMessage="1" showErrorMessage="1">
          <x14:formula1>
            <xm:f>'Informacion '!$S$3:$S$7</xm:f>
          </x14:formula1>
          <xm:sqref>C6967</xm:sqref>
        </x14:dataValidation>
        <x14:dataValidation type="list" allowBlank="1" showInputMessage="1" showErrorMessage="1">
          <x14:formula1>
            <xm:f>'Informacion '!$L$3:$L$17</xm:f>
          </x14:formula1>
          <xm:sqref>D6967</xm:sqref>
        </x14:dataValidation>
        <x14:dataValidation type="list" allowBlank="1" showInputMessage="1" showErrorMessage="1">
          <x14:formula1>
            <xm:f>'Informacion '!$N$3:$N$5</xm:f>
          </x14:formula1>
          <xm:sqref>E6967</xm:sqref>
        </x14:dataValidation>
        <x14:dataValidation type="list" allowBlank="1" showInputMessage="1" showErrorMessage="1">
          <x14:formula1>
            <xm:f>'Informacion '!$S$3:$S$7</xm:f>
          </x14:formula1>
          <xm:sqref>C7007</xm:sqref>
        </x14:dataValidation>
        <x14:dataValidation type="list" allowBlank="1" showInputMessage="1" showErrorMessage="1">
          <x14:formula1>
            <xm:f>'Informacion '!$L$3:$L$17</xm:f>
          </x14:formula1>
          <xm:sqref>D7007</xm:sqref>
        </x14:dataValidation>
        <x14:dataValidation type="list" allowBlank="1" showInputMessage="1" showErrorMessage="1">
          <x14:formula1>
            <xm:f>'Informacion '!$N$3:$N$5</xm:f>
          </x14:formula1>
          <xm:sqref>E7007</xm:sqref>
        </x14:dataValidation>
        <x14:dataValidation type="list" allowBlank="1" showInputMessage="1" showErrorMessage="1">
          <x14:formula1>
            <xm:f>'Informacion '!$S$3:$S$7</xm:f>
          </x14:formula1>
          <xm:sqref>C7039</xm:sqref>
        </x14:dataValidation>
        <x14:dataValidation type="list" allowBlank="1" showInputMessage="1" showErrorMessage="1">
          <x14:formula1>
            <xm:f>'Informacion '!$L$3:$L$17</xm:f>
          </x14:formula1>
          <xm:sqref>D7039</xm:sqref>
        </x14:dataValidation>
        <x14:dataValidation type="list" allowBlank="1" showInputMessage="1" showErrorMessage="1">
          <x14:formula1>
            <xm:f>'Informacion '!$N$3:$N$5</xm:f>
          </x14:formula1>
          <xm:sqref>E7039</xm:sqref>
        </x14:dataValidation>
        <x14:dataValidation type="list" allowBlank="1" showInputMessage="1" showErrorMessage="1">
          <x14:formula1>
            <xm:f>'Informacion '!$S$3:$S$7</xm:f>
          </x14:formula1>
          <xm:sqref>C7076</xm:sqref>
        </x14:dataValidation>
        <x14:dataValidation type="list" allowBlank="1" showInputMessage="1" showErrorMessage="1">
          <x14:formula1>
            <xm:f>'Informacion '!$L$3:$L$17</xm:f>
          </x14:formula1>
          <xm:sqref>D7076</xm:sqref>
        </x14:dataValidation>
        <x14:dataValidation type="list" allowBlank="1" showInputMessage="1" showErrorMessage="1">
          <x14:formula1>
            <xm:f>'Informacion '!$N$3:$N$5</xm:f>
          </x14:formula1>
          <xm:sqref>E7076</xm:sqref>
        </x14:dataValidation>
        <x14:dataValidation type="list" allowBlank="1" showInputMessage="1" showErrorMessage="1">
          <x14:formula1>
            <xm:f>'Informacion '!$S$3:$S$7</xm:f>
          </x14:formula1>
          <xm:sqref>C7113</xm:sqref>
        </x14:dataValidation>
        <x14:dataValidation type="list" allowBlank="1" showInputMessage="1" showErrorMessage="1">
          <x14:formula1>
            <xm:f>'Informacion '!$L$3:$L$17</xm:f>
          </x14:formula1>
          <xm:sqref>D7113</xm:sqref>
        </x14:dataValidation>
        <x14:dataValidation type="list" allowBlank="1" showInputMessage="1" showErrorMessage="1">
          <x14:formula1>
            <xm:f>'Informacion '!$N$3:$N$5</xm:f>
          </x14:formula1>
          <xm:sqref>E7113</xm:sqref>
        </x14:dataValidation>
        <x14:dataValidation type="list" allowBlank="1" showInputMessage="1" showErrorMessage="1">
          <x14:formula1>
            <xm:f>'Informacion '!$S$3:$S$7</xm:f>
          </x14:formula1>
          <xm:sqref>C7150</xm:sqref>
        </x14:dataValidation>
        <x14:dataValidation type="list" allowBlank="1" showInputMessage="1" showErrorMessage="1">
          <x14:formula1>
            <xm:f>'Informacion '!$L$3:$L$17</xm:f>
          </x14:formula1>
          <xm:sqref>D7150</xm:sqref>
        </x14:dataValidation>
        <x14:dataValidation type="list" allowBlank="1" showInputMessage="1" showErrorMessage="1">
          <x14:formula1>
            <xm:f>'Informacion '!$N$3:$N$5</xm:f>
          </x14:formula1>
          <xm:sqref>E7150</xm:sqref>
        </x14:dataValidation>
        <x14:dataValidation type="list" allowBlank="1" showInputMessage="1" showErrorMessage="1">
          <x14:formula1>
            <xm:f>'Informacion '!$S$3:$S$7</xm:f>
          </x14:formula1>
          <xm:sqref>C7239</xm:sqref>
        </x14:dataValidation>
        <x14:dataValidation type="list" allowBlank="1" showInputMessage="1" showErrorMessage="1">
          <x14:formula1>
            <xm:f>'Informacion '!$L$3:$L$17</xm:f>
          </x14:formula1>
          <xm:sqref>D7239</xm:sqref>
        </x14:dataValidation>
        <x14:dataValidation type="list" allowBlank="1" showInputMessage="1" showErrorMessage="1">
          <x14:formula1>
            <xm:f>'Informacion '!$N$3:$N$5</xm:f>
          </x14:formula1>
          <xm:sqref>E7239</xm:sqref>
        </x14:dataValidation>
        <x14:dataValidation type="list" allowBlank="1" showInputMessage="1" showErrorMessage="1">
          <x14:formula1>
            <xm:f>'Informacion '!$S$3:$S$7</xm:f>
          </x14:formula1>
          <xm:sqref>C7276</xm:sqref>
        </x14:dataValidation>
        <x14:dataValidation type="list" allowBlank="1" showInputMessage="1" showErrorMessage="1">
          <x14:formula1>
            <xm:f>'Informacion '!$L$3:$L$17</xm:f>
          </x14:formula1>
          <xm:sqref>D7276</xm:sqref>
        </x14:dataValidation>
        <x14:dataValidation type="list" allowBlank="1" showInputMessage="1" showErrorMessage="1">
          <x14:formula1>
            <xm:f>'Informacion '!$N$3:$N$5</xm:f>
          </x14:formula1>
          <xm:sqref>E7276</xm:sqref>
        </x14:dataValidation>
        <x14:dataValidation type="list" allowBlank="1" showInputMessage="1" showErrorMessage="1">
          <x14:formula1>
            <xm:f>'Informacion '!$S$3:$S$7</xm:f>
          </x14:formula1>
          <xm:sqref>C7323</xm:sqref>
        </x14:dataValidation>
        <x14:dataValidation type="list" allowBlank="1" showInputMessage="1" showErrorMessage="1">
          <x14:formula1>
            <xm:f>'Informacion '!$L$3:$L$17</xm:f>
          </x14:formula1>
          <xm:sqref>D7323</xm:sqref>
        </x14:dataValidation>
        <x14:dataValidation type="list" allowBlank="1" showInputMessage="1" showErrorMessage="1">
          <x14:formula1>
            <xm:f>'Informacion '!$N$3:$N$5</xm:f>
          </x14:formula1>
          <xm:sqref>E7323</xm:sqref>
        </x14:dataValidation>
        <x14:dataValidation type="list" allowBlank="1" showInputMessage="1" showErrorMessage="1">
          <x14:formula1>
            <xm:f>'Informacion '!$S$3:$S$7</xm:f>
          </x14:formula1>
          <xm:sqref>C7370</xm:sqref>
        </x14:dataValidation>
        <x14:dataValidation type="list" allowBlank="1" showInputMessage="1" showErrorMessage="1">
          <x14:formula1>
            <xm:f>'Informacion '!$L$3:$L$17</xm:f>
          </x14:formula1>
          <xm:sqref>D7370</xm:sqref>
        </x14:dataValidation>
        <x14:dataValidation type="list" allowBlank="1" showInputMessage="1" showErrorMessage="1">
          <x14:formula1>
            <xm:f>'Informacion '!$N$3:$N$5</xm:f>
          </x14:formula1>
          <xm:sqref>E7370</xm:sqref>
        </x14:dataValidation>
        <x14:dataValidation type="list" allowBlank="1" showInputMessage="1" showErrorMessage="1">
          <x14:formula1>
            <xm:f>'Informacion '!$S$3:$S$7</xm:f>
          </x14:formula1>
          <xm:sqref>C7426</xm:sqref>
        </x14:dataValidation>
        <x14:dataValidation type="list" allowBlank="1" showInputMessage="1" showErrorMessage="1">
          <x14:formula1>
            <xm:f>'Informacion '!$L$3:$L$17</xm:f>
          </x14:formula1>
          <xm:sqref>D7426</xm:sqref>
        </x14:dataValidation>
        <x14:dataValidation type="list" allowBlank="1" showInputMessage="1" showErrorMessage="1">
          <x14:formula1>
            <xm:f>'Informacion '!$N$3:$N$5</xm:f>
          </x14:formula1>
          <xm:sqref>E7426</xm:sqref>
        </x14:dataValidation>
        <x14:dataValidation type="list" allowBlank="1" showInputMessage="1" showErrorMessage="1">
          <x14:formula1>
            <xm:f>'Informacion '!$S$3:$S$7</xm:f>
          </x14:formula1>
          <xm:sqref>C7473</xm:sqref>
        </x14:dataValidation>
        <x14:dataValidation type="list" allowBlank="1" showInputMessage="1" showErrorMessage="1">
          <x14:formula1>
            <xm:f>'Informacion '!$L$3:$L$17</xm:f>
          </x14:formula1>
          <xm:sqref>D7473</xm:sqref>
        </x14:dataValidation>
        <x14:dataValidation type="list" allowBlank="1" showInputMessage="1" showErrorMessage="1">
          <x14:formula1>
            <xm:f>'Informacion '!$N$3:$N$5</xm:f>
          </x14:formula1>
          <xm:sqref>E7473</xm:sqref>
        </x14:dataValidation>
        <x14:dataValidation type="list" allowBlank="1" showInputMessage="1" showErrorMessage="1">
          <x14:formula1>
            <xm:f>'Informacion '!$S$3:$S$7</xm:f>
          </x14:formula1>
          <xm:sqref>C7562</xm:sqref>
        </x14:dataValidation>
        <x14:dataValidation type="list" allowBlank="1" showInputMessage="1" showErrorMessage="1">
          <x14:formula1>
            <xm:f>'Informacion '!$L$3:$L$17</xm:f>
          </x14:formula1>
          <xm:sqref>D7562</xm:sqref>
        </x14:dataValidation>
        <x14:dataValidation type="list" allowBlank="1" showInputMessage="1" showErrorMessage="1">
          <x14:formula1>
            <xm:f>'Informacion '!$N$3:$N$5</xm:f>
          </x14:formula1>
          <xm:sqref>E7562</xm:sqref>
        </x14:dataValidation>
        <x14:dataValidation type="list" allowBlank="1" showInputMessage="1" showErrorMessage="1">
          <x14:formula1>
            <xm:f>'Informacion '!$S$3:$S$7</xm:f>
          </x14:formula1>
          <xm:sqref>C7651</xm:sqref>
        </x14:dataValidation>
        <x14:dataValidation type="list" allowBlank="1" showInputMessage="1" showErrorMessage="1">
          <x14:formula1>
            <xm:f>'Informacion '!$L$3:$L$17</xm:f>
          </x14:formula1>
          <xm:sqref>D7651</xm:sqref>
        </x14:dataValidation>
        <x14:dataValidation type="list" allowBlank="1" showInputMessage="1" showErrorMessage="1">
          <x14:formula1>
            <xm:f>'Informacion '!$N$3:$N$5</xm:f>
          </x14:formula1>
          <xm:sqref>E7651</xm:sqref>
        </x14:dataValidation>
        <x14:dataValidation type="list" allowBlank="1" showInputMessage="1" showErrorMessage="1">
          <x14:formula1>
            <xm:f>'Informacion '!$S$3:$S$7</xm:f>
          </x14:formula1>
          <xm:sqref>C7771</xm:sqref>
        </x14:dataValidation>
        <x14:dataValidation type="list" allowBlank="1" showInputMessage="1" showErrorMessage="1">
          <x14:formula1>
            <xm:f>'Informacion '!$L$3:$L$17</xm:f>
          </x14:formula1>
          <xm:sqref>D7771</xm:sqref>
        </x14:dataValidation>
        <x14:dataValidation type="list" allowBlank="1" showInputMessage="1" showErrorMessage="1">
          <x14:formula1>
            <xm:f>'Informacion '!$N$3:$N$5</xm:f>
          </x14:formula1>
          <xm:sqref>E7771</xm:sqref>
        </x14:dataValidation>
        <x14:dataValidation type="list" allowBlank="1" showInputMessage="1" showErrorMessage="1">
          <x14:formula1>
            <xm:f>'Informacion '!$S$3:$S$7</xm:f>
          </x14:formula1>
          <xm:sqref>C7872</xm:sqref>
        </x14:dataValidation>
        <x14:dataValidation type="list" allowBlank="1" showInputMessage="1" showErrorMessage="1">
          <x14:formula1>
            <xm:f>'Informacion '!$L$3:$L$17</xm:f>
          </x14:formula1>
          <xm:sqref>D7872</xm:sqref>
        </x14:dataValidation>
        <x14:dataValidation type="list" allowBlank="1" showInputMessage="1" showErrorMessage="1">
          <x14:formula1>
            <xm:f>'Informacion '!$N$3:$N$5</xm:f>
          </x14:formula1>
          <xm:sqref>E7872</xm:sqref>
        </x14:dataValidation>
        <x14:dataValidation type="list" allowBlank="1" showInputMessage="1" showErrorMessage="1">
          <x14:formula1>
            <xm:f>'Informacion '!$S$3:$S$7</xm:f>
          </x14:formula1>
          <xm:sqref>C7973</xm:sqref>
        </x14:dataValidation>
        <x14:dataValidation type="list" allowBlank="1" showInputMessage="1" showErrorMessage="1">
          <x14:formula1>
            <xm:f>'Informacion '!$L$3:$L$17</xm:f>
          </x14:formula1>
          <xm:sqref>D7973</xm:sqref>
        </x14:dataValidation>
        <x14:dataValidation type="list" allowBlank="1" showInputMessage="1" showErrorMessage="1">
          <x14:formula1>
            <xm:f>'Informacion '!$N$3:$N$5</xm:f>
          </x14:formula1>
          <xm:sqref>E7973</xm:sqref>
        </x14:dataValidation>
        <x14:dataValidation type="list" allowBlank="1" showInputMessage="1" showErrorMessage="1">
          <x14:formula1>
            <xm:f>'Informacion '!$S$3:$S$7</xm:f>
          </x14:formula1>
          <xm:sqref>C8020</xm:sqref>
        </x14:dataValidation>
        <x14:dataValidation type="list" allowBlank="1" showInputMessage="1" showErrorMessage="1">
          <x14:formula1>
            <xm:f>'Informacion '!$L$3:$L$17</xm:f>
          </x14:formula1>
          <xm:sqref>D8020</xm:sqref>
        </x14:dataValidation>
        <x14:dataValidation type="list" allowBlank="1" showInputMessage="1" showErrorMessage="1">
          <x14:formula1>
            <xm:f>'Informacion '!$N$3:$N$5</xm:f>
          </x14:formula1>
          <xm:sqref>E8020</xm:sqref>
        </x14:dataValidation>
        <x14:dataValidation type="list" allowBlank="1" showInputMessage="1" showErrorMessage="1">
          <x14:formula1>
            <xm:f>'Informacion '!$S$3:$S$7</xm:f>
          </x14:formula1>
          <xm:sqref>C8121</xm:sqref>
        </x14:dataValidation>
        <x14:dataValidation type="list" allowBlank="1" showInputMessage="1" showErrorMessage="1">
          <x14:formula1>
            <xm:f>'Informacion '!$L$3:$L$17</xm:f>
          </x14:formula1>
          <xm:sqref>D8121</xm:sqref>
        </x14:dataValidation>
        <x14:dataValidation type="list" allowBlank="1" showInputMessage="1" showErrorMessage="1">
          <x14:formula1>
            <xm:f>'Informacion '!$N$3:$N$5</xm:f>
          </x14:formula1>
          <xm:sqref>E8121</xm:sqref>
        </x14:dataValidation>
        <x14:dataValidation type="list" allowBlank="1" showInputMessage="1" showErrorMessage="1">
          <x14:formula1>
            <xm:f>'Informacion '!$S$3:$S$7</xm:f>
          </x14:formula1>
          <xm:sqref>C8228</xm:sqref>
        </x14:dataValidation>
        <x14:dataValidation type="list" allowBlank="1" showInputMessage="1" showErrorMessage="1">
          <x14:formula1>
            <xm:f>'Informacion '!$L$3:$L$17</xm:f>
          </x14:formula1>
          <xm:sqref>D8228</xm:sqref>
        </x14:dataValidation>
        <x14:dataValidation type="list" allowBlank="1" showInputMessage="1" showErrorMessage="1">
          <x14:formula1>
            <xm:f>'Informacion '!$N$3:$N$5</xm:f>
          </x14:formula1>
          <xm:sqref>E8228</xm:sqref>
        </x14:dataValidation>
        <x14:dataValidation type="list" allowBlank="1" showInputMessage="1" showErrorMessage="1">
          <x14:formula1>
            <xm:f>'Informacion '!$S$3:$S$7</xm:f>
          </x14:formula1>
          <xm:sqref>C8285</xm:sqref>
        </x14:dataValidation>
        <x14:dataValidation type="list" allowBlank="1" showInputMessage="1" showErrorMessage="1">
          <x14:formula1>
            <xm:f>'Informacion '!$L$3:$L$17</xm:f>
          </x14:formula1>
          <xm:sqref>D8285</xm:sqref>
        </x14:dataValidation>
        <x14:dataValidation type="list" allowBlank="1" showInputMessage="1" showErrorMessage="1">
          <x14:formula1>
            <xm:f>'Informacion '!$N$3:$N$5</xm:f>
          </x14:formula1>
          <xm:sqref>E8285</xm:sqref>
        </x14:dataValidation>
        <x14:dataValidation type="list" allowBlank="1" showInputMessage="1" showErrorMessage="1">
          <x14:formula1>
            <xm:f>'Informacion '!$S$3:$S$7</xm:f>
          </x14:formula1>
          <xm:sqref>C8342</xm:sqref>
        </x14:dataValidation>
        <x14:dataValidation type="list" allowBlank="1" showInputMessage="1" showErrorMessage="1">
          <x14:formula1>
            <xm:f>'Informacion '!$L$3:$L$17</xm:f>
          </x14:formula1>
          <xm:sqref>D8342</xm:sqref>
        </x14:dataValidation>
        <x14:dataValidation type="list" allowBlank="1" showInputMessage="1" showErrorMessage="1">
          <x14:formula1>
            <xm:f>'Informacion '!$N$3:$N$5</xm:f>
          </x14:formula1>
          <xm:sqref>E8342</xm:sqref>
        </x14:dataValidation>
        <x14:dataValidation type="list" allowBlank="1" showInputMessage="1" showErrorMessage="1">
          <x14:formula1>
            <xm:f>'Informacion '!$S$3:$S$7</xm:f>
          </x14:formula1>
          <xm:sqref>C8378</xm:sqref>
        </x14:dataValidation>
        <x14:dataValidation type="list" allowBlank="1" showInputMessage="1" showErrorMessage="1">
          <x14:formula1>
            <xm:f>'Informacion '!$L$3:$L$17</xm:f>
          </x14:formula1>
          <xm:sqref>D8378</xm:sqref>
        </x14:dataValidation>
        <x14:dataValidation type="list" allowBlank="1" showInputMessage="1" showErrorMessage="1">
          <x14:formula1>
            <xm:f>'Informacion '!$N$3:$N$5</xm:f>
          </x14:formula1>
          <xm:sqref>E8378</xm:sqref>
        </x14:dataValidation>
        <x14:dataValidation type="list" allowBlank="1" showInputMessage="1" showErrorMessage="1">
          <x14:formula1>
            <xm:f>'Informacion '!$S$3:$S$7</xm:f>
          </x14:formula1>
          <xm:sqref>C8415</xm:sqref>
        </x14:dataValidation>
        <x14:dataValidation type="list" allowBlank="1" showInputMessage="1" showErrorMessage="1">
          <x14:formula1>
            <xm:f>'Informacion '!$L$3:$L$17</xm:f>
          </x14:formula1>
          <xm:sqref>D8415</xm:sqref>
        </x14:dataValidation>
        <x14:dataValidation type="list" allowBlank="1" showInputMessage="1" showErrorMessage="1">
          <x14:formula1>
            <xm:f>'Informacion '!$N$3:$N$5</xm:f>
          </x14:formula1>
          <xm:sqref>E8415</xm:sqref>
        </x14:dataValidation>
        <x14:dataValidation type="list" allowBlank="1" showInputMessage="1" showErrorMessage="1">
          <x14:formula1>
            <xm:f>'Informacion '!$S$3:$S$7</xm:f>
          </x14:formula1>
          <xm:sqref>C8452</xm:sqref>
        </x14:dataValidation>
        <x14:dataValidation type="list" allowBlank="1" showInputMessage="1" showErrorMessage="1">
          <x14:formula1>
            <xm:f>'Informacion '!$L$3:$L$17</xm:f>
          </x14:formula1>
          <xm:sqref>D8452</xm:sqref>
        </x14:dataValidation>
        <x14:dataValidation type="list" allowBlank="1" showInputMessage="1" showErrorMessage="1">
          <x14:formula1>
            <xm:f>'Informacion '!$N$3:$N$5</xm:f>
          </x14:formula1>
          <xm:sqref>E8452</xm:sqref>
        </x14:dataValidation>
        <x14:dataValidation type="list" allowBlank="1" showInputMessage="1" showErrorMessage="1">
          <x14:formula1>
            <xm:f>'Informacion '!$S$3:$S$7</xm:f>
          </x14:formula1>
          <xm:sqref>C8489</xm:sqref>
        </x14:dataValidation>
        <x14:dataValidation type="list" allowBlank="1" showInputMessage="1" showErrorMessage="1">
          <x14:formula1>
            <xm:f>'Informacion '!$L$3:$L$17</xm:f>
          </x14:formula1>
          <xm:sqref>D8489</xm:sqref>
        </x14:dataValidation>
        <x14:dataValidation type="list" allowBlank="1" showInputMessage="1" showErrorMessage="1">
          <x14:formula1>
            <xm:f>'Informacion '!$N$3:$N$5</xm:f>
          </x14:formula1>
          <xm:sqref>E8489</xm:sqref>
        </x14:dataValidation>
        <x14:dataValidation type="list" allowBlank="1" showInputMessage="1" showErrorMessage="1">
          <x14:formula1>
            <xm:f>'Informacion '!$S$3:$S$7</xm:f>
          </x14:formula1>
          <xm:sqref>C8546</xm:sqref>
        </x14:dataValidation>
        <x14:dataValidation type="list" allowBlank="1" showInputMessage="1" showErrorMessage="1">
          <x14:formula1>
            <xm:f>'Informacion '!$L$3:$L$17</xm:f>
          </x14:formula1>
          <xm:sqref>D8546</xm:sqref>
        </x14:dataValidation>
        <x14:dataValidation type="list" allowBlank="1" showInputMessage="1" showErrorMessage="1">
          <x14:formula1>
            <xm:f>'Informacion '!$N$3:$N$5</xm:f>
          </x14:formula1>
          <xm:sqref>E8546</xm:sqref>
        </x14:dataValidation>
        <x14:dataValidation type="list" allowBlank="1" showInputMessage="1" showErrorMessage="1">
          <x14:formula1>
            <xm:f>'Informacion '!$S$3:$S$7</xm:f>
          </x14:formula1>
          <xm:sqref>C8663</xm:sqref>
        </x14:dataValidation>
        <x14:dataValidation type="list" allowBlank="1" showInputMessage="1" showErrorMessage="1">
          <x14:formula1>
            <xm:f>'Informacion '!$L$3:$L$17</xm:f>
          </x14:formula1>
          <xm:sqref>D8663</xm:sqref>
        </x14:dataValidation>
        <x14:dataValidation type="list" allowBlank="1" showInputMessage="1" showErrorMessage="1">
          <x14:formula1>
            <xm:f>'Informacion '!$N$3:$N$5</xm:f>
          </x14:formula1>
          <xm:sqref>E8663</xm:sqref>
        </x14:dataValidation>
        <x14:dataValidation type="list" allowBlank="1" showInputMessage="1" showErrorMessage="1">
          <x14:formula1>
            <xm:f>'Informacion '!$S$3:$S$7</xm:f>
          </x14:formula1>
          <xm:sqref>C8780</xm:sqref>
        </x14:dataValidation>
        <x14:dataValidation type="list" allowBlank="1" showInputMessage="1" showErrorMessage="1">
          <x14:formula1>
            <xm:f>'Informacion '!$L$3:$L$17</xm:f>
          </x14:formula1>
          <xm:sqref>D8780</xm:sqref>
        </x14:dataValidation>
        <x14:dataValidation type="list" allowBlank="1" showInputMessage="1" showErrorMessage="1">
          <x14:formula1>
            <xm:f>'Informacion '!$N$3:$N$5</xm:f>
          </x14:formula1>
          <xm:sqref>E8780</xm:sqref>
        </x14:dataValidation>
        <x14:dataValidation type="list" allowBlank="1" showInputMessage="1" showErrorMessage="1">
          <x14:formula1>
            <xm:f>'Informacion '!$S$3:$S$7</xm:f>
          </x14:formula1>
          <xm:sqref>C8897</xm:sqref>
        </x14:dataValidation>
        <x14:dataValidation type="list" allowBlank="1" showInputMessage="1" showErrorMessage="1">
          <x14:formula1>
            <xm:f>'Informacion '!$L$3:$L$17</xm:f>
          </x14:formula1>
          <xm:sqref>D8897</xm:sqref>
        </x14:dataValidation>
        <x14:dataValidation type="list" allowBlank="1" showInputMessage="1" showErrorMessage="1">
          <x14:formula1>
            <xm:f>'Informacion '!$N$3:$N$5</xm:f>
          </x14:formula1>
          <xm:sqref>E8897</xm:sqref>
        </x14:dataValidation>
        <x14:dataValidation type="list" allowBlank="1" showInputMessage="1" showErrorMessage="1">
          <x14:formula1>
            <xm:f>'Informacion '!$S$3:$S$7</xm:f>
          </x14:formula1>
          <xm:sqref>C9095</xm:sqref>
        </x14:dataValidation>
        <x14:dataValidation type="list" allowBlank="1" showInputMessage="1" showErrorMessage="1">
          <x14:formula1>
            <xm:f>'Informacion '!$L$3:$L$17</xm:f>
          </x14:formula1>
          <xm:sqref>D9095</xm:sqref>
        </x14:dataValidation>
        <x14:dataValidation type="list" allowBlank="1" showInputMessage="1" showErrorMessage="1">
          <x14:formula1>
            <xm:f>'Informacion '!$N$3:$N$5</xm:f>
          </x14:formula1>
          <xm:sqref>E9095</xm:sqref>
        </x14:dataValidation>
        <x14:dataValidation type="list" allowBlank="1" showInputMessage="1" showErrorMessage="1">
          <x14:formula1>
            <xm:f>'Informacion '!$S$3:$S$7</xm:f>
          </x14:formula1>
          <xm:sqref>C9226</xm:sqref>
        </x14:dataValidation>
        <x14:dataValidation type="list" allowBlank="1" showInputMessage="1" showErrorMessage="1">
          <x14:formula1>
            <xm:f>'Informacion '!$L$3:$L$17</xm:f>
          </x14:formula1>
          <xm:sqref>D9226</xm:sqref>
        </x14:dataValidation>
        <x14:dataValidation type="list" allowBlank="1" showInputMessage="1" showErrorMessage="1">
          <x14:formula1>
            <xm:f>'Informacion '!$N$3:$N$5</xm:f>
          </x14:formula1>
          <xm:sqref>E9226</xm:sqref>
        </x14:dataValidation>
        <x14:dataValidation type="list" allowBlank="1" showInputMessage="1" showErrorMessage="1">
          <x14:formula1>
            <xm:f>'Informacion '!$S$3:$S$7</xm:f>
          </x14:formula1>
          <xm:sqref>C9237</xm:sqref>
        </x14:dataValidation>
        <x14:dataValidation type="list" allowBlank="1" showInputMessage="1" showErrorMessage="1">
          <x14:formula1>
            <xm:f>'Informacion '!$L$3:$L$17</xm:f>
          </x14:formula1>
          <xm:sqref>D9237</xm:sqref>
        </x14:dataValidation>
        <x14:dataValidation type="list" allowBlank="1" showInputMessage="1" showErrorMessage="1">
          <x14:formula1>
            <xm:f>'Informacion '!$N$3:$N$5</xm:f>
          </x14:formula1>
          <xm:sqref>E9237</xm:sqref>
        </x14:dataValidation>
        <x14:dataValidation type="list" allowBlank="1" showInputMessage="1" showErrorMessage="1">
          <x14:formula1>
            <xm:f>'Informacion '!$S$3:$S$7</xm:f>
          </x14:formula1>
          <xm:sqref>C9248</xm:sqref>
        </x14:dataValidation>
        <x14:dataValidation type="list" allowBlank="1" showInputMessage="1" showErrorMessage="1">
          <x14:formula1>
            <xm:f>'Informacion '!$L$3:$L$17</xm:f>
          </x14:formula1>
          <xm:sqref>D9248</xm:sqref>
        </x14:dataValidation>
        <x14:dataValidation type="list" allowBlank="1" showInputMessage="1" showErrorMessage="1">
          <x14:formula1>
            <xm:f>'Informacion '!$N$3:$N$5</xm:f>
          </x14:formula1>
          <xm:sqref>E9248</xm:sqref>
        </x14:dataValidation>
        <x14:dataValidation type="list" allowBlank="1" showInputMessage="1" showErrorMessage="1">
          <x14:formula1>
            <xm:f>'Informacion '!$S$3:$S$7</xm:f>
          </x14:formula1>
          <xm:sqref>C9385</xm:sqref>
        </x14:dataValidation>
        <x14:dataValidation type="list" allowBlank="1" showInputMessage="1" showErrorMessage="1">
          <x14:formula1>
            <xm:f>'Informacion '!$L$3:$L$17</xm:f>
          </x14:formula1>
          <xm:sqref>D9385</xm:sqref>
        </x14:dataValidation>
        <x14:dataValidation type="list" allowBlank="1" showInputMessage="1" showErrorMessage="1">
          <x14:formula1>
            <xm:f>'Informacion '!$N$3:$N$5</xm:f>
          </x14:formula1>
          <xm:sqref>E9385</xm:sqref>
        </x14:dataValidation>
        <x14:dataValidation type="list" allowBlank="1" showInputMessage="1" showErrorMessage="1">
          <x14:formula1>
            <xm:f>'Informacion '!$S$3:$S$7</xm:f>
          </x14:formula1>
          <xm:sqref>C9522</xm:sqref>
        </x14:dataValidation>
        <x14:dataValidation type="list" allowBlank="1" showInputMessage="1" showErrorMessage="1">
          <x14:formula1>
            <xm:f>'Informacion '!$L$3:$L$17</xm:f>
          </x14:formula1>
          <xm:sqref>D9522</xm:sqref>
        </x14:dataValidation>
        <x14:dataValidation type="list" allowBlank="1" showInputMessage="1" showErrorMessage="1">
          <x14:formula1>
            <xm:f>'Informacion '!$N$3:$N$5</xm:f>
          </x14:formula1>
          <xm:sqref>E9522</xm:sqref>
        </x14:dataValidation>
        <x14:dataValidation type="list" allowBlank="1" showInputMessage="1" showErrorMessage="1">
          <x14:formula1>
            <xm:f>'Informacion '!$S$3:$S$7</xm:f>
          </x14:formula1>
          <xm:sqref>C9660</xm:sqref>
        </x14:dataValidation>
        <x14:dataValidation type="list" allowBlank="1" showInputMessage="1" showErrorMessage="1">
          <x14:formula1>
            <xm:f>'Informacion '!$L$3:$L$17</xm:f>
          </x14:formula1>
          <xm:sqref>D9660</xm:sqref>
        </x14:dataValidation>
        <x14:dataValidation type="list" allowBlank="1" showInputMessage="1" showErrorMessage="1">
          <x14:formula1>
            <xm:f>'Informacion '!$N$3:$N$5</xm:f>
          </x14:formula1>
          <xm:sqref>E9660</xm:sqref>
        </x14:dataValidation>
        <x14:dataValidation type="list" allowBlank="1" showInputMessage="1" showErrorMessage="1">
          <x14:formula1>
            <xm:f>'Informacion '!$S$3:$S$7</xm:f>
          </x14:formula1>
          <xm:sqref>C9797</xm:sqref>
        </x14:dataValidation>
        <x14:dataValidation type="list" allowBlank="1" showInputMessage="1" showErrorMessage="1">
          <x14:formula1>
            <xm:f>'Informacion '!$L$3:$L$17</xm:f>
          </x14:formula1>
          <xm:sqref>D9797</xm:sqref>
        </x14:dataValidation>
        <x14:dataValidation type="list" allowBlank="1" showInputMessage="1" showErrorMessage="1">
          <x14:formula1>
            <xm:f>'Informacion '!$N$3:$N$5</xm:f>
          </x14:formula1>
          <xm:sqref>E9797</xm:sqref>
        </x14:dataValidation>
        <x14:dataValidation type="list" allowBlank="1" showInputMessage="1" showErrorMessage="1">
          <x14:formula1>
            <xm:f>'Informacion '!$S$3:$S$7</xm:f>
          </x14:formula1>
          <xm:sqref>C9879</xm:sqref>
        </x14:dataValidation>
        <x14:dataValidation type="list" allowBlank="1" showInputMessage="1" showErrorMessage="1">
          <x14:formula1>
            <xm:f>'Informacion '!$L$3:$L$17</xm:f>
          </x14:formula1>
          <xm:sqref>D9879</xm:sqref>
        </x14:dataValidation>
        <x14:dataValidation type="list" allowBlank="1" showInputMessage="1" showErrorMessage="1">
          <x14:formula1>
            <xm:f>'Informacion '!$N$3:$N$5</xm:f>
          </x14:formula1>
          <xm:sqref>E9879</xm:sqref>
        </x14:dataValidation>
        <x14:dataValidation type="list" allowBlank="1" showInputMessage="1" showErrorMessage="1">
          <x14:formula1>
            <xm:f>'Informacion '!$S$3:$S$7</xm:f>
          </x14:formula1>
          <xm:sqref>C9961</xm:sqref>
        </x14:dataValidation>
        <x14:dataValidation type="list" allowBlank="1" showInputMessage="1" showErrorMessage="1">
          <x14:formula1>
            <xm:f>'Informacion '!$L$3:$L$17</xm:f>
          </x14:formula1>
          <xm:sqref>D9961</xm:sqref>
        </x14:dataValidation>
        <x14:dataValidation type="list" allowBlank="1" showInputMessage="1" showErrorMessage="1">
          <x14:formula1>
            <xm:f>'Informacion '!$N$3:$N$5</xm:f>
          </x14:formula1>
          <xm:sqref>E9961</xm:sqref>
        </x14:dataValidation>
        <x14:dataValidation type="list" allowBlank="1" showInputMessage="1" showErrorMessage="1">
          <x14:formula1>
            <xm:f>'Informacion '!$S$3:$S$7</xm:f>
          </x14:formula1>
          <xm:sqref>C10043</xm:sqref>
        </x14:dataValidation>
        <x14:dataValidation type="list" allowBlank="1" showInputMessage="1" showErrorMessage="1">
          <x14:formula1>
            <xm:f>'Informacion '!$L$3:$L$17</xm:f>
          </x14:formula1>
          <xm:sqref>D10043</xm:sqref>
        </x14:dataValidation>
        <x14:dataValidation type="list" allowBlank="1" showInputMessage="1" showErrorMessage="1">
          <x14:formula1>
            <xm:f>'Informacion '!$N$3:$N$5</xm:f>
          </x14:formula1>
          <xm:sqref>E10043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86"/>
  <sheetViews>
    <sheetView topLeftCell="H1" workbookViewId="0">
      <selection activeCell="J15" sqref="J15"/>
    </sheetView>
  </sheetViews>
  <sheetFormatPr baseColWidth="10" defaultColWidth="12.7109375" defaultRowHeight="11.25" x14ac:dyDescent="0.2"/>
  <cols>
    <col min="1" max="6" width="12.7109375" style="18" customWidth="1"/>
    <col min="7" max="7" width="16.42578125" style="18" customWidth="1"/>
    <col min="8" max="9" width="12.7109375" style="18" customWidth="1"/>
    <col min="10" max="10" width="23" style="18" customWidth="1"/>
    <col min="11" max="11" width="1.28515625" style="18" customWidth="1"/>
    <col min="12" max="12" width="39.140625" style="18" customWidth="1"/>
    <col min="13" max="13" width="1.28515625" style="18" customWidth="1"/>
    <col min="14" max="14" width="12.7109375" style="18" customWidth="1"/>
    <col min="15" max="15" width="1.28515625" style="18" customWidth="1"/>
    <col min="16" max="16" width="12.7109375" style="21" customWidth="1"/>
    <col min="17" max="17" width="21.7109375" style="20" customWidth="1"/>
    <col min="18" max="18" width="1.140625" style="18" customWidth="1"/>
    <col min="19" max="19" width="21.140625" style="18" customWidth="1"/>
    <col min="20" max="20" width="1.28515625" style="18" customWidth="1"/>
    <col min="21" max="21" width="19.7109375" style="18" customWidth="1"/>
    <col min="22" max="22" width="0.7109375" style="18" customWidth="1"/>
    <col min="23" max="23" width="12.7109375" style="18" customWidth="1"/>
    <col min="24" max="16384" width="12.7109375" style="18"/>
  </cols>
  <sheetData>
    <row r="1" spans="1:21" x14ac:dyDescent="0.2">
      <c r="A1" s="26" t="s">
        <v>8831</v>
      </c>
      <c r="B1" s="28" t="s">
        <v>15773</v>
      </c>
      <c r="C1" s="29"/>
      <c r="D1" s="28" t="s">
        <v>7102</v>
      </c>
      <c r="E1" s="32"/>
      <c r="F1" s="29"/>
      <c r="G1" s="25" t="s">
        <v>18880</v>
      </c>
      <c r="H1" s="25"/>
      <c r="I1" s="25"/>
      <c r="J1" s="25"/>
    </row>
    <row r="2" spans="1:21" ht="22.5" x14ac:dyDescent="0.2">
      <c r="A2" s="27" t="s">
        <v>8136</v>
      </c>
      <c r="B2" s="30" t="s">
        <v>8136</v>
      </c>
      <c r="C2" s="31" t="s">
        <v>10475</v>
      </c>
      <c r="D2" s="30" t="s">
        <v>8136</v>
      </c>
      <c r="E2" s="33" t="s">
        <v>10475</v>
      </c>
      <c r="F2" s="33" t="s">
        <v>19443</v>
      </c>
      <c r="G2" s="34" t="s">
        <v>8136</v>
      </c>
      <c r="H2" s="35" t="s">
        <v>10475</v>
      </c>
      <c r="I2" s="35" t="s">
        <v>19443</v>
      </c>
      <c r="J2" s="36" t="s">
        <v>5879</v>
      </c>
      <c r="L2" s="17" t="s">
        <v>6510</v>
      </c>
      <c r="N2" s="17" t="s">
        <v>13738</v>
      </c>
      <c r="P2" s="17" t="s">
        <v>15720</v>
      </c>
      <c r="Q2" s="38" t="s">
        <v>884</v>
      </c>
      <c r="S2" s="17" t="s">
        <v>4201</v>
      </c>
      <c r="U2" s="17" t="s">
        <v>19457</v>
      </c>
    </row>
    <row r="3" spans="1:21" x14ac:dyDescent="0.2">
      <c r="A3" s="18" t="s">
        <v>16200</v>
      </c>
      <c r="B3" s="18" t="s">
        <v>16200</v>
      </c>
      <c r="C3" s="18" t="s">
        <v>3172</v>
      </c>
      <c r="D3" s="18" t="s">
        <v>16200</v>
      </c>
      <c r="E3" s="18" t="s">
        <v>3172</v>
      </c>
      <c r="F3" s="18" t="s">
        <v>6376</v>
      </c>
      <c r="G3" s="19" t="s">
        <v>13573</v>
      </c>
      <c r="H3" s="19" t="s">
        <v>14837</v>
      </c>
      <c r="I3" s="19" t="s">
        <v>14069</v>
      </c>
      <c r="J3" s="19" t="s">
        <v>14069</v>
      </c>
      <c r="L3" s="20" t="s">
        <v>15249</v>
      </c>
      <c r="N3" s="18" t="s">
        <v>1091</v>
      </c>
      <c r="P3" s="18" t="s">
        <v>202</v>
      </c>
      <c r="Q3" s="18" t="s">
        <v>5699</v>
      </c>
      <c r="S3" s="24" t="s">
        <v>17215</v>
      </c>
      <c r="U3" s="18" t="s">
        <v>7213</v>
      </c>
    </row>
    <row r="4" spans="1:21" x14ac:dyDescent="0.2">
      <c r="A4" s="18" t="s">
        <v>13182</v>
      </c>
      <c r="B4" s="18" t="s">
        <v>16200</v>
      </c>
      <c r="C4" s="18" t="s">
        <v>10151</v>
      </c>
      <c r="D4" s="18" t="s">
        <v>16200</v>
      </c>
      <c r="E4" s="18" t="s">
        <v>3172</v>
      </c>
      <c r="F4" s="18" t="s">
        <v>19931</v>
      </c>
      <c r="G4" s="19" t="s">
        <v>13573</v>
      </c>
      <c r="H4" s="19" t="s">
        <v>14837</v>
      </c>
      <c r="I4" s="19" t="s">
        <v>14069</v>
      </c>
      <c r="J4" s="19" t="s">
        <v>7389</v>
      </c>
      <c r="L4" s="20" t="s">
        <v>17798</v>
      </c>
      <c r="N4" s="18" t="s">
        <v>11204</v>
      </c>
      <c r="P4" s="18" t="s">
        <v>10848</v>
      </c>
      <c r="Q4" s="18" t="s">
        <v>19199</v>
      </c>
      <c r="S4" s="24" t="s">
        <v>19629</v>
      </c>
    </row>
    <row r="5" spans="1:21" x14ac:dyDescent="0.2">
      <c r="A5" s="18" t="s">
        <v>13573</v>
      </c>
      <c r="B5" s="18" t="s">
        <v>16200</v>
      </c>
      <c r="C5" s="18" t="s">
        <v>3833</v>
      </c>
      <c r="D5" s="18" t="s">
        <v>16200</v>
      </c>
      <c r="E5" s="18" t="s">
        <v>3172</v>
      </c>
      <c r="F5" s="18" t="s">
        <v>11583</v>
      </c>
      <c r="G5" s="19" t="s">
        <v>13573</v>
      </c>
      <c r="H5" s="19" t="s">
        <v>14837</v>
      </c>
      <c r="I5" s="19" t="s">
        <v>14069</v>
      </c>
      <c r="J5" s="19" t="s">
        <v>1512</v>
      </c>
      <c r="L5" s="20" t="s">
        <v>13474</v>
      </c>
      <c r="N5" s="18" t="s">
        <v>18247</v>
      </c>
      <c r="P5" s="18" t="s">
        <v>13027</v>
      </c>
      <c r="Q5" s="18" t="s">
        <v>1117</v>
      </c>
      <c r="S5" s="24" t="s">
        <v>3682</v>
      </c>
    </row>
    <row r="6" spans="1:21" x14ac:dyDescent="0.2">
      <c r="A6" s="18" t="s">
        <v>15186</v>
      </c>
      <c r="B6" s="18" t="s">
        <v>13182</v>
      </c>
      <c r="C6" s="18" t="s">
        <v>2378</v>
      </c>
      <c r="D6" s="18" t="s">
        <v>16200</v>
      </c>
      <c r="E6" s="18" t="s">
        <v>3172</v>
      </c>
      <c r="F6" s="18" t="s">
        <v>8687</v>
      </c>
      <c r="G6" s="19" t="s">
        <v>13573</v>
      </c>
      <c r="H6" s="19" t="s">
        <v>14837</v>
      </c>
      <c r="I6" s="19" t="s">
        <v>2701</v>
      </c>
      <c r="J6" s="19" t="s">
        <v>2701</v>
      </c>
      <c r="L6" s="18" t="s">
        <v>14692</v>
      </c>
      <c r="P6" s="18" t="s">
        <v>7575</v>
      </c>
      <c r="Q6" s="18" t="s">
        <v>9758</v>
      </c>
      <c r="S6" s="24" t="s">
        <v>141</v>
      </c>
    </row>
    <row r="7" spans="1:21" x14ac:dyDescent="0.2">
      <c r="A7" s="18" t="s">
        <v>7907</v>
      </c>
      <c r="B7" s="18" t="s">
        <v>13182</v>
      </c>
      <c r="C7" s="18" t="s">
        <v>22</v>
      </c>
      <c r="D7" s="18" t="s">
        <v>16200</v>
      </c>
      <c r="E7" s="18" t="s">
        <v>3172</v>
      </c>
      <c r="F7" s="18" t="s">
        <v>12580</v>
      </c>
      <c r="G7" s="19" t="s">
        <v>13573</v>
      </c>
      <c r="H7" s="19" t="s">
        <v>14837</v>
      </c>
      <c r="I7" s="19" t="s">
        <v>2007</v>
      </c>
      <c r="J7" s="19" t="s">
        <v>2007</v>
      </c>
      <c r="L7" s="18" t="s">
        <v>13199</v>
      </c>
      <c r="P7" s="18" t="s">
        <v>16879</v>
      </c>
      <c r="Q7" s="18" t="s">
        <v>15827</v>
      </c>
      <c r="S7" s="24" t="s">
        <v>7656</v>
      </c>
    </row>
    <row r="8" spans="1:21" x14ac:dyDescent="0.2">
      <c r="A8" s="18" t="s">
        <v>11418</v>
      </c>
      <c r="B8" s="18" t="s">
        <v>13182</v>
      </c>
      <c r="C8" s="18" t="s">
        <v>13862</v>
      </c>
      <c r="D8" s="18" t="s">
        <v>16200</v>
      </c>
      <c r="E8" s="18" t="s">
        <v>3172</v>
      </c>
      <c r="F8" s="18" t="s">
        <v>7693</v>
      </c>
      <c r="G8" s="19" t="s">
        <v>13573</v>
      </c>
      <c r="H8" s="19" t="s">
        <v>14837</v>
      </c>
      <c r="I8" s="19" t="s">
        <v>2007</v>
      </c>
      <c r="J8" s="19" t="s">
        <v>11392</v>
      </c>
      <c r="L8" s="18" t="s">
        <v>9031</v>
      </c>
      <c r="P8" s="18" t="s">
        <v>10890</v>
      </c>
      <c r="Q8" s="18" t="s">
        <v>928</v>
      </c>
      <c r="S8" s="24"/>
    </row>
    <row r="9" spans="1:21" x14ac:dyDescent="0.2">
      <c r="A9" s="18" t="s">
        <v>1538</v>
      </c>
      <c r="B9" s="18" t="s">
        <v>13573</v>
      </c>
      <c r="C9" s="18" t="s">
        <v>14837</v>
      </c>
      <c r="D9" s="18" t="s">
        <v>16200</v>
      </c>
      <c r="E9" s="18" t="s">
        <v>3172</v>
      </c>
      <c r="F9" s="18" t="s">
        <v>8969</v>
      </c>
      <c r="G9" s="19" t="s">
        <v>13573</v>
      </c>
      <c r="H9" s="19" t="s">
        <v>14837</v>
      </c>
      <c r="I9" s="19" t="s">
        <v>12083</v>
      </c>
      <c r="J9" s="19" t="s">
        <v>12083</v>
      </c>
      <c r="L9" s="20" t="s">
        <v>10189</v>
      </c>
      <c r="P9" s="18" t="s">
        <v>10197</v>
      </c>
      <c r="Q9" s="18" t="s">
        <v>323</v>
      </c>
      <c r="S9" s="22"/>
    </row>
    <row r="10" spans="1:21" x14ac:dyDescent="0.2">
      <c r="A10" s="18" t="s">
        <v>11863</v>
      </c>
      <c r="B10" s="18" t="s">
        <v>13573</v>
      </c>
      <c r="C10" s="18" t="s">
        <v>9777</v>
      </c>
      <c r="D10" s="18" t="s">
        <v>16200</v>
      </c>
      <c r="E10" s="18" t="s">
        <v>3172</v>
      </c>
      <c r="F10" s="18" t="s">
        <v>17132</v>
      </c>
      <c r="G10" s="19" t="s">
        <v>13573</v>
      </c>
      <c r="H10" s="19" t="s">
        <v>14837</v>
      </c>
      <c r="I10" s="19" t="s">
        <v>4827</v>
      </c>
      <c r="J10" s="19" t="s">
        <v>4827</v>
      </c>
      <c r="L10" s="18" t="s">
        <v>3848</v>
      </c>
      <c r="P10" s="18" t="s">
        <v>16158</v>
      </c>
      <c r="Q10" s="18" t="s">
        <v>11871</v>
      </c>
    </row>
    <row r="11" spans="1:21" ht="22.5" x14ac:dyDescent="0.2">
      <c r="A11" s="18" t="s">
        <v>2057</v>
      </c>
      <c r="B11" s="18" t="s">
        <v>13573</v>
      </c>
      <c r="C11" s="18" t="s">
        <v>9513</v>
      </c>
      <c r="D11" s="18" t="s">
        <v>16200</v>
      </c>
      <c r="E11" s="18" t="s">
        <v>3172</v>
      </c>
      <c r="F11" s="18" t="s">
        <v>3495</v>
      </c>
      <c r="G11" s="19" t="s">
        <v>13573</v>
      </c>
      <c r="H11" s="19" t="s">
        <v>14837</v>
      </c>
      <c r="I11" s="19" t="s">
        <v>12102</v>
      </c>
      <c r="J11" s="19" t="s">
        <v>8686</v>
      </c>
      <c r="L11" s="18" t="s">
        <v>1391</v>
      </c>
      <c r="P11" s="18" t="s">
        <v>13130</v>
      </c>
      <c r="Q11" s="18" t="s">
        <v>3628</v>
      </c>
    </row>
    <row r="12" spans="1:21" ht="22.5" x14ac:dyDescent="0.2">
      <c r="A12" s="18" t="s">
        <v>5684</v>
      </c>
      <c r="B12" s="18" t="s">
        <v>13573</v>
      </c>
      <c r="C12" s="18" t="s">
        <v>4790</v>
      </c>
      <c r="D12" s="18" t="s">
        <v>16200</v>
      </c>
      <c r="E12" s="18" t="s">
        <v>10151</v>
      </c>
      <c r="F12" s="18" t="s">
        <v>5577</v>
      </c>
      <c r="G12" s="19" t="s">
        <v>13573</v>
      </c>
      <c r="H12" s="19" t="s">
        <v>14837</v>
      </c>
      <c r="I12" s="19" t="s">
        <v>12102</v>
      </c>
      <c r="J12" s="19" t="s">
        <v>2730</v>
      </c>
      <c r="L12" s="18" t="s">
        <v>6716</v>
      </c>
      <c r="P12" s="18" t="s">
        <v>7782</v>
      </c>
      <c r="Q12" s="18" t="s">
        <v>5908</v>
      </c>
      <c r="S12" s="37"/>
    </row>
    <row r="13" spans="1:21" ht="22.5" x14ac:dyDescent="0.2">
      <c r="B13" s="18" t="s">
        <v>15186</v>
      </c>
      <c r="C13" s="18" t="s">
        <v>13804</v>
      </c>
      <c r="D13" s="18" t="s">
        <v>16200</v>
      </c>
      <c r="E13" s="18" t="s">
        <v>10151</v>
      </c>
      <c r="F13" s="18" t="s">
        <v>4243</v>
      </c>
      <c r="G13" s="19" t="s">
        <v>13573</v>
      </c>
      <c r="H13" s="19" t="s">
        <v>14837</v>
      </c>
      <c r="I13" s="19" t="s">
        <v>12102</v>
      </c>
      <c r="J13" s="19" t="s">
        <v>15534</v>
      </c>
      <c r="L13" s="20" t="s">
        <v>9313</v>
      </c>
      <c r="P13" s="18" t="s">
        <v>7773</v>
      </c>
      <c r="Q13" s="18" t="s">
        <v>16641</v>
      </c>
      <c r="S13" s="37"/>
    </row>
    <row r="14" spans="1:21" ht="22.5" x14ac:dyDescent="0.2">
      <c r="B14" s="18" t="s">
        <v>15186</v>
      </c>
      <c r="C14" s="18" t="s">
        <v>19654</v>
      </c>
      <c r="D14" s="18" t="s">
        <v>16200</v>
      </c>
      <c r="E14" s="18" t="s">
        <v>10151</v>
      </c>
      <c r="F14" s="18" t="s">
        <v>15850</v>
      </c>
      <c r="G14" s="19" t="s">
        <v>13573</v>
      </c>
      <c r="H14" s="19" t="s">
        <v>14837</v>
      </c>
      <c r="I14" s="19" t="s">
        <v>12102</v>
      </c>
      <c r="J14" s="19" t="s">
        <v>6830</v>
      </c>
      <c r="L14" s="20" t="s">
        <v>15357</v>
      </c>
      <c r="P14" s="18" t="s">
        <v>14369</v>
      </c>
      <c r="Q14" s="18" t="s">
        <v>3439</v>
      </c>
    </row>
    <row r="15" spans="1:21" ht="22.5" x14ac:dyDescent="0.2">
      <c r="B15" s="18" t="s">
        <v>15186</v>
      </c>
      <c r="C15" s="18" t="s">
        <v>13537</v>
      </c>
      <c r="D15" s="18" t="s">
        <v>16200</v>
      </c>
      <c r="E15" s="18" t="s">
        <v>10151</v>
      </c>
      <c r="F15" s="18" t="s">
        <v>9163</v>
      </c>
      <c r="G15" s="19" t="s">
        <v>13573</v>
      </c>
      <c r="H15" s="19" t="s">
        <v>14837</v>
      </c>
      <c r="I15" s="19" t="s">
        <v>12102</v>
      </c>
      <c r="J15" s="19" t="s">
        <v>12102</v>
      </c>
      <c r="L15" s="20" t="s">
        <v>19212</v>
      </c>
      <c r="P15" s="18" t="s">
        <v>12521</v>
      </c>
      <c r="Q15" s="18" t="s">
        <v>12620</v>
      </c>
    </row>
    <row r="16" spans="1:21" x14ac:dyDescent="0.2">
      <c r="B16" s="18" t="s">
        <v>15186</v>
      </c>
      <c r="C16" s="18" t="s">
        <v>10527</v>
      </c>
      <c r="D16" s="18" t="s">
        <v>16200</v>
      </c>
      <c r="E16" s="18" t="s">
        <v>10151</v>
      </c>
      <c r="F16" s="18" t="s">
        <v>6847</v>
      </c>
      <c r="G16" s="19" t="s">
        <v>13573</v>
      </c>
      <c r="H16" s="19" t="s">
        <v>14837</v>
      </c>
      <c r="I16" s="19" t="s">
        <v>4123</v>
      </c>
      <c r="J16" s="19" t="s">
        <v>3926</v>
      </c>
      <c r="L16" s="20" t="s">
        <v>4624</v>
      </c>
      <c r="P16" s="18" t="s">
        <v>11980</v>
      </c>
      <c r="Q16" s="18" t="s">
        <v>15428</v>
      </c>
    </row>
    <row r="17" spans="2:17" x14ac:dyDescent="0.2">
      <c r="B17" s="18" t="s">
        <v>7907</v>
      </c>
      <c r="C17" s="18" t="s">
        <v>19903</v>
      </c>
      <c r="D17" s="18" t="s">
        <v>16200</v>
      </c>
      <c r="E17" s="18" t="s">
        <v>10151</v>
      </c>
      <c r="F17" s="18" t="s">
        <v>13601</v>
      </c>
      <c r="G17" s="19" t="s">
        <v>13573</v>
      </c>
      <c r="H17" s="19" t="s">
        <v>14837</v>
      </c>
      <c r="I17" s="19" t="s">
        <v>4123</v>
      </c>
      <c r="J17" s="19" t="s">
        <v>1251</v>
      </c>
      <c r="L17" s="20" t="s">
        <v>18165</v>
      </c>
      <c r="P17" s="18" t="s">
        <v>13021</v>
      </c>
      <c r="Q17" s="18" t="s">
        <v>2266</v>
      </c>
    </row>
    <row r="18" spans="2:17" x14ac:dyDescent="0.2">
      <c r="B18" s="18" t="s">
        <v>7907</v>
      </c>
      <c r="C18" s="18" t="s">
        <v>10278</v>
      </c>
      <c r="D18" s="18" t="s">
        <v>16200</v>
      </c>
      <c r="E18" s="18" t="s">
        <v>10151</v>
      </c>
      <c r="F18" s="18" t="s">
        <v>11952</v>
      </c>
      <c r="G18" s="19" t="s">
        <v>13573</v>
      </c>
      <c r="H18" s="19" t="s">
        <v>14837</v>
      </c>
      <c r="I18" s="19" t="s">
        <v>4123</v>
      </c>
      <c r="J18" s="19" t="s">
        <v>19373</v>
      </c>
      <c r="P18" s="18" t="s">
        <v>12250</v>
      </c>
      <c r="Q18" s="18" t="s">
        <v>1622</v>
      </c>
    </row>
    <row r="19" spans="2:17" x14ac:dyDescent="0.2">
      <c r="B19" s="18" t="s">
        <v>7907</v>
      </c>
      <c r="C19" s="18" t="s">
        <v>14154</v>
      </c>
      <c r="D19" s="18" t="s">
        <v>16200</v>
      </c>
      <c r="E19" s="18" t="s">
        <v>10151</v>
      </c>
      <c r="F19" s="18" t="s">
        <v>1446</v>
      </c>
      <c r="G19" s="19" t="s">
        <v>13573</v>
      </c>
      <c r="H19" s="19" t="s">
        <v>14837</v>
      </c>
      <c r="I19" s="19" t="s">
        <v>4123</v>
      </c>
      <c r="J19" s="19" t="s">
        <v>9621</v>
      </c>
      <c r="P19" s="18" t="s">
        <v>7775</v>
      </c>
      <c r="Q19" s="18" t="s">
        <v>13773</v>
      </c>
    </row>
    <row r="20" spans="2:17" x14ac:dyDescent="0.2">
      <c r="B20" s="18" t="s">
        <v>7907</v>
      </c>
      <c r="C20" s="18" t="s">
        <v>11711</v>
      </c>
      <c r="D20" s="18" t="s">
        <v>16200</v>
      </c>
      <c r="E20" s="18" t="s">
        <v>10151</v>
      </c>
      <c r="F20" s="18" t="s">
        <v>7347</v>
      </c>
      <c r="G20" s="19" t="s">
        <v>13573</v>
      </c>
      <c r="H20" s="19" t="s">
        <v>14837</v>
      </c>
      <c r="I20" s="19" t="s">
        <v>4123</v>
      </c>
      <c r="J20" s="19" t="s">
        <v>4123</v>
      </c>
      <c r="P20" s="18" t="s">
        <v>4942</v>
      </c>
      <c r="Q20" s="18" t="s">
        <v>2674</v>
      </c>
    </row>
    <row r="21" spans="2:17" ht="22.5" x14ac:dyDescent="0.2">
      <c r="B21" s="18" t="s">
        <v>11418</v>
      </c>
      <c r="C21" s="18" t="s">
        <v>5171</v>
      </c>
      <c r="D21" s="18" t="s">
        <v>16200</v>
      </c>
      <c r="E21" s="18" t="s">
        <v>3833</v>
      </c>
      <c r="F21" s="18" t="s">
        <v>7730</v>
      </c>
      <c r="G21" s="19" t="s">
        <v>13573</v>
      </c>
      <c r="H21" s="19" t="s">
        <v>9777</v>
      </c>
      <c r="I21" s="19" t="s">
        <v>10444</v>
      </c>
      <c r="J21" s="19" t="s">
        <v>4856</v>
      </c>
      <c r="P21" s="18" t="s">
        <v>7776</v>
      </c>
      <c r="Q21" s="18" t="s">
        <v>11639</v>
      </c>
    </row>
    <row r="22" spans="2:17" ht="22.5" x14ac:dyDescent="0.2">
      <c r="B22" s="18" t="s">
        <v>11418</v>
      </c>
      <c r="C22" s="18" t="s">
        <v>9156</v>
      </c>
      <c r="D22" s="18" t="s">
        <v>16200</v>
      </c>
      <c r="E22" s="18" t="s">
        <v>3833</v>
      </c>
      <c r="F22" s="18" t="s">
        <v>16519</v>
      </c>
      <c r="G22" s="19" t="s">
        <v>13573</v>
      </c>
      <c r="H22" s="19" t="s">
        <v>9777</v>
      </c>
      <c r="I22" s="19" t="s">
        <v>10444</v>
      </c>
      <c r="J22" s="19" t="s">
        <v>10444</v>
      </c>
      <c r="P22" s="18" t="s">
        <v>16804</v>
      </c>
      <c r="Q22" s="18" t="s">
        <v>5140</v>
      </c>
    </row>
    <row r="23" spans="2:17" ht="22.5" x14ac:dyDescent="0.2">
      <c r="B23" s="18" t="s">
        <v>11418</v>
      </c>
      <c r="C23" s="18" t="s">
        <v>7684</v>
      </c>
      <c r="D23" s="18" t="s">
        <v>16200</v>
      </c>
      <c r="E23" s="18" t="s">
        <v>3833</v>
      </c>
      <c r="F23" s="18" t="s">
        <v>10142</v>
      </c>
      <c r="G23" s="19" t="s">
        <v>13573</v>
      </c>
      <c r="H23" s="19" t="s">
        <v>9777</v>
      </c>
      <c r="I23" s="19" t="s">
        <v>7756</v>
      </c>
      <c r="J23" s="19" t="s">
        <v>2656</v>
      </c>
      <c r="P23" s="18" t="s">
        <v>750</v>
      </c>
      <c r="Q23" s="18" t="s">
        <v>16192</v>
      </c>
    </row>
    <row r="24" spans="2:17" ht="22.5" x14ac:dyDescent="0.2">
      <c r="B24" s="18" t="s">
        <v>11418</v>
      </c>
      <c r="C24" s="18" t="s">
        <v>14454</v>
      </c>
      <c r="D24" s="18" t="s">
        <v>16200</v>
      </c>
      <c r="E24" s="18" t="s">
        <v>3833</v>
      </c>
      <c r="F24" s="18" t="s">
        <v>5981</v>
      </c>
      <c r="G24" s="19" t="s">
        <v>13573</v>
      </c>
      <c r="H24" s="19" t="s">
        <v>9777</v>
      </c>
      <c r="I24" s="19" t="s">
        <v>7756</v>
      </c>
      <c r="J24" s="19" t="s">
        <v>7756</v>
      </c>
      <c r="P24" s="18" t="s">
        <v>12522</v>
      </c>
      <c r="Q24" s="18" t="s">
        <v>13344</v>
      </c>
    </row>
    <row r="25" spans="2:17" ht="22.5" x14ac:dyDescent="0.2">
      <c r="B25" s="18" t="s">
        <v>1538</v>
      </c>
      <c r="C25" s="18" t="s">
        <v>1982</v>
      </c>
      <c r="D25" s="18" t="s">
        <v>13182</v>
      </c>
      <c r="E25" s="18" t="s">
        <v>2378</v>
      </c>
      <c r="F25" s="18" t="s">
        <v>2286</v>
      </c>
      <c r="G25" s="19" t="s">
        <v>13573</v>
      </c>
      <c r="H25" s="19" t="s">
        <v>9777</v>
      </c>
      <c r="I25" s="19" t="s">
        <v>13271</v>
      </c>
      <c r="J25" s="19" t="s">
        <v>13271</v>
      </c>
      <c r="P25" s="18" t="s">
        <v>11981</v>
      </c>
      <c r="Q25" s="18" t="s">
        <v>13861</v>
      </c>
    </row>
    <row r="26" spans="2:17" ht="22.5" x14ac:dyDescent="0.2">
      <c r="B26" s="18" t="s">
        <v>1538</v>
      </c>
      <c r="C26" s="18" t="s">
        <v>7703</v>
      </c>
      <c r="D26" s="18" t="s">
        <v>13182</v>
      </c>
      <c r="E26" s="18" t="s">
        <v>2378</v>
      </c>
      <c r="F26" s="18" t="s">
        <v>3713</v>
      </c>
      <c r="G26" s="19" t="s">
        <v>13573</v>
      </c>
      <c r="H26" s="19" t="s">
        <v>9513</v>
      </c>
      <c r="I26" s="19" t="s">
        <v>8631</v>
      </c>
      <c r="J26" s="19" t="s">
        <v>16062</v>
      </c>
      <c r="P26" s="18" t="s">
        <v>19809</v>
      </c>
      <c r="Q26" s="18" t="s">
        <v>4353</v>
      </c>
    </row>
    <row r="27" spans="2:17" ht="22.5" x14ac:dyDescent="0.2">
      <c r="B27" s="18" t="s">
        <v>11863</v>
      </c>
      <c r="C27" s="18" t="s">
        <v>20019</v>
      </c>
      <c r="D27" s="18" t="s">
        <v>13182</v>
      </c>
      <c r="E27" s="18" t="s">
        <v>2378</v>
      </c>
      <c r="F27" s="18" t="s">
        <v>4055</v>
      </c>
      <c r="G27" s="19" t="s">
        <v>13573</v>
      </c>
      <c r="H27" s="19" t="s">
        <v>9513</v>
      </c>
      <c r="I27" s="19" t="s">
        <v>8631</v>
      </c>
      <c r="J27" s="19" t="s">
        <v>8631</v>
      </c>
      <c r="P27" s="18" t="s">
        <v>9580</v>
      </c>
      <c r="Q27" s="18" t="s">
        <v>1659</v>
      </c>
    </row>
    <row r="28" spans="2:17" ht="22.5" x14ac:dyDescent="0.2">
      <c r="B28" s="18" t="s">
        <v>11863</v>
      </c>
      <c r="C28" s="18" t="s">
        <v>9222</v>
      </c>
      <c r="D28" s="18" t="s">
        <v>13182</v>
      </c>
      <c r="E28" s="18" t="s">
        <v>2378</v>
      </c>
      <c r="F28" s="18" t="s">
        <v>4351</v>
      </c>
      <c r="G28" s="19" t="s">
        <v>13573</v>
      </c>
      <c r="H28" s="19" t="s">
        <v>9513</v>
      </c>
      <c r="I28" s="19" t="s">
        <v>8631</v>
      </c>
      <c r="J28" s="19" t="s">
        <v>6778</v>
      </c>
      <c r="P28" s="18" t="s">
        <v>6999</v>
      </c>
      <c r="Q28" s="18" t="s">
        <v>5585</v>
      </c>
    </row>
    <row r="29" spans="2:17" ht="22.5" x14ac:dyDescent="0.2">
      <c r="B29" s="18" t="s">
        <v>11863</v>
      </c>
      <c r="C29" s="18" t="s">
        <v>3524</v>
      </c>
      <c r="D29" s="18" t="s">
        <v>13182</v>
      </c>
      <c r="E29" s="18" t="s">
        <v>22</v>
      </c>
      <c r="F29" s="18" t="s">
        <v>3907</v>
      </c>
      <c r="G29" s="19" t="s">
        <v>13573</v>
      </c>
      <c r="H29" s="19" t="s">
        <v>9513</v>
      </c>
      <c r="I29" s="19" t="s">
        <v>14170</v>
      </c>
      <c r="J29" s="19" t="s">
        <v>14170</v>
      </c>
      <c r="P29" s="18" t="s">
        <v>5893</v>
      </c>
      <c r="Q29" s="18" t="s">
        <v>3760</v>
      </c>
    </row>
    <row r="30" spans="2:17" ht="22.5" x14ac:dyDescent="0.2">
      <c r="B30" s="18" t="s">
        <v>2057</v>
      </c>
      <c r="C30" s="18" t="s">
        <v>17392</v>
      </c>
      <c r="D30" s="18" t="s">
        <v>13182</v>
      </c>
      <c r="E30" s="18" t="s">
        <v>22</v>
      </c>
      <c r="F30" s="18" t="s">
        <v>4181</v>
      </c>
      <c r="G30" s="19" t="s">
        <v>13573</v>
      </c>
      <c r="H30" s="19" t="s">
        <v>9513</v>
      </c>
      <c r="I30" s="19" t="s">
        <v>14170</v>
      </c>
      <c r="J30" s="19" t="s">
        <v>2540</v>
      </c>
      <c r="P30" s="18" t="s">
        <v>7578</v>
      </c>
      <c r="Q30" s="18" t="s">
        <v>2428</v>
      </c>
    </row>
    <row r="31" spans="2:17" ht="22.5" x14ac:dyDescent="0.2">
      <c r="B31" s="18" t="s">
        <v>2057</v>
      </c>
      <c r="C31" s="18" t="s">
        <v>516</v>
      </c>
      <c r="D31" s="18" t="s">
        <v>13182</v>
      </c>
      <c r="E31" s="18" t="s">
        <v>22</v>
      </c>
      <c r="F31" s="18" t="s">
        <v>19796</v>
      </c>
      <c r="G31" s="19" t="s">
        <v>13573</v>
      </c>
      <c r="H31" s="19" t="s">
        <v>9513</v>
      </c>
      <c r="I31" s="19" t="s">
        <v>16207</v>
      </c>
      <c r="J31" s="19" t="s">
        <v>17757</v>
      </c>
      <c r="P31" s="18" t="s">
        <v>14942</v>
      </c>
      <c r="Q31" s="18" t="s">
        <v>20060</v>
      </c>
    </row>
    <row r="32" spans="2:17" ht="22.5" x14ac:dyDescent="0.2">
      <c r="B32" s="18" t="s">
        <v>2057</v>
      </c>
      <c r="C32" s="18" t="s">
        <v>14623</v>
      </c>
      <c r="D32" s="18" t="s">
        <v>13182</v>
      </c>
      <c r="E32" s="18" t="s">
        <v>13862</v>
      </c>
      <c r="F32" s="18" t="s">
        <v>13087</v>
      </c>
      <c r="G32" s="19" t="s">
        <v>13573</v>
      </c>
      <c r="H32" s="19" t="s">
        <v>9513</v>
      </c>
      <c r="I32" s="19" t="s">
        <v>16207</v>
      </c>
      <c r="J32" s="19" t="s">
        <v>19620</v>
      </c>
      <c r="P32" s="18" t="s">
        <v>6812</v>
      </c>
      <c r="Q32" s="18" t="s">
        <v>1666</v>
      </c>
    </row>
    <row r="33" spans="2:17" ht="22.5" x14ac:dyDescent="0.2">
      <c r="B33" s="18" t="s">
        <v>5684</v>
      </c>
      <c r="C33" s="18" t="s">
        <v>17690</v>
      </c>
      <c r="D33" s="18" t="s">
        <v>13182</v>
      </c>
      <c r="E33" s="18" t="s">
        <v>13862</v>
      </c>
      <c r="F33" s="18" t="s">
        <v>9120</v>
      </c>
      <c r="G33" s="19" t="s">
        <v>13573</v>
      </c>
      <c r="H33" s="19" t="s">
        <v>9513</v>
      </c>
      <c r="I33" s="19" t="s">
        <v>16207</v>
      </c>
      <c r="J33" s="19" t="s">
        <v>16207</v>
      </c>
      <c r="P33" s="18" t="s">
        <v>8120</v>
      </c>
      <c r="Q33" s="18" t="s">
        <v>6093</v>
      </c>
    </row>
    <row r="34" spans="2:17" ht="22.5" x14ac:dyDescent="0.2">
      <c r="B34" s="18" t="s">
        <v>5684</v>
      </c>
      <c r="C34" s="18" t="s">
        <v>3622</v>
      </c>
      <c r="D34" s="18" t="s">
        <v>13182</v>
      </c>
      <c r="E34" s="18" t="s">
        <v>13862</v>
      </c>
      <c r="F34" s="18" t="s">
        <v>12673</v>
      </c>
      <c r="G34" s="19" t="s">
        <v>13573</v>
      </c>
      <c r="H34" s="19" t="s">
        <v>9513</v>
      </c>
      <c r="I34" s="19" t="s">
        <v>16207</v>
      </c>
      <c r="J34" s="19" t="s">
        <v>281</v>
      </c>
      <c r="P34" s="18" t="s">
        <v>19926</v>
      </c>
      <c r="Q34" s="18" t="s">
        <v>6093</v>
      </c>
    </row>
    <row r="35" spans="2:17" ht="22.5" x14ac:dyDescent="0.2">
      <c r="D35" s="18" t="s">
        <v>13182</v>
      </c>
      <c r="E35" s="18" t="s">
        <v>13862</v>
      </c>
      <c r="F35" s="18" t="s">
        <v>7586</v>
      </c>
      <c r="G35" s="19" t="s">
        <v>13573</v>
      </c>
      <c r="H35" s="19" t="s">
        <v>9513</v>
      </c>
      <c r="I35" s="19" t="s">
        <v>1073</v>
      </c>
      <c r="J35" s="19" t="s">
        <v>1073</v>
      </c>
      <c r="P35" s="18" t="s">
        <v>16747</v>
      </c>
      <c r="Q35" s="18" t="s">
        <v>19719</v>
      </c>
    </row>
    <row r="36" spans="2:17" x14ac:dyDescent="0.2">
      <c r="D36" s="18" t="s">
        <v>13573</v>
      </c>
      <c r="E36" s="18" t="s">
        <v>14837</v>
      </c>
      <c r="F36" s="18" t="s">
        <v>12102</v>
      </c>
      <c r="G36" s="19" t="s">
        <v>13573</v>
      </c>
      <c r="H36" s="19" t="s">
        <v>4790</v>
      </c>
      <c r="I36" s="19" t="s">
        <v>11974</v>
      </c>
      <c r="J36" s="19" t="s">
        <v>11974</v>
      </c>
      <c r="P36" s="18" t="s">
        <v>12110</v>
      </c>
      <c r="Q36" s="18" t="s">
        <v>6423</v>
      </c>
    </row>
    <row r="37" spans="2:17" x14ac:dyDescent="0.2">
      <c r="D37" s="18" t="s">
        <v>13573</v>
      </c>
      <c r="E37" s="18" t="s">
        <v>14837</v>
      </c>
      <c r="F37" s="18" t="s">
        <v>14069</v>
      </c>
      <c r="G37" s="19" t="s">
        <v>13573</v>
      </c>
      <c r="H37" s="19" t="s">
        <v>4790</v>
      </c>
      <c r="I37" s="19" t="s">
        <v>2920</v>
      </c>
      <c r="J37" s="19" t="s">
        <v>2920</v>
      </c>
      <c r="P37" s="18" t="s">
        <v>7771</v>
      </c>
      <c r="Q37" s="18" t="s">
        <v>14049</v>
      </c>
    </row>
    <row r="38" spans="2:17" ht="22.5" x14ac:dyDescent="0.2">
      <c r="D38" s="18" t="s">
        <v>13573</v>
      </c>
      <c r="E38" s="18" t="s">
        <v>14837</v>
      </c>
      <c r="F38" s="18" t="s">
        <v>2701</v>
      </c>
      <c r="G38" s="19" t="s">
        <v>13573</v>
      </c>
      <c r="H38" s="19" t="s">
        <v>4790</v>
      </c>
      <c r="I38" s="19" t="s">
        <v>11803</v>
      </c>
      <c r="J38" s="19" t="s">
        <v>18844</v>
      </c>
      <c r="P38" s="18" t="s">
        <v>18575</v>
      </c>
      <c r="Q38" s="18" t="s">
        <v>1392</v>
      </c>
    </row>
    <row r="39" spans="2:17" ht="22.5" x14ac:dyDescent="0.2">
      <c r="D39" s="18" t="s">
        <v>13573</v>
      </c>
      <c r="E39" s="18" t="s">
        <v>14837</v>
      </c>
      <c r="F39" s="18" t="s">
        <v>2007</v>
      </c>
      <c r="G39" s="19" t="s">
        <v>13573</v>
      </c>
      <c r="H39" s="19" t="s">
        <v>4790</v>
      </c>
      <c r="I39" s="19" t="s">
        <v>11803</v>
      </c>
      <c r="J39" s="19" t="s">
        <v>8403</v>
      </c>
      <c r="P39" s="18" t="s">
        <v>13975</v>
      </c>
      <c r="Q39" s="18" t="s">
        <v>19225</v>
      </c>
    </row>
    <row r="40" spans="2:17" ht="22.5" x14ac:dyDescent="0.2">
      <c r="D40" s="18" t="s">
        <v>13573</v>
      </c>
      <c r="E40" s="18" t="s">
        <v>14837</v>
      </c>
      <c r="F40" s="18" t="s">
        <v>4827</v>
      </c>
      <c r="G40" s="19" t="s">
        <v>13573</v>
      </c>
      <c r="H40" s="19" t="s">
        <v>4790</v>
      </c>
      <c r="I40" s="19" t="s">
        <v>11803</v>
      </c>
      <c r="J40" s="19" t="s">
        <v>6829</v>
      </c>
      <c r="P40" s="18" t="s">
        <v>15901</v>
      </c>
      <c r="Q40" s="18" t="s">
        <v>14710</v>
      </c>
    </row>
    <row r="41" spans="2:17" ht="22.5" x14ac:dyDescent="0.2">
      <c r="D41" s="18" t="s">
        <v>13573</v>
      </c>
      <c r="E41" s="18" t="s">
        <v>14837</v>
      </c>
      <c r="F41" s="18" t="s">
        <v>4123</v>
      </c>
      <c r="G41" s="19" t="s">
        <v>13573</v>
      </c>
      <c r="H41" s="19" t="s">
        <v>4790</v>
      </c>
      <c r="I41" s="19" t="s">
        <v>11803</v>
      </c>
      <c r="J41" s="19" t="s">
        <v>11803</v>
      </c>
      <c r="P41" s="18" t="s">
        <v>4525</v>
      </c>
      <c r="Q41" s="18" t="s">
        <v>2418</v>
      </c>
    </row>
    <row r="42" spans="2:17" x14ac:dyDescent="0.2">
      <c r="D42" s="18" t="s">
        <v>13573</v>
      </c>
      <c r="E42" s="18" t="s">
        <v>14837</v>
      </c>
      <c r="F42" s="18" t="s">
        <v>12083</v>
      </c>
      <c r="G42" s="19" t="s">
        <v>15186</v>
      </c>
      <c r="H42" s="19" t="s">
        <v>10527</v>
      </c>
      <c r="I42" s="19" t="s">
        <v>10527</v>
      </c>
      <c r="J42" s="19" t="s">
        <v>16426</v>
      </c>
      <c r="P42" s="18" t="s">
        <v>4517</v>
      </c>
      <c r="Q42" s="18" t="s">
        <v>17837</v>
      </c>
    </row>
    <row r="43" spans="2:17" x14ac:dyDescent="0.2">
      <c r="D43" s="18" t="s">
        <v>13573</v>
      </c>
      <c r="E43" s="18" t="s">
        <v>9777</v>
      </c>
      <c r="F43" s="18" t="s">
        <v>10444</v>
      </c>
      <c r="G43" s="19" t="s">
        <v>15186</v>
      </c>
      <c r="H43" s="19" t="s">
        <v>10527</v>
      </c>
      <c r="I43" s="19" t="s">
        <v>10527</v>
      </c>
      <c r="J43" s="19" t="s">
        <v>10527</v>
      </c>
      <c r="P43" s="18" t="s">
        <v>5554</v>
      </c>
      <c r="Q43" s="18" t="s">
        <v>10995</v>
      </c>
    </row>
    <row r="44" spans="2:17" x14ac:dyDescent="0.2">
      <c r="D44" s="18" t="s">
        <v>13573</v>
      </c>
      <c r="E44" s="18" t="s">
        <v>9777</v>
      </c>
      <c r="F44" s="18" t="s">
        <v>7756</v>
      </c>
      <c r="G44" s="19" t="s">
        <v>15186</v>
      </c>
      <c r="H44" s="19" t="s">
        <v>10527</v>
      </c>
      <c r="I44" s="19" t="s">
        <v>15060</v>
      </c>
      <c r="J44" s="19" t="s">
        <v>15060</v>
      </c>
      <c r="P44" s="22"/>
      <c r="Q44" s="24"/>
    </row>
    <row r="45" spans="2:17" x14ac:dyDescent="0.2">
      <c r="D45" s="18" t="s">
        <v>13573</v>
      </c>
      <c r="E45" s="18" t="s">
        <v>9777</v>
      </c>
      <c r="F45" s="18" t="s">
        <v>13271</v>
      </c>
      <c r="G45" s="19" t="s">
        <v>15186</v>
      </c>
      <c r="H45" s="19" t="s">
        <v>10527</v>
      </c>
      <c r="I45" s="19" t="s">
        <v>15060</v>
      </c>
      <c r="J45" s="19" t="s">
        <v>18341</v>
      </c>
      <c r="P45" s="22"/>
      <c r="Q45" s="24"/>
    </row>
    <row r="46" spans="2:17" ht="22.5" x14ac:dyDescent="0.2">
      <c r="D46" s="18" t="s">
        <v>13573</v>
      </c>
      <c r="E46" s="18" t="s">
        <v>9513</v>
      </c>
      <c r="F46" s="18" t="s">
        <v>16207</v>
      </c>
      <c r="G46" s="19" t="s">
        <v>15186</v>
      </c>
      <c r="H46" s="19" t="s">
        <v>10527</v>
      </c>
      <c r="I46" s="19" t="s">
        <v>86</v>
      </c>
      <c r="J46" s="19" t="s">
        <v>17826</v>
      </c>
      <c r="P46" s="22"/>
      <c r="Q46" s="24"/>
    </row>
    <row r="47" spans="2:17" ht="22.5" x14ac:dyDescent="0.2">
      <c r="D47" s="18" t="s">
        <v>13573</v>
      </c>
      <c r="E47" s="18" t="s">
        <v>9513</v>
      </c>
      <c r="F47" s="18" t="s">
        <v>8631</v>
      </c>
      <c r="G47" s="19" t="s">
        <v>15186</v>
      </c>
      <c r="H47" s="19" t="s">
        <v>10527</v>
      </c>
      <c r="I47" s="19" t="s">
        <v>86</v>
      </c>
      <c r="J47" s="19" t="s">
        <v>86</v>
      </c>
      <c r="P47" s="22"/>
      <c r="Q47" s="24"/>
    </row>
    <row r="48" spans="2:17" ht="22.5" x14ac:dyDescent="0.2">
      <c r="D48" s="18" t="s">
        <v>13573</v>
      </c>
      <c r="E48" s="18" t="s">
        <v>9513</v>
      </c>
      <c r="F48" s="18" t="s">
        <v>14170</v>
      </c>
      <c r="G48" s="19" t="s">
        <v>15186</v>
      </c>
      <c r="H48" s="19" t="s">
        <v>10527</v>
      </c>
      <c r="I48" s="19" t="s">
        <v>86</v>
      </c>
      <c r="J48" s="19" t="s">
        <v>7745</v>
      </c>
      <c r="P48" s="22"/>
      <c r="Q48" s="24"/>
    </row>
    <row r="49" spans="4:17" x14ac:dyDescent="0.2">
      <c r="D49" s="18" t="s">
        <v>13573</v>
      </c>
      <c r="E49" s="18" t="s">
        <v>9513</v>
      </c>
      <c r="F49" s="18" t="s">
        <v>1073</v>
      </c>
      <c r="G49" s="19" t="s">
        <v>15186</v>
      </c>
      <c r="H49" s="19" t="s">
        <v>10527</v>
      </c>
      <c r="I49" s="19" t="s">
        <v>5946</v>
      </c>
      <c r="J49" s="19" t="s">
        <v>5946</v>
      </c>
      <c r="P49" s="22"/>
      <c r="Q49" s="24"/>
    </row>
    <row r="50" spans="4:17" x14ac:dyDescent="0.2">
      <c r="D50" s="18" t="s">
        <v>13573</v>
      </c>
      <c r="E50" s="18" t="s">
        <v>4790</v>
      </c>
      <c r="F50" s="18" t="s">
        <v>11803</v>
      </c>
      <c r="G50" s="19" t="s">
        <v>15186</v>
      </c>
      <c r="H50" s="19" t="s">
        <v>10527</v>
      </c>
      <c r="I50" s="19" t="s">
        <v>9199</v>
      </c>
      <c r="J50" s="19" t="s">
        <v>9199</v>
      </c>
      <c r="P50" s="22"/>
      <c r="Q50" s="24"/>
    </row>
    <row r="51" spans="4:17" x14ac:dyDescent="0.2">
      <c r="D51" s="18" t="s">
        <v>13573</v>
      </c>
      <c r="E51" s="18" t="s">
        <v>4790</v>
      </c>
      <c r="F51" s="18" t="s">
        <v>2920</v>
      </c>
      <c r="G51" s="19" t="s">
        <v>15186</v>
      </c>
      <c r="H51" s="19" t="s">
        <v>13537</v>
      </c>
      <c r="I51" s="19" t="s">
        <v>16583</v>
      </c>
      <c r="J51" s="19" t="s">
        <v>16583</v>
      </c>
      <c r="P51" s="22"/>
      <c r="Q51" s="24"/>
    </row>
    <row r="52" spans="4:17" x14ac:dyDescent="0.2">
      <c r="D52" s="18" t="s">
        <v>13573</v>
      </c>
      <c r="E52" s="18" t="s">
        <v>4790</v>
      </c>
      <c r="F52" s="18" t="s">
        <v>11974</v>
      </c>
      <c r="G52" s="19" t="s">
        <v>15186</v>
      </c>
      <c r="H52" s="19" t="s">
        <v>13537</v>
      </c>
      <c r="I52" s="19" t="s">
        <v>16583</v>
      </c>
      <c r="J52" s="19" t="s">
        <v>2613</v>
      </c>
      <c r="P52" s="22"/>
      <c r="Q52" s="24"/>
    </row>
    <row r="53" spans="4:17" x14ac:dyDescent="0.2">
      <c r="D53" s="18" t="s">
        <v>15186</v>
      </c>
      <c r="E53" s="18" t="s">
        <v>13804</v>
      </c>
      <c r="F53" s="18" t="s">
        <v>10094</v>
      </c>
      <c r="G53" s="19" t="s">
        <v>15186</v>
      </c>
      <c r="H53" s="19" t="s">
        <v>13537</v>
      </c>
      <c r="I53" s="19" t="s">
        <v>2802</v>
      </c>
      <c r="J53" s="19" t="s">
        <v>18520</v>
      </c>
      <c r="P53" s="22"/>
      <c r="Q53" s="24"/>
    </row>
    <row r="54" spans="4:17" x14ac:dyDescent="0.2">
      <c r="D54" s="18" t="s">
        <v>15186</v>
      </c>
      <c r="E54" s="18" t="s">
        <v>13804</v>
      </c>
      <c r="F54" s="18" t="s">
        <v>14657</v>
      </c>
      <c r="G54" s="19" t="s">
        <v>15186</v>
      </c>
      <c r="H54" s="19" t="s">
        <v>13537</v>
      </c>
      <c r="I54" s="19" t="s">
        <v>2802</v>
      </c>
      <c r="J54" s="19" t="s">
        <v>2802</v>
      </c>
      <c r="P54" s="22"/>
      <c r="Q54" s="24"/>
    </row>
    <row r="55" spans="4:17" x14ac:dyDescent="0.2">
      <c r="D55" s="18" t="s">
        <v>15186</v>
      </c>
      <c r="E55" s="18" t="s">
        <v>13804</v>
      </c>
      <c r="F55" s="18" t="s">
        <v>9217</v>
      </c>
      <c r="G55" s="19" t="s">
        <v>15186</v>
      </c>
      <c r="H55" s="19" t="s">
        <v>13537</v>
      </c>
      <c r="I55" s="19" t="s">
        <v>2802</v>
      </c>
      <c r="J55" s="19" t="s">
        <v>6155</v>
      </c>
      <c r="P55" s="22"/>
      <c r="Q55" s="24"/>
    </row>
    <row r="56" spans="4:17" x14ac:dyDescent="0.2">
      <c r="D56" s="18" t="s">
        <v>15186</v>
      </c>
      <c r="E56" s="18" t="s">
        <v>19654</v>
      </c>
      <c r="F56" s="18" t="s">
        <v>17681</v>
      </c>
      <c r="G56" s="19" t="s">
        <v>15186</v>
      </c>
      <c r="H56" s="19" t="s">
        <v>13537</v>
      </c>
      <c r="I56" s="19" t="s">
        <v>2802</v>
      </c>
      <c r="J56" s="19" t="s">
        <v>4437</v>
      </c>
      <c r="P56" s="22"/>
      <c r="Q56" s="24"/>
    </row>
    <row r="57" spans="4:17" ht="22.5" x14ac:dyDescent="0.2">
      <c r="D57" s="18" t="s">
        <v>15186</v>
      </c>
      <c r="E57" s="18" t="s">
        <v>19654</v>
      </c>
      <c r="F57" s="18" t="s">
        <v>4938</v>
      </c>
      <c r="G57" s="19" t="s">
        <v>15186</v>
      </c>
      <c r="H57" s="19" t="s">
        <v>13537</v>
      </c>
      <c r="I57" s="19" t="s">
        <v>12632</v>
      </c>
      <c r="J57" s="19" t="s">
        <v>12632</v>
      </c>
      <c r="P57" s="22"/>
      <c r="Q57" s="24"/>
    </row>
    <row r="58" spans="4:17" x14ac:dyDescent="0.2">
      <c r="D58" s="18" t="s">
        <v>15186</v>
      </c>
      <c r="E58" s="18" t="s">
        <v>19654</v>
      </c>
      <c r="F58" s="18" t="s">
        <v>987</v>
      </c>
      <c r="G58" s="19" t="s">
        <v>15186</v>
      </c>
      <c r="H58" s="19" t="s">
        <v>13537</v>
      </c>
      <c r="I58" s="19" t="s">
        <v>14553</v>
      </c>
      <c r="J58" s="19" t="s">
        <v>14553</v>
      </c>
      <c r="P58" s="22"/>
      <c r="Q58" s="24"/>
    </row>
    <row r="59" spans="4:17" ht="22.5" x14ac:dyDescent="0.2">
      <c r="D59" s="18" t="s">
        <v>15186</v>
      </c>
      <c r="E59" s="18" t="s">
        <v>13537</v>
      </c>
      <c r="F59" s="18" t="s">
        <v>6686</v>
      </c>
      <c r="G59" s="19" t="s">
        <v>15186</v>
      </c>
      <c r="H59" s="19" t="s">
        <v>13537</v>
      </c>
      <c r="I59" s="19" t="s">
        <v>6686</v>
      </c>
      <c r="J59" s="19" t="s">
        <v>6686</v>
      </c>
      <c r="P59" s="22"/>
      <c r="Q59" s="24"/>
    </row>
    <row r="60" spans="4:17" x14ac:dyDescent="0.2">
      <c r="D60" s="18" t="s">
        <v>15186</v>
      </c>
      <c r="E60" s="18" t="s">
        <v>13537</v>
      </c>
      <c r="F60" s="18" t="s">
        <v>16583</v>
      </c>
      <c r="G60" s="19" t="s">
        <v>15186</v>
      </c>
      <c r="H60" s="19" t="s">
        <v>13537</v>
      </c>
      <c r="I60" s="19" t="s">
        <v>1493</v>
      </c>
      <c r="J60" s="19" t="s">
        <v>1493</v>
      </c>
      <c r="P60" s="22"/>
      <c r="Q60" s="24"/>
    </row>
    <row r="61" spans="4:17" ht="22.5" x14ac:dyDescent="0.2">
      <c r="D61" s="18" t="s">
        <v>15186</v>
      </c>
      <c r="E61" s="18" t="s">
        <v>13537</v>
      </c>
      <c r="F61" s="18" t="s">
        <v>2802</v>
      </c>
      <c r="G61" s="19" t="s">
        <v>15186</v>
      </c>
      <c r="H61" s="19" t="s">
        <v>19654</v>
      </c>
      <c r="I61" s="19" t="s">
        <v>987</v>
      </c>
      <c r="J61" s="19" t="s">
        <v>987</v>
      </c>
      <c r="P61" s="22"/>
      <c r="Q61" s="24"/>
    </row>
    <row r="62" spans="4:17" ht="22.5" x14ac:dyDescent="0.2">
      <c r="D62" s="18" t="s">
        <v>15186</v>
      </c>
      <c r="E62" s="18" t="s">
        <v>13537</v>
      </c>
      <c r="F62" s="18" t="s">
        <v>12632</v>
      </c>
      <c r="G62" s="19" t="s">
        <v>15186</v>
      </c>
      <c r="H62" s="19" t="s">
        <v>19654</v>
      </c>
      <c r="I62" s="19" t="s">
        <v>17681</v>
      </c>
      <c r="J62" s="19" t="s">
        <v>17681</v>
      </c>
      <c r="P62" s="22"/>
      <c r="Q62" s="24"/>
    </row>
    <row r="63" spans="4:17" ht="22.5" x14ac:dyDescent="0.2">
      <c r="D63" s="18" t="s">
        <v>15186</v>
      </c>
      <c r="E63" s="18" t="s">
        <v>13537</v>
      </c>
      <c r="F63" s="18" t="s">
        <v>14553</v>
      </c>
      <c r="G63" s="19" t="s">
        <v>15186</v>
      </c>
      <c r="H63" s="19" t="s">
        <v>19654</v>
      </c>
      <c r="I63" s="19" t="s">
        <v>4938</v>
      </c>
      <c r="J63" s="19" t="s">
        <v>4938</v>
      </c>
      <c r="P63" s="22"/>
      <c r="Q63" s="24"/>
    </row>
    <row r="64" spans="4:17" x14ac:dyDescent="0.2">
      <c r="D64" s="18" t="s">
        <v>15186</v>
      </c>
      <c r="E64" s="18" t="s">
        <v>13537</v>
      </c>
      <c r="F64" s="18" t="s">
        <v>1493</v>
      </c>
      <c r="G64" s="19" t="s">
        <v>15186</v>
      </c>
      <c r="H64" s="19" t="s">
        <v>13804</v>
      </c>
      <c r="I64" s="19" t="s">
        <v>14657</v>
      </c>
      <c r="J64" s="19" t="s">
        <v>283</v>
      </c>
      <c r="P64" s="22"/>
      <c r="Q64" s="24"/>
    </row>
    <row r="65" spans="4:17" x14ac:dyDescent="0.2">
      <c r="D65" s="18" t="s">
        <v>15186</v>
      </c>
      <c r="E65" s="18" t="s">
        <v>10527</v>
      </c>
      <c r="F65" s="18" t="s">
        <v>10527</v>
      </c>
      <c r="G65" s="19" t="s">
        <v>15186</v>
      </c>
      <c r="H65" s="19" t="s">
        <v>13804</v>
      </c>
      <c r="I65" s="19" t="s">
        <v>14657</v>
      </c>
      <c r="J65" s="19" t="s">
        <v>14657</v>
      </c>
      <c r="P65" s="22"/>
      <c r="Q65" s="24"/>
    </row>
    <row r="66" spans="4:17" x14ac:dyDescent="0.2">
      <c r="D66" s="18" t="s">
        <v>15186</v>
      </c>
      <c r="E66" s="18" t="s">
        <v>10527</v>
      </c>
      <c r="F66" s="18" t="s">
        <v>86</v>
      </c>
      <c r="G66" s="19" t="s">
        <v>15186</v>
      </c>
      <c r="H66" s="19" t="s">
        <v>13804</v>
      </c>
      <c r="I66" s="19" t="s">
        <v>14657</v>
      </c>
      <c r="J66" s="19" t="s">
        <v>11117</v>
      </c>
      <c r="P66" s="22"/>
      <c r="Q66" s="24"/>
    </row>
    <row r="67" spans="4:17" x14ac:dyDescent="0.2">
      <c r="D67" s="18" t="s">
        <v>15186</v>
      </c>
      <c r="E67" s="18" t="s">
        <v>10527</v>
      </c>
      <c r="F67" s="18" t="s">
        <v>9199</v>
      </c>
      <c r="G67" s="19" t="s">
        <v>15186</v>
      </c>
      <c r="H67" s="19" t="s">
        <v>13804</v>
      </c>
      <c r="I67" s="19" t="s">
        <v>14657</v>
      </c>
      <c r="J67" s="19" t="s">
        <v>2526</v>
      </c>
      <c r="P67" s="22"/>
      <c r="Q67" s="24"/>
    </row>
    <row r="68" spans="4:17" x14ac:dyDescent="0.2">
      <c r="D68" s="18" t="s">
        <v>15186</v>
      </c>
      <c r="E68" s="18" t="s">
        <v>10527</v>
      </c>
      <c r="F68" s="18" t="s">
        <v>5946</v>
      </c>
      <c r="G68" s="19" t="s">
        <v>15186</v>
      </c>
      <c r="H68" s="19" t="s">
        <v>13804</v>
      </c>
      <c r="I68" s="19" t="s">
        <v>14657</v>
      </c>
      <c r="J68" s="19" t="s">
        <v>20005</v>
      </c>
      <c r="P68" s="22"/>
      <c r="Q68" s="24"/>
    </row>
    <row r="69" spans="4:17" x14ac:dyDescent="0.2">
      <c r="D69" s="18" t="s">
        <v>15186</v>
      </c>
      <c r="E69" s="18" t="s">
        <v>10527</v>
      </c>
      <c r="F69" s="18" t="s">
        <v>15060</v>
      </c>
      <c r="G69" s="19" t="s">
        <v>15186</v>
      </c>
      <c r="H69" s="19" t="s">
        <v>13804</v>
      </c>
      <c r="I69" s="19" t="s">
        <v>9217</v>
      </c>
      <c r="J69" s="19" t="s">
        <v>8247</v>
      </c>
      <c r="P69" s="22"/>
      <c r="Q69" s="24"/>
    </row>
    <row r="70" spans="4:17" x14ac:dyDescent="0.2">
      <c r="D70" s="18" t="s">
        <v>7907</v>
      </c>
      <c r="E70" s="18" t="s">
        <v>19903</v>
      </c>
      <c r="F70" s="18" t="s">
        <v>19903</v>
      </c>
      <c r="G70" s="19" t="s">
        <v>15186</v>
      </c>
      <c r="H70" s="19" t="s">
        <v>13804</v>
      </c>
      <c r="I70" s="19" t="s">
        <v>9217</v>
      </c>
      <c r="J70" s="19" t="s">
        <v>19451</v>
      </c>
      <c r="P70" s="22"/>
      <c r="Q70" s="24"/>
    </row>
    <row r="71" spans="4:17" x14ac:dyDescent="0.2">
      <c r="D71" s="18" t="s">
        <v>7907</v>
      </c>
      <c r="E71" s="18" t="s">
        <v>19903</v>
      </c>
      <c r="F71" s="18" t="s">
        <v>18642</v>
      </c>
      <c r="G71" s="19" t="s">
        <v>15186</v>
      </c>
      <c r="H71" s="19" t="s">
        <v>13804</v>
      </c>
      <c r="I71" s="19" t="s">
        <v>9217</v>
      </c>
      <c r="J71" s="19" t="s">
        <v>3095</v>
      </c>
      <c r="P71" s="22"/>
      <c r="Q71" s="24"/>
    </row>
    <row r="72" spans="4:17" x14ac:dyDescent="0.2">
      <c r="D72" s="18" t="s">
        <v>7907</v>
      </c>
      <c r="E72" s="18" t="s">
        <v>19903</v>
      </c>
      <c r="F72" s="18" t="s">
        <v>10422</v>
      </c>
      <c r="G72" s="19" t="s">
        <v>15186</v>
      </c>
      <c r="H72" s="19" t="s">
        <v>13804</v>
      </c>
      <c r="I72" s="19" t="s">
        <v>9217</v>
      </c>
      <c r="J72" s="19" t="s">
        <v>9217</v>
      </c>
      <c r="P72" s="22"/>
      <c r="Q72" s="24"/>
    </row>
    <row r="73" spans="4:17" ht="22.5" x14ac:dyDescent="0.2">
      <c r="D73" s="18" t="s">
        <v>7907</v>
      </c>
      <c r="E73" s="18" t="s">
        <v>19903</v>
      </c>
      <c r="F73" s="18" t="s">
        <v>6507</v>
      </c>
      <c r="G73" s="19" t="s">
        <v>15186</v>
      </c>
      <c r="H73" s="19" t="s">
        <v>13804</v>
      </c>
      <c r="I73" s="19" t="s">
        <v>10094</v>
      </c>
      <c r="J73" s="19" t="s">
        <v>1595</v>
      </c>
      <c r="P73" s="22"/>
      <c r="Q73" s="24"/>
    </row>
    <row r="74" spans="4:17" ht="22.5" x14ac:dyDescent="0.2">
      <c r="D74" s="18" t="s">
        <v>7907</v>
      </c>
      <c r="E74" s="18" t="s">
        <v>19903</v>
      </c>
      <c r="F74" s="18" t="s">
        <v>15227</v>
      </c>
      <c r="G74" s="19" t="s">
        <v>15186</v>
      </c>
      <c r="H74" s="19" t="s">
        <v>13804</v>
      </c>
      <c r="I74" s="19" t="s">
        <v>10094</v>
      </c>
      <c r="J74" s="19" t="s">
        <v>9472</v>
      </c>
      <c r="P74" s="22"/>
      <c r="Q74" s="24"/>
    </row>
    <row r="75" spans="4:17" ht="22.5" x14ac:dyDescent="0.2">
      <c r="D75" s="18" t="s">
        <v>7907</v>
      </c>
      <c r="E75" s="18" t="s">
        <v>19903</v>
      </c>
      <c r="F75" s="18" t="s">
        <v>6899</v>
      </c>
      <c r="G75" s="19" t="s">
        <v>15186</v>
      </c>
      <c r="H75" s="19" t="s">
        <v>13804</v>
      </c>
      <c r="I75" s="19" t="s">
        <v>10094</v>
      </c>
      <c r="J75" s="19" t="s">
        <v>8206</v>
      </c>
      <c r="P75" s="22"/>
      <c r="Q75" s="24"/>
    </row>
    <row r="76" spans="4:17" ht="22.5" x14ac:dyDescent="0.2">
      <c r="D76" s="18" t="s">
        <v>7907</v>
      </c>
      <c r="E76" s="18" t="s">
        <v>19903</v>
      </c>
      <c r="F76" s="18" t="s">
        <v>18366</v>
      </c>
      <c r="G76" s="19" t="s">
        <v>15186</v>
      </c>
      <c r="H76" s="19" t="s">
        <v>13804</v>
      </c>
      <c r="I76" s="19" t="s">
        <v>10094</v>
      </c>
      <c r="J76" s="19" t="s">
        <v>10094</v>
      </c>
      <c r="P76" s="22"/>
      <c r="Q76" s="24"/>
    </row>
    <row r="77" spans="4:17" ht="22.5" x14ac:dyDescent="0.2">
      <c r="D77" s="18" t="s">
        <v>7907</v>
      </c>
      <c r="E77" s="18" t="s">
        <v>19903</v>
      </c>
      <c r="F77" s="18" t="s">
        <v>17949</v>
      </c>
      <c r="G77" s="19" t="s">
        <v>16200</v>
      </c>
      <c r="H77" s="19" t="s">
        <v>3833</v>
      </c>
      <c r="I77" s="19" t="s">
        <v>16519</v>
      </c>
      <c r="J77" s="19" t="s">
        <v>16519</v>
      </c>
      <c r="P77" s="22"/>
      <c r="Q77" s="24"/>
    </row>
    <row r="78" spans="4:17" ht="22.5" x14ac:dyDescent="0.2">
      <c r="D78" s="18" t="s">
        <v>7907</v>
      </c>
      <c r="E78" s="18" t="s">
        <v>10278</v>
      </c>
      <c r="F78" s="18" t="s">
        <v>9428</v>
      </c>
      <c r="G78" s="19" t="s">
        <v>16200</v>
      </c>
      <c r="H78" s="19" t="s">
        <v>3833</v>
      </c>
      <c r="I78" s="19" t="s">
        <v>10142</v>
      </c>
      <c r="J78" s="19" t="s">
        <v>10142</v>
      </c>
      <c r="P78" s="22"/>
      <c r="Q78" s="24"/>
    </row>
    <row r="79" spans="4:17" ht="22.5" x14ac:dyDescent="0.2">
      <c r="D79" s="18" t="s">
        <v>7907</v>
      </c>
      <c r="E79" s="18" t="s">
        <v>10278</v>
      </c>
      <c r="F79" s="18" t="s">
        <v>3337</v>
      </c>
      <c r="G79" s="19" t="s">
        <v>16200</v>
      </c>
      <c r="H79" s="19" t="s">
        <v>3833</v>
      </c>
      <c r="I79" s="19" t="s">
        <v>10142</v>
      </c>
      <c r="J79" s="19" t="s">
        <v>12159</v>
      </c>
      <c r="P79" s="22"/>
      <c r="Q79" s="24"/>
    </row>
    <row r="80" spans="4:17" ht="22.5" x14ac:dyDescent="0.2">
      <c r="D80" s="18" t="s">
        <v>7907</v>
      </c>
      <c r="E80" s="18" t="s">
        <v>14154</v>
      </c>
      <c r="F80" s="18" t="s">
        <v>14154</v>
      </c>
      <c r="G80" s="19" t="s">
        <v>16200</v>
      </c>
      <c r="H80" s="19" t="s">
        <v>3833</v>
      </c>
      <c r="I80" s="19" t="s">
        <v>10142</v>
      </c>
      <c r="J80" s="19" t="s">
        <v>4257</v>
      </c>
      <c r="P80" s="22"/>
      <c r="Q80" s="24"/>
    </row>
    <row r="81" spans="4:17" ht="22.5" x14ac:dyDescent="0.2">
      <c r="D81" s="18" t="s">
        <v>7907</v>
      </c>
      <c r="E81" s="18" t="s">
        <v>14154</v>
      </c>
      <c r="F81" s="18" t="s">
        <v>17056</v>
      </c>
      <c r="G81" s="19" t="s">
        <v>16200</v>
      </c>
      <c r="H81" s="19" t="s">
        <v>3833</v>
      </c>
      <c r="I81" s="19" t="s">
        <v>10142</v>
      </c>
      <c r="J81" s="19" t="s">
        <v>7964</v>
      </c>
      <c r="P81" s="22"/>
      <c r="Q81" s="24"/>
    </row>
    <row r="82" spans="4:17" x14ac:dyDescent="0.2">
      <c r="D82" s="18" t="s">
        <v>7907</v>
      </c>
      <c r="E82" s="18" t="s">
        <v>14154</v>
      </c>
      <c r="F82" s="18" t="s">
        <v>16652</v>
      </c>
      <c r="G82" s="19" t="s">
        <v>16200</v>
      </c>
      <c r="H82" s="19" t="s">
        <v>3833</v>
      </c>
      <c r="I82" s="19" t="s">
        <v>5981</v>
      </c>
      <c r="J82" s="19" t="s">
        <v>5981</v>
      </c>
      <c r="P82" s="22"/>
      <c r="Q82" s="24"/>
    </row>
    <row r="83" spans="4:17" x14ac:dyDescent="0.2">
      <c r="D83" s="18" t="s">
        <v>7907</v>
      </c>
      <c r="E83" s="18" t="s">
        <v>11711</v>
      </c>
      <c r="F83" s="18" t="s">
        <v>15455</v>
      </c>
      <c r="G83" s="19" t="s">
        <v>16200</v>
      </c>
      <c r="H83" s="19" t="s">
        <v>3833</v>
      </c>
      <c r="I83" s="19" t="s">
        <v>7730</v>
      </c>
      <c r="J83" s="19" t="s">
        <v>10220</v>
      </c>
      <c r="P83" s="22"/>
      <c r="Q83" s="24"/>
    </row>
    <row r="84" spans="4:17" x14ac:dyDescent="0.2">
      <c r="D84" s="18" t="s">
        <v>7907</v>
      </c>
      <c r="E84" s="18" t="s">
        <v>11711</v>
      </c>
      <c r="F84" s="18" t="s">
        <v>4466</v>
      </c>
      <c r="G84" s="19" t="s">
        <v>16200</v>
      </c>
      <c r="H84" s="19" t="s">
        <v>3833</v>
      </c>
      <c r="I84" s="19" t="s">
        <v>7730</v>
      </c>
      <c r="J84" s="19" t="s">
        <v>5130</v>
      </c>
      <c r="P84" s="22"/>
      <c r="Q84" s="24"/>
    </row>
    <row r="85" spans="4:17" x14ac:dyDescent="0.2">
      <c r="D85" s="18" t="s">
        <v>7907</v>
      </c>
      <c r="E85" s="18" t="s">
        <v>11711</v>
      </c>
      <c r="F85" s="18" t="s">
        <v>8281</v>
      </c>
      <c r="G85" s="19" t="s">
        <v>16200</v>
      </c>
      <c r="H85" s="19" t="s">
        <v>3833</v>
      </c>
      <c r="I85" s="19" t="s">
        <v>7730</v>
      </c>
      <c r="J85" s="19" t="s">
        <v>16634</v>
      </c>
      <c r="P85" s="22"/>
      <c r="Q85" s="24"/>
    </row>
    <row r="86" spans="4:17" x14ac:dyDescent="0.2">
      <c r="D86" s="18" t="s">
        <v>7907</v>
      </c>
      <c r="E86" s="18" t="s">
        <v>11711</v>
      </c>
      <c r="F86" s="18" t="s">
        <v>17591</v>
      </c>
      <c r="G86" s="19" t="s">
        <v>16200</v>
      </c>
      <c r="H86" s="19" t="s">
        <v>3833</v>
      </c>
      <c r="I86" s="19" t="s">
        <v>7730</v>
      </c>
      <c r="J86" s="19" t="s">
        <v>730</v>
      </c>
      <c r="P86" s="22"/>
      <c r="Q86" s="24"/>
    </row>
    <row r="87" spans="4:17" x14ac:dyDescent="0.2">
      <c r="D87" s="18" t="s">
        <v>7907</v>
      </c>
      <c r="E87" s="18" t="s">
        <v>11711</v>
      </c>
      <c r="F87" s="18" t="s">
        <v>3334</v>
      </c>
      <c r="G87" s="19" t="s">
        <v>16200</v>
      </c>
      <c r="H87" s="19" t="s">
        <v>3833</v>
      </c>
      <c r="I87" s="19" t="s">
        <v>7730</v>
      </c>
      <c r="J87" s="19" t="s">
        <v>11488</v>
      </c>
      <c r="P87" s="22"/>
      <c r="Q87" s="24"/>
    </row>
    <row r="88" spans="4:17" x14ac:dyDescent="0.2">
      <c r="D88" s="18" t="s">
        <v>7907</v>
      </c>
      <c r="E88" s="18" t="s">
        <v>11711</v>
      </c>
      <c r="F88" s="18" t="s">
        <v>18696</v>
      </c>
      <c r="G88" s="19" t="s">
        <v>16200</v>
      </c>
      <c r="H88" s="19" t="s">
        <v>3833</v>
      </c>
      <c r="I88" s="19" t="s">
        <v>7730</v>
      </c>
      <c r="J88" s="19" t="s">
        <v>2932</v>
      </c>
      <c r="P88" s="22"/>
      <c r="Q88" s="24"/>
    </row>
    <row r="89" spans="4:17" x14ac:dyDescent="0.2">
      <c r="D89" s="18" t="s">
        <v>7907</v>
      </c>
      <c r="E89" s="18" t="s">
        <v>11711</v>
      </c>
      <c r="F89" s="18" t="s">
        <v>4736</v>
      </c>
      <c r="G89" s="19" t="s">
        <v>16200</v>
      </c>
      <c r="H89" s="19" t="s">
        <v>3833</v>
      </c>
      <c r="I89" s="19" t="s">
        <v>7730</v>
      </c>
      <c r="J89" s="19" t="s">
        <v>7730</v>
      </c>
      <c r="P89" s="22"/>
      <c r="Q89" s="24"/>
    </row>
    <row r="90" spans="4:17" x14ac:dyDescent="0.2">
      <c r="D90" s="18" t="s">
        <v>7907</v>
      </c>
      <c r="E90" s="18" t="s">
        <v>11711</v>
      </c>
      <c r="F90" s="18" t="s">
        <v>14819</v>
      </c>
      <c r="G90" s="19" t="s">
        <v>16200</v>
      </c>
      <c r="H90" s="19" t="s">
        <v>3833</v>
      </c>
      <c r="I90" s="19" t="s">
        <v>7730</v>
      </c>
      <c r="J90" s="19" t="s">
        <v>4475</v>
      </c>
      <c r="P90" s="22"/>
      <c r="Q90" s="24"/>
    </row>
    <row r="91" spans="4:17" x14ac:dyDescent="0.2">
      <c r="D91" s="18" t="s">
        <v>7907</v>
      </c>
      <c r="E91" s="18" t="s">
        <v>11711</v>
      </c>
      <c r="F91" s="18" t="s">
        <v>13454</v>
      </c>
      <c r="G91" s="19" t="s">
        <v>16200</v>
      </c>
      <c r="H91" s="19" t="s">
        <v>3833</v>
      </c>
      <c r="I91" s="19" t="s">
        <v>7730</v>
      </c>
      <c r="J91" s="19" t="s">
        <v>15176</v>
      </c>
      <c r="P91" s="22"/>
      <c r="Q91" s="24"/>
    </row>
    <row r="92" spans="4:17" x14ac:dyDescent="0.2">
      <c r="D92" s="18" t="s">
        <v>7907</v>
      </c>
      <c r="E92" s="18" t="s">
        <v>11711</v>
      </c>
      <c r="F92" s="18" t="s">
        <v>8611</v>
      </c>
      <c r="G92" s="19" t="s">
        <v>16200</v>
      </c>
      <c r="H92" s="19" t="s">
        <v>10151</v>
      </c>
      <c r="I92" s="19" t="s">
        <v>4243</v>
      </c>
      <c r="J92" s="19" t="s">
        <v>4243</v>
      </c>
      <c r="P92" s="22"/>
      <c r="Q92" s="24"/>
    </row>
    <row r="93" spans="4:17" x14ac:dyDescent="0.2">
      <c r="D93" s="18" t="s">
        <v>11418</v>
      </c>
      <c r="E93" s="18" t="s">
        <v>5171</v>
      </c>
      <c r="F93" s="18" t="s">
        <v>7793</v>
      </c>
      <c r="G93" s="19" t="s">
        <v>16200</v>
      </c>
      <c r="H93" s="19" t="s">
        <v>10151</v>
      </c>
      <c r="I93" s="19" t="s">
        <v>4243</v>
      </c>
      <c r="J93" s="19" t="s">
        <v>9618</v>
      </c>
      <c r="P93" s="22"/>
      <c r="Q93" s="24"/>
    </row>
    <row r="94" spans="4:17" x14ac:dyDescent="0.2">
      <c r="D94" s="18" t="s">
        <v>11418</v>
      </c>
      <c r="E94" s="18" t="s">
        <v>5171</v>
      </c>
      <c r="F94" s="18" t="s">
        <v>2804</v>
      </c>
      <c r="G94" s="19" t="s">
        <v>16200</v>
      </c>
      <c r="H94" s="19" t="s">
        <v>10151</v>
      </c>
      <c r="I94" s="19" t="s">
        <v>15850</v>
      </c>
      <c r="J94" s="19" t="s">
        <v>15850</v>
      </c>
      <c r="P94" s="22"/>
      <c r="Q94" s="24"/>
    </row>
    <row r="95" spans="4:17" x14ac:dyDescent="0.2">
      <c r="D95" s="18" t="s">
        <v>11418</v>
      </c>
      <c r="E95" s="18" t="s">
        <v>5171</v>
      </c>
      <c r="F95" s="18" t="s">
        <v>5871</v>
      </c>
      <c r="G95" s="19" t="s">
        <v>16200</v>
      </c>
      <c r="H95" s="19" t="s">
        <v>10151</v>
      </c>
      <c r="I95" s="19" t="s">
        <v>9163</v>
      </c>
      <c r="J95" s="19" t="s">
        <v>9163</v>
      </c>
      <c r="P95" s="22"/>
      <c r="Q95" s="24"/>
    </row>
    <row r="96" spans="4:17" x14ac:dyDescent="0.2">
      <c r="D96" s="18" t="s">
        <v>11418</v>
      </c>
      <c r="E96" s="18" t="s">
        <v>5171</v>
      </c>
      <c r="F96" s="18" t="s">
        <v>7173</v>
      </c>
      <c r="G96" s="19" t="s">
        <v>16200</v>
      </c>
      <c r="H96" s="19" t="s">
        <v>10151</v>
      </c>
      <c r="I96" s="19" t="s">
        <v>6847</v>
      </c>
      <c r="J96" s="19" t="s">
        <v>6847</v>
      </c>
      <c r="P96" s="22"/>
      <c r="Q96" s="24"/>
    </row>
    <row r="97" spans="4:17" x14ac:dyDescent="0.2">
      <c r="D97" s="18" t="s">
        <v>11418</v>
      </c>
      <c r="E97" s="18" t="s">
        <v>5171</v>
      </c>
      <c r="F97" s="18" t="s">
        <v>10175</v>
      </c>
      <c r="G97" s="19" t="s">
        <v>16200</v>
      </c>
      <c r="H97" s="19" t="s">
        <v>10151</v>
      </c>
      <c r="I97" s="19" t="s">
        <v>6847</v>
      </c>
      <c r="J97" s="19" t="s">
        <v>8698</v>
      </c>
      <c r="P97" s="22"/>
      <c r="Q97" s="24"/>
    </row>
    <row r="98" spans="4:17" x14ac:dyDescent="0.2">
      <c r="D98" s="18" t="s">
        <v>11418</v>
      </c>
      <c r="E98" s="18" t="s">
        <v>5171</v>
      </c>
      <c r="F98" s="18" t="s">
        <v>18573</v>
      </c>
      <c r="G98" s="19" t="s">
        <v>16200</v>
      </c>
      <c r="H98" s="19" t="s">
        <v>10151</v>
      </c>
      <c r="I98" s="19" t="s">
        <v>13601</v>
      </c>
      <c r="J98" s="19" t="s">
        <v>12539</v>
      </c>
      <c r="P98" s="22"/>
      <c r="Q98" s="24"/>
    </row>
    <row r="99" spans="4:17" ht="22.5" x14ac:dyDescent="0.2">
      <c r="D99" s="18" t="s">
        <v>11418</v>
      </c>
      <c r="E99" s="18" t="s">
        <v>5171</v>
      </c>
      <c r="F99" s="18" t="s">
        <v>16283</v>
      </c>
      <c r="G99" s="19" t="s">
        <v>16200</v>
      </c>
      <c r="H99" s="19" t="s">
        <v>10151</v>
      </c>
      <c r="I99" s="19" t="s">
        <v>13601</v>
      </c>
      <c r="J99" s="19" t="s">
        <v>15260</v>
      </c>
      <c r="P99" s="22"/>
      <c r="Q99" s="24"/>
    </row>
    <row r="100" spans="4:17" x14ac:dyDescent="0.2">
      <c r="D100" s="18" t="s">
        <v>11418</v>
      </c>
      <c r="E100" s="18" t="s">
        <v>5171</v>
      </c>
      <c r="F100" s="18" t="s">
        <v>63</v>
      </c>
      <c r="G100" s="19" t="s">
        <v>16200</v>
      </c>
      <c r="H100" s="19" t="s">
        <v>10151</v>
      </c>
      <c r="I100" s="19" t="s">
        <v>13601</v>
      </c>
      <c r="J100" s="19" t="s">
        <v>12027</v>
      </c>
      <c r="P100" s="22"/>
      <c r="Q100" s="24"/>
    </row>
    <row r="101" spans="4:17" x14ac:dyDescent="0.2">
      <c r="D101" s="18" t="s">
        <v>11418</v>
      </c>
      <c r="E101" s="18" t="s">
        <v>5171</v>
      </c>
      <c r="F101" s="18" t="s">
        <v>16144</v>
      </c>
      <c r="G101" s="19" t="s">
        <v>16200</v>
      </c>
      <c r="H101" s="19" t="s">
        <v>10151</v>
      </c>
      <c r="I101" s="19" t="s">
        <v>13601</v>
      </c>
      <c r="J101" s="19" t="s">
        <v>13601</v>
      </c>
      <c r="P101" s="22"/>
      <c r="Q101" s="24"/>
    </row>
    <row r="102" spans="4:17" ht="22.5" x14ac:dyDescent="0.2">
      <c r="D102" s="18" t="s">
        <v>11418</v>
      </c>
      <c r="E102" s="18" t="s">
        <v>5171</v>
      </c>
      <c r="F102" s="18" t="s">
        <v>808</v>
      </c>
      <c r="G102" s="19" t="s">
        <v>16200</v>
      </c>
      <c r="H102" s="19" t="s">
        <v>10151</v>
      </c>
      <c r="I102" s="19" t="s">
        <v>5577</v>
      </c>
      <c r="J102" s="19" t="s">
        <v>4181</v>
      </c>
      <c r="P102" s="22"/>
      <c r="Q102" s="24"/>
    </row>
    <row r="103" spans="4:17" ht="22.5" x14ac:dyDescent="0.2">
      <c r="D103" s="18" t="s">
        <v>11418</v>
      </c>
      <c r="E103" s="18" t="s">
        <v>5171</v>
      </c>
      <c r="F103" s="18" t="s">
        <v>15007</v>
      </c>
      <c r="G103" s="19" t="s">
        <v>16200</v>
      </c>
      <c r="H103" s="19" t="s">
        <v>10151</v>
      </c>
      <c r="I103" s="19" t="s">
        <v>5577</v>
      </c>
      <c r="J103" s="19" t="s">
        <v>5577</v>
      </c>
      <c r="P103" s="22"/>
      <c r="Q103" s="24"/>
    </row>
    <row r="104" spans="4:17" ht="22.5" x14ac:dyDescent="0.2">
      <c r="D104" s="18" t="s">
        <v>11418</v>
      </c>
      <c r="E104" s="18" t="s">
        <v>9156</v>
      </c>
      <c r="F104" s="18" t="s">
        <v>18125</v>
      </c>
      <c r="G104" s="19" t="s">
        <v>16200</v>
      </c>
      <c r="H104" s="19" t="s">
        <v>10151</v>
      </c>
      <c r="I104" s="19" t="s">
        <v>5577</v>
      </c>
      <c r="J104" s="19" t="s">
        <v>16516</v>
      </c>
      <c r="P104" s="22"/>
      <c r="Q104" s="24"/>
    </row>
    <row r="105" spans="4:17" x14ac:dyDescent="0.2">
      <c r="D105" s="18" t="s">
        <v>11418</v>
      </c>
      <c r="E105" s="18" t="s">
        <v>9156</v>
      </c>
      <c r="F105" s="18" t="s">
        <v>1897</v>
      </c>
      <c r="G105" s="19" t="s">
        <v>16200</v>
      </c>
      <c r="H105" s="19" t="s">
        <v>10151</v>
      </c>
      <c r="I105" s="19" t="s">
        <v>11952</v>
      </c>
      <c r="J105" s="19" t="s">
        <v>6255</v>
      </c>
      <c r="P105" s="22"/>
      <c r="Q105" s="24"/>
    </row>
    <row r="106" spans="4:17" x14ac:dyDescent="0.2">
      <c r="D106" s="18" t="s">
        <v>11418</v>
      </c>
      <c r="E106" s="18" t="s">
        <v>9156</v>
      </c>
      <c r="F106" s="18" t="s">
        <v>7334</v>
      </c>
      <c r="G106" s="19" t="s">
        <v>16200</v>
      </c>
      <c r="H106" s="19" t="s">
        <v>10151</v>
      </c>
      <c r="I106" s="19" t="s">
        <v>11952</v>
      </c>
      <c r="J106" s="19" t="s">
        <v>18604</v>
      </c>
      <c r="P106" s="22"/>
      <c r="Q106" s="24"/>
    </row>
    <row r="107" spans="4:17" x14ac:dyDescent="0.2">
      <c r="D107" s="18" t="s">
        <v>11418</v>
      </c>
      <c r="E107" s="18" t="s">
        <v>9156</v>
      </c>
      <c r="F107" s="18" t="s">
        <v>447</v>
      </c>
      <c r="G107" s="19" t="s">
        <v>16200</v>
      </c>
      <c r="H107" s="19" t="s">
        <v>10151</v>
      </c>
      <c r="I107" s="19" t="s">
        <v>11952</v>
      </c>
      <c r="J107" s="19" t="s">
        <v>11952</v>
      </c>
      <c r="P107" s="22"/>
      <c r="Q107" s="24"/>
    </row>
    <row r="108" spans="4:17" x14ac:dyDescent="0.2">
      <c r="D108" s="18" t="s">
        <v>11418</v>
      </c>
      <c r="E108" s="18" t="s">
        <v>9156</v>
      </c>
      <c r="F108" s="18" t="s">
        <v>18439</v>
      </c>
      <c r="G108" s="19" t="s">
        <v>16200</v>
      </c>
      <c r="H108" s="19" t="s">
        <v>10151</v>
      </c>
      <c r="I108" s="19" t="s">
        <v>1446</v>
      </c>
      <c r="J108" s="19" t="s">
        <v>13787</v>
      </c>
      <c r="P108" s="22"/>
      <c r="Q108" s="24"/>
    </row>
    <row r="109" spans="4:17" x14ac:dyDescent="0.2">
      <c r="D109" s="18" t="s">
        <v>11418</v>
      </c>
      <c r="E109" s="18" t="s">
        <v>7684</v>
      </c>
      <c r="F109" s="18" t="s">
        <v>7684</v>
      </c>
      <c r="G109" s="19" t="s">
        <v>16200</v>
      </c>
      <c r="H109" s="19" t="s">
        <v>10151</v>
      </c>
      <c r="I109" s="19" t="s">
        <v>1446</v>
      </c>
      <c r="J109" s="19" t="s">
        <v>3960</v>
      </c>
      <c r="P109" s="22"/>
      <c r="Q109" s="24"/>
    </row>
    <row r="110" spans="4:17" x14ac:dyDescent="0.2">
      <c r="D110" s="18" t="s">
        <v>11418</v>
      </c>
      <c r="E110" s="18" t="s">
        <v>7684</v>
      </c>
      <c r="F110" s="18" t="s">
        <v>17744</v>
      </c>
      <c r="G110" s="19" t="s">
        <v>16200</v>
      </c>
      <c r="H110" s="19" t="s">
        <v>10151</v>
      </c>
      <c r="I110" s="19" t="s">
        <v>1446</v>
      </c>
      <c r="J110" s="19" t="s">
        <v>3972</v>
      </c>
      <c r="P110" s="22"/>
      <c r="Q110" s="24"/>
    </row>
    <row r="111" spans="4:17" x14ac:dyDescent="0.2">
      <c r="D111" s="18" t="s">
        <v>11418</v>
      </c>
      <c r="E111" s="18" t="s">
        <v>14454</v>
      </c>
      <c r="F111" s="18" t="s">
        <v>19754</v>
      </c>
      <c r="G111" s="19" t="s">
        <v>16200</v>
      </c>
      <c r="H111" s="19" t="s">
        <v>10151</v>
      </c>
      <c r="I111" s="19" t="s">
        <v>1446</v>
      </c>
      <c r="J111" s="19" t="s">
        <v>1446</v>
      </c>
      <c r="P111" s="22"/>
      <c r="Q111" s="24"/>
    </row>
    <row r="112" spans="4:17" x14ac:dyDescent="0.2">
      <c r="D112" s="18" t="s">
        <v>11418</v>
      </c>
      <c r="E112" s="18" t="s">
        <v>14454</v>
      </c>
      <c r="F112" s="18" t="s">
        <v>3236</v>
      </c>
      <c r="G112" s="19" t="s">
        <v>16200</v>
      </c>
      <c r="H112" s="19" t="s">
        <v>10151</v>
      </c>
      <c r="I112" s="19" t="s">
        <v>7347</v>
      </c>
      <c r="J112" s="19" t="s">
        <v>7347</v>
      </c>
      <c r="P112" s="22"/>
      <c r="Q112" s="24"/>
    </row>
    <row r="113" spans="4:17" x14ac:dyDescent="0.2">
      <c r="D113" s="18" t="s">
        <v>11418</v>
      </c>
      <c r="E113" s="18" t="s">
        <v>14454</v>
      </c>
      <c r="F113" s="18" t="s">
        <v>14725</v>
      </c>
      <c r="G113" s="19" t="s">
        <v>16200</v>
      </c>
      <c r="H113" s="19" t="s">
        <v>3172</v>
      </c>
      <c r="I113" s="19" t="s">
        <v>8687</v>
      </c>
      <c r="J113" s="19" t="s">
        <v>7133</v>
      </c>
      <c r="P113" s="22"/>
      <c r="Q113" s="24"/>
    </row>
    <row r="114" spans="4:17" x14ac:dyDescent="0.2">
      <c r="D114" s="18" t="s">
        <v>11418</v>
      </c>
      <c r="E114" s="18" t="s">
        <v>14454</v>
      </c>
      <c r="F114" s="18" t="s">
        <v>777</v>
      </c>
      <c r="G114" s="19" t="s">
        <v>16200</v>
      </c>
      <c r="H114" s="19" t="s">
        <v>3172</v>
      </c>
      <c r="I114" s="19" t="s">
        <v>8687</v>
      </c>
      <c r="J114" s="19" t="s">
        <v>8687</v>
      </c>
      <c r="P114" s="22"/>
      <c r="Q114" s="24"/>
    </row>
    <row r="115" spans="4:17" x14ac:dyDescent="0.2">
      <c r="D115" s="18" t="s">
        <v>11418</v>
      </c>
      <c r="E115" s="18" t="s">
        <v>14454</v>
      </c>
      <c r="F115" s="18" t="s">
        <v>16761</v>
      </c>
      <c r="G115" s="19" t="s">
        <v>16200</v>
      </c>
      <c r="H115" s="19" t="s">
        <v>3172</v>
      </c>
      <c r="I115" s="19" t="s">
        <v>8687</v>
      </c>
      <c r="J115" s="19" t="s">
        <v>1377</v>
      </c>
      <c r="P115" s="22"/>
      <c r="Q115" s="24"/>
    </row>
    <row r="116" spans="4:17" x14ac:dyDescent="0.2">
      <c r="D116" s="18" t="s">
        <v>11418</v>
      </c>
      <c r="E116" s="18" t="s">
        <v>14454</v>
      </c>
      <c r="F116" s="18" t="s">
        <v>15302</v>
      </c>
      <c r="G116" s="19" t="s">
        <v>16200</v>
      </c>
      <c r="H116" s="19" t="s">
        <v>3172</v>
      </c>
      <c r="I116" s="19" t="s">
        <v>12580</v>
      </c>
      <c r="J116" s="19" t="s">
        <v>6458</v>
      </c>
      <c r="P116" s="22"/>
      <c r="Q116" s="24"/>
    </row>
    <row r="117" spans="4:17" x14ac:dyDescent="0.2">
      <c r="D117" s="18" t="s">
        <v>1538</v>
      </c>
      <c r="E117" s="18" t="s">
        <v>1982</v>
      </c>
      <c r="F117" s="18" t="s">
        <v>19301</v>
      </c>
      <c r="G117" s="19" t="s">
        <v>16200</v>
      </c>
      <c r="H117" s="19" t="s">
        <v>3172</v>
      </c>
      <c r="I117" s="19" t="s">
        <v>12580</v>
      </c>
      <c r="J117" s="19" t="s">
        <v>12580</v>
      </c>
      <c r="P117" s="22"/>
      <c r="Q117" s="24"/>
    </row>
    <row r="118" spans="4:17" x14ac:dyDescent="0.2">
      <c r="D118" s="18" t="s">
        <v>1538</v>
      </c>
      <c r="E118" s="18" t="s">
        <v>1982</v>
      </c>
      <c r="F118" s="18" t="s">
        <v>6576</v>
      </c>
      <c r="G118" s="19" t="s">
        <v>16200</v>
      </c>
      <c r="H118" s="19" t="s">
        <v>3172</v>
      </c>
      <c r="I118" s="19" t="s">
        <v>3495</v>
      </c>
      <c r="J118" s="19" t="s">
        <v>5896</v>
      </c>
      <c r="P118" s="22"/>
      <c r="Q118" s="24"/>
    </row>
    <row r="119" spans="4:17" x14ac:dyDescent="0.2">
      <c r="D119" s="18" t="s">
        <v>1538</v>
      </c>
      <c r="E119" s="18" t="s">
        <v>1982</v>
      </c>
      <c r="F119" s="18" t="s">
        <v>1482</v>
      </c>
      <c r="G119" s="19" t="s">
        <v>16200</v>
      </c>
      <c r="H119" s="19" t="s">
        <v>3172</v>
      </c>
      <c r="I119" s="19" t="s">
        <v>3495</v>
      </c>
      <c r="J119" s="19" t="s">
        <v>4466</v>
      </c>
      <c r="P119" s="22"/>
      <c r="Q119" s="24"/>
    </row>
    <row r="120" spans="4:17" x14ac:dyDescent="0.2">
      <c r="D120" s="18" t="s">
        <v>1538</v>
      </c>
      <c r="E120" s="18" t="s">
        <v>1982</v>
      </c>
      <c r="F120" s="18" t="s">
        <v>10240</v>
      </c>
      <c r="G120" s="19" t="s">
        <v>16200</v>
      </c>
      <c r="H120" s="19" t="s">
        <v>3172</v>
      </c>
      <c r="I120" s="19" t="s">
        <v>3495</v>
      </c>
      <c r="J120" s="19" t="s">
        <v>3495</v>
      </c>
      <c r="P120" s="22"/>
      <c r="Q120" s="24"/>
    </row>
    <row r="121" spans="4:17" x14ac:dyDescent="0.2">
      <c r="D121" s="18" t="s">
        <v>1538</v>
      </c>
      <c r="E121" s="18" t="s">
        <v>1982</v>
      </c>
      <c r="F121" s="18" t="s">
        <v>16647</v>
      </c>
      <c r="G121" s="19" t="s">
        <v>16200</v>
      </c>
      <c r="H121" s="19" t="s">
        <v>3172</v>
      </c>
      <c r="I121" s="19" t="s">
        <v>19931</v>
      </c>
      <c r="J121" s="19" t="s">
        <v>19931</v>
      </c>
      <c r="P121" s="22"/>
      <c r="Q121" s="24"/>
    </row>
    <row r="122" spans="4:17" ht="22.5" x14ac:dyDescent="0.2">
      <c r="D122" s="18" t="s">
        <v>1538</v>
      </c>
      <c r="E122" s="18" t="s">
        <v>1982</v>
      </c>
      <c r="F122" s="18" t="s">
        <v>2103</v>
      </c>
      <c r="G122" s="19" t="s">
        <v>16200</v>
      </c>
      <c r="H122" s="19" t="s">
        <v>3172</v>
      </c>
      <c r="I122" s="19" t="s">
        <v>7693</v>
      </c>
      <c r="J122" s="19" t="s">
        <v>17222</v>
      </c>
      <c r="P122" s="22"/>
      <c r="Q122" s="24"/>
    </row>
    <row r="123" spans="4:17" ht="22.5" x14ac:dyDescent="0.2">
      <c r="D123" s="18" t="s">
        <v>1538</v>
      </c>
      <c r="E123" s="18" t="s">
        <v>7703</v>
      </c>
      <c r="F123" s="18" t="s">
        <v>9814</v>
      </c>
      <c r="G123" s="19" t="s">
        <v>16200</v>
      </c>
      <c r="H123" s="19" t="s">
        <v>3172</v>
      </c>
      <c r="I123" s="19" t="s">
        <v>7693</v>
      </c>
      <c r="J123" s="19" t="s">
        <v>13515</v>
      </c>
      <c r="P123" s="22"/>
      <c r="Q123" s="24"/>
    </row>
    <row r="124" spans="4:17" ht="22.5" x14ac:dyDescent="0.2">
      <c r="D124" s="18" t="s">
        <v>1538</v>
      </c>
      <c r="E124" s="18" t="s">
        <v>7703</v>
      </c>
      <c r="F124" s="18" t="s">
        <v>8407</v>
      </c>
      <c r="G124" s="19" t="s">
        <v>16200</v>
      </c>
      <c r="H124" s="19" t="s">
        <v>3172</v>
      </c>
      <c r="I124" s="19" t="s">
        <v>7693</v>
      </c>
      <c r="J124" s="19" t="s">
        <v>14018</v>
      </c>
      <c r="P124" s="22"/>
      <c r="Q124" s="24"/>
    </row>
    <row r="125" spans="4:17" ht="22.5" x14ac:dyDescent="0.2">
      <c r="D125" s="18" t="s">
        <v>1538</v>
      </c>
      <c r="E125" s="18" t="s">
        <v>7703</v>
      </c>
      <c r="F125" s="18" t="s">
        <v>12319</v>
      </c>
      <c r="G125" s="19" t="s">
        <v>16200</v>
      </c>
      <c r="H125" s="19" t="s">
        <v>3172</v>
      </c>
      <c r="I125" s="19" t="s">
        <v>7693</v>
      </c>
      <c r="J125" s="19" t="s">
        <v>7693</v>
      </c>
      <c r="P125" s="22"/>
      <c r="Q125" s="24"/>
    </row>
    <row r="126" spans="4:17" ht="22.5" x14ac:dyDescent="0.2">
      <c r="D126" s="18" t="s">
        <v>1538</v>
      </c>
      <c r="E126" s="18" t="s">
        <v>7703</v>
      </c>
      <c r="F126" s="18" t="s">
        <v>2990</v>
      </c>
      <c r="G126" s="19" t="s">
        <v>16200</v>
      </c>
      <c r="H126" s="19" t="s">
        <v>3172</v>
      </c>
      <c r="I126" s="19" t="s">
        <v>6376</v>
      </c>
      <c r="J126" s="19" t="s">
        <v>18990</v>
      </c>
      <c r="P126" s="22"/>
      <c r="Q126" s="24"/>
    </row>
    <row r="127" spans="4:17" ht="22.5" x14ac:dyDescent="0.2">
      <c r="D127" s="18" t="s">
        <v>1538</v>
      </c>
      <c r="E127" s="18" t="s">
        <v>7703</v>
      </c>
      <c r="F127" s="18" t="s">
        <v>5526</v>
      </c>
      <c r="G127" s="19" t="s">
        <v>16200</v>
      </c>
      <c r="H127" s="19" t="s">
        <v>3172</v>
      </c>
      <c r="I127" s="19" t="s">
        <v>6376</v>
      </c>
      <c r="J127" s="19" t="s">
        <v>18435</v>
      </c>
      <c r="P127" s="22"/>
      <c r="Q127" s="24"/>
    </row>
    <row r="128" spans="4:17" ht="22.5" x14ac:dyDescent="0.2">
      <c r="D128" s="18" t="s">
        <v>1538</v>
      </c>
      <c r="E128" s="18" t="s">
        <v>7703</v>
      </c>
      <c r="F128" s="18" t="s">
        <v>7622</v>
      </c>
      <c r="G128" s="19" t="s">
        <v>16200</v>
      </c>
      <c r="H128" s="19" t="s">
        <v>3172</v>
      </c>
      <c r="I128" s="19" t="s">
        <v>6376</v>
      </c>
      <c r="J128" s="19" t="s">
        <v>5954</v>
      </c>
      <c r="P128" s="22"/>
      <c r="Q128" s="24"/>
    </row>
    <row r="129" spans="4:17" ht="22.5" x14ac:dyDescent="0.2">
      <c r="D129" s="18" t="s">
        <v>11863</v>
      </c>
      <c r="E129" s="18" t="s">
        <v>20019</v>
      </c>
      <c r="F129" s="18" t="s">
        <v>20019</v>
      </c>
      <c r="G129" s="19" t="s">
        <v>16200</v>
      </c>
      <c r="H129" s="19" t="s">
        <v>3172</v>
      </c>
      <c r="I129" s="19" t="s">
        <v>6376</v>
      </c>
      <c r="J129" s="19" t="s">
        <v>4959</v>
      </c>
      <c r="P129" s="22"/>
      <c r="Q129" s="24"/>
    </row>
    <row r="130" spans="4:17" ht="22.5" x14ac:dyDescent="0.2">
      <c r="D130" s="18" t="s">
        <v>11863</v>
      </c>
      <c r="E130" s="18" t="s">
        <v>20019</v>
      </c>
      <c r="F130" s="18" t="s">
        <v>10043</v>
      </c>
      <c r="G130" s="19" t="s">
        <v>16200</v>
      </c>
      <c r="H130" s="19" t="s">
        <v>3172</v>
      </c>
      <c r="I130" s="19" t="s">
        <v>6376</v>
      </c>
      <c r="J130" s="19" t="s">
        <v>8477</v>
      </c>
      <c r="P130" s="22"/>
      <c r="Q130" s="24"/>
    </row>
    <row r="131" spans="4:17" ht="22.5" x14ac:dyDescent="0.2">
      <c r="D131" s="18" t="s">
        <v>11863</v>
      </c>
      <c r="E131" s="18" t="s">
        <v>20019</v>
      </c>
      <c r="F131" s="18" t="s">
        <v>11968</v>
      </c>
      <c r="G131" s="19" t="s">
        <v>16200</v>
      </c>
      <c r="H131" s="19" t="s">
        <v>3172</v>
      </c>
      <c r="I131" s="19" t="s">
        <v>6376</v>
      </c>
      <c r="J131" s="19" t="s">
        <v>6376</v>
      </c>
      <c r="P131" s="22"/>
      <c r="Q131" s="24"/>
    </row>
    <row r="132" spans="4:17" x14ac:dyDescent="0.2">
      <c r="D132" s="18" t="s">
        <v>11863</v>
      </c>
      <c r="E132" s="18" t="s">
        <v>9222</v>
      </c>
      <c r="F132" s="18" t="s">
        <v>2231</v>
      </c>
      <c r="G132" s="19" t="s">
        <v>16200</v>
      </c>
      <c r="H132" s="19" t="s">
        <v>3172</v>
      </c>
      <c r="I132" s="19" t="s">
        <v>8969</v>
      </c>
      <c r="J132" s="19" t="s">
        <v>5665</v>
      </c>
      <c r="P132" s="22"/>
      <c r="Q132" s="24"/>
    </row>
    <row r="133" spans="4:17" x14ac:dyDescent="0.2">
      <c r="D133" s="18" t="s">
        <v>11863</v>
      </c>
      <c r="E133" s="18" t="s">
        <v>9222</v>
      </c>
      <c r="F133" s="18" t="s">
        <v>8147</v>
      </c>
      <c r="G133" s="19" t="s">
        <v>16200</v>
      </c>
      <c r="H133" s="19" t="s">
        <v>3172</v>
      </c>
      <c r="I133" s="19" t="s">
        <v>8969</v>
      </c>
      <c r="J133" s="19" t="s">
        <v>8969</v>
      </c>
      <c r="P133" s="22"/>
      <c r="Q133" s="24"/>
    </row>
    <row r="134" spans="4:17" ht="22.5" x14ac:dyDescent="0.2">
      <c r="D134" s="18" t="s">
        <v>11863</v>
      </c>
      <c r="E134" s="18" t="s">
        <v>3524</v>
      </c>
      <c r="F134" s="18" t="s">
        <v>14889</v>
      </c>
      <c r="G134" s="19" t="s">
        <v>16200</v>
      </c>
      <c r="H134" s="19" t="s">
        <v>3172</v>
      </c>
      <c r="I134" s="19" t="s">
        <v>11583</v>
      </c>
      <c r="J134" s="19" t="s">
        <v>11583</v>
      </c>
      <c r="P134" s="22"/>
      <c r="Q134" s="24"/>
    </row>
    <row r="135" spans="4:17" x14ac:dyDescent="0.2">
      <c r="D135" s="18" t="s">
        <v>11863</v>
      </c>
      <c r="E135" s="18" t="s">
        <v>3524</v>
      </c>
      <c r="F135" s="18" t="s">
        <v>14419</v>
      </c>
      <c r="G135" s="19" t="s">
        <v>16200</v>
      </c>
      <c r="H135" s="19" t="s">
        <v>3172</v>
      </c>
      <c r="I135" s="19" t="s">
        <v>17132</v>
      </c>
      <c r="J135" s="19" t="s">
        <v>8403</v>
      </c>
      <c r="P135" s="22"/>
      <c r="Q135" s="24"/>
    </row>
    <row r="136" spans="4:17" x14ac:dyDescent="0.2">
      <c r="D136" s="18" t="s">
        <v>2057</v>
      </c>
      <c r="E136" s="18" t="s">
        <v>17392</v>
      </c>
      <c r="F136" s="18" t="s">
        <v>17392</v>
      </c>
      <c r="G136" s="19" t="s">
        <v>16200</v>
      </c>
      <c r="H136" s="19" t="s">
        <v>3172</v>
      </c>
      <c r="I136" s="19" t="s">
        <v>17132</v>
      </c>
      <c r="J136" s="19" t="s">
        <v>2170</v>
      </c>
      <c r="P136" s="22"/>
      <c r="Q136" s="24"/>
    </row>
    <row r="137" spans="4:17" x14ac:dyDescent="0.2">
      <c r="D137" s="18" t="s">
        <v>2057</v>
      </c>
      <c r="E137" s="18" t="s">
        <v>17392</v>
      </c>
      <c r="F137" s="18" t="s">
        <v>3001</v>
      </c>
      <c r="G137" s="19" t="s">
        <v>16200</v>
      </c>
      <c r="H137" s="19" t="s">
        <v>3172</v>
      </c>
      <c r="I137" s="19" t="s">
        <v>17132</v>
      </c>
      <c r="J137" s="19" t="s">
        <v>17132</v>
      </c>
      <c r="P137" s="22"/>
      <c r="Q137" s="24"/>
    </row>
    <row r="138" spans="4:17" ht="22.5" x14ac:dyDescent="0.2">
      <c r="D138" s="18" t="s">
        <v>2057</v>
      </c>
      <c r="E138" s="18" t="s">
        <v>17392</v>
      </c>
      <c r="F138" s="18" t="s">
        <v>7194</v>
      </c>
      <c r="G138" s="19" t="s">
        <v>13182</v>
      </c>
      <c r="H138" s="19" t="s">
        <v>2378</v>
      </c>
      <c r="I138" s="19" t="s">
        <v>3713</v>
      </c>
      <c r="J138" s="19" t="s">
        <v>3713</v>
      </c>
      <c r="P138" s="22"/>
      <c r="Q138" s="24"/>
    </row>
    <row r="139" spans="4:17" ht="22.5" x14ac:dyDescent="0.2">
      <c r="D139" s="18" t="s">
        <v>2057</v>
      </c>
      <c r="E139" s="18" t="s">
        <v>17392</v>
      </c>
      <c r="F139" s="18" t="s">
        <v>6109</v>
      </c>
      <c r="G139" s="19" t="s">
        <v>13182</v>
      </c>
      <c r="H139" s="19" t="s">
        <v>2378</v>
      </c>
      <c r="I139" s="19" t="s">
        <v>3713</v>
      </c>
      <c r="J139" s="19" t="s">
        <v>4074</v>
      </c>
      <c r="P139" s="22"/>
      <c r="Q139" s="24"/>
    </row>
    <row r="140" spans="4:17" ht="22.5" x14ac:dyDescent="0.2">
      <c r="D140" s="18" t="s">
        <v>2057</v>
      </c>
      <c r="E140" s="18" t="s">
        <v>17392</v>
      </c>
      <c r="F140" s="18" t="s">
        <v>12737</v>
      </c>
      <c r="G140" s="19" t="s">
        <v>13182</v>
      </c>
      <c r="H140" s="19" t="s">
        <v>2378</v>
      </c>
      <c r="I140" s="19" t="s">
        <v>3713</v>
      </c>
      <c r="J140" s="19" t="s">
        <v>14970</v>
      </c>
      <c r="P140" s="22"/>
      <c r="Q140" s="24"/>
    </row>
    <row r="141" spans="4:17" ht="22.5" x14ac:dyDescent="0.2">
      <c r="D141" s="18" t="s">
        <v>2057</v>
      </c>
      <c r="E141" s="18" t="s">
        <v>17392</v>
      </c>
      <c r="F141" s="18" t="s">
        <v>2962</v>
      </c>
      <c r="G141" s="19" t="s">
        <v>13182</v>
      </c>
      <c r="H141" s="19" t="s">
        <v>2378</v>
      </c>
      <c r="I141" s="19" t="s">
        <v>4055</v>
      </c>
      <c r="J141" s="19" t="s">
        <v>19334</v>
      </c>
      <c r="P141" s="22"/>
      <c r="Q141" s="24"/>
    </row>
    <row r="142" spans="4:17" ht="22.5" x14ac:dyDescent="0.2">
      <c r="D142" s="18" t="s">
        <v>2057</v>
      </c>
      <c r="E142" s="18" t="s">
        <v>516</v>
      </c>
      <c r="F142" s="18" t="s">
        <v>256</v>
      </c>
      <c r="G142" s="19" t="s">
        <v>13182</v>
      </c>
      <c r="H142" s="19" t="s">
        <v>2378</v>
      </c>
      <c r="I142" s="19" t="s">
        <v>4055</v>
      </c>
      <c r="J142" s="19" t="s">
        <v>4055</v>
      </c>
      <c r="P142" s="22"/>
      <c r="Q142" s="24"/>
    </row>
    <row r="143" spans="4:17" ht="22.5" x14ac:dyDescent="0.2">
      <c r="D143" s="18" t="s">
        <v>2057</v>
      </c>
      <c r="E143" s="18" t="s">
        <v>516</v>
      </c>
      <c r="F143" s="18" t="s">
        <v>474</v>
      </c>
      <c r="G143" s="19" t="s">
        <v>13182</v>
      </c>
      <c r="H143" s="19" t="s">
        <v>2378</v>
      </c>
      <c r="I143" s="19" t="s">
        <v>4055</v>
      </c>
      <c r="J143" s="19" t="s">
        <v>15683</v>
      </c>
      <c r="P143" s="22"/>
      <c r="Q143" s="24"/>
    </row>
    <row r="144" spans="4:17" ht="22.5" x14ac:dyDescent="0.2">
      <c r="D144" s="18" t="s">
        <v>2057</v>
      </c>
      <c r="E144" s="18" t="s">
        <v>516</v>
      </c>
      <c r="F144" s="18" t="s">
        <v>2174</v>
      </c>
      <c r="G144" s="19" t="s">
        <v>13182</v>
      </c>
      <c r="H144" s="19" t="s">
        <v>2378</v>
      </c>
      <c r="I144" s="19" t="s">
        <v>4351</v>
      </c>
      <c r="J144" s="19" t="s">
        <v>4351</v>
      </c>
      <c r="P144" s="22"/>
      <c r="Q144" s="24"/>
    </row>
    <row r="145" spans="4:17" ht="22.5" x14ac:dyDescent="0.2">
      <c r="D145" s="18" t="s">
        <v>2057</v>
      </c>
      <c r="E145" s="18" t="s">
        <v>14623</v>
      </c>
      <c r="F145" s="18" t="s">
        <v>14623</v>
      </c>
      <c r="G145" s="19" t="s">
        <v>13182</v>
      </c>
      <c r="H145" s="19" t="s">
        <v>2378</v>
      </c>
      <c r="I145" s="19" t="s">
        <v>4351</v>
      </c>
      <c r="J145" s="19" t="s">
        <v>19935</v>
      </c>
      <c r="P145" s="22"/>
      <c r="Q145" s="24"/>
    </row>
    <row r="146" spans="4:17" ht="22.5" x14ac:dyDescent="0.2">
      <c r="D146" s="18" t="s">
        <v>2057</v>
      </c>
      <c r="E146" s="18" t="s">
        <v>14623</v>
      </c>
      <c r="F146" s="18" t="s">
        <v>7854</v>
      </c>
      <c r="G146" s="19" t="s">
        <v>13182</v>
      </c>
      <c r="H146" s="19" t="s">
        <v>2378</v>
      </c>
      <c r="I146" s="19" t="s">
        <v>2286</v>
      </c>
      <c r="J146" s="19" t="s">
        <v>8601</v>
      </c>
      <c r="P146" s="22"/>
      <c r="Q146" s="24"/>
    </row>
    <row r="147" spans="4:17" ht="22.5" x14ac:dyDescent="0.2">
      <c r="D147" s="18" t="s">
        <v>2057</v>
      </c>
      <c r="E147" s="18" t="s">
        <v>14623</v>
      </c>
      <c r="F147" s="18" t="s">
        <v>9356</v>
      </c>
      <c r="G147" s="19" t="s">
        <v>13182</v>
      </c>
      <c r="H147" s="19" t="s">
        <v>2378</v>
      </c>
      <c r="I147" s="19" t="s">
        <v>2286</v>
      </c>
      <c r="J147" s="19" t="s">
        <v>2286</v>
      </c>
      <c r="P147" s="22"/>
      <c r="Q147" s="24"/>
    </row>
    <row r="148" spans="4:17" ht="22.5" x14ac:dyDescent="0.2">
      <c r="D148" s="18" t="s">
        <v>2057</v>
      </c>
      <c r="E148" s="18" t="s">
        <v>14623</v>
      </c>
      <c r="F148" s="18" t="s">
        <v>14514</v>
      </c>
      <c r="G148" s="19" t="s">
        <v>13182</v>
      </c>
      <c r="H148" s="19" t="s">
        <v>2378</v>
      </c>
      <c r="I148" s="19" t="s">
        <v>2286</v>
      </c>
      <c r="J148" s="19" t="s">
        <v>10975</v>
      </c>
      <c r="P148" s="22"/>
      <c r="Q148" s="24"/>
    </row>
    <row r="149" spans="4:17" x14ac:dyDescent="0.2">
      <c r="D149" s="18" t="s">
        <v>2057</v>
      </c>
      <c r="E149" s="18" t="s">
        <v>14623</v>
      </c>
      <c r="F149" s="18" t="s">
        <v>17168</v>
      </c>
      <c r="G149" s="19" t="s">
        <v>13182</v>
      </c>
      <c r="H149" s="19" t="s">
        <v>22</v>
      </c>
      <c r="I149" s="19" t="s">
        <v>3907</v>
      </c>
      <c r="J149" s="19" t="s">
        <v>11298</v>
      </c>
      <c r="P149" s="22"/>
      <c r="Q149" s="24"/>
    </row>
    <row r="150" spans="4:17" x14ac:dyDescent="0.2">
      <c r="D150" s="18" t="s">
        <v>5684</v>
      </c>
      <c r="E150" s="18" t="s">
        <v>17690</v>
      </c>
      <c r="F150" s="18" t="s">
        <v>17690</v>
      </c>
      <c r="G150" s="19" t="s">
        <v>13182</v>
      </c>
      <c r="H150" s="19" t="s">
        <v>22</v>
      </c>
      <c r="I150" s="19" t="s">
        <v>3907</v>
      </c>
      <c r="J150" s="19" t="s">
        <v>3907</v>
      </c>
      <c r="P150" s="22"/>
      <c r="Q150" s="24"/>
    </row>
    <row r="151" spans="4:17" x14ac:dyDescent="0.2">
      <c r="D151" s="18" t="s">
        <v>5684</v>
      </c>
      <c r="E151" s="18" t="s">
        <v>3622</v>
      </c>
      <c r="F151" s="18" t="s">
        <v>10902</v>
      </c>
      <c r="G151" s="19" t="s">
        <v>13182</v>
      </c>
      <c r="H151" s="19" t="s">
        <v>22</v>
      </c>
      <c r="I151" s="19" t="s">
        <v>3907</v>
      </c>
      <c r="J151" s="19" t="s">
        <v>16657</v>
      </c>
      <c r="P151" s="22"/>
      <c r="Q151" s="24"/>
    </row>
    <row r="152" spans="4:17" x14ac:dyDescent="0.2">
      <c r="D152" s="18" t="s">
        <v>5684</v>
      </c>
      <c r="E152" s="18" t="s">
        <v>3622</v>
      </c>
      <c r="F152" s="18" t="s">
        <v>3058</v>
      </c>
      <c r="G152" s="19" t="s">
        <v>13182</v>
      </c>
      <c r="H152" s="19" t="s">
        <v>22</v>
      </c>
      <c r="I152" s="19" t="s">
        <v>3907</v>
      </c>
      <c r="J152" s="19" t="s">
        <v>15522</v>
      </c>
      <c r="P152" s="22"/>
      <c r="Q152" s="24"/>
    </row>
    <row r="153" spans="4:17" x14ac:dyDescent="0.2">
      <c r="D153" s="18" t="s">
        <v>5684</v>
      </c>
      <c r="E153" s="18" t="s">
        <v>3622</v>
      </c>
      <c r="F153" s="18" t="s">
        <v>6596</v>
      </c>
      <c r="G153" s="19" t="s">
        <v>13182</v>
      </c>
      <c r="H153" s="19" t="s">
        <v>22</v>
      </c>
      <c r="I153" s="19" t="s">
        <v>3907</v>
      </c>
      <c r="J153" s="19" t="s">
        <v>9450</v>
      </c>
      <c r="P153" s="22"/>
      <c r="Q153" s="24"/>
    </row>
    <row r="154" spans="4:17" x14ac:dyDescent="0.2">
      <c r="D154" s="18" t="s">
        <v>5684</v>
      </c>
      <c r="E154" s="18" t="s">
        <v>3622</v>
      </c>
      <c r="F154" s="18" t="s">
        <v>15913</v>
      </c>
      <c r="G154" s="19" t="s">
        <v>13182</v>
      </c>
      <c r="H154" s="19" t="s">
        <v>22</v>
      </c>
      <c r="I154" s="19" t="s">
        <v>3907</v>
      </c>
      <c r="J154" s="19" t="s">
        <v>17011</v>
      </c>
      <c r="P154" s="22"/>
      <c r="Q154" s="24"/>
    </row>
    <row r="155" spans="4:17" x14ac:dyDescent="0.2">
      <c r="D155" s="18" t="s">
        <v>5684</v>
      </c>
      <c r="E155" s="18" t="s">
        <v>3622</v>
      </c>
      <c r="F155" s="18" t="s">
        <v>19606</v>
      </c>
      <c r="G155" s="19" t="s">
        <v>13182</v>
      </c>
      <c r="H155" s="19" t="s">
        <v>22</v>
      </c>
      <c r="I155" s="19" t="s">
        <v>4181</v>
      </c>
      <c r="J155" s="19" t="s">
        <v>4181</v>
      </c>
      <c r="P155" s="22"/>
      <c r="Q155" s="24"/>
    </row>
    <row r="156" spans="4:17" x14ac:dyDescent="0.2">
      <c r="D156" s="18" t="s">
        <v>5684</v>
      </c>
      <c r="E156" s="18" t="s">
        <v>3622</v>
      </c>
      <c r="F156" s="18" t="s">
        <v>19623</v>
      </c>
      <c r="G156" s="19" t="s">
        <v>13182</v>
      </c>
      <c r="H156" s="19" t="s">
        <v>22</v>
      </c>
      <c r="I156" s="19" t="s">
        <v>19796</v>
      </c>
      <c r="J156" s="19" t="s">
        <v>683</v>
      </c>
      <c r="P156" s="22"/>
      <c r="Q156" s="24"/>
    </row>
    <row r="157" spans="4:17" x14ac:dyDescent="0.2">
      <c r="D157" s="18" t="s">
        <v>5684</v>
      </c>
      <c r="E157" s="18" t="s">
        <v>3622</v>
      </c>
      <c r="F157" s="18" t="s">
        <v>9346</v>
      </c>
      <c r="G157" s="19" t="s">
        <v>13182</v>
      </c>
      <c r="H157" s="19" t="s">
        <v>22</v>
      </c>
      <c r="I157" s="19" t="s">
        <v>19796</v>
      </c>
      <c r="J157" s="19" t="s">
        <v>19796</v>
      </c>
      <c r="P157" s="22"/>
      <c r="Q157" s="24"/>
    </row>
    <row r="158" spans="4:17" x14ac:dyDescent="0.2">
      <c r="G158" s="19" t="s">
        <v>13182</v>
      </c>
      <c r="H158" s="19" t="s">
        <v>22</v>
      </c>
      <c r="I158" s="19" t="s">
        <v>19796</v>
      </c>
      <c r="J158" s="19" t="s">
        <v>8485</v>
      </c>
      <c r="P158" s="22"/>
      <c r="Q158" s="24"/>
    </row>
    <row r="159" spans="4:17" ht="22.5" x14ac:dyDescent="0.2">
      <c r="G159" s="19" t="s">
        <v>13182</v>
      </c>
      <c r="H159" s="19" t="s">
        <v>13862</v>
      </c>
      <c r="I159" s="19" t="s">
        <v>9120</v>
      </c>
      <c r="J159" s="19" t="s">
        <v>9120</v>
      </c>
      <c r="P159" s="22"/>
      <c r="Q159" s="24"/>
    </row>
    <row r="160" spans="4:17" ht="22.5" x14ac:dyDescent="0.2">
      <c r="G160" s="19" t="s">
        <v>13182</v>
      </c>
      <c r="H160" s="19" t="s">
        <v>13862</v>
      </c>
      <c r="I160" s="19" t="s">
        <v>9120</v>
      </c>
      <c r="J160" s="19" t="s">
        <v>2084</v>
      </c>
      <c r="P160" s="22"/>
      <c r="Q160" s="24"/>
    </row>
    <row r="161" spans="7:17" ht="22.5" x14ac:dyDescent="0.2">
      <c r="G161" s="19" t="s">
        <v>13182</v>
      </c>
      <c r="H161" s="19" t="s">
        <v>13862</v>
      </c>
      <c r="I161" s="19" t="s">
        <v>13087</v>
      </c>
      <c r="J161" s="19" t="s">
        <v>7207</v>
      </c>
      <c r="P161" s="22"/>
      <c r="Q161" s="24"/>
    </row>
    <row r="162" spans="7:17" ht="22.5" x14ac:dyDescent="0.2">
      <c r="G162" s="19" t="s">
        <v>13182</v>
      </c>
      <c r="H162" s="19" t="s">
        <v>13862</v>
      </c>
      <c r="I162" s="19" t="s">
        <v>13087</v>
      </c>
      <c r="J162" s="19" t="s">
        <v>7689</v>
      </c>
      <c r="P162" s="22"/>
      <c r="Q162" s="24"/>
    </row>
    <row r="163" spans="7:17" ht="22.5" x14ac:dyDescent="0.2">
      <c r="G163" s="19" t="s">
        <v>13182</v>
      </c>
      <c r="H163" s="19" t="s">
        <v>13862</v>
      </c>
      <c r="I163" s="19" t="s">
        <v>13087</v>
      </c>
      <c r="J163" s="19" t="s">
        <v>13087</v>
      </c>
      <c r="P163" s="22"/>
      <c r="Q163" s="24"/>
    </row>
    <row r="164" spans="7:17" ht="22.5" x14ac:dyDescent="0.2">
      <c r="G164" s="19" t="s">
        <v>13182</v>
      </c>
      <c r="H164" s="19" t="s">
        <v>13862</v>
      </c>
      <c r="I164" s="19" t="s">
        <v>13087</v>
      </c>
      <c r="J164" s="19" t="s">
        <v>18746</v>
      </c>
      <c r="P164" s="22"/>
      <c r="Q164" s="24"/>
    </row>
    <row r="165" spans="7:17" ht="22.5" x14ac:dyDescent="0.2">
      <c r="G165" s="19" t="s">
        <v>13182</v>
      </c>
      <c r="H165" s="19" t="s">
        <v>13862</v>
      </c>
      <c r="I165" s="19" t="s">
        <v>13087</v>
      </c>
      <c r="J165" s="19" t="s">
        <v>10006</v>
      </c>
      <c r="P165" s="22"/>
      <c r="Q165" s="24"/>
    </row>
    <row r="166" spans="7:17" ht="22.5" x14ac:dyDescent="0.2">
      <c r="G166" s="19" t="s">
        <v>13182</v>
      </c>
      <c r="H166" s="19" t="s">
        <v>13862</v>
      </c>
      <c r="I166" s="19" t="s">
        <v>12673</v>
      </c>
      <c r="J166" s="19" t="s">
        <v>12673</v>
      </c>
      <c r="P166" s="22"/>
      <c r="Q166" s="24"/>
    </row>
    <row r="167" spans="7:17" ht="22.5" x14ac:dyDescent="0.2">
      <c r="G167" s="19" t="s">
        <v>13182</v>
      </c>
      <c r="H167" s="19" t="s">
        <v>13862</v>
      </c>
      <c r="I167" s="19" t="s">
        <v>7586</v>
      </c>
      <c r="J167" s="19" t="s">
        <v>13959</v>
      </c>
      <c r="P167" s="22"/>
      <c r="Q167" s="24"/>
    </row>
    <row r="168" spans="7:17" ht="22.5" x14ac:dyDescent="0.2">
      <c r="G168" s="19" t="s">
        <v>13182</v>
      </c>
      <c r="H168" s="19" t="s">
        <v>13862</v>
      </c>
      <c r="I168" s="19" t="s">
        <v>7586</v>
      </c>
      <c r="J168" s="19" t="s">
        <v>544</v>
      </c>
      <c r="P168" s="22"/>
      <c r="Q168" s="24"/>
    </row>
    <row r="169" spans="7:17" ht="22.5" x14ac:dyDescent="0.2">
      <c r="G169" s="19" t="s">
        <v>13182</v>
      </c>
      <c r="H169" s="19" t="s">
        <v>13862</v>
      </c>
      <c r="I169" s="19" t="s">
        <v>7586</v>
      </c>
      <c r="J169" s="19" t="s">
        <v>19198</v>
      </c>
      <c r="P169" s="22"/>
      <c r="Q169" s="24"/>
    </row>
    <row r="170" spans="7:17" ht="22.5" x14ac:dyDescent="0.2">
      <c r="G170" s="19" t="s">
        <v>13182</v>
      </c>
      <c r="H170" s="19" t="s">
        <v>13862</v>
      </c>
      <c r="I170" s="19" t="s">
        <v>7586</v>
      </c>
      <c r="J170" s="19" t="s">
        <v>7586</v>
      </c>
      <c r="P170" s="22"/>
      <c r="Q170" s="24"/>
    </row>
    <row r="171" spans="7:17" x14ac:dyDescent="0.2">
      <c r="G171" s="19" t="s">
        <v>1538</v>
      </c>
      <c r="H171" s="19" t="s">
        <v>7703</v>
      </c>
      <c r="I171" s="19" t="s">
        <v>8407</v>
      </c>
      <c r="J171" s="19" t="s">
        <v>8407</v>
      </c>
      <c r="P171" s="22"/>
      <c r="Q171" s="24"/>
    </row>
    <row r="172" spans="7:17" x14ac:dyDescent="0.2">
      <c r="G172" s="19" t="s">
        <v>1538</v>
      </c>
      <c r="H172" s="19" t="s">
        <v>7703</v>
      </c>
      <c r="I172" s="19" t="s">
        <v>8407</v>
      </c>
      <c r="J172" s="19" t="s">
        <v>10476</v>
      </c>
      <c r="P172" s="22"/>
      <c r="Q172" s="24"/>
    </row>
    <row r="173" spans="7:17" x14ac:dyDescent="0.2">
      <c r="G173" s="19" t="s">
        <v>1538</v>
      </c>
      <c r="H173" s="19" t="s">
        <v>7703</v>
      </c>
      <c r="I173" s="19" t="s">
        <v>8407</v>
      </c>
      <c r="J173" s="19" t="s">
        <v>4974</v>
      </c>
      <c r="P173" s="22"/>
      <c r="Q173" s="24"/>
    </row>
    <row r="174" spans="7:17" x14ac:dyDescent="0.2">
      <c r="G174" s="19" t="s">
        <v>1538</v>
      </c>
      <c r="H174" s="19" t="s">
        <v>7703</v>
      </c>
      <c r="I174" s="19" t="s">
        <v>9814</v>
      </c>
      <c r="J174" s="19" t="s">
        <v>9814</v>
      </c>
      <c r="P174" s="22"/>
      <c r="Q174" s="24"/>
    </row>
    <row r="175" spans="7:17" x14ac:dyDescent="0.2">
      <c r="G175" s="19" t="s">
        <v>1538</v>
      </c>
      <c r="H175" s="19" t="s">
        <v>7703</v>
      </c>
      <c r="I175" s="19" t="s">
        <v>9814</v>
      </c>
      <c r="J175" s="19" t="s">
        <v>14345</v>
      </c>
      <c r="P175" s="22"/>
      <c r="Q175" s="24"/>
    </row>
    <row r="176" spans="7:17" x14ac:dyDescent="0.2">
      <c r="G176" s="19" t="s">
        <v>1538</v>
      </c>
      <c r="H176" s="19" t="s">
        <v>7703</v>
      </c>
      <c r="I176" s="19" t="s">
        <v>9814</v>
      </c>
      <c r="J176" s="19" t="s">
        <v>17056</v>
      </c>
      <c r="P176" s="22"/>
      <c r="Q176" s="24"/>
    </row>
    <row r="177" spans="7:17" x14ac:dyDescent="0.2">
      <c r="G177" s="19" t="s">
        <v>1538</v>
      </c>
      <c r="H177" s="19" t="s">
        <v>7703</v>
      </c>
      <c r="I177" s="19" t="s">
        <v>12319</v>
      </c>
      <c r="J177" s="19" t="s">
        <v>12319</v>
      </c>
      <c r="P177" s="22"/>
      <c r="Q177" s="24"/>
    </row>
    <row r="178" spans="7:17" x14ac:dyDescent="0.2">
      <c r="G178" s="19" t="s">
        <v>1538</v>
      </c>
      <c r="H178" s="19" t="s">
        <v>7703</v>
      </c>
      <c r="I178" s="19" t="s">
        <v>12319</v>
      </c>
      <c r="J178" s="19" t="s">
        <v>4559</v>
      </c>
      <c r="P178" s="22"/>
      <c r="Q178" s="24"/>
    </row>
    <row r="179" spans="7:17" x14ac:dyDescent="0.2">
      <c r="G179" s="19" t="s">
        <v>1538</v>
      </c>
      <c r="H179" s="19" t="s">
        <v>7703</v>
      </c>
      <c r="I179" s="19" t="s">
        <v>2990</v>
      </c>
      <c r="J179" s="19" t="s">
        <v>2990</v>
      </c>
      <c r="P179" s="22"/>
      <c r="Q179" s="24"/>
    </row>
    <row r="180" spans="7:17" x14ac:dyDescent="0.2">
      <c r="G180" s="19" t="s">
        <v>1538</v>
      </c>
      <c r="H180" s="19" t="s">
        <v>7703</v>
      </c>
      <c r="I180" s="19" t="s">
        <v>2990</v>
      </c>
      <c r="J180" s="19" t="s">
        <v>7626</v>
      </c>
      <c r="P180" s="22"/>
      <c r="Q180" s="24"/>
    </row>
    <row r="181" spans="7:17" x14ac:dyDescent="0.2">
      <c r="G181" s="19" t="s">
        <v>1538</v>
      </c>
      <c r="H181" s="19" t="s">
        <v>7703</v>
      </c>
      <c r="I181" s="19" t="s">
        <v>7622</v>
      </c>
      <c r="J181" s="19" t="s">
        <v>7622</v>
      </c>
      <c r="P181" s="22"/>
      <c r="Q181" s="24"/>
    </row>
    <row r="182" spans="7:17" x14ac:dyDescent="0.2">
      <c r="G182" s="19" t="s">
        <v>1538</v>
      </c>
      <c r="H182" s="19" t="s">
        <v>7703</v>
      </c>
      <c r="I182" s="19" t="s">
        <v>5526</v>
      </c>
      <c r="J182" s="19" t="s">
        <v>5526</v>
      </c>
      <c r="P182" s="22"/>
      <c r="Q182" s="24"/>
    </row>
    <row r="183" spans="7:17" x14ac:dyDescent="0.2">
      <c r="G183" s="19" t="s">
        <v>1538</v>
      </c>
      <c r="H183" s="19" t="s">
        <v>7703</v>
      </c>
      <c r="I183" s="19" t="s">
        <v>5526</v>
      </c>
      <c r="J183" s="19" t="s">
        <v>12802</v>
      </c>
      <c r="P183" s="22"/>
      <c r="Q183" s="24"/>
    </row>
    <row r="184" spans="7:17" x14ac:dyDescent="0.2">
      <c r="G184" s="19" t="s">
        <v>1538</v>
      </c>
      <c r="H184" s="19" t="s">
        <v>1982</v>
      </c>
      <c r="I184" s="19" t="s">
        <v>6576</v>
      </c>
      <c r="J184" s="19" t="s">
        <v>9795</v>
      </c>
      <c r="P184" s="22"/>
      <c r="Q184" s="24"/>
    </row>
    <row r="185" spans="7:17" x14ac:dyDescent="0.2">
      <c r="G185" s="19" t="s">
        <v>1538</v>
      </c>
      <c r="H185" s="19" t="s">
        <v>1982</v>
      </c>
      <c r="I185" s="19" t="s">
        <v>6576</v>
      </c>
      <c r="J185" s="19" t="s">
        <v>6576</v>
      </c>
      <c r="P185" s="22"/>
      <c r="Q185" s="24"/>
    </row>
    <row r="186" spans="7:17" x14ac:dyDescent="0.2">
      <c r="G186" s="19" t="s">
        <v>1538</v>
      </c>
      <c r="H186" s="19" t="s">
        <v>1982</v>
      </c>
      <c r="I186" s="19" t="s">
        <v>6576</v>
      </c>
      <c r="J186" s="19" t="s">
        <v>11998</v>
      </c>
      <c r="P186" s="22"/>
      <c r="Q186" s="24"/>
    </row>
    <row r="187" spans="7:17" x14ac:dyDescent="0.2">
      <c r="G187" s="19" t="s">
        <v>1538</v>
      </c>
      <c r="H187" s="19" t="s">
        <v>1982</v>
      </c>
      <c r="I187" s="19" t="s">
        <v>1482</v>
      </c>
      <c r="J187" s="19" t="s">
        <v>611</v>
      </c>
    </row>
    <row r="188" spans="7:17" x14ac:dyDescent="0.2">
      <c r="G188" s="19" t="s">
        <v>1538</v>
      </c>
      <c r="H188" s="19" t="s">
        <v>1982</v>
      </c>
      <c r="I188" s="19" t="s">
        <v>1482</v>
      </c>
      <c r="J188" s="19" t="s">
        <v>1482</v>
      </c>
    </row>
    <row r="189" spans="7:17" x14ac:dyDescent="0.2">
      <c r="G189" s="19" t="s">
        <v>1538</v>
      </c>
      <c r="H189" s="19" t="s">
        <v>1982</v>
      </c>
      <c r="I189" s="19" t="s">
        <v>1482</v>
      </c>
      <c r="J189" s="19" t="s">
        <v>17262</v>
      </c>
    </row>
    <row r="190" spans="7:17" x14ac:dyDescent="0.2">
      <c r="G190" s="19" t="s">
        <v>1538</v>
      </c>
      <c r="H190" s="19" t="s">
        <v>1982</v>
      </c>
      <c r="I190" s="19" t="s">
        <v>10240</v>
      </c>
      <c r="J190" s="19" t="s">
        <v>19503</v>
      </c>
    </row>
    <row r="191" spans="7:17" x14ac:dyDescent="0.2">
      <c r="G191" s="19" t="s">
        <v>1538</v>
      </c>
      <c r="H191" s="19" t="s">
        <v>1982</v>
      </c>
      <c r="I191" s="19" t="s">
        <v>10240</v>
      </c>
      <c r="J191" s="19" t="s">
        <v>10240</v>
      </c>
    </row>
    <row r="192" spans="7:17" ht="22.5" x14ac:dyDescent="0.2">
      <c r="G192" s="19" t="s">
        <v>1538</v>
      </c>
      <c r="H192" s="19" t="s">
        <v>1982</v>
      </c>
      <c r="I192" s="19" t="s">
        <v>16647</v>
      </c>
      <c r="J192" s="19" t="s">
        <v>9804</v>
      </c>
    </row>
    <row r="193" spans="7:10" ht="22.5" x14ac:dyDescent="0.2">
      <c r="G193" s="19" t="s">
        <v>1538</v>
      </c>
      <c r="H193" s="19" t="s">
        <v>1982</v>
      </c>
      <c r="I193" s="19" t="s">
        <v>16647</v>
      </c>
      <c r="J193" s="19" t="s">
        <v>16647</v>
      </c>
    </row>
    <row r="194" spans="7:10" ht="22.5" x14ac:dyDescent="0.2">
      <c r="G194" s="19" t="s">
        <v>1538</v>
      </c>
      <c r="H194" s="19" t="s">
        <v>1982</v>
      </c>
      <c r="I194" s="19" t="s">
        <v>16647</v>
      </c>
      <c r="J194" s="19" t="s">
        <v>6071</v>
      </c>
    </row>
    <row r="195" spans="7:10" ht="22.5" x14ac:dyDescent="0.2">
      <c r="G195" s="19" t="s">
        <v>1538</v>
      </c>
      <c r="H195" s="19" t="s">
        <v>1982</v>
      </c>
      <c r="I195" s="19" t="s">
        <v>19301</v>
      </c>
      <c r="J195" s="19" t="s">
        <v>6928</v>
      </c>
    </row>
    <row r="196" spans="7:10" ht="22.5" x14ac:dyDescent="0.2">
      <c r="G196" s="19" t="s">
        <v>1538</v>
      </c>
      <c r="H196" s="19" t="s">
        <v>1982</v>
      </c>
      <c r="I196" s="19" t="s">
        <v>19301</v>
      </c>
      <c r="J196" s="19" t="s">
        <v>4559</v>
      </c>
    </row>
    <row r="197" spans="7:10" ht="22.5" x14ac:dyDescent="0.2">
      <c r="G197" s="19" t="s">
        <v>1538</v>
      </c>
      <c r="H197" s="19" t="s">
        <v>1982</v>
      </c>
      <c r="I197" s="19" t="s">
        <v>19301</v>
      </c>
      <c r="J197" s="19" t="s">
        <v>8776</v>
      </c>
    </row>
    <row r="198" spans="7:10" ht="22.5" x14ac:dyDescent="0.2">
      <c r="G198" s="19" t="s">
        <v>1538</v>
      </c>
      <c r="H198" s="19" t="s">
        <v>1982</v>
      </c>
      <c r="I198" s="19" t="s">
        <v>19301</v>
      </c>
      <c r="J198" s="19" t="s">
        <v>19034</v>
      </c>
    </row>
    <row r="199" spans="7:10" ht="22.5" x14ac:dyDescent="0.2">
      <c r="G199" s="19" t="s">
        <v>1538</v>
      </c>
      <c r="H199" s="19" t="s">
        <v>1982</v>
      </c>
      <c r="I199" s="19" t="s">
        <v>19301</v>
      </c>
      <c r="J199" s="19" t="s">
        <v>7623</v>
      </c>
    </row>
    <row r="200" spans="7:10" ht="22.5" x14ac:dyDescent="0.2">
      <c r="G200" s="19" t="s">
        <v>1538</v>
      </c>
      <c r="H200" s="19" t="s">
        <v>1982</v>
      </c>
      <c r="I200" s="19" t="s">
        <v>19301</v>
      </c>
      <c r="J200" s="19" t="s">
        <v>1192</v>
      </c>
    </row>
    <row r="201" spans="7:10" ht="22.5" x14ac:dyDescent="0.2">
      <c r="G201" s="19" t="s">
        <v>1538</v>
      </c>
      <c r="H201" s="19" t="s">
        <v>1982</v>
      </c>
      <c r="I201" s="19" t="s">
        <v>19301</v>
      </c>
      <c r="J201" s="19" t="s">
        <v>7737</v>
      </c>
    </row>
    <row r="202" spans="7:10" ht="22.5" x14ac:dyDescent="0.2">
      <c r="G202" s="19" t="s">
        <v>1538</v>
      </c>
      <c r="H202" s="19" t="s">
        <v>1982</v>
      </c>
      <c r="I202" s="19" t="s">
        <v>19301</v>
      </c>
      <c r="J202" s="19" t="s">
        <v>7688</v>
      </c>
    </row>
    <row r="203" spans="7:10" ht="22.5" x14ac:dyDescent="0.2">
      <c r="G203" s="19" t="s">
        <v>1538</v>
      </c>
      <c r="H203" s="19" t="s">
        <v>1982</v>
      </c>
      <c r="I203" s="19" t="s">
        <v>19301</v>
      </c>
      <c r="J203" s="19" t="s">
        <v>3865</v>
      </c>
    </row>
    <row r="204" spans="7:10" ht="22.5" x14ac:dyDescent="0.2">
      <c r="G204" s="19" t="s">
        <v>1538</v>
      </c>
      <c r="H204" s="19" t="s">
        <v>1982</v>
      </c>
      <c r="I204" s="19" t="s">
        <v>19301</v>
      </c>
      <c r="J204" s="19" t="s">
        <v>12118</v>
      </c>
    </row>
    <row r="205" spans="7:10" ht="22.5" x14ac:dyDescent="0.2">
      <c r="G205" s="19" t="s">
        <v>1538</v>
      </c>
      <c r="H205" s="19" t="s">
        <v>1982</v>
      </c>
      <c r="I205" s="19" t="s">
        <v>19301</v>
      </c>
      <c r="J205" s="19" t="s">
        <v>19301</v>
      </c>
    </row>
    <row r="206" spans="7:10" x14ac:dyDescent="0.2">
      <c r="G206" s="19" t="s">
        <v>1538</v>
      </c>
      <c r="H206" s="19" t="s">
        <v>1982</v>
      </c>
      <c r="I206" s="19" t="s">
        <v>2103</v>
      </c>
      <c r="J206" s="19" t="s">
        <v>11663</v>
      </c>
    </row>
    <row r="207" spans="7:10" x14ac:dyDescent="0.2">
      <c r="G207" s="19" t="s">
        <v>1538</v>
      </c>
      <c r="H207" s="19" t="s">
        <v>1982</v>
      </c>
      <c r="I207" s="19" t="s">
        <v>2103</v>
      </c>
      <c r="J207" s="19" t="s">
        <v>2103</v>
      </c>
    </row>
    <row r="208" spans="7:10" x14ac:dyDescent="0.2">
      <c r="G208" s="19" t="s">
        <v>11418</v>
      </c>
      <c r="H208" s="19" t="s">
        <v>9156</v>
      </c>
      <c r="I208" s="19" t="s">
        <v>1897</v>
      </c>
      <c r="J208" s="19" t="s">
        <v>5162</v>
      </c>
    </row>
    <row r="209" spans="7:10" x14ac:dyDescent="0.2">
      <c r="G209" s="19" t="s">
        <v>11418</v>
      </c>
      <c r="H209" s="19" t="s">
        <v>9156</v>
      </c>
      <c r="I209" s="19" t="s">
        <v>1897</v>
      </c>
      <c r="J209" s="19" t="s">
        <v>1897</v>
      </c>
    </row>
    <row r="210" spans="7:10" x14ac:dyDescent="0.2">
      <c r="G210" s="19" t="s">
        <v>11418</v>
      </c>
      <c r="H210" s="19" t="s">
        <v>9156</v>
      </c>
      <c r="I210" s="19" t="s">
        <v>7334</v>
      </c>
      <c r="J210" s="19" t="s">
        <v>18128</v>
      </c>
    </row>
    <row r="211" spans="7:10" x14ac:dyDescent="0.2">
      <c r="G211" s="19" t="s">
        <v>11418</v>
      </c>
      <c r="H211" s="19" t="s">
        <v>9156</v>
      </c>
      <c r="I211" s="19" t="s">
        <v>7334</v>
      </c>
      <c r="J211" s="19" t="s">
        <v>7334</v>
      </c>
    </row>
    <row r="212" spans="7:10" x14ac:dyDescent="0.2">
      <c r="G212" s="19" t="s">
        <v>11418</v>
      </c>
      <c r="H212" s="19" t="s">
        <v>9156</v>
      </c>
      <c r="I212" s="19" t="s">
        <v>18125</v>
      </c>
      <c r="J212" s="19" t="s">
        <v>15692</v>
      </c>
    </row>
    <row r="213" spans="7:10" x14ac:dyDescent="0.2">
      <c r="G213" s="19" t="s">
        <v>11418</v>
      </c>
      <c r="H213" s="19" t="s">
        <v>9156</v>
      </c>
      <c r="I213" s="19" t="s">
        <v>18125</v>
      </c>
      <c r="J213" s="19" t="s">
        <v>18125</v>
      </c>
    </row>
    <row r="214" spans="7:10" x14ac:dyDescent="0.2">
      <c r="G214" s="19" t="s">
        <v>11418</v>
      </c>
      <c r="H214" s="19" t="s">
        <v>9156</v>
      </c>
      <c r="I214" s="19" t="s">
        <v>447</v>
      </c>
      <c r="J214" s="19" t="s">
        <v>5310</v>
      </c>
    </row>
    <row r="215" spans="7:10" x14ac:dyDescent="0.2">
      <c r="G215" s="19" t="s">
        <v>11418</v>
      </c>
      <c r="H215" s="19" t="s">
        <v>9156</v>
      </c>
      <c r="I215" s="19" t="s">
        <v>447</v>
      </c>
      <c r="J215" s="19" t="s">
        <v>18004</v>
      </c>
    </row>
    <row r="216" spans="7:10" x14ac:dyDescent="0.2">
      <c r="G216" s="19" t="s">
        <v>11418</v>
      </c>
      <c r="H216" s="19" t="s">
        <v>9156</v>
      </c>
      <c r="I216" s="19" t="s">
        <v>447</v>
      </c>
      <c r="J216" s="19" t="s">
        <v>7718</v>
      </c>
    </row>
    <row r="217" spans="7:10" x14ac:dyDescent="0.2">
      <c r="G217" s="19" t="s">
        <v>11418</v>
      </c>
      <c r="H217" s="19" t="s">
        <v>9156</v>
      </c>
      <c r="I217" s="19" t="s">
        <v>447</v>
      </c>
      <c r="J217" s="19" t="s">
        <v>11555</v>
      </c>
    </row>
    <row r="218" spans="7:10" x14ac:dyDescent="0.2">
      <c r="G218" s="19" t="s">
        <v>11418</v>
      </c>
      <c r="H218" s="19" t="s">
        <v>9156</v>
      </c>
      <c r="I218" s="19" t="s">
        <v>447</v>
      </c>
      <c r="J218" s="19" t="s">
        <v>13599</v>
      </c>
    </row>
    <row r="219" spans="7:10" x14ac:dyDescent="0.2">
      <c r="G219" s="19" t="s">
        <v>11418</v>
      </c>
      <c r="H219" s="19" t="s">
        <v>9156</v>
      </c>
      <c r="I219" s="19" t="s">
        <v>447</v>
      </c>
      <c r="J219" s="19" t="s">
        <v>447</v>
      </c>
    </row>
    <row r="220" spans="7:10" x14ac:dyDescent="0.2">
      <c r="G220" s="19" t="s">
        <v>11418</v>
      </c>
      <c r="H220" s="19" t="s">
        <v>9156</v>
      </c>
      <c r="I220" s="19" t="s">
        <v>447</v>
      </c>
      <c r="J220" s="19" t="s">
        <v>5904</v>
      </c>
    </row>
    <row r="221" spans="7:10" x14ac:dyDescent="0.2">
      <c r="G221" s="19" t="s">
        <v>11418</v>
      </c>
      <c r="H221" s="19" t="s">
        <v>9156</v>
      </c>
      <c r="I221" s="19" t="s">
        <v>18439</v>
      </c>
      <c r="J221" s="19" t="s">
        <v>18439</v>
      </c>
    </row>
    <row r="222" spans="7:10" x14ac:dyDescent="0.2">
      <c r="G222" s="19" t="s">
        <v>11418</v>
      </c>
      <c r="H222" s="19" t="s">
        <v>5171</v>
      </c>
      <c r="I222" s="19" t="s">
        <v>2804</v>
      </c>
      <c r="J222" s="19" t="s">
        <v>2804</v>
      </c>
    </row>
    <row r="223" spans="7:10" x14ac:dyDescent="0.2">
      <c r="G223" s="19" t="s">
        <v>11418</v>
      </c>
      <c r="H223" s="19" t="s">
        <v>5171</v>
      </c>
      <c r="I223" s="19" t="s">
        <v>63</v>
      </c>
      <c r="J223" s="19" t="s">
        <v>63</v>
      </c>
    </row>
    <row r="224" spans="7:10" x14ac:dyDescent="0.2">
      <c r="G224" s="19" t="s">
        <v>11418</v>
      </c>
      <c r="H224" s="19" t="s">
        <v>5171</v>
      </c>
      <c r="I224" s="19" t="s">
        <v>5871</v>
      </c>
      <c r="J224" s="19" t="s">
        <v>11772</v>
      </c>
    </row>
    <row r="225" spans="7:10" x14ac:dyDescent="0.2">
      <c r="G225" s="19" t="s">
        <v>11418</v>
      </c>
      <c r="H225" s="19" t="s">
        <v>5171</v>
      </c>
      <c r="I225" s="19" t="s">
        <v>5871</v>
      </c>
      <c r="J225" s="19" t="s">
        <v>5871</v>
      </c>
    </row>
    <row r="226" spans="7:10" x14ac:dyDescent="0.2">
      <c r="G226" s="19" t="s">
        <v>11418</v>
      </c>
      <c r="H226" s="19" t="s">
        <v>5171</v>
      </c>
      <c r="I226" s="19" t="s">
        <v>16144</v>
      </c>
      <c r="J226" s="19" t="s">
        <v>16144</v>
      </c>
    </row>
    <row r="227" spans="7:10" x14ac:dyDescent="0.2">
      <c r="G227" s="19" t="s">
        <v>11418</v>
      </c>
      <c r="H227" s="19" t="s">
        <v>5171</v>
      </c>
      <c r="I227" s="19" t="s">
        <v>16144</v>
      </c>
      <c r="J227" s="19" t="s">
        <v>621</v>
      </c>
    </row>
    <row r="228" spans="7:10" x14ac:dyDescent="0.2">
      <c r="G228" s="19" t="s">
        <v>11418</v>
      </c>
      <c r="H228" s="19" t="s">
        <v>5171</v>
      </c>
      <c r="I228" s="19" t="s">
        <v>15007</v>
      </c>
      <c r="J228" s="19" t="s">
        <v>15007</v>
      </c>
    </row>
    <row r="229" spans="7:10" x14ac:dyDescent="0.2">
      <c r="G229" s="19" t="s">
        <v>11418</v>
      </c>
      <c r="H229" s="19" t="s">
        <v>5171</v>
      </c>
      <c r="I229" s="19" t="s">
        <v>15007</v>
      </c>
      <c r="J229" s="19" t="s">
        <v>2360</v>
      </c>
    </row>
    <row r="230" spans="7:10" x14ac:dyDescent="0.2">
      <c r="G230" s="19" t="s">
        <v>11418</v>
      </c>
      <c r="H230" s="19" t="s">
        <v>5171</v>
      </c>
      <c r="I230" s="19" t="s">
        <v>808</v>
      </c>
      <c r="J230" s="19" t="s">
        <v>9156</v>
      </c>
    </row>
    <row r="231" spans="7:10" x14ac:dyDescent="0.2">
      <c r="G231" s="19" t="s">
        <v>11418</v>
      </c>
      <c r="H231" s="19" t="s">
        <v>5171</v>
      </c>
      <c r="I231" s="19" t="s">
        <v>808</v>
      </c>
      <c r="J231" s="19" t="s">
        <v>808</v>
      </c>
    </row>
    <row r="232" spans="7:10" x14ac:dyDescent="0.2">
      <c r="G232" s="19" t="s">
        <v>11418</v>
      </c>
      <c r="H232" s="19" t="s">
        <v>5171</v>
      </c>
      <c r="I232" s="19" t="s">
        <v>7173</v>
      </c>
      <c r="J232" s="19" t="s">
        <v>7173</v>
      </c>
    </row>
    <row r="233" spans="7:10" x14ac:dyDescent="0.2">
      <c r="G233" s="19" t="s">
        <v>11418</v>
      </c>
      <c r="H233" s="19" t="s">
        <v>5171</v>
      </c>
      <c r="I233" s="19" t="s">
        <v>10175</v>
      </c>
      <c r="J233" s="19" t="s">
        <v>16996</v>
      </c>
    </row>
    <row r="234" spans="7:10" x14ac:dyDescent="0.2">
      <c r="G234" s="19" t="s">
        <v>11418</v>
      </c>
      <c r="H234" s="19" t="s">
        <v>5171</v>
      </c>
      <c r="I234" s="19" t="s">
        <v>10175</v>
      </c>
      <c r="J234" s="19" t="s">
        <v>10175</v>
      </c>
    </row>
    <row r="235" spans="7:10" x14ac:dyDescent="0.2">
      <c r="G235" s="19" t="s">
        <v>11418</v>
      </c>
      <c r="H235" s="19" t="s">
        <v>5171</v>
      </c>
      <c r="I235" s="19" t="s">
        <v>18573</v>
      </c>
      <c r="J235" s="19" t="s">
        <v>18573</v>
      </c>
    </row>
    <row r="236" spans="7:10" ht="22.5" x14ac:dyDescent="0.2">
      <c r="G236" s="19" t="s">
        <v>11418</v>
      </c>
      <c r="H236" s="19" t="s">
        <v>5171</v>
      </c>
      <c r="I236" s="19" t="s">
        <v>7793</v>
      </c>
      <c r="J236" s="19" t="s">
        <v>9071</v>
      </c>
    </row>
    <row r="237" spans="7:10" ht="22.5" x14ac:dyDescent="0.2">
      <c r="G237" s="19" t="s">
        <v>11418</v>
      </c>
      <c r="H237" s="19" t="s">
        <v>5171</v>
      </c>
      <c r="I237" s="19" t="s">
        <v>7793</v>
      </c>
      <c r="J237" s="19" t="s">
        <v>3166</v>
      </c>
    </row>
    <row r="238" spans="7:10" ht="22.5" x14ac:dyDescent="0.2">
      <c r="G238" s="19" t="s">
        <v>11418</v>
      </c>
      <c r="H238" s="19" t="s">
        <v>5171</v>
      </c>
      <c r="I238" s="19" t="s">
        <v>7793</v>
      </c>
      <c r="J238" s="19" t="s">
        <v>7793</v>
      </c>
    </row>
    <row r="239" spans="7:10" ht="22.5" x14ac:dyDescent="0.2">
      <c r="G239" s="19" t="s">
        <v>11418</v>
      </c>
      <c r="H239" s="19" t="s">
        <v>5171</v>
      </c>
      <c r="I239" s="19" t="s">
        <v>7793</v>
      </c>
      <c r="J239" s="19" t="s">
        <v>7117</v>
      </c>
    </row>
    <row r="240" spans="7:10" x14ac:dyDescent="0.2">
      <c r="G240" s="19" t="s">
        <v>11418</v>
      </c>
      <c r="H240" s="19" t="s">
        <v>5171</v>
      </c>
      <c r="I240" s="19" t="s">
        <v>16283</v>
      </c>
      <c r="J240" s="19" t="s">
        <v>16560</v>
      </c>
    </row>
    <row r="241" spans="7:10" x14ac:dyDescent="0.2">
      <c r="G241" s="19" t="s">
        <v>11418</v>
      </c>
      <c r="H241" s="19" t="s">
        <v>5171</v>
      </c>
      <c r="I241" s="19" t="s">
        <v>16283</v>
      </c>
      <c r="J241" s="19" t="s">
        <v>18733</v>
      </c>
    </row>
    <row r="242" spans="7:10" x14ac:dyDescent="0.2">
      <c r="G242" s="19" t="s">
        <v>11418</v>
      </c>
      <c r="H242" s="19" t="s">
        <v>5171</v>
      </c>
      <c r="I242" s="19" t="s">
        <v>16283</v>
      </c>
      <c r="J242" s="19" t="s">
        <v>12251</v>
      </c>
    </row>
    <row r="243" spans="7:10" x14ac:dyDescent="0.2">
      <c r="G243" s="19" t="s">
        <v>11418</v>
      </c>
      <c r="H243" s="19" t="s">
        <v>5171</v>
      </c>
      <c r="I243" s="19" t="s">
        <v>16283</v>
      </c>
      <c r="J243" s="19" t="s">
        <v>16283</v>
      </c>
    </row>
    <row r="244" spans="7:10" x14ac:dyDescent="0.2">
      <c r="G244" s="19" t="s">
        <v>11418</v>
      </c>
      <c r="H244" s="19" t="s">
        <v>14454</v>
      </c>
      <c r="I244" s="19" t="s">
        <v>15302</v>
      </c>
      <c r="J244" s="19" t="s">
        <v>8824</v>
      </c>
    </row>
    <row r="245" spans="7:10" x14ac:dyDescent="0.2">
      <c r="G245" s="19" t="s">
        <v>11418</v>
      </c>
      <c r="H245" s="19" t="s">
        <v>14454</v>
      </c>
      <c r="I245" s="19" t="s">
        <v>15302</v>
      </c>
      <c r="J245" s="19" t="s">
        <v>15302</v>
      </c>
    </row>
    <row r="246" spans="7:10" x14ac:dyDescent="0.2">
      <c r="G246" s="19" t="s">
        <v>11418</v>
      </c>
      <c r="H246" s="19" t="s">
        <v>14454</v>
      </c>
      <c r="I246" s="19" t="s">
        <v>15302</v>
      </c>
      <c r="J246" s="19" t="s">
        <v>8215</v>
      </c>
    </row>
    <row r="247" spans="7:10" x14ac:dyDescent="0.2">
      <c r="G247" s="19" t="s">
        <v>11418</v>
      </c>
      <c r="H247" s="19" t="s">
        <v>14454</v>
      </c>
      <c r="I247" s="19" t="s">
        <v>3236</v>
      </c>
      <c r="J247" s="19" t="s">
        <v>3236</v>
      </c>
    </row>
    <row r="248" spans="7:10" x14ac:dyDescent="0.2">
      <c r="G248" s="19" t="s">
        <v>11418</v>
      </c>
      <c r="H248" s="19" t="s">
        <v>14454</v>
      </c>
      <c r="I248" s="19" t="s">
        <v>3236</v>
      </c>
      <c r="J248" s="19" t="s">
        <v>14637</v>
      </c>
    </row>
    <row r="249" spans="7:10" x14ac:dyDescent="0.2">
      <c r="G249" s="19" t="s">
        <v>11418</v>
      </c>
      <c r="H249" s="19" t="s">
        <v>14454</v>
      </c>
      <c r="I249" s="19" t="s">
        <v>19754</v>
      </c>
      <c r="J249" s="19" t="s">
        <v>2001</v>
      </c>
    </row>
    <row r="250" spans="7:10" x14ac:dyDescent="0.2">
      <c r="G250" s="19" t="s">
        <v>11418</v>
      </c>
      <c r="H250" s="19" t="s">
        <v>14454</v>
      </c>
      <c r="I250" s="19" t="s">
        <v>19754</v>
      </c>
      <c r="J250" s="19" t="s">
        <v>8403</v>
      </c>
    </row>
    <row r="251" spans="7:10" x14ac:dyDescent="0.2">
      <c r="G251" s="19" t="s">
        <v>11418</v>
      </c>
      <c r="H251" s="19" t="s">
        <v>14454</v>
      </c>
      <c r="I251" s="19" t="s">
        <v>19754</v>
      </c>
      <c r="J251" s="19" t="s">
        <v>19754</v>
      </c>
    </row>
    <row r="252" spans="7:10" x14ac:dyDescent="0.2">
      <c r="G252" s="19" t="s">
        <v>11418</v>
      </c>
      <c r="H252" s="19" t="s">
        <v>14454</v>
      </c>
      <c r="I252" s="19" t="s">
        <v>14725</v>
      </c>
      <c r="J252" s="19" t="s">
        <v>14725</v>
      </c>
    </row>
    <row r="253" spans="7:10" x14ac:dyDescent="0.2">
      <c r="G253" s="19" t="s">
        <v>11418</v>
      </c>
      <c r="H253" s="19" t="s">
        <v>14454</v>
      </c>
      <c r="I253" s="19" t="s">
        <v>777</v>
      </c>
      <c r="J253" s="19" t="s">
        <v>777</v>
      </c>
    </row>
    <row r="254" spans="7:10" x14ac:dyDescent="0.2">
      <c r="G254" s="19" t="s">
        <v>11418</v>
      </c>
      <c r="H254" s="19" t="s">
        <v>14454</v>
      </c>
      <c r="I254" s="19" t="s">
        <v>16761</v>
      </c>
      <c r="J254" s="19" t="s">
        <v>4466</v>
      </c>
    </row>
    <row r="255" spans="7:10" x14ac:dyDescent="0.2">
      <c r="G255" s="19" t="s">
        <v>11418</v>
      </c>
      <c r="H255" s="19" t="s">
        <v>14454</v>
      </c>
      <c r="I255" s="19" t="s">
        <v>16761</v>
      </c>
      <c r="J255" s="19" t="s">
        <v>16761</v>
      </c>
    </row>
    <row r="256" spans="7:10" x14ac:dyDescent="0.2">
      <c r="G256" s="19" t="s">
        <v>11418</v>
      </c>
      <c r="H256" s="19" t="s">
        <v>7684</v>
      </c>
      <c r="I256" s="19" t="s">
        <v>17744</v>
      </c>
      <c r="J256" s="19" t="s">
        <v>13658</v>
      </c>
    </row>
    <row r="257" spans="7:10" x14ac:dyDescent="0.2">
      <c r="G257" s="19" t="s">
        <v>11418</v>
      </c>
      <c r="H257" s="19" t="s">
        <v>7684</v>
      </c>
      <c r="I257" s="19" t="s">
        <v>17744</v>
      </c>
      <c r="J257" s="19" t="s">
        <v>17744</v>
      </c>
    </row>
    <row r="258" spans="7:10" x14ac:dyDescent="0.2">
      <c r="G258" s="19" t="s">
        <v>11418</v>
      </c>
      <c r="H258" s="19" t="s">
        <v>7684</v>
      </c>
      <c r="I258" s="19" t="s">
        <v>7684</v>
      </c>
      <c r="J258" s="19" t="s">
        <v>5606</v>
      </c>
    </row>
    <row r="259" spans="7:10" x14ac:dyDescent="0.2">
      <c r="G259" s="19" t="s">
        <v>11418</v>
      </c>
      <c r="H259" s="19" t="s">
        <v>7684</v>
      </c>
      <c r="I259" s="19" t="s">
        <v>7684</v>
      </c>
      <c r="J259" s="19" t="s">
        <v>7684</v>
      </c>
    </row>
    <row r="260" spans="7:10" x14ac:dyDescent="0.2">
      <c r="G260" s="19" t="s">
        <v>2057</v>
      </c>
      <c r="H260" s="19" t="s">
        <v>516</v>
      </c>
      <c r="I260" s="19" t="s">
        <v>2174</v>
      </c>
      <c r="J260" s="19" t="s">
        <v>2174</v>
      </c>
    </row>
    <row r="261" spans="7:10" ht="22.5" x14ac:dyDescent="0.2">
      <c r="G261" s="19" t="s">
        <v>2057</v>
      </c>
      <c r="H261" s="19" t="s">
        <v>516</v>
      </c>
      <c r="I261" s="19" t="s">
        <v>256</v>
      </c>
      <c r="J261" s="19" t="s">
        <v>1221</v>
      </c>
    </row>
    <row r="262" spans="7:10" ht="22.5" x14ac:dyDescent="0.2">
      <c r="G262" s="19" t="s">
        <v>2057</v>
      </c>
      <c r="H262" s="19" t="s">
        <v>516</v>
      </c>
      <c r="I262" s="19" t="s">
        <v>256</v>
      </c>
      <c r="J262" s="19" t="s">
        <v>256</v>
      </c>
    </row>
    <row r="263" spans="7:10" ht="22.5" x14ac:dyDescent="0.2">
      <c r="G263" s="19" t="s">
        <v>2057</v>
      </c>
      <c r="H263" s="19" t="s">
        <v>516</v>
      </c>
      <c r="I263" s="19" t="s">
        <v>256</v>
      </c>
      <c r="J263" s="19" t="s">
        <v>780</v>
      </c>
    </row>
    <row r="264" spans="7:10" ht="22.5" x14ac:dyDescent="0.2">
      <c r="G264" s="19" t="s">
        <v>2057</v>
      </c>
      <c r="H264" s="19" t="s">
        <v>516</v>
      </c>
      <c r="I264" s="19" t="s">
        <v>256</v>
      </c>
      <c r="J264" s="19" t="s">
        <v>17230</v>
      </c>
    </row>
    <row r="265" spans="7:10" ht="22.5" x14ac:dyDescent="0.2">
      <c r="G265" s="19" t="s">
        <v>2057</v>
      </c>
      <c r="H265" s="19" t="s">
        <v>516</v>
      </c>
      <c r="I265" s="19" t="s">
        <v>474</v>
      </c>
      <c r="J265" s="19" t="s">
        <v>18344</v>
      </c>
    </row>
    <row r="266" spans="7:10" ht="22.5" x14ac:dyDescent="0.2">
      <c r="G266" s="19" t="s">
        <v>2057</v>
      </c>
      <c r="H266" s="19" t="s">
        <v>516</v>
      </c>
      <c r="I266" s="19" t="s">
        <v>474</v>
      </c>
      <c r="J266" s="19" t="s">
        <v>474</v>
      </c>
    </row>
    <row r="267" spans="7:10" x14ac:dyDescent="0.2">
      <c r="G267" s="19" t="s">
        <v>2057</v>
      </c>
      <c r="H267" s="19" t="s">
        <v>14623</v>
      </c>
      <c r="I267" s="19" t="s">
        <v>7854</v>
      </c>
      <c r="J267" s="19" t="s">
        <v>7854</v>
      </c>
    </row>
    <row r="268" spans="7:10" x14ac:dyDescent="0.2">
      <c r="G268" s="19" t="s">
        <v>2057</v>
      </c>
      <c r="H268" s="19" t="s">
        <v>14623</v>
      </c>
      <c r="I268" s="19" t="s">
        <v>14623</v>
      </c>
      <c r="J268" s="19" t="s">
        <v>6924</v>
      </c>
    </row>
    <row r="269" spans="7:10" x14ac:dyDescent="0.2">
      <c r="G269" s="19" t="s">
        <v>2057</v>
      </c>
      <c r="H269" s="19" t="s">
        <v>14623</v>
      </c>
      <c r="I269" s="19" t="s">
        <v>14623</v>
      </c>
      <c r="J269" s="19" t="s">
        <v>3344</v>
      </c>
    </row>
    <row r="270" spans="7:10" x14ac:dyDescent="0.2">
      <c r="G270" s="19" t="s">
        <v>2057</v>
      </c>
      <c r="H270" s="19" t="s">
        <v>14623</v>
      </c>
      <c r="I270" s="19" t="s">
        <v>14623</v>
      </c>
      <c r="J270" s="19" t="s">
        <v>15467</v>
      </c>
    </row>
    <row r="271" spans="7:10" x14ac:dyDescent="0.2">
      <c r="G271" s="19" t="s">
        <v>2057</v>
      </c>
      <c r="H271" s="19" t="s">
        <v>14623</v>
      </c>
      <c r="I271" s="19" t="s">
        <v>14623</v>
      </c>
      <c r="J271" s="19" t="s">
        <v>14623</v>
      </c>
    </row>
    <row r="272" spans="7:10" x14ac:dyDescent="0.2">
      <c r="G272" s="19" t="s">
        <v>2057</v>
      </c>
      <c r="H272" s="19" t="s">
        <v>14623</v>
      </c>
      <c r="I272" s="19" t="s">
        <v>17168</v>
      </c>
      <c r="J272" s="19" t="s">
        <v>17168</v>
      </c>
    </row>
    <row r="273" spans="7:10" ht="22.5" x14ac:dyDescent="0.2">
      <c r="G273" s="19" t="s">
        <v>2057</v>
      </c>
      <c r="H273" s="19" t="s">
        <v>14623</v>
      </c>
      <c r="I273" s="19" t="s">
        <v>9356</v>
      </c>
      <c r="J273" s="19" t="s">
        <v>9380</v>
      </c>
    </row>
    <row r="274" spans="7:10" ht="22.5" x14ac:dyDescent="0.2">
      <c r="G274" s="19" t="s">
        <v>2057</v>
      </c>
      <c r="H274" s="19" t="s">
        <v>14623</v>
      </c>
      <c r="I274" s="19" t="s">
        <v>9356</v>
      </c>
      <c r="J274" s="19" t="s">
        <v>2502</v>
      </c>
    </row>
    <row r="275" spans="7:10" ht="22.5" x14ac:dyDescent="0.2">
      <c r="G275" s="19" t="s">
        <v>2057</v>
      </c>
      <c r="H275" s="19" t="s">
        <v>14623</v>
      </c>
      <c r="I275" s="19" t="s">
        <v>9356</v>
      </c>
      <c r="J275" s="19" t="s">
        <v>9356</v>
      </c>
    </row>
    <row r="276" spans="7:10" x14ac:dyDescent="0.2">
      <c r="G276" s="19" t="s">
        <v>2057</v>
      </c>
      <c r="H276" s="19" t="s">
        <v>14623</v>
      </c>
      <c r="I276" s="19" t="s">
        <v>14514</v>
      </c>
      <c r="J276" s="19" t="s">
        <v>3989</v>
      </c>
    </row>
    <row r="277" spans="7:10" x14ac:dyDescent="0.2">
      <c r="G277" s="19" t="s">
        <v>2057</v>
      </c>
      <c r="H277" s="19" t="s">
        <v>14623</v>
      </c>
      <c r="I277" s="19" t="s">
        <v>14514</v>
      </c>
      <c r="J277" s="19" t="s">
        <v>486</v>
      </c>
    </row>
    <row r="278" spans="7:10" x14ac:dyDescent="0.2">
      <c r="G278" s="19" t="s">
        <v>2057</v>
      </c>
      <c r="H278" s="19" t="s">
        <v>14623</v>
      </c>
      <c r="I278" s="19" t="s">
        <v>14514</v>
      </c>
      <c r="J278" s="19" t="s">
        <v>14514</v>
      </c>
    </row>
    <row r="279" spans="7:10" ht="22.5" x14ac:dyDescent="0.2">
      <c r="G279" s="19" t="s">
        <v>2057</v>
      </c>
      <c r="H279" s="19" t="s">
        <v>17392</v>
      </c>
      <c r="I279" s="19" t="s">
        <v>6109</v>
      </c>
      <c r="J279" s="19" t="s">
        <v>6109</v>
      </c>
    </row>
    <row r="280" spans="7:10" ht="22.5" x14ac:dyDescent="0.2">
      <c r="G280" s="19" t="s">
        <v>2057</v>
      </c>
      <c r="H280" s="19" t="s">
        <v>17392</v>
      </c>
      <c r="I280" s="19" t="s">
        <v>2962</v>
      </c>
      <c r="J280" s="19" t="s">
        <v>2962</v>
      </c>
    </row>
    <row r="281" spans="7:10" ht="22.5" x14ac:dyDescent="0.2">
      <c r="G281" s="19" t="s">
        <v>2057</v>
      </c>
      <c r="H281" s="19" t="s">
        <v>17392</v>
      </c>
      <c r="I281" s="19" t="s">
        <v>12737</v>
      </c>
      <c r="J281" s="19" t="s">
        <v>12737</v>
      </c>
    </row>
    <row r="282" spans="7:10" ht="22.5" x14ac:dyDescent="0.2">
      <c r="G282" s="19" t="s">
        <v>2057</v>
      </c>
      <c r="H282" s="19" t="s">
        <v>17392</v>
      </c>
      <c r="I282" s="19" t="s">
        <v>7194</v>
      </c>
      <c r="J282" s="19" t="s">
        <v>7194</v>
      </c>
    </row>
    <row r="283" spans="7:10" ht="22.5" x14ac:dyDescent="0.2">
      <c r="G283" s="19" t="s">
        <v>2057</v>
      </c>
      <c r="H283" s="19" t="s">
        <v>17392</v>
      </c>
      <c r="I283" s="19" t="s">
        <v>3001</v>
      </c>
      <c r="J283" s="19" t="s">
        <v>16012</v>
      </c>
    </row>
    <row r="284" spans="7:10" ht="22.5" x14ac:dyDescent="0.2">
      <c r="G284" s="19" t="s">
        <v>2057</v>
      </c>
      <c r="H284" s="19" t="s">
        <v>17392</v>
      </c>
      <c r="I284" s="19" t="s">
        <v>3001</v>
      </c>
      <c r="J284" s="19" t="s">
        <v>12667</v>
      </c>
    </row>
    <row r="285" spans="7:10" ht="22.5" x14ac:dyDescent="0.2">
      <c r="G285" s="19" t="s">
        <v>2057</v>
      </c>
      <c r="H285" s="19" t="s">
        <v>17392</v>
      </c>
      <c r="I285" s="19" t="s">
        <v>3001</v>
      </c>
      <c r="J285" s="19" t="s">
        <v>3001</v>
      </c>
    </row>
    <row r="286" spans="7:10" ht="22.5" x14ac:dyDescent="0.2">
      <c r="G286" s="19" t="s">
        <v>2057</v>
      </c>
      <c r="H286" s="19" t="s">
        <v>17392</v>
      </c>
      <c r="I286" s="19" t="s">
        <v>17392</v>
      </c>
      <c r="J286" s="19" t="s">
        <v>17392</v>
      </c>
    </row>
    <row r="287" spans="7:10" ht="22.5" x14ac:dyDescent="0.2">
      <c r="G287" s="19" t="s">
        <v>5684</v>
      </c>
      <c r="H287" s="19" t="s">
        <v>17690</v>
      </c>
      <c r="I287" s="19" t="s">
        <v>17690</v>
      </c>
      <c r="J287" s="19" t="s">
        <v>17690</v>
      </c>
    </row>
    <row r="288" spans="7:10" ht="22.5" x14ac:dyDescent="0.2">
      <c r="G288" s="19" t="s">
        <v>5684</v>
      </c>
      <c r="H288" s="19" t="s">
        <v>3622</v>
      </c>
      <c r="I288" s="19" t="s">
        <v>15913</v>
      </c>
      <c r="J288" s="19" t="s">
        <v>15913</v>
      </c>
    </row>
    <row r="289" spans="7:10" ht="22.5" x14ac:dyDescent="0.2">
      <c r="G289" s="19" t="s">
        <v>5684</v>
      </c>
      <c r="H289" s="19" t="s">
        <v>3622</v>
      </c>
      <c r="I289" s="19" t="s">
        <v>15913</v>
      </c>
      <c r="J289" s="19" t="s">
        <v>2334</v>
      </c>
    </row>
    <row r="290" spans="7:10" ht="22.5" x14ac:dyDescent="0.2">
      <c r="G290" s="19" t="s">
        <v>5684</v>
      </c>
      <c r="H290" s="19" t="s">
        <v>3622</v>
      </c>
      <c r="I290" s="19" t="s">
        <v>19606</v>
      </c>
      <c r="J290" s="19" t="s">
        <v>19606</v>
      </c>
    </row>
    <row r="291" spans="7:10" ht="22.5" x14ac:dyDescent="0.2">
      <c r="G291" s="19" t="s">
        <v>5684</v>
      </c>
      <c r="H291" s="19" t="s">
        <v>3622</v>
      </c>
      <c r="I291" s="19" t="s">
        <v>19606</v>
      </c>
      <c r="J291" s="19" t="s">
        <v>11512</v>
      </c>
    </row>
    <row r="292" spans="7:10" ht="22.5" x14ac:dyDescent="0.2">
      <c r="G292" s="19" t="s">
        <v>5684</v>
      </c>
      <c r="H292" s="19" t="s">
        <v>3622</v>
      </c>
      <c r="I292" s="19" t="s">
        <v>19623</v>
      </c>
      <c r="J292" s="19" t="s">
        <v>19623</v>
      </c>
    </row>
    <row r="293" spans="7:10" ht="22.5" x14ac:dyDescent="0.2">
      <c r="G293" s="19" t="s">
        <v>5684</v>
      </c>
      <c r="H293" s="19" t="s">
        <v>3622</v>
      </c>
      <c r="I293" s="19" t="s">
        <v>19623</v>
      </c>
      <c r="J293" s="19" t="s">
        <v>7848</v>
      </c>
    </row>
    <row r="294" spans="7:10" ht="22.5" x14ac:dyDescent="0.2">
      <c r="G294" s="19" t="s">
        <v>5684</v>
      </c>
      <c r="H294" s="19" t="s">
        <v>3622</v>
      </c>
      <c r="I294" s="19" t="s">
        <v>19623</v>
      </c>
      <c r="J294" s="19" t="s">
        <v>5344</v>
      </c>
    </row>
    <row r="295" spans="7:10" ht="22.5" x14ac:dyDescent="0.2">
      <c r="G295" s="19" t="s">
        <v>5684</v>
      </c>
      <c r="H295" s="19" t="s">
        <v>3622</v>
      </c>
      <c r="I295" s="19" t="s">
        <v>9346</v>
      </c>
      <c r="J295" s="19" t="s">
        <v>16171</v>
      </c>
    </row>
    <row r="296" spans="7:10" ht="22.5" x14ac:dyDescent="0.2">
      <c r="G296" s="19" t="s">
        <v>5684</v>
      </c>
      <c r="H296" s="19" t="s">
        <v>3622</v>
      </c>
      <c r="I296" s="19" t="s">
        <v>9346</v>
      </c>
      <c r="J296" s="19" t="s">
        <v>6900</v>
      </c>
    </row>
    <row r="297" spans="7:10" ht="22.5" x14ac:dyDescent="0.2">
      <c r="G297" s="19" t="s">
        <v>5684</v>
      </c>
      <c r="H297" s="19" t="s">
        <v>3622</v>
      </c>
      <c r="I297" s="19" t="s">
        <v>9346</v>
      </c>
      <c r="J297" s="19" t="s">
        <v>9346</v>
      </c>
    </row>
    <row r="298" spans="7:10" ht="22.5" x14ac:dyDescent="0.2">
      <c r="G298" s="19" t="s">
        <v>5684</v>
      </c>
      <c r="H298" s="19" t="s">
        <v>3622</v>
      </c>
      <c r="I298" s="19" t="s">
        <v>10902</v>
      </c>
      <c r="J298" s="19" t="s">
        <v>16107</v>
      </c>
    </row>
    <row r="299" spans="7:10" ht="22.5" x14ac:dyDescent="0.2">
      <c r="G299" s="19" t="s">
        <v>5684</v>
      </c>
      <c r="H299" s="19" t="s">
        <v>3622</v>
      </c>
      <c r="I299" s="19" t="s">
        <v>10902</v>
      </c>
      <c r="J299" s="19" t="s">
        <v>10902</v>
      </c>
    </row>
    <row r="300" spans="7:10" ht="22.5" x14ac:dyDescent="0.2">
      <c r="G300" s="19" t="s">
        <v>5684</v>
      </c>
      <c r="H300" s="19" t="s">
        <v>3622</v>
      </c>
      <c r="I300" s="19" t="s">
        <v>6596</v>
      </c>
      <c r="J300" s="19" t="s">
        <v>8530</v>
      </c>
    </row>
    <row r="301" spans="7:10" ht="22.5" x14ac:dyDescent="0.2">
      <c r="G301" s="19" t="s">
        <v>5684</v>
      </c>
      <c r="H301" s="19" t="s">
        <v>3622</v>
      </c>
      <c r="I301" s="19" t="s">
        <v>6596</v>
      </c>
      <c r="J301" s="19" t="s">
        <v>6596</v>
      </c>
    </row>
    <row r="302" spans="7:10" ht="22.5" x14ac:dyDescent="0.2">
      <c r="G302" s="19" t="s">
        <v>5684</v>
      </c>
      <c r="H302" s="19" t="s">
        <v>3622</v>
      </c>
      <c r="I302" s="19" t="s">
        <v>3058</v>
      </c>
      <c r="J302" s="19" t="s">
        <v>3058</v>
      </c>
    </row>
    <row r="303" spans="7:10" ht="22.5" x14ac:dyDescent="0.2">
      <c r="G303" s="19" t="s">
        <v>7907</v>
      </c>
      <c r="H303" s="19" t="s">
        <v>11711</v>
      </c>
      <c r="I303" s="19" t="s">
        <v>15455</v>
      </c>
      <c r="J303" s="19" t="s">
        <v>15455</v>
      </c>
    </row>
    <row r="304" spans="7:10" ht="22.5" x14ac:dyDescent="0.2">
      <c r="G304" s="19" t="s">
        <v>7907</v>
      </c>
      <c r="H304" s="19" t="s">
        <v>11711</v>
      </c>
      <c r="I304" s="19" t="s">
        <v>15455</v>
      </c>
      <c r="J304" s="19" t="s">
        <v>17207</v>
      </c>
    </row>
    <row r="305" spans="7:10" ht="22.5" x14ac:dyDescent="0.2">
      <c r="G305" s="19" t="s">
        <v>7907</v>
      </c>
      <c r="H305" s="19" t="s">
        <v>11711</v>
      </c>
      <c r="I305" s="19" t="s">
        <v>15455</v>
      </c>
      <c r="J305" s="19" t="s">
        <v>13241</v>
      </c>
    </row>
    <row r="306" spans="7:10" ht="22.5" x14ac:dyDescent="0.2">
      <c r="G306" s="19" t="s">
        <v>7907</v>
      </c>
      <c r="H306" s="19" t="s">
        <v>11711</v>
      </c>
      <c r="I306" s="19" t="s">
        <v>15455</v>
      </c>
      <c r="J306" s="19" t="s">
        <v>5939</v>
      </c>
    </row>
    <row r="307" spans="7:10" ht="22.5" x14ac:dyDescent="0.2">
      <c r="G307" s="19" t="s">
        <v>7907</v>
      </c>
      <c r="H307" s="19" t="s">
        <v>11711</v>
      </c>
      <c r="I307" s="19" t="s">
        <v>15455</v>
      </c>
      <c r="J307" s="19" t="s">
        <v>15973</v>
      </c>
    </row>
    <row r="308" spans="7:10" ht="22.5" x14ac:dyDescent="0.2">
      <c r="G308" s="19" t="s">
        <v>7907</v>
      </c>
      <c r="H308" s="19" t="s">
        <v>11711</v>
      </c>
      <c r="I308" s="19" t="s">
        <v>15455</v>
      </c>
      <c r="J308" s="19" t="s">
        <v>4102</v>
      </c>
    </row>
    <row r="309" spans="7:10" ht="22.5" x14ac:dyDescent="0.2">
      <c r="G309" s="19" t="s">
        <v>7907</v>
      </c>
      <c r="H309" s="19" t="s">
        <v>11711</v>
      </c>
      <c r="I309" s="19" t="s">
        <v>15455</v>
      </c>
      <c r="J309" s="19" t="s">
        <v>9349</v>
      </c>
    </row>
    <row r="310" spans="7:10" ht="22.5" x14ac:dyDescent="0.2">
      <c r="G310" s="19" t="s">
        <v>7907</v>
      </c>
      <c r="H310" s="19" t="s">
        <v>11711</v>
      </c>
      <c r="I310" s="19" t="s">
        <v>15455</v>
      </c>
      <c r="J310" s="19" t="s">
        <v>9016</v>
      </c>
    </row>
    <row r="311" spans="7:10" ht="22.5" x14ac:dyDescent="0.2">
      <c r="G311" s="19" t="s">
        <v>7907</v>
      </c>
      <c r="H311" s="19" t="s">
        <v>11711</v>
      </c>
      <c r="I311" s="19" t="s">
        <v>15455</v>
      </c>
      <c r="J311" s="19" t="s">
        <v>5740</v>
      </c>
    </row>
    <row r="312" spans="7:10" x14ac:dyDescent="0.2">
      <c r="G312" s="19" t="s">
        <v>7907</v>
      </c>
      <c r="H312" s="19" t="s">
        <v>11711</v>
      </c>
      <c r="I312" s="19" t="s">
        <v>13454</v>
      </c>
      <c r="J312" s="19" t="s">
        <v>13454</v>
      </c>
    </row>
    <row r="313" spans="7:10" x14ac:dyDescent="0.2">
      <c r="G313" s="19" t="s">
        <v>7907</v>
      </c>
      <c r="H313" s="19" t="s">
        <v>11711</v>
      </c>
      <c r="I313" s="19" t="s">
        <v>4466</v>
      </c>
      <c r="J313" s="19" t="s">
        <v>4466</v>
      </c>
    </row>
    <row r="314" spans="7:10" x14ac:dyDescent="0.2">
      <c r="G314" s="19" t="s">
        <v>7907</v>
      </c>
      <c r="H314" s="19" t="s">
        <v>11711</v>
      </c>
      <c r="I314" s="19" t="s">
        <v>8281</v>
      </c>
      <c r="J314" s="19" t="s">
        <v>8281</v>
      </c>
    </row>
    <row r="315" spans="7:10" x14ac:dyDescent="0.2">
      <c r="G315" s="19" t="s">
        <v>7907</v>
      </c>
      <c r="H315" s="19" t="s">
        <v>11711</v>
      </c>
      <c r="I315" s="19" t="s">
        <v>8281</v>
      </c>
      <c r="J315" s="19" t="s">
        <v>1824</v>
      </c>
    </row>
    <row r="316" spans="7:10" ht="22.5" x14ac:dyDescent="0.2">
      <c r="G316" s="19" t="s">
        <v>7907</v>
      </c>
      <c r="H316" s="19" t="s">
        <v>11711</v>
      </c>
      <c r="I316" s="19" t="s">
        <v>17591</v>
      </c>
      <c r="J316" s="19" t="s">
        <v>14773</v>
      </c>
    </row>
    <row r="317" spans="7:10" ht="22.5" x14ac:dyDescent="0.2">
      <c r="G317" s="19" t="s">
        <v>7907</v>
      </c>
      <c r="H317" s="19" t="s">
        <v>11711</v>
      </c>
      <c r="I317" s="19" t="s">
        <v>17591</v>
      </c>
      <c r="J317" s="19" t="s">
        <v>17591</v>
      </c>
    </row>
    <row r="318" spans="7:10" ht="22.5" x14ac:dyDescent="0.2">
      <c r="G318" s="19" t="s">
        <v>7907</v>
      </c>
      <c r="H318" s="19" t="s">
        <v>11711</v>
      </c>
      <c r="I318" s="19" t="s">
        <v>17591</v>
      </c>
      <c r="J318" s="19" t="s">
        <v>5802</v>
      </c>
    </row>
    <row r="319" spans="7:10" ht="22.5" x14ac:dyDescent="0.2">
      <c r="G319" s="19" t="s">
        <v>7907</v>
      </c>
      <c r="H319" s="19" t="s">
        <v>11711</v>
      </c>
      <c r="I319" s="19" t="s">
        <v>3334</v>
      </c>
      <c r="J319" s="19" t="s">
        <v>9403</v>
      </c>
    </row>
    <row r="320" spans="7:10" ht="22.5" x14ac:dyDescent="0.2">
      <c r="G320" s="19" t="s">
        <v>7907</v>
      </c>
      <c r="H320" s="19" t="s">
        <v>11711</v>
      </c>
      <c r="I320" s="19" t="s">
        <v>3334</v>
      </c>
      <c r="J320" s="19" t="s">
        <v>13801</v>
      </c>
    </row>
    <row r="321" spans="7:10" ht="22.5" x14ac:dyDescent="0.2">
      <c r="G321" s="19" t="s">
        <v>7907</v>
      </c>
      <c r="H321" s="19" t="s">
        <v>11711</v>
      </c>
      <c r="I321" s="19" t="s">
        <v>3334</v>
      </c>
      <c r="J321" s="19" t="s">
        <v>15188</v>
      </c>
    </row>
    <row r="322" spans="7:10" ht="22.5" x14ac:dyDescent="0.2">
      <c r="G322" s="19" t="s">
        <v>7907</v>
      </c>
      <c r="H322" s="19" t="s">
        <v>11711</v>
      </c>
      <c r="I322" s="19" t="s">
        <v>3334</v>
      </c>
      <c r="J322" s="19" t="s">
        <v>14299</v>
      </c>
    </row>
    <row r="323" spans="7:10" ht="22.5" x14ac:dyDescent="0.2">
      <c r="G323" s="19" t="s">
        <v>7907</v>
      </c>
      <c r="H323" s="19" t="s">
        <v>11711</v>
      </c>
      <c r="I323" s="19" t="s">
        <v>3334</v>
      </c>
      <c r="J323" s="19" t="s">
        <v>3334</v>
      </c>
    </row>
    <row r="324" spans="7:10" x14ac:dyDescent="0.2">
      <c r="G324" s="19" t="s">
        <v>7907</v>
      </c>
      <c r="H324" s="19" t="s">
        <v>11711</v>
      </c>
      <c r="I324" s="19" t="s">
        <v>18696</v>
      </c>
      <c r="J324" s="19" t="s">
        <v>18696</v>
      </c>
    </row>
    <row r="325" spans="7:10" x14ac:dyDescent="0.2">
      <c r="G325" s="19" t="s">
        <v>7907</v>
      </c>
      <c r="H325" s="19" t="s">
        <v>11711</v>
      </c>
      <c r="I325" s="19" t="s">
        <v>8611</v>
      </c>
      <c r="J325" s="19" t="s">
        <v>6928</v>
      </c>
    </row>
    <row r="326" spans="7:10" x14ac:dyDescent="0.2">
      <c r="G326" s="19" t="s">
        <v>7907</v>
      </c>
      <c r="H326" s="19" t="s">
        <v>11711</v>
      </c>
      <c r="I326" s="19" t="s">
        <v>8611</v>
      </c>
      <c r="J326" s="19" t="s">
        <v>8611</v>
      </c>
    </row>
    <row r="327" spans="7:10" x14ac:dyDescent="0.2">
      <c r="G327" s="19" t="s">
        <v>7907</v>
      </c>
      <c r="H327" s="19" t="s">
        <v>11711</v>
      </c>
      <c r="I327" s="19" t="s">
        <v>4736</v>
      </c>
      <c r="J327" s="19" t="s">
        <v>6310</v>
      </c>
    </row>
    <row r="328" spans="7:10" x14ac:dyDescent="0.2">
      <c r="G328" s="19" t="s">
        <v>7907</v>
      </c>
      <c r="H328" s="19" t="s">
        <v>11711</v>
      </c>
      <c r="I328" s="19" t="s">
        <v>4736</v>
      </c>
      <c r="J328" s="19" t="s">
        <v>4492</v>
      </c>
    </row>
    <row r="329" spans="7:10" x14ac:dyDescent="0.2">
      <c r="G329" s="19" t="s">
        <v>7907</v>
      </c>
      <c r="H329" s="19" t="s">
        <v>11711</v>
      </c>
      <c r="I329" s="19" t="s">
        <v>4736</v>
      </c>
      <c r="J329" s="19" t="s">
        <v>3008</v>
      </c>
    </row>
    <row r="330" spans="7:10" x14ac:dyDescent="0.2">
      <c r="G330" s="19" t="s">
        <v>7907</v>
      </c>
      <c r="H330" s="19" t="s">
        <v>11711</v>
      </c>
      <c r="I330" s="19" t="s">
        <v>4736</v>
      </c>
      <c r="J330" s="19" t="s">
        <v>4736</v>
      </c>
    </row>
    <row r="331" spans="7:10" x14ac:dyDescent="0.2">
      <c r="G331" s="19" t="s">
        <v>7907</v>
      </c>
      <c r="H331" s="19" t="s">
        <v>11711</v>
      </c>
      <c r="I331" s="19" t="s">
        <v>14819</v>
      </c>
      <c r="J331" s="19" t="s">
        <v>8089</v>
      </c>
    </row>
    <row r="332" spans="7:10" x14ac:dyDescent="0.2">
      <c r="G332" s="19" t="s">
        <v>7907</v>
      </c>
      <c r="H332" s="19" t="s">
        <v>11711</v>
      </c>
      <c r="I332" s="19" t="s">
        <v>14819</v>
      </c>
      <c r="J332" s="19" t="s">
        <v>15655</v>
      </c>
    </row>
    <row r="333" spans="7:10" x14ac:dyDescent="0.2">
      <c r="G333" s="19" t="s">
        <v>7907</v>
      </c>
      <c r="H333" s="19" t="s">
        <v>11711</v>
      </c>
      <c r="I333" s="19" t="s">
        <v>14819</v>
      </c>
      <c r="J333" s="19" t="s">
        <v>11291</v>
      </c>
    </row>
    <row r="334" spans="7:10" x14ac:dyDescent="0.2">
      <c r="G334" s="19" t="s">
        <v>7907</v>
      </c>
      <c r="H334" s="19" t="s">
        <v>11711</v>
      </c>
      <c r="I334" s="19" t="s">
        <v>14819</v>
      </c>
      <c r="J334" s="19" t="s">
        <v>14819</v>
      </c>
    </row>
    <row r="335" spans="7:10" x14ac:dyDescent="0.2">
      <c r="G335" s="19" t="s">
        <v>7907</v>
      </c>
      <c r="H335" s="19" t="s">
        <v>10278</v>
      </c>
      <c r="I335" s="19" t="s">
        <v>9428</v>
      </c>
      <c r="J335" s="19" t="s">
        <v>9428</v>
      </c>
    </row>
    <row r="336" spans="7:10" x14ac:dyDescent="0.2">
      <c r="G336" s="19" t="s">
        <v>7907</v>
      </c>
      <c r="H336" s="19" t="s">
        <v>10278</v>
      </c>
      <c r="I336" s="19" t="s">
        <v>9428</v>
      </c>
      <c r="J336" s="19" t="s">
        <v>8766</v>
      </c>
    </row>
    <row r="337" spans="7:10" x14ac:dyDescent="0.2">
      <c r="G337" s="19" t="s">
        <v>7907</v>
      </c>
      <c r="H337" s="19" t="s">
        <v>10278</v>
      </c>
      <c r="I337" s="19" t="s">
        <v>9428</v>
      </c>
      <c r="J337" s="19" t="s">
        <v>624</v>
      </c>
    </row>
    <row r="338" spans="7:10" x14ac:dyDescent="0.2">
      <c r="G338" s="19" t="s">
        <v>7907</v>
      </c>
      <c r="H338" s="19" t="s">
        <v>10278</v>
      </c>
      <c r="I338" s="19" t="s">
        <v>9428</v>
      </c>
      <c r="J338" s="19" t="s">
        <v>12792</v>
      </c>
    </row>
    <row r="339" spans="7:10" x14ac:dyDescent="0.2">
      <c r="G339" s="19" t="s">
        <v>7907</v>
      </c>
      <c r="H339" s="19" t="s">
        <v>10278</v>
      </c>
      <c r="I339" s="19" t="s">
        <v>9428</v>
      </c>
      <c r="J339" s="19" t="s">
        <v>18393</v>
      </c>
    </row>
    <row r="340" spans="7:10" x14ac:dyDescent="0.2">
      <c r="G340" s="19" t="s">
        <v>7907</v>
      </c>
      <c r="H340" s="19" t="s">
        <v>10278</v>
      </c>
      <c r="I340" s="19" t="s">
        <v>9428</v>
      </c>
      <c r="J340" s="19" t="s">
        <v>5867</v>
      </c>
    </row>
    <row r="341" spans="7:10" x14ac:dyDescent="0.2">
      <c r="G341" s="19" t="s">
        <v>7907</v>
      </c>
      <c r="H341" s="19" t="s">
        <v>10278</v>
      </c>
      <c r="I341" s="19" t="s">
        <v>9428</v>
      </c>
      <c r="J341" s="19" t="s">
        <v>15529</v>
      </c>
    </row>
    <row r="342" spans="7:10" x14ac:dyDescent="0.2">
      <c r="G342" s="19" t="s">
        <v>7907</v>
      </c>
      <c r="H342" s="19" t="s">
        <v>10278</v>
      </c>
      <c r="I342" s="19" t="s">
        <v>9428</v>
      </c>
      <c r="J342" s="19" t="s">
        <v>11756</v>
      </c>
    </row>
    <row r="343" spans="7:10" x14ac:dyDescent="0.2">
      <c r="G343" s="19" t="s">
        <v>7907</v>
      </c>
      <c r="H343" s="19" t="s">
        <v>10278</v>
      </c>
      <c r="I343" s="19" t="s">
        <v>9428</v>
      </c>
      <c r="J343" s="19" t="s">
        <v>16392</v>
      </c>
    </row>
    <row r="344" spans="7:10" x14ac:dyDescent="0.2">
      <c r="G344" s="19" t="s">
        <v>7907</v>
      </c>
      <c r="H344" s="19" t="s">
        <v>10278</v>
      </c>
      <c r="I344" s="19" t="s">
        <v>9428</v>
      </c>
      <c r="J344" s="19" t="s">
        <v>8458</v>
      </c>
    </row>
    <row r="345" spans="7:10" x14ac:dyDescent="0.2">
      <c r="G345" s="19" t="s">
        <v>7907</v>
      </c>
      <c r="H345" s="19" t="s">
        <v>10278</v>
      </c>
      <c r="I345" s="19" t="s">
        <v>3337</v>
      </c>
      <c r="J345" s="19" t="s">
        <v>3337</v>
      </c>
    </row>
    <row r="346" spans="7:10" x14ac:dyDescent="0.2">
      <c r="G346" s="19" t="s">
        <v>7907</v>
      </c>
      <c r="H346" s="19" t="s">
        <v>10278</v>
      </c>
      <c r="I346" s="19" t="s">
        <v>3337</v>
      </c>
      <c r="J346" s="19" t="s">
        <v>9410</v>
      </c>
    </row>
    <row r="347" spans="7:10" x14ac:dyDescent="0.2">
      <c r="G347" s="19" t="s">
        <v>7907</v>
      </c>
      <c r="H347" s="19" t="s">
        <v>10278</v>
      </c>
      <c r="I347" s="19" t="s">
        <v>3337</v>
      </c>
      <c r="J347" s="19" t="s">
        <v>13599</v>
      </c>
    </row>
    <row r="348" spans="7:10" x14ac:dyDescent="0.2">
      <c r="G348" s="19" t="s">
        <v>7907</v>
      </c>
      <c r="H348" s="19" t="s">
        <v>19903</v>
      </c>
      <c r="I348" s="19" t="s">
        <v>18642</v>
      </c>
      <c r="J348" s="19" t="s">
        <v>18642</v>
      </c>
    </row>
    <row r="349" spans="7:10" x14ac:dyDescent="0.2">
      <c r="G349" s="19" t="s">
        <v>7907</v>
      </c>
      <c r="H349" s="19" t="s">
        <v>19903</v>
      </c>
      <c r="I349" s="19" t="s">
        <v>18642</v>
      </c>
      <c r="J349" s="19" t="s">
        <v>3444</v>
      </c>
    </row>
    <row r="350" spans="7:10" ht="22.5" x14ac:dyDescent="0.2">
      <c r="G350" s="19" t="s">
        <v>7907</v>
      </c>
      <c r="H350" s="19" t="s">
        <v>19903</v>
      </c>
      <c r="I350" s="19" t="s">
        <v>6507</v>
      </c>
      <c r="J350" s="19" t="s">
        <v>19153</v>
      </c>
    </row>
    <row r="351" spans="7:10" ht="22.5" x14ac:dyDescent="0.2">
      <c r="G351" s="19" t="s">
        <v>7907</v>
      </c>
      <c r="H351" s="19" t="s">
        <v>19903</v>
      </c>
      <c r="I351" s="19" t="s">
        <v>6507</v>
      </c>
      <c r="J351" s="19" t="s">
        <v>6507</v>
      </c>
    </row>
    <row r="352" spans="7:10" x14ac:dyDescent="0.2">
      <c r="G352" s="19" t="s">
        <v>7907</v>
      </c>
      <c r="H352" s="19" t="s">
        <v>19903</v>
      </c>
      <c r="I352" s="19" t="s">
        <v>10422</v>
      </c>
      <c r="J352" s="19" t="s">
        <v>10422</v>
      </c>
    </row>
    <row r="353" spans="7:10" ht="22.5" x14ac:dyDescent="0.2">
      <c r="G353" s="19" t="s">
        <v>7907</v>
      </c>
      <c r="H353" s="19" t="s">
        <v>19903</v>
      </c>
      <c r="I353" s="19" t="s">
        <v>6899</v>
      </c>
      <c r="J353" s="19" t="s">
        <v>6899</v>
      </c>
    </row>
    <row r="354" spans="7:10" x14ac:dyDescent="0.2">
      <c r="G354" s="19" t="s">
        <v>7907</v>
      </c>
      <c r="H354" s="19" t="s">
        <v>19903</v>
      </c>
      <c r="I354" s="19" t="s">
        <v>19903</v>
      </c>
      <c r="J354" s="19" t="s">
        <v>10413</v>
      </c>
    </row>
    <row r="355" spans="7:10" x14ac:dyDescent="0.2">
      <c r="G355" s="19" t="s">
        <v>7907</v>
      </c>
      <c r="H355" s="19" t="s">
        <v>19903</v>
      </c>
      <c r="I355" s="19" t="s">
        <v>19903</v>
      </c>
      <c r="J355" s="19" t="s">
        <v>19903</v>
      </c>
    </row>
    <row r="356" spans="7:10" ht="22.5" x14ac:dyDescent="0.2">
      <c r="G356" s="19" t="s">
        <v>7907</v>
      </c>
      <c r="H356" s="19" t="s">
        <v>19903</v>
      </c>
      <c r="I356" s="19" t="s">
        <v>15227</v>
      </c>
      <c r="J356" s="19" t="s">
        <v>15227</v>
      </c>
    </row>
    <row r="357" spans="7:10" x14ac:dyDescent="0.2">
      <c r="G357" s="19" t="s">
        <v>7907</v>
      </c>
      <c r="H357" s="19" t="s">
        <v>19903</v>
      </c>
      <c r="I357" s="19" t="s">
        <v>17949</v>
      </c>
      <c r="J357" s="19" t="s">
        <v>4220</v>
      </c>
    </row>
    <row r="358" spans="7:10" x14ac:dyDescent="0.2">
      <c r="G358" s="19" t="s">
        <v>7907</v>
      </c>
      <c r="H358" s="19" t="s">
        <v>19903</v>
      </c>
      <c r="I358" s="19" t="s">
        <v>17949</v>
      </c>
      <c r="J358" s="19" t="s">
        <v>12451</v>
      </c>
    </row>
    <row r="359" spans="7:10" x14ac:dyDescent="0.2">
      <c r="G359" s="19" t="s">
        <v>7907</v>
      </c>
      <c r="H359" s="19" t="s">
        <v>19903</v>
      </c>
      <c r="I359" s="19" t="s">
        <v>17949</v>
      </c>
      <c r="J359" s="19" t="s">
        <v>5427</v>
      </c>
    </row>
    <row r="360" spans="7:10" x14ac:dyDescent="0.2">
      <c r="G360" s="19" t="s">
        <v>7907</v>
      </c>
      <c r="H360" s="19" t="s">
        <v>19903</v>
      </c>
      <c r="I360" s="19" t="s">
        <v>17949</v>
      </c>
      <c r="J360" s="19" t="s">
        <v>17949</v>
      </c>
    </row>
    <row r="361" spans="7:10" x14ac:dyDescent="0.2">
      <c r="G361" s="19" t="s">
        <v>7907</v>
      </c>
      <c r="H361" s="19" t="s">
        <v>19903</v>
      </c>
      <c r="I361" s="19" t="s">
        <v>18366</v>
      </c>
      <c r="J361" s="19" t="s">
        <v>18366</v>
      </c>
    </row>
    <row r="362" spans="7:10" ht="22.5" x14ac:dyDescent="0.2">
      <c r="G362" s="19" t="s">
        <v>7907</v>
      </c>
      <c r="H362" s="19" t="s">
        <v>14154</v>
      </c>
      <c r="I362" s="19" t="s">
        <v>16652</v>
      </c>
      <c r="J362" s="19" t="s">
        <v>16652</v>
      </c>
    </row>
    <row r="363" spans="7:10" ht="22.5" x14ac:dyDescent="0.2">
      <c r="G363" s="19" t="s">
        <v>7907</v>
      </c>
      <c r="H363" s="19" t="s">
        <v>14154</v>
      </c>
      <c r="I363" s="19" t="s">
        <v>17056</v>
      </c>
      <c r="J363" s="19" t="s">
        <v>17056</v>
      </c>
    </row>
    <row r="364" spans="7:10" ht="22.5" x14ac:dyDescent="0.2">
      <c r="G364" s="19" t="s">
        <v>7907</v>
      </c>
      <c r="H364" s="19" t="s">
        <v>14154</v>
      </c>
      <c r="I364" s="19" t="s">
        <v>14154</v>
      </c>
      <c r="J364" s="19" t="s">
        <v>15703</v>
      </c>
    </row>
    <row r="365" spans="7:10" ht="22.5" x14ac:dyDescent="0.2">
      <c r="G365" s="19" t="s">
        <v>7907</v>
      </c>
      <c r="H365" s="19" t="s">
        <v>14154</v>
      </c>
      <c r="I365" s="19" t="s">
        <v>14154</v>
      </c>
      <c r="J365" s="19" t="s">
        <v>808</v>
      </c>
    </row>
    <row r="366" spans="7:10" ht="22.5" x14ac:dyDescent="0.2">
      <c r="G366" s="19" t="s">
        <v>7907</v>
      </c>
      <c r="H366" s="19" t="s">
        <v>14154</v>
      </c>
      <c r="I366" s="19" t="s">
        <v>14154</v>
      </c>
      <c r="J366" s="19" t="s">
        <v>4982</v>
      </c>
    </row>
    <row r="367" spans="7:10" ht="22.5" x14ac:dyDescent="0.2">
      <c r="G367" s="19" t="s">
        <v>7907</v>
      </c>
      <c r="H367" s="19" t="s">
        <v>14154</v>
      </c>
      <c r="I367" s="19" t="s">
        <v>14154</v>
      </c>
      <c r="J367" s="19" t="s">
        <v>13005</v>
      </c>
    </row>
    <row r="368" spans="7:10" ht="22.5" x14ac:dyDescent="0.2">
      <c r="G368" s="19" t="s">
        <v>7907</v>
      </c>
      <c r="H368" s="19" t="s">
        <v>14154</v>
      </c>
      <c r="I368" s="19" t="s">
        <v>14154</v>
      </c>
      <c r="J368" s="19" t="s">
        <v>14154</v>
      </c>
    </row>
    <row r="369" spans="7:10" x14ac:dyDescent="0.2">
      <c r="G369" s="19" t="s">
        <v>11863</v>
      </c>
      <c r="H369" s="19" t="s">
        <v>3524</v>
      </c>
      <c r="I369" s="19" t="s">
        <v>14419</v>
      </c>
      <c r="J369" s="19" t="s">
        <v>17622</v>
      </c>
    </row>
    <row r="370" spans="7:10" x14ac:dyDescent="0.2">
      <c r="G370" s="19" t="s">
        <v>11863</v>
      </c>
      <c r="H370" s="19" t="s">
        <v>3524</v>
      </c>
      <c r="I370" s="19" t="s">
        <v>14419</v>
      </c>
      <c r="J370" s="19" t="s">
        <v>5264</v>
      </c>
    </row>
    <row r="371" spans="7:10" x14ac:dyDescent="0.2">
      <c r="G371" s="19" t="s">
        <v>11863</v>
      </c>
      <c r="H371" s="19" t="s">
        <v>3524</v>
      </c>
      <c r="I371" s="19" t="s">
        <v>14419</v>
      </c>
      <c r="J371" s="19" t="s">
        <v>14419</v>
      </c>
    </row>
    <row r="372" spans="7:10" ht="22.5" x14ac:dyDescent="0.2">
      <c r="G372" s="19" t="s">
        <v>11863</v>
      </c>
      <c r="H372" s="19" t="s">
        <v>3524</v>
      </c>
      <c r="I372" s="19" t="s">
        <v>14889</v>
      </c>
      <c r="J372" s="19" t="s">
        <v>16334</v>
      </c>
    </row>
    <row r="373" spans="7:10" ht="22.5" x14ac:dyDescent="0.2">
      <c r="G373" s="19" t="s">
        <v>11863</v>
      </c>
      <c r="H373" s="19" t="s">
        <v>3524</v>
      </c>
      <c r="I373" s="19" t="s">
        <v>14889</v>
      </c>
      <c r="J373" s="19" t="s">
        <v>14889</v>
      </c>
    </row>
    <row r="374" spans="7:10" ht="22.5" x14ac:dyDescent="0.2">
      <c r="G374" s="19" t="s">
        <v>11863</v>
      </c>
      <c r="H374" s="19" t="s">
        <v>3524</v>
      </c>
      <c r="I374" s="19" t="s">
        <v>14889</v>
      </c>
      <c r="J374" s="19" t="s">
        <v>17421</v>
      </c>
    </row>
    <row r="375" spans="7:10" ht="22.5" x14ac:dyDescent="0.2">
      <c r="G375" s="19" t="s">
        <v>11863</v>
      </c>
      <c r="H375" s="19" t="s">
        <v>3524</v>
      </c>
      <c r="I375" s="19" t="s">
        <v>14889</v>
      </c>
      <c r="J375" s="19" t="s">
        <v>7654</v>
      </c>
    </row>
    <row r="376" spans="7:10" ht="22.5" x14ac:dyDescent="0.2">
      <c r="G376" s="19" t="s">
        <v>11863</v>
      </c>
      <c r="H376" s="19" t="s">
        <v>9222</v>
      </c>
      <c r="I376" s="19" t="s">
        <v>2231</v>
      </c>
      <c r="J376" s="19" t="s">
        <v>5753</v>
      </c>
    </row>
    <row r="377" spans="7:10" ht="22.5" x14ac:dyDescent="0.2">
      <c r="G377" s="19" t="s">
        <v>11863</v>
      </c>
      <c r="H377" s="19" t="s">
        <v>9222</v>
      </c>
      <c r="I377" s="19" t="s">
        <v>2231</v>
      </c>
      <c r="J377" s="19" t="s">
        <v>4719</v>
      </c>
    </row>
    <row r="378" spans="7:10" ht="22.5" x14ac:dyDescent="0.2">
      <c r="G378" s="19" t="s">
        <v>11863</v>
      </c>
      <c r="H378" s="19" t="s">
        <v>9222</v>
      </c>
      <c r="I378" s="19" t="s">
        <v>2231</v>
      </c>
      <c r="J378" s="19" t="s">
        <v>2231</v>
      </c>
    </row>
    <row r="379" spans="7:10" ht="22.5" x14ac:dyDescent="0.2">
      <c r="G379" s="19" t="s">
        <v>11863</v>
      </c>
      <c r="H379" s="19" t="s">
        <v>9222</v>
      </c>
      <c r="I379" s="19" t="s">
        <v>2231</v>
      </c>
      <c r="J379" s="19" t="s">
        <v>12636</v>
      </c>
    </row>
    <row r="380" spans="7:10" ht="22.5" x14ac:dyDescent="0.2">
      <c r="G380" s="19" t="s">
        <v>11863</v>
      </c>
      <c r="H380" s="19" t="s">
        <v>9222</v>
      </c>
      <c r="I380" s="19" t="s">
        <v>8147</v>
      </c>
      <c r="J380" s="19" t="s">
        <v>1700</v>
      </c>
    </row>
    <row r="381" spans="7:10" ht="22.5" x14ac:dyDescent="0.2">
      <c r="G381" s="19" t="s">
        <v>11863</v>
      </c>
      <c r="H381" s="19" t="s">
        <v>9222</v>
      </c>
      <c r="I381" s="19" t="s">
        <v>8147</v>
      </c>
      <c r="J381" s="19" t="s">
        <v>4547</v>
      </c>
    </row>
    <row r="382" spans="7:10" ht="22.5" x14ac:dyDescent="0.2">
      <c r="G382" s="19" t="s">
        <v>11863</v>
      </c>
      <c r="H382" s="19" t="s">
        <v>9222</v>
      </c>
      <c r="I382" s="19" t="s">
        <v>8147</v>
      </c>
      <c r="J382" s="19" t="s">
        <v>8147</v>
      </c>
    </row>
    <row r="383" spans="7:10" x14ac:dyDescent="0.2">
      <c r="G383" s="19" t="s">
        <v>11863</v>
      </c>
      <c r="H383" s="19" t="s">
        <v>20019</v>
      </c>
      <c r="I383" s="19" t="s">
        <v>10043</v>
      </c>
      <c r="J383" s="19" t="s">
        <v>10043</v>
      </c>
    </row>
    <row r="384" spans="7:10" x14ac:dyDescent="0.2">
      <c r="G384" s="19" t="s">
        <v>11863</v>
      </c>
      <c r="H384" s="19" t="s">
        <v>20019</v>
      </c>
      <c r="I384" s="19" t="s">
        <v>20019</v>
      </c>
      <c r="J384" s="19" t="s">
        <v>16154</v>
      </c>
    </row>
    <row r="385" spans="7:10" x14ac:dyDescent="0.2">
      <c r="G385" s="19" t="s">
        <v>11863</v>
      </c>
      <c r="H385" s="19" t="s">
        <v>20019</v>
      </c>
      <c r="I385" s="19" t="s">
        <v>20019</v>
      </c>
      <c r="J385" s="19" t="s">
        <v>20019</v>
      </c>
    </row>
    <row r="386" spans="7:10" x14ac:dyDescent="0.2">
      <c r="G386" s="19" t="s">
        <v>11863</v>
      </c>
      <c r="H386" s="19" t="s">
        <v>20019</v>
      </c>
      <c r="I386" s="19" t="s">
        <v>11968</v>
      </c>
      <c r="J386" s="19" t="s">
        <v>19949</v>
      </c>
    </row>
    <row r="387" spans="7:10" x14ac:dyDescent="0.2">
      <c r="G387" s="19" t="s">
        <v>11863</v>
      </c>
      <c r="H387" s="19" t="s">
        <v>20019</v>
      </c>
      <c r="I387" s="19" t="s">
        <v>11968</v>
      </c>
      <c r="J387" s="19" t="s">
        <v>11968</v>
      </c>
    </row>
    <row r="388" spans="7:10" x14ac:dyDescent="0.2">
      <c r="G388" s="19"/>
      <c r="H388" s="19"/>
      <c r="I388" s="19"/>
      <c r="J388" s="19"/>
    </row>
    <row r="389" spans="7:10" x14ac:dyDescent="0.2">
      <c r="G389" s="19"/>
      <c r="H389" s="19"/>
      <c r="I389" s="19"/>
      <c r="J389" s="19"/>
    </row>
    <row r="390" spans="7:10" x14ac:dyDescent="0.2">
      <c r="G390" s="19"/>
      <c r="H390" s="19"/>
      <c r="I390" s="19"/>
      <c r="J390" s="19"/>
    </row>
    <row r="391" spans="7:10" x14ac:dyDescent="0.2">
      <c r="G391" s="19"/>
      <c r="H391" s="19"/>
      <c r="I391" s="19"/>
      <c r="J391" s="19"/>
    </row>
    <row r="392" spans="7:10" x14ac:dyDescent="0.2">
      <c r="G392" s="19"/>
      <c r="H392" s="19"/>
      <c r="I392" s="19"/>
      <c r="J392" s="19"/>
    </row>
    <row r="393" spans="7:10" x14ac:dyDescent="0.2">
      <c r="G393" s="19"/>
      <c r="H393" s="19"/>
      <c r="I393" s="19"/>
      <c r="J393" s="19"/>
    </row>
    <row r="394" spans="7:10" x14ac:dyDescent="0.2">
      <c r="G394" s="19"/>
      <c r="H394" s="19"/>
      <c r="I394" s="19"/>
      <c r="J394" s="19"/>
    </row>
    <row r="395" spans="7:10" x14ac:dyDescent="0.2">
      <c r="G395" s="19"/>
      <c r="H395" s="19"/>
      <c r="I395" s="19"/>
      <c r="J395" s="19"/>
    </row>
    <row r="396" spans="7:10" x14ac:dyDescent="0.2">
      <c r="G396" s="19"/>
      <c r="H396" s="19"/>
      <c r="I396" s="19"/>
      <c r="J396" s="19"/>
    </row>
    <row r="397" spans="7:10" x14ac:dyDescent="0.2">
      <c r="G397" s="19"/>
      <c r="H397" s="19"/>
      <c r="I397" s="19"/>
      <c r="J397" s="19"/>
    </row>
    <row r="398" spans="7:10" x14ac:dyDescent="0.2">
      <c r="G398" s="19"/>
      <c r="H398" s="19"/>
      <c r="I398" s="19"/>
      <c r="J398" s="19"/>
    </row>
    <row r="399" spans="7:10" x14ac:dyDescent="0.2">
      <c r="G399" s="19"/>
      <c r="H399" s="19"/>
      <c r="I399" s="19"/>
      <c r="J399" s="19"/>
    </row>
    <row r="400" spans="7:10" x14ac:dyDescent="0.2">
      <c r="G400" s="19"/>
      <c r="H400" s="19"/>
      <c r="I400" s="19"/>
      <c r="J400" s="19"/>
    </row>
    <row r="401" spans="7:10" x14ac:dyDescent="0.2">
      <c r="G401" s="19"/>
      <c r="H401" s="19"/>
      <c r="I401" s="19"/>
      <c r="J401" s="19"/>
    </row>
    <row r="402" spans="7:10" x14ac:dyDescent="0.2">
      <c r="G402" s="19"/>
      <c r="H402" s="19"/>
      <c r="I402" s="19"/>
      <c r="J402" s="19"/>
    </row>
    <row r="403" spans="7:10" x14ac:dyDescent="0.2">
      <c r="G403" s="19"/>
      <c r="H403" s="19"/>
      <c r="I403" s="19"/>
      <c r="J403" s="19"/>
    </row>
    <row r="404" spans="7:10" x14ac:dyDescent="0.2">
      <c r="G404" s="19"/>
      <c r="H404" s="19"/>
      <c r="I404" s="19"/>
      <c r="J404" s="19"/>
    </row>
    <row r="405" spans="7:10" x14ac:dyDescent="0.2">
      <c r="G405" s="19"/>
      <c r="H405" s="19"/>
      <c r="I405" s="19"/>
      <c r="J405" s="19"/>
    </row>
    <row r="406" spans="7:10" x14ac:dyDescent="0.2">
      <c r="G406" s="19"/>
      <c r="H406" s="19"/>
      <c r="I406" s="19"/>
      <c r="J406" s="19"/>
    </row>
    <row r="407" spans="7:10" x14ac:dyDescent="0.2">
      <c r="G407" s="19"/>
      <c r="H407" s="19"/>
      <c r="I407" s="19"/>
      <c r="J407" s="19"/>
    </row>
    <row r="408" spans="7:10" x14ac:dyDescent="0.2">
      <c r="G408" s="19"/>
      <c r="H408" s="19"/>
      <c r="I408" s="19"/>
      <c r="J408" s="19"/>
    </row>
    <row r="409" spans="7:10" x14ac:dyDescent="0.2">
      <c r="G409" s="19"/>
      <c r="H409" s="19"/>
      <c r="I409" s="19"/>
      <c r="J409" s="19"/>
    </row>
    <row r="410" spans="7:10" x14ac:dyDescent="0.2">
      <c r="G410" s="19"/>
      <c r="H410" s="19"/>
      <c r="I410" s="19"/>
      <c r="J410" s="19"/>
    </row>
    <row r="411" spans="7:10" x14ac:dyDescent="0.2">
      <c r="G411" s="19"/>
      <c r="H411" s="19"/>
      <c r="I411" s="19"/>
      <c r="J411" s="19"/>
    </row>
    <row r="412" spans="7:10" x14ac:dyDescent="0.2">
      <c r="G412" s="19"/>
      <c r="H412" s="19"/>
      <c r="I412" s="19"/>
      <c r="J412" s="19"/>
    </row>
    <row r="413" spans="7:10" x14ac:dyDescent="0.2">
      <c r="G413" s="19"/>
      <c r="H413" s="19"/>
      <c r="I413" s="19"/>
      <c r="J413" s="19"/>
    </row>
    <row r="414" spans="7:10" x14ac:dyDescent="0.2">
      <c r="G414" s="19"/>
      <c r="H414" s="19"/>
      <c r="I414" s="19"/>
      <c r="J414" s="19"/>
    </row>
    <row r="415" spans="7:10" x14ac:dyDescent="0.2">
      <c r="G415" s="19"/>
      <c r="H415" s="19"/>
      <c r="I415" s="19"/>
      <c r="J415" s="19"/>
    </row>
    <row r="416" spans="7:10" x14ac:dyDescent="0.2">
      <c r="G416" s="19"/>
      <c r="H416" s="19"/>
      <c r="I416" s="19"/>
      <c r="J416" s="19"/>
    </row>
    <row r="417" spans="7:10" x14ac:dyDescent="0.2">
      <c r="G417" s="19"/>
      <c r="H417" s="19"/>
      <c r="I417" s="19"/>
      <c r="J417" s="19"/>
    </row>
    <row r="418" spans="7:10" x14ac:dyDescent="0.2">
      <c r="G418" s="19"/>
      <c r="H418" s="19"/>
      <c r="I418" s="19"/>
      <c r="J418" s="19"/>
    </row>
    <row r="419" spans="7:10" x14ac:dyDescent="0.2">
      <c r="G419" s="19"/>
      <c r="H419" s="19"/>
      <c r="I419" s="19"/>
      <c r="J419" s="19"/>
    </row>
    <row r="420" spans="7:10" x14ac:dyDescent="0.2">
      <c r="G420" s="19"/>
      <c r="H420" s="19"/>
      <c r="I420" s="19"/>
      <c r="J420" s="19"/>
    </row>
    <row r="421" spans="7:10" x14ac:dyDescent="0.2">
      <c r="G421" s="19"/>
      <c r="H421" s="19"/>
      <c r="I421" s="19"/>
      <c r="J421" s="19"/>
    </row>
    <row r="422" spans="7:10" x14ac:dyDescent="0.2">
      <c r="G422" s="19"/>
      <c r="H422" s="19"/>
      <c r="I422" s="19"/>
      <c r="J422" s="19"/>
    </row>
    <row r="423" spans="7:10" x14ac:dyDescent="0.2">
      <c r="G423" s="19"/>
      <c r="H423" s="19"/>
      <c r="I423" s="19"/>
      <c r="J423" s="19"/>
    </row>
    <row r="424" spans="7:10" x14ac:dyDescent="0.2">
      <c r="G424" s="19"/>
      <c r="H424" s="19"/>
      <c r="I424" s="19"/>
      <c r="J424" s="19"/>
    </row>
    <row r="425" spans="7:10" x14ac:dyDescent="0.2">
      <c r="G425" s="19"/>
      <c r="H425" s="19"/>
      <c r="I425" s="19"/>
      <c r="J425" s="19"/>
    </row>
    <row r="426" spans="7:10" x14ac:dyDescent="0.2">
      <c r="G426" s="19"/>
      <c r="H426" s="19"/>
      <c r="I426" s="19"/>
      <c r="J426" s="19"/>
    </row>
    <row r="427" spans="7:10" x14ac:dyDescent="0.2">
      <c r="G427" s="19"/>
      <c r="H427" s="19"/>
      <c r="I427" s="19"/>
      <c r="J427" s="19"/>
    </row>
    <row r="428" spans="7:10" x14ac:dyDescent="0.2">
      <c r="G428" s="19"/>
      <c r="H428" s="19"/>
      <c r="I428" s="19"/>
      <c r="J428" s="19"/>
    </row>
    <row r="429" spans="7:10" x14ac:dyDescent="0.2">
      <c r="G429" s="19"/>
      <c r="H429" s="19"/>
      <c r="I429" s="19"/>
      <c r="J429" s="19"/>
    </row>
    <row r="430" spans="7:10" x14ac:dyDescent="0.2">
      <c r="G430" s="19"/>
      <c r="H430" s="19"/>
      <c r="I430" s="19"/>
      <c r="J430" s="19"/>
    </row>
    <row r="431" spans="7:10" x14ac:dyDescent="0.2">
      <c r="G431" s="19"/>
      <c r="H431" s="19"/>
      <c r="I431" s="19"/>
      <c r="J431" s="19"/>
    </row>
    <row r="432" spans="7:10" x14ac:dyDescent="0.2">
      <c r="G432" s="19"/>
      <c r="H432" s="19"/>
      <c r="I432" s="19"/>
      <c r="J432" s="19"/>
    </row>
    <row r="433" spans="7:10" x14ac:dyDescent="0.2">
      <c r="G433" s="19"/>
      <c r="H433" s="19"/>
      <c r="I433" s="19"/>
      <c r="J433" s="19"/>
    </row>
    <row r="434" spans="7:10" x14ac:dyDescent="0.2">
      <c r="G434" s="19"/>
      <c r="H434" s="19"/>
      <c r="I434" s="19"/>
      <c r="J434" s="19"/>
    </row>
    <row r="435" spans="7:10" x14ac:dyDescent="0.2">
      <c r="G435" s="19"/>
      <c r="H435" s="19"/>
      <c r="I435" s="19"/>
      <c r="J435" s="19"/>
    </row>
    <row r="436" spans="7:10" x14ac:dyDescent="0.2">
      <c r="G436" s="19"/>
      <c r="H436" s="19"/>
      <c r="I436" s="19"/>
      <c r="J436" s="19"/>
    </row>
    <row r="437" spans="7:10" x14ac:dyDescent="0.2">
      <c r="G437" s="19"/>
      <c r="H437" s="19"/>
      <c r="I437" s="19"/>
      <c r="J437" s="19"/>
    </row>
    <row r="438" spans="7:10" x14ac:dyDescent="0.2">
      <c r="G438" s="19"/>
      <c r="H438" s="19"/>
      <c r="I438" s="19"/>
      <c r="J438" s="19"/>
    </row>
    <row r="439" spans="7:10" x14ac:dyDescent="0.2">
      <c r="G439" s="19"/>
      <c r="H439" s="19"/>
      <c r="I439" s="19"/>
      <c r="J439" s="19"/>
    </row>
    <row r="440" spans="7:10" x14ac:dyDescent="0.2">
      <c r="G440" s="19"/>
      <c r="H440" s="19"/>
      <c r="I440" s="19"/>
      <c r="J440" s="19"/>
    </row>
    <row r="441" spans="7:10" x14ac:dyDescent="0.2">
      <c r="G441" s="19"/>
      <c r="H441" s="19"/>
      <c r="I441" s="19"/>
      <c r="J441" s="19"/>
    </row>
    <row r="442" spans="7:10" x14ac:dyDescent="0.2">
      <c r="G442" s="19"/>
      <c r="H442" s="19"/>
      <c r="I442" s="19"/>
      <c r="J442" s="19"/>
    </row>
    <row r="443" spans="7:10" x14ac:dyDescent="0.2">
      <c r="G443" s="19"/>
      <c r="H443" s="19"/>
      <c r="I443" s="19"/>
      <c r="J443" s="19"/>
    </row>
    <row r="444" spans="7:10" x14ac:dyDescent="0.2">
      <c r="G444" s="19"/>
      <c r="H444" s="19"/>
      <c r="I444" s="19"/>
      <c r="J444" s="19"/>
    </row>
    <row r="445" spans="7:10" x14ac:dyDescent="0.2">
      <c r="G445" s="19"/>
      <c r="H445" s="19"/>
      <c r="I445" s="19"/>
      <c r="J445" s="19"/>
    </row>
    <row r="446" spans="7:10" x14ac:dyDescent="0.2">
      <c r="G446" s="19"/>
      <c r="H446" s="19"/>
      <c r="I446" s="19"/>
      <c r="J446" s="19"/>
    </row>
    <row r="447" spans="7:10" x14ac:dyDescent="0.2">
      <c r="G447" s="19"/>
      <c r="H447" s="19"/>
      <c r="I447" s="19"/>
      <c r="J447" s="19"/>
    </row>
    <row r="448" spans="7:10" x14ac:dyDescent="0.2">
      <c r="G448" s="19"/>
      <c r="H448" s="19"/>
      <c r="I448" s="19"/>
      <c r="J448" s="19"/>
    </row>
    <row r="449" spans="7:10" x14ac:dyDescent="0.2">
      <c r="G449" s="19"/>
      <c r="H449" s="19"/>
      <c r="I449" s="19"/>
      <c r="J449" s="19"/>
    </row>
    <row r="450" spans="7:10" x14ac:dyDescent="0.2">
      <c r="G450" s="19"/>
      <c r="H450" s="19"/>
      <c r="I450" s="19"/>
      <c r="J450" s="19"/>
    </row>
    <row r="451" spans="7:10" x14ac:dyDescent="0.2">
      <c r="G451" s="19"/>
      <c r="H451" s="19"/>
      <c r="I451" s="19"/>
      <c r="J451" s="19"/>
    </row>
    <row r="452" spans="7:10" x14ac:dyDescent="0.2">
      <c r="G452" s="19"/>
      <c r="H452" s="19"/>
      <c r="I452" s="19"/>
      <c r="J452" s="19"/>
    </row>
    <row r="453" spans="7:10" x14ac:dyDescent="0.2">
      <c r="G453" s="19"/>
      <c r="H453" s="19"/>
      <c r="I453" s="19"/>
      <c r="J453" s="19"/>
    </row>
    <row r="454" spans="7:10" x14ac:dyDescent="0.2">
      <c r="G454" s="19"/>
      <c r="H454" s="19"/>
      <c r="I454" s="19"/>
      <c r="J454" s="19"/>
    </row>
    <row r="455" spans="7:10" x14ac:dyDescent="0.2">
      <c r="G455" s="19"/>
      <c r="H455" s="19"/>
      <c r="I455" s="19"/>
      <c r="J455" s="19"/>
    </row>
    <row r="456" spans="7:10" x14ac:dyDescent="0.2">
      <c r="G456" s="19"/>
      <c r="H456" s="19"/>
      <c r="I456" s="19"/>
      <c r="J456" s="19"/>
    </row>
    <row r="457" spans="7:10" x14ac:dyDescent="0.2">
      <c r="G457" s="19"/>
      <c r="H457" s="19"/>
      <c r="I457" s="19"/>
      <c r="J457" s="19"/>
    </row>
    <row r="458" spans="7:10" x14ac:dyDescent="0.2">
      <c r="G458" s="19"/>
      <c r="H458" s="19"/>
      <c r="I458" s="19"/>
      <c r="J458" s="19"/>
    </row>
    <row r="459" spans="7:10" x14ac:dyDescent="0.2">
      <c r="G459" s="19"/>
      <c r="H459" s="19"/>
      <c r="I459" s="19"/>
      <c r="J459" s="19"/>
    </row>
    <row r="460" spans="7:10" x14ac:dyDescent="0.2">
      <c r="G460" s="19"/>
      <c r="H460" s="19"/>
      <c r="I460" s="19"/>
      <c r="J460" s="19"/>
    </row>
    <row r="461" spans="7:10" x14ac:dyDescent="0.2">
      <c r="G461" s="19"/>
      <c r="H461" s="19"/>
      <c r="I461" s="19"/>
      <c r="J461" s="19"/>
    </row>
    <row r="462" spans="7:10" x14ac:dyDescent="0.2">
      <c r="G462" s="19"/>
      <c r="H462" s="19"/>
      <c r="I462" s="19"/>
      <c r="J462" s="19"/>
    </row>
    <row r="463" spans="7:10" x14ac:dyDescent="0.2">
      <c r="G463" s="19"/>
      <c r="H463" s="19"/>
      <c r="I463" s="19"/>
      <c r="J463" s="19"/>
    </row>
    <row r="464" spans="7:10" x14ac:dyDescent="0.2">
      <c r="G464" s="19"/>
      <c r="H464" s="19"/>
      <c r="I464" s="19"/>
      <c r="J464" s="19"/>
    </row>
    <row r="465" spans="7:10" x14ac:dyDescent="0.2">
      <c r="G465" s="19"/>
      <c r="H465" s="19"/>
      <c r="I465" s="19"/>
      <c r="J465" s="19"/>
    </row>
    <row r="466" spans="7:10" x14ac:dyDescent="0.2">
      <c r="G466" s="19"/>
      <c r="H466" s="19"/>
      <c r="I466" s="19"/>
      <c r="J466" s="19"/>
    </row>
    <row r="467" spans="7:10" x14ac:dyDescent="0.2">
      <c r="G467" s="19"/>
      <c r="H467" s="19"/>
      <c r="I467" s="19"/>
      <c r="J467" s="19"/>
    </row>
    <row r="468" spans="7:10" x14ac:dyDescent="0.2">
      <c r="G468" s="19"/>
      <c r="H468" s="19"/>
      <c r="I468" s="19"/>
      <c r="J468" s="19"/>
    </row>
    <row r="469" spans="7:10" x14ac:dyDescent="0.2">
      <c r="G469" s="19"/>
      <c r="H469" s="19"/>
      <c r="I469" s="19"/>
      <c r="J469" s="19"/>
    </row>
    <row r="470" spans="7:10" x14ac:dyDescent="0.2">
      <c r="G470" s="19"/>
      <c r="H470" s="19"/>
      <c r="I470" s="19"/>
      <c r="J470" s="19"/>
    </row>
    <row r="471" spans="7:10" x14ac:dyDescent="0.2">
      <c r="G471" s="19"/>
      <c r="H471" s="19"/>
      <c r="I471" s="19"/>
      <c r="J471" s="19"/>
    </row>
    <row r="472" spans="7:10" x14ac:dyDescent="0.2">
      <c r="G472" s="19"/>
      <c r="H472" s="19"/>
      <c r="I472" s="19"/>
      <c r="J472" s="19"/>
    </row>
    <row r="473" spans="7:10" x14ac:dyDescent="0.2">
      <c r="G473" s="19"/>
      <c r="H473" s="19"/>
      <c r="I473" s="19"/>
      <c r="J473" s="19"/>
    </row>
    <row r="474" spans="7:10" x14ac:dyDescent="0.2">
      <c r="G474" s="19"/>
      <c r="H474" s="19"/>
      <c r="I474" s="19"/>
      <c r="J474" s="19"/>
    </row>
    <row r="475" spans="7:10" x14ac:dyDescent="0.2">
      <c r="G475" s="19"/>
      <c r="H475" s="19"/>
      <c r="I475" s="19"/>
      <c r="J475" s="19"/>
    </row>
    <row r="476" spans="7:10" x14ac:dyDescent="0.2">
      <c r="G476" s="19"/>
      <c r="H476" s="19"/>
      <c r="I476" s="19"/>
      <c r="J476" s="19"/>
    </row>
    <row r="477" spans="7:10" x14ac:dyDescent="0.2">
      <c r="G477" s="19"/>
      <c r="H477" s="19"/>
      <c r="I477" s="19"/>
      <c r="J477" s="19"/>
    </row>
    <row r="478" spans="7:10" x14ac:dyDescent="0.2">
      <c r="G478" s="19"/>
      <c r="H478" s="19"/>
      <c r="I478" s="19"/>
      <c r="J478" s="19"/>
    </row>
    <row r="479" spans="7:10" x14ac:dyDescent="0.2">
      <c r="G479" s="19"/>
      <c r="H479" s="19"/>
      <c r="I479" s="19"/>
      <c r="J479" s="19"/>
    </row>
    <row r="480" spans="7:10" x14ac:dyDescent="0.2">
      <c r="G480" s="19"/>
      <c r="H480" s="19"/>
      <c r="I480" s="19"/>
      <c r="J480" s="19"/>
    </row>
    <row r="481" spans="7:10" x14ac:dyDescent="0.2">
      <c r="G481" s="19"/>
      <c r="H481" s="19"/>
      <c r="I481" s="19"/>
      <c r="J481" s="19"/>
    </row>
    <row r="482" spans="7:10" x14ac:dyDescent="0.2">
      <c r="G482" s="19"/>
      <c r="H482" s="19"/>
      <c r="I482" s="19"/>
      <c r="J482" s="19"/>
    </row>
    <row r="483" spans="7:10" x14ac:dyDescent="0.2">
      <c r="G483" s="19"/>
      <c r="H483" s="19"/>
      <c r="I483" s="19"/>
      <c r="J483" s="19"/>
    </row>
    <row r="484" spans="7:10" x14ac:dyDescent="0.2">
      <c r="G484" s="19"/>
      <c r="H484" s="19"/>
      <c r="I484" s="19"/>
      <c r="J484" s="19"/>
    </row>
    <row r="485" spans="7:10" x14ac:dyDescent="0.2">
      <c r="G485" s="19"/>
      <c r="H485" s="19"/>
      <c r="I485" s="19"/>
      <c r="J485" s="19"/>
    </row>
    <row r="486" spans="7:10" x14ac:dyDescent="0.2">
      <c r="G486" s="19"/>
      <c r="H486" s="19"/>
      <c r="I486" s="19"/>
      <c r="J486" s="19"/>
    </row>
  </sheetData>
  <sheetProtection password="A90E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18298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0.7109375" style="62" customWidth="1"/>
    <col min="2" max="2" width="71.85546875" style="63" customWidth="1"/>
  </cols>
  <sheetData>
    <row r="1" spans="1:2" x14ac:dyDescent="0.25">
      <c r="A1" s="75">
        <v>10101501</v>
      </c>
      <c r="B1" s="76" t="s">
        <v>5894</v>
      </c>
    </row>
    <row r="2" spans="1:2" x14ac:dyDescent="0.25">
      <c r="A2" s="75">
        <v>10101502</v>
      </c>
      <c r="B2" s="76" t="s">
        <v>12571</v>
      </c>
    </row>
    <row r="3" spans="1:2" x14ac:dyDescent="0.25">
      <c r="A3" s="75">
        <v>10101504</v>
      </c>
      <c r="B3" s="76" t="s">
        <v>12355</v>
      </c>
    </row>
    <row r="4" spans="1:2" x14ac:dyDescent="0.25">
      <c r="A4" s="75">
        <v>10101505</v>
      </c>
      <c r="B4" s="76" t="s">
        <v>12196</v>
      </c>
    </row>
    <row r="5" spans="1:2" x14ac:dyDescent="0.25">
      <c r="A5" s="75">
        <v>10101506</v>
      </c>
      <c r="B5" s="76" t="s">
        <v>5355</v>
      </c>
    </row>
    <row r="6" spans="1:2" x14ac:dyDescent="0.25">
      <c r="A6" s="75">
        <v>10101507</v>
      </c>
      <c r="B6" s="76" t="s">
        <v>886</v>
      </c>
    </row>
    <row r="7" spans="1:2" x14ac:dyDescent="0.25">
      <c r="A7" s="75">
        <v>10101508</v>
      </c>
      <c r="B7" s="76" t="s">
        <v>10790</v>
      </c>
    </row>
    <row r="8" spans="1:2" x14ac:dyDescent="0.25">
      <c r="A8" s="75">
        <v>10101509</v>
      </c>
      <c r="B8" s="76" t="s">
        <v>19043</v>
      </c>
    </row>
    <row r="9" spans="1:2" x14ac:dyDescent="0.25">
      <c r="A9" s="75">
        <v>10101510</v>
      </c>
      <c r="B9" s="76" t="s">
        <v>10921</v>
      </c>
    </row>
    <row r="10" spans="1:2" x14ac:dyDescent="0.25">
      <c r="A10" s="75">
        <v>10101511</v>
      </c>
      <c r="B10" s="76" t="s">
        <v>20038</v>
      </c>
    </row>
    <row r="11" spans="1:2" x14ac:dyDescent="0.25">
      <c r="A11" s="75">
        <v>10101512</v>
      </c>
      <c r="B11" s="76" t="s">
        <v>10910</v>
      </c>
    </row>
    <row r="12" spans="1:2" x14ac:dyDescent="0.25">
      <c r="A12" s="75">
        <v>10101513</v>
      </c>
      <c r="B12" s="76" t="s">
        <v>14451</v>
      </c>
    </row>
    <row r="13" spans="1:2" x14ac:dyDescent="0.25">
      <c r="A13" s="75">
        <v>10101514</v>
      </c>
      <c r="B13" s="76" t="s">
        <v>19175</v>
      </c>
    </row>
    <row r="14" spans="1:2" x14ac:dyDescent="0.25">
      <c r="A14" s="75">
        <v>10101515</v>
      </c>
      <c r="B14" s="76" t="s">
        <v>16562</v>
      </c>
    </row>
    <row r="15" spans="1:2" x14ac:dyDescent="0.25">
      <c r="A15" s="75">
        <v>10101516</v>
      </c>
      <c r="B15" s="76" t="s">
        <v>12135</v>
      </c>
    </row>
    <row r="16" spans="1:2" x14ac:dyDescent="0.25">
      <c r="A16" s="75">
        <v>10101517</v>
      </c>
      <c r="B16" s="76" t="s">
        <v>17084</v>
      </c>
    </row>
    <row r="17" spans="1:2" x14ac:dyDescent="0.25">
      <c r="A17" s="75">
        <v>10101601</v>
      </c>
      <c r="B17" s="76" t="s">
        <v>4803</v>
      </c>
    </row>
    <row r="18" spans="1:2" x14ac:dyDescent="0.25">
      <c r="A18" s="75">
        <v>10101602</v>
      </c>
      <c r="B18" s="76" t="s">
        <v>12175</v>
      </c>
    </row>
    <row r="19" spans="1:2" x14ac:dyDescent="0.25">
      <c r="A19" s="75">
        <v>10101603</v>
      </c>
      <c r="B19" s="76" t="s">
        <v>8354</v>
      </c>
    </row>
    <row r="20" spans="1:2" x14ac:dyDescent="0.25">
      <c r="A20" s="75">
        <v>10101604</v>
      </c>
      <c r="B20" s="76" t="s">
        <v>13382</v>
      </c>
    </row>
    <row r="21" spans="1:2" x14ac:dyDescent="0.25">
      <c r="A21" s="75">
        <v>10101605</v>
      </c>
      <c r="B21" s="76" t="s">
        <v>6072</v>
      </c>
    </row>
    <row r="22" spans="1:2" x14ac:dyDescent="0.25">
      <c r="A22" s="75">
        <v>10101701</v>
      </c>
      <c r="B22" s="76" t="s">
        <v>3595</v>
      </c>
    </row>
    <row r="23" spans="1:2" x14ac:dyDescent="0.25">
      <c r="A23" s="75">
        <v>10101702</v>
      </c>
      <c r="B23" s="76" t="s">
        <v>18375</v>
      </c>
    </row>
    <row r="24" spans="1:2" x14ac:dyDescent="0.25">
      <c r="A24" s="75">
        <v>10101703</v>
      </c>
      <c r="B24" s="76" t="s">
        <v>5998</v>
      </c>
    </row>
    <row r="25" spans="1:2" x14ac:dyDescent="0.25">
      <c r="A25" s="75">
        <v>10101704</v>
      </c>
      <c r="B25" s="76" t="s">
        <v>16347</v>
      </c>
    </row>
    <row r="26" spans="1:2" x14ac:dyDescent="0.25">
      <c r="A26" s="75">
        <v>10101705</v>
      </c>
      <c r="B26" s="76" t="s">
        <v>12296</v>
      </c>
    </row>
    <row r="27" spans="1:2" x14ac:dyDescent="0.25">
      <c r="A27" s="75">
        <v>10101801</v>
      </c>
      <c r="B27" s="76" t="s">
        <v>1542</v>
      </c>
    </row>
    <row r="28" spans="1:2" x14ac:dyDescent="0.25">
      <c r="A28" s="75">
        <v>10101802</v>
      </c>
      <c r="B28" s="76" t="s">
        <v>473</v>
      </c>
    </row>
    <row r="29" spans="1:2" x14ac:dyDescent="0.25">
      <c r="A29" s="75">
        <v>10101803</v>
      </c>
      <c r="B29" s="76" t="s">
        <v>6521</v>
      </c>
    </row>
    <row r="30" spans="1:2" x14ac:dyDescent="0.25">
      <c r="A30" s="75">
        <v>10101804</v>
      </c>
      <c r="B30" s="76" t="s">
        <v>2606</v>
      </c>
    </row>
    <row r="31" spans="1:2" x14ac:dyDescent="0.25">
      <c r="A31" s="75">
        <v>10101805</v>
      </c>
      <c r="B31" s="76" t="s">
        <v>1697</v>
      </c>
    </row>
    <row r="32" spans="1:2" x14ac:dyDescent="0.25">
      <c r="A32" s="75">
        <v>10101806</v>
      </c>
      <c r="B32" s="76" t="s">
        <v>1004</v>
      </c>
    </row>
    <row r="33" spans="1:2" x14ac:dyDescent="0.25">
      <c r="A33" s="75">
        <v>10101807</v>
      </c>
      <c r="B33" s="76" t="s">
        <v>531</v>
      </c>
    </row>
    <row r="34" spans="1:2" x14ac:dyDescent="0.25">
      <c r="A34" s="75">
        <v>10101808</v>
      </c>
      <c r="B34" s="76" t="s">
        <v>2650</v>
      </c>
    </row>
    <row r="35" spans="1:2" x14ac:dyDescent="0.25">
      <c r="A35" s="75">
        <v>10101901</v>
      </c>
      <c r="B35" s="76" t="s">
        <v>4780</v>
      </c>
    </row>
    <row r="36" spans="1:2" x14ac:dyDescent="0.25">
      <c r="A36" s="75">
        <v>10101902</v>
      </c>
      <c r="B36" s="76" t="s">
        <v>19815</v>
      </c>
    </row>
    <row r="37" spans="1:2" x14ac:dyDescent="0.25">
      <c r="A37" s="75">
        <v>10101903</v>
      </c>
      <c r="B37" s="76" t="s">
        <v>8435</v>
      </c>
    </row>
    <row r="38" spans="1:2" x14ac:dyDescent="0.25">
      <c r="A38" s="75">
        <v>10101904</v>
      </c>
      <c r="B38" s="76" t="s">
        <v>13268</v>
      </c>
    </row>
    <row r="39" spans="1:2" x14ac:dyDescent="0.25">
      <c r="A39" s="75">
        <v>10102001</v>
      </c>
      <c r="B39" s="76" t="s">
        <v>6742</v>
      </c>
    </row>
    <row r="40" spans="1:2" x14ac:dyDescent="0.25">
      <c r="A40" s="75">
        <v>10102002</v>
      </c>
      <c r="B40" s="76" t="s">
        <v>4333</v>
      </c>
    </row>
    <row r="41" spans="1:2" x14ac:dyDescent="0.25">
      <c r="A41" s="75">
        <v>10111301</v>
      </c>
      <c r="B41" s="76" t="s">
        <v>18019</v>
      </c>
    </row>
    <row r="42" spans="1:2" x14ac:dyDescent="0.25">
      <c r="A42" s="75">
        <v>10111302</v>
      </c>
      <c r="B42" s="76" t="s">
        <v>16711</v>
      </c>
    </row>
    <row r="43" spans="1:2" x14ac:dyDescent="0.25">
      <c r="A43" s="75">
        <v>10111303</v>
      </c>
      <c r="B43" s="76" t="s">
        <v>19968</v>
      </c>
    </row>
    <row r="44" spans="1:2" x14ac:dyDescent="0.25">
      <c r="A44" s="75">
        <v>10111304</v>
      </c>
      <c r="B44" s="76" t="s">
        <v>11911</v>
      </c>
    </row>
    <row r="45" spans="1:2" x14ac:dyDescent="0.25">
      <c r="A45" s="75">
        <v>10111305</v>
      </c>
      <c r="B45" s="76" t="s">
        <v>10936</v>
      </c>
    </row>
    <row r="46" spans="1:2" x14ac:dyDescent="0.25">
      <c r="A46" s="75">
        <v>10111306</v>
      </c>
      <c r="B46" s="76" t="s">
        <v>12080</v>
      </c>
    </row>
    <row r="47" spans="1:2" x14ac:dyDescent="0.25">
      <c r="A47" s="75">
        <v>10111307</v>
      </c>
      <c r="B47" s="76" t="s">
        <v>17673</v>
      </c>
    </row>
    <row r="48" spans="1:2" x14ac:dyDescent="0.25">
      <c r="A48" s="75">
        <v>10121501</v>
      </c>
      <c r="B48" s="76" t="s">
        <v>11155</v>
      </c>
    </row>
    <row r="49" spans="1:2" x14ac:dyDescent="0.25">
      <c r="A49" s="75">
        <v>10121502</v>
      </c>
      <c r="B49" s="76" t="s">
        <v>1971</v>
      </c>
    </row>
    <row r="50" spans="1:2" x14ac:dyDescent="0.25">
      <c r="A50" s="75">
        <v>10121503</v>
      </c>
      <c r="B50" s="76" t="s">
        <v>11702</v>
      </c>
    </row>
    <row r="51" spans="1:2" x14ac:dyDescent="0.25">
      <c r="A51" s="75">
        <v>10121504</v>
      </c>
      <c r="B51" s="76" t="s">
        <v>1654</v>
      </c>
    </row>
    <row r="52" spans="1:2" x14ac:dyDescent="0.25">
      <c r="A52" s="75">
        <v>10121505</v>
      </c>
      <c r="B52" s="76" t="s">
        <v>10912</v>
      </c>
    </row>
    <row r="53" spans="1:2" x14ac:dyDescent="0.25">
      <c r="A53" s="75">
        <v>10121506</v>
      </c>
      <c r="B53" s="76" t="s">
        <v>335</v>
      </c>
    </row>
    <row r="54" spans="1:2" x14ac:dyDescent="0.25">
      <c r="A54" s="75">
        <v>10121601</v>
      </c>
      <c r="B54" s="76" t="s">
        <v>12655</v>
      </c>
    </row>
    <row r="55" spans="1:2" x14ac:dyDescent="0.25">
      <c r="A55" s="75">
        <v>10121602</v>
      </c>
      <c r="B55" s="76" t="s">
        <v>3764</v>
      </c>
    </row>
    <row r="56" spans="1:2" x14ac:dyDescent="0.25">
      <c r="A56" s="75">
        <v>10121603</v>
      </c>
      <c r="B56" s="76" t="s">
        <v>19237</v>
      </c>
    </row>
    <row r="57" spans="1:2" x14ac:dyDescent="0.25">
      <c r="A57" s="75">
        <v>10121604</v>
      </c>
      <c r="B57" s="76" t="s">
        <v>16964</v>
      </c>
    </row>
    <row r="58" spans="1:2" x14ac:dyDescent="0.25">
      <c r="A58" s="75">
        <v>10121701</v>
      </c>
      <c r="B58" s="76" t="s">
        <v>15320</v>
      </c>
    </row>
    <row r="59" spans="1:2" x14ac:dyDescent="0.25">
      <c r="A59" s="75">
        <v>10121702</v>
      </c>
      <c r="B59" s="76" t="s">
        <v>14057</v>
      </c>
    </row>
    <row r="60" spans="1:2" x14ac:dyDescent="0.25">
      <c r="A60" s="75">
        <v>10121703</v>
      </c>
      <c r="B60" s="76" t="s">
        <v>8788</v>
      </c>
    </row>
    <row r="61" spans="1:2" x14ac:dyDescent="0.25">
      <c r="A61" s="75">
        <v>10121801</v>
      </c>
      <c r="B61" s="76" t="s">
        <v>8324</v>
      </c>
    </row>
    <row r="62" spans="1:2" x14ac:dyDescent="0.25">
      <c r="A62" s="75">
        <v>10121802</v>
      </c>
      <c r="B62" s="76" t="s">
        <v>14681</v>
      </c>
    </row>
    <row r="63" spans="1:2" x14ac:dyDescent="0.25">
      <c r="A63" s="75">
        <v>10121803</v>
      </c>
      <c r="B63" s="76" t="s">
        <v>1134</v>
      </c>
    </row>
    <row r="64" spans="1:2" x14ac:dyDescent="0.25">
      <c r="A64" s="75">
        <v>10121804</v>
      </c>
      <c r="B64" s="76" t="s">
        <v>14267</v>
      </c>
    </row>
    <row r="65" spans="1:2" x14ac:dyDescent="0.25">
      <c r="A65" s="75">
        <v>10121805</v>
      </c>
      <c r="B65" s="76" t="s">
        <v>4674</v>
      </c>
    </row>
    <row r="66" spans="1:2" x14ac:dyDescent="0.25">
      <c r="A66" s="75">
        <v>10121806</v>
      </c>
      <c r="B66" s="76" t="s">
        <v>5064</v>
      </c>
    </row>
    <row r="67" spans="1:2" x14ac:dyDescent="0.25">
      <c r="A67" s="75">
        <v>10121901</v>
      </c>
      <c r="B67" s="76" t="s">
        <v>8980</v>
      </c>
    </row>
    <row r="68" spans="1:2" x14ac:dyDescent="0.25">
      <c r="A68" s="75">
        <v>10122001</v>
      </c>
      <c r="B68" s="76" t="s">
        <v>17433</v>
      </c>
    </row>
    <row r="69" spans="1:2" x14ac:dyDescent="0.25">
      <c r="A69" s="75">
        <v>10122002</v>
      </c>
      <c r="B69" s="76" t="s">
        <v>3490</v>
      </c>
    </row>
    <row r="70" spans="1:2" x14ac:dyDescent="0.25">
      <c r="A70" s="75">
        <v>10122003</v>
      </c>
      <c r="B70" s="76" t="s">
        <v>4104</v>
      </c>
    </row>
    <row r="71" spans="1:2" x14ac:dyDescent="0.25">
      <c r="A71" s="75">
        <v>10122101</v>
      </c>
      <c r="B71" s="76" t="s">
        <v>5587</v>
      </c>
    </row>
    <row r="72" spans="1:2" x14ac:dyDescent="0.25">
      <c r="A72" s="75">
        <v>10122102</v>
      </c>
      <c r="B72" s="76" t="s">
        <v>13543</v>
      </c>
    </row>
    <row r="73" spans="1:2" x14ac:dyDescent="0.25">
      <c r="A73" s="75">
        <v>10122103</v>
      </c>
      <c r="B73" s="76" t="s">
        <v>18728</v>
      </c>
    </row>
    <row r="74" spans="1:2" x14ac:dyDescent="0.25">
      <c r="A74" s="75">
        <v>10131506</v>
      </c>
      <c r="B74" s="76" t="s">
        <v>14862</v>
      </c>
    </row>
    <row r="75" spans="1:2" x14ac:dyDescent="0.25">
      <c r="A75" s="75">
        <v>10131507</v>
      </c>
      <c r="B75" s="76" t="s">
        <v>16863</v>
      </c>
    </row>
    <row r="76" spans="1:2" x14ac:dyDescent="0.25">
      <c r="A76" s="75">
        <v>10131508</v>
      </c>
      <c r="B76" s="76" t="s">
        <v>17327</v>
      </c>
    </row>
    <row r="77" spans="1:2" x14ac:dyDescent="0.25">
      <c r="A77" s="75">
        <v>10131601</v>
      </c>
      <c r="B77" s="76" t="s">
        <v>15789</v>
      </c>
    </row>
    <row r="78" spans="1:2" x14ac:dyDescent="0.25">
      <c r="A78" s="75">
        <v>10131602</v>
      </c>
      <c r="B78" s="76" t="s">
        <v>14799</v>
      </c>
    </row>
    <row r="79" spans="1:2" x14ac:dyDescent="0.25">
      <c r="A79" s="75">
        <v>10131603</v>
      </c>
      <c r="B79" s="76" t="s">
        <v>17304</v>
      </c>
    </row>
    <row r="80" spans="1:2" x14ac:dyDescent="0.25">
      <c r="A80" s="75">
        <v>10131604</v>
      </c>
      <c r="B80" s="76" t="s">
        <v>6085</v>
      </c>
    </row>
    <row r="81" spans="1:2" x14ac:dyDescent="0.25">
      <c r="A81" s="75">
        <v>10131701</v>
      </c>
      <c r="B81" s="76" t="s">
        <v>5586</v>
      </c>
    </row>
    <row r="82" spans="1:2" x14ac:dyDescent="0.25">
      <c r="A82" s="75">
        <v>10131702</v>
      </c>
      <c r="B82" s="76" t="s">
        <v>4689</v>
      </c>
    </row>
    <row r="83" spans="1:2" x14ac:dyDescent="0.25">
      <c r="A83" s="75">
        <v>10141501</v>
      </c>
      <c r="B83" s="76" t="s">
        <v>11681</v>
      </c>
    </row>
    <row r="84" spans="1:2" x14ac:dyDescent="0.25">
      <c r="A84" s="75">
        <v>10141502</v>
      </c>
      <c r="B84" s="76" t="s">
        <v>825</v>
      </c>
    </row>
    <row r="85" spans="1:2" x14ac:dyDescent="0.25">
      <c r="A85" s="75">
        <v>10141503</v>
      </c>
      <c r="B85" s="76" t="s">
        <v>15397</v>
      </c>
    </row>
    <row r="86" spans="1:2" x14ac:dyDescent="0.25">
      <c r="A86" s="75">
        <v>10141504</v>
      </c>
      <c r="B86" s="76" t="s">
        <v>6460</v>
      </c>
    </row>
    <row r="87" spans="1:2" x14ac:dyDescent="0.25">
      <c r="A87" s="75">
        <v>10141601</v>
      </c>
      <c r="B87" s="76" t="s">
        <v>3952</v>
      </c>
    </row>
    <row r="88" spans="1:2" x14ac:dyDescent="0.25">
      <c r="A88" s="75">
        <v>10141602</v>
      </c>
      <c r="B88" s="76" t="s">
        <v>10645</v>
      </c>
    </row>
    <row r="89" spans="1:2" x14ac:dyDescent="0.25">
      <c r="A89" s="75">
        <v>10141603</v>
      </c>
      <c r="B89" s="76" t="s">
        <v>2519</v>
      </c>
    </row>
    <row r="90" spans="1:2" x14ac:dyDescent="0.25">
      <c r="A90" s="75">
        <v>10141604</v>
      </c>
      <c r="B90" s="76" t="s">
        <v>17794</v>
      </c>
    </row>
    <row r="91" spans="1:2" x14ac:dyDescent="0.25">
      <c r="A91" s="75">
        <v>10141605</v>
      </c>
      <c r="B91" s="76" t="s">
        <v>11834</v>
      </c>
    </row>
    <row r="92" spans="1:2" x14ac:dyDescent="0.25">
      <c r="A92" s="75">
        <v>10141606</v>
      </c>
      <c r="B92" s="76" t="s">
        <v>15726</v>
      </c>
    </row>
    <row r="93" spans="1:2" x14ac:dyDescent="0.25">
      <c r="A93" s="75">
        <v>10141607</v>
      </c>
      <c r="B93" s="76" t="s">
        <v>16942</v>
      </c>
    </row>
    <row r="94" spans="1:2" x14ac:dyDescent="0.25">
      <c r="A94" s="75">
        <v>10141608</v>
      </c>
      <c r="B94" s="76" t="s">
        <v>17722</v>
      </c>
    </row>
    <row r="95" spans="1:2" x14ac:dyDescent="0.25">
      <c r="A95" s="75">
        <v>10141609</v>
      </c>
      <c r="B95" s="76" t="s">
        <v>7267</v>
      </c>
    </row>
    <row r="96" spans="1:2" x14ac:dyDescent="0.25">
      <c r="A96" s="75">
        <v>10141610</v>
      </c>
      <c r="B96" s="76" t="s">
        <v>12552</v>
      </c>
    </row>
    <row r="97" spans="1:2" x14ac:dyDescent="0.25">
      <c r="A97" s="75">
        <v>10141611</v>
      </c>
      <c r="B97" s="76" t="s">
        <v>1799</v>
      </c>
    </row>
    <row r="98" spans="1:2" x14ac:dyDescent="0.25">
      <c r="A98" s="75">
        <v>10151501</v>
      </c>
      <c r="B98" s="76" t="s">
        <v>8637</v>
      </c>
    </row>
    <row r="99" spans="1:2" x14ac:dyDescent="0.25">
      <c r="A99" s="75">
        <v>10151502</v>
      </c>
      <c r="B99" s="76" t="s">
        <v>7934</v>
      </c>
    </row>
    <row r="100" spans="1:2" x14ac:dyDescent="0.25">
      <c r="A100" s="75">
        <v>10151503</v>
      </c>
      <c r="B100" s="76" t="s">
        <v>13991</v>
      </c>
    </row>
    <row r="101" spans="1:2" x14ac:dyDescent="0.25">
      <c r="A101" s="75">
        <v>10151504</v>
      </c>
      <c r="B101" s="76" t="s">
        <v>5707</v>
      </c>
    </row>
    <row r="102" spans="1:2" x14ac:dyDescent="0.25">
      <c r="A102" s="75">
        <v>10151505</v>
      </c>
      <c r="B102" s="76" t="s">
        <v>15665</v>
      </c>
    </row>
    <row r="103" spans="1:2" x14ac:dyDescent="0.25">
      <c r="A103" s="75">
        <v>10151506</v>
      </c>
      <c r="B103" s="76" t="s">
        <v>14270</v>
      </c>
    </row>
    <row r="104" spans="1:2" x14ac:dyDescent="0.25">
      <c r="A104" s="75">
        <v>10151507</v>
      </c>
      <c r="B104" s="76" t="s">
        <v>12106</v>
      </c>
    </row>
    <row r="105" spans="1:2" x14ac:dyDescent="0.25">
      <c r="A105" s="75">
        <v>10151508</v>
      </c>
      <c r="B105" s="76" t="s">
        <v>14699</v>
      </c>
    </row>
    <row r="106" spans="1:2" x14ac:dyDescent="0.25">
      <c r="A106" s="75">
        <v>10151509</v>
      </c>
      <c r="B106" s="76" t="s">
        <v>5480</v>
      </c>
    </row>
    <row r="107" spans="1:2" x14ac:dyDescent="0.25">
      <c r="A107" s="75">
        <v>10151510</v>
      </c>
      <c r="B107" s="76" t="s">
        <v>8653</v>
      </c>
    </row>
    <row r="108" spans="1:2" x14ac:dyDescent="0.25">
      <c r="A108" s="75">
        <v>10151511</v>
      </c>
      <c r="B108" s="76" t="s">
        <v>3918</v>
      </c>
    </row>
    <row r="109" spans="1:2" x14ac:dyDescent="0.25">
      <c r="A109" s="75">
        <v>10151512</v>
      </c>
      <c r="B109" s="76" t="s">
        <v>1662</v>
      </c>
    </row>
    <row r="110" spans="1:2" x14ac:dyDescent="0.25">
      <c r="A110" s="75">
        <v>10151513</v>
      </c>
      <c r="B110" s="76" t="s">
        <v>14319</v>
      </c>
    </row>
    <row r="111" spans="1:2" x14ac:dyDescent="0.25">
      <c r="A111" s="75">
        <v>10151514</v>
      </c>
      <c r="B111" s="76" t="s">
        <v>12963</v>
      </c>
    </row>
    <row r="112" spans="1:2" x14ac:dyDescent="0.25">
      <c r="A112" s="75">
        <v>10151515</v>
      </c>
      <c r="B112" s="76" t="s">
        <v>13033</v>
      </c>
    </row>
    <row r="113" spans="1:2" x14ac:dyDescent="0.25">
      <c r="A113" s="75">
        <v>10151516</v>
      </c>
      <c r="B113" s="76" t="s">
        <v>17846</v>
      </c>
    </row>
    <row r="114" spans="1:2" x14ac:dyDescent="0.25">
      <c r="A114" s="75">
        <v>10151517</v>
      </c>
      <c r="B114" s="76" t="s">
        <v>15803</v>
      </c>
    </row>
    <row r="115" spans="1:2" x14ac:dyDescent="0.25">
      <c r="A115" s="75">
        <v>10151518</v>
      </c>
      <c r="B115" s="76" t="s">
        <v>7590</v>
      </c>
    </row>
    <row r="116" spans="1:2" x14ac:dyDescent="0.25">
      <c r="A116" s="75">
        <v>10151519</v>
      </c>
      <c r="B116" s="76" t="s">
        <v>15367</v>
      </c>
    </row>
    <row r="117" spans="1:2" x14ac:dyDescent="0.25">
      <c r="A117" s="75">
        <v>10151520</v>
      </c>
      <c r="B117" s="76" t="s">
        <v>9467</v>
      </c>
    </row>
    <row r="118" spans="1:2" x14ac:dyDescent="0.25">
      <c r="A118" s="75">
        <v>10151521</v>
      </c>
      <c r="B118" s="76" t="s">
        <v>7837</v>
      </c>
    </row>
    <row r="119" spans="1:2" x14ac:dyDescent="0.25">
      <c r="A119" s="75">
        <v>10151522</v>
      </c>
      <c r="B119" s="76" t="s">
        <v>2835</v>
      </c>
    </row>
    <row r="120" spans="1:2" x14ac:dyDescent="0.25">
      <c r="A120" s="75">
        <v>10151523</v>
      </c>
      <c r="B120" s="76" t="s">
        <v>11586</v>
      </c>
    </row>
    <row r="121" spans="1:2" x14ac:dyDescent="0.25">
      <c r="A121" s="75">
        <v>10151524</v>
      </c>
      <c r="B121" s="76" t="s">
        <v>171</v>
      </c>
    </row>
    <row r="122" spans="1:2" x14ac:dyDescent="0.25">
      <c r="A122" s="75">
        <v>10151525</v>
      </c>
      <c r="B122" s="76" t="s">
        <v>3415</v>
      </c>
    </row>
    <row r="123" spans="1:2" x14ac:dyDescent="0.25">
      <c r="A123" s="75">
        <v>10151526</v>
      </c>
      <c r="B123" s="76" t="s">
        <v>2967</v>
      </c>
    </row>
    <row r="124" spans="1:2" x14ac:dyDescent="0.25">
      <c r="A124" s="75">
        <v>10151527</v>
      </c>
      <c r="B124" s="76" t="s">
        <v>18328</v>
      </c>
    </row>
    <row r="125" spans="1:2" x14ac:dyDescent="0.25">
      <c r="A125" s="75">
        <v>10151528</v>
      </c>
      <c r="B125" s="76" t="s">
        <v>6080</v>
      </c>
    </row>
    <row r="126" spans="1:2" x14ac:dyDescent="0.25">
      <c r="A126" s="75">
        <v>10151529</v>
      </c>
      <c r="B126" s="76" t="s">
        <v>18447</v>
      </c>
    </row>
    <row r="127" spans="1:2" x14ac:dyDescent="0.25">
      <c r="A127" s="75">
        <v>10151530</v>
      </c>
      <c r="B127" s="76" t="s">
        <v>4987</v>
      </c>
    </row>
    <row r="128" spans="1:2" x14ac:dyDescent="0.25">
      <c r="A128" s="75">
        <v>10151531</v>
      </c>
      <c r="B128" s="76" t="s">
        <v>334</v>
      </c>
    </row>
    <row r="129" spans="1:2" x14ac:dyDescent="0.25">
      <c r="A129" s="75">
        <v>10151532</v>
      </c>
      <c r="B129" s="76" t="s">
        <v>4083</v>
      </c>
    </row>
    <row r="130" spans="1:2" x14ac:dyDescent="0.25">
      <c r="A130" s="75">
        <v>10151533</v>
      </c>
      <c r="B130" s="76" t="s">
        <v>1511</v>
      </c>
    </row>
    <row r="131" spans="1:2" x14ac:dyDescent="0.25">
      <c r="A131" s="75">
        <v>10151534</v>
      </c>
      <c r="B131" s="76" t="s">
        <v>15071</v>
      </c>
    </row>
    <row r="132" spans="1:2" x14ac:dyDescent="0.25">
      <c r="A132" s="75">
        <v>10151535</v>
      </c>
      <c r="B132" s="76" t="s">
        <v>1963</v>
      </c>
    </row>
    <row r="133" spans="1:2" x14ac:dyDescent="0.25">
      <c r="A133" s="75">
        <v>10151601</v>
      </c>
      <c r="B133" s="76" t="s">
        <v>10431</v>
      </c>
    </row>
    <row r="134" spans="1:2" x14ac:dyDescent="0.25">
      <c r="A134" s="75">
        <v>10151602</v>
      </c>
      <c r="B134" s="76" t="s">
        <v>15369</v>
      </c>
    </row>
    <row r="135" spans="1:2" x14ac:dyDescent="0.25">
      <c r="A135" s="75">
        <v>10151603</v>
      </c>
      <c r="B135" s="76" t="s">
        <v>19659</v>
      </c>
    </row>
    <row r="136" spans="1:2" x14ac:dyDescent="0.25">
      <c r="A136" s="75">
        <v>10151604</v>
      </c>
      <c r="B136" s="76" t="s">
        <v>11448</v>
      </c>
    </row>
    <row r="137" spans="1:2" x14ac:dyDescent="0.25">
      <c r="A137" s="75">
        <v>10151605</v>
      </c>
      <c r="B137" s="76" t="s">
        <v>1034</v>
      </c>
    </row>
    <row r="138" spans="1:2" x14ac:dyDescent="0.25">
      <c r="A138" s="75">
        <v>10151606</v>
      </c>
      <c r="B138" s="76" t="s">
        <v>2942</v>
      </c>
    </row>
    <row r="139" spans="1:2" x14ac:dyDescent="0.25">
      <c r="A139" s="75">
        <v>10151607</v>
      </c>
      <c r="B139" s="76" t="s">
        <v>19544</v>
      </c>
    </row>
    <row r="140" spans="1:2" x14ac:dyDescent="0.25">
      <c r="A140" s="75">
        <v>10151608</v>
      </c>
      <c r="B140" s="76" t="s">
        <v>10385</v>
      </c>
    </row>
    <row r="141" spans="1:2" x14ac:dyDescent="0.25">
      <c r="A141" s="75">
        <v>10151609</v>
      </c>
      <c r="B141" s="76" t="s">
        <v>9005</v>
      </c>
    </row>
    <row r="142" spans="1:2" x14ac:dyDescent="0.25">
      <c r="A142" s="75">
        <v>10151610</v>
      </c>
      <c r="B142" s="76" t="s">
        <v>3380</v>
      </c>
    </row>
    <row r="143" spans="1:2" x14ac:dyDescent="0.25">
      <c r="A143" s="75">
        <v>10151611</v>
      </c>
      <c r="B143" s="76" t="s">
        <v>19460</v>
      </c>
    </row>
    <row r="144" spans="1:2" x14ac:dyDescent="0.25">
      <c r="A144" s="75">
        <v>10151701</v>
      </c>
      <c r="B144" s="76" t="s">
        <v>2476</v>
      </c>
    </row>
    <row r="145" spans="1:2" x14ac:dyDescent="0.25">
      <c r="A145" s="75">
        <v>10151702</v>
      </c>
      <c r="B145" s="76" t="s">
        <v>6358</v>
      </c>
    </row>
    <row r="146" spans="1:2" x14ac:dyDescent="0.25">
      <c r="A146" s="75">
        <v>10151703</v>
      </c>
      <c r="B146" s="76" t="s">
        <v>403</v>
      </c>
    </row>
    <row r="147" spans="1:2" x14ac:dyDescent="0.25">
      <c r="A147" s="75">
        <v>10151704</v>
      </c>
      <c r="B147" s="76" t="s">
        <v>9771</v>
      </c>
    </row>
    <row r="148" spans="1:2" x14ac:dyDescent="0.25">
      <c r="A148" s="75">
        <v>10151705</v>
      </c>
      <c r="B148" s="76" t="s">
        <v>16742</v>
      </c>
    </row>
    <row r="149" spans="1:2" x14ac:dyDescent="0.25">
      <c r="A149" s="75">
        <v>10151706</v>
      </c>
      <c r="B149" s="76" t="s">
        <v>2358</v>
      </c>
    </row>
    <row r="150" spans="1:2" x14ac:dyDescent="0.25">
      <c r="A150" s="75">
        <v>10151801</v>
      </c>
      <c r="B150" s="76" t="s">
        <v>7845</v>
      </c>
    </row>
    <row r="151" spans="1:2" x14ac:dyDescent="0.25">
      <c r="A151" s="75">
        <v>10151802</v>
      </c>
      <c r="B151" s="76" t="s">
        <v>2539</v>
      </c>
    </row>
    <row r="152" spans="1:2" x14ac:dyDescent="0.25">
      <c r="A152" s="75">
        <v>10151803</v>
      </c>
      <c r="B152" s="76" t="s">
        <v>2404</v>
      </c>
    </row>
    <row r="153" spans="1:2" x14ac:dyDescent="0.25">
      <c r="A153" s="75">
        <v>10151804</v>
      </c>
      <c r="B153" s="76" t="s">
        <v>11602</v>
      </c>
    </row>
    <row r="154" spans="1:2" x14ac:dyDescent="0.25">
      <c r="A154" s="75">
        <v>10151805</v>
      </c>
      <c r="B154" s="76" t="s">
        <v>9664</v>
      </c>
    </row>
    <row r="155" spans="1:2" x14ac:dyDescent="0.25">
      <c r="A155" s="75">
        <v>10151806</v>
      </c>
      <c r="B155" s="76" t="s">
        <v>11076</v>
      </c>
    </row>
    <row r="156" spans="1:2" x14ac:dyDescent="0.25">
      <c r="A156" s="75">
        <v>10151807</v>
      </c>
      <c r="B156" s="76" t="s">
        <v>12843</v>
      </c>
    </row>
    <row r="157" spans="1:2" x14ac:dyDescent="0.25">
      <c r="A157" s="75">
        <v>10151808</v>
      </c>
      <c r="B157" s="76" t="s">
        <v>5950</v>
      </c>
    </row>
    <row r="158" spans="1:2" x14ac:dyDescent="0.25">
      <c r="A158" s="75">
        <v>10151809</v>
      </c>
      <c r="B158" s="76" t="s">
        <v>5240</v>
      </c>
    </row>
    <row r="159" spans="1:2" x14ac:dyDescent="0.25">
      <c r="A159" s="75">
        <v>10151810</v>
      </c>
      <c r="B159" s="76" t="s">
        <v>17897</v>
      </c>
    </row>
    <row r="160" spans="1:2" x14ac:dyDescent="0.25">
      <c r="A160" s="75">
        <v>10151811</v>
      </c>
      <c r="B160" s="76" t="s">
        <v>12484</v>
      </c>
    </row>
    <row r="161" spans="1:2" x14ac:dyDescent="0.25">
      <c r="A161" s="75">
        <v>10151901</v>
      </c>
      <c r="B161" s="76" t="s">
        <v>3950</v>
      </c>
    </row>
    <row r="162" spans="1:2" x14ac:dyDescent="0.25">
      <c r="A162" s="75">
        <v>10151902</v>
      </c>
      <c r="B162" s="76" t="s">
        <v>8465</v>
      </c>
    </row>
    <row r="163" spans="1:2" x14ac:dyDescent="0.25">
      <c r="A163" s="75">
        <v>10151903</v>
      </c>
      <c r="B163" s="76" t="s">
        <v>16187</v>
      </c>
    </row>
    <row r="164" spans="1:2" x14ac:dyDescent="0.25">
      <c r="A164" s="75">
        <v>10151904</v>
      </c>
      <c r="B164" s="76" t="s">
        <v>1329</v>
      </c>
    </row>
    <row r="165" spans="1:2" x14ac:dyDescent="0.25">
      <c r="A165" s="75">
        <v>10151905</v>
      </c>
      <c r="B165" s="76" t="s">
        <v>18765</v>
      </c>
    </row>
    <row r="166" spans="1:2" x14ac:dyDescent="0.25">
      <c r="A166" s="75">
        <v>10151906</v>
      </c>
      <c r="B166" s="76" t="s">
        <v>2453</v>
      </c>
    </row>
    <row r="167" spans="1:2" x14ac:dyDescent="0.25">
      <c r="A167" s="75">
        <v>10151907</v>
      </c>
      <c r="B167" s="76" t="s">
        <v>4866</v>
      </c>
    </row>
    <row r="168" spans="1:2" x14ac:dyDescent="0.25">
      <c r="A168" s="75">
        <v>10152001</v>
      </c>
      <c r="B168" s="76" t="s">
        <v>3521</v>
      </c>
    </row>
    <row r="169" spans="1:2" x14ac:dyDescent="0.25">
      <c r="A169" s="75">
        <v>10152002</v>
      </c>
      <c r="B169" s="76" t="s">
        <v>4203</v>
      </c>
    </row>
    <row r="170" spans="1:2" x14ac:dyDescent="0.25">
      <c r="A170" s="75">
        <v>10152003</v>
      </c>
      <c r="B170" s="76" t="s">
        <v>16267</v>
      </c>
    </row>
    <row r="171" spans="1:2" x14ac:dyDescent="0.25">
      <c r="A171" s="75">
        <v>10152101</v>
      </c>
      <c r="B171" s="76" t="s">
        <v>5105</v>
      </c>
    </row>
    <row r="172" spans="1:2" x14ac:dyDescent="0.25">
      <c r="A172" s="75">
        <v>10152102</v>
      </c>
      <c r="B172" s="76" t="s">
        <v>8691</v>
      </c>
    </row>
    <row r="173" spans="1:2" x14ac:dyDescent="0.25">
      <c r="A173" s="75">
        <v>10152103</v>
      </c>
      <c r="B173" s="76" t="s">
        <v>1154</v>
      </c>
    </row>
    <row r="174" spans="1:2" x14ac:dyDescent="0.25">
      <c r="A174" s="75">
        <v>10152104</v>
      </c>
      <c r="B174" s="76" t="s">
        <v>5075</v>
      </c>
    </row>
    <row r="175" spans="1:2" x14ac:dyDescent="0.25">
      <c r="A175" s="75">
        <v>10152201</v>
      </c>
      <c r="B175" s="76" t="s">
        <v>8770</v>
      </c>
    </row>
    <row r="176" spans="1:2" x14ac:dyDescent="0.25">
      <c r="A176" s="75">
        <v>10152202</v>
      </c>
      <c r="B176" s="76" t="s">
        <v>19239</v>
      </c>
    </row>
    <row r="177" spans="1:2" x14ac:dyDescent="0.25">
      <c r="A177" s="75">
        <v>10161501</v>
      </c>
      <c r="B177" s="76" t="s">
        <v>16009</v>
      </c>
    </row>
    <row r="178" spans="1:2" x14ac:dyDescent="0.25">
      <c r="A178" s="75">
        <v>10161502</v>
      </c>
      <c r="B178" s="76" t="s">
        <v>15234</v>
      </c>
    </row>
    <row r="179" spans="1:2" x14ac:dyDescent="0.25">
      <c r="A179" s="75">
        <v>10161503</v>
      </c>
      <c r="B179" s="76" t="s">
        <v>9122</v>
      </c>
    </row>
    <row r="180" spans="1:2" x14ac:dyDescent="0.25">
      <c r="A180" s="75">
        <v>10161504</v>
      </c>
      <c r="B180" s="76" t="s">
        <v>891</v>
      </c>
    </row>
    <row r="181" spans="1:2" x14ac:dyDescent="0.25">
      <c r="A181" s="75">
        <v>10161505</v>
      </c>
      <c r="B181" s="76" t="s">
        <v>11439</v>
      </c>
    </row>
    <row r="182" spans="1:2" x14ac:dyDescent="0.25">
      <c r="A182" s="75">
        <v>10161506</v>
      </c>
      <c r="B182" s="76" t="s">
        <v>8028</v>
      </c>
    </row>
    <row r="183" spans="1:2" x14ac:dyDescent="0.25">
      <c r="A183" s="75">
        <v>10161507</v>
      </c>
      <c r="B183" s="76" t="s">
        <v>6793</v>
      </c>
    </row>
    <row r="184" spans="1:2" x14ac:dyDescent="0.25">
      <c r="A184" s="75">
        <v>10161508</v>
      </c>
      <c r="B184" s="76" t="s">
        <v>13555</v>
      </c>
    </row>
    <row r="185" spans="1:2" x14ac:dyDescent="0.25">
      <c r="A185" s="75">
        <v>10161509</v>
      </c>
      <c r="B185" s="76" t="s">
        <v>7497</v>
      </c>
    </row>
    <row r="186" spans="1:2" x14ac:dyDescent="0.25">
      <c r="A186" s="75">
        <v>10161510</v>
      </c>
      <c r="B186" s="76" t="s">
        <v>11694</v>
      </c>
    </row>
    <row r="187" spans="1:2" x14ac:dyDescent="0.25">
      <c r="A187" s="75">
        <v>10161511</v>
      </c>
      <c r="B187" s="76" t="s">
        <v>17694</v>
      </c>
    </row>
    <row r="188" spans="1:2" x14ac:dyDescent="0.25">
      <c r="A188" s="75">
        <v>10161512</v>
      </c>
      <c r="B188" s="76" t="s">
        <v>9306</v>
      </c>
    </row>
    <row r="189" spans="1:2" x14ac:dyDescent="0.25">
      <c r="A189" s="75">
        <v>10161513</v>
      </c>
      <c r="B189" s="76" t="s">
        <v>3811</v>
      </c>
    </row>
    <row r="190" spans="1:2" x14ac:dyDescent="0.25">
      <c r="A190" s="75">
        <v>10161601</v>
      </c>
      <c r="B190" s="76" t="s">
        <v>1570</v>
      </c>
    </row>
    <row r="191" spans="1:2" x14ac:dyDescent="0.25">
      <c r="A191" s="75">
        <v>10161602</v>
      </c>
      <c r="B191" s="76" t="s">
        <v>4336</v>
      </c>
    </row>
    <row r="192" spans="1:2" x14ac:dyDescent="0.25">
      <c r="A192" s="75">
        <v>10161603</v>
      </c>
      <c r="B192" s="76" t="s">
        <v>16301</v>
      </c>
    </row>
    <row r="193" spans="1:2" x14ac:dyDescent="0.25">
      <c r="A193" s="75">
        <v>10161604</v>
      </c>
      <c r="B193" s="76" t="s">
        <v>3963</v>
      </c>
    </row>
    <row r="194" spans="1:2" x14ac:dyDescent="0.25">
      <c r="A194" s="75">
        <v>10161605</v>
      </c>
      <c r="B194" s="76" t="s">
        <v>14263</v>
      </c>
    </row>
    <row r="195" spans="1:2" x14ac:dyDescent="0.25">
      <c r="A195" s="75">
        <v>10161701</v>
      </c>
      <c r="B195" s="76" t="s">
        <v>10756</v>
      </c>
    </row>
    <row r="196" spans="1:2" x14ac:dyDescent="0.25">
      <c r="A196" s="75">
        <v>10161702</v>
      </c>
      <c r="B196" s="76" t="s">
        <v>15333</v>
      </c>
    </row>
    <row r="197" spans="1:2" x14ac:dyDescent="0.25">
      <c r="A197" s="75">
        <v>10161703</v>
      </c>
      <c r="B197" s="76" t="s">
        <v>14743</v>
      </c>
    </row>
    <row r="198" spans="1:2" x14ac:dyDescent="0.25">
      <c r="A198" s="75">
        <v>10161704</v>
      </c>
      <c r="B198" s="76" t="s">
        <v>14614</v>
      </c>
    </row>
    <row r="199" spans="1:2" x14ac:dyDescent="0.25">
      <c r="A199" s="75">
        <v>10161705</v>
      </c>
      <c r="B199" s="76" t="s">
        <v>10424</v>
      </c>
    </row>
    <row r="200" spans="1:2" x14ac:dyDescent="0.25">
      <c r="A200" s="75">
        <v>10161707</v>
      </c>
      <c r="B200" s="76" t="s">
        <v>10592</v>
      </c>
    </row>
    <row r="201" spans="1:2" x14ac:dyDescent="0.25">
      <c r="A201" s="75">
        <v>10161801</v>
      </c>
      <c r="B201" s="76" t="s">
        <v>13944</v>
      </c>
    </row>
    <row r="202" spans="1:2" x14ac:dyDescent="0.25">
      <c r="A202" s="75">
        <v>10161802</v>
      </c>
      <c r="B202" s="76" t="s">
        <v>10529</v>
      </c>
    </row>
    <row r="203" spans="1:2" x14ac:dyDescent="0.25">
      <c r="A203" s="75">
        <v>10161803</v>
      </c>
      <c r="B203" s="76" t="s">
        <v>19100</v>
      </c>
    </row>
    <row r="204" spans="1:2" x14ac:dyDescent="0.25">
      <c r="A204" s="75">
        <v>10161804</v>
      </c>
      <c r="B204" s="76" t="s">
        <v>9696</v>
      </c>
    </row>
    <row r="205" spans="1:2" x14ac:dyDescent="0.25">
      <c r="A205" s="75">
        <v>10161901</v>
      </c>
      <c r="B205" s="76" t="s">
        <v>15636</v>
      </c>
    </row>
    <row r="206" spans="1:2" x14ac:dyDescent="0.25">
      <c r="A206" s="75">
        <v>10161902</v>
      </c>
      <c r="B206" s="76" t="s">
        <v>4691</v>
      </c>
    </row>
    <row r="207" spans="1:2" x14ac:dyDescent="0.25">
      <c r="A207" s="75">
        <v>10161903</v>
      </c>
      <c r="B207" s="76" t="s">
        <v>7134</v>
      </c>
    </row>
    <row r="208" spans="1:2" x14ac:dyDescent="0.25">
      <c r="A208" s="75">
        <v>10161904</v>
      </c>
      <c r="B208" s="76" t="s">
        <v>15845</v>
      </c>
    </row>
    <row r="209" spans="1:2" x14ac:dyDescent="0.25">
      <c r="A209" s="75">
        <v>10161905</v>
      </c>
      <c r="B209" s="76" t="s">
        <v>8139</v>
      </c>
    </row>
    <row r="210" spans="1:2" x14ac:dyDescent="0.25">
      <c r="A210" s="75">
        <v>10161906</v>
      </c>
      <c r="B210" s="76" t="s">
        <v>8655</v>
      </c>
    </row>
    <row r="211" spans="1:2" x14ac:dyDescent="0.25">
      <c r="A211" s="75">
        <v>10161907</v>
      </c>
      <c r="B211" s="76" t="s">
        <v>7296</v>
      </c>
    </row>
    <row r="212" spans="1:2" x14ac:dyDescent="0.25">
      <c r="A212" s="75">
        <v>10161908</v>
      </c>
      <c r="B212" s="76" t="s">
        <v>1988</v>
      </c>
    </row>
    <row r="213" spans="1:2" x14ac:dyDescent="0.25">
      <c r="A213" s="75">
        <v>10171501</v>
      </c>
      <c r="B213" s="76" t="s">
        <v>1124</v>
      </c>
    </row>
    <row r="214" spans="1:2" x14ac:dyDescent="0.25">
      <c r="A214" s="75">
        <v>10171502</v>
      </c>
      <c r="B214" s="76" t="s">
        <v>18804</v>
      </c>
    </row>
    <row r="215" spans="1:2" x14ac:dyDescent="0.25">
      <c r="A215" s="75">
        <v>10171503</v>
      </c>
      <c r="B215" s="76" t="s">
        <v>18891</v>
      </c>
    </row>
    <row r="216" spans="1:2" x14ac:dyDescent="0.25">
      <c r="A216" s="75">
        <v>10171504</v>
      </c>
      <c r="B216" s="76" t="s">
        <v>9044</v>
      </c>
    </row>
    <row r="217" spans="1:2" x14ac:dyDescent="0.25">
      <c r="A217" s="75">
        <v>10171601</v>
      </c>
      <c r="B217" s="76" t="s">
        <v>2495</v>
      </c>
    </row>
    <row r="218" spans="1:2" x14ac:dyDescent="0.25">
      <c r="A218" s="75">
        <v>10171602</v>
      </c>
      <c r="B218" s="76" t="s">
        <v>6256</v>
      </c>
    </row>
    <row r="219" spans="1:2" x14ac:dyDescent="0.25">
      <c r="A219" s="75">
        <v>10171603</v>
      </c>
      <c r="B219" s="76" t="s">
        <v>14593</v>
      </c>
    </row>
    <row r="220" spans="1:2" x14ac:dyDescent="0.25">
      <c r="A220" s="75">
        <v>10171604</v>
      </c>
      <c r="B220" s="76" t="s">
        <v>10942</v>
      </c>
    </row>
    <row r="221" spans="1:2" x14ac:dyDescent="0.25">
      <c r="A221" s="75">
        <v>10171605</v>
      </c>
      <c r="B221" s="76" t="s">
        <v>11481</v>
      </c>
    </row>
    <row r="222" spans="1:2" x14ac:dyDescent="0.25">
      <c r="A222" s="75">
        <v>10171701</v>
      </c>
      <c r="B222" s="76" t="s">
        <v>15368</v>
      </c>
    </row>
    <row r="223" spans="1:2" x14ac:dyDescent="0.25">
      <c r="A223" s="75">
        <v>10171702</v>
      </c>
      <c r="B223" s="76" t="s">
        <v>20063</v>
      </c>
    </row>
    <row r="224" spans="1:2" x14ac:dyDescent="0.25">
      <c r="A224" s="75">
        <v>10191506</v>
      </c>
      <c r="B224" s="76" t="s">
        <v>9549</v>
      </c>
    </row>
    <row r="225" spans="1:2" x14ac:dyDescent="0.25">
      <c r="A225" s="75">
        <v>10191507</v>
      </c>
      <c r="B225" s="76" t="s">
        <v>11302</v>
      </c>
    </row>
    <row r="226" spans="1:2" x14ac:dyDescent="0.25">
      <c r="A226" s="75">
        <v>10191508</v>
      </c>
      <c r="B226" s="76" t="s">
        <v>4892</v>
      </c>
    </row>
    <row r="227" spans="1:2" x14ac:dyDescent="0.25">
      <c r="A227" s="75">
        <v>10191509</v>
      </c>
      <c r="B227" s="76" t="s">
        <v>7927</v>
      </c>
    </row>
    <row r="228" spans="1:2" x14ac:dyDescent="0.25">
      <c r="A228" s="75">
        <v>10191701</v>
      </c>
      <c r="B228" s="76" t="s">
        <v>14068</v>
      </c>
    </row>
    <row r="229" spans="1:2" x14ac:dyDescent="0.25">
      <c r="A229" s="75">
        <v>10191703</v>
      </c>
      <c r="B229" s="76" t="s">
        <v>17658</v>
      </c>
    </row>
    <row r="230" spans="1:2" x14ac:dyDescent="0.25">
      <c r="A230" s="75">
        <v>10191704</v>
      </c>
      <c r="B230" s="76" t="s">
        <v>17964</v>
      </c>
    </row>
    <row r="231" spans="1:2" x14ac:dyDescent="0.25">
      <c r="A231" s="75">
        <v>10191705</v>
      </c>
      <c r="B231" s="76" t="s">
        <v>8903</v>
      </c>
    </row>
    <row r="232" spans="1:2" x14ac:dyDescent="0.25">
      <c r="A232" s="75">
        <v>10191706</v>
      </c>
      <c r="B232" s="76" t="s">
        <v>17161</v>
      </c>
    </row>
    <row r="233" spans="1:2" x14ac:dyDescent="0.25">
      <c r="A233" s="75">
        <v>11101501</v>
      </c>
      <c r="B233" s="76" t="s">
        <v>15122</v>
      </c>
    </row>
    <row r="234" spans="1:2" x14ac:dyDescent="0.25">
      <c r="A234" s="75">
        <v>11101502</v>
      </c>
      <c r="B234" s="76" t="s">
        <v>18571</v>
      </c>
    </row>
    <row r="235" spans="1:2" x14ac:dyDescent="0.25">
      <c r="A235" s="75">
        <v>11101503</v>
      </c>
      <c r="B235" s="76" t="s">
        <v>11133</v>
      </c>
    </row>
    <row r="236" spans="1:2" x14ac:dyDescent="0.25">
      <c r="A236" s="75">
        <v>11101504</v>
      </c>
      <c r="B236" s="76" t="s">
        <v>405</v>
      </c>
    </row>
    <row r="237" spans="1:2" x14ac:dyDescent="0.25">
      <c r="A237" s="75">
        <v>11101505</v>
      </c>
      <c r="B237" s="76" t="s">
        <v>8974</v>
      </c>
    </row>
    <row r="238" spans="1:2" x14ac:dyDescent="0.25">
      <c r="A238" s="75">
        <v>11101506</v>
      </c>
      <c r="B238" s="76" t="s">
        <v>5312</v>
      </c>
    </row>
    <row r="239" spans="1:2" x14ac:dyDescent="0.25">
      <c r="A239" s="75">
        <v>11101507</v>
      </c>
      <c r="B239" s="76" t="s">
        <v>7324</v>
      </c>
    </row>
    <row r="240" spans="1:2" x14ac:dyDescent="0.25">
      <c r="A240" s="75">
        <v>11101508</v>
      </c>
      <c r="B240" s="76" t="s">
        <v>10233</v>
      </c>
    </row>
    <row r="241" spans="1:2" x14ac:dyDescent="0.25">
      <c r="A241" s="75">
        <v>11101509</v>
      </c>
      <c r="B241" s="76" t="s">
        <v>11978</v>
      </c>
    </row>
    <row r="242" spans="1:2" x14ac:dyDescent="0.25">
      <c r="A242" s="75">
        <v>11101510</v>
      </c>
      <c r="B242" s="76" t="s">
        <v>3335</v>
      </c>
    </row>
    <row r="243" spans="1:2" x14ac:dyDescent="0.25">
      <c r="A243" s="75">
        <v>11101511</v>
      </c>
      <c r="B243" s="76" t="s">
        <v>10777</v>
      </c>
    </row>
    <row r="244" spans="1:2" x14ac:dyDescent="0.25">
      <c r="A244" s="75">
        <v>11101512</v>
      </c>
      <c r="B244" s="76" t="s">
        <v>3442</v>
      </c>
    </row>
    <row r="245" spans="1:2" x14ac:dyDescent="0.25">
      <c r="A245" s="75">
        <v>11101513</v>
      </c>
      <c r="B245" s="76" t="s">
        <v>15685</v>
      </c>
    </row>
    <row r="246" spans="1:2" x14ac:dyDescent="0.25">
      <c r="A246" s="75">
        <v>11101514</v>
      </c>
      <c r="B246" s="76" t="s">
        <v>16948</v>
      </c>
    </row>
    <row r="247" spans="1:2" x14ac:dyDescent="0.25">
      <c r="A247" s="75">
        <v>11101515</v>
      </c>
      <c r="B247" s="76" t="s">
        <v>18465</v>
      </c>
    </row>
    <row r="248" spans="1:2" x14ac:dyDescent="0.25">
      <c r="A248" s="75">
        <v>11101516</v>
      </c>
      <c r="B248" s="76" t="s">
        <v>15986</v>
      </c>
    </row>
    <row r="249" spans="1:2" x14ac:dyDescent="0.25">
      <c r="A249" s="75">
        <v>11101517</v>
      </c>
      <c r="B249" s="76" t="s">
        <v>6760</v>
      </c>
    </row>
    <row r="250" spans="1:2" x14ac:dyDescent="0.25">
      <c r="A250" s="75">
        <v>11101518</v>
      </c>
      <c r="B250" s="76" t="s">
        <v>15259</v>
      </c>
    </row>
    <row r="251" spans="1:2" x14ac:dyDescent="0.25">
      <c r="A251" s="75">
        <v>11101519</v>
      </c>
      <c r="B251" s="76" t="s">
        <v>3353</v>
      </c>
    </row>
    <row r="252" spans="1:2" x14ac:dyDescent="0.25">
      <c r="A252" s="75">
        <v>11101520</v>
      </c>
      <c r="B252" s="76" t="s">
        <v>4477</v>
      </c>
    </row>
    <row r="253" spans="1:2" x14ac:dyDescent="0.25">
      <c r="A253" s="75">
        <v>11101521</v>
      </c>
      <c r="B253" s="76" t="s">
        <v>16492</v>
      </c>
    </row>
    <row r="254" spans="1:2" x14ac:dyDescent="0.25">
      <c r="A254" s="75">
        <v>11101522</v>
      </c>
      <c r="B254" s="76" t="s">
        <v>4583</v>
      </c>
    </row>
    <row r="255" spans="1:2" x14ac:dyDescent="0.25">
      <c r="A255" s="75">
        <v>11101523</v>
      </c>
      <c r="B255" s="76" t="s">
        <v>6862</v>
      </c>
    </row>
    <row r="256" spans="1:2" x14ac:dyDescent="0.25">
      <c r="A256" s="75">
        <v>11101524</v>
      </c>
      <c r="B256" s="76" t="s">
        <v>7904</v>
      </c>
    </row>
    <row r="257" spans="1:2" x14ac:dyDescent="0.25">
      <c r="A257" s="75">
        <v>11101525</v>
      </c>
      <c r="B257" s="76" t="s">
        <v>18179</v>
      </c>
    </row>
    <row r="258" spans="1:2" x14ac:dyDescent="0.25">
      <c r="A258" s="75">
        <v>11101526</v>
      </c>
      <c r="B258" s="76" t="s">
        <v>12031</v>
      </c>
    </row>
    <row r="259" spans="1:2" x14ac:dyDescent="0.25">
      <c r="A259" s="75">
        <v>11101527</v>
      </c>
      <c r="B259" s="76" t="s">
        <v>16479</v>
      </c>
    </row>
    <row r="260" spans="1:2" x14ac:dyDescent="0.25">
      <c r="A260" s="75">
        <v>11101601</v>
      </c>
      <c r="B260" s="76" t="s">
        <v>17781</v>
      </c>
    </row>
    <row r="261" spans="1:2" x14ac:dyDescent="0.25">
      <c r="A261" s="75">
        <v>11101602</v>
      </c>
      <c r="B261" s="76" t="s">
        <v>8726</v>
      </c>
    </row>
    <row r="262" spans="1:2" x14ac:dyDescent="0.25">
      <c r="A262" s="75">
        <v>11101603</v>
      </c>
      <c r="B262" s="76" t="s">
        <v>2091</v>
      </c>
    </row>
    <row r="263" spans="1:2" x14ac:dyDescent="0.25">
      <c r="A263" s="75">
        <v>11101604</v>
      </c>
      <c r="B263" s="76" t="s">
        <v>19909</v>
      </c>
    </row>
    <row r="264" spans="1:2" x14ac:dyDescent="0.25">
      <c r="A264" s="75">
        <v>11101605</v>
      </c>
      <c r="B264" s="76" t="s">
        <v>12732</v>
      </c>
    </row>
    <row r="265" spans="1:2" x14ac:dyDescent="0.25">
      <c r="A265" s="75">
        <v>11101606</v>
      </c>
      <c r="B265" s="76" t="s">
        <v>1014</v>
      </c>
    </row>
    <row r="266" spans="1:2" x14ac:dyDescent="0.25">
      <c r="A266" s="75">
        <v>11101607</v>
      </c>
      <c r="B266" s="76" t="s">
        <v>5114</v>
      </c>
    </row>
    <row r="267" spans="1:2" x14ac:dyDescent="0.25">
      <c r="A267" s="75">
        <v>11101608</v>
      </c>
      <c r="B267" s="76" t="s">
        <v>8647</v>
      </c>
    </row>
    <row r="268" spans="1:2" x14ac:dyDescent="0.25">
      <c r="A268" s="75">
        <v>11101609</v>
      </c>
      <c r="B268" s="76" t="s">
        <v>3815</v>
      </c>
    </row>
    <row r="269" spans="1:2" x14ac:dyDescent="0.25">
      <c r="A269" s="75">
        <v>11101610</v>
      </c>
      <c r="B269" s="76" t="s">
        <v>12369</v>
      </c>
    </row>
    <row r="270" spans="1:2" x14ac:dyDescent="0.25">
      <c r="A270" s="75">
        <v>11101611</v>
      </c>
      <c r="B270" s="76" t="s">
        <v>17865</v>
      </c>
    </row>
    <row r="271" spans="1:2" x14ac:dyDescent="0.25">
      <c r="A271" s="75">
        <v>11101612</v>
      </c>
      <c r="B271" s="76" t="s">
        <v>16324</v>
      </c>
    </row>
    <row r="272" spans="1:2" x14ac:dyDescent="0.25">
      <c r="A272" s="75">
        <v>11101613</v>
      </c>
      <c r="B272" s="76" t="s">
        <v>14860</v>
      </c>
    </row>
    <row r="273" spans="1:2" x14ac:dyDescent="0.25">
      <c r="A273" s="75">
        <v>11101614</v>
      </c>
      <c r="B273" s="76" t="s">
        <v>9780</v>
      </c>
    </row>
    <row r="274" spans="1:2" x14ac:dyDescent="0.25">
      <c r="A274" s="75">
        <v>11101615</v>
      </c>
      <c r="B274" s="76" t="s">
        <v>2113</v>
      </c>
    </row>
    <row r="275" spans="1:2" x14ac:dyDescent="0.25">
      <c r="A275" s="75">
        <v>11101616</v>
      </c>
      <c r="B275" s="76" t="s">
        <v>14175</v>
      </c>
    </row>
    <row r="276" spans="1:2" x14ac:dyDescent="0.25">
      <c r="A276" s="75">
        <v>11101617</v>
      </c>
      <c r="B276" s="76" t="s">
        <v>8443</v>
      </c>
    </row>
    <row r="277" spans="1:2" x14ac:dyDescent="0.25">
      <c r="A277" s="75">
        <v>11101618</v>
      </c>
      <c r="B277" s="76" t="s">
        <v>17350</v>
      </c>
    </row>
    <row r="278" spans="1:2" x14ac:dyDescent="0.25">
      <c r="A278" s="75">
        <v>11101619</v>
      </c>
      <c r="B278" s="76" t="s">
        <v>13962</v>
      </c>
    </row>
    <row r="279" spans="1:2" x14ac:dyDescent="0.25">
      <c r="A279" s="75">
        <v>11101620</v>
      </c>
      <c r="B279" s="76" t="s">
        <v>4018</v>
      </c>
    </row>
    <row r="280" spans="1:2" x14ac:dyDescent="0.25">
      <c r="A280" s="75">
        <v>11101621</v>
      </c>
      <c r="B280" s="76" t="s">
        <v>261</v>
      </c>
    </row>
    <row r="281" spans="1:2" x14ac:dyDescent="0.25">
      <c r="A281" s="75">
        <v>11101622</v>
      </c>
      <c r="B281" s="76" t="s">
        <v>7696</v>
      </c>
    </row>
    <row r="282" spans="1:2" x14ac:dyDescent="0.25">
      <c r="A282" s="75">
        <v>11101623</v>
      </c>
      <c r="B282" s="76" t="s">
        <v>3789</v>
      </c>
    </row>
    <row r="283" spans="1:2" x14ac:dyDescent="0.25">
      <c r="A283" s="75">
        <v>11101701</v>
      </c>
      <c r="B283" s="76" t="s">
        <v>19359</v>
      </c>
    </row>
    <row r="284" spans="1:2" x14ac:dyDescent="0.25">
      <c r="A284" s="75">
        <v>11101702</v>
      </c>
      <c r="B284" s="76" t="s">
        <v>14974</v>
      </c>
    </row>
    <row r="285" spans="1:2" x14ac:dyDescent="0.25">
      <c r="A285" s="75">
        <v>11101703</v>
      </c>
      <c r="B285" s="76" t="s">
        <v>19520</v>
      </c>
    </row>
    <row r="286" spans="1:2" x14ac:dyDescent="0.25">
      <c r="A286" s="75">
        <v>11101704</v>
      </c>
      <c r="B286" s="76" t="s">
        <v>2402</v>
      </c>
    </row>
    <row r="287" spans="1:2" x14ac:dyDescent="0.25">
      <c r="A287" s="75">
        <v>11101705</v>
      </c>
      <c r="B287" s="76" t="s">
        <v>10525</v>
      </c>
    </row>
    <row r="288" spans="1:2" x14ac:dyDescent="0.25">
      <c r="A288" s="75">
        <v>11101706</v>
      </c>
      <c r="B288" s="76" t="s">
        <v>13406</v>
      </c>
    </row>
    <row r="289" spans="1:2" x14ac:dyDescent="0.25">
      <c r="A289" s="75">
        <v>11101707</v>
      </c>
      <c r="B289" s="76" t="s">
        <v>5515</v>
      </c>
    </row>
    <row r="290" spans="1:2" x14ac:dyDescent="0.25">
      <c r="A290" s="75">
        <v>11101708</v>
      </c>
      <c r="B290" s="76" t="s">
        <v>6575</v>
      </c>
    </row>
    <row r="291" spans="1:2" x14ac:dyDescent="0.25">
      <c r="A291" s="75">
        <v>11101709</v>
      </c>
      <c r="B291" s="76" t="s">
        <v>4696</v>
      </c>
    </row>
    <row r="292" spans="1:2" x14ac:dyDescent="0.25">
      <c r="A292" s="75">
        <v>11101710</v>
      </c>
      <c r="B292" s="76" t="s">
        <v>7738</v>
      </c>
    </row>
    <row r="293" spans="1:2" x14ac:dyDescent="0.25">
      <c r="A293" s="75">
        <v>11101711</v>
      </c>
      <c r="B293" s="76" t="s">
        <v>12450</v>
      </c>
    </row>
    <row r="294" spans="1:2" x14ac:dyDescent="0.25">
      <c r="A294" s="75">
        <v>11101712</v>
      </c>
      <c r="B294" s="76" t="s">
        <v>8982</v>
      </c>
    </row>
    <row r="295" spans="1:2" x14ac:dyDescent="0.25">
      <c r="A295" s="75">
        <v>11101713</v>
      </c>
      <c r="B295" s="76" t="s">
        <v>9788</v>
      </c>
    </row>
    <row r="296" spans="1:2" x14ac:dyDescent="0.25">
      <c r="A296" s="75">
        <v>11101714</v>
      </c>
      <c r="B296" s="76" t="s">
        <v>16823</v>
      </c>
    </row>
    <row r="297" spans="1:2" x14ac:dyDescent="0.25">
      <c r="A297" s="75">
        <v>11101715</v>
      </c>
      <c r="B297" s="76" t="s">
        <v>11581</v>
      </c>
    </row>
    <row r="298" spans="1:2" x14ac:dyDescent="0.25">
      <c r="A298" s="75">
        <v>11101716</v>
      </c>
      <c r="B298" s="76" t="s">
        <v>8673</v>
      </c>
    </row>
    <row r="299" spans="1:2" x14ac:dyDescent="0.25">
      <c r="A299" s="75">
        <v>11101717</v>
      </c>
      <c r="B299" s="76" t="s">
        <v>8904</v>
      </c>
    </row>
    <row r="300" spans="1:2" x14ac:dyDescent="0.25">
      <c r="A300" s="75">
        <v>11101718</v>
      </c>
      <c r="B300" s="76" t="s">
        <v>12757</v>
      </c>
    </row>
    <row r="301" spans="1:2" x14ac:dyDescent="0.25">
      <c r="A301" s="75">
        <v>11101719</v>
      </c>
      <c r="B301" s="76" t="s">
        <v>16896</v>
      </c>
    </row>
    <row r="302" spans="1:2" x14ac:dyDescent="0.25">
      <c r="A302" s="75">
        <v>11101801</v>
      </c>
      <c r="B302" s="76" t="s">
        <v>3562</v>
      </c>
    </row>
    <row r="303" spans="1:2" x14ac:dyDescent="0.25">
      <c r="A303" s="75">
        <v>11101802</v>
      </c>
      <c r="B303" s="76" t="s">
        <v>12065</v>
      </c>
    </row>
    <row r="304" spans="1:2" x14ac:dyDescent="0.25">
      <c r="A304" s="75">
        <v>11101803</v>
      </c>
      <c r="B304" s="76" t="s">
        <v>10033</v>
      </c>
    </row>
    <row r="305" spans="1:2" x14ac:dyDescent="0.25">
      <c r="A305" s="75">
        <v>11111501</v>
      </c>
      <c r="B305" s="76" t="s">
        <v>6135</v>
      </c>
    </row>
    <row r="306" spans="1:2" x14ac:dyDescent="0.25">
      <c r="A306" s="75">
        <v>11111502</v>
      </c>
      <c r="B306" s="76" t="s">
        <v>17847</v>
      </c>
    </row>
    <row r="307" spans="1:2" x14ac:dyDescent="0.25">
      <c r="A307" s="75">
        <v>11111503</v>
      </c>
      <c r="B307" s="76" t="s">
        <v>8689</v>
      </c>
    </row>
    <row r="308" spans="1:2" x14ac:dyDescent="0.25">
      <c r="A308" s="75">
        <v>11111601</v>
      </c>
      <c r="B308" s="76" t="s">
        <v>3714</v>
      </c>
    </row>
    <row r="309" spans="1:2" x14ac:dyDescent="0.25">
      <c r="A309" s="75">
        <v>11111602</v>
      </c>
      <c r="B309" s="76" t="s">
        <v>8067</v>
      </c>
    </row>
    <row r="310" spans="1:2" x14ac:dyDescent="0.25">
      <c r="A310" s="75">
        <v>11111603</v>
      </c>
      <c r="B310" s="76" t="s">
        <v>8088</v>
      </c>
    </row>
    <row r="311" spans="1:2" x14ac:dyDescent="0.25">
      <c r="A311" s="75">
        <v>11111604</v>
      </c>
      <c r="B311" s="76" t="s">
        <v>8381</v>
      </c>
    </row>
    <row r="312" spans="1:2" x14ac:dyDescent="0.25">
      <c r="A312" s="75">
        <v>11111605</v>
      </c>
      <c r="B312" s="76" t="s">
        <v>5491</v>
      </c>
    </row>
    <row r="313" spans="1:2" x14ac:dyDescent="0.25">
      <c r="A313" s="75">
        <v>11111606</v>
      </c>
      <c r="B313" s="76" t="s">
        <v>9688</v>
      </c>
    </row>
    <row r="314" spans="1:2" x14ac:dyDescent="0.25">
      <c r="A314" s="75">
        <v>11111607</v>
      </c>
      <c r="B314" s="76" t="s">
        <v>1648</v>
      </c>
    </row>
    <row r="315" spans="1:2" x14ac:dyDescent="0.25">
      <c r="A315" s="75">
        <v>11111608</v>
      </c>
      <c r="B315" s="76" t="s">
        <v>17526</v>
      </c>
    </row>
    <row r="316" spans="1:2" x14ac:dyDescent="0.25">
      <c r="A316" s="75">
        <v>11111609</v>
      </c>
      <c r="B316" s="76" t="s">
        <v>8685</v>
      </c>
    </row>
    <row r="317" spans="1:2" x14ac:dyDescent="0.25">
      <c r="A317" s="75">
        <v>11111610</v>
      </c>
      <c r="B317" s="76" t="s">
        <v>14910</v>
      </c>
    </row>
    <row r="318" spans="1:2" x14ac:dyDescent="0.25">
      <c r="A318" s="75">
        <v>11111611</v>
      </c>
      <c r="B318" s="76" t="s">
        <v>16811</v>
      </c>
    </row>
    <row r="319" spans="1:2" x14ac:dyDescent="0.25">
      <c r="A319" s="75">
        <v>11111701</v>
      </c>
      <c r="B319" s="76" t="s">
        <v>19667</v>
      </c>
    </row>
    <row r="320" spans="1:2" x14ac:dyDescent="0.25">
      <c r="A320" s="75">
        <v>11111801</v>
      </c>
      <c r="B320" s="76" t="s">
        <v>477</v>
      </c>
    </row>
    <row r="321" spans="1:2" x14ac:dyDescent="0.25">
      <c r="A321" s="75">
        <v>11111802</v>
      </c>
      <c r="B321" s="76" t="s">
        <v>15652</v>
      </c>
    </row>
    <row r="322" spans="1:2" x14ac:dyDescent="0.25">
      <c r="A322" s="75">
        <v>11111803</v>
      </c>
      <c r="B322" s="76" t="s">
        <v>6619</v>
      </c>
    </row>
    <row r="323" spans="1:2" x14ac:dyDescent="0.25">
      <c r="A323" s="75">
        <v>11111804</v>
      </c>
      <c r="B323" s="76" t="s">
        <v>18579</v>
      </c>
    </row>
    <row r="324" spans="1:2" x14ac:dyDescent="0.25">
      <c r="A324" s="75">
        <v>11111805</v>
      </c>
      <c r="B324" s="76" t="s">
        <v>13036</v>
      </c>
    </row>
    <row r="325" spans="1:2" x14ac:dyDescent="0.25">
      <c r="A325" s="75">
        <v>11111806</v>
      </c>
      <c r="B325" s="76" t="s">
        <v>2128</v>
      </c>
    </row>
    <row r="326" spans="1:2" x14ac:dyDescent="0.25">
      <c r="A326" s="75">
        <v>11111807</v>
      </c>
      <c r="B326" s="76" t="s">
        <v>367</v>
      </c>
    </row>
    <row r="327" spans="1:2" x14ac:dyDescent="0.25">
      <c r="A327" s="75">
        <v>11111808</v>
      </c>
      <c r="B327" s="76" t="s">
        <v>453</v>
      </c>
    </row>
    <row r="328" spans="1:2" x14ac:dyDescent="0.25">
      <c r="A328" s="75">
        <v>11111809</v>
      </c>
      <c r="B328" s="76" t="s">
        <v>9116</v>
      </c>
    </row>
    <row r="329" spans="1:2" x14ac:dyDescent="0.25">
      <c r="A329" s="75">
        <v>11111810</v>
      </c>
      <c r="B329" s="76" t="s">
        <v>11086</v>
      </c>
    </row>
    <row r="330" spans="1:2" x14ac:dyDescent="0.25">
      <c r="A330" s="75">
        <v>11121502</v>
      </c>
      <c r="B330" s="76" t="s">
        <v>2322</v>
      </c>
    </row>
    <row r="331" spans="1:2" x14ac:dyDescent="0.25">
      <c r="A331" s="75">
        <v>11121503</v>
      </c>
      <c r="B331" s="76" t="s">
        <v>20073</v>
      </c>
    </row>
    <row r="332" spans="1:2" x14ac:dyDescent="0.25">
      <c r="A332" s="75">
        <v>11121603</v>
      </c>
      <c r="B332" s="76" t="s">
        <v>5748</v>
      </c>
    </row>
    <row r="333" spans="1:2" x14ac:dyDescent="0.25">
      <c r="A333" s="75">
        <v>11121604</v>
      </c>
      <c r="B333" s="76" t="s">
        <v>9560</v>
      </c>
    </row>
    <row r="334" spans="1:2" x14ac:dyDescent="0.25">
      <c r="A334" s="75">
        <v>11121605</v>
      </c>
      <c r="B334" s="76" t="s">
        <v>14146</v>
      </c>
    </row>
    <row r="335" spans="1:2" x14ac:dyDescent="0.25">
      <c r="A335" s="75">
        <v>11121606</v>
      </c>
      <c r="B335" s="76" t="s">
        <v>19955</v>
      </c>
    </row>
    <row r="336" spans="1:2" x14ac:dyDescent="0.25">
      <c r="A336" s="75">
        <v>11121607</v>
      </c>
      <c r="B336" s="76" t="s">
        <v>14930</v>
      </c>
    </row>
    <row r="337" spans="1:2" x14ac:dyDescent="0.25">
      <c r="A337" s="75">
        <v>11121608</v>
      </c>
      <c r="B337" s="76" t="s">
        <v>18819</v>
      </c>
    </row>
    <row r="338" spans="1:2" x14ac:dyDescent="0.25">
      <c r="A338" s="75">
        <v>11121609</v>
      </c>
      <c r="B338" s="76" t="s">
        <v>5139</v>
      </c>
    </row>
    <row r="339" spans="1:2" x14ac:dyDescent="0.25">
      <c r="A339" s="75">
        <v>11121610</v>
      </c>
      <c r="B339" s="76" t="s">
        <v>19384</v>
      </c>
    </row>
    <row r="340" spans="1:2" x14ac:dyDescent="0.25">
      <c r="A340" s="75">
        <v>11121611</v>
      </c>
      <c r="B340" s="76" t="s">
        <v>8592</v>
      </c>
    </row>
    <row r="341" spans="1:2" x14ac:dyDescent="0.25">
      <c r="A341" s="75">
        <v>11121612</v>
      </c>
      <c r="B341" s="76" t="s">
        <v>11666</v>
      </c>
    </row>
    <row r="342" spans="1:2" x14ac:dyDescent="0.25">
      <c r="A342" s="75">
        <v>11121701</v>
      </c>
      <c r="B342" s="76" t="s">
        <v>19167</v>
      </c>
    </row>
    <row r="343" spans="1:2" x14ac:dyDescent="0.25">
      <c r="A343" s="75">
        <v>11121702</v>
      </c>
      <c r="B343" s="76" t="s">
        <v>7816</v>
      </c>
    </row>
    <row r="344" spans="1:2" x14ac:dyDescent="0.25">
      <c r="A344" s="75">
        <v>11121703</v>
      </c>
      <c r="B344" s="76" t="s">
        <v>19986</v>
      </c>
    </row>
    <row r="345" spans="1:2" x14ac:dyDescent="0.25">
      <c r="A345" s="75">
        <v>11121705</v>
      </c>
      <c r="B345" s="76" t="s">
        <v>12049</v>
      </c>
    </row>
    <row r="346" spans="1:2" x14ac:dyDescent="0.25">
      <c r="A346" s="75">
        <v>11121706</v>
      </c>
      <c r="B346" s="76" t="s">
        <v>11679</v>
      </c>
    </row>
    <row r="347" spans="1:2" x14ac:dyDescent="0.25">
      <c r="A347" s="75">
        <v>11121707</v>
      </c>
      <c r="B347" s="76" t="s">
        <v>17887</v>
      </c>
    </row>
    <row r="348" spans="1:2" x14ac:dyDescent="0.25">
      <c r="A348" s="75">
        <v>11121708</v>
      </c>
      <c r="B348" s="76" t="s">
        <v>19094</v>
      </c>
    </row>
    <row r="349" spans="1:2" x14ac:dyDescent="0.25">
      <c r="A349" s="75">
        <v>11121709</v>
      </c>
      <c r="B349" s="76" t="s">
        <v>11798</v>
      </c>
    </row>
    <row r="350" spans="1:2" x14ac:dyDescent="0.25">
      <c r="A350" s="75">
        <v>11121710</v>
      </c>
      <c r="B350" s="76" t="s">
        <v>8803</v>
      </c>
    </row>
    <row r="351" spans="1:2" x14ac:dyDescent="0.25">
      <c r="A351" s="75">
        <v>11121801</v>
      </c>
      <c r="B351" s="76" t="s">
        <v>14697</v>
      </c>
    </row>
    <row r="352" spans="1:2" x14ac:dyDescent="0.25">
      <c r="A352" s="75">
        <v>11121802</v>
      </c>
      <c r="B352" s="76" t="s">
        <v>9491</v>
      </c>
    </row>
    <row r="353" spans="1:2" x14ac:dyDescent="0.25">
      <c r="A353" s="75">
        <v>11121803</v>
      </c>
      <c r="B353" s="76" t="s">
        <v>18477</v>
      </c>
    </row>
    <row r="354" spans="1:2" x14ac:dyDescent="0.25">
      <c r="A354" s="75">
        <v>11121804</v>
      </c>
      <c r="B354" s="76" t="s">
        <v>15406</v>
      </c>
    </row>
    <row r="355" spans="1:2" x14ac:dyDescent="0.25">
      <c r="A355" s="75">
        <v>11121805</v>
      </c>
      <c r="B355" s="76" t="s">
        <v>17261</v>
      </c>
    </row>
    <row r="356" spans="1:2" x14ac:dyDescent="0.25">
      <c r="A356" s="75">
        <v>11121806</v>
      </c>
      <c r="B356" s="76" t="s">
        <v>4498</v>
      </c>
    </row>
    <row r="357" spans="1:2" x14ac:dyDescent="0.25">
      <c r="A357" s="75">
        <v>11121807</v>
      </c>
      <c r="B357" s="76" t="s">
        <v>18332</v>
      </c>
    </row>
    <row r="358" spans="1:2" x14ac:dyDescent="0.25">
      <c r="A358" s="75">
        <v>11121808</v>
      </c>
      <c r="B358" s="76" t="s">
        <v>19069</v>
      </c>
    </row>
    <row r="359" spans="1:2" x14ac:dyDescent="0.25">
      <c r="A359" s="75">
        <v>11121809</v>
      </c>
      <c r="B359" s="76" t="s">
        <v>5690</v>
      </c>
    </row>
    <row r="360" spans="1:2" x14ac:dyDescent="0.25">
      <c r="A360" s="75">
        <v>11121810</v>
      </c>
      <c r="B360" s="76" t="s">
        <v>9668</v>
      </c>
    </row>
    <row r="361" spans="1:2" x14ac:dyDescent="0.25">
      <c r="A361" s="75">
        <v>11121901</v>
      </c>
      <c r="B361" s="76" t="s">
        <v>12164</v>
      </c>
    </row>
    <row r="362" spans="1:2" x14ac:dyDescent="0.25">
      <c r="A362" s="75">
        <v>11131501</v>
      </c>
      <c r="B362" s="76" t="s">
        <v>739</v>
      </c>
    </row>
    <row r="363" spans="1:2" x14ac:dyDescent="0.25">
      <c r="A363" s="75">
        <v>11131502</v>
      </c>
      <c r="B363" s="76" t="s">
        <v>9853</v>
      </c>
    </row>
    <row r="364" spans="1:2" x14ac:dyDescent="0.25">
      <c r="A364" s="75">
        <v>11131503</v>
      </c>
      <c r="B364" s="76" t="s">
        <v>16749</v>
      </c>
    </row>
    <row r="365" spans="1:2" x14ac:dyDescent="0.25">
      <c r="A365" s="75">
        <v>11131504</v>
      </c>
      <c r="B365" s="76" t="s">
        <v>18233</v>
      </c>
    </row>
    <row r="366" spans="1:2" x14ac:dyDescent="0.25">
      <c r="A366" s="75">
        <v>11131505</v>
      </c>
      <c r="B366" s="76" t="s">
        <v>7327</v>
      </c>
    </row>
    <row r="367" spans="1:2" x14ac:dyDescent="0.25">
      <c r="A367" s="75">
        <v>11131506</v>
      </c>
      <c r="B367" s="76" t="s">
        <v>10692</v>
      </c>
    </row>
    <row r="368" spans="1:2" x14ac:dyDescent="0.25">
      <c r="A368" s="75">
        <v>11131507</v>
      </c>
      <c r="B368" s="76" t="s">
        <v>496</v>
      </c>
    </row>
    <row r="369" spans="1:2" x14ac:dyDescent="0.25">
      <c r="A369" s="75">
        <v>11131508</v>
      </c>
      <c r="B369" s="76" t="s">
        <v>17191</v>
      </c>
    </row>
    <row r="370" spans="1:2" x14ac:dyDescent="0.25">
      <c r="A370" s="75">
        <v>11131601</v>
      </c>
      <c r="B370" s="76" t="s">
        <v>8322</v>
      </c>
    </row>
    <row r="371" spans="1:2" x14ac:dyDescent="0.25">
      <c r="A371" s="75">
        <v>11131602</v>
      </c>
      <c r="B371" s="76" t="s">
        <v>8767</v>
      </c>
    </row>
    <row r="372" spans="1:2" x14ac:dyDescent="0.25">
      <c r="A372" s="75">
        <v>11131603</v>
      </c>
      <c r="B372" s="76" t="s">
        <v>4342</v>
      </c>
    </row>
    <row r="373" spans="1:2" x14ac:dyDescent="0.25">
      <c r="A373" s="75">
        <v>11131604</v>
      </c>
      <c r="B373" s="76" t="s">
        <v>15194</v>
      </c>
    </row>
    <row r="374" spans="1:2" x14ac:dyDescent="0.25">
      <c r="A374" s="75">
        <v>11131605</v>
      </c>
      <c r="B374" s="76" t="s">
        <v>13570</v>
      </c>
    </row>
    <row r="375" spans="1:2" x14ac:dyDescent="0.25">
      <c r="A375" s="75">
        <v>11131606</v>
      </c>
      <c r="B375" s="76" t="s">
        <v>15133</v>
      </c>
    </row>
    <row r="376" spans="1:2" x14ac:dyDescent="0.25">
      <c r="A376" s="75">
        <v>11131607</v>
      </c>
      <c r="B376" s="76" t="s">
        <v>19353</v>
      </c>
    </row>
    <row r="377" spans="1:2" x14ac:dyDescent="0.25">
      <c r="A377" s="75">
        <v>11131608</v>
      </c>
      <c r="B377" s="76" t="s">
        <v>6784</v>
      </c>
    </row>
    <row r="378" spans="1:2" x14ac:dyDescent="0.25">
      <c r="A378" s="75">
        <v>11141601</v>
      </c>
      <c r="B378" s="76" t="s">
        <v>1976</v>
      </c>
    </row>
    <row r="379" spans="1:2" x14ac:dyDescent="0.25">
      <c r="A379" s="75">
        <v>11141602</v>
      </c>
      <c r="B379" s="76" t="s">
        <v>8844</v>
      </c>
    </row>
    <row r="380" spans="1:2" x14ac:dyDescent="0.25">
      <c r="A380" s="75">
        <v>11141603</v>
      </c>
      <c r="B380" s="76" t="s">
        <v>6295</v>
      </c>
    </row>
    <row r="381" spans="1:2" x14ac:dyDescent="0.25">
      <c r="A381" s="75">
        <v>11141604</v>
      </c>
      <c r="B381" s="76" t="s">
        <v>20043</v>
      </c>
    </row>
    <row r="382" spans="1:2" x14ac:dyDescent="0.25">
      <c r="A382" s="75">
        <v>11141605</v>
      </c>
      <c r="B382" s="76" t="s">
        <v>8498</v>
      </c>
    </row>
    <row r="383" spans="1:2" x14ac:dyDescent="0.25">
      <c r="A383" s="75">
        <v>11141606</v>
      </c>
      <c r="B383" s="76" t="s">
        <v>8083</v>
      </c>
    </row>
    <row r="384" spans="1:2" x14ac:dyDescent="0.25">
      <c r="A384" s="75">
        <v>11141607</v>
      </c>
      <c r="B384" s="76" t="s">
        <v>4482</v>
      </c>
    </row>
    <row r="385" spans="1:2" x14ac:dyDescent="0.25">
      <c r="A385" s="75">
        <v>11141608</v>
      </c>
      <c r="B385" s="76" t="s">
        <v>16397</v>
      </c>
    </row>
    <row r="386" spans="1:2" x14ac:dyDescent="0.25">
      <c r="A386" s="75">
        <v>11141609</v>
      </c>
      <c r="B386" s="76" t="s">
        <v>10730</v>
      </c>
    </row>
    <row r="387" spans="1:2" x14ac:dyDescent="0.25">
      <c r="A387" s="75">
        <v>11141610</v>
      </c>
      <c r="B387" s="76" t="s">
        <v>15072</v>
      </c>
    </row>
    <row r="388" spans="1:2" x14ac:dyDescent="0.25">
      <c r="A388" s="75">
        <v>11141701</v>
      </c>
      <c r="B388" s="76" t="s">
        <v>28</v>
      </c>
    </row>
    <row r="389" spans="1:2" x14ac:dyDescent="0.25">
      <c r="A389" s="75">
        <v>11141702</v>
      </c>
      <c r="B389" s="76" t="s">
        <v>13812</v>
      </c>
    </row>
    <row r="390" spans="1:2" x14ac:dyDescent="0.25">
      <c r="A390" s="75">
        <v>11151501</v>
      </c>
      <c r="B390" s="76" t="s">
        <v>7577</v>
      </c>
    </row>
    <row r="391" spans="1:2" x14ac:dyDescent="0.25">
      <c r="A391" s="75">
        <v>11151502</v>
      </c>
      <c r="B391" s="76" t="s">
        <v>6701</v>
      </c>
    </row>
    <row r="392" spans="1:2" x14ac:dyDescent="0.25">
      <c r="A392" s="75">
        <v>11151503</v>
      </c>
      <c r="B392" s="76" t="s">
        <v>17382</v>
      </c>
    </row>
    <row r="393" spans="1:2" x14ac:dyDescent="0.25">
      <c r="A393" s="75">
        <v>11151504</v>
      </c>
      <c r="B393" s="76" t="s">
        <v>13343</v>
      </c>
    </row>
    <row r="394" spans="1:2" x14ac:dyDescent="0.25">
      <c r="A394" s="75">
        <v>11151505</v>
      </c>
      <c r="B394" s="76" t="s">
        <v>17104</v>
      </c>
    </row>
    <row r="395" spans="1:2" x14ac:dyDescent="0.25">
      <c r="A395" s="75">
        <v>11151506</v>
      </c>
      <c r="B395" s="76" t="s">
        <v>19819</v>
      </c>
    </row>
    <row r="396" spans="1:2" x14ac:dyDescent="0.25">
      <c r="A396" s="75">
        <v>11151507</v>
      </c>
      <c r="B396" s="76" t="s">
        <v>12512</v>
      </c>
    </row>
    <row r="397" spans="1:2" x14ac:dyDescent="0.25">
      <c r="A397" s="75">
        <v>11151508</v>
      </c>
      <c r="B397" s="76" t="s">
        <v>56</v>
      </c>
    </row>
    <row r="398" spans="1:2" x14ac:dyDescent="0.25">
      <c r="A398" s="75">
        <v>11151509</v>
      </c>
      <c r="B398" s="76" t="s">
        <v>5233</v>
      </c>
    </row>
    <row r="399" spans="1:2" x14ac:dyDescent="0.25">
      <c r="A399" s="75">
        <v>11151510</v>
      </c>
      <c r="B399" s="76" t="s">
        <v>11962</v>
      </c>
    </row>
    <row r="400" spans="1:2" x14ac:dyDescent="0.25">
      <c r="A400" s="75">
        <v>11151511</v>
      </c>
      <c r="B400" s="76" t="s">
        <v>7866</v>
      </c>
    </row>
    <row r="401" spans="1:2" x14ac:dyDescent="0.25">
      <c r="A401" s="75">
        <v>11151512</v>
      </c>
      <c r="B401" s="76" t="s">
        <v>6053</v>
      </c>
    </row>
    <row r="402" spans="1:2" x14ac:dyDescent="0.25">
      <c r="A402" s="75">
        <v>11151513</v>
      </c>
      <c r="B402" s="76" t="s">
        <v>7629</v>
      </c>
    </row>
    <row r="403" spans="1:2" x14ac:dyDescent="0.25">
      <c r="A403" s="75">
        <v>11151514</v>
      </c>
      <c r="B403" s="76" t="s">
        <v>9422</v>
      </c>
    </row>
    <row r="404" spans="1:2" x14ac:dyDescent="0.25">
      <c r="A404" s="75">
        <v>11151515</v>
      </c>
      <c r="B404" s="76" t="s">
        <v>18043</v>
      </c>
    </row>
    <row r="405" spans="1:2" x14ac:dyDescent="0.25">
      <c r="A405" s="75">
        <v>11151601</v>
      </c>
      <c r="B405" s="76" t="s">
        <v>8294</v>
      </c>
    </row>
    <row r="406" spans="1:2" x14ac:dyDescent="0.25">
      <c r="A406" s="75">
        <v>11151602</v>
      </c>
      <c r="B406" s="76" t="s">
        <v>1560</v>
      </c>
    </row>
    <row r="407" spans="1:2" x14ac:dyDescent="0.25">
      <c r="A407" s="75">
        <v>11151603</v>
      </c>
      <c r="B407" s="76" t="s">
        <v>11825</v>
      </c>
    </row>
    <row r="408" spans="1:2" x14ac:dyDescent="0.25">
      <c r="A408" s="75">
        <v>11151604</v>
      </c>
      <c r="B408" s="76" t="s">
        <v>19366</v>
      </c>
    </row>
    <row r="409" spans="1:2" x14ac:dyDescent="0.25">
      <c r="A409" s="75">
        <v>11151605</v>
      </c>
      <c r="B409" s="76" t="s">
        <v>6474</v>
      </c>
    </row>
    <row r="410" spans="1:2" x14ac:dyDescent="0.25">
      <c r="A410" s="75">
        <v>11151606</v>
      </c>
      <c r="B410" s="76" t="s">
        <v>7079</v>
      </c>
    </row>
    <row r="411" spans="1:2" x14ac:dyDescent="0.25">
      <c r="A411" s="75">
        <v>11151607</v>
      </c>
      <c r="B411" s="76" t="s">
        <v>14649</v>
      </c>
    </row>
    <row r="412" spans="1:2" x14ac:dyDescent="0.25">
      <c r="A412" s="75">
        <v>11151608</v>
      </c>
      <c r="B412" s="76" t="s">
        <v>1373</v>
      </c>
    </row>
    <row r="413" spans="1:2" x14ac:dyDescent="0.25">
      <c r="A413" s="75">
        <v>11151609</v>
      </c>
      <c r="B413" s="76" t="s">
        <v>11894</v>
      </c>
    </row>
    <row r="414" spans="1:2" x14ac:dyDescent="0.25">
      <c r="A414" s="75">
        <v>11151610</v>
      </c>
      <c r="B414" s="76" t="s">
        <v>2857</v>
      </c>
    </row>
    <row r="415" spans="1:2" x14ac:dyDescent="0.25">
      <c r="A415" s="75">
        <v>11151611</v>
      </c>
      <c r="B415" s="76" t="s">
        <v>776</v>
      </c>
    </row>
    <row r="416" spans="1:2" x14ac:dyDescent="0.25">
      <c r="A416" s="75">
        <v>11151612</v>
      </c>
      <c r="B416" s="76" t="s">
        <v>9337</v>
      </c>
    </row>
    <row r="417" spans="1:2" x14ac:dyDescent="0.25">
      <c r="A417" s="75">
        <v>11151701</v>
      </c>
      <c r="B417" s="76" t="s">
        <v>10702</v>
      </c>
    </row>
    <row r="418" spans="1:2" x14ac:dyDescent="0.25">
      <c r="A418" s="75">
        <v>11151702</v>
      </c>
      <c r="B418" s="76" t="s">
        <v>6246</v>
      </c>
    </row>
    <row r="419" spans="1:2" x14ac:dyDescent="0.25">
      <c r="A419" s="75">
        <v>11151703</v>
      </c>
      <c r="B419" s="76" t="s">
        <v>14574</v>
      </c>
    </row>
    <row r="420" spans="1:2" x14ac:dyDescent="0.25">
      <c r="A420" s="75">
        <v>11151704</v>
      </c>
      <c r="B420" s="76" t="s">
        <v>1503</v>
      </c>
    </row>
    <row r="421" spans="1:2" x14ac:dyDescent="0.25">
      <c r="A421" s="75">
        <v>11151705</v>
      </c>
      <c r="B421" s="76" t="s">
        <v>5256</v>
      </c>
    </row>
    <row r="422" spans="1:2" x14ac:dyDescent="0.25">
      <c r="A422" s="75">
        <v>11151706</v>
      </c>
      <c r="B422" s="76" t="s">
        <v>16559</v>
      </c>
    </row>
    <row r="423" spans="1:2" x14ac:dyDescent="0.25">
      <c r="A423" s="75">
        <v>11151708</v>
      </c>
      <c r="B423" s="76" t="s">
        <v>11827</v>
      </c>
    </row>
    <row r="424" spans="1:2" x14ac:dyDescent="0.25">
      <c r="A424" s="75">
        <v>11151709</v>
      </c>
      <c r="B424" s="76" t="s">
        <v>7840</v>
      </c>
    </row>
    <row r="425" spans="1:2" x14ac:dyDescent="0.25">
      <c r="A425" s="75">
        <v>11151710</v>
      </c>
      <c r="B425" s="76" t="s">
        <v>18855</v>
      </c>
    </row>
    <row r="426" spans="1:2" x14ac:dyDescent="0.25">
      <c r="A426" s="75">
        <v>11151711</v>
      </c>
      <c r="B426" s="76" t="s">
        <v>11651</v>
      </c>
    </row>
    <row r="427" spans="1:2" x14ac:dyDescent="0.25">
      <c r="A427" s="75">
        <v>11151712</v>
      </c>
      <c r="B427" s="76" t="s">
        <v>11991</v>
      </c>
    </row>
    <row r="428" spans="1:2" x14ac:dyDescent="0.25">
      <c r="A428" s="75">
        <v>11151713</v>
      </c>
      <c r="B428" s="76" t="s">
        <v>11906</v>
      </c>
    </row>
    <row r="429" spans="1:2" x14ac:dyDescent="0.25">
      <c r="A429" s="75">
        <v>11151714</v>
      </c>
      <c r="B429" s="76" t="s">
        <v>1983</v>
      </c>
    </row>
    <row r="430" spans="1:2" x14ac:dyDescent="0.25">
      <c r="A430" s="75">
        <v>11151715</v>
      </c>
      <c r="B430" s="76" t="s">
        <v>8436</v>
      </c>
    </row>
    <row r="431" spans="1:2" x14ac:dyDescent="0.25">
      <c r="A431" s="75">
        <v>11161501</v>
      </c>
      <c r="B431" s="76" t="s">
        <v>18060</v>
      </c>
    </row>
    <row r="432" spans="1:2" x14ac:dyDescent="0.25">
      <c r="A432" s="75">
        <v>11161502</v>
      </c>
      <c r="B432" s="76" t="s">
        <v>980</v>
      </c>
    </row>
    <row r="433" spans="1:2" x14ac:dyDescent="0.25">
      <c r="A433" s="75">
        <v>11161503</v>
      </c>
      <c r="B433" s="76" t="s">
        <v>5215</v>
      </c>
    </row>
    <row r="434" spans="1:2" x14ac:dyDescent="0.25">
      <c r="A434" s="75">
        <v>11161504</v>
      </c>
      <c r="B434" s="76" t="s">
        <v>4893</v>
      </c>
    </row>
    <row r="435" spans="1:2" x14ac:dyDescent="0.25">
      <c r="A435" s="75">
        <v>11161601</v>
      </c>
      <c r="B435" s="76" t="s">
        <v>19183</v>
      </c>
    </row>
    <row r="436" spans="1:2" x14ac:dyDescent="0.25">
      <c r="A436" s="75">
        <v>11161602</v>
      </c>
      <c r="B436" s="76" t="s">
        <v>4587</v>
      </c>
    </row>
    <row r="437" spans="1:2" x14ac:dyDescent="0.25">
      <c r="A437" s="75">
        <v>11161603</v>
      </c>
      <c r="B437" s="76" t="s">
        <v>18021</v>
      </c>
    </row>
    <row r="438" spans="1:2" x14ac:dyDescent="0.25">
      <c r="A438" s="75">
        <v>11161604</v>
      </c>
      <c r="B438" s="76" t="s">
        <v>5695</v>
      </c>
    </row>
    <row r="439" spans="1:2" x14ac:dyDescent="0.25">
      <c r="A439" s="75">
        <v>11161701</v>
      </c>
      <c r="B439" s="76" t="s">
        <v>14525</v>
      </c>
    </row>
    <row r="440" spans="1:2" x14ac:dyDescent="0.25">
      <c r="A440" s="75">
        <v>11161702</v>
      </c>
      <c r="B440" s="76" t="s">
        <v>11526</v>
      </c>
    </row>
    <row r="441" spans="1:2" x14ac:dyDescent="0.25">
      <c r="A441" s="75">
        <v>11161703</v>
      </c>
      <c r="B441" s="76" t="s">
        <v>18916</v>
      </c>
    </row>
    <row r="442" spans="1:2" x14ac:dyDescent="0.25">
      <c r="A442" s="75">
        <v>11161704</v>
      </c>
      <c r="B442" s="76" t="s">
        <v>12277</v>
      </c>
    </row>
    <row r="443" spans="1:2" x14ac:dyDescent="0.25">
      <c r="A443" s="75">
        <v>11161705</v>
      </c>
      <c r="B443" s="76" t="s">
        <v>6705</v>
      </c>
    </row>
    <row r="444" spans="1:2" x14ac:dyDescent="0.25">
      <c r="A444" s="75">
        <v>11161801</v>
      </c>
      <c r="B444" s="76" t="s">
        <v>13603</v>
      </c>
    </row>
    <row r="445" spans="1:2" x14ac:dyDescent="0.25">
      <c r="A445" s="75">
        <v>11161802</v>
      </c>
      <c r="B445" s="76" t="s">
        <v>498</v>
      </c>
    </row>
    <row r="446" spans="1:2" x14ac:dyDescent="0.25">
      <c r="A446" s="75">
        <v>11161803</v>
      </c>
      <c r="B446" s="76" t="s">
        <v>6698</v>
      </c>
    </row>
    <row r="447" spans="1:2" x14ac:dyDescent="0.25">
      <c r="A447" s="75">
        <v>11161804</v>
      </c>
      <c r="B447" s="76" t="s">
        <v>14895</v>
      </c>
    </row>
    <row r="448" spans="1:2" x14ac:dyDescent="0.25">
      <c r="A448" s="75">
        <v>11161805</v>
      </c>
      <c r="B448" s="76" t="s">
        <v>7807</v>
      </c>
    </row>
    <row r="449" spans="1:2" x14ac:dyDescent="0.25">
      <c r="A449" s="75">
        <v>11162001</v>
      </c>
      <c r="B449" s="76" t="s">
        <v>859</v>
      </c>
    </row>
    <row r="450" spans="1:2" x14ac:dyDescent="0.25">
      <c r="A450" s="75">
        <v>11162002</v>
      </c>
      <c r="B450" s="76" t="s">
        <v>968</v>
      </c>
    </row>
    <row r="451" spans="1:2" x14ac:dyDescent="0.25">
      <c r="A451" s="75">
        <v>11162003</v>
      </c>
      <c r="B451" s="76" t="s">
        <v>14187</v>
      </c>
    </row>
    <row r="452" spans="1:2" x14ac:dyDescent="0.25">
      <c r="A452" s="75">
        <v>11162101</v>
      </c>
      <c r="B452" s="76" t="s">
        <v>2399</v>
      </c>
    </row>
    <row r="453" spans="1:2" x14ac:dyDescent="0.25">
      <c r="A453" s="75">
        <v>11162102</v>
      </c>
      <c r="B453" s="76" t="s">
        <v>4759</v>
      </c>
    </row>
    <row r="454" spans="1:2" x14ac:dyDescent="0.25">
      <c r="A454" s="75">
        <v>11162104</v>
      </c>
      <c r="B454" s="76" t="s">
        <v>18340</v>
      </c>
    </row>
    <row r="455" spans="1:2" x14ac:dyDescent="0.25">
      <c r="A455" s="75">
        <v>11162105</v>
      </c>
      <c r="B455" s="76" t="s">
        <v>12579</v>
      </c>
    </row>
    <row r="456" spans="1:2" x14ac:dyDescent="0.25">
      <c r="A456" s="75">
        <v>11162107</v>
      </c>
      <c r="B456" s="76" t="s">
        <v>16582</v>
      </c>
    </row>
    <row r="457" spans="1:2" x14ac:dyDescent="0.25">
      <c r="A457" s="75">
        <v>11162108</v>
      </c>
      <c r="B457" s="76" t="s">
        <v>19486</v>
      </c>
    </row>
    <row r="458" spans="1:2" x14ac:dyDescent="0.25">
      <c r="A458" s="75">
        <v>11162109</v>
      </c>
      <c r="B458" s="76" t="s">
        <v>16965</v>
      </c>
    </row>
    <row r="459" spans="1:2" x14ac:dyDescent="0.25">
      <c r="A459" s="75">
        <v>11162110</v>
      </c>
      <c r="B459" s="76" t="s">
        <v>3632</v>
      </c>
    </row>
    <row r="460" spans="1:2" x14ac:dyDescent="0.25">
      <c r="A460" s="75">
        <v>11162111</v>
      </c>
      <c r="B460" s="76" t="s">
        <v>2972</v>
      </c>
    </row>
    <row r="461" spans="1:2" x14ac:dyDescent="0.25">
      <c r="A461" s="75">
        <v>11162112</v>
      </c>
      <c r="B461" s="76" t="s">
        <v>19351</v>
      </c>
    </row>
    <row r="462" spans="1:2" x14ac:dyDescent="0.25">
      <c r="A462" s="75">
        <v>11162113</v>
      </c>
      <c r="B462" s="76" t="s">
        <v>1517</v>
      </c>
    </row>
    <row r="463" spans="1:2" x14ac:dyDescent="0.25">
      <c r="A463" s="75">
        <v>11162114</v>
      </c>
      <c r="B463" s="76" t="s">
        <v>108</v>
      </c>
    </row>
    <row r="464" spans="1:2" x14ac:dyDescent="0.25">
      <c r="A464" s="75">
        <v>11162115</v>
      </c>
      <c r="B464" s="76" t="s">
        <v>18821</v>
      </c>
    </row>
    <row r="465" spans="1:2" x14ac:dyDescent="0.25">
      <c r="A465" s="75">
        <v>11162116</v>
      </c>
      <c r="B465" s="76" t="s">
        <v>7977</v>
      </c>
    </row>
    <row r="466" spans="1:2" x14ac:dyDescent="0.25">
      <c r="A466" s="75">
        <v>11162117</v>
      </c>
      <c r="B466" s="76" t="s">
        <v>3979</v>
      </c>
    </row>
    <row r="467" spans="1:2" x14ac:dyDescent="0.25">
      <c r="A467" s="75">
        <v>11162118</v>
      </c>
      <c r="B467" s="76" t="s">
        <v>3249</v>
      </c>
    </row>
    <row r="468" spans="1:2" x14ac:dyDescent="0.25">
      <c r="A468" s="75">
        <v>11162119</v>
      </c>
      <c r="B468" s="76" t="s">
        <v>2993</v>
      </c>
    </row>
    <row r="469" spans="1:2" x14ac:dyDescent="0.25">
      <c r="A469" s="75">
        <v>11162120</v>
      </c>
      <c r="B469" s="76" t="s">
        <v>15943</v>
      </c>
    </row>
    <row r="470" spans="1:2" x14ac:dyDescent="0.25">
      <c r="A470" s="75">
        <v>11162121</v>
      </c>
      <c r="B470" s="76" t="s">
        <v>5842</v>
      </c>
    </row>
    <row r="471" spans="1:2" x14ac:dyDescent="0.25">
      <c r="A471" s="75">
        <v>11162122</v>
      </c>
      <c r="B471" s="76" t="s">
        <v>11690</v>
      </c>
    </row>
    <row r="472" spans="1:2" x14ac:dyDescent="0.25">
      <c r="A472" s="75">
        <v>11162123</v>
      </c>
      <c r="B472" s="76" t="s">
        <v>11801</v>
      </c>
    </row>
    <row r="473" spans="1:2" x14ac:dyDescent="0.25">
      <c r="A473" s="75">
        <v>11162124</v>
      </c>
      <c r="B473" s="76" t="s">
        <v>3110</v>
      </c>
    </row>
    <row r="474" spans="1:2" x14ac:dyDescent="0.25">
      <c r="A474" s="75">
        <v>11162125</v>
      </c>
      <c r="B474" s="76" t="s">
        <v>176</v>
      </c>
    </row>
    <row r="475" spans="1:2" x14ac:dyDescent="0.25">
      <c r="A475" s="75">
        <v>11162126</v>
      </c>
      <c r="B475" s="76" t="s">
        <v>2361</v>
      </c>
    </row>
    <row r="476" spans="1:2" x14ac:dyDescent="0.25">
      <c r="A476" s="75">
        <v>11162127</v>
      </c>
      <c r="B476" s="76" t="s">
        <v>5641</v>
      </c>
    </row>
    <row r="477" spans="1:2" x14ac:dyDescent="0.25">
      <c r="A477" s="75">
        <v>11162128</v>
      </c>
      <c r="B477" s="76" t="s">
        <v>12546</v>
      </c>
    </row>
    <row r="478" spans="1:2" x14ac:dyDescent="0.25">
      <c r="A478" s="75">
        <v>11162129</v>
      </c>
      <c r="B478" s="76" t="s">
        <v>11485</v>
      </c>
    </row>
    <row r="479" spans="1:2" x14ac:dyDescent="0.25">
      <c r="A479" s="75">
        <v>11162130</v>
      </c>
      <c r="B479" s="76" t="s">
        <v>9079</v>
      </c>
    </row>
    <row r="480" spans="1:2" x14ac:dyDescent="0.25">
      <c r="A480" s="75">
        <v>11162131</v>
      </c>
      <c r="B480" s="76" t="s">
        <v>3503</v>
      </c>
    </row>
    <row r="481" spans="1:2" x14ac:dyDescent="0.25">
      <c r="A481" s="75">
        <v>11162201</v>
      </c>
      <c r="B481" s="76" t="s">
        <v>18724</v>
      </c>
    </row>
    <row r="482" spans="1:2" x14ac:dyDescent="0.25">
      <c r="A482" s="75">
        <v>11162202</v>
      </c>
      <c r="B482" s="76" t="s">
        <v>14760</v>
      </c>
    </row>
    <row r="483" spans="1:2" x14ac:dyDescent="0.25">
      <c r="A483" s="75">
        <v>11162301</v>
      </c>
      <c r="B483" s="76" t="s">
        <v>1495</v>
      </c>
    </row>
    <row r="484" spans="1:2" x14ac:dyDescent="0.25">
      <c r="A484" s="75">
        <v>11162302</v>
      </c>
      <c r="B484" s="76" t="s">
        <v>19061</v>
      </c>
    </row>
    <row r="485" spans="1:2" x14ac:dyDescent="0.25">
      <c r="A485" s="75">
        <v>11162303</v>
      </c>
      <c r="B485" s="76" t="s">
        <v>7525</v>
      </c>
    </row>
    <row r="486" spans="1:2" x14ac:dyDescent="0.25">
      <c r="A486" s="75">
        <v>11162304</v>
      </c>
      <c r="B486" s="76" t="s">
        <v>17743</v>
      </c>
    </row>
    <row r="487" spans="1:2" x14ac:dyDescent="0.25">
      <c r="A487" s="75">
        <v>11162305</v>
      </c>
      <c r="B487" s="76" t="s">
        <v>19615</v>
      </c>
    </row>
    <row r="488" spans="1:2" x14ac:dyDescent="0.25">
      <c r="A488" s="75">
        <v>11162306</v>
      </c>
      <c r="B488" s="76" t="s">
        <v>16963</v>
      </c>
    </row>
    <row r="489" spans="1:2" x14ac:dyDescent="0.25">
      <c r="A489" s="75">
        <v>11162307</v>
      </c>
      <c r="B489" s="76" t="s">
        <v>4854</v>
      </c>
    </row>
    <row r="490" spans="1:2" x14ac:dyDescent="0.25">
      <c r="A490" s="75">
        <v>11162308</v>
      </c>
      <c r="B490" s="76" t="s">
        <v>9986</v>
      </c>
    </row>
    <row r="491" spans="1:2" x14ac:dyDescent="0.25">
      <c r="A491" s="75">
        <v>11162309</v>
      </c>
      <c r="B491" s="76" t="s">
        <v>9826</v>
      </c>
    </row>
    <row r="492" spans="1:2" x14ac:dyDescent="0.25">
      <c r="A492" s="75">
        <v>11162310</v>
      </c>
      <c r="B492" s="76" t="s">
        <v>18693</v>
      </c>
    </row>
    <row r="493" spans="1:2" x14ac:dyDescent="0.25">
      <c r="A493" s="75">
        <v>11162311</v>
      </c>
      <c r="B493" s="76" t="s">
        <v>9650</v>
      </c>
    </row>
    <row r="494" spans="1:2" x14ac:dyDescent="0.25">
      <c r="A494" s="75">
        <v>11171501</v>
      </c>
      <c r="B494" s="76" t="s">
        <v>5425</v>
      </c>
    </row>
    <row r="495" spans="1:2" x14ac:dyDescent="0.25">
      <c r="A495" s="75">
        <v>11171601</v>
      </c>
      <c r="B495" s="76" t="s">
        <v>18103</v>
      </c>
    </row>
    <row r="496" spans="1:2" x14ac:dyDescent="0.25">
      <c r="A496" s="75">
        <v>11171602</v>
      </c>
      <c r="B496" s="76" t="s">
        <v>19885</v>
      </c>
    </row>
    <row r="497" spans="1:2" x14ac:dyDescent="0.25">
      <c r="A497" s="75">
        <v>11171603</v>
      </c>
      <c r="B497" s="76" t="s">
        <v>3847</v>
      </c>
    </row>
    <row r="498" spans="1:2" x14ac:dyDescent="0.25">
      <c r="A498" s="75">
        <v>11171701</v>
      </c>
      <c r="B498" s="76" t="s">
        <v>15745</v>
      </c>
    </row>
    <row r="499" spans="1:2" x14ac:dyDescent="0.25">
      <c r="A499" s="75">
        <v>11171702</v>
      </c>
      <c r="B499" s="76" t="s">
        <v>18630</v>
      </c>
    </row>
    <row r="500" spans="1:2" x14ac:dyDescent="0.25">
      <c r="A500" s="75">
        <v>11171801</v>
      </c>
      <c r="B500" s="76" t="s">
        <v>1412</v>
      </c>
    </row>
    <row r="501" spans="1:2" x14ac:dyDescent="0.25">
      <c r="A501" s="75">
        <v>11171901</v>
      </c>
      <c r="B501" s="76" t="s">
        <v>18411</v>
      </c>
    </row>
    <row r="502" spans="1:2" x14ac:dyDescent="0.25">
      <c r="A502" s="75">
        <v>11172001</v>
      </c>
      <c r="B502" s="76" t="s">
        <v>6706</v>
      </c>
    </row>
    <row r="503" spans="1:2" x14ac:dyDescent="0.25">
      <c r="A503" s="75">
        <v>11172101</v>
      </c>
      <c r="B503" s="76" t="s">
        <v>17592</v>
      </c>
    </row>
    <row r="504" spans="1:2" x14ac:dyDescent="0.25">
      <c r="A504" s="75">
        <v>11181501</v>
      </c>
      <c r="B504" s="76" t="s">
        <v>10741</v>
      </c>
    </row>
    <row r="505" spans="1:2" x14ac:dyDescent="0.25">
      <c r="A505" s="75">
        <v>11191501</v>
      </c>
      <c r="B505" s="76" t="s">
        <v>17766</v>
      </c>
    </row>
    <row r="506" spans="1:2" x14ac:dyDescent="0.25">
      <c r="A506" s="75">
        <v>11191502</v>
      </c>
      <c r="B506" s="76" t="s">
        <v>8254</v>
      </c>
    </row>
    <row r="507" spans="1:2" x14ac:dyDescent="0.25">
      <c r="A507" s="75">
        <v>11191503</v>
      </c>
      <c r="B507" s="76" t="s">
        <v>3435</v>
      </c>
    </row>
    <row r="508" spans="1:2" x14ac:dyDescent="0.25">
      <c r="A508" s="75">
        <v>11191504</v>
      </c>
      <c r="B508" s="76" t="s">
        <v>3824</v>
      </c>
    </row>
    <row r="509" spans="1:2" x14ac:dyDescent="0.25">
      <c r="A509" s="75">
        <v>11191505</v>
      </c>
      <c r="B509" s="76" t="s">
        <v>8707</v>
      </c>
    </row>
    <row r="510" spans="1:2" x14ac:dyDescent="0.25">
      <c r="A510" s="75">
        <v>11191601</v>
      </c>
      <c r="B510" s="76" t="s">
        <v>14538</v>
      </c>
    </row>
    <row r="511" spans="1:2" x14ac:dyDescent="0.25">
      <c r="A511" s="75">
        <v>11191602</v>
      </c>
      <c r="B511" s="76" t="s">
        <v>11357</v>
      </c>
    </row>
    <row r="512" spans="1:2" x14ac:dyDescent="0.25">
      <c r="A512" s="75">
        <v>11191603</v>
      </c>
      <c r="B512" s="76" t="s">
        <v>4136</v>
      </c>
    </row>
    <row r="513" spans="1:2" x14ac:dyDescent="0.25">
      <c r="A513" s="75">
        <v>11191604</v>
      </c>
      <c r="B513" s="76" t="s">
        <v>9543</v>
      </c>
    </row>
    <row r="514" spans="1:2" x14ac:dyDescent="0.25">
      <c r="A514" s="75">
        <v>11191605</v>
      </c>
      <c r="B514" s="76" t="s">
        <v>8272</v>
      </c>
    </row>
    <row r="515" spans="1:2" x14ac:dyDescent="0.25">
      <c r="A515" s="75">
        <v>11191606</v>
      </c>
      <c r="B515" s="76" t="s">
        <v>12434</v>
      </c>
    </row>
    <row r="516" spans="1:2" x14ac:dyDescent="0.25">
      <c r="A516" s="75">
        <v>11191701</v>
      </c>
      <c r="B516" s="76" t="s">
        <v>14655</v>
      </c>
    </row>
    <row r="517" spans="1:2" x14ac:dyDescent="0.25">
      <c r="A517" s="75">
        <v>11191702</v>
      </c>
      <c r="B517" s="76" t="s">
        <v>16643</v>
      </c>
    </row>
    <row r="518" spans="1:2" x14ac:dyDescent="0.25">
      <c r="A518" s="75">
        <v>12131501</v>
      </c>
      <c r="B518" s="76" t="s">
        <v>16322</v>
      </c>
    </row>
    <row r="519" spans="1:2" x14ac:dyDescent="0.25">
      <c r="A519" s="75">
        <v>12131502</v>
      </c>
      <c r="B519" s="76" t="s">
        <v>267</v>
      </c>
    </row>
    <row r="520" spans="1:2" x14ac:dyDescent="0.25">
      <c r="A520" s="75">
        <v>12131503</v>
      </c>
      <c r="B520" s="76" t="s">
        <v>3910</v>
      </c>
    </row>
    <row r="521" spans="1:2" x14ac:dyDescent="0.25">
      <c r="A521" s="75">
        <v>12131504</v>
      </c>
      <c r="B521" s="76" t="s">
        <v>12803</v>
      </c>
    </row>
    <row r="522" spans="1:2" x14ac:dyDescent="0.25">
      <c r="A522" s="75">
        <v>12131505</v>
      </c>
      <c r="B522" s="76" t="s">
        <v>243</v>
      </c>
    </row>
    <row r="523" spans="1:2" x14ac:dyDescent="0.25">
      <c r="A523" s="75">
        <v>12131506</v>
      </c>
      <c r="B523" s="76" t="s">
        <v>15255</v>
      </c>
    </row>
    <row r="524" spans="1:2" x14ac:dyDescent="0.25">
      <c r="A524" s="75">
        <v>12131507</v>
      </c>
      <c r="B524" s="76" t="s">
        <v>18921</v>
      </c>
    </row>
    <row r="525" spans="1:2" x14ac:dyDescent="0.25">
      <c r="A525" s="75">
        <v>12131508</v>
      </c>
      <c r="B525" s="76" t="s">
        <v>13446</v>
      </c>
    </row>
    <row r="526" spans="1:2" x14ac:dyDescent="0.25">
      <c r="A526" s="75">
        <v>12131601</v>
      </c>
      <c r="B526" s="76" t="s">
        <v>11565</v>
      </c>
    </row>
    <row r="527" spans="1:2" x14ac:dyDescent="0.25">
      <c r="A527" s="75">
        <v>12131602</v>
      </c>
      <c r="B527" s="76" t="s">
        <v>9269</v>
      </c>
    </row>
    <row r="528" spans="1:2" x14ac:dyDescent="0.25">
      <c r="A528" s="75">
        <v>12131603</v>
      </c>
      <c r="B528" s="76" t="s">
        <v>13285</v>
      </c>
    </row>
    <row r="529" spans="1:2" x14ac:dyDescent="0.25">
      <c r="A529" s="75">
        <v>12131604</v>
      </c>
      <c r="B529" s="76" t="s">
        <v>17587</v>
      </c>
    </row>
    <row r="530" spans="1:2" x14ac:dyDescent="0.25">
      <c r="A530" s="75">
        <v>12131605</v>
      </c>
      <c r="B530" s="76" t="s">
        <v>8886</v>
      </c>
    </row>
    <row r="531" spans="1:2" x14ac:dyDescent="0.25">
      <c r="A531" s="75">
        <v>12131701</v>
      </c>
      <c r="B531" s="76" t="s">
        <v>8560</v>
      </c>
    </row>
    <row r="532" spans="1:2" x14ac:dyDescent="0.25">
      <c r="A532" s="75">
        <v>12131702</v>
      </c>
      <c r="B532" s="76" t="s">
        <v>6492</v>
      </c>
    </row>
    <row r="533" spans="1:2" x14ac:dyDescent="0.25">
      <c r="A533" s="75">
        <v>12131703</v>
      </c>
      <c r="B533" s="76" t="s">
        <v>5962</v>
      </c>
    </row>
    <row r="534" spans="1:2" x14ac:dyDescent="0.25">
      <c r="A534" s="75">
        <v>12131704</v>
      </c>
      <c r="B534" s="76" t="s">
        <v>11723</v>
      </c>
    </row>
    <row r="535" spans="1:2" x14ac:dyDescent="0.25">
      <c r="A535" s="75">
        <v>12131705</v>
      </c>
      <c r="B535" s="76" t="s">
        <v>13811</v>
      </c>
    </row>
    <row r="536" spans="1:2" x14ac:dyDescent="0.25">
      <c r="A536" s="75">
        <v>12131706</v>
      </c>
      <c r="B536" s="76" t="s">
        <v>9972</v>
      </c>
    </row>
    <row r="537" spans="1:2" x14ac:dyDescent="0.25">
      <c r="A537" s="75">
        <v>12131707</v>
      </c>
      <c r="B537" s="76" t="s">
        <v>4864</v>
      </c>
    </row>
    <row r="538" spans="1:2" x14ac:dyDescent="0.25">
      <c r="A538" s="75">
        <v>12131708</v>
      </c>
      <c r="B538" s="76" t="s">
        <v>8842</v>
      </c>
    </row>
    <row r="539" spans="1:2" x14ac:dyDescent="0.25">
      <c r="A539" s="75">
        <v>12131801</v>
      </c>
      <c r="B539" s="76" t="s">
        <v>15848</v>
      </c>
    </row>
    <row r="540" spans="1:2" x14ac:dyDescent="0.25">
      <c r="A540" s="75">
        <v>12131802</v>
      </c>
      <c r="B540" s="76" t="s">
        <v>4265</v>
      </c>
    </row>
    <row r="541" spans="1:2" x14ac:dyDescent="0.25">
      <c r="A541" s="75">
        <v>12131803</v>
      </c>
      <c r="B541" s="76" t="s">
        <v>4131</v>
      </c>
    </row>
    <row r="542" spans="1:2" x14ac:dyDescent="0.25">
      <c r="A542" s="75">
        <v>12131804</v>
      </c>
      <c r="B542" s="76" t="s">
        <v>12563</v>
      </c>
    </row>
    <row r="543" spans="1:2" x14ac:dyDescent="0.25">
      <c r="A543" s="75">
        <v>12131805</v>
      </c>
      <c r="B543" s="76" t="s">
        <v>16692</v>
      </c>
    </row>
    <row r="544" spans="1:2" x14ac:dyDescent="0.25">
      <c r="A544" s="75">
        <v>12131806</v>
      </c>
      <c r="B544" s="76" t="s">
        <v>7140</v>
      </c>
    </row>
    <row r="545" spans="1:2" x14ac:dyDescent="0.25">
      <c r="A545" s="75">
        <v>12141501</v>
      </c>
      <c r="B545" s="76" t="s">
        <v>9571</v>
      </c>
    </row>
    <row r="546" spans="1:2" x14ac:dyDescent="0.25">
      <c r="A546" s="75">
        <v>12141502</v>
      </c>
      <c r="B546" s="76" t="s">
        <v>7783</v>
      </c>
    </row>
    <row r="547" spans="1:2" x14ac:dyDescent="0.25">
      <c r="A547" s="75">
        <v>12141503</v>
      </c>
      <c r="B547" s="76" t="s">
        <v>2548</v>
      </c>
    </row>
    <row r="548" spans="1:2" x14ac:dyDescent="0.25">
      <c r="A548" s="75">
        <v>12141504</v>
      </c>
      <c r="B548" s="76" t="s">
        <v>5115</v>
      </c>
    </row>
    <row r="549" spans="1:2" x14ac:dyDescent="0.25">
      <c r="A549" s="75">
        <v>12141505</v>
      </c>
      <c r="B549" s="76" t="s">
        <v>6055</v>
      </c>
    </row>
    <row r="550" spans="1:2" x14ac:dyDescent="0.25">
      <c r="A550" s="75">
        <v>12141506</v>
      </c>
      <c r="B550" s="76" t="s">
        <v>17576</v>
      </c>
    </row>
    <row r="551" spans="1:2" x14ac:dyDescent="0.25">
      <c r="A551" s="75">
        <v>12141601</v>
      </c>
      <c r="B551" s="76" t="s">
        <v>15691</v>
      </c>
    </row>
    <row r="552" spans="1:2" x14ac:dyDescent="0.25">
      <c r="A552" s="75">
        <v>12141602</v>
      </c>
      <c r="B552" s="76" t="s">
        <v>8029</v>
      </c>
    </row>
    <row r="553" spans="1:2" x14ac:dyDescent="0.25">
      <c r="A553" s="75">
        <v>12141603</v>
      </c>
      <c r="B553" s="76" t="s">
        <v>2727</v>
      </c>
    </row>
    <row r="554" spans="1:2" x14ac:dyDescent="0.25">
      <c r="A554" s="75">
        <v>12141604</v>
      </c>
      <c r="B554" s="76" t="s">
        <v>6980</v>
      </c>
    </row>
    <row r="555" spans="1:2" x14ac:dyDescent="0.25">
      <c r="A555" s="75">
        <v>12141605</v>
      </c>
      <c r="B555" s="76" t="s">
        <v>3084</v>
      </c>
    </row>
    <row r="556" spans="1:2" x14ac:dyDescent="0.25">
      <c r="A556" s="75">
        <v>12141606</v>
      </c>
      <c r="B556" s="76" t="s">
        <v>13178</v>
      </c>
    </row>
    <row r="557" spans="1:2" x14ac:dyDescent="0.25">
      <c r="A557" s="75">
        <v>12141607</v>
      </c>
      <c r="B557" s="76" t="s">
        <v>15177</v>
      </c>
    </row>
    <row r="558" spans="1:2" x14ac:dyDescent="0.25">
      <c r="A558" s="75">
        <v>12141608</v>
      </c>
      <c r="B558" s="76" t="s">
        <v>11836</v>
      </c>
    </row>
    <row r="559" spans="1:2" x14ac:dyDescent="0.25">
      <c r="A559" s="75">
        <v>12141609</v>
      </c>
      <c r="B559" s="76" t="s">
        <v>7610</v>
      </c>
    </row>
    <row r="560" spans="1:2" x14ac:dyDescent="0.25">
      <c r="A560" s="75">
        <v>12141610</v>
      </c>
      <c r="B560" s="76" t="s">
        <v>6754</v>
      </c>
    </row>
    <row r="561" spans="1:2" x14ac:dyDescent="0.25">
      <c r="A561" s="75">
        <v>12141611</v>
      </c>
      <c r="B561" s="76" t="s">
        <v>1558</v>
      </c>
    </row>
    <row r="562" spans="1:2" x14ac:dyDescent="0.25">
      <c r="A562" s="75">
        <v>12141612</v>
      </c>
      <c r="B562" s="76" t="s">
        <v>1584</v>
      </c>
    </row>
    <row r="563" spans="1:2" x14ac:dyDescent="0.25">
      <c r="A563" s="75">
        <v>12141613</v>
      </c>
      <c r="B563" s="76" t="s">
        <v>10010</v>
      </c>
    </row>
    <row r="564" spans="1:2" x14ac:dyDescent="0.25">
      <c r="A564" s="75">
        <v>12141614</v>
      </c>
      <c r="B564" s="76" t="s">
        <v>17922</v>
      </c>
    </row>
    <row r="565" spans="1:2" x14ac:dyDescent="0.25">
      <c r="A565" s="75">
        <v>12141615</v>
      </c>
      <c r="B565" s="76" t="s">
        <v>8935</v>
      </c>
    </row>
    <row r="566" spans="1:2" x14ac:dyDescent="0.25">
      <c r="A566" s="75">
        <v>12141616</v>
      </c>
      <c r="B566" s="76" t="s">
        <v>16363</v>
      </c>
    </row>
    <row r="567" spans="1:2" x14ac:dyDescent="0.25">
      <c r="A567" s="75">
        <v>12141617</v>
      </c>
      <c r="B567" s="76" t="s">
        <v>7271</v>
      </c>
    </row>
    <row r="568" spans="1:2" x14ac:dyDescent="0.25">
      <c r="A568" s="75">
        <v>12141701</v>
      </c>
      <c r="B568" s="76" t="s">
        <v>11699</v>
      </c>
    </row>
    <row r="569" spans="1:2" x14ac:dyDescent="0.25">
      <c r="A569" s="75">
        <v>12141702</v>
      </c>
      <c r="B569" s="76" t="s">
        <v>5761</v>
      </c>
    </row>
    <row r="570" spans="1:2" x14ac:dyDescent="0.25">
      <c r="A570" s="75">
        <v>12141703</v>
      </c>
      <c r="B570" s="76" t="s">
        <v>14620</v>
      </c>
    </row>
    <row r="571" spans="1:2" x14ac:dyDescent="0.25">
      <c r="A571" s="75">
        <v>12141704</v>
      </c>
      <c r="B571" s="76" t="s">
        <v>17114</v>
      </c>
    </row>
    <row r="572" spans="1:2" x14ac:dyDescent="0.25">
      <c r="A572" s="75">
        <v>12141705</v>
      </c>
      <c r="B572" s="76" t="s">
        <v>4685</v>
      </c>
    </row>
    <row r="573" spans="1:2" x14ac:dyDescent="0.25">
      <c r="A573" s="75">
        <v>12141706</v>
      </c>
      <c r="B573" s="76" t="s">
        <v>11018</v>
      </c>
    </row>
    <row r="574" spans="1:2" x14ac:dyDescent="0.25">
      <c r="A574" s="75">
        <v>12141707</v>
      </c>
      <c r="B574" s="76" t="s">
        <v>9803</v>
      </c>
    </row>
    <row r="575" spans="1:2" x14ac:dyDescent="0.25">
      <c r="A575" s="75">
        <v>12141708</v>
      </c>
      <c r="B575" s="76" t="s">
        <v>18382</v>
      </c>
    </row>
    <row r="576" spans="1:2" x14ac:dyDescent="0.25">
      <c r="A576" s="75">
        <v>12141709</v>
      </c>
      <c r="B576" s="76" t="s">
        <v>9345</v>
      </c>
    </row>
    <row r="577" spans="1:2" x14ac:dyDescent="0.25">
      <c r="A577" s="75">
        <v>12141710</v>
      </c>
      <c r="B577" s="76" t="s">
        <v>9567</v>
      </c>
    </row>
    <row r="578" spans="1:2" x14ac:dyDescent="0.25">
      <c r="A578" s="75">
        <v>12141711</v>
      </c>
      <c r="B578" s="76" t="s">
        <v>15327</v>
      </c>
    </row>
    <row r="579" spans="1:2" x14ac:dyDescent="0.25">
      <c r="A579" s="75">
        <v>12141712</v>
      </c>
      <c r="B579" s="76" t="s">
        <v>213</v>
      </c>
    </row>
    <row r="580" spans="1:2" x14ac:dyDescent="0.25">
      <c r="A580" s="75">
        <v>12141713</v>
      </c>
      <c r="B580" s="76" t="s">
        <v>6371</v>
      </c>
    </row>
    <row r="581" spans="1:2" x14ac:dyDescent="0.25">
      <c r="A581" s="75">
        <v>12141714</v>
      </c>
      <c r="B581" s="76" t="s">
        <v>18976</v>
      </c>
    </row>
    <row r="582" spans="1:2" x14ac:dyDescent="0.25">
      <c r="A582" s="75">
        <v>12141715</v>
      </c>
      <c r="B582" s="76" t="s">
        <v>7250</v>
      </c>
    </row>
    <row r="583" spans="1:2" x14ac:dyDescent="0.25">
      <c r="A583" s="75">
        <v>12141716</v>
      </c>
      <c r="B583" s="76" t="s">
        <v>10855</v>
      </c>
    </row>
    <row r="584" spans="1:2" x14ac:dyDescent="0.25">
      <c r="A584" s="75">
        <v>12141717</v>
      </c>
      <c r="B584" s="76" t="s">
        <v>223</v>
      </c>
    </row>
    <row r="585" spans="1:2" x14ac:dyDescent="0.25">
      <c r="A585" s="75">
        <v>12141718</v>
      </c>
      <c r="B585" s="76" t="s">
        <v>1229</v>
      </c>
    </row>
    <row r="586" spans="1:2" x14ac:dyDescent="0.25">
      <c r="A586" s="75">
        <v>12141719</v>
      </c>
      <c r="B586" s="76" t="s">
        <v>9385</v>
      </c>
    </row>
    <row r="587" spans="1:2" x14ac:dyDescent="0.25">
      <c r="A587" s="75">
        <v>12141720</v>
      </c>
      <c r="B587" s="76" t="s">
        <v>17487</v>
      </c>
    </row>
    <row r="588" spans="1:2" x14ac:dyDescent="0.25">
      <c r="A588" s="75">
        <v>12141721</v>
      </c>
      <c r="B588" s="76" t="s">
        <v>11287</v>
      </c>
    </row>
    <row r="589" spans="1:2" x14ac:dyDescent="0.25">
      <c r="A589" s="75">
        <v>12141722</v>
      </c>
      <c r="B589" s="76" t="s">
        <v>16258</v>
      </c>
    </row>
    <row r="590" spans="1:2" x14ac:dyDescent="0.25">
      <c r="A590" s="75">
        <v>12141723</v>
      </c>
      <c r="B590" s="76" t="s">
        <v>2181</v>
      </c>
    </row>
    <row r="591" spans="1:2" x14ac:dyDescent="0.25">
      <c r="A591" s="75">
        <v>12141724</v>
      </c>
      <c r="B591" s="76" t="s">
        <v>1011</v>
      </c>
    </row>
    <row r="592" spans="1:2" x14ac:dyDescent="0.25">
      <c r="A592" s="75">
        <v>12141725</v>
      </c>
      <c r="B592" s="76" t="s">
        <v>3597</v>
      </c>
    </row>
    <row r="593" spans="1:2" x14ac:dyDescent="0.25">
      <c r="A593" s="75">
        <v>12141726</v>
      </c>
      <c r="B593" s="76" t="s">
        <v>2202</v>
      </c>
    </row>
    <row r="594" spans="1:2" x14ac:dyDescent="0.25">
      <c r="A594" s="75">
        <v>12141727</v>
      </c>
      <c r="B594" s="76" t="s">
        <v>278</v>
      </c>
    </row>
    <row r="595" spans="1:2" x14ac:dyDescent="0.25">
      <c r="A595" s="75">
        <v>12141728</v>
      </c>
      <c r="B595" s="76" t="s">
        <v>16671</v>
      </c>
    </row>
    <row r="596" spans="1:2" x14ac:dyDescent="0.25">
      <c r="A596" s="75">
        <v>12141729</v>
      </c>
      <c r="B596" s="76" t="s">
        <v>5145</v>
      </c>
    </row>
    <row r="597" spans="1:2" x14ac:dyDescent="0.25">
      <c r="A597" s="75">
        <v>12141730</v>
      </c>
      <c r="B597" s="76" t="s">
        <v>10559</v>
      </c>
    </row>
    <row r="598" spans="1:2" x14ac:dyDescent="0.25">
      <c r="A598" s="75">
        <v>12141731</v>
      </c>
      <c r="B598" s="76" t="s">
        <v>14975</v>
      </c>
    </row>
    <row r="599" spans="1:2" x14ac:dyDescent="0.25">
      <c r="A599" s="75">
        <v>12141732</v>
      </c>
      <c r="B599" s="76" t="s">
        <v>350</v>
      </c>
    </row>
    <row r="600" spans="1:2" x14ac:dyDescent="0.25">
      <c r="A600" s="75">
        <v>12141733</v>
      </c>
      <c r="B600" s="76" t="s">
        <v>5184</v>
      </c>
    </row>
    <row r="601" spans="1:2" x14ac:dyDescent="0.25">
      <c r="A601" s="75">
        <v>12141734</v>
      </c>
      <c r="B601" s="76" t="s">
        <v>3260</v>
      </c>
    </row>
    <row r="602" spans="1:2" x14ac:dyDescent="0.25">
      <c r="A602" s="75">
        <v>12141735</v>
      </c>
      <c r="B602" s="76" t="s">
        <v>6484</v>
      </c>
    </row>
    <row r="603" spans="1:2" x14ac:dyDescent="0.25">
      <c r="A603" s="75">
        <v>12141736</v>
      </c>
      <c r="B603" s="76" t="s">
        <v>15698</v>
      </c>
    </row>
    <row r="604" spans="1:2" x14ac:dyDescent="0.25">
      <c r="A604" s="75">
        <v>12141737</v>
      </c>
      <c r="B604" s="76" t="s">
        <v>4865</v>
      </c>
    </row>
    <row r="605" spans="1:2" x14ac:dyDescent="0.25">
      <c r="A605" s="75">
        <v>12141738</v>
      </c>
      <c r="B605" s="76" t="s">
        <v>14398</v>
      </c>
    </row>
    <row r="606" spans="1:2" x14ac:dyDescent="0.25">
      <c r="A606" s="75">
        <v>12141739</v>
      </c>
      <c r="B606" s="76" t="s">
        <v>18557</v>
      </c>
    </row>
    <row r="607" spans="1:2" x14ac:dyDescent="0.25">
      <c r="A607" s="75">
        <v>12141740</v>
      </c>
      <c r="B607" s="76" t="s">
        <v>19251</v>
      </c>
    </row>
    <row r="608" spans="1:2" x14ac:dyDescent="0.25">
      <c r="A608" s="75">
        <v>12141741</v>
      </c>
      <c r="B608" s="76" t="s">
        <v>18062</v>
      </c>
    </row>
    <row r="609" spans="1:2" x14ac:dyDescent="0.25">
      <c r="A609" s="75">
        <v>12141742</v>
      </c>
      <c r="B609" s="76" t="s">
        <v>727</v>
      </c>
    </row>
    <row r="610" spans="1:2" x14ac:dyDescent="0.25">
      <c r="A610" s="75">
        <v>12141743</v>
      </c>
      <c r="B610" s="76" t="s">
        <v>19027</v>
      </c>
    </row>
    <row r="611" spans="1:2" x14ac:dyDescent="0.25">
      <c r="A611" s="75">
        <v>12141744</v>
      </c>
      <c r="B611" s="76" t="s">
        <v>11848</v>
      </c>
    </row>
    <row r="612" spans="1:2" x14ac:dyDescent="0.25">
      <c r="A612" s="75">
        <v>12141745</v>
      </c>
      <c r="B612" s="76" t="s">
        <v>9813</v>
      </c>
    </row>
    <row r="613" spans="1:2" x14ac:dyDescent="0.25">
      <c r="A613" s="75">
        <v>12141746</v>
      </c>
      <c r="B613" s="76" t="s">
        <v>19206</v>
      </c>
    </row>
    <row r="614" spans="1:2" x14ac:dyDescent="0.25">
      <c r="A614" s="75">
        <v>12141747</v>
      </c>
      <c r="B614" s="76" t="s">
        <v>9510</v>
      </c>
    </row>
    <row r="615" spans="1:2" x14ac:dyDescent="0.25">
      <c r="A615" s="75">
        <v>12141748</v>
      </c>
      <c r="B615" s="76" t="s">
        <v>13421</v>
      </c>
    </row>
    <row r="616" spans="1:2" x14ac:dyDescent="0.25">
      <c r="A616" s="75">
        <v>12141749</v>
      </c>
      <c r="B616" s="76" t="s">
        <v>13548</v>
      </c>
    </row>
    <row r="617" spans="1:2" x14ac:dyDescent="0.25">
      <c r="A617" s="75">
        <v>12141750</v>
      </c>
      <c r="B617" s="76" t="s">
        <v>10379</v>
      </c>
    </row>
    <row r="618" spans="1:2" x14ac:dyDescent="0.25">
      <c r="A618" s="75">
        <v>12141751</v>
      </c>
      <c r="B618" s="76" t="s">
        <v>14737</v>
      </c>
    </row>
    <row r="619" spans="1:2" x14ac:dyDescent="0.25">
      <c r="A619" s="75">
        <v>12141752</v>
      </c>
      <c r="B619" s="76" t="s">
        <v>16463</v>
      </c>
    </row>
    <row r="620" spans="1:2" x14ac:dyDescent="0.25">
      <c r="A620" s="75">
        <v>12141753</v>
      </c>
      <c r="B620" s="76" t="s">
        <v>12488</v>
      </c>
    </row>
    <row r="621" spans="1:2" x14ac:dyDescent="0.25">
      <c r="A621" s="75">
        <v>12141754</v>
      </c>
      <c r="B621" s="76" t="s">
        <v>2817</v>
      </c>
    </row>
    <row r="622" spans="1:2" x14ac:dyDescent="0.25">
      <c r="A622" s="75">
        <v>12141755</v>
      </c>
      <c r="B622" s="76" t="s">
        <v>18931</v>
      </c>
    </row>
    <row r="623" spans="1:2" x14ac:dyDescent="0.25">
      <c r="A623" s="75">
        <v>12141756</v>
      </c>
      <c r="B623" s="76" t="s">
        <v>19500</v>
      </c>
    </row>
    <row r="624" spans="1:2" x14ac:dyDescent="0.25">
      <c r="A624" s="75">
        <v>12141757</v>
      </c>
      <c r="B624" s="76" t="s">
        <v>16252</v>
      </c>
    </row>
    <row r="625" spans="1:2" x14ac:dyDescent="0.25">
      <c r="A625" s="75">
        <v>12141758</v>
      </c>
      <c r="B625" s="76" t="s">
        <v>2527</v>
      </c>
    </row>
    <row r="626" spans="1:2" x14ac:dyDescent="0.25">
      <c r="A626" s="75">
        <v>12141759</v>
      </c>
      <c r="B626" s="76" t="s">
        <v>6145</v>
      </c>
    </row>
    <row r="627" spans="1:2" x14ac:dyDescent="0.25">
      <c r="A627" s="75">
        <v>12141760</v>
      </c>
      <c r="B627" s="76" t="s">
        <v>699</v>
      </c>
    </row>
    <row r="628" spans="1:2" x14ac:dyDescent="0.25">
      <c r="A628" s="75">
        <v>12141801</v>
      </c>
      <c r="B628" s="76" t="s">
        <v>1169</v>
      </c>
    </row>
    <row r="629" spans="1:2" x14ac:dyDescent="0.25">
      <c r="A629" s="75">
        <v>12141802</v>
      </c>
      <c r="B629" s="76" t="s">
        <v>11997</v>
      </c>
    </row>
    <row r="630" spans="1:2" x14ac:dyDescent="0.25">
      <c r="A630" s="75">
        <v>12141803</v>
      </c>
      <c r="B630" s="76" t="s">
        <v>7424</v>
      </c>
    </row>
    <row r="631" spans="1:2" x14ac:dyDescent="0.25">
      <c r="A631" s="75">
        <v>12141804</v>
      </c>
      <c r="B631" s="76" t="s">
        <v>2780</v>
      </c>
    </row>
    <row r="632" spans="1:2" x14ac:dyDescent="0.25">
      <c r="A632" s="75">
        <v>12141805</v>
      </c>
      <c r="B632" s="76" t="s">
        <v>8810</v>
      </c>
    </row>
    <row r="633" spans="1:2" x14ac:dyDescent="0.25">
      <c r="A633" s="75">
        <v>12141806</v>
      </c>
      <c r="B633" s="76" t="s">
        <v>12314</v>
      </c>
    </row>
    <row r="634" spans="1:2" x14ac:dyDescent="0.25">
      <c r="A634" s="75">
        <v>12141901</v>
      </c>
      <c r="B634" s="76" t="s">
        <v>18252</v>
      </c>
    </row>
    <row r="635" spans="1:2" x14ac:dyDescent="0.25">
      <c r="A635" s="75">
        <v>12141902</v>
      </c>
      <c r="B635" s="76" t="s">
        <v>19580</v>
      </c>
    </row>
    <row r="636" spans="1:2" x14ac:dyDescent="0.25">
      <c r="A636" s="75">
        <v>12141903</v>
      </c>
      <c r="B636" s="76" t="s">
        <v>18123</v>
      </c>
    </row>
    <row r="637" spans="1:2" x14ac:dyDescent="0.25">
      <c r="A637" s="75">
        <v>12141904</v>
      </c>
      <c r="B637" s="76" t="s">
        <v>10560</v>
      </c>
    </row>
    <row r="638" spans="1:2" x14ac:dyDescent="0.25">
      <c r="A638" s="75">
        <v>12141905</v>
      </c>
      <c r="B638" s="76" t="s">
        <v>14442</v>
      </c>
    </row>
    <row r="639" spans="1:2" x14ac:dyDescent="0.25">
      <c r="A639" s="75">
        <v>12141906</v>
      </c>
      <c r="B639" s="76" t="s">
        <v>8608</v>
      </c>
    </row>
    <row r="640" spans="1:2" x14ac:dyDescent="0.25">
      <c r="A640" s="75">
        <v>12141907</v>
      </c>
      <c r="B640" s="76" t="s">
        <v>18959</v>
      </c>
    </row>
    <row r="641" spans="1:2" x14ac:dyDescent="0.25">
      <c r="A641" s="75">
        <v>12141908</v>
      </c>
      <c r="B641" s="76" t="s">
        <v>2924</v>
      </c>
    </row>
    <row r="642" spans="1:2" x14ac:dyDescent="0.25">
      <c r="A642" s="75">
        <v>12141909</v>
      </c>
      <c r="B642" s="76" t="s">
        <v>12208</v>
      </c>
    </row>
    <row r="643" spans="1:2" x14ac:dyDescent="0.25">
      <c r="A643" s="75">
        <v>12141910</v>
      </c>
      <c r="B643" s="76" t="s">
        <v>17563</v>
      </c>
    </row>
    <row r="644" spans="1:2" x14ac:dyDescent="0.25">
      <c r="A644" s="75">
        <v>12141911</v>
      </c>
      <c r="B644" s="76" t="s">
        <v>10180</v>
      </c>
    </row>
    <row r="645" spans="1:2" x14ac:dyDescent="0.25">
      <c r="A645" s="75">
        <v>12141912</v>
      </c>
      <c r="B645" s="76" t="s">
        <v>2669</v>
      </c>
    </row>
    <row r="646" spans="1:2" x14ac:dyDescent="0.25">
      <c r="A646" s="75">
        <v>12141913</v>
      </c>
      <c r="B646" s="76" t="s">
        <v>3105</v>
      </c>
    </row>
    <row r="647" spans="1:2" x14ac:dyDescent="0.25">
      <c r="A647" s="75">
        <v>12141914</v>
      </c>
      <c r="B647" s="76" t="s">
        <v>14490</v>
      </c>
    </row>
    <row r="648" spans="1:2" x14ac:dyDescent="0.25">
      <c r="A648" s="75">
        <v>12141915</v>
      </c>
      <c r="B648" s="76" t="s">
        <v>8830</v>
      </c>
    </row>
    <row r="649" spans="1:2" x14ac:dyDescent="0.25">
      <c r="A649" s="75">
        <v>12141916</v>
      </c>
      <c r="B649" s="76" t="s">
        <v>15877</v>
      </c>
    </row>
    <row r="650" spans="1:2" x14ac:dyDescent="0.25">
      <c r="A650" s="75">
        <v>12142001</v>
      </c>
      <c r="B650" s="76" t="s">
        <v>12489</v>
      </c>
    </row>
    <row r="651" spans="1:2" x14ac:dyDescent="0.25">
      <c r="A651" s="75">
        <v>12142002</v>
      </c>
      <c r="B651" s="76" t="s">
        <v>3107</v>
      </c>
    </row>
    <row r="652" spans="1:2" x14ac:dyDescent="0.25">
      <c r="A652" s="75">
        <v>12142003</v>
      </c>
      <c r="B652" s="76" t="s">
        <v>18087</v>
      </c>
    </row>
    <row r="653" spans="1:2" x14ac:dyDescent="0.25">
      <c r="A653" s="75">
        <v>12142004</v>
      </c>
      <c r="B653" s="76" t="s">
        <v>12638</v>
      </c>
    </row>
    <row r="654" spans="1:2" x14ac:dyDescent="0.25">
      <c r="A654" s="75">
        <v>12142005</v>
      </c>
      <c r="B654" s="76" t="s">
        <v>4682</v>
      </c>
    </row>
    <row r="655" spans="1:2" x14ac:dyDescent="0.25">
      <c r="A655" s="75">
        <v>12142006</v>
      </c>
      <c r="B655" s="76" t="s">
        <v>8680</v>
      </c>
    </row>
    <row r="656" spans="1:2" x14ac:dyDescent="0.25">
      <c r="A656" s="75">
        <v>12142101</v>
      </c>
      <c r="B656" s="76" t="s">
        <v>7757</v>
      </c>
    </row>
    <row r="657" spans="1:2" x14ac:dyDescent="0.25">
      <c r="A657" s="75">
        <v>12142102</v>
      </c>
      <c r="B657" s="76" t="s">
        <v>237</v>
      </c>
    </row>
    <row r="658" spans="1:2" x14ac:dyDescent="0.25">
      <c r="A658" s="75">
        <v>12142103</v>
      </c>
      <c r="B658" s="76" t="s">
        <v>9991</v>
      </c>
    </row>
    <row r="659" spans="1:2" x14ac:dyDescent="0.25">
      <c r="A659" s="75">
        <v>12142104</v>
      </c>
      <c r="B659" s="76" t="s">
        <v>14669</v>
      </c>
    </row>
    <row r="660" spans="1:2" x14ac:dyDescent="0.25">
      <c r="A660" s="75">
        <v>12142105</v>
      </c>
      <c r="B660" s="76" t="s">
        <v>9461</v>
      </c>
    </row>
    <row r="661" spans="1:2" x14ac:dyDescent="0.25">
      <c r="A661" s="75">
        <v>12142106</v>
      </c>
      <c r="B661" s="76" t="s">
        <v>13849</v>
      </c>
    </row>
    <row r="662" spans="1:2" x14ac:dyDescent="0.25">
      <c r="A662" s="75">
        <v>12142201</v>
      </c>
      <c r="B662" s="76" t="s">
        <v>12939</v>
      </c>
    </row>
    <row r="663" spans="1:2" x14ac:dyDescent="0.25">
      <c r="A663" s="75">
        <v>12142202</v>
      </c>
      <c r="B663" s="76" t="s">
        <v>2997</v>
      </c>
    </row>
    <row r="664" spans="1:2" x14ac:dyDescent="0.25">
      <c r="A664" s="75">
        <v>12142203</v>
      </c>
      <c r="B664" s="76" t="s">
        <v>18372</v>
      </c>
    </row>
    <row r="665" spans="1:2" x14ac:dyDescent="0.25">
      <c r="A665" s="75">
        <v>12142204</v>
      </c>
      <c r="B665" s="76" t="s">
        <v>16225</v>
      </c>
    </row>
    <row r="666" spans="1:2" x14ac:dyDescent="0.25">
      <c r="A666" s="75">
        <v>12142205</v>
      </c>
      <c r="B666" s="76" t="s">
        <v>10521</v>
      </c>
    </row>
    <row r="667" spans="1:2" x14ac:dyDescent="0.25">
      <c r="A667" s="75">
        <v>12142206</v>
      </c>
      <c r="B667" s="76" t="s">
        <v>2903</v>
      </c>
    </row>
    <row r="668" spans="1:2" x14ac:dyDescent="0.25">
      <c r="A668" s="75">
        <v>12142207</v>
      </c>
      <c r="B668" s="76" t="s">
        <v>9504</v>
      </c>
    </row>
    <row r="669" spans="1:2" x14ac:dyDescent="0.25">
      <c r="A669" s="75">
        <v>12142208</v>
      </c>
      <c r="B669" s="76" t="s">
        <v>15258</v>
      </c>
    </row>
    <row r="670" spans="1:2" x14ac:dyDescent="0.25">
      <c r="A670" s="75">
        <v>12161501</v>
      </c>
      <c r="B670" s="76" t="s">
        <v>7935</v>
      </c>
    </row>
    <row r="671" spans="1:2" x14ac:dyDescent="0.25">
      <c r="A671" s="75">
        <v>12161502</v>
      </c>
      <c r="B671" s="76" t="s">
        <v>12362</v>
      </c>
    </row>
    <row r="672" spans="1:2" x14ac:dyDescent="0.25">
      <c r="A672" s="75">
        <v>12161503</v>
      </c>
      <c r="B672" s="76" t="s">
        <v>8918</v>
      </c>
    </row>
    <row r="673" spans="1:2" x14ac:dyDescent="0.25">
      <c r="A673" s="75">
        <v>12161504</v>
      </c>
      <c r="B673" s="76" t="s">
        <v>8451</v>
      </c>
    </row>
    <row r="674" spans="1:2" x14ac:dyDescent="0.25">
      <c r="A674" s="75">
        <v>12161505</v>
      </c>
      <c r="B674" s="76" t="s">
        <v>14967</v>
      </c>
    </row>
    <row r="675" spans="1:2" x14ac:dyDescent="0.25">
      <c r="A675" s="75">
        <v>12161506</v>
      </c>
      <c r="B675" s="76" t="s">
        <v>13829</v>
      </c>
    </row>
    <row r="676" spans="1:2" x14ac:dyDescent="0.25">
      <c r="A676" s="75">
        <v>12161507</v>
      </c>
      <c r="B676" s="76" t="s">
        <v>4700</v>
      </c>
    </row>
    <row r="677" spans="1:2" x14ac:dyDescent="0.25">
      <c r="A677" s="75">
        <v>12161601</v>
      </c>
      <c r="B677" s="76" t="s">
        <v>14703</v>
      </c>
    </row>
    <row r="678" spans="1:2" x14ac:dyDescent="0.25">
      <c r="A678" s="75">
        <v>12161602</v>
      </c>
      <c r="B678" s="76" t="s">
        <v>11677</v>
      </c>
    </row>
    <row r="679" spans="1:2" x14ac:dyDescent="0.25">
      <c r="A679" s="75">
        <v>12161603</v>
      </c>
      <c r="B679" s="76" t="s">
        <v>5890</v>
      </c>
    </row>
    <row r="680" spans="1:2" x14ac:dyDescent="0.25">
      <c r="A680" s="75">
        <v>12161604</v>
      </c>
      <c r="B680" s="76" t="s">
        <v>19826</v>
      </c>
    </row>
    <row r="681" spans="1:2" x14ac:dyDescent="0.25">
      <c r="A681" s="75">
        <v>12161701</v>
      </c>
      <c r="B681" s="76" t="s">
        <v>17875</v>
      </c>
    </row>
    <row r="682" spans="1:2" x14ac:dyDescent="0.25">
      <c r="A682" s="75">
        <v>12161702</v>
      </c>
      <c r="B682" s="76" t="s">
        <v>3377</v>
      </c>
    </row>
    <row r="683" spans="1:2" x14ac:dyDescent="0.25">
      <c r="A683" s="75">
        <v>12161703</v>
      </c>
      <c r="B683" s="76" t="s">
        <v>2543</v>
      </c>
    </row>
    <row r="684" spans="1:2" x14ac:dyDescent="0.25">
      <c r="A684" s="75">
        <v>12161704</v>
      </c>
      <c r="B684" s="76" t="s">
        <v>5292</v>
      </c>
    </row>
    <row r="685" spans="1:2" x14ac:dyDescent="0.25">
      <c r="A685" s="75">
        <v>12161705</v>
      </c>
      <c r="B685" s="76" t="s">
        <v>9532</v>
      </c>
    </row>
    <row r="686" spans="1:2" x14ac:dyDescent="0.25">
      <c r="A686" s="75">
        <v>12161706</v>
      </c>
      <c r="B686" s="76" t="s">
        <v>13356</v>
      </c>
    </row>
    <row r="687" spans="1:2" x14ac:dyDescent="0.25">
      <c r="A687" s="75">
        <v>12161801</v>
      </c>
      <c r="B687" s="76" t="s">
        <v>1980</v>
      </c>
    </row>
    <row r="688" spans="1:2" x14ac:dyDescent="0.25">
      <c r="A688" s="75">
        <v>12161802</v>
      </c>
      <c r="B688" s="76" t="s">
        <v>15449</v>
      </c>
    </row>
    <row r="689" spans="1:2" x14ac:dyDescent="0.25">
      <c r="A689" s="75">
        <v>12161803</v>
      </c>
      <c r="B689" s="76" t="s">
        <v>6745</v>
      </c>
    </row>
    <row r="690" spans="1:2" x14ac:dyDescent="0.25">
      <c r="A690" s="75">
        <v>12161804</v>
      </c>
      <c r="B690" s="76" t="s">
        <v>752</v>
      </c>
    </row>
    <row r="691" spans="1:2" x14ac:dyDescent="0.25">
      <c r="A691" s="75">
        <v>12161805</v>
      </c>
      <c r="B691" s="76" t="s">
        <v>14167</v>
      </c>
    </row>
    <row r="692" spans="1:2" x14ac:dyDescent="0.25">
      <c r="A692" s="75">
        <v>12161806</v>
      </c>
      <c r="B692" s="76" t="s">
        <v>16801</v>
      </c>
    </row>
    <row r="693" spans="1:2" x14ac:dyDescent="0.25">
      <c r="A693" s="75">
        <v>12161807</v>
      </c>
      <c r="B693" s="76" t="s">
        <v>9445</v>
      </c>
    </row>
    <row r="694" spans="1:2" x14ac:dyDescent="0.25">
      <c r="A694" s="75">
        <v>12161808</v>
      </c>
      <c r="B694" s="76" t="s">
        <v>16769</v>
      </c>
    </row>
    <row r="695" spans="1:2" x14ac:dyDescent="0.25">
      <c r="A695" s="75">
        <v>12161901</v>
      </c>
      <c r="B695" s="76" t="s">
        <v>11744</v>
      </c>
    </row>
    <row r="696" spans="1:2" x14ac:dyDescent="0.25">
      <c r="A696" s="75">
        <v>12161902</v>
      </c>
      <c r="B696" s="76" t="s">
        <v>9140</v>
      </c>
    </row>
    <row r="697" spans="1:2" x14ac:dyDescent="0.25">
      <c r="A697" s="75">
        <v>12161903</v>
      </c>
      <c r="B697" s="76" t="s">
        <v>3768</v>
      </c>
    </row>
    <row r="698" spans="1:2" x14ac:dyDescent="0.25">
      <c r="A698" s="75">
        <v>12161904</v>
      </c>
      <c r="B698" s="76" t="s">
        <v>788</v>
      </c>
    </row>
    <row r="699" spans="1:2" x14ac:dyDescent="0.25">
      <c r="A699" s="75">
        <v>12161905</v>
      </c>
      <c r="B699" s="76" t="s">
        <v>16741</v>
      </c>
    </row>
    <row r="700" spans="1:2" x14ac:dyDescent="0.25">
      <c r="A700" s="75">
        <v>12161906</v>
      </c>
      <c r="B700" s="76" t="s">
        <v>6190</v>
      </c>
    </row>
    <row r="701" spans="1:2" x14ac:dyDescent="0.25">
      <c r="A701" s="75">
        <v>12161907</v>
      </c>
      <c r="B701" s="76" t="s">
        <v>18230</v>
      </c>
    </row>
    <row r="702" spans="1:2" x14ac:dyDescent="0.25">
      <c r="A702" s="75">
        <v>12162002</v>
      </c>
      <c r="B702" s="76" t="s">
        <v>3226</v>
      </c>
    </row>
    <row r="703" spans="1:2" x14ac:dyDescent="0.25">
      <c r="A703" s="75">
        <v>12162003</v>
      </c>
      <c r="B703" s="76" t="s">
        <v>16646</v>
      </c>
    </row>
    <row r="704" spans="1:2" x14ac:dyDescent="0.25">
      <c r="A704" s="75">
        <v>12162004</v>
      </c>
      <c r="B704" s="76" t="s">
        <v>11257</v>
      </c>
    </row>
    <row r="705" spans="1:2" x14ac:dyDescent="0.25">
      <c r="A705" s="75">
        <v>12162005</v>
      </c>
      <c r="B705" s="76" t="s">
        <v>12910</v>
      </c>
    </row>
    <row r="706" spans="1:2" x14ac:dyDescent="0.25">
      <c r="A706" s="75">
        <v>12162101</v>
      </c>
      <c r="B706" s="76" t="s">
        <v>17755</v>
      </c>
    </row>
    <row r="707" spans="1:2" x14ac:dyDescent="0.25">
      <c r="A707" s="75">
        <v>12162201</v>
      </c>
      <c r="B707" s="76" t="s">
        <v>11066</v>
      </c>
    </row>
    <row r="708" spans="1:2" x14ac:dyDescent="0.25">
      <c r="A708" s="75">
        <v>12162202</v>
      </c>
      <c r="B708" s="76" t="s">
        <v>8638</v>
      </c>
    </row>
    <row r="709" spans="1:2" x14ac:dyDescent="0.25">
      <c r="A709" s="75">
        <v>12162203</v>
      </c>
      <c r="B709" s="76" t="s">
        <v>1554</v>
      </c>
    </row>
    <row r="710" spans="1:2" x14ac:dyDescent="0.25">
      <c r="A710" s="75">
        <v>12162204</v>
      </c>
      <c r="B710" s="76" t="s">
        <v>14476</v>
      </c>
    </row>
    <row r="711" spans="1:2" x14ac:dyDescent="0.25">
      <c r="A711" s="75">
        <v>12162205</v>
      </c>
      <c r="B711" s="76" t="s">
        <v>3710</v>
      </c>
    </row>
    <row r="712" spans="1:2" x14ac:dyDescent="0.25">
      <c r="A712" s="75">
        <v>12162206</v>
      </c>
      <c r="B712" s="76" t="s">
        <v>15075</v>
      </c>
    </row>
    <row r="713" spans="1:2" x14ac:dyDescent="0.25">
      <c r="A713" s="75">
        <v>12162207</v>
      </c>
      <c r="B713" s="76" t="s">
        <v>4667</v>
      </c>
    </row>
    <row r="714" spans="1:2" x14ac:dyDescent="0.25">
      <c r="A714" s="75">
        <v>12162208</v>
      </c>
      <c r="B714" s="76" t="s">
        <v>6373</v>
      </c>
    </row>
    <row r="715" spans="1:2" x14ac:dyDescent="0.25">
      <c r="A715" s="75">
        <v>12162209</v>
      </c>
      <c r="B715" s="76" t="s">
        <v>9382</v>
      </c>
    </row>
    <row r="716" spans="1:2" x14ac:dyDescent="0.25">
      <c r="A716" s="75">
        <v>12162210</v>
      </c>
      <c r="B716" s="76" t="s">
        <v>6574</v>
      </c>
    </row>
    <row r="717" spans="1:2" x14ac:dyDescent="0.25">
      <c r="A717" s="75">
        <v>12162211</v>
      </c>
      <c r="B717" s="76" t="s">
        <v>17547</v>
      </c>
    </row>
    <row r="718" spans="1:2" x14ac:dyDescent="0.25">
      <c r="A718" s="75">
        <v>12162212</v>
      </c>
      <c r="B718" s="76" t="s">
        <v>17987</v>
      </c>
    </row>
    <row r="719" spans="1:2" x14ac:dyDescent="0.25">
      <c r="A719" s="75">
        <v>12162301</v>
      </c>
      <c r="B719" s="76" t="s">
        <v>869</v>
      </c>
    </row>
    <row r="720" spans="1:2" x14ac:dyDescent="0.25">
      <c r="A720" s="75">
        <v>12162302</v>
      </c>
      <c r="B720" s="76" t="s">
        <v>748</v>
      </c>
    </row>
    <row r="721" spans="1:2" x14ac:dyDescent="0.25">
      <c r="A721" s="75">
        <v>12162303</v>
      </c>
      <c r="B721" s="76" t="s">
        <v>14264</v>
      </c>
    </row>
    <row r="722" spans="1:2" x14ac:dyDescent="0.25">
      <c r="A722" s="75">
        <v>12162401</v>
      </c>
      <c r="B722" s="76" t="s">
        <v>1972</v>
      </c>
    </row>
    <row r="723" spans="1:2" x14ac:dyDescent="0.25">
      <c r="A723" s="75">
        <v>12162402</v>
      </c>
      <c r="B723" s="76" t="s">
        <v>6544</v>
      </c>
    </row>
    <row r="724" spans="1:2" x14ac:dyDescent="0.25">
      <c r="A724" s="75">
        <v>12162501</v>
      </c>
      <c r="B724" s="76" t="s">
        <v>17110</v>
      </c>
    </row>
    <row r="725" spans="1:2" x14ac:dyDescent="0.25">
      <c r="A725" s="75">
        <v>12162502</v>
      </c>
      <c r="B725" s="76" t="s">
        <v>6552</v>
      </c>
    </row>
    <row r="726" spans="1:2" x14ac:dyDescent="0.25">
      <c r="A726" s="75">
        <v>12162503</v>
      </c>
      <c r="B726" s="76" t="s">
        <v>14621</v>
      </c>
    </row>
    <row r="727" spans="1:2" x14ac:dyDescent="0.25">
      <c r="A727" s="75">
        <v>12162601</v>
      </c>
      <c r="B727" s="76" t="s">
        <v>13358</v>
      </c>
    </row>
    <row r="728" spans="1:2" x14ac:dyDescent="0.25">
      <c r="A728" s="75">
        <v>12162602</v>
      </c>
      <c r="B728" s="76" t="s">
        <v>17514</v>
      </c>
    </row>
    <row r="729" spans="1:2" x14ac:dyDescent="0.25">
      <c r="A729" s="75">
        <v>12162701</v>
      </c>
      <c r="B729" s="76" t="s">
        <v>5434</v>
      </c>
    </row>
    <row r="730" spans="1:2" x14ac:dyDescent="0.25">
      <c r="A730" s="75">
        <v>12162702</v>
      </c>
      <c r="B730" s="76" t="s">
        <v>5346</v>
      </c>
    </row>
    <row r="731" spans="1:2" x14ac:dyDescent="0.25">
      <c r="A731" s="75">
        <v>12162801</v>
      </c>
      <c r="B731" s="76" t="s">
        <v>17989</v>
      </c>
    </row>
    <row r="732" spans="1:2" x14ac:dyDescent="0.25">
      <c r="A732" s="75">
        <v>12162802</v>
      </c>
      <c r="B732" s="76" t="s">
        <v>6046</v>
      </c>
    </row>
    <row r="733" spans="1:2" x14ac:dyDescent="0.25">
      <c r="A733" s="75">
        <v>12162901</v>
      </c>
      <c r="B733" s="76" t="s">
        <v>6470</v>
      </c>
    </row>
    <row r="734" spans="1:2" x14ac:dyDescent="0.25">
      <c r="A734" s="75">
        <v>12162902</v>
      </c>
      <c r="B734" s="76" t="s">
        <v>8563</v>
      </c>
    </row>
    <row r="735" spans="1:2" x14ac:dyDescent="0.25">
      <c r="A735" s="75">
        <v>12162903</v>
      </c>
      <c r="B735" s="76" t="s">
        <v>9989</v>
      </c>
    </row>
    <row r="736" spans="1:2" x14ac:dyDescent="0.25">
      <c r="A736" s="75">
        <v>12163001</v>
      </c>
      <c r="B736" s="76" t="s">
        <v>9698</v>
      </c>
    </row>
    <row r="737" spans="1:2" x14ac:dyDescent="0.25">
      <c r="A737" s="75">
        <v>12163101</v>
      </c>
      <c r="B737" s="76" t="s">
        <v>7041</v>
      </c>
    </row>
    <row r="738" spans="1:2" x14ac:dyDescent="0.25">
      <c r="A738" s="75">
        <v>12163201</v>
      </c>
      <c r="B738" s="76" t="s">
        <v>4514</v>
      </c>
    </row>
    <row r="739" spans="1:2" x14ac:dyDescent="0.25">
      <c r="A739" s="75">
        <v>12163301</v>
      </c>
      <c r="B739" s="76" t="s">
        <v>16018</v>
      </c>
    </row>
    <row r="740" spans="1:2" x14ac:dyDescent="0.25">
      <c r="A740" s="75">
        <v>12163401</v>
      </c>
      <c r="B740" s="76" t="s">
        <v>532</v>
      </c>
    </row>
    <row r="741" spans="1:2" x14ac:dyDescent="0.25">
      <c r="A741" s="75">
        <v>12163501</v>
      </c>
      <c r="B741" s="76" t="s">
        <v>18737</v>
      </c>
    </row>
    <row r="742" spans="1:2" x14ac:dyDescent="0.25">
      <c r="A742" s="75">
        <v>12163601</v>
      </c>
      <c r="B742" s="76" t="s">
        <v>13820</v>
      </c>
    </row>
    <row r="743" spans="1:2" x14ac:dyDescent="0.25">
      <c r="A743" s="75">
        <v>12163602</v>
      </c>
      <c r="B743" s="76" t="s">
        <v>15222</v>
      </c>
    </row>
    <row r="744" spans="1:2" x14ac:dyDescent="0.25">
      <c r="A744" s="75">
        <v>12163701</v>
      </c>
      <c r="B744" s="76" t="s">
        <v>15523</v>
      </c>
    </row>
    <row r="745" spans="1:2" x14ac:dyDescent="0.25">
      <c r="A745" s="75">
        <v>12163801</v>
      </c>
      <c r="B745" s="76" t="s">
        <v>13457</v>
      </c>
    </row>
    <row r="746" spans="1:2" x14ac:dyDescent="0.25">
      <c r="A746" s="75">
        <v>12163802</v>
      </c>
      <c r="B746" s="76" t="s">
        <v>3272</v>
      </c>
    </row>
    <row r="747" spans="1:2" x14ac:dyDescent="0.25">
      <c r="A747" s="75">
        <v>12163901</v>
      </c>
      <c r="B747" s="76" t="s">
        <v>1490</v>
      </c>
    </row>
    <row r="748" spans="1:2" x14ac:dyDescent="0.25">
      <c r="A748" s="75">
        <v>12163902</v>
      </c>
      <c r="B748" s="76" t="s">
        <v>12707</v>
      </c>
    </row>
    <row r="749" spans="1:2" x14ac:dyDescent="0.25">
      <c r="A749" s="75">
        <v>12164001</v>
      </c>
      <c r="B749" s="76" t="s">
        <v>13879</v>
      </c>
    </row>
    <row r="750" spans="1:2" x14ac:dyDescent="0.25">
      <c r="A750" s="75">
        <v>12164101</v>
      </c>
      <c r="B750" s="76" t="s">
        <v>12165</v>
      </c>
    </row>
    <row r="751" spans="1:2" x14ac:dyDescent="0.25">
      <c r="A751" s="75">
        <v>12164102</v>
      </c>
      <c r="B751" s="76" t="s">
        <v>19488</v>
      </c>
    </row>
    <row r="752" spans="1:2" x14ac:dyDescent="0.25">
      <c r="A752" s="75">
        <v>12164201</v>
      </c>
      <c r="B752" s="76" t="s">
        <v>9548</v>
      </c>
    </row>
    <row r="753" spans="1:2" x14ac:dyDescent="0.25">
      <c r="A753" s="75">
        <v>12164301</v>
      </c>
      <c r="B753" s="76" t="s">
        <v>11592</v>
      </c>
    </row>
    <row r="754" spans="1:2" x14ac:dyDescent="0.25">
      <c r="A754" s="75">
        <v>12164401</v>
      </c>
      <c r="B754" s="76" t="s">
        <v>7306</v>
      </c>
    </row>
    <row r="755" spans="1:2" x14ac:dyDescent="0.25">
      <c r="A755" s="75">
        <v>12164501</v>
      </c>
      <c r="B755" s="76" t="s">
        <v>14045</v>
      </c>
    </row>
    <row r="756" spans="1:2" x14ac:dyDescent="0.25">
      <c r="A756" s="75">
        <v>12164502</v>
      </c>
      <c r="B756" s="76" t="s">
        <v>19344</v>
      </c>
    </row>
    <row r="757" spans="1:2" x14ac:dyDescent="0.25">
      <c r="A757" s="75">
        <v>12164503</v>
      </c>
      <c r="B757" s="76" t="s">
        <v>364</v>
      </c>
    </row>
    <row r="758" spans="1:2" x14ac:dyDescent="0.25">
      <c r="A758" s="75">
        <v>12164504</v>
      </c>
      <c r="B758" s="76" t="s">
        <v>14858</v>
      </c>
    </row>
    <row r="759" spans="1:2" x14ac:dyDescent="0.25">
      <c r="A759" s="75">
        <v>12171501</v>
      </c>
      <c r="B759" s="76" t="s">
        <v>2373</v>
      </c>
    </row>
    <row r="760" spans="1:2" x14ac:dyDescent="0.25">
      <c r="A760" s="75">
        <v>12171502</v>
      </c>
      <c r="B760" s="76" t="s">
        <v>12902</v>
      </c>
    </row>
    <row r="761" spans="1:2" x14ac:dyDescent="0.25">
      <c r="A761" s="75">
        <v>12171503</v>
      </c>
      <c r="B761" s="76" t="s">
        <v>1265</v>
      </c>
    </row>
    <row r="762" spans="1:2" x14ac:dyDescent="0.25">
      <c r="A762" s="75">
        <v>12171504</v>
      </c>
      <c r="B762" s="76" t="s">
        <v>1848</v>
      </c>
    </row>
    <row r="763" spans="1:2" x14ac:dyDescent="0.25">
      <c r="A763" s="75">
        <v>12171505</v>
      </c>
      <c r="B763" s="76" t="s">
        <v>3282</v>
      </c>
    </row>
    <row r="764" spans="1:2" x14ac:dyDescent="0.25">
      <c r="A764" s="75">
        <v>12171506</v>
      </c>
      <c r="B764" s="76" t="s">
        <v>4142</v>
      </c>
    </row>
    <row r="765" spans="1:2" x14ac:dyDescent="0.25">
      <c r="A765" s="75">
        <v>12171602</v>
      </c>
      <c r="B765" s="76" t="s">
        <v>10354</v>
      </c>
    </row>
    <row r="766" spans="1:2" x14ac:dyDescent="0.25">
      <c r="A766" s="75">
        <v>12171603</v>
      </c>
      <c r="B766" s="76" t="s">
        <v>5790</v>
      </c>
    </row>
    <row r="767" spans="1:2" x14ac:dyDescent="0.25">
      <c r="A767" s="75">
        <v>12171604</v>
      </c>
      <c r="B767" s="76" t="s">
        <v>16456</v>
      </c>
    </row>
    <row r="768" spans="1:2" x14ac:dyDescent="0.25">
      <c r="A768" s="75">
        <v>12171605</v>
      </c>
      <c r="B768" s="76" t="s">
        <v>908</v>
      </c>
    </row>
    <row r="769" spans="1:2" x14ac:dyDescent="0.25">
      <c r="A769" s="75">
        <v>12171701</v>
      </c>
      <c r="B769" s="76" t="s">
        <v>8710</v>
      </c>
    </row>
    <row r="770" spans="1:2" x14ac:dyDescent="0.25">
      <c r="A770" s="75">
        <v>12171702</v>
      </c>
      <c r="B770" s="76" t="s">
        <v>8484</v>
      </c>
    </row>
    <row r="771" spans="1:2" x14ac:dyDescent="0.25">
      <c r="A771" s="75">
        <v>12171703</v>
      </c>
      <c r="B771" s="76" t="s">
        <v>4725</v>
      </c>
    </row>
    <row r="772" spans="1:2" x14ac:dyDescent="0.25">
      <c r="A772" s="75">
        <v>12181501</v>
      </c>
      <c r="B772" s="76" t="s">
        <v>3379</v>
      </c>
    </row>
    <row r="773" spans="1:2" x14ac:dyDescent="0.25">
      <c r="A773" s="75">
        <v>12181502</v>
      </c>
      <c r="B773" s="76" t="s">
        <v>1922</v>
      </c>
    </row>
    <row r="774" spans="1:2" x14ac:dyDescent="0.25">
      <c r="A774" s="75">
        <v>12181503</v>
      </c>
      <c r="B774" s="76" t="s">
        <v>4813</v>
      </c>
    </row>
    <row r="775" spans="1:2" x14ac:dyDescent="0.25">
      <c r="A775" s="75">
        <v>12181504</v>
      </c>
      <c r="B775" s="76" t="s">
        <v>5793</v>
      </c>
    </row>
    <row r="776" spans="1:2" x14ac:dyDescent="0.25">
      <c r="A776" s="75">
        <v>12181601</v>
      </c>
      <c r="B776" s="76" t="s">
        <v>12858</v>
      </c>
    </row>
    <row r="777" spans="1:2" x14ac:dyDescent="0.25">
      <c r="A777" s="75">
        <v>12181602</v>
      </c>
      <c r="B777" s="76" t="s">
        <v>4840</v>
      </c>
    </row>
    <row r="778" spans="1:2" x14ac:dyDescent="0.25">
      <c r="A778" s="75">
        <v>12191501</v>
      </c>
      <c r="B778" s="76" t="s">
        <v>18210</v>
      </c>
    </row>
    <row r="779" spans="1:2" x14ac:dyDescent="0.25">
      <c r="A779" s="75">
        <v>12191502</v>
      </c>
      <c r="B779" s="76" t="s">
        <v>10499</v>
      </c>
    </row>
    <row r="780" spans="1:2" x14ac:dyDescent="0.25">
      <c r="A780" s="75">
        <v>12191503</v>
      </c>
      <c r="B780" s="76" t="s">
        <v>5335</v>
      </c>
    </row>
    <row r="781" spans="1:2" x14ac:dyDescent="0.25">
      <c r="A781" s="75">
        <v>12191504</v>
      </c>
      <c r="B781" s="76" t="s">
        <v>1275</v>
      </c>
    </row>
    <row r="782" spans="1:2" x14ac:dyDescent="0.25">
      <c r="A782" s="75">
        <v>12191601</v>
      </c>
      <c r="B782" s="76" t="s">
        <v>19622</v>
      </c>
    </row>
    <row r="783" spans="1:2" x14ac:dyDescent="0.25">
      <c r="A783" s="75">
        <v>12191602</v>
      </c>
      <c r="B783" s="76" t="s">
        <v>5850</v>
      </c>
    </row>
    <row r="784" spans="1:2" x14ac:dyDescent="0.25">
      <c r="A784" s="75">
        <v>12352001</v>
      </c>
      <c r="B784" s="76" t="s">
        <v>1876</v>
      </c>
    </row>
    <row r="785" spans="1:2" x14ac:dyDescent="0.25">
      <c r="A785" s="75">
        <v>12352002</v>
      </c>
      <c r="B785" s="76" t="s">
        <v>6222</v>
      </c>
    </row>
    <row r="786" spans="1:2" x14ac:dyDescent="0.25">
      <c r="A786" s="75">
        <v>12352003</v>
      </c>
      <c r="B786" s="76" t="s">
        <v>6429</v>
      </c>
    </row>
    <row r="787" spans="1:2" x14ac:dyDescent="0.25">
      <c r="A787" s="75">
        <v>12352005</v>
      </c>
      <c r="B787" s="76" t="s">
        <v>15945</v>
      </c>
    </row>
    <row r="788" spans="1:2" x14ac:dyDescent="0.25">
      <c r="A788" s="75">
        <v>12352101</v>
      </c>
      <c r="B788" s="76" t="s">
        <v>11752</v>
      </c>
    </row>
    <row r="789" spans="1:2" x14ac:dyDescent="0.25">
      <c r="A789" s="75">
        <v>12352102</v>
      </c>
      <c r="B789" s="76" t="s">
        <v>3841</v>
      </c>
    </row>
    <row r="790" spans="1:2" x14ac:dyDescent="0.25">
      <c r="A790" s="75">
        <v>12352103</v>
      </c>
      <c r="B790" s="76" t="s">
        <v>16688</v>
      </c>
    </row>
    <row r="791" spans="1:2" x14ac:dyDescent="0.25">
      <c r="A791" s="75">
        <v>12352104</v>
      </c>
      <c r="B791" s="76" t="s">
        <v>6430</v>
      </c>
    </row>
    <row r="792" spans="1:2" x14ac:dyDescent="0.25">
      <c r="A792" s="75">
        <v>12352105</v>
      </c>
      <c r="B792" s="76" t="s">
        <v>6345</v>
      </c>
    </row>
    <row r="793" spans="1:2" x14ac:dyDescent="0.25">
      <c r="A793" s="75">
        <v>12352106</v>
      </c>
      <c r="B793" s="76" t="s">
        <v>1468</v>
      </c>
    </row>
    <row r="794" spans="1:2" x14ac:dyDescent="0.25">
      <c r="A794" s="75">
        <v>12352107</v>
      </c>
      <c r="B794" s="76" t="s">
        <v>10109</v>
      </c>
    </row>
    <row r="795" spans="1:2" x14ac:dyDescent="0.25">
      <c r="A795" s="75">
        <v>12352108</v>
      </c>
      <c r="B795" s="76" t="s">
        <v>15300</v>
      </c>
    </row>
    <row r="796" spans="1:2" x14ac:dyDescent="0.25">
      <c r="A796" s="75">
        <v>12352111</v>
      </c>
      <c r="B796" s="76" t="s">
        <v>17733</v>
      </c>
    </row>
    <row r="797" spans="1:2" x14ac:dyDescent="0.25">
      <c r="A797" s="75">
        <v>12352112</v>
      </c>
      <c r="B797" s="76" t="s">
        <v>15300</v>
      </c>
    </row>
    <row r="798" spans="1:2" x14ac:dyDescent="0.25">
      <c r="A798" s="75">
        <v>12352113</v>
      </c>
      <c r="B798" s="76" t="s">
        <v>9946</v>
      </c>
    </row>
    <row r="799" spans="1:2" x14ac:dyDescent="0.25">
      <c r="A799" s="75">
        <v>12352114</v>
      </c>
      <c r="B799" s="76" t="s">
        <v>5351</v>
      </c>
    </row>
    <row r="800" spans="1:2" x14ac:dyDescent="0.25">
      <c r="A800" s="75">
        <v>12352115</v>
      </c>
      <c r="B800" s="76" t="s">
        <v>2053</v>
      </c>
    </row>
    <row r="801" spans="1:2" x14ac:dyDescent="0.25">
      <c r="A801" s="75">
        <v>12352116</v>
      </c>
      <c r="B801" s="76" t="s">
        <v>12264</v>
      </c>
    </row>
    <row r="802" spans="1:2" x14ac:dyDescent="0.25">
      <c r="A802" s="75">
        <v>12352117</v>
      </c>
      <c r="B802" s="76" t="s">
        <v>7014</v>
      </c>
    </row>
    <row r="803" spans="1:2" x14ac:dyDescent="0.25">
      <c r="A803" s="75">
        <v>12352118</v>
      </c>
      <c r="B803" s="76" t="s">
        <v>15884</v>
      </c>
    </row>
    <row r="804" spans="1:2" x14ac:dyDescent="0.25">
      <c r="A804" s="75">
        <v>12352119</v>
      </c>
      <c r="B804" s="76" t="s">
        <v>17449</v>
      </c>
    </row>
    <row r="805" spans="1:2" x14ac:dyDescent="0.25">
      <c r="A805" s="75">
        <v>12352120</v>
      </c>
      <c r="B805" s="76" t="s">
        <v>14688</v>
      </c>
    </row>
    <row r="806" spans="1:2" x14ac:dyDescent="0.25">
      <c r="A806" s="75">
        <v>12352121</v>
      </c>
      <c r="B806" s="76" t="s">
        <v>8195</v>
      </c>
    </row>
    <row r="807" spans="1:2" x14ac:dyDescent="0.25">
      <c r="A807" s="75">
        <v>12352123</v>
      </c>
      <c r="B807" s="76" t="s">
        <v>10538</v>
      </c>
    </row>
    <row r="808" spans="1:2" x14ac:dyDescent="0.25">
      <c r="A808" s="75">
        <v>12352124</v>
      </c>
      <c r="B808" s="76" t="s">
        <v>19766</v>
      </c>
    </row>
    <row r="809" spans="1:2" x14ac:dyDescent="0.25">
      <c r="A809" s="75">
        <v>12352125</v>
      </c>
      <c r="B809" s="76" t="s">
        <v>7335</v>
      </c>
    </row>
    <row r="810" spans="1:2" x14ac:dyDescent="0.25">
      <c r="A810" s="75">
        <v>12352126</v>
      </c>
      <c r="B810" s="76" t="s">
        <v>6067</v>
      </c>
    </row>
    <row r="811" spans="1:2" x14ac:dyDescent="0.25">
      <c r="A811" s="75">
        <v>12352127</v>
      </c>
      <c r="B811" s="76" t="s">
        <v>15951</v>
      </c>
    </row>
    <row r="812" spans="1:2" x14ac:dyDescent="0.25">
      <c r="A812" s="75">
        <v>12352128</v>
      </c>
      <c r="B812" s="76" t="s">
        <v>10905</v>
      </c>
    </row>
    <row r="813" spans="1:2" x14ac:dyDescent="0.25">
      <c r="A813" s="75">
        <v>12352129</v>
      </c>
      <c r="B813" s="76" t="s">
        <v>16393</v>
      </c>
    </row>
    <row r="814" spans="1:2" x14ac:dyDescent="0.25">
      <c r="A814" s="75">
        <v>12352130</v>
      </c>
      <c r="B814" s="76" t="s">
        <v>6613</v>
      </c>
    </row>
    <row r="815" spans="1:2" x14ac:dyDescent="0.25">
      <c r="A815" s="75">
        <v>12352201</v>
      </c>
      <c r="B815" s="76" t="s">
        <v>10861</v>
      </c>
    </row>
    <row r="816" spans="1:2" x14ac:dyDescent="0.25">
      <c r="A816" s="75">
        <v>12352202</v>
      </c>
      <c r="B816" s="76" t="s">
        <v>18673</v>
      </c>
    </row>
    <row r="817" spans="1:2" x14ac:dyDescent="0.25">
      <c r="A817" s="75">
        <v>12352203</v>
      </c>
      <c r="B817" s="76" t="s">
        <v>6551</v>
      </c>
    </row>
    <row r="818" spans="1:2" x14ac:dyDescent="0.25">
      <c r="A818" s="75">
        <v>12352204</v>
      </c>
      <c r="B818" s="76" t="s">
        <v>5989</v>
      </c>
    </row>
    <row r="819" spans="1:2" x14ac:dyDescent="0.25">
      <c r="A819" s="75">
        <v>12352205</v>
      </c>
      <c r="B819" s="76" t="s">
        <v>10697</v>
      </c>
    </row>
    <row r="820" spans="1:2" x14ac:dyDescent="0.25">
      <c r="A820" s="75">
        <v>12352206</v>
      </c>
      <c r="B820" s="76" t="s">
        <v>19270</v>
      </c>
    </row>
    <row r="821" spans="1:2" x14ac:dyDescent="0.25">
      <c r="A821" s="75">
        <v>12352207</v>
      </c>
      <c r="B821" s="76" t="s">
        <v>19563</v>
      </c>
    </row>
    <row r="822" spans="1:2" x14ac:dyDescent="0.25">
      <c r="A822" s="75">
        <v>12352208</v>
      </c>
      <c r="B822" s="76" t="s">
        <v>17389</v>
      </c>
    </row>
    <row r="823" spans="1:2" x14ac:dyDescent="0.25">
      <c r="A823" s="75">
        <v>12352209</v>
      </c>
      <c r="B823" s="76" t="s">
        <v>11905</v>
      </c>
    </row>
    <row r="824" spans="1:2" x14ac:dyDescent="0.25">
      <c r="A824" s="75">
        <v>12352210</v>
      </c>
      <c r="B824" s="76" t="s">
        <v>19487</v>
      </c>
    </row>
    <row r="825" spans="1:2" x14ac:dyDescent="0.25">
      <c r="A825" s="75">
        <v>12352211</v>
      </c>
      <c r="B825" s="76" t="s">
        <v>3381</v>
      </c>
    </row>
    <row r="826" spans="1:2" x14ac:dyDescent="0.25">
      <c r="A826" s="75">
        <v>12352212</v>
      </c>
      <c r="B826" s="76" t="s">
        <v>19971</v>
      </c>
    </row>
    <row r="827" spans="1:2" x14ac:dyDescent="0.25">
      <c r="A827" s="75">
        <v>12352301</v>
      </c>
      <c r="B827" s="76" t="s">
        <v>5395</v>
      </c>
    </row>
    <row r="828" spans="1:2" x14ac:dyDescent="0.25">
      <c r="A828" s="75">
        <v>12352302</v>
      </c>
      <c r="B828" s="76" t="s">
        <v>18045</v>
      </c>
    </row>
    <row r="829" spans="1:2" x14ac:dyDescent="0.25">
      <c r="A829" s="75">
        <v>12352303</v>
      </c>
      <c r="B829" s="76" t="s">
        <v>1811</v>
      </c>
    </row>
    <row r="830" spans="1:2" x14ac:dyDescent="0.25">
      <c r="A830" s="75">
        <v>12352304</v>
      </c>
      <c r="B830" s="76" t="s">
        <v>9102</v>
      </c>
    </row>
    <row r="831" spans="1:2" x14ac:dyDescent="0.25">
      <c r="A831" s="75">
        <v>12352305</v>
      </c>
      <c r="B831" s="76" t="s">
        <v>11673</v>
      </c>
    </row>
    <row r="832" spans="1:2" x14ac:dyDescent="0.25">
      <c r="A832" s="75">
        <v>12352306</v>
      </c>
      <c r="B832" s="76" t="s">
        <v>15031</v>
      </c>
    </row>
    <row r="833" spans="1:2" x14ac:dyDescent="0.25">
      <c r="A833" s="75">
        <v>12352307</v>
      </c>
      <c r="B833" s="76" t="s">
        <v>10763</v>
      </c>
    </row>
    <row r="834" spans="1:2" x14ac:dyDescent="0.25">
      <c r="A834" s="75">
        <v>12352308</v>
      </c>
      <c r="B834" s="76" t="s">
        <v>13104</v>
      </c>
    </row>
    <row r="835" spans="1:2" x14ac:dyDescent="0.25">
      <c r="A835" s="75">
        <v>12352309</v>
      </c>
      <c r="B835" s="76" t="s">
        <v>19132</v>
      </c>
    </row>
    <row r="836" spans="1:2" x14ac:dyDescent="0.25">
      <c r="A836" s="75">
        <v>12352310</v>
      </c>
      <c r="B836" s="76" t="s">
        <v>16111</v>
      </c>
    </row>
    <row r="837" spans="1:2" x14ac:dyDescent="0.25">
      <c r="A837" s="75">
        <v>12352311</v>
      </c>
      <c r="B837" s="76" t="s">
        <v>2909</v>
      </c>
    </row>
    <row r="838" spans="1:2" x14ac:dyDescent="0.25">
      <c r="A838" s="75">
        <v>12352312</v>
      </c>
      <c r="B838" s="76" t="s">
        <v>6272</v>
      </c>
    </row>
    <row r="839" spans="1:2" x14ac:dyDescent="0.25">
      <c r="A839" s="75">
        <v>12352401</v>
      </c>
      <c r="B839" s="76" t="s">
        <v>3200</v>
      </c>
    </row>
    <row r="840" spans="1:2" x14ac:dyDescent="0.25">
      <c r="A840" s="75">
        <v>12352402</v>
      </c>
      <c r="B840" s="76" t="s">
        <v>5121</v>
      </c>
    </row>
    <row r="841" spans="1:2" x14ac:dyDescent="0.25">
      <c r="A841" s="75">
        <v>12352501</v>
      </c>
      <c r="B841" s="76" t="s">
        <v>16060</v>
      </c>
    </row>
    <row r="842" spans="1:2" x14ac:dyDescent="0.25">
      <c r="A842" s="75">
        <v>12352502</v>
      </c>
      <c r="B842" s="76" t="s">
        <v>17791</v>
      </c>
    </row>
    <row r="843" spans="1:2" x14ac:dyDescent="0.25">
      <c r="A843" s="75">
        <v>12352503</v>
      </c>
      <c r="B843" s="76" t="s">
        <v>7843</v>
      </c>
    </row>
    <row r="844" spans="1:2" x14ac:dyDescent="0.25">
      <c r="A844" s="75">
        <v>13101501</v>
      </c>
      <c r="B844" s="76" t="s">
        <v>8894</v>
      </c>
    </row>
    <row r="845" spans="1:2" x14ac:dyDescent="0.25">
      <c r="A845" s="75">
        <v>13101502</v>
      </c>
      <c r="B845" s="76" t="s">
        <v>9057</v>
      </c>
    </row>
    <row r="846" spans="1:2" x14ac:dyDescent="0.25">
      <c r="A846" s="75">
        <v>13101503</v>
      </c>
      <c r="B846" s="76" t="s">
        <v>17138</v>
      </c>
    </row>
    <row r="847" spans="1:2" x14ac:dyDescent="0.25">
      <c r="A847" s="75">
        <v>13101504</v>
      </c>
      <c r="B847" s="76" t="s">
        <v>4449</v>
      </c>
    </row>
    <row r="848" spans="1:2" x14ac:dyDescent="0.25">
      <c r="A848" s="75">
        <v>13101505</v>
      </c>
      <c r="B848" s="76" t="s">
        <v>5719</v>
      </c>
    </row>
    <row r="849" spans="1:2" x14ac:dyDescent="0.25">
      <c r="A849" s="75">
        <v>13101601</v>
      </c>
      <c r="B849" s="76" t="s">
        <v>11924</v>
      </c>
    </row>
    <row r="850" spans="1:2" x14ac:dyDescent="0.25">
      <c r="A850" s="75">
        <v>13101602</v>
      </c>
      <c r="B850" s="76" t="s">
        <v>17520</v>
      </c>
    </row>
    <row r="851" spans="1:2" x14ac:dyDescent="0.25">
      <c r="A851" s="75">
        <v>13101603</v>
      </c>
      <c r="B851" s="76" t="s">
        <v>6008</v>
      </c>
    </row>
    <row r="852" spans="1:2" x14ac:dyDescent="0.25">
      <c r="A852" s="75">
        <v>13101604</v>
      </c>
      <c r="B852" s="76" t="s">
        <v>16721</v>
      </c>
    </row>
    <row r="853" spans="1:2" x14ac:dyDescent="0.25">
      <c r="A853" s="75">
        <v>13101605</v>
      </c>
      <c r="B853" s="76" t="s">
        <v>19948</v>
      </c>
    </row>
    <row r="854" spans="1:2" x14ac:dyDescent="0.25">
      <c r="A854" s="75">
        <v>13101606</v>
      </c>
      <c r="B854" s="76" t="s">
        <v>9925</v>
      </c>
    </row>
    <row r="855" spans="1:2" x14ac:dyDescent="0.25">
      <c r="A855" s="75">
        <v>13101607</v>
      </c>
      <c r="B855" s="76" t="s">
        <v>18647</v>
      </c>
    </row>
    <row r="856" spans="1:2" x14ac:dyDescent="0.25">
      <c r="A856" s="75">
        <v>13101701</v>
      </c>
      <c r="B856" s="76" t="s">
        <v>3551</v>
      </c>
    </row>
    <row r="857" spans="1:2" x14ac:dyDescent="0.25">
      <c r="A857" s="75">
        <v>13101702</v>
      </c>
      <c r="B857" s="76" t="s">
        <v>14499</v>
      </c>
    </row>
    <row r="858" spans="1:2" x14ac:dyDescent="0.25">
      <c r="A858" s="75">
        <v>13101703</v>
      </c>
      <c r="B858" s="76" t="s">
        <v>12616</v>
      </c>
    </row>
    <row r="859" spans="1:2" x14ac:dyDescent="0.25">
      <c r="A859" s="75">
        <v>13101704</v>
      </c>
      <c r="B859" s="76" t="s">
        <v>10491</v>
      </c>
    </row>
    <row r="860" spans="1:2" x14ac:dyDescent="0.25">
      <c r="A860" s="75">
        <v>13101705</v>
      </c>
      <c r="B860" s="76" t="s">
        <v>7803</v>
      </c>
    </row>
    <row r="861" spans="1:2" x14ac:dyDescent="0.25">
      <c r="A861" s="75">
        <v>13101706</v>
      </c>
      <c r="B861" s="76" t="s">
        <v>4804</v>
      </c>
    </row>
    <row r="862" spans="1:2" x14ac:dyDescent="0.25">
      <c r="A862" s="75">
        <v>13101707</v>
      </c>
      <c r="B862" s="76" t="s">
        <v>7371</v>
      </c>
    </row>
    <row r="863" spans="1:2" x14ac:dyDescent="0.25">
      <c r="A863" s="75">
        <v>13101708</v>
      </c>
      <c r="B863" s="76" t="s">
        <v>4299</v>
      </c>
    </row>
    <row r="864" spans="1:2" x14ac:dyDescent="0.25">
      <c r="A864" s="75">
        <v>13101709</v>
      </c>
      <c r="B864" s="76" t="s">
        <v>14812</v>
      </c>
    </row>
    <row r="865" spans="1:2" x14ac:dyDescent="0.25">
      <c r="A865" s="75">
        <v>13101710</v>
      </c>
      <c r="B865" s="76" t="s">
        <v>1576</v>
      </c>
    </row>
    <row r="866" spans="1:2" x14ac:dyDescent="0.25">
      <c r="A866" s="75">
        <v>13101711</v>
      </c>
      <c r="B866" s="76" t="s">
        <v>4431</v>
      </c>
    </row>
    <row r="867" spans="1:2" x14ac:dyDescent="0.25">
      <c r="A867" s="75">
        <v>13101712</v>
      </c>
      <c r="B867" s="76" t="s">
        <v>15648</v>
      </c>
    </row>
    <row r="868" spans="1:2" x14ac:dyDescent="0.25">
      <c r="A868" s="75">
        <v>13101713</v>
      </c>
      <c r="B868" s="76" t="s">
        <v>1222</v>
      </c>
    </row>
    <row r="869" spans="1:2" x14ac:dyDescent="0.25">
      <c r="A869" s="75">
        <v>13101714</v>
      </c>
      <c r="B869" s="76" t="s">
        <v>17944</v>
      </c>
    </row>
    <row r="870" spans="1:2" x14ac:dyDescent="0.25">
      <c r="A870" s="75">
        <v>13101715</v>
      </c>
      <c r="B870" s="76" t="s">
        <v>16733</v>
      </c>
    </row>
    <row r="871" spans="1:2" x14ac:dyDescent="0.25">
      <c r="A871" s="75">
        <v>13101716</v>
      </c>
      <c r="B871" s="76" t="s">
        <v>13579</v>
      </c>
    </row>
    <row r="872" spans="1:2" x14ac:dyDescent="0.25">
      <c r="A872" s="75">
        <v>13101717</v>
      </c>
      <c r="B872" s="76" t="s">
        <v>4125</v>
      </c>
    </row>
    <row r="873" spans="1:2" x14ac:dyDescent="0.25">
      <c r="A873" s="75">
        <v>13101718</v>
      </c>
      <c r="B873" s="76" t="s">
        <v>13501</v>
      </c>
    </row>
    <row r="874" spans="1:2" x14ac:dyDescent="0.25">
      <c r="A874" s="75">
        <v>13101719</v>
      </c>
      <c r="B874" s="76" t="s">
        <v>11879</v>
      </c>
    </row>
    <row r="875" spans="1:2" x14ac:dyDescent="0.25">
      <c r="A875" s="75">
        <v>13101720</v>
      </c>
      <c r="B875" s="76" t="s">
        <v>10884</v>
      </c>
    </row>
    <row r="876" spans="1:2" x14ac:dyDescent="0.25">
      <c r="A876" s="75">
        <v>13101721</v>
      </c>
      <c r="B876" s="76" t="s">
        <v>941</v>
      </c>
    </row>
    <row r="877" spans="1:2" x14ac:dyDescent="0.25">
      <c r="A877" s="75">
        <v>13101722</v>
      </c>
      <c r="B877" s="76" t="s">
        <v>4574</v>
      </c>
    </row>
    <row r="878" spans="1:2" x14ac:dyDescent="0.25">
      <c r="A878" s="75">
        <v>13101723</v>
      </c>
      <c r="B878" s="76" t="s">
        <v>7421</v>
      </c>
    </row>
    <row r="879" spans="1:2" x14ac:dyDescent="0.25">
      <c r="A879" s="75">
        <v>13101724</v>
      </c>
      <c r="B879" s="76" t="s">
        <v>12919</v>
      </c>
    </row>
    <row r="880" spans="1:2" x14ac:dyDescent="0.25">
      <c r="A880" s="75">
        <v>13101902</v>
      </c>
      <c r="B880" s="76" t="s">
        <v>1259</v>
      </c>
    </row>
    <row r="881" spans="1:2" x14ac:dyDescent="0.25">
      <c r="A881" s="75">
        <v>13101903</v>
      </c>
      <c r="B881" s="76" t="s">
        <v>18116</v>
      </c>
    </row>
    <row r="882" spans="1:2" x14ac:dyDescent="0.25">
      <c r="A882" s="75">
        <v>13101904</v>
      </c>
      <c r="B882" s="76" t="s">
        <v>9264</v>
      </c>
    </row>
    <row r="883" spans="1:2" x14ac:dyDescent="0.25">
      <c r="A883" s="75">
        <v>13101905</v>
      </c>
      <c r="B883" s="76" t="s">
        <v>4190</v>
      </c>
    </row>
    <row r="884" spans="1:2" x14ac:dyDescent="0.25">
      <c r="A884" s="75">
        <v>13101906</v>
      </c>
      <c r="B884" s="76" t="s">
        <v>18260</v>
      </c>
    </row>
    <row r="885" spans="1:2" x14ac:dyDescent="0.25">
      <c r="A885" s="75">
        <v>13102001</v>
      </c>
      <c r="B885" s="76" t="s">
        <v>9870</v>
      </c>
    </row>
    <row r="886" spans="1:2" x14ac:dyDescent="0.25">
      <c r="A886" s="75">
        <v>13102002</v>
      </c>
      <c r="B886" s="76" t="s">
        <v>4695</v>
      </c>
    </row>
    <row r="887" spans="1:2" x14ac:dyDescent="0.25">
      <c r="A887" s="75">
        <v>13102003</v>
      </c>
      <c r="B887" s="76" t="s">
        <v>6471</v>
      </c>
    </row>
    <row r="888" spans="1:2" x14ac:dyDescent="0.25">
      <c r="A888" s="75">
        <v>13102005</v>
      </c>
      <c r="B888" s="76" t="s">
        <v>7983</v>
      </c>
    </row>
    <row r="889" spans="1:2" x14ac:dyDescent="0.25">
      <c r="A889" s="75">
        <v>13102006</v>
      </c>
      <c r="B889" s="76" t="s">
        <v>1433</v>
      </c>
    </row>
    <row r="890" spans="1:2" x14ac:dyDescent="0.25">
      <c r="A890" s="75">
        <v>13102008</v>
      </c>
      <c r="B890" s="76" t="s">
        <v>294</v>
      </c>
    </row>
    <row r="891" spans="1:2" x14ac:dyDescent="0.25">
      <c r="A891" s="75">
        <v>13102009</v>
      </c>
      <c r="B891" s="76" t="s">
        <v>18234</v>
      </c>
    </row>
    <row r="892" spans="1:2" x14ac:dyDescent="0.25">
      <c r="A892" s="75">
        <v>13102010</v>
      </c>
      <c r="B892" s="76" t="s">
        <v>15593</v>
      </c>
    </row>
    <row r="893" spans="1:2" x14ac:dyDescent="0.25">
      <c r="A893" s="75">
        <v>13102011</v>
      </c>
      <c r="B893" s="76" t="s">
        <v>14534</v>
      </c>
    </row>
    <row r="894" spans="1:2" x14ac:dyDescent="0.25">
      <c r="A894" s="75">
        <v>13102012</v>
      </c>
      <c r="B894" s="76" t="s">
        <v>8468</v>
      </c>
    </row>
    <row r="895" spans="1:2" x14ac:dyDescent="0.25">
      <c r="A895" s="75">
        <v>13102013</v>
      </c>
      <c r="B895" s="76" t="s">
        <v>15200</v>
      </c>
    </row>
    <row r="896" spans="1:2" x14ac:dyDescent="0.25">
      <c r="A896" s="75">
        <v>13102014</v>
      </c>
      <c r="B896" s="76" t="s">
        <v>19495</v>
      </c>
    </row>
    <row r="897" spans="1:2" x14ac:dyDescent="0.25">
      <c r="A897" s="75">
        <v>13102015</v>
      </c>
      <c r="B897" s="76" t="s">
        <v>8031</v>
      </c>
    </row>
    <row r="898" spans="1:2" x14ac:dyDescent="0.25">
      <c r="A898" s="75">
        <v>13102016</v>
      </c>
      <c r="B898" s="76" t="s">
        <v>2886</v>
      </c>
    </row>
    <row r="899" spans="1:2" x14ac:dyDescent="0.25">
      <c r="A899" s="75">
        <v>13102017</v>
      </c>
      <c r="B899" s="76" t="s">
        <v>8487</v>
      </c>
    </row>
    <row r="900" spans="1:2" x14ac:dyDescent="0.25">
      <c r="A900" s="75">
        <v>13102018</v>
      </c>
      <c r="B900" s="76" t="s">
        <v>12431</v>
      </c>
    </row>
    <row r="901" spans="1:2" x14ac:dyDescent="0.25">
      <c r="A901" s="75">
        <v>13102019</v>
      </c>
      <c r="B901" s="76" t="s">
        <v>4722</v>
      </c>
    </row>
    <row r="902" spans="1:2" x14ac:dyDescent="0.25">
      <c r="A902" s="75">
        <v>13102020</v>
      </c>
      <c r="B902" s="76" t="s">
        <v>19932</v>
      </c>
    </row>
    <row r="903" spans="1:2" x14ac:dyDescent="0.25">
      <c r="A903" s="75">
        <v>13102021</v>
      </c>
      <c r="B903" s="76" t="s">
        <v>1931</v>
      </c>
    </row>
    <row r="904" spans="1:2" x14ac:dyDescent="0.25">
      <c r="A904" s="75">
        <v>13102022</v>
      </c>
      <c r="B904" s="76" t="s">
        <v>3897</v>
      </c>
    </row>
    <row r="905" spans="1:2" x14ac:dyDescent="0.25">
      <c r="A905" s="75">
        <v>13102023</v>
      </c>
      <c r="B905" s="76" t="s">
        <v>1753</v>
      </c>
    </row>
    <row r="906" spans="1:2" x14ac:dyDescent="0.25">
      <c r="A906" s="75">
        <v>13102024</v>
      </c>
      <c r="B906" s="76" t="s">
        <v>6948</v>
      </c>
    </row>
    <row r="907" spans="1:2" x14ac:dyDescent="0.25">
      <c r="A907" s="75">
        <v>13102025</v>
      </c>
      <c r="B907" s="76" t="s">
        <v>17437</v>
      </c>
    </row>
    <row r="908" spans="1:2" x14ac:dyDescent="0.25">
      <c r="A908" s="75">
        <v>13102026</v>
      </c>
      <c r="B908" s="76" t="s">
        <v>2152</v>
      </c>
    </row>
    <row r="909" spans="1:2" x14ac:dyDescent="0.25">
      <c r="A909" s="75">
        <v>13102027</v>
      </c>
      <c r="B909" s="76" t="s">
        <v>6673</v>
      </c>
    </row>
    <row r="910" spans="1:2" x14ac:dyDescent="0.25">
      <c r="A910" s="75">
        <v>13102028</v>
      </c>
      <c r="B910" s="76" t="s">
        <v>19649</v>
      </c>
    </row>
    <row r="911" spans="1:2" x14ac:dyDescent="0.25">
      <c r="A911" s="75">
        <v>13102029</v>
      </c>
      <c r="B911" s="76" t="s">
        <v>13444</v>
      </c>
    </row>
    <row r="912" spans="1:2" x14ac:dyDescent="0.25">
      <c r="A912" s="75">
        <v>13102030</v>
      </c>
      <c r="B912" s="76" t="s">
        <v>9970</v>
      </c>
    </row>
    <row r="913" spans="1:2" x14ac:dyDescent="0.25">
      <c r="A913" s="75">
        <v>13102031</v>
      </c>
      <c r="B913" s="76" t="s">
        <v>3579</v>
      </c>
    </row>
    <row r="914" spans="1:2" x14ac:dyDescent="0.25">
      <c r="A914" s="75">
        <v>13111001</v>
      </c>
      <c r="B914" s="76" t="s">
        <v>8551</v>
      </c>
    </row>
    <row r="915" spans="1:2" x14ac:dyDescent="0.25">
      <c r="A915" s="75">
        <v>13111002</v>
      </c>
      <c r="B915" s="76" t="s">
        <v>417</v>
      </c>
    </row>
    <row r="916" spans="1:2" x14ac:dyDescent="0.25">
      <c r="A916" s="75">
        <v>13111003</v>
      </c>
      <c r="B916" s="76" t="s">
        <v>7480</v>
      </c>
    </row>
    <row r="917" spans="1:2" x14ac:dyDescent="0.25">
      <c r="A917" s="75">
        <v>13111004</v>
      </c>
      <c r="B917" s="76" t="s">
        <v>4267</v>
      </c>
    </row>
    <row r="918" spans="1:2" x14ac:dyDescent="0.25">
      <c r="A918" s="75">
        <v>13111005</v>
      </c>
      <c r="B918" s="76" t="s">
        <v>12044</v>
      </c>
    </row>
    <row r="919" spans="1:2" x14ac:dyDescent="0.25">
      <c r="A919" s="75">
        <v>13111006</v>
      </c>
      <c r="B919" s="76" t="s">
        <v>19441</v>
      </c>
    </row>
    <row r="920" spans="1:2" x14ac:dyDescent="0.25">
      <c r="A920" s="75">
        <v>13111007</v>
      </c>
      <c r="B920" s="76" t="s">
        <v>2815</v>
      </c>
    </row>
    <row r="921" spans="1:2" x14ac:dyDescent="0.25">
      <c r="A921" s="75">
        <v>13111008</v>
      </c>
      <c r="B921" s="76" t="s">
        <v>3699</v>
      </c>
    </row>
    <row r="922" spans="1:2" x14ac:dyDescent="0.25">
      <c r="A922" s="75">
        <v>13111009</v>
      </c>
      <c r="B922" s="76" t="s">
        <v>8222</v>
      </c>
    </row>
    <row r="923" spans="1:2" x14ac:dyDescent="0.25">
      <c r="A923" s="75">
        <v>13111010</v>
      </c>
      <c r="B923" s="76" t="s">
        <v>5906</v>
      </c>
    </row>
    <row r="924" spans="1:2" x14ac:dyDescent="0.25">
      <c r="A924" s="75">
        <v>13111011</v>
      </c>
      <c r="B924" s="76" t="s">
        <v>7343</v>
      </c>
    </row>
    <row r="925" spans="1:2" x14ac:dyDescent="0.25">
      <c r="A925" s="75">
        <v>13111012</v>
      </c>
      <c r="B925" s="76" t="s">
        <v>1224</v>
      </c>
    </row>
    <row r="926" spans="1:2" x14ac:dyDescent="0.25">
      <c r="A926" s="75">
        <v>13111013</v>
      </c>
      <c r="B926" s="76" t="s">
        <v>3365</v>
      </c>
    </row>
    <row r="927" spans="1:2" x14ac:dyDescent="0.25">
      <c r="A927" s="75">
        <v>13111014</v>
      </c>
      <c r="B927" s="76" t="s">
        <v>3053</v>
      </c>
    </row>
    <row r="928" spans="1:2" x14ac:dyDescent="0.25">
      <c r="A928" s="75">
        <v>13111015</v>
      </c>
      <c r="B928" s="76" t="s">
        <v>1857</v>
      </c>
    </row>
    <row r="929" spans="1:2" x14ac:dyDescent="0.25">
      <c r="A929" s="75">
        <v>13111016</v>
      </c>
      <c r="B929" s="76" t="s">
        <v>19160</v>
      </c>
    </row>
    <row r="930" spans="1:2" x14ac:dyDescent="0.25">
      <c r="A930" s="75">
        <v>13111017</v>
      </c>
      <c r="B930" s="76" t="s">
        <v>19461</v>
      </c>
    </row>
    <row r="931" spans="1:2" x14ac:dyDescent="0.25">
      <c r="A931" s="75">
        <v>13111018</v>
      </c>
      <c r="B931" s="76" t="s">
        <v>15426</v>
      </c>
    </row>
    <row r="932" spans="1:2" x14ac:dyDescent="0.25">
      <c r="A932" s="75">
        <v>13111019</v>
      </c>
      <c r="B932" s="76" t="s">
        <v>19368</v>
      </c>
    </row>
    <row r="933" spans="1:2" x14ac:dyDescent="0.25">
      <c r="A933" s="75">
        <v>13111020</v>
      </c>
      <c r="B933" s="76" t="s">
        <v>7099</v>
      </c>
    </row>
    <row r="934" spans="1:2" x14ac:dyDescent="0.25">
      <c r="A934" s="75">
        <v>13111021</v>
      </c>
      <c r="B934" s="76" t="s">
        <v>9546</v>
      </c>
    </row>
    <row r="935" spans="1:2" x14ac:dyDescent="0.25">
      <c r="A935" s="75">
        <v>13111022</v>
      </c>
      <c r="B935" s="76" t="s">
        <v>2255</v>
      </c>
    </row>
    <row r="936" spans="1:2" x14ac:dyDescent="0.25">
      <c r="A936" s="75">
        <v>13111023</v>
      </c>
      <c r="B936" s="76" t="s">
        <v>62</v>
      </c>
    </row>
    <row r="937" spans="1:2" x14ac:dyDescent="0.25">
      <c r="A937" s="75">
        <v>13111024</v>
      </c>
      <c r="B937" s="76" t="s">
        <v>6682</v>
      </c>
    </row>
    <row r="938" spans="1:2" x14ac:dyDescent="0.25">
      <c r="A938" s="75">
        <v>13111025</v>
      </c>
      <c r="B938" s="76" t="s">
        <v>18300</v>
      </c>
    </row>
    <row r="939" spans="1:2" x14ac:dyDescent="0.25">
      <c r="A939" s="75">
        <v>13111026</v>
      </c>
      <c r="B939" s="76" t="s">
        <v>7913</v>
      </c>
    </row>
    <row r="940" spans="1:2" x14ac:dyDescent="0.25">
      <c r="A940" s="75">
        <v>13111027</v>
      </c>
      <c r="B940" s="76" t="s">
        <v>9547</v>
      </c>
    </row>
    <row r="941" spans="1:2" x14ac:dyDescent="0.25">
      <c r="A941" s="75">
        <v>13111028</v>
      </c>
      <c r="B941" s="76" t="s">
        <v>4028</v>
      </c>
    </row>
    <row r="942" spans="1:2" x14ac:dyDescent="0.25">
      <c r="A942" s="75">
        <v>13111029</v>
      </c>
      <c r="B942" s="76" t="s">
        <v>1090</v>
      </c>
    </row>
    <row r="943" spans="1:2" x14ac:dyDescent="0.25">
      <c r="A943" s="75">
        <v>13111030</v>
      </c>
      <c r="B943" s="76" t="s">
        <v>18594</v>
      </c>
    </row>
    <row r="944" spans="1:2" x14ac:dyDescent="0.25">
      <c r="A944" s="75">
        <v>13111031</v>
      </c>
      <c r="B944" s="76" t="s">
        <v>12609</v>
      </c>
    </row>
    <row r="945" spans="1:2" x14ac:dyDescent="0.25">
      <c r="A945" s="75">
        <v>13111032</v>
      </c>
      <c r="B945" s="76" t="s">
        <v>15836</v>
      </c>
    </row>
    <row r="946" spans="1:2" x14ac:dyDescent="0.25">
      <c r="A946" s="75">
        <v>13111033</v>
      </c>
      <c r="B946" s="76" t="s">
        <v>8746</v>
      </c>
    </row>
    <row r="947" spans="1:2" x14ac:dyDescent="0.25">
      <c r="A947" s="75">
        <v>13111034</v>
      </c>
      <c r="B947" s="76" t="s">
        <v>85</v>
      </c>
    </row>
    <row r="948" spans="1:2" x14ac:dyDescent="0.25">
      <c r="A948" s="75">
        <v>13111035</v>
      </c>
      <c r="B948" s="76" t="s">
        <v>1762</v>
      </c>
    </row>
    <row r="949" spans="1:2" x14ac:dyDescent="0.25">
      <c r="A949" s="75">
        <v>13111036</v>
      </c>
      <c r="B949" s="76" t="s">
        <v>19321</v>
      </c>
    </row>
    <row r="950" spans="1:2" x14ac:dyDescent="0.25">
      <c r="A950" s="75">
        <v>13111037</v>
      </c>
      <c r="B950" s="76" t="s">
        <v>3136</v>
      </c>
    </row>
    <row r="951" spans="1:2" x14ac:dyDescent="0.25">
      <c r="A951" s="75">
        <v>13111038</v>
      </c>
      <c r="B951" s="76" t="s">
        <v>19228</v>
      </c>
    </row>
    <row r="952" spans="1:2" x14ac:dyDescent="0.25">
      <c r="A952" s="75">
        <v>13111039</v>
      </c>
      <c r="B952" s="76" t="s">
        <v>5401</v>
      </c>
    </row>
    <row r="953" spans="1:2" x14ac:dyDescent="0.25">
      <c r="A953" s="75">
        <v>13111040</v>
      </c>
      <c r="B953" s="76" t="s">
        <v>12551</v>
      </c>
    </row>
    <row r="954" spans="1:2" x14ac:dyDescent="0.25">
      <c r="A954" s="75">
        <v>13111041</v>
      </c>
      <c r="B954" s="76" t="s">
        <v>17148</v>
      </c>
    </row>
    <row r="955" spans="1:2" x14ac:dyDescent="0.25">
      <c r="A955" s="75">
        <v>13111042</v>
      </c>
      <c r="B955" s="76" t="s">
        <v>11594</v>
      </c>
    </row>
    <row r="956" spans="1:2" x14ac:dyDescent="0.25">
      <c r="A956" s="75">
        <v>13111043</v>
      </c>
      <c r="B956" s="76" t="s">
        <v>5664</v>
      </c>
    </row>
    <row r="957" spans="1:2" x14ac:dyDescent="0.25">
      <c r="A957" s="75">
        <v>13111044</v>
      </c>
      <c r="B957" s="76" t="s">
        <v>7388</v>
      </c>
    </row>
    <row r="958" spans="1:2" x14ac:dyDescent="0.25">
      <c r="A958" s="75">
        <v>13111045</v>
      </c>
      <c r="B958" s="76" t="s">
        <v>4557</v>
      </c>
    </row>
    <row r="959" spans="1:2" x14ac:dyDescent="0.25">
      <c r="A959" s="75">
        <v>13111046</v>
      </c>
      <c r="B959" s="76" t="s">
        <v>12037</v>
      </c>
    </row>
    <row r="960" spans="1:2" x14ac:dyDescent="0.25">
      <c r="A960" s="75">
        <v>13111047</v>
      </c>
      <c r="B960" s="76" t="s">
        <v>10648</v>
      </c>
    </row>
    <row r="961" spans="1:2" x14ac:dyDescent="0.25">
      <c r="A961" s="75">
        <v>13111048</v>
      </c>
      <c r="B961" s="76" t="s">
        <v>6866</v>
      </c>
    </row>
    <row r="962" spans="1:2" x14ac:dyDescent="0.25">
      <c r="A962" s="75">
        <v>13111049</v>
      </c>
      <c r="B962" s="76" t="s">
        <v>11330</v>
      </c>
    </row>
    <row r="963" spans="1:2" x14ac:dyDescent="0.25">
      <c r="A963" s="75">
        <v>13111050</v>
      </c>
      <c r="B963" s="76" t="s">
        <v>9957</v>
      </c>
    </row>
    <row r="964" spans="1:2" x14ac:dyDescent="0.25">
      <c r="A964" s="75">
        <v>13111051</v>
      </c>
      <c r="B964" s="76" t="s">
        <v>14056</v>
      </c>
    </row>
    <row r="965" spans="1:2" x14ac:dyDescent="0.25">
      <c r="A965" s="75">
        <v>13111052</v>
      </c>
      <c r="B965" s="76" t="s">
        <v>17297</v>
      </c>
    </row>
    <row r="966" spans="1:2" x14ac:dyDescent="0.25">
      <c r="A966" s="75">
        <v>13111053</v>
      </c>
      <c r="B966" s="76" t="s">
        <v>11457</v>
      </c>
    </row>
    <row r="967" spans="1:2" x14ac:dyDescent="0.25">
      <c r="A967" s="75">
        <v>13111054</v>
      </c>
      <c r="B967" s="76" t="s">
        <v>10806</v>
      </c>
    </row>
    <row r="968" spans="1:2" x14ac:dyDescent="0.25">
      <c r="A968" s="75">
        <v>13111055</v>
      </c>
      <c r="B968" s="76" t="s">
        <v>3270</v>
      </c>
    </row>
    <row r="969" spans="1:2" x14ac:dyDescent="0.25">
      <c r="A969" s="75">
        <v>13111056</v>
      </c>
      <c r="B969" s="76" t="s">
        <v>18845</v>
      </c>
    </row>
    <row r="970" spans="1:2" x14ac:dyDescent="0.25">
      <c r="A970" s="75">
        <v>13111057</v>
      </c>
      <c r="B970" s="76" t="s">
        <v>2931</v>
      </c>
    </row>
    <row r="971" spans="1:2" x14ac:dyDescent="0.25">
      <c r="A971" s="75">
        <v>13111058</v>
      </c>
      <c r="B971" s="76" t="s">
        <v>4914</v>
      </c>
    </row>
    <row r="972" spans="1:2" x14ac:dyDescent="0.25">
      <c r="A972" s="75">
        <v>13111059</v>
      </c>
      <c r="B972" s="76" t="s">
        <v>6465</v>
      </c>
    </row>
    <row r="973" spans="1:2" x14ac:dyDescent="0.25">
      <c r="A973" s="75">
        <v>13111060</v>
      </c>
      <c r="B973" s="76" t="s">
        <v>11126</v>
      </c>
    </row>
    <row r="974" spans="1:2" x14ac:dyDescent="0.25">
      <c r="A974" s="75">
        <v>13111061</v>
      </c>
      <c r="B974" s="76" t="s">
        <v>19725</v>
      </c>
    </row>
    <row r="975" spans="1:2" x14ac:dyDescent="0.25">
      <c r="A975" s="75">
        <v>13111062</v>
      </c>
      <c r="B975" s="76" t="s">
        <v>4146</v>
      </c>
    </row>
    <row r="976" spans="1:2" x14ac:dyDescent="0.25">
      <c r="A976" s="75">
        <v>13111063</v>
      </c>
      <c r="B976" s="76" t="s">
        <v>19070</v>
      </c>
    </row>
    <row r="977" spans="1:2" x14ac:dyDescent="0.25">
      <c r="A977" s="75">
        <v>13111064</v>
      </c>
      <c r="B977" s="76" t="s">
        <v>8684</v>
      </c>
    </row>
    <row r="978" spans="1:2" x14ac:dyDescent="0.25">
      <c r="A978" s="75">
        <v>13111065</v>
      </c>
      <c r="B978" s="76" t="s">
        <v>8545</v>
      </c>
    </row>
    <row r="979" spans="1:2" x14ac:dyDescent="0.25">
      <c r="A979" s="75">
        <v>13111066</v>
      </c>
      <c r="B979" s="76" t="s">
        <v>5278</v>
      </c>
    </row>
    <row r="980" spans="1:2" x14ac:dyDescent="0.25">
      <c r="A980" s="75">
        <v>13111101</v>
      </c>
      <c r="B980" s="76" t="s">
        <v>4787</v>
      </c>
    </row>
    <row r="981" spans="1:2" x14ac:dyDescent="0.25">
      <c r="A981" s="75">
        <v>13111102</v>
      </c>
      <c r="B981" s="76" t="s">
        <v>7228</v>
      </c>
    </row>
    <row r="982" spans="1:2" x14ac:dyDescent="0.25">
      <c r="A982" s="75">
        <v>13111103</v>
      </c>
      <c r="B982" s="76" t="s">
        <v>5132</v>
      </c>
    </row>
    <row r="983" spans="1:2" x14ac:dyDescent="0.25">
      <c r="A983" s="75">
        <v>13111201</v>
      </c>
      <c r="B983" s="76" t="s">
        <v>19217</v>
      </c>
    </row>
    <row r="984" spans="1:2" x14ac:dyDescent="0.25">
      <c r="A984" s="75">
        <v>13111202</v>
      </c>
      <c r="B984" s="76" t="s">
        <v>17181</v>
      </c>
    </row>
    <row r="985" spans="1:2" x14ac:dyDescent="0.25">
      <c r="A985" s="75">
        <v>13111203</v>
      </c>
      <c r="B985" s="76" t="s">
        <v>7899</v>
      </c>
    </row>
    <row r="986" spans="1:2" x14ac:dyDescent="0.25">
      <c r="A986" s="75">
        <v>13111204</v>
      </c>
      <c r="B986" s="76" t="s">
        <v>13834</v>
      </c>
    </row>
    <row r="987" spans="1:2" x14ac:dyDescent="0.25">
      <c r="A987" s="75">
        <v>13111205</v>
      </c>
      <c r="B987" s="76" t="s">
        <v>1262</v>
      </c>
    </row>
    <row r="988" spans="1:2" x14ac:dyDescent="0.25">
      <c r="A988" s="75">
        <v>13111206</v>
      </c>
      <c r="B988" s="76" t="s">
        <v>2960</v>
      </c>
    </row>
    <row r="989" spans="1:2" x14ac:dyDescent="0.25">
      <c r="A989" s="75">
        <v>13111207</v>
      </c>
      <c r="B989" s="76" t="s">
        <v>153</v>
      </c>
    </row>
    <row r="990" spans="1:2" x14ac:dyDescent="0.25">
      <c r="A990" s="75">
        <v>13111208</v>
      </c>
      <c r="B990" s="76" t="s">
        <v>19703</v>
      </c>
    </row>
    <row r="991" spans="1:2" x14ac:dyDescent="0.25">
      <c r="A991" s="75">
        <v>13111209</v>
      </c>
      <c r="B991" s="76" t="s">
        <v>4091</v>
      </c>
    </row>
    <row r="992" spans="1:2" x14ac:dyDescent="0.25">
      <c r="A992" s="75">
        <v>13111210</v>
      </c>
      <c r="B992" s="76" t="s">
        <v>14447</v>
      </c>
    </row>
    <row r="993" spans="1:2" x14ac:dyDescent="0.25">
      <c r="A993" s="75">
        <v>13111211</v>
      </c>
      <c r="B993" s="76" t="s">
        <v>616</v>
      </c>
    </row>
    <row r="994" spans="1:2" x14ac:dyDescent="0.25">
      <c r="A994" s="75">
        <v>13111212</v>
      </c>
      <c r="B994" s="76" t="s">
        <v>8921</v>
      </c>
    </row>
    <row r="995" spans="1:2" x14ac:dyDescent="0.25">
      <c r="A995" s="75">
        <v>13111213</v>
      </c>
      <c r="B995" s="76" t="s">
        <v>415</v>
      </c>
    </row>
    <row r="996" spans="1:2" x14ac:dyDescent="0.25">
      <c r="A996" s="75">
        <v>13111214</v>
      </c>
      <c r="B996" s="76" t="s">
        <v>19873</v>
      </c>
    </row>
    <row r="997" spans="1:2" x14ac:dyDescent="0.25">
      <c r="A997" s="75">
        <v>13111215</v>
      </c>
      <c r="B997" s="76" t="s">
        <v>9708</v>
      </c>
    </row>
    <row r="998" spans="1:2" x14ac:dyDescent="0.25">
      <c r="A998" s="75">
        <v>13111216</v>
      </c>
      <c r="B998" s="76" t="s">
        <v>10042</v>
      </c>
    </row>
    <row r="999" spans="1:2" x14ac:dyDescent="0.25">
      <c r="A999" s="75">
        <v>13111217</v>
      </c>
      <c r="B999" s="76" t="s">
        <v>1541</v>
      </c>
    </row>
    <row r="1000" spans="1:2" x14ac:dyDescent="0.25">
      <c r="A1000" s="75">
        <v>13111218</v>
      </c>
      <c r="B1000" s="76" t="s">
        <v>18296</v>
      </c>
    </row>
    <row r="1001" spans="1:2" x14ac:dyDescent="0.25">
      <c r="A1001" s="75">
        <v>13111219</v>
      </c>
      <c r="B1001" s="76" t="s">
        <v>17054</v>
      </c>
    </row>
    <row r="1002" spans="1:2" x14ac:dyDescent="0.25">
      <c r="A1002" s="75">
        <v>13111220</v>
      </c>
      <c r="B1002" s="76" t="s">
        <v>12438</v>
      </c>
    </row>
    <row r="1003" spans="1:2" x14ac:dyDescent="0.25">
      <c r="A1003" s="75">
        <v>13111301</v>
      </c>
      <c r="B1003" s="76" t="s">
        <v>1155</v>
      </c>
    </row>
    <row r="1004" spans="1:2" x14ac:dyDescent="0.25">
      <c r="A1004" s="75">
        <v>13111302</v>
      </c>
      <c r="B1004" s="76" t="s">
        <v>11465</v>
      </c>
    </row>
    <row r="1005" spans="1:2" x14ac:dyDescent="0.25">
      <c r="A1005" s="75">
        <v>13111303</v>
      </c>
      <c r="B1005" s="76" t="s">
        <v>17789</v>
      </c>
    </row>
    <row r="1006" spans="1:2" x14ac:dyDescent="0.25">
      <c r="A1006" s="75">
        <v>13111304</v>
      </c>
      <c r="B1006" s="76" t="s">
        <v>5938</v>
      </c>
    </row>
    <row r="1007" spans="1:2" x14ac:dyDescent="0.25">
      <c r="A1007" s="75">
        <v>13111305</v>
      </c>
      <c r="B1007" s="76" t="s">
        <v>6105</v>
      </c>
    </row>
    <row r="1008" spans="1:2" x14ac:dyDescent="0.25">
      <c r="A1008" s="75">
        <v>13111306</v>
      </c>
      <c r="B1008" s="76" t="s">
        <v>10163</v>
      </c>
    </row>
    <row r="1009" spans="1:2" x14ac:dyDescent="0.25">
      <c r="A1009" s="75">
        <v>13111307</v>
      </c>
      <c r="B1009" s="76" t="s">
        <v>13210</v>
      </c>
    </row>
    <row r="1010" spans="1:2" x14ac:dyDescent="0.25">
      <c r="A1010" s="75">
        <v>13111308</v>
      </c>
      <c r="B1010" s="76" t="s">
        <v>7668</v>
      </c>
    </row>
    <row r="1011" spans="1:2" x14ac:dyDescent="0.25">
      <c r="A1011" s="75">
        <v>14101501</v>
      </c>
      <c r="B1011" s="76" t="s">
        <v>1066</v>
      </c>
    </row>
    <row r="1012" spans="1:2" x14ac:dyDescent="0.25">
      <c r="A1012" s="75">
        <v>14111501</v>
      </c>
      <c r="B1012" s="76" t="s">
        <v>12893</v>
      </c>
    </row>
    <row r="1013" spans="1:2" x14ac:dyDescent="0.25">
      <c r="A1013" s="75">
        <v>14111502</v>
      </c>
      <c r="B1013" s="76" t="s">
        <v>12449</v>
      </c>
    </row>
    <row r="1014" spans="1:2" x14ac:dyDescent="0.25">
      <c r="A1014" s="75">
        <v>14111503</v>
      </c>
      <c r="B1014" s="76" t="s">
        <v>2635</v>
      </c>
    </row>
    <row r="1015" spans="1:2" x14ac:dyDescent="0.25">
      <c r="A1015" s="75">
        <v>14111504</v>
      </c>
      <c r="B1015" s="76" t="s">
        <v>11916</v>
      </c>
    </row>
    <row r="1016" spans="1:2" x14ac:dyDescent="0.25">
      <c r="A1016" s="75">
        <v>14111505</v>
      </c>
      <c r="B1016" s="76" t="s">
        <v>5437</v>
      </c>
    </row>
    <row r="1017" spans="1:2" x14ac:dyDescent="0.25">
      <c r="A1017" s="75">
        <v>14111506</v>
      </c>
      <c r="B1017" s="76" t="s">
        <v>8924</v>
      </c>
    </row>
    <row r="1018" spans="1:2" x14ac:dyDescent="0.25">
      <c r="A1018" s="75">
        <v>14111507</v>
      </c>
      <c r="B1018" s="76" t="s">
        <v>576</v>
      </c>
    </row>
    <row r="1019" spans="1:2" x14ac:dyDescent="0.25">
      <c r="A1019" s="75">
        <v>14111508</v>
      </c>
      <c r="B1019" s="76" t="s">
        <v>18926</v>
      </c>
    </row>
    <row r="1020" spans="1:2" x14ac:dyDescent="0.25">
      <c r="A1020" s="75">
        <v>14111509</v>
      </c>
      <c r="B1020" s="76" t="s">
        <v>5273</v>
      </c>
    </row>
    <row r="1021" spans="1:2" x14ac:dyDescent="0.25">
      <c r="A1021" s="75">
        <v>14111510</v>
      </c>
      <c r="B1021" s="76" t="s">
        <v>16819</v>
      </c>
    </row>
    <row r="1022" spans="1:2" x14ac:dyDescent="0.25">
      <c r="A1022" s="75">
        <v>14111511</v>
      </c>
      <c r="B1022" s="76" t="s">
        <v>17810</v>
      </c>
    </row>
    <row r="1023" spans="1:2" x14ac:dyDescent="0.25">
      <c r="A1023" s="75">
        <v>14111512</v>
      </c>
      <c r="B1023" s="76" t="s">
        <v>3046</v>
      </c>
    </row>
    <row r="1024" spans="1:2" x14ac:dyDescent="0.25">
      <c r="A1024" s="75">
        <v>14111513</v>
      </c>
      <c r="B1024" s="76" t="s">
        <v>13893</v>
      </c>
    </row>
    <row r="1025" spans="1:2" x14ac:dyDescent="0.25">
      <c r="A1025" s="75">
        <v>14111514</v>
      </c>
      <c r="B1025" s="76" t="s">
        <v>11640</v>
      </c>
    </row>
    <row r="1026" spans="1:2" x14ac:dyDescent="0.25">
      <c r="A1026" s="75">
        <v>14111515</v>
      </c>
      <c r="B1026" s="76" t="s">
        <v>18152</v>
      </c>
    </row>
    <row r="1027" spans="1:2" x14ac:dyDescent="0.25">
      <c r="A1027" s="75">
        <v>14111516</v>
      </c>
      <c r="B1027" s="76" t="s">
        <v>12541</v>
      </c>
    </row>
    <row r="1028" spans="1:2" x14ac:dyDescent="0.25">
      <c r="A1028" s="75">
        <v>14111518</v>
      </c>
      <c r="B1028" s="76" t="s">
        <v>19805</v>
      </c>
    </row>
    <row r="1029" spans="1:2" x14ac:dyDescent="0.25">
      <c r="A1029" s="75">
        <v>14111519</v>
      </c>
      <c r="B1029" s="76" t="s">
        <v>1610</v>
      </c>
    </row>
    <row r="1030" spans="1:2" x14ac:dyDescent="0.25">
      <c r="A1030" s="75">
        <v>14111520</v>
      </c>
      <c r="B1030" s="76" t="s">
        <v>4266</v>
      </c>
    </row>
    <row r="1031" spans="1:2" x14ac:dyDescent="0.25">
      <c r="A1031" s="75">
        <v>14111523</v>
      </c>
      <c r="B1031" s="76" t="s">
        <v>1768</v>
      </c>
    </row>
    <row r="1032" spans="1:2" x14ac:dyDescent="0.25">
      <c r="A1032" s="75">
        <v>14111524</v>
      </c>
      <c r="B1032" s="76" t="s">
        <v>14119</v>
      </c>
    </row>
    <row r="1033" spans="1:2" x14ac:dyDescent="0.25">
      <c r="A1033" s="75">
        <v>14111525</v>
      </c>
      <c r="B1033" s="76" t="s">
        <v>723</v>
      </c>
    </row>
    <row r="1034" spans="1:2" x14ac:dyDescent="0.25">
      <c r="A1034" s="75">
        <v>14111526</v>
      </c>
      <c r="B1034" s="76" t="s">
        <v>5356</v>
      </c>
    </row>
    <row r="1035" spans="1:2" x14ac:dyDescent="0.25">
      <c r="A1035" s="75">
        <v>14111527</v>
      </c>
      <c r="B1035" s="76" t="s">
        <v>5888</v>
      </c>
    </row>
    <row r="1036" spans="1:2" x14ac:dyDescent="0.25">
      <c r="A1036" s="75">
        <v>14111528</v>
      </c>
      <c r="B1036" s="76" t="s">
        <v>12999</v>
      </c>
    </row>
    <row r="1037" spans="1:2" x14ac:dyDescent="0.25">
      <c r="A1037" s="75">
        <v>14111529</v>
      </c>
      <c r="B1037" s="76" t="s">
        <v>3571</v>
      </c>
    </row>
    <row r="1038" spans="1:2" x14ac:dyDescent="0.25">
      <c r="A1038" s="75">
        <v>14111530</v>
      </c>
      <c r="B1038" s="76" t="s">
        <v>2230</v>
      </c>
    </row>
    <row r="1039" spans="1:2" x14ac:dyDescent="0.25">
      <c r="A1039" s="75">
        <v>14111531</v>
      </c>
      <c r="B1039" s="76" t="s">
        <v>6488</v>
      </c>
    </row>
    <row r="1040" spans="1:2" x14ac:dyDescent="0.25">
      <c r="A1040" s="75">
        <v>14111532</v>
      </c>
      <c r="B1040" s="76" t="s">
        <v>2075</v>
      </c>
    </row>
    <row r="1041" spans="1:2" x14ac:dyDescent="0.25">
      <c r="A1041" s="75">
        <v>14111533</v>
      </c>
      <c r="B1041" s="76" t="s">
        <v>14551</v>
      </c>
    </row>
    <row r="1042" spans="1:2" x14ac:dyDescent="0.25">
      <c r="A1042" s="75">
        <v>14111534</v>
      </c>
      <c r="B1042" s="76" t="s">
        <v>10829</v>
      </c>
    </row>
    <row r="1043" spans="1:2" x14ac:dyDescent="0.25">
      <c r="A1043" s="75">
        <v>14111535</v>
      </c>
      <c r="B1043" s="76" t="s">
        <v>3025</v>
      </c>
    </row>
    <row r="1044" spans="1:2" x14ac:dyDescent="0.25">
      <c r="A1044" s="75">
        <v>14111536</v>
      </c>
      <c r="B1044" s="76" t="s">
        <v>6307</v>
      </c>
    </row>
    <row r="1045" spans="1:2" x14ac:dyDescent="0.25">
      <c r="A1045" s="75">
        <v>14111537</v>
      </c>
      <c r="B1045" s="76" t="s">
        <v>16015</v>
      </c>
    </row>
    <row r="1046" spans="1:2" x14ac:dyDescent="0.25">
      <c r="A1046" s="75">
        <v>14111601</v>
      </c>
      <c r="B1046" s="76" t="s">
        <v>7731</v>
      </c>
    </row>
    <row r="1047" spans="1:2" x14ac:dyDescent="0.25">
      <c r="A1047" s="75">
        <v>14111604</v>
      </c>
      <c r="B1047" s="76" t="s">
        <v>1230</v>
      </c>
    </row>
    <row r="1048" spans="1:2" x14ac:dyDescent="0.25">
      <c r="A1048" s="75">
        <v>14111605</v>
      </c>
      <c r="B1048" s="76" t="s">
        <v>15767</v>
      </c>
    </row>
    <row r="1049" spans="1:2" x14ac:dyDescent="0.25">
      <c r="A1049" s="75">
        <v>14111606</v>
      </c>
      <c r="B1049" s="76" t="s">
        <v>12030</v>
      </c>
    </row>
    <row r="1050" spans="1:2" x14ac:dyDescent="0.25">
      <c r="A1050" s="75">
        <v>14111607</v>
      </c>
      <c r="B1050" s="76" t="s">
        <v>19933</v>
      </c>
    </row>
    <row r="1051" spans="1:2" x14ac:dyDescent="0.25">
      <c r="A1051" s="75">
        <v>14111608</v>
      </c>
      <c r="B1051" s="76" t="s">
        <v>514</v>
      </c>
    </row>
    <row r="1052" spans="1:2" x14ac:dyDescent="0.25">
      <c r="A1052" s="75">
        <v>14111609</v>
      </c>
      <c r="B1052" s="76" t="s">
        <v>5767</v>
      </c>
    </row>
    <row r="1053" spans="1:2" x14ac:dyDescent="0.25">
      <c r="A1053" s="75">
        <v>14111610</v>
      </c>
      <c r="B1053" s="76" t="s">
        <v>4981</v>
      </c>
    </row>
    <row r="1054" spans="1:2" x14ac:dyDescent="0.25">
      <c r="A1054" s="75">
        <v>14111611</v>
      </c>
      <c r="B1054" s="76" t="s">
        <v>8793</v>
      </c>
    </row>
    <row r="1055" spans="1:2" x14ac:dyDescent="0.25">
      <c r="A1055" s="75">
        <v>14111613</v>
      </c>
      <c r="B1055" s="76" t="s">
        <v>17044</v>
      </c>
    </row>
    <row r="1056" spans="1:2" x14ac:dyDescent="0.25">
      <c r="A1056" s="75">
        <v>14111614</v>
      </c>
      <c r="B1056" s="76" t="s">
        <v>2199</v>
      </c>
    </row>
    <row r="1057" spans="1:2" x14ac:dyDescent="0.25">
      <c r="A1057" s="75">
        <v>14111615</v>
      </c>
      <c r="B1057" s="76" t="s">
        <v>13864</v>
      </c>
    </row>
    <row r="1058" spans="1:2" x14ac:dyDescent="0.25">
      <c r="A1058" s="75">
        <v>14111616</v>
      </c>
      <c r="B1058" s="76" t="s">
        <v>7420</v>
      </c>
    </row>
    <row r="1059" spans="1:2" x14ac:dyDescent="0.25">
      <c r="A1059" s="75">
        <v>14111701</v>
      </c>
      <c r="B1059" s="76" t="s">
        <v>12346</v>
      </c>
    </row>
    <row r="1060" spans="1:2" x14ac:dyDescent="0.25">
      <c r="A1060" s="75">
        <v>14111702</v>
      </c>
      <c r="B1060" s="76" t="s">
        <v>12123</v>
      </c>
    </row>
    <row r="1061" spans="1:2" x14ac:dyDescent="0.25">
      <c r="A1061" s="75">
        <v>14111703</v>
      </c>
      <c r="B1061" s="76" t="s">
        <v>2145</v>
      </c>
    </row>
    <row r="1062" spans="1:2" x14ac:dyDescent="0.25">
      <c r="A1062" s="75">
        <v>14111704</v>
      </c>
      <c r="B1062" s="76" t="s">
        <v>2038</v>
      </c>
    </row>
    <row r="1063" spans="1:2" x14ac:dyDescent="0.25">
      <c r="A1063" s="75">
        <v>14111705</v>
      </c>
      <c r="B1063" s="76" t="s">
        <v>16716</v>
      </c>
    </row>
    <row r="1064" spans="1:2" x14ac:dyDescent="0.25">
      <c r="A1064" s="75">
        <v>14111706</v>
      </c>
      <c r="B1064" s="76" t="s">
        <v>3459</v>
      </c>
    </row>
    <row r="1065" spans="1:2" x14ac:dyDescent="0.25">
      <c r="A1065" s="75">
        <v>14111801</v>
      </c>
      <c r="B1065" s="76" t="s">
        <v>9663</v>
      </c>
    </row>
    <row r="1066" spans="1:2" x14ac:dyDescent="0.25">
      <c r="A1066" s="75">
        <v>14111802</v>
      </c>
      <c r="B1066" s="76" t="s">
        <v>469</v>
      </c>
    </row>
    <row r="1067" spans="1:2" x14ac:dyDescent="0.25">
      <c r="A1067" s="75">
        <v>14111803</v>
      </c>
      <c r="B1067" s="76" t="s">
        <v>1658</v>
      </c>
    </row>
    <row r="1068" spans="1:2" x14ac:dyDescent="0.25">
      <c r="A1068" s="75">
        <v>14111804</v>
      </c>
      <c r="B1068" s="76" t="s">
        <v>1365</v>
      </c>
    </row>
    <row r="1069" spans="1:2" x14ac:dyDescent="0.25">
      <c r="A1069" s="75">
        <v>14111805</v>
      </c>
      <c r="B1069" s="76" t="s">
        <v>6231</v>
      </c>
    </row>
    <row r="1070" spans="1:2" x14ac:dyDescent="0.25">
      <c r="A1070" s="75">
        <v>14111806</v>
      </c>
      <c r="B1070" s="76" t="s">
        <v>4365</v>
      </c>
    </row>
    <row r="1071" spans="1:2" x14ac:dyDescent="0.25">
      <c r="A1071" s="75">
        <v>14111807</v>
      </c>
      <c r="B1071" s="76" t="s">
        <v>19163</v>
      </c>
    </row>
    <row r="1072" spans="1:2" x14ac:dyDescent="0.25">
      <c r="A1072" s="75">
        <v>14111808</v>
      </c>
      <c r="B1072" s="76" t="s">
        <v>10436</v>
      </c>
    </row>
    <row r="1073" spans="1:2" x14ac:dyDescent="0.25">
      <c r="A1073" s="75">
        <v>14111809</v>
      </c>
      <c r="B1073" s="76" t="s">
        <v>8337</v>
      </c>
    </row>
    <row r="1074" spans="1:2" x14ac:dyDescent="0.25">
      <c r="A1074" s="75">
        <v>14111810</v>
      </c>
      <c r="B1074" s="76" t="s">
        <v>15096</v>
      </c>
    </row>
    <row r="1075" spans="1:2" x14ac:dyDescent="0.25">
      <c r="A1075" s="75">
        <v>14111811</v>
      </c>
      <c r="B1075" s="76" t="s">
        <v>5799</v>
      </c>
    </row>
    <row r="1076" spans="1:2" x14ac:dyDescent="0.25">
      <c r="A1076" s="75">
        <v>14111812</v>
      </c>
      <c r="B1076" s="76" t="s">
        <v>5657</v>
      </c>
    </row>
    <row r="1077" spans="1:2" x14ac:dyDescent="0.25">
      <c r="A1077" s="75">
        <v>14111813</v>
      </c>
      <c r="B1077" s="76" t="s">
        <v>8657</v>
      </c>
    </row>
    <row r="1078" spans="1:2" x14ac:dyDescent="0.25">
      <c r="A1078" s="75">
        <v>14111814</v>
      </c>
      <c r="B1078" s="76" t="s">
        <v>13857</v>
      </c>
    </row>
    <row r="1079" spans="1:2" x14ac:dyDescent="0.25">
      <c r="A1079" s="75">
        <v>14111815</v>
      </c>
      <c r="B1079" s="76" t="s">
        <v>14531</v>
      </c>
    </row>
    <row r="1080" spans="1:2" x14ac:dyDescent="0.25">
      <c r="A1080" s="75">
        <v>14111816</v>
      </c>
      <c r="B1080" s="76" t="s">
        <v>7584</v>
      </c>
    </row>
    <row r="1081" spans="1:2" x14ac:dyDescent="0.25">
      <c r="A1081" s="75">
        <v>14111817</v>
      </c>
      <c r="B1081" s="76" t="s">
        <v>3661</v>
      </c>
    </row>
    <row r="1082" spans="1:2" x14ac:dyDescent="0.25">
      <c r="A1082" s="75">
        <v>14121501</v>
      </c>
      <c r="B1082" s="76" t="s">
        <v>2954</v>
      </c>
    </row>
    <row r="1083" spans="1:2" x14ac:dyDescent="0.25">
      <c r="A1083" s="75">
        <v>14121502</v>
      </c>
      <c r="B1083" s="76" t="s">
        <v>12482</v>
      </c>
    </row>
    <row r="1084" spans="1:2" x14ac:dyDescent="0.25">
      <c r="A1084" s="75">
        <v>14121503</v>
      </c>
      <c r="B1084" s="76" t="s">
        <v>5485</v>
      </c>
    </row>
    <row r="1085" spans="1:2" x14ac:dyDescent="0.25">
      <c r="A1085" s="75">
        <v>14121504</v>
      </c>
      <c r="B1085" s="76" t="s">
        <v>9094</v>
      </c>
    </row>
    <row r="1086" spans="1:2" x14ac:dyDescent="0.25">
      <c r="A1086" s="75">
        <v>14121505</v>
      </c>
      <c r="B1086" s="76" t="s">
        <v>572</v>
      </c>
    </row>
    <row r="1087" spans="1:2" x14ac:dyDescent="0.25">
      <c r="A1087" s="75">
        <v>14121601</v>
      </c>
      <c r="B1087" s="76" t="s">
        <v>9198</v>
      </c>
    </row>
    <row r="1088" spans="1:2" x14ac:dyDescent="0.25">
      <c r="A1088" s="75">
        <v>14121602</v>
      </c>
      <c r="B1088" s="76" t="s">
        <v>16016</v>
      </c>
    </row>
    <row r="1089" spans="1:2" x14ac:dyDescent="0.25">
      <c r="A1089" s="75">
        <v>14121603</v>
      </c>
      <c r="B1089" s="76" t="s">
        <v>4138</v>
      </c>
    </row>
    <row r="1090" spans="1:2" x14ac:dyDescent="0.25">
      <c r="A1090" s="75">
        <v>14121604</v>
      </c>
      <c r="B1090" s="76" t="s">
        <v>11589</v>
      </c>
    </row>
    <row r="1091" spans="1:2" x14ac:dyDescent="0.25">
      <c r="A1091" s="75">
        <v>14121605</v>
      </c>
      <c r="B1091" s="76" t="s">
        <v>19106</v>
      </c>
    </row>
    <row r="1092" spans="1:2" x14ac:dyDescent="0.25">
      <c r="A1092" s="75">
        <v>14121701</v>
      </c>
      <c r="B1092" s="76" t="s">
        <v>2842</v>
      </c>
    </row>
    <row r="1093" spans="1:2" x14ac:dyDescent="0.25">
      <c r="A1093" s="75">
        <v>14121702</v>
      </c>
      <c r="B1093" s="76" t="s">
        <v>9000</v>
      </c>
    </row>
    <row r="1094" spans="1:2" x14ac:dyDescent="0.25">
      <c r="A1094" s="75">
        <v>14121801</v>
      </c>
      <c r="B1094" s="76" t="s">
        <v>11323</v>
      </c>
    </row>
    <row r="1095" spans="1:2" x14ac:dyDescent="0.25">
      <c r="A1095" s="75">
        <v>14121802</v>
      </c>
      <c r="B1095" s="76" t="s">
        <v>9581</v>
      </c>
    </row>
    <row r="1096" spans="1:2" x14ac:dyDescent="0.25">
      <c r="A1096" s="75">
        <v>14121803</v>
      </c>
      <c r="B1096" s="76" t="s">
        <v>10770</v>
      </c>
    </row>
    <row r="1097" spans="1:2" x14ac:dyDescent="0.25">
      <c r="A1097" s="75">
        <v>14121804</v>
      </c>
      <c r="B1097" s="76" t="s">
        <v>15063</v>
      </c>
    </row>
    <row r="1098" spans="1:2" x14ac:dyDescent="0.25">
      <c r="A1098" s="75">
        <v>14121805</v>
      </c>
      <c r="B1098" s="76" t="s">
        <v>7926</v>
      </c>
    </row>
    <row r="1099" spans="1:2" x14ac:dyDescent="0.25">
      <c r="A1099" s="75">
        <v>14121806</v>
      </c>
      <c r="B1099" s="76" t="s">
        <v>7563</v>
      </c>
    </row>
    <row r="1100" spans="1:2" x14ac:dyDescent="0.25">
      <c r="A1100" s="75">
        <v>14121807</v>
      </c>
      <c r="B1100" s="76" t="s">
        <v>6958</v>
      </c>
    </row>
    <row r="1101" spans="1:2" x14ac:dyDescent="0.25">
      <c r="A1101" s="75">
        <v>14121808</v>
      </c>
      <c r="B1101" s="76" t="s">
        <v>9070</v>
      </c>
    </row>
    <row r="1102" spans="1:2" x14ac:dyDescent="0.25">
      <c r="A1102" s="75">
        <v>14121809</v>
      </c>
      <c r="B1102" s="76" t="s">
        <v>16625</v>
      </c>
    </row>
    <row r="1103" spans="1:2" x14ac:dyDescent="0.25">
      <c r="A1103" s="75">
        <v>14121810</v>
      </c>
      <c r="B1103" s="76" t="s">
        <v>7344</v>
      </c>
    </row>
    <row r="1104" spans="1:2" x14ac:dyDescent="0.25">
      <c r="A1104" s="75">
        <v>14121811</v>
      </c>
      <c r="B1104" s="76" t="s">
        <v>9608</v>
      </c>
    </row>
    <row r="1105" spans="1:2" x14ac:dyDescent="0.25">
      <c r="A1105" s="75">
        <v>14121812</v>
      </c>
      <c r="B1105" s="76" t="s">
        <v>416</v>
      </c>
    </row>
    <row r="1106" spans="1:2" x14ac:dyDescent="0.25">
      <c r="A1106" s="75">
        <v>14121901</v>
      </c>
      <c r="B1106" s="76" t="s">
        <v>15360</v>
      </c>
    </row>
    <row r="1107" spans="1:2" x14ac:dyDescent="0.25">
      <c r="A1107" s="75">
        <v>14121902</v>
      </c>
      <c r="B1107" s="76" t="s">
        <v>81</v>
      </c>
    </row>
    <row r="1108" spans="1:2" x14ac:dyDescent="0.25">
      <c r="A1108" s="75">
        <v>14121903</v>
      </c>
      <c r="B1108" s="76" t="s">
        <v>271</v>
      </c>
    </row>
    <row r="1109" spans="1:2" x14ac:dyDescent="0.25">
      <c r="A1109" s="75">
        <v>14121904</v>
      </c>
      <c r="B1109" s="76" t="s">
        <v>19109</v>
      </c>
    </row>
    <row r="1110" spans="1:2" x14ac:dyDescent="0.25">
      <c r="A1110" s="75">
        <v>14121905</v>
      </c>
      <c r="B1110" s="76" t="s">
        <v>3694</v>
      </c>
    </row>
    <row r="1111" spans="1:2" x14ac:dyDescent="0.25">
      <c r="A1111" s="75">
        <v>14122101</v>
      </c>
      <c r="B1111" s="76" t="s">
        <v>14946</v>
      </c>
    </row>
    <row r="1112" spans="1:2" x14ac:dyDescent="0.25">
      <c r="A1112" s="75">
        <v>14122102</v>
      </c>
      <c r="B1112" s="76" t="s">
        <v>15064</v>
      </c>
    </row>
    <row r="1113" spans="1:2" x14ac:dyDescent="0.25">
      <c r="A1113" s="75">
        <v>14122103</v>
      </c>
      <c r="B1113" s="76" t="s">
        <v>18245</v>
      </c>
    </row>
    <row r="1114" spans="1:2" x14ac:dyDescent="0.25">
      <c r="A1114" s="75">
        <v>14122104</v>
      </c>
      <c r="B1114" s="76" t="s">
        <v>4348</v>
      </c>
    </row>
    <row r="1115" spans="1:2" x14ac:dyDescent="0.25">
      <c r="A1115" s="75">
        <v>14122105</v>
      </c>
      <c r="B1115" s="76" t="s">
        <v>2563</v>
      </c>
    </row>
    <row r="1116" spans="1:2" x14ac:dyDescent="0.25">
      <c r="A1116" s="75">
        <v>14122106</v>
      </c>
      <c r="B1116" s="76" t="s">
        <v>4184</v>
      </c>
    </row>
    <row r="1117" spans="1:2" x14ac:dyDescent="0.25">
      <c r="A1117" s="75">
        <v>14122201</v>
      </c>
      <c r="B1117" s="76" t="s">
        <v>7647</v>
      </c>
    </row>
    <row r="1118" spans="1:2" x14ac:dyDescent="0.25">
      <c r="A1118" s="75">
        <v>15101502</v>
      </c>
      <c r="B1118" s="76" t="s">
        <v>2851</v>
      </c>
    </row>
    <row r="1119" spans="1:2" x14ac:dyDescent="0.25">
      <c r="A1119" s="75">
        <v>15101503</v>
      </c>
      <c r="B1119" s="76" t="s">
        <v>6181</v>
      </c>
    </row>
    <row r="1120" spans="1:2" x14ac:dyDescent="0.25">
      <c r="A1120" s="75">
        <v>15101504</v>
      </c>
      <c r="B1120" s="76" t="s">
        <v>16063</v>
      </c>
    </row>
    <row r="1121" spans="1:2" x14ac:dyDescent="0.25">
      <c r="A1121" s="75">
        <v>15101505</v>
      </c>
      <c r="B1121" s="76" t="s">
        <v>13340</v>
      </c>
    </row>
    <row r="1122" spans="1:2" x14ac:dyDescent="0.25">
      <c r="A1122" s="75">
        <v>15101506</v>
      </c>
      <c r="B1122" s="76" t="s">
        <v>9770</v>
      </c>
    </row>
    <row r="1123" spans="1:2" x14ac:dyDescent="0.25">
      <c r="A1123" s="75">
        <v>15101507</v>
      </c>
      <c r="B1123" s="76" t="s">
        <v>17291</v>
      </c>
    </row>
    <row r="1124" spans="1:2" x14ac:dyDescent="0.25">
      <c r="A1124" s="75">
        <v>15101508</v>
      </c>
      <c r="B1124" s="76" t="s">
        <v>195</v>
      </c>
    </row>
    <row r="1125" spans="1:2" x14ac:dyDescent="0.25">
      <c r="A1125" s="75">
        <v>15101509</v>
      </c>
      <c r="B1125" s="76" t="s">
        <v>6533</v>
      </c>
    </row>
    <row r="1126" spans="1:2" x14ac:dyDescent="0.25">
      <c r="A1126" s="75">
        <v>15101510</v>
      </c>
      <c r="B1126" s="76" t="s">
        <v>17458</v>
      </c>
    </row>
    <row r="1127" spans="1:2" x14ac:dyDescent="0.25">
      <c r="A1127" s="75">
        <v>15101601</v>
      </c>
      <c r="B1127" s="76" t="s">
        <v>9665</v>
      </c>
    </row>
    <row r="1128" spans="1:2" x14ac:dyDescent="0.25">
      <c r="A1128" s="75">
        <v>15101602</v>
      </c>
      <c r="B1128" s="76" t="s">
        <v>17227</v>
      </c>
    </row>
    <row r="1129" spans="1:2" x14ac:dyDescent="0.25">
      <c r="A1129" s="75">
        <v>15101603</v>
      </c>
      <c r="B1129" s="76" t="s">
        <v>13028</v>
      </c>
    </row>
    <row r="1130" spans="1:2" x14ac:dyDescent="0.25">
      <c r="A1130" s="75">
        <v>15101604</v>
      </c>
      <c r="B1130" s="76" t="s">
        <v>2045</v>
      </c>
    </row>
    <row r="1131" spans="1:2" x14ac:dyDescent="0.25">
      <c r="A1131" s="75">
        <v>15101605</v>
      </c>
      <c r="B1131" s="76" t="s">
        <v>11972</v>
      </c>
    </row>
    <row r="1132" spans="1:2" x14ac:dyDescent="0.25">
      <c r="A1132" s="75">
        <v>15101606</v>
      </c>
      <c r="B1132" s="76" t="s">
        <v>16439</v>
      </c>
    </row>
    <row r="1133" spans="1:2" x14ac:dyDescent="0.25">
      <c r="A1133" s="75">
        <v>15101607</v>
      </c>
      <c r="B1133" s="76" t="s">
        <v>13929</v>
      </c>
    </row>
    <row r="1134" spans="1:2" x14ac:dyDescent="0.25">
      <c r="A1134" s="75">
        <v>15101608</v>
      </c>
      <c r="B1134" s="76" t="s">
        <v>8954</v>
      </c>
    </row>
    <row r="1135" spans="1:2" x14ac:dyDescent="0.25">
      <c r="A1135" s="75">
        <v>15101701</v>
      </c>
      <c r="B1135" s="76" t="s">
        <v>3803</v>
      </c>
    </row>
    <row r="1136" spans="1:2" x14ac:dyDescent="0.25">
      <c r="A1136" s="75">
        <v>15101702</v>
      </c>
      <c r="B1136" s="76" t="s">
        <v>15530</v>
      </c>
    </row>
    <row r="1137" spans="1:2" x14ac:dyDescent="0.25">
      <c r="A1137" s="75">
        <v>15111501</v>
      </c>
      <c r="B1137" s="76" t="s">
        <v>7139</v>
      </c>
    </row>
    <row r="1138" spans="1:2" x14ac:dyDescent="0.25">
      <c r="A1138" s="75">
        <v>15111502</v>
      </c>
      <c r="B1138" s="76" t="s">
        <v>5301</v>
      </c>
    </row>
    <row r="1139" spans="1:2" x14ac:dyDescent="0.25">
      <c r="A1139" s="75">
        <v>15111503</v>
      </c>
      <c r="B1139" s="76" t="s">
        <v>10113</v>
      </c>
    </row>
    <row r="1140" spans="1:2" x14ac:dyDescent="0.25">
      <c r="A1140" s="75">
        <v>15111504</v>
      </c>
      <c r="B1140" s="76" t="s">
        <v>3307</v>
      </c>
    </row>
    <row r="1141" spans="1:2" x14ac:dyDescent="0.25">
      <c r="A1141" s="75">
        <v>15111505</v>
      </c>
      <c r="B1141" s="76" t="s">
        <v>3902</v>
      </c>
    </row>
    <row r="1142" spans="1:2" x14ac:dyDescent="0.25">
      <c r="A1142" s="75">
        <v>15111506</v>
      </c>
      <c r="B1142" s="76" t="s">
        <v>13209</v>
      </c>
    </row>
    <row r="1143" spans="1:2" x14ac:dyDescent="0.25">
      <c r="A1143" s="75">
        <v>15111507</v>
      </c>
      <c r="B1143" s="76" t="s">
        <v>8373</v>
      </c>
    </row>
    <row r="1144" spans="1:2" x14ac:dyDescent="0.25">
      <c r="A1144" s="75">
        <v>15111508</v>
      </c>
      <c r="B1144" s="76" t="s">
        <v>7897</v>
      </c>
    </row>
    <row r="1145" spans="1:2" x14ac:dyDescent="0.25">
      <c r="A1145" s="75">
        <v>15111509</v>
      </c>
      <c r="B1145" s="76" t="s">
        <v>5769</v>
      </c>
    </row>
    <row r="1146" spans="1:2" x14ac:dyDescent="0.25">
      <c r="A1146" s="75">
        <v>15111510</v>
      </c>
      <c r="B1146" s="76" t="s">
        <v>12253</v>
      </c>
    </row>
    <row r="1147" spans="1:2" x14ac:dyDescent="0.25">
      <c r="A1147" s="75">
        <v>15111701</v>
      </c>
      <c r="B1147" s="76" t="s">
        <v>13208</v>
      </c>
    </row>
    <row r="1148" spans="1:2" x14ac:dyDescent="0.25">
      <c r="A1148" s="75">
        <v>15111702</v>
      </c>
      <c r="B1148" s="76" t="s">
        <v>3116</v>
      </c>
    </row>
    <row r="1149" spans="1:2" x14ac:dyDescent="0.25">
      <c r="A1149" s="75">
        <v>15121501</v>
      </c>
      <c r="B1149" s="76" t="s">
        <v>5862</v>
      </c>
    </row>
    <row r="1150" spans="1:2" x14ac:dyDescent="0.25">
      <c r="A1150" s="75">
        <v>15121502</v>
      </c>
      <c r="B1150" s="76" t="s">
        <v>14415</v>
      </c>
    </row>
    <row r="1151" spans="1:2" x14ac:dyDescent="0.25">
      <c r="A1151" s="75">
        <v>15121503</v>
      </c>
      <c r="B1151" s="76" t="s">
        <v>19127</v>
      </c>
    </row>
    <row r="1152" spans="1:2" x14ac:dyDescent="0.25">
      <c r="A1152" s="75">
        <v>15121504</v>
      </c>
      <c r="B1152" s="76" t="s">
        <v>8249</v>
      </c>
    </row>
    <row r="1153" spans="1:2" x14ac:dyDescent="0.25">
      <c r="A1153" s="75">
        <v>15121505</v>
      </c>
      <c r="B1153" s="76" t="s">
        <v>13941</v>
      </c>
    </row>
    <row r="1154" spans="1:2" x14ac:dyDescent="0.25">
      <c r="A1154" s="75">
        <v>15121508</v>
      </c>
      <c r="B1154" s="76" t="s">
        <v>10317</v>
      </c>
    </row>
    <row r="1155" spans="1:2" x14ac:dyDescent="0.25">
      <c r="A1155" s="75">
        <v>15121509</v>
      </c>
      <c r="B1155" s="76" t="s">
        <v>6799</v>
      </c>
    </row>
    <row r="1156" spans="1:2" x14ac:dyDescent="0.25">
      <c r="A1156" s="75">
        <v>15121510</v>
      </c>
      <c r="B1156" s="76" t="s">
        <v>4495</v>
      </c>
    </row>
    <row r="1157" spans="1:2" x14ac:dyDescent="0.25">
      <c r="A1157" s="75">
        <v>15121511</v>
      </c>
      <c r="B1157" s="76" t="s">
        <v>1162</v>
      </c>
    </row>
    <row r="1158" spans="1:2" x14ac:dyDescent="0.25">
      <c r="A1158" s="75">
        <v>15121512</v>
      </c>
      <c r="B1158" s="76" t="s">
        <v>17683</v>
      </c>
    </row>
    <row r="1159" spans="1:2" x14ac:dyDescent="0.25">
      <c r="A1159" s="75">
        <v>15121513</v>
      </c>
      <c r="B1159" s="76" t="s">
        <v>2843</v>
      </c>
    </row>
    <row r="1160" spans="1:2" x14ac:dyDescent="0.25">
      <c r="A1160" s="75">
        <v>15121514</v>
      </c>
      <c r="B1160" s="76" t="s">
        <v>19595</v>
      </c>
    </row>
    <row r="1161" spans="1:2" x14ac:dyDescent="0.25">
      <c r="A1161" s="75">
        <v>15121515</v>
      </c>
      <c r="B1161" s="76" t="s">
        <v>5463</v>
      </c>
    </row>
    <row r="1162" spans="1:2" x14ac:dyDescent="0.25">
      <c r="A1162" s="75">
        <v>15121516</v>
      </c>
      <c r="B1162" s="76" t="s">
        <v>12554</v>
      </c>
    </row>
    <row r="1163" spans="1:2" x14ac:dyDescent="0.25">
      <c r="A1163" s="75">
        <v>15121517</v>
      </c>
      <c r="B1163" s="76" t="s">
        <v>18624</v>
      </c>
    </row>
    <row r="1164" spans="1:2" x14ac:dyDescent="0.25">
      <c r="A1164" s="75">
        <v>15121518</v>
      </c>
      <c r="B1164" s="76" t="s">
        <v>1905</v>
      </c>
    </row>
    <row r="1165" spans="1:2" x14ac:dyDescent="0.25">
      <c r="A1165" s="75">
        <v>15121519</v>
      </c>
      <c r="B1165" s="76" t="s">
        <v>3327</v>
      </c>
    </row>
    <row r="1166" spans="1:2" x14ac:dyDescent="0.25">
      <c r="A1166" s="75">
        <v>15121520</v>
      </c>
      <c r="B1166" s="76" t="s">
        <v>17898</v>
      </c>
    </row>
    <row r="1167" spans="1:2" x14ac:dyDescent="0.25">
      <c r="A1167" s="75">
        <v>15121521</v>
      </c>
      <c r="B1167" s="76" t="s">
        <v>15473</v>
      </c>
    </row>
    <row r="1168" spans="1:2" x14ac:dyDescent="0.25">
      <c r="A1168" s="75">
        <v>15121522</v>
      </c>
      <c r="B1168" s="76" t="s">
        <v>5875</v>
      </c>
    </row>
    <row r="1169" spans="1:2" x14ac:dyDescent="0.25">
      <c r="A1169" s="75">
        <v>15121523</v>
      </c>
      <c r="B1169" s="76" t="s">
        <v>996</v>
      </c>
    </row>
    <row r="1170" spans="1:2" x14ac:dyDescent="0.25">
      <c r="A1170" s="75">
        <v>15121524</v>
      </c>
      <c r="B1170" s="76" t="s">
        <v>15567</v>
      </c>
    </row>
    <row r="1171" spans="1:2" x14ac:dyDescent="0.25">
      <c r="A1171" s="75">
        <v>15121525</v>
      </c>
      <c r="B1171" s="76" t="s">
        <v>18449</v>
      </c>
    </row>
    <row r="1172" spans="1:2" x14ac:dyDescent="0.25">
      <c r="A1172" s="75">
        <v>15121526</v>
      </c>
      <c r="B1172" s="76" t="s">
        <v>12686</v>
      </c>
    </row>
    <row r="1173" spans="1:2" x14ac:dyDescent="0.25">
      <c r="A1173" s="75">
        <v>15121527</v>
      </c>
      <c r="B1173" s="76" t="s">
        <v>16893</v>
      </c>
    </row>
    <row r="1174" spans="1:2" x14ac:dyDescent="0.25">
      <c r="A1174" s="75">
        <v>15121801</v>
      </c>
      <c r="B1174" s="76" t="s">
        <v>3320</v>
      </c>
    </row>
    <row r="1175" spans="1:2" x14ac:dyDescent="0.25">
      <c r="A1175" s="75">
        <v>15121802</v>
      </c>
      <c r="B1175" s="76" t="s">
        <v>7869</v>
      </c>
    </row>
    <row r="1176" spans="1:2" x14ac:dyDescent="0.25">
      <c r="A1176" s="75">
        <v>15121803</v>
      </c>
      <c r="B1176" s="76" t="s">
        <v>13123</v>
      </c>
    </row>
    <row r="1177" spans="1:2" x14ac:dyDescent="0.25">
      <c r="A1177" s="75">
        <v>15121804</v>
      </c>
      <c r="B1177" s="76" t="s">
        <v>10008</v>
      </c>
    </row>
    <row r="1178" spans="1:2" x14ac:dyDescent="0.25">
      <c r="A1178" s="75">
        <v>15121805</v>
      </c>
      <c r="B1178" s="76" t="s">
        <v>1320</v>
      </c>
    </row>
    <row r="1179" spans="1:2" x14ac:dyDescent="0.25">
      <c r="A1179" s="75">
        <v>15121806</v>
      </c>
      <c r="B1179" s="76" t="s">
        <v>2828</v>
      </c>
    </row>
    <row r="1180" spans="1:2" x14ac:dyDescent="0.25">
      <c r="A1180" s="75">
        <v>15121901</v>
      </c>
      <c r="B1180" s="76" t="s">
        <v>10383</v>
      </c>
    </row>
    <row r="1181" spans="1:2" x14ac:dyDescent="0.25">
      <c r="A1181" s="75">
        <v>15121902</v>
      </c>
      <c r="B1181" s="76" t="s">
        <v>1035</v>
      </c>
    </row>
    <row r="1182" spans="1:2" x14ac:dyDescent="0.25">
      <c r="A1182" s="75">
        <v>15121903</v>
      </c>
      <c r="B1182" s="76" t="s">
        <v>19678</v>
      </c>
    </row>
    <row r="1183" spans="1:2" x14ac:dyDescent="0.25">
      <c r="A1183" s="75">
        <v>15121904</v>
      </c>
      <c r="B1183" s="76" t="s">
        <v>6298</v>
      </c>
    </row>
    <row r="1184" spans="1:2" x14ac:dyDescent="0.25">
      <c r="A1184" s="75">
        <v>15131502</v>
      </c>
      <c r="B1184" s="76" t="s">
        <v>11180</v>
      </c>
    </row>
    <row r="1185" spans="1:2" x14ac:dyDescent="0.25">
      <c r="A1185" s="75">
        <v>15131503</v>
      </c>
      <c r="B1185" s="76" t="s">
        <v>11862</v>
      </c>
    </row>
    <row r="1186" spans="1:2" x14ac:dyDescent="0.25">
      <c r="A1186" s="75">
        <v>15131504</v>
      </c>
      <c r="B1186" s="76" t="s">
        <v>13048</v>
      </c>
    </row>
    <row r="1187" spans="1:2" x14ac:dyDescent="0.25">
      <c r="A1187" s="75">
        <v>15131505</v>
      </c>
      <c r="B1187" s="76" t="s">
        <v>2273</v>
      </c>
    </row>
    <row r="1188" spans="1:2" x14ac:dyDescent="0.25">
      <c r="A1188" s="75">
        <v>15131506</v>
      </c>
      <c r="B1188" s="76" t="s">
        <v>805</v>
      </c>
    </row>
    <row r="1189" spans="1:2" x14ac:dyDescent="0.25">
      <c r="A1189" s="75">
        <v>15131601</v>
      </c>
      <c r="B1189" s="76" t="s">
        <v>1201</v>
      </c>
    </row>
    <row r="1190" spans="1:2" x14ac:dyDescent="0.25">
      <c r="A1190" s="75">
        <v>20101501</v>
      </c>
      <c r="B1190" s="76" t="s">
        <v>13455</v>
      </c>
    </row>
    <row r="1191" spans="1:2" x14ac:dyDescent="0.25">
      <c r="A1191" s="75">
        <v>20101502</v>
      </c>
      <c r="B1191" s="76" t="s">
        <v>7060</v>
      </c>
    </row>
    <row r="1192" spans="1:2" x14ac:dyDescent="0.25">
      <c r="A1192" s="75">
        <v>20101503</v>
      </c>
      <c r="B1192" s="76" t="s">
        <v>10556</v>
      </c>
    </row>
    <row r="1193" spans="1:2" x14ac:dyDescent="0.25">
      <c r="A1193" s="75">
        <v>20101504</v>
      </c>
      <c r="B1193" s="76" t="s">
        <v>4641</v>
      </c>
    </row>
    <row r="1194" spans="1:2" x14ac:dyDescent="0.25">
      <c r="A1194" s="75">
        <v>20101601</v>
      </c>
      <c r="B1194" s="76" t="s">
        <v>11130</v>
      </c>
    </row>
    <row r="1195" spans="1:2" x14ac:dyDescent="0.25">
      <c r="A1195" s="75">
        <v>20101602</v>
      </c>
      <c r="B1195" s="76" t="s">
        <v>3363</v>
      </c>
    </row>
    <row r="1196" spans="1:2" x14ac:dyDescent="0.25">
      <c r="A1196" s="75">
        <v>20101603</v>
      </c>
      <c r="B1196" s="76" t="s">
        <v>1938</v>
      </c>
    </row>
    <row r="1197" spans="1:2" x14ac:dyDescent="0.25">
      <c r="A1197" s="75">
        <v>20101701</v>
      </c>
      <c r="B1197" s="76" t="s">
        <v>1812</v>
      </c>
    </row>
    <row r="1198" spans="1:2" x14ac:dyDescent="0.25">
      <c r="A1198" s="75">
        <v>20101702</v>
      </c>
      <c r="B1198" s="76" t="s">
        <v>9761</v>
      </c>
    </row>
    <row r="1199" spans="1:2" x14ac:dyDescent="0.25">
      <c r="A1199" s="75">
        <v>20101703</v>
      </c>
      <c r="B1199" s="76" t="s">
        <v>3802</v>
      </c>
    </row>
    <row r="1200" spans="1:2" x14ac:dyDescent="0.25">
      <c r="A1200" s="75">
        <v>20101704</v>
      </c>
      <c r="B1200" s="76" t="s">
        <v>5029</v>
      </c>
    </row>
    <row r="1201" spans="1:2" x14ac:dyDescent="0.25">
      <c r="A1201" s="75">
        <v>20101705</v>
      </c>
      <c r="B1201" s="76" t="s">
        <v>12804</v>
      </c>
    </row>
    <row r="1202" spans="1:2" x14ac:dyDescent="0.25">
      <c r="A1202" s="75">
        <v>20101706</v>
      </c>
      <c r="B1202" s="76" t="s">
        <v>16143</v>
      </c>
    </row>
    <row r="1203" spans="1:2" x14ac:dyDescent="0.25">
      <c r="A1203" s="75">
        <v>20101707</v>
      </c>
      <c r="B1203" s="76" t="s">
        <v>855</v>
      </c>
    </row>
    <row r="1204" spans="1:2" x14ac:dyDescent="0.25">
      <c r="A1204" s="75">
        <v>20101708</v>
      </c>
      <c r="B1204" s="76" t="s">
        <v>19572</v>
      </c>
    </row>
    <row r="1205" spans="1:2" x14ac:dyDescent="0.25">
      <c r="A1205" s="75">
        <v>20101709</v>
      </c>
      <c r="B1205" s="76" t="s">
        <v>6172</v>
      </c>
    </row>
    <row r="1206" spans="1:2" x14ac:dyDescent="0.25">
      <c r="A1206" s="75">
        <v>20101710</v>
      </c>
      <c r="B1206" s="76" t="s">
        <v>18442</v>
      </c>
    </row>
    <row r="1207" spans="1:2" x14ac:dyDescent="0.25">
      <c r="A1207" s="75">
        <v>20101711</v>
      </c>
      <c r="B1207" s="76" t="s">
        <v>17856</v>
      </c>
    </row>
    <row r="1208" spans="1:2" x14ac:dyDescent="0.25">
      <c r="A1208" s="75">
        <v>20101712</v>
      </c>
      <c r="B1208" s="76" t="s">
        <v>19032</v>
      </c>
    </row>
    <row r="1209" spans="1:2" x14ac:dyDescent="0.25">
      <c r="A1209" s="75">
        <v>20101713</v>
      </c>
      <c r="B1209" s="76" t="s">
        <v>11633</v>
      </c>
    </row>
    <row r="1210" spans="1:2" x14ac:dyDescent="0.25">
      <c r="A1210" s="75">
        <v>20101714</v>
      </c>
      <c r="B1210" s="76" t="s">
        <v>17702</v>
      </c>
    </row>
    <row r="1211" spans="1:2" x14ac:dyDescent="0.25">
      <c r="A1211" s="75">
        <v>20101801</v>
      </c>
      <c r="B1211" s="76" t="s">
        <v>6234</v>
      </c>
    </row>
    <row r="1212" spans="1:2" x14ac:dyDescent="0.25">
      <c r="A1212" s="75">
        <v>20101802</v>
      </c>
      <c r="B1212" s="76" t="s">
        <v>19699</v>
      </c>
    </row>
    <row r="1213" spans="1:2" x14ac:dyDescent="0.25">
      <c r="A1213" s="75">
        <v>20101803</v>
      </c>
      <c r="B1213" s="76" t="s">
        <v>15819</v>
      </c>
    </row>
    <row r="1214" spans="1:2" x14ac:dyDescent="0.25">
      <c r="A1214" s="75">
        <v>20101804</v>
      </c>
      <c r="B1214" s="76" t="s">
        <v>77</v>
      </c>
    </row>
    <row r="1215" spans="1:2" x14ac:dyDescent="0.25">
      <c r="A1215" s="75">
        <v>20101805</v>
      </c>
      <c r="B1215" s="76" t="s">
        <v>1923</v>
      </c>
    </row>
    <row r="1216" spans="1:2" x14ac:dyDescent="0.25">
      <c r="A1216" s="75">
        <v>20101901</v>
      </c>
      <c r="B1216" s="76" t="s">
        <v>15658</v>
      </c>
    </row>
    <row r="1217" spans="1:2" x14ac:dyDescent="0.25">
      <c r="A1217" s="75">
        <v>20101902</v>
      </c>
      <c r="B1217" s="76" t="s">
        <v>2525</v>
      </c>
    </row>
    <row r="1218" spans="1:2" x14ac:dyDescent="0.25">
      <c r="A1218" s="75">
        <v>20101903</v>
      </c>
      <c r="B1218" s="76" t="s">
        <v>252</v>
      </c>
    </row>
    <row r="1219" spans="1:2" x14ac:dyDescent="0.25">
      <c r="A1219" s="75">
        <v>20102001</v>
      </c>
      <c r="B1219" s="76" t="s">
        <v>16649</v>
      </c>
    </row>
    <row r="1220" spans="1:2" x14ac:dyDescent="0.25">
      <c r="A1220" s="75">
        <v>20102002</v>
      </c>
      <c r="B1220" s="76" t="s">
        <v>5785</v>
      </c>
    </row>
    <row r="1221" spans="1:2" x14ac:dyDescent="0.25">
      <c r="A1221" s="75">
        <v>20102003</v>
      </c>
      <c r="B1221" s="76" t="s">
        <v>10384</v>
      </c>
    </row>
    <row r="1222" spans="1:2" x14ac:dyDescent="0.25">
      <c r="A1222" s="75">
        <v>20102004</v>
      </c>
      <c r="B1222" s="76" t="s">
        <v>15962</v>
      </c>
    </row>
    <row r="1223" spans="1:2" x14ac:dyDescent="0.25">
      <c r="A1223" s="75">
        <v>20102005</v>
      </c>
      <c r="B1223" s="76" t="s">
        <v>11885</v>
      </c>
    </row>
    <row r="1224" spans="1:2" x14ac:dyDescent="0.25">
      <c r="A1224" s="75">
        <v>20102006</v>
      </c>
      <c r="B1224" s="76" t="s">
        <v>9244</v>
      </c>
    </row>
    <row r="1225" spans="1:2" x14ac:dyDescent="0.25">
      <c r="A1225" s="75">
        <v>20102007</v>
      </c>
      <c r="B1225" s="76" t="s">
        <v>4817</v>
      </c>
    </row>
    <row r="1226" spans="1:2" x14ac:dyDescent="0.25">
      <c r="A1226" s="75">
        <v>20102008</v>
      </c>
      <c r="B1226" s="76" t="s">
        <v>5320</v>
      </c>
    </row>
    <row r="1227" spans="1:2" x14ac:dyDescent="0.25">
      <c r="A1227" s="75">
        <v>20102101</v>
      </c>
      <c r="B1227" s="76" t="s">
        <v>19744</v>
      </c>
    </row>
    <row r="1228" spans="1:2" x14ac:dyDescent="0.25">
      <c r="A1228" s="75">
        <v>20102102</v>
      </c>
      <c r="B1228" s="76" t="s">
        <v>3197</v>
      </c>
    </row>
    <row r="1229" spans="1:2" x14ac:dyDescent="0.25">
      <c r="A1229" s="75">
        <v>20102103</v>
      </c>
      <c r="B1229" s="76" t="s">
        <v>17464</v>
      </c>
    </row>
    <row r="1230" spans="1:2" x14ac:dyDescent="0.25">
      <c r="A1230" s="75">
        <v>20102104</v>
      </c>
      <c r="B1230" s="76" t="s">
        <v>15050</v>
      </c>
    </row>
    <row r="1231" spans="1:2" x14ac:dyDescent="0.25">
      <c r="A1231" s="75">
        <v>20102201</v>
      </c>
      <c r="B1231" s="76" t="s">
        <v>2150</v>
      </c>
    </row>
    <row r="1232" spans="1:2" x14ac:dyDescent="0.25">
      <c r="A1232" s="75">
        <v>20102202</v>
      </c>
      <c r="B1232" s="76" t="s">
        <v>16121</v>
      </c>
    </row>
    <row r="1233" spans="1:2" x14ac:dyDescent="0.25">
      <c r="A1233" s="75">
        <v>20102203</v>
      </c>
      <c r="B1233" s="76" t="s">
        <v>10578</v>
      </c>
    </row>
    <row r="1234" spans="1:2" x14ac:dyDescent="0.25">
      <c r="A1234" s="75">
        <v>20102301</v>
      </c>
      <c r="B1234" s="76" t="s">
        <v>7233</v>
      </c>
    </row>
    <row r="1235" spans="1:2" x14ac:dyDescent="0.25">
      <c r="A1235" s="75">
        <v>20102302</v>
      </c>
      <c r="B1235" s="76" t="s">
        <v>14153</v>
      </c>
    </row>
    <row r="1236" spans="1:2" x14ac:dyDescent="0.25">
      <c r="A1236" s="75">
        <v>20102303</v>
      </c>
      <c r="B1236" s="76" t="s">
        <v>9651</v>
      </c>
    </row>
    <row r="1237" spans="1:2" x14ac:dyDescent="0.25">
      <c r="A1237" s="75">
        <v>20102304</v>
      </c>
      <c r="B1237" s="76" t="s">
        <v>1621</v>
      </c>
    </row>
    <row r="1238" spans="1:2" x14ac:dyDescent="0.25">
      <c r="A1238" s="75">
        <v>20102305</v>
      </c>
      <c r="B1238" s="76" t="s">
        <v>2754</v>
      </c>
    </row>
    <row r="1239" spans="1:2" x14ac:dyDescent="0.25">
      <c r="A1239" s="75">
        <v>20102306</v>
      </c>
      <c r="B1239" s="76" t="s">
        <v>19867</v>
      </c>
    </row>
    <row r="1240" spans="1:2" x14ac:dyDescent="0.25">
      <c r="A1240" s="75">
        <v>20102307</v>
      </c>
      <c r="B1240" s="76" t="s">
        <v>17006</v>
      </c>
    </row>
    <row r="1241" spans="1:2" x14ac:dyDescent="0.25">
      <c r="A1241" s="75">
        <v>20111504</v>
      </c>
      <c r="B1241" s="76" t="s">
        <v>3919</v>
      </c>
    </row>
    <row r="1242" spans="1:2" x14ac:dyDescent="0.25">
      <c r="A1242" s="75">
        <v>20111505</v>
      </c>
      <c r="B1242" s="76" t="s">
        <v>1469</v>
      </c>
    </row>
    <row r="1243" spans="1:2" x14ac:dyDescent="0.25">
      <c r="A1243" s="75">
        <v>20111601</v>
      </c>
      <c r="B1243" s="76" t="s">
        <v>8038</v>
      </c>
    </row>
    <row r="1244" spans="1:2" x14ac:dyDescent="0.25">
      <c r="A1244" s="75">
        <v>20111602</v>
      </c>
      <c r="B1244" s="76" t="s">
        <v>10063</v>
      </c>
    </row>
    <row r="1245" spans="1:2" x14ac:dyDescent="0.25">
      <c r="A1245" s="75">
        <v>20111603</v>
      </c>
      <c r="B1245" s="76" t="s">
        <v>8679</v>
      </c>
    </row>
    <row r="1246" spans="1:2" x14ac:dyDescent="0.25">
      <c r="A1246" s="75">
        <v>20111604</v>
      </c>
      <c r="B1246" s="76" t="s">
        <v>422</v>
      </c>
    </row>
    <row r="1247" spans="1:2" x14ac:dyDescent="0.25">
      <c r="A1247" s="75">
        <v>20111606</v>
      </c>
      <c r="B1247" s="76" t="s">
        <v>4427</v>
      </c>
    </row>
    <row r="1248" spans="1:2" x14ac:dyDescent="0.25">
      <c r="A1248" s="75">
        <v>20111607</v>
      </c>
      <c r="B1248" s="76" t="s">
        <v>17975</v>
      </c>
    </row>
    <row r="1249" spans="1:2" x14ac:dyDescent="0.25">
      <c r="A1249" s="75">
        <v>20111608</v>
      </c>
      <c r="B1249" s="76" t="s">
        <v>12079</v>
      </c>
    </row>
    <row r="1250" spans="1:2" x14ac:dyDescent="0.25">
      <c r="A1250" s="75">
        <v>20111609</v>
      </c>
      <c r="B1250" s="76" t="s">
        <v>9160</v>
      </c>
    </row>
    <row r="1251" spans="1:2" x14ac:dyDescent="0.25">
      <c r="A1251" s="75">
        <v>20111610</v>
      </c>
      <c r="B1251" s="76" t="s">
        <v>303</v>
      </c>
    </row>
    <row r="1252" spans="1:2" x14ac:dyDescent="0.25">
      <c r="A1252" s="75">
        <v>20111611</v>
      </c>
      <c r="B1252" s="76" t="s">
        <v>14443</v>
      </c>
    </row>
    <row r="1253" spans="1:2" x14ac:dyDescent="0.25">
      <c r="A1253" s="75">
        <v>20111612</v>
      </c>
      <c r="B1253" s="76" t="s">
        <v>14770</v>
      </c>
    </row>
    <row r="1254" spans="1:2" x14ac:dyDescent="0.25">
      <c r="A1254" s="75">
        <v>20111613</v>
      </c>
      <c r="B1254" s="76" t="s">
        <v>18160</v>
      </c>
    </row>
    <row r="1255" spans="1:2" x14ac:dyDescent="0.25">
      <c r="A1255" s="75">
        <v>20111614</v>
      </c>
      <c r="B1255" s="76" t="s">
        <v>19858</v>
      </c>
    </row>
    <row r="1256" spans="1:2" x14ac:dyDescent="0.25">
      <c r="A1256" s="75">
        <v>20111615</v>
      </c>
      <c r="B1256" s="76" t="s">
        <v>1571</v>
      </c>
    </row>
    <row r="1257" spans="1:2" x14ac:dyDescent="0.25">
      <c r="A1257" s="75">
        <v>20111616</v>
      </c>
      <c r="B1257" s="76" t="s">
        <v>9569</v>
      </c>
    </row>
    <row r="1258" spans="1:2" x14ac:dyDescent="0.25">
      <c r="A1258" s="75">
        <v>20111617</v>
      </c>
      <c r="B1258" s="76" t="s">
        <v>4800</v>
      </c>
    </row>
    <row r="1259" spans="1:2" x14ac:dyDescent="0.25">
      <c r="A1259" s="75">
        <v>20111618</v>
      </c>
      <c r="B1259" s="76" t="s">
        <v>1250</v>
      </c>
    </row>
    <row r="1260" spans="1:2" x14ac:dyDescent="0.25">
      <c r="A1260" s="75">
        <v>20111619</v>
      </c>
      <c r="B1260" s="76" t="s">
        <v>4975</v>
      </c>
    </row>
    <row r="1261" spans="1:2" x14ac:dyDescent="0.25">
      <c r="A1261" s="75">
        <v>20111701</v>
      </c>
      <c r="B1261" s="76" t="s">
        <v>4595</v>
      </c>
    </row>
    <row r="1262" spans="1:2" x14ac:dyDescent="0.25">
      <c r="A1262" s="75">
        <v>20111702</v>
      </c>
      <c r="B1262" s="76" t="s">
        <v>15435</v>
      </c>
    </row>
    <row r="1263" spans="1:2" x14ac:dyDescent="0.25">
      <c r="A1263" s="75">
        <v>20111703</v>
      </c>
      <c r="B1263" s="76" t="s">
        <v>14757</v>
      </c>
    </row>
    <row r="1264" spans="1:2" x14ac:dyDescent="0.25">
      <c r="A1264" s="75">
        <v>20111704</v>
      </c>
      <c r="B1264" s="76" t="s">
        <v>14168</v>
      </c>
    </row>
    <row r="1265" spans="1:2" x14ac:dyDescent="0.25">
      <c r="A1265" s="75">
        <v>20111705</v>
      </c>
      <c r="B1265" s="76" t="s">
        <v>15750</v>
      </c>
    </row>
    <row r="1266" spans="1:2" x14ac:dyDescent="0.25">
      <c r="A1266" s="75">
        <v>20111706</v>
      </c>
      <c r="B1266" s="76" t="s">
        <v>6942</v>
      </c>
    </row>
    <row r="1267" spans="1:2" x14ac:dyDescent="0.25">
      <c r="A1267" s="75">
        <v>20111707</v>
      </c>
      <c r="B1267" s="76" t="s">
        <v>4540</v>
      </c>
    </row>
    <row r="1268" spans="1:2" x14ac:dyDescent="0.25">
      <c r="A1268" s="75">
        <v>20111708</v>
      </c>
      <c r="B1268" s="76" t="s">
        <v>10604</v>
      </c>
    </row>
    <row r="1269" spans="1:2" x14ac:dyDescent="0.25">
      <c r="A1269" s="75">
        <v>20111709</v>
      </c>
      <c r="B1269" s="76" t="s">
        <v>1288</v>
      </c>
    </row>
    <row r="1270" spans="1:2" x14ac:dyDescent="0.25">
      <c r="A1270" s="75">
        <v>20121001</v>
      </c>
      <c r="B1270" s="76" t="s">
        <v>7237</v>
      </c>
    </row>
    <row r="1271" spans="1:2" x14ac:dyDescent="0.25">
      <c r="A1271" s="75">
        <v>20121002</v>
      </c>
      <c r="B1271" s="76" t="s">
        <v>8538</v>
      </c>
    </row>
    <row r="1272" spans="1:2" x14ac:dyDescent="0.25">
      <c r="A1272" s="75">
        <v>20121003</v>
      </c>
      <c r="B1272" s="76" t="s">
        <v>11678</v>
      </c>
    </row>
    <row r="1273" spans="1:2" x14ac:dyDescent="0.25">
      <c r="A1273" s="75">
        <v>20121004</v>
      </c>
      <c r="B1273" s="76" t="s">
        <v>9429</v>
      </c>
    </row>
    <row r="1274" spans="1:2" x14ac:dyDescent="0.25">
      <c r="A1274" s="75">
        <v>20121005</v>
      </c>
      <c r="B1274" s="76" t="s">
        <v>3011</v>
      </c>
    </row>
    <row r="1275" spans="1:2" x14ac:dyDescent="0.25">
      <c r="A1275" s="75">
        <v>20121006</v>
      </c>
      <c r="B1275" s="76" t="s">
        <v>8754</v>
      </c>
    </row>
    <row r="1276" spans="1:2" x14ac:dyDescent="0.25">
      <c r="A1276" s="75">
        <v>20121007</v>
      </c>
      <c r="B1276" s="76" t="s">
        <v>18363</v>
      </c>
    </row>
    <row r="1277" spans="1:2" x14ac:dyDescent="0.25">
      <c r="A1277" s="75">
        <v>20121008</v>
      </c>
      <c r="B1277" s="76" t="s">
        <v>14761</v>
      </c>
    </row>
    <row r="1278" spans="1:2" x14ac:dyDescent="0.25">
      <c r="A1278" s="75">
        <v>20121009</v>
      </c>
      <c r="B1278" s="76" t="s">
        <v>17771</v>
      </c>
    </row>
    <row r="1279" spans="1:2" x14ac:dyDescent="0.25">
      <c r="A1279" s="75">
        <v>20121010</v>
      </c>
      <c r="B1279" s="76" t="s">
        <v>15358</v>
      </c>
    </row>
    <row r="1280" spans="1:2" x14ac:dyDescent="0.25">
      <c r="A1280" s="75">
        <v>20121011</v>
      </c>
      <c r="B1280" s="76" t="s">
        <v>19289</v>
      </c>
    </row>
    <row r="1281" spans="1:2" x14ac:dyDescent="0.25">
      <c r="A1281" s="75">
        <v>20121012</v>
      </c>
      <c r="B1281" s="76" t="s">
        <v>18530</v>
      </c>
    </row>
    <row r="1282" spans="1:2" x14ac:dyDescent="0.25">
      <c r="A1282" s="75">
        <v>20121013</v>
      </c>
      <c r="B1282" s="76" t="s">
        <v>3104</v>
      </c>
    </row>
    <row r="1283" spans="1:2" x14ac:dyDescent="0.25">
      <c r="A1283" s="75">
        <v>20121014</v>
      </c>
      <c r="B1283" s="76" t="s">
        <v>18898</v>
      </c>
    </row>
    <row r="1284" spans="1:2" x14ac:dyDescent="0.25">
      <c r="A1284" s="75">
        <v>20121015</v>
      </c>
      <c r="B1284" s="76" t="s">
        <v>7702</v>
      </c>
    </row>
    <row r="1285" spans="1:2" x14ac:dyDescent="0.25">
      <c r="A1285" s="75">
        <v>20121016</v>
      </c>
      <c r="B1285" s="76" t="s">
        <v>6237</v>
      </c>
    </row>
    <row r="1286" spans="1:2" x14ac:dyDescent="0.25">
      <c r="A1286" s="75">
        <v>20121101</v>
      </c>
      <c r="B1286" s="76" t="s">
        <v>11139</v>
      </c>
    </row>
    <row r="1287" spans="1:2" x14ac:dyDescent="0.25">
      <c r="A1287" s="75">
        <v>20121102</v>
      </c>
      <c r="B1287" s="76" t="s">
        <v>12884</v>
      </c>
    </row>
    <row r="1288" spans="1:2" x14ac:dyDescent="0.25">
      <c r="A1288" s="75">
        <v>20121103</v>
      </c>
      <c r="B1288" s="76" t="s">
        <v>6432</v>
      </c>
    </row>
    <row r="1289" spans="1:2" x14ac:dyDescent="0.25">
      <c r="A1289" s="75">
        <v>20121104</v>
      </c>
      <c r="B1289" s="76" t="s">
        <v>19455</v>
      </c>
    </row>
    <row r="1290" spans="1:2" x14ac:dyDescent="0.25">
      <c r="A1290" s="75">
        <v>20121105</v>
      </c>
      <c r="B1290" s="76" t="s">
        <v>16687</v>
      </c>
    </row>
    <row r="1291" spans="1:2" x14ac:dyDescent="0.25">
      <c r="A1291" s="75">
        <v>20121106</v>
      </c>
      <c r="B1291" s="76" t="s">
        <v>1119</v>
      </c>
    </row>
    <row r="1292" spans="1:2" x14ac:dyDescent="0.25">
      <c r="A1292" s="75">
        <v>20121107</v>
      </c>
      <c r="B1292" s="76" t="s">
        <v>1141</v>
      </c>
    </row>
    <row r="1293" spans="1:2" x14ac:dyDescent="0.25">
      <c r="A1293" s="75">
        <v>20121108</v>
      </c>
      <c r="B1293" s="76" t="s">
        <v>1430</v>
      </c>
    </row>
    <row r="1294" spans="1:2" x14ac:dyDescent="0.25">
      <c r="A1294" s="75">
        <v>20121109</v>
      </c>
      <c r="B1294" s="76" t="s">
        <v>7871</v>
      </c>
    </row>
    <row r="1295" spans="1:2" x14ac:dyDescent="0.25">
      <c r="A1295" s="75">
        <v>20121110</v>
      </c>
      <c r="B1295" s="76" t="s">
        <v>14517</v>
      </c>
    </row>
    <row r="1296" spans="1:2" x14ac:dyDescent="0.25">
      <c r="A1296" s="75">
        <v>20121111</v>
      </c>
      <c r="B1296" s="76" t="s">
        <v>5370</v>
      </c>
    </row>
    <row r="1297" spans="1:2" x14ac:dyDescent="0.25">
      <c r="A1297" s="75">
        <v>20121112</v>
      </c>
      <c r="B1297" s="76" t="s">
        <v>6557</v>
      </c>
    </row>
    <row r="1298" spans="1:2" x14ac:dyDescent="0.25">
      <c r="A1298" s="75">
        <v>20121113</v>
      </c>
      <c r="B1298" s="76" t="s">
        <v>14253</v>
      </c>
    </row>
    <row r="1299" spans="1:2" x14ac:dyDescent="0.25">
      <c r="A1299" s="75">
        <v>20121114</v>
      </c>
      <c r="B1299" s="76" t="s">
        <v>18957</v>
      </c>
    </row>
    <row r="1300" spans="1:2" x14ac:dyDescent="0.25">
      <c r="A1300" s="75">
        <v>20121115</v>
      </c>
      <c r="B1300" s="76" t="s">
        <v>16184</v>
      </c>
    </row>
    <row r="1301" spans="1:2" x14ac:dyDescent="0.25">
      <c r="A1301" s="75">
        <v>20121116</v>
      </c>
      <c r="B1301" s="76" t="s">
        <v>17840</v>
      </c>
    </row>
    <row r="1302" spans="1:2" x14ac:dyDescent="0.25">
      <c r="A1302" s="75">
        <v>20121117</v>
      </c>
      <c r="B1302" s="76" t="s">
        <v>4563</v>
      </c>
    </row>
    <row r="1303" spans="1:2" x14ac:dyDescent="0.25">
      <c r="A1303" s="75">
        <v>20121118</v>
      </c>
      <c r="B1303" s="76" t="s">
        <v>1807</v>
      </c>
    </row>
    <row r="1304" spans="1:2" x14ac:dyDescent="0.25">
      <c r="A1304" s="75">
        <v>20121119</v>
      </c>
      <c r="B1304" s="76" t="s">
        <v>381</v>
      </c>
    </row>
    <row r="1305" spans="1:2" x14ac:dyDescent="0.25">
      <c r="A1305" s="75">
        <v>20121201</v>
      </c>
      <c r="B1305" s="76" t="s">
        <v>17710</v>
      </c>
    </row>
    <row r="1306" spans="1:2" x14ac:dyDescent="0.25">
      <c r="A1306" s="75">
        <v>20121202</v>
      </c>
      <c r="B1306" s="76" t="s">
        <v>16387</v>
      </c>
    </row>
    <row r="1307" spans="1:2" x14ac:dyDescent="0.25">
      <c r="A1307" s="75">
        <v>20121203</v>
      </c>
      <c r="B1307" s="76" t="s">
        <v>18701</v>
      </c>
    </row>
    <row r="1308" spans="1:2" x14ac:dyDescent="0.25">
      <c r="A1308" s="75">
        <v>20121204</v>
      </c>
      <c r="B1308" s="76" t="s">
        <v>8103</v>
      </c>
    </row>
    <row r="1309" spans="1:2" x14ac:dyDescent="0.25">
      <c r="A1309" s="75">
        <v>20121205</v>
      </c>
      <c r="B1309" s="76" t="s">
        <v>6844</v>
      </c>
    </row>
    <row r="1310" spans="1:2" x14ac:dyDescent="0.25">
      <c r="A1310" s="75">
        <v>20121206</v>
      </c>
      <c r="B1310" s="76" t="s">
        <v>1787</v>
      </c>
    </row>
    <row r="1311" spans="1:2" x14ac:dyDescent="0.25">
      <c r="A1311" s="75">
        <v>20121207</v>
      </c>
      <c r="B1311" s="76" t="s">
        <v>11431</v>
      </c>
    </row>
    <row r="1312" spans="1:2" x14ac:dyDescent="0.25">
      <c r="A1312" s="75">
        <v>20121208</v>
      </c>
      <c r="B1312" s="76" t="s">
        <v>14065</v>
      </c>
    </row>
    <row r="1313" spans="1:2" x14ac:dyDescent="0.25">
      <c r="A1313" s="75">
        <v>20121209</v>
      </c>
      <c r="B1313" s="76" t="s">
        <v>14671</v>
      </c>
    </row>
    <row r="1314" spans="1:2" x14ac:dyDescent="0.25">
      <c r="A1314" s="75">
        <v>20121210</v>
      </c>
      <c r="B1314" s="76" t="s">
        <v>9286</v>
      </c>
    </row>
    <row r="1315" spans="1:2" x14ac:dyDescent="0.25">
      <c r="A1315" s="75">
        <v>20121211</v>
      </c>
      <c r="B1315" s="76" t="s">
        <v>11542</v>
      </c>
    </row>
    <row r="1316" spans="1:2" x14ac:dyDescent="0.25">
      <c r="A1316" s="75">
        <v>20121212</v>
      </c>
      <c r="B1316" s="76" t="s">
        <v>4357</v>
      </c>
    </row>
    <row r="1317" spans="1:2" x14ac:dyDescent="0.25">
      <c r="A1317" s="75">
        <v>20121213</v>
      </c>
      <c r="B1317" s="76" t="s">
        <v>120</v>
      </c>
    </row>
    <row r="1318" spans="1:2" x14ac:dyDescent="0.25">
      <c r="A1318" s="75">
        <v>20121301</v>
      </c>
      <c r="B1318" s="76" t="s">
        <v>17209</v>
      </c>
    </row>
    <row r="1319" spans="1:2" x14ac:dyDescent="0.25">
      <c r="A1319" s="75">
        <v>20121302</v>
      </c>
      <c r="B1319" s="76" t="s">
        <v>13167</v>
      </c>
    </row>
    <row r="1320" spans="1:2" x14ac:dyDescent="0.25">
      <c r="A1320" s="75">
        <v>20121303</v>
      </c>
      <c r="B1320" s="76" t="s">
        <v>16494</v>
      </c>
    </row>
    <row r="1321" spans="1:2" x14ac:dyDescent="0.25">
      <c r="A1321" s="75">
        <v>20121304</v>
      </c>
      <c r="B1321" s="76" t="s">
        <v>11771</v>
      </c>
    </row>
    <row r="1322" spans="1:2" x14ac:dyDescent="0.25">
      <c r="A1322" s="75">
        <v>20121305</v>
      </c>
      <c r="B1322" s="76" t="s">
        <v>19223</v>
      </c>
    </row>
    <row r="1323" spans="1:2" x14ac:dyDescent="0.25">
      <c r="A1323" s="75">
        <v>20121306</v>
      </c>
      <c r="B1323" s="76" t="s">
        <v>17435</v>
      </c>
    </row>
    <row r="1324" spans="1:2" x14ac:dyDescent="0.25">
      <c r="A1324" s="75">
        <v>20121307</v>
      </c>
      <c r="B1324" s="76" t="s">
        <v>4821</v>
      </c>
    </row>
    <row r="1325" spans="1:2" x14ac:dyDescent="0.25">
      <c r="A1325" s="75">
        <v>20121308</v>
      </c>
      <c r="B1325" s="76" t="s">
        <v>1994</v>
      </c>
    </row>
    <row r="1326" spans="1:2" x14ac:dyDescent="0.25">
      <c r="A1326" s="75">
        <v>20121309</v>
      </c>
      <c r="B1326" s="76" t="s">
        <v>16656</v>
      </c>
    </row>
    <row r="1327" spans="1:2" x14ac:dyDescent="0.25">
      <c r="A1327" s="75">
        <v>20121310</v>
      </c>
      <c r="B1327" s="76" t="s">
        <v>13228</v>
      </c>
    </row>
    <row r="1328" spans="1:2" x14ac:dyDescent="0.25">
      <c r="A1328" s="75">
        <v>20121311</v>
      </c>
      <c r="B1328" s="76" t="s">
        <v>10691</v>
      </c>
    </row>
    <row r="1329" spans="1:2" x14ac:dyDescent="0.25">
      <c r="A1329" s="75">
        <v>20121312</v>
      </c>
      <c r="B1329" s="76" t="s">
        <v>19220</v>
      </c>
    </row>
    <row r="1330" spans="1:2" x14ac:dyDescent="0.25">
      <c r="A1330" s="75">
        <v>20121313</v>
      </c>
      <c r="B1330" s="76" t="s">
        <v>975</v>
      </c>
    </row>
    <row r="1331" spans="1:2" x14ac:dyDescent="0.25">
      <c r="A1331" s="75">
        <v>20121314</v>
      </c>
      <c r="B1331" s="76" t="s">
        <v>17521</v>
      </c>
    </row>
    <row r="1332" spans="1:2" x14ac:dyDescent="0.25">
      <c r="A1332" s="75">
        <v>20121315</v>
      </c>
      <c r="B1332" s="76" t="s">
        <v>11074</v>
      </c>
    </row>
    <row r="1333" spans="1:2" x14ac:dyDescent="0.25">
      <c r="A1333" s="75">
        <v>20121316</v>
      </c>
      <c r="B1333" s="76" t="s">
        <v>3673</v>
      </c>
    </row>
    <row r="1334" spans="1:2" x14ac:dyDescent="0.25">
      <c r="A1334" s="75">
        <v>20121317</v>
      </c>
      <c r="B1334" s="76" t="s">
        <v>12582</v>
      </c>
    </row>
    <row r="1335" spans="1:2" x14ac:dyDescent="0.25">
      <c r="A1335" s="75">
        <v>20121318</v>
      </c>
      <c r="B1335" s="76" t="s">
        <v>17065</v>
      </c>
    </row>
    <row r="1336" spans="1:2" x14ac:dyDescent="0.25">
      <c r="A1336" s="75">
        <v>20121319</v>
      </c>
      <c r="B1336" s="76" t="s">
        <v>19759</v>
      </c>
    </row>
    <row r="1337" spans="1:2" x14ac:dyDescent="0.25">
      <c r="A1337" s="75">
        <v>20121320</v>
      </c>
      <c r="B1337" s="76" t="s">
        <v>15279</v>
      </c>
    </row>
    <row r="1338" spans="1:2" x14ac:dyDescent="0.25">
      <c r="A1338" s="75">
        <v>20121321</v>
      </c>
      <c r="B1338" s="76" t="s">
        <v>11386</v>
      </c>
    </row>
    <row r="1339" spans="1:2" x14ac:dyDescent="0.25">
      <c r="A1339" s="75">
        <v>20121322</v>
      </c>
      <c r="B1339" s="76" t="s">
        <v>5031</v>
      </c>
    </row>
    <row r="1340" spans="1:2" x14ac:dyDescent="0.25">
      <c r="A1340" s="75">
        <v>20121323</v>
      </c>
      <c r="B1340" s="76" t="s">
        <v>19732</v>
      </c>
    </row>
    <row r="1341" spans="1:2" x14ac:dyDescent="0.25">
      <c r="A1341" s="75">
        <v>20121401</v>
      </c>
      <c r="B1341" s="76" t="s">
        <v>13680</v>
      </c>
    </row>
    <row r="1342" spans="1:2" x14ac:dyDescent="0.25">
      <c r="A1342" s="75">
        <v>20121402</v>
      </c>
      <c r="B1342" s="76" t="s">
        <v>6220</v>
      </c>
    </row>
    <row r="1343" spans="1:2" x14ac:dyDescent="0.25">
      <c r="A1343" s="75">
        <v>20121403</v>
      </c>
      <c r="B1343" s="76" t="s">
        <v>12256</v>
      </c>
    </row>
    <row r="1344" spans="1:2" x14ac:dyDescent="0.25">
      <c r="A1344" s="75">
        <v>20121404</v>
      </c>
      <c r="B1344" s="76" t="s">
        <v>5925</v>
      </c>
    </row>
    <row r="1345" spans="1:2" x14ac:dyDescent="0.25">
      <c r="A1345" s="75">
        <v>20121405</v>
      </c>
      <c r="B1345" s="76" t="s">
        <v>199</v>
      </c>
    </row>
    <row r="1346" spans="1:2" x14ac:dyDescent="0.25">
      <c r="A1346" s="75">
        <v>20121406</v>
      </c>
      <c r="B1346" s="76" t="s">
        <v>5241</v>
      </c>
    </row>
    <row r="1347" spans="1:2" x14ac:dyDescent="0.25">
      <c r="A1347" s="75">
        <v>20121407</v>
      </c>
      <c r="B1347" s="76" t="s">
        <v>1946</v>
      </c>
    </row>
    <row r="1348" spans="1:2" x14ac:dyDescent="0.25">
      <c r="A1348" s="75">
        <v>20121408</v>
      </c>
      <c r="B1348" s="76" t="s">
        <v>8804</v>
      </c>
    </row>
    <row r="1349" spans="1:2" x14ac:dyDescent="0.25">
      <c r="A1349" s="75">
        <v>20121409</v>
      </c>
      <c r="B1349" s="76" t="s">
        <v>18066</v>
      </c>
    </row>
    <row r="1350" spans="1:2" x14ac:dyDescent="0.25">
      <c r="A1350" s="75">
        <v>20121410</v>
      </c>
      <c r="B1350" s="76" t="s">
        <v>13221</v>
      </c>
    </row>
    <row r="1351" spans="1:2" x14ac:dyDescent="0.25">
      <c r="A1351" s="75">
        <v>20121411</v>
      </c>
      <c r="B1351" s="76" t="s">
        <v>1243</v>
      </c>
    </row>
    <row r="1352" spans="1:2" x14ac:dyDescent="0.25">
      <c r="A1352" s="75">
        <v>20121412</v>
      </c>
      <c r="B1352" s="76" t="s">
        <v>19519</v>
      </c>
    </row>
    <row r="1353" spans="1:2" x14ac:dyDescent="0.25">
      <c r="A1353" s="75">
        <v>20121413</v>
      </c>
      <c r="B1353" s="76" t="s">
        <v>14570</v>
      </c>
    </row>
    <row r="1354" spans="1:2" x14ac:dyDescent="0.25">
      <c r="A1354" s="75">
        <v>20121414</v>
      </c>
      <c r="B1354" s="76" t="s">
        <v>12542</v>
      </c>
    </row>
    <row r="1355" spans="1:2" x14ac:dyDescent="0.25">
      <c r="A1355" s="75">
        <v>20121415</v>
      </c>
      <c r="B1355" s="76" t="s">
        <v>13635</v>
      </c>
    </row>
    <row r="1356" spans="1:2" x14ac:dyDescent="0.25">
      <c r="A1356" s="75">
        <v>20121416</v>
      </c>
      <c r="B1356" s="76" t="s">
        <v>11706</v>
      </c>
    </row>
    <row r="1357" spans="1:2" x14ac:dyDescent="0.25">
      <c r="A1357" s="75">
        <v>20121417</v>
      </c>
      <c r="B1357" s="76" t="s">
        <v>13275</v>
      </c>
    </row>
    <row r="1358" spans="1:2" x14ac:dyDescent="0.25">
      <c r="A1358" s="75">
        <v>20121418</v>
      </c>
      <c r="B1358" s="76" t="s">
        <v>4147</v>
      </c>
    </row>
    <row r="1359" spans="1:2" x14ac:dyDescent="0.25">
      <c r="A1359" s="75">
        <v>20121419</v>
      </c>
      <c r="B1359" s="76" t="s">
        <v>14448</v>
      </c>
    </row>
    <row r="1360" spans="1:2" x14ac:dyDescent="0.25">
      <c r="A1360" s="75">
        <v>20121420</v>
      </c>
      <c r="B1360" s="76" t="s">
        <v>10547</v>
      </c>
    </row>
    <row r="1361" spans="1:2" x14ac:dyDescent="0.25">
      <c r="A1361" s="75">
        <v>20121421</v>
      </c>
      <c r="B1361" s="76" t="s">
        <v>18246</v>
      </c>
    </row>
    <row r="1362" spans="1:2" x14ac:dyDescent="0.25">
      <c r="A1362" s="75">
        <v>20121422</v>
      </c>
      <c r="B1362" s="76" t="s">
        <v>17608</v>
      </c>
    </row>
    <row r="1363" spans="1:2" x14ac:dyDescent="0.25">
      <c r="A1363" s="75">
        <v>20121423</v>
      </c>
      <c r="B1363" s="76" t="s">
        <v>9239</v>
      </c>
    </row>
    <row r="1364" spans="1:2" x14ac:dyDescent="0.25">
      <c r="A1364" s="75">
        <v>20121424</v>
      </c>
      <c r="B1364" s="76" t="s">
        <v>774</v>
      </c>
    </row>
    <row r="1365" spans="1:2" x14ac:dyDescent="0.25">
      <c r="A1365" s="75">
        <v>20121425</v>
      </c>
      <c r="B1365" s="76" t="s">
        <v>15447</v>
      </c>
    </row>
    <row r="1366" spans="1:2" x14ac:dyDescent="0.25">
      <c r="A1366" s="75">
        <v>20121427</v>
      </c>
      <c r="B1366" s="76" t="s">
        <v>15099</v>
      </c>
    </row>
    <row r="1367" spans="1:2" x14ac:dyDescent="0.25">
      <c r="A1367" s="75">
        <v>20121428</v>
      </c>
      <c r="B1367" s="76" t="s">
        <v>16574</v>
      </c>
    </row>
    <row r="1368" spans="1:2" x14ac:dyDescent="0.25">
      <c r="A1368" s="75">
        <v>20121429</v>
      </c>
      <c r="B1368" s="76" t="s">
        <v>6774</v>
      </c>
    </row>
    <row r="1369" spans="1:2" x14ac:dyDescent="0.25">
      <c r="A1369" s="75">
        <v>20121430</v>
      </c>
      <c r="B1369" s="76" t="s">
        <v>10035</v>
      </c>
    </row>
    <row r="1370" spans="1:2" x14ac:dyDescent="0.25">
      <c r="A1370" s="75">
        <v>20121501</v>
      </c>
      <c r="B1370" s="76" t="s">
        <v>14981</v>
      </c>
    </row>
    <row r="1371" spans="1:2" x14ac:dyDescent="0.25">
      <c r="A1371" s="75">
        <v>20121502</v>
      </c>
      <c r="B1371" s="76" t="s">
        <v>12608</v>
      </c>
    </row>
    <row r="1372" spans="1:2" x14ac:dyDescent="0.25">
      <c r="A1372" s="75">
        <v>20121503</v>
      </c>
      <c r="B1372" s="76" t="s">
        <v>12679</v>
      </c>
    </row>
    <row r="1373" spans="1:2" x14ac:dyDescent="0.25">
      <c r="A1373" s="75">
        <v>20121504</v>
      </c>
      <c r="B1373" s="76" t="s">
        <v>2088</v>
      </c>
    </row>
    <row r="1374" spans="1:2" x14ac:dyDescent="0.25">
      <c r="A1374" s="75">
        <v>20121505</v>
      </c>
      <c r="B1374" s="76" t="s">
        <v>177</v>
      </c>
    </row>
    <row r="1375" spans="1:2" x14ac:dyDescent="0.25">
      <c r="A1375" s="75">
        <v>20121506</v>
      </c>
      <c r="B1375" s="76" t="s">
        <v>14083</v>
      </c>
    </row>
    <row r="1376" spans="1:2" x14ac:dyDescent="0.25">
      <c r="A1376" s="75">
        <v>20121507</v>
      </c>
      <c r="B1376" s="76" t="s">
        <v>17388</v>
      </c>
    </row>
    <row r="1377" spans="1:2" x14ac:dyDescent="0.25">
      <c r="A1377" s="75">
        <v>20121508</v>
      </c>
      <c r="B1377" s="76" t="s">
        <v>7307</v>
      </c>
    </row>
    <row r="1378" spans="1:2" x14ac:dyDescent="0.25">
      <c r="A1378" s="75">
        <v>20121509</v>
      </c>
      <c r="B1378" s="76" t="s">
        <v>15216</v>
      </c>
    </row>
    <row r="1379" spans="1:2" x14ac:dyDescent="0.25">
      <c r="A1379" s="75">
        <v>20121510</v>
      </c>
      <c r="B1379" s="76" t="s">
        <v>9847</v>
      </c>
    </row>
    <row r="1380" spans="1:2" x14ac:dyDescent="0.25">
      <c r="A1380" s="75">
        <v>20121511</v>
      </c>
      <c r="B1380" s="76" t="s">
        <v>15637</v>
      </c>
    </row>
    <row r="1381" spans="1:2" x14ac:dyDescent="0.25">
      <c r="A1381" s="75">
        <v>20121512</v>
      </c>
      <c r="B1381" s="76" t="s">
        <v>15595</v>
      </c>
    </row>
    <row r="1382" spans="1:2" x14ac:dyDescent="0.25">
      <c r="A1382" s="75">
        <v>20121513</v>
      </c>
      <c r="B1382" s="76" t="s">
        <v>1234</v>
      </c>
    </row>
    <row r="1383" spans="1:2" x14ac:dyDescent="0.25">
      <c r="A1383" s="75">
        <v>20121514</v>
      </c>
      <c r="B1383" s="76" t="s">
        <v>11709</v>
      </c>
    </row>
    <row r="1384" spans="1:2" x14ac:dyDescent="0.25">
      <c r="A1384" s="75">
        <v>20121515</v>
      </c>
      <c r="B1384" s="76" t="s">
        <v>14836</v>
      </c>
    </row>
    <row r="1385" spans="1:2" x14ac:dyDescent="0.25">
      <c r="A1385" s="75">
        <v>20121516</v>
      </c>
      <c r="B1385" s="76" t="s">
        <v>11207</v>
      </c>
    </row>
    <row r="1386" spans="1:2" x14ac:dyDescent="0.25">
      <c r="A1386" s="75">
        <v>20121601</v>
      </c>
      <c r="B1386" s="76" t="s">
        <v>8584</v>
      </c>
    </row>
    <row r="1387" spans="1:2" x14ac:dyDescent="0.25">
      <c r="A1387" s="75">
        <v>20121602</v>
      </c>
      <c r="B1387" s="76" t="s">
        <v>2956</v>
      </c>
    </row>
    <row r="1388" spans="1:2" x14ac:dyDescent="0.25">
      <c r="A1388" s="75">
        <v>20121603</v>
      </c>
      <c r="B1388" s="76" t="s">
        <v>17060</v>
      </c>
    </row>
    <row r="1389" spans="1:2" x14ac:dyDescent="0.25">
      <c r="A1389" s="75">
        <v>20121604</v>
      </c>
      <c r="B1389" s="76" t="s">
        <v>10311</v>
      </c>
    </row>
    <row r="1390" spans="1:2" x14ac:dyDescent="0.25">
      <c r="A1390" s="75">
        <v>20121605</v>
      </c>
      <c r="B1390" s="76" t="s">
        <v>10576</v>
      </c>
    </row>
    <row r="1391" spans="1:2" x14ac:dyDescent="0.25">
      <c r="A1391" s="75">
        <v>20121606</v>
      </c>
      <c r="B1391" s="76" t="s">
        <v>16674</v>
      </c>
    </row>
    <row r="1392" spans="1:2" x14ac:dyDescent="0.25">
      <c r="A1392" s="75">
        <v>20121607</v>
      </c>
      <c r="B1392" s="76" t="s">
        <v>5933</v>
      </c>
    </row>
    <row r="1393" spans="1:2" x14ac:dyDescent="0.25">
      <c r="A1393" s="75">
        <v>20121701</v>
      </c>
      <c r="B1393" s="76" t="s">
        <v>14006</v>
      </c>
    </row>
    <row r="1394" spans="1:2" x14ac:dyDescent="0.25">
      <c r="A1394" s="75">
        <v>20121702</v>
      </c>
      <c r="B1394" s="76" t="s">
        <v>13981</v>
      </c>
    </row>
    <row r="1395" spans="1:2" x14ac:dyDescent="0.25">
      <c r="A1395" s="75">
        <v>20121703</v>
      </c>
      <c r="B1395" s="76" t="s">
        <v>5034</v>
      </c>
    </row>
    <row r="1396" spans="1:2" x14ac:dyDescent="0.25">
      <c r="A1396" s="75">
        <v>20121704</v>
      </c>
      <c r="B1396" s="76" t="s">
        <v>2258</v>
      </c>
    </row>
    <row r="1397" spans="1:2" x14ac:dyDescent="0.25">
      <c r="A1397" s="75">
        <v>20121705</v>
      </c>
      <c r="B1397" s="76" t="s">
        <v>11381</v>
      </c>
    </row>
    <row r="1398" spans="1:2" x14ac:dyDescent="0.25">
      <c r="A1398" s="75">
        <v>20121706</v>
      </c>
      <c r="B1398" s="76" t="s">
        <v>18766</v>
      </c>
    </row>
    <row r="1399" spans="1:2" x14ac:dyDescent="0.25">
      <c r="A1399" s="75">
        <v>20121707</v>
      </c>
      <c r="B1399" s="76" t="s">
        <v>14226</v>
      </c>
    </row>
    <row r="1400" spans="1:2" x14ac:dyDescent="0.25">
      <c r="A1400" s="75">
        <v>20121708</v>
      </c>
      <c r="B1400" s="76" t="s">
        <v>360</v>
      </c>
    </row>
    <row r="1401" spans="1:2" x14ac:dyDescent="0.25">
      <c r="A1401" s="75">
        <v>20121801</v>
      </c>
      <c r="B1401" s="76" t="s">
        <v>3644</v>
      </c>
    </row>
    <row r="1402" spans="1:2" x14ac:dyDescent="0.25">
      <c r="A1402" s="75">
        <v>20121802</v>
      </c>
      <c r="B1402" s="76" t="s">
        <v>14815</v>
      </c>
    </row>
    <row r="1403" spans="1:2" x14ac:dyDescent="0.25">
      <c r="A1403" s="75">
        <v>20121803</v>
      </c>
      <c r="B1403" s="76" t="s">
        <v>4258</v>
      </c>
    </row>
    <row r="1404" spans="1:2" x14ac:dyDescent="0.25">
      <c r="A1404" s="75">
        <v>20121804</v>
      </c>
      <c r="B1404" s="76" t="s">
        <v>18774</v>
      </c>
    </row>
    <row r="1405" spans="1:2" x14ac:dyDescent="0.25">
      <c r="A1405" s="75">
        <v>20121805</v>
      </c>
      <c r="B1405" s="76" t="s">
        <v>19710</v>
      </c>
    </row>
    <row r="1406" spans="1:2" x14ac:dyDescent="0.25">
      <c r="A1406" s="75">
        <v>20121901</v>
      </c>
      <c r="B1406" s="76" t="s">
        <v>10202</v>
      </c>
    </row>
    <row r="1407" spans="1:2" x14ac:dyDescent="0.25">
      <c r="A1407" s="75">
        <v>20121902</v>
      </c>
      <c r="B1407" s="76" t="s">
        <v>7567</v>
      </c>
    </row>
    <row r="1408" spans="1:2" x14ac:dyDescent="0.25">
      <c r="A1408" s="75">
        <v>20121903</v>
      </c>
      <c r="B1408" s="76" t="s">
        <v>5416</v>
      </c>
    </row>
    <row r="1409" spans="1:2" x14ac:dyDescent="0.25">
      <c r="A1409" s="75">
        <v>20121904</v>
      </c>
      <c r="B1409" s="76" t="s">
        <v>4660</v>
      </c>
    </row>
    <row r="1410" spans="1:2" x14ac:dyDescent="0.25">
      <c r="A1410" s="75">
        <v>20121905</v>
      </c>
      <c r="B1410" s="76" t="s">
        <v>13685</v>
      </c>
    </row>
    <row r="1411" spans="1:2" x14ac:dyDescent="0.25">
      <c r="A1411" s="75">
        <v>20121906</v>
      </c>
      <c r="B1411" s="76" t="s">
        <v>9935</v>
      </c>
    </row>
    <row r="1412" spans="1:2" x14ac:dyDescent="0.25">
      <c r="A1412" s="75">
        <v>20121907</v>
      </c>
      <c r="B1412" s="76" t="s">
        <v>12965</v>
      </c>
    </row>
    <row r="1413" spans="1:2" x14ac:dyDescent="0.25">
      <c r="A1413" s="75">
        <v>20121908</v>
      </c>
      <c r="B1413" s="76" t="s">
        <v>3533</v>
      </c>
    </row>
    <row r="1414" spans="1:2" x14ac:dyDescent="0.25">
      <c r="A1414" s="75">
        <v>20121909</v>
      </c>
      <c r="B1414" s="76" t="s">
        <v>13459</v>
      </c>
    </row>
    <row r="1415" spans="1:2" x14ac:dyDescent="0.25">
      <c r="A1415" s="75">
        <v>20121910</v>
      </c>
      <c r="B1415" s="76" t="s">
        <v>14091</v>
      </c>
    </row>
    <row r="1416" spans="1:2" x14ac:dyDescent="0.25">
      <c r="A1416" s="75">
        <v>20121911</v>
      </c>
      <c r="B1416" s="76" t="s">
        <v>9090</v>
      </c>
    </row>
    <row r="1417" spans="1:2" x14ac:dyDescent="0.25">
      <c r="A1417" s="75">
        <v>20121912</v>
      </c>
      <c r="B1417" s="76" t="s">
        <v>3522</v>
      </c>
    </row>
    <row r="1418" spans="1:2" x14ac:dyDescent="0.25">
      <c r="A1418" s="75">
        <v>20121913</v>
      </c>
      <c r="B1418" s="76" t="s">
        <v>10405</v>
      </c>
    </row>
    <row r="1419" spans="1:2" x14ac:dyDescent="0.25">
      <c r="A1419" s="75">
        <v>20121914</v>
      </c>
      <c r="B1419" s="76" t="s">
        <v>6048</v>
      </c>
    </row>
    <row r="1420" spans="1:2" x14ac:dyDescent="0.25">
      <c r="A1420" s="75">
        <v>20122001</v>
      </c>
      <c r="B1420" s="76" t="s">
        <v>11816</v>
      </c>
    </row>
    <row r="1421" spans="1:2" x14ac:dyDescent="0.25">
      <c r="A1421" s="75">
        <v>20122002</v>
      </c>
      <c r="B1421" s="76" t="s">
        <v>2397</v>
      </c>
    </row>
    <row r="1422" spans="1:2" x14ac:dyDescent="0.25">
      <c r="A1422" s="75">
        <v>20122003</v>
      </c>
      <c r="B1422" s="76" t="s">
        <v>15959</v>
      </c>
    </row>
    <row r="1423" spans="1:2" x14ac:dyDescent="0.25">
      <c r="A1423" s="75">
        <v>20122004</v>
      </c>
      <c r="B1423" s="76" t="s">
        <v>2873</v>
      </c>
    </row>
    <row r="1424" spans="1:2" x14ac:dyDescent="0.25">
      <c r="A1424" s="75">
        <v>20122005</v>
      </c>
      <c r="B1424" s="76" t="s">
        <v>10193</v>
      </c>
    </row>
    <row r="1425" spans="1:2" x14ac:dyDescent="0.25">
      <c r="A1425" s="75">
        <v>20122006</v>
      </c>
      <c r="B1425" s="76" t="s">
        <v>17493</v>
      </c>
    </row>
    <row r="1426" spans="1:2" x14ac:dyDescent="0.25">
      <c r="A1426" s="75">
        <v>20122101</v>
      </c>
      <c r="B1426" s="76" t="s">
        <v>2867</v>
      </c>
    </row>
    <row r="1427" spans="1:2" x14ac:dyDescent="0.25">
      <c r="A1427" s="75">
        <v>20122102</v>
      </c>
      <c r="B1427" s="76" t="s">
        <v>3538</v>
      </c>
    </row>
    <row r="1428" spans="1:2" x14ac:dyDescent="0.25">
      <c r="A1428" s="75">
        <v>20122103</v>
      </c>
      <c r="B1428" s="76" t="s">
        <v>15129</v>
      </c>
    </row>
    <row r="1429" spans="1:2" x14ac:dyDescent="0.25">
      <c r="A1429" s="75">
        <v>20122104</v>
      </c>
      <c r="B1429" s="76" t="s">
        <v>10083</v>
      </c>
    </row>
    <row r="1430" spans="1:2" x14ac:dyDescent="0.25">
      <c r="A1430" s="75">
        <v>20122105</v>
      </c>
      <c r="B1430" s="76" t="s">
        <v>18272</v>
      </c>
    </row>
    <row r="1431" spans="1:2" x14ac:dyDescent="0.25">
      <c r="A1431" s="75">
        <v>20122106</v>
      </c>
      <c r="B1431" s="76" t="s">
        <v>17337</v>
      </c>
    </row>
    <row r="1432" spans="1:2" x14ac:dyDescent="0.25">
      <c r="A1432" s="75">
        <v>20122107</v>
      </c>
      <c r="B1432" s="76" t="s">
        <v>11872</v>
      </c>
    </row>
    <row r="1433" spans="1:2" x14ac:dyDescent="0.25">
      <c r="A1433" s="75">
        <v>20122108</v>
      </c>
      <c r="B1433" s="76" t="s">
        <v>3338</v>
      </c>
    </row>
    <row r="1434" spans="1:2" x14ac:dyDescent="0.25">
      <c r="A1434" s="75">
        <v>20122109</v>
      </c>
      <c r="B1434" s="76" t="s">
        <v>15350</v>
      </c>
    </row>
    <row r="1435" spans="1:2" x14ac:dyDescent="0.25">
      <c r="A1435" s="75">
        <v>20122110</v>
      </c>
      <c r="B1435" s="76" t="s">
        <v>9776</v>
      </c>
    </row>
    <row r="1436" spans="1:2" x14ac:dyDescent="0.25">
      <c r="A1436" s="75">
        <v>20122111</v>
      </c>
      <c r="B1436" s="76" t="s">
        <v>3922</v>
      </c>
    </row>
    <row r="1437" spans="1:2" x14ac:dyDescent="0.25">
      <c r="A1437" s="75">
        <v>20122112</v>
      </c>
      <c r="B1437" s="76" t="s">
        <v>8987</v>
      </c>
    </row>
    <row r="1438" spans="1:2" x14ac:dyDescent="0.25">
      <c r="A1438" s="75">
        <v>20122113</v>
      </c>
      <c r="B1438" s="76" t="s">
        <v>3940</v>
      </c>
    </row>
    <row r="1439" spans="1:2" x14ac:dyDescent="0.25">
      <c r="A1439" s="75">
        <v>20122114</v>
      </c>
      <c r="B1439" s="76" t="s">
        <v>3139</v>
      </c>
    </row>
    <row r="1440" spans="1:2" x14ac:dyDescent="0.25">
      <c r="A1440" s="75">
        <v>20122115</v>
      </c>
      <c r="B1440" s="76" t="s">
        <v>3186</v>
      </c>
    </row>
    <row r="1441" spans="1:2" x14ac:dyDescent="0.25">
      <c r="A1441" s="75">
        <v>20122201</v>
      </c>
      <c r="B1441" s="76" t="s">
        <v>4358</v>
      </c>
    </row>
    <row r="1442" spans="1:2" x14ac:dyDescent="0.25">
      <c r="A1442" s="75">
        <v>20122202</v>
      </c>
      <c r="B1442" s="76" t="s">
        <v>16022</v>
      </c>
    </row>
    <row r="1443" spans="1:2" x14ac:dyDescent="0.25">
      <c r="A1443" s="75">
        <v>20122203</v>
      </c>
      <c r="B1443" s="76" t="s">
        <v>2576</v>
      </c>
    </row>
    <row r="1444" spans="1:2" x14ac:dyDescent="0.25">
      <c r="A1444" s="75">
        <v>20122204</v>
      </c>
      <c r="B1444" s="76" t="s">
        <v>13883</v>
      </c>
    </row>
    <row r="1445" spans="1:2" x14ac:dyDescent="0.25">
      <c r="A1445" s="75">
        <v>20122205</v>
      </c>
      <c r="B1445" s="76" t="s">
        <v>1760</v>
      </c>
    </row>
    <row r="1446" spans="1:2" x14ac:dyDescent="0.25">
      <c r="A1446" s="75">
        <v>20122206</v>
      </c>
      <c r="B1446" s="76" t="s">
        <v>843</v>
      </c>
    </row>
    <row r="1447" spans="1:2" x14ac:dyDescent="0.25">
      <c r="A1447" s="75">
        <v>20122207</v>
      </c>
      <c r="B1447" s="76" t="s">
        <v>9503</v>
      </c>
    </row>
    <row r="1448" spans="1:2" x14ac:dyDescent="0.25">
      <c r="A1448" s="75">
        <v>20122208</v>
      </c>
      <c r="B1448" s="76" t="s">
        <v>418</v>
      </c>
    </row>
    <row r="1449" spans="1:2" x14ac:dyDescent="0.25">
      <c r="A1449" s="75">
        <v>20122209</v>
      </c>
      <c r="B1449" s="76" t="s">
        <v>10856</v>
      </c>
    </row>
    <row r="1450" spans="1:2" x14ac:dyDescent="0.25">
      <c r="A1450" s="75">
        <v>20122210</v>
      </c>
      <c r="B1450" s="76" t="s">
        <v>1447</v>
      </c>
    </row>
    <row r="1451" spans="1:2" x14ac:dyDescent="0.25">
      <c r="A1451" s="75">
        <v>20122211</v>
      </c>
      <c r="B1451" s="76" t="s">
        <v>10108</v>
      </c>
    </row>
    <row r="1452" spans="1:2" x14ac:dyDescent="0.25">
      <c r="A1452" s="75">
        <v>20122212</v>
      </c>
      <c r="B1452" s="76" t="s">
        <v>7487</v>
      </c>
    </row>
    <row r="1453" spans="1:2" x14ac:dyDescent="0.25">
      <c r="A1453" s="75">
        <v>20122213</v>
      </c>
      <c r="B1453" s="76" t="s">
        <v>6955</v>
      </c>
    </row>
    <row r="1454" spans="1:2" x14ac:dyDescent="0.25">
      <c r="A1454" s="75">
        <v>20122214</v>
      </c>
      <c r="B1454" s="76" t="s">
        <v>5315</v>
      </c>
    </row>
    <row r="1455" spans="1:2" x14ac:dyDescent="0.25">
      <c r="A1455" s="75">
        <v>20122215</v>
      </c>
      <c r="B1455" s="76" t="s">
        <v>7311</v>
      </c>
    </row>
    <row r="1456" spans="1:2" x14ac:dyDescent="0.25">
      <c r="A1456" s="75">
        <v>20122216</v>
      </c>
      <c r="B1456" s="76" t="s">
        <v>189</v>
      </c>
    </row>
    <row r="1457" spans="1:2" x14ac:dyDescent="0.25">
      <c r="A1457" s="75">
        <v>20122301</v>
      </c>
      <c r="B1457" s="76" t="s">
        <v>2023</v>
      </c>
    </row>
    <row r="1458" spans="1:2" x14ac:dyDescent="0.25">
      <c r="A1458" s="75">
        <v>20122302</v>
      </c>
      <c r="B1458" s="76" t="s">
        <v>6022</v>
      </c>
    </row>
    <row r="1459" spans="1:2" x14ac:dyDescent="0.25">
      <c r="A1459" s="75">
        <v>20122303</v>
      </c>
      <c r="B1459" s="76" t="s">
        <v>3283</v>
      </c>
    </row>
    <row r="1460" spans="1:2" x14ac:dyDescent="0.25">
      <c r="A1460" s="75">
        <v>20122304</v>
      </c>
      <c r="B1460" s="76" t="s">
        <v>8644</v>
      </c>
    </row>
    <row r="1461" spans="1:2" x14ac:dyDescent="0.25">
      <c r="A1461" s="75">
        <v>20122305</v>
      </c>
      <c r="B1461" s="76" t="s">
        <v>3208</v>
      </c>
    </row>
    <row r="1462" spans="1:2" x14ac:dyDescent="0.25">
      <c r="A1462" s="75">
        <v>20122306</v>
      </c>
      <c r="B1462" s="76" t="s">
        <v>2654</v>
      </c>
    </row>
    <row r="1463" spans="1:2" x14ac:dyDescent="0.25">
      <c r="A1463" s="75">
        <v>20122307</v>
      </c>
      <c r="B1463" s="76" t="s">
        <v>19213</v>
      </c>
    </row>
    <row r="1464" spans="1:2" x14ac:dyDescent="0.25">
      <c r="A1464" s="75">
        <v>20122308</v>
      </c>
      <c r="B1464" s="76" t="s">
        <v>1712</v>
      </c>
    </row>
    <row r="1465" spans="1:2" x14ac:dyDescent="0.25">
      <c r="A1465" s="75">
        <v>20122309</v>
      </c>
      <c r="B1465" s="76" t="s">
        <v>17450</v>
      </c>
    </row>
    <row r="1466" spans="1:2" x14ac:dyDescent="0.25">
      <c r="A1466" s="75">
        <v>20122310</v>
      </c>
      <c r="B1466" s="76" t="s">
        <v>12227</v>
      </c>
    </row>
    <row r="1467" spans="1:2" x14ac:dyDescent="0.25">
      <c r="A1467" s="75">
        <v>20122311</v>
      </c>
      <c r="B1467" s="76" t="s">
        <v>15704</v>
      </c>
    </row>
    <row r="1468" spans="1:2" x14ac:dyDescent="0.25">
      <c r="A1468" s="75">
        <v>20122312</v>
      </c>
      <c r="B1468" s="76" t="s">
        <v>3617</v>
      </c>
    </row>
    <row r="1469" spans="1:2" x14ac:dyDescent="0.25">
      <c r="A1469" s="75">
        <v>20122313</v>
      </c>
      <c r="B1469" s="76" t="s">
        <v>9825</v>
      </c>
    </row>
    <row r="1470" spans="1:2" x14ac:dyDescent="0.25">
      <c r="A1470" s="75">
        <v>20122314</v>
      </c>
      <c r="B1470" s="76" t="s">
        <v>4066</v>
      </c>
    </row>
    <row r="1471" spans="1:2" x14ac:dyDescent="0.25">
      <c r="A1471" s="75">
        <v>20122315</v>
      </c>
      <c r="B1471" s="76" t="s">
        <v>15237</v>
      </c>
    </row>
    <row r="1472" spans="1:2" x14ac:dyDescent="0.25">
      <c r="A1472" s="75">
        <v>20122316</v>
      </c>
      <c r="B1472" s="76" t="s">
        <v>3175</v>
      </c>
    </row>
    <row r="1473" spans="1:2" x14ac:dyDescent="0.25">
      <c r="A1473" s="75">
        <v>20122317</v>
      </c>
      <c r="B1473" s="76" t="s">
        <v>8314</v>
      </c>
    </row>
    <row r="1474" spans="1:2" x14ac:dyDescent="0.25">
      <c r="A1474" s="75">
        <v>20122318</v>
      </c>
      <c r="B1474" s="76" t="s">
        <v>11942</v>
      </c>
    </row>
    <row r="1475" spans="1:2" x14ac:dyDescent="0.25">
      <c r="A1475" s="75">
        <v>20122319</v>
      </c>
      <c r="B1475" s="76" t="s">
        <v>11936</v>
      </c>
    </row>
    <row r="1476" spans="1:2" x14ac:dyDescent="0.25">
      <c r="A1476" s="75">
        <v>20122320</v>
      </c>
      <c r="B1476" s="76" t="s">
        <v>4839</v>
      </c>
    </row>
    <row r="1477" spans="1:2" x14ac:dyDescent="0.25">
      <c r="A1477" s="75">
        <v>20122321</v>
      </c>
      <c r="B1477" s="76" t="s">
        <v>957</v>
      </c>
    </row>
    <row r="1478" spans="1:2" x14ac:dyDescent="0.25">
      <c r="A1478" s="75">
        <v>20122322</v>
      </c>
      <c r="B1478" s="76" t="s">
        <v>9253</v>
      </c>
    </row>
    <row r="1479" spans="1:2" x14ac:dyDescent="0.25">
      <c r="A1479" s="75">
        <v>20122323</v>
      </c>
      <c r="B1479" s="76" t="s">
        <v>13925</v>
      </c>
    </row>
    <row r="1480" spans="1:2" x14ac:dyDescent="0.25">
      <c r="A1480" s="75">
        <v>20122324</v>
      </c>
      <c r="B1480" s="76" t="s">
        <v>17079</v>
      </c>
    </row>
    <row r="1481" spans="1:2" x14ac:dyDescent="0.25">
      <c r="A1481" s="75">
        <v>20122325</v>
      </c>
      <c r="B1481" s="76" t="s">
        <v>12578</v>
      </c>
    </row>
    <row r="1482" spans="1:2" x14ac:dyDescent="0.25">
      <c r="A1482" s="75">
        <v>20122326</v>
      </c>
      <c r="B1482" s="76" t="s">
        <v>13931</v>
      </c>
    </row>
    <row r="1483" spans="1:2" x14ac:dyDescent="0.25">
      <c r="A1483" s="75">
        <v>20122327</v>
      </c>
      <c r="B1483" s="76" t="s">
        <v>12308</v>
      </c>
    </row>
    <row r="1484" spans="1:2" x14ac:dyDescent="0.25">
      <c r="A1484" s="75">
        <v>20122328</v>
      </c>
      <c r="B1484" s="76" t="s">
        <v>3230</v>
      </c>
    </row>
    <row r="1485" spans="1:2" x14ac:dyDescent="0.25">
      <c r="A1485" s="75">
        <v>20122329</v>
      </c>
      <c r="B1485" s="76" t="s">
        <v>5394</v>
      </c>
    </row>
    <row r="1486" spans="1:2" x14ac:dyDescent="0.25">
      <c r="A1486" s="75">
        <v>20122330</v>
      </c>
      <c r="B1486" s="76" t="s">
        <v>14052</v>
      </c>
    </row>
    <row r="1487" spans="1:2" x14ac:dyDescent="0.25">
      <c r="A1487" s="75">
        <v>20122331</v>
      </c>
      <c r="B1487" s="76" t="s">
        <v>12510</v>
      </c>
    </row>
    <row r="1488" spans="1:2" x14ac:dyDescent="0.25">
      <c r="A1488" s="75">
        <v>20122332</v>
      </c>
      <c r="B1488" s="76" t="s">
        <v>8499</v>
      </c>
    </row>
    <row r="1489" spans="1:2" x14ac:dyDescent="0.25">
      <c r="A1489" s="75">
        <v>20122333</v>
      </c>
      <c r="B1489" s="76" t="s">
        <v>11878</v>
      </c>
    </row>
    <row r="1490" spans="1:2" x14ac:dyDescent="0.25">
      <c r="A1490" s="75">
        <v>20122334</v>
      </c>
      <c r="B1490" s="76" t="s">
        <v>2871</v>
      </c>
    </row>
    <row r="1491" spans="1:2" x14ac:dyDescent="0.25">
      <c r="A1491" s="75">
        <v>20122335</v>
      </c>
      <c r="B1491" s="76" t="s">
        <v>9183</v>
      </c>
    </row>
    <row r="1492" spans="1:2" x14ac:dyDescent="0.25">
      <c r="A1492" s="75">
        <v>20122336</v>
      </c>
      <c r="B1492" s="76" t="s">
        <v>15837</v>
      </c>
    </row>
    <row r="1493" spans="1:2" x14ac:dyDescent="0.25">
      <c r="A1493" s="75">
        <v>20122338</v>
      </c>
      <c r="B1493" s="76" t="s">
        <v>12847</v>
      </c>
    </row>
    <row r="1494" spans="1:2" x14ac:dyDescent="0.25">
      <c r="A1494" s="75">
        <v>20122339</v>
      </c>
      <c r="B1494" s="76" t="s">
        <v>17960</v>
      </c>
    </row>
    <row r="1495" spans="1:2" x14ac:dyDescent="0.25">
      <c r="A1495" s="75">
        <v>20122340</v>
      </c>
      <c r="B1495" s="76" t="s">
        <v>17739</v>
      </c>
    </row>
    <row r="1496" spans="1:2" x14ac:dyDescent="0.25">
      <c r="A1496" s="75">
        <v>20122341</v>
      </c>
      <c r="B1496" s="76" t="s">
        <v>11407</v>
      </c>
    </row>
    <row r="1497" spans="1:2" x14ac:dyDescent="0.25">
      <c r="A1497" s="75">
        <v>20122342</v>
      </c>
      <c r="B1497" s="76" t="s">
        <v>4101</v>
      </c>
    </row>
    <row r="1498" spans="1:2" x14ac:dyDescent="0.25">
      <c r="A1498" s="75">
        <v>20122343</v>
      </c>
      <c r="B1498" s="76" t="s">
        <v>5186</v>
      </c>
    </row>
    <row r="1499" spans="1:2" x14ac:dyDescent="0.25">
      <c r="A1499" s="75">
        <v>20122344</v>
      </c>
      <c r="B1499" s="76" t="s">
        <v>5223</v>
      </c>
    </row>
    <row r="1500" spans="1:2" x14ac:dyDescent="0.25">
      <c r="A1500" s="75">
        <v>20122345</v>
      </c>
      <c r="B1500" s="76" t="s">
        <v>14337</v>
      </c>
    </row>
    <row r="1501" spans="1:2" x14ac:dyDescent="0.25">
      <c r="A1501" s="75">
        <v>20122346</v>
      </c>
      <c r="B1501" s="76" t="s">
        <v>7096</v>
      </c>
    </row>
    <row r="1502" spans="1:2" x14ac:dyDescent="0.25">
      <c r="A1502" s="75">
        <v>20122347</v>
      </c>
      <c r="B1502" s="76" t="s">
        <v>18791</v>
      </c>
    </row>
    <row r="1503" spans="1:2" x14ac:dyDescent="0.25">
      <c r="A1503" s="75">
        <v>20122348</v>
      </c>
      <c r="B1503" s="76" t="s">
        <v>14133</v>
      </c>
    </row>
    <row r="1504" spans="1:2" x14ac:dyDescent="0.25">
      <c r="A1504" s="75">
        <v>20122349</v>
      </c>
      <c r="B1504" s="76" t="s">
        <v>7283</v>
      </c>
    </row>
    <row r="1505" spans="1:2" x14ac:dyDescent="0.25">
      <c r="A1505" s="75">
        <v>20122350</v>
      </c>
      <c r="B1505" s="76" t="s">
        <v>5227</v>
      </c>
    </row>
    <row r="1506" spans="1:2" x14ac:dyDescent="0.25">
      <c r="A1506" s="75">
        <v>20122351</v>
      </c>
      <c r="B1506" s="76" t="s">
        <v>15736</v>
      </c>
    </row>
    <row r="1507" spans="1:2" x14ac:dyDescent="0.25">
      <c r="A1507" s="75">
        <v>20122352</v>
      </c>
      <c r="B1507" s="76" t="s">
        <v>1464</v>
      </c>
    </row>
    <row r="1508" spans="1:2" x14ac:dyDescent="0.25">
      <c r="A1508" s="75">
        <v>20122353</v>
      </c>
      <c r="B1508" s="76" t="s">
        <v>1333</v>
      </c>
    </row>
    <row r="1509" spans="1:2" x14ac:dyDescent="0.25">
      <c r="A1509" s="75">
        <v>20122354</v>
      </c>
      <c r="B1509" s="76" t="s">
        <v>17430</v>
      </c>
    </row>
    <row r="1510" spans="1:2" x14ac:dyDescent="0.25">
      <c r="A1510" s="75">
        <v>20122356</v>
      </c>
      <c r="B1510" s="76" t="s">
        <v>19587</v>
      </c>
    </row>
    <row r="1511" spans="1:2" x14ac:dyDescent="0.25">
      <c r="A1511" s="75">
        <v>20122357</v>
      </c>
      <c r="B1511" s="76" t="s">
        <v>12922</v>
      </c>
    </row>
    <row r="1512" spans="1:2" x14ac:dyDescent="0.25">
      <c r="A1512" s="75">
        <v>20122401</v>
      </c>
      <c r="B1512" s="76" t="s">
        <v>18462</v>
      </c>
    </row>
    <row r="1513" spans="1:2" x14ac:dyDescent="0.25">
      <c r="A1513" s="75">
        <v>20122402</v>
      </c>
      <c r="B1513" s="76" t="s">
        <v>3678</v>
      </c>
    </row>
    <row r="1514" spans="1:2" x14ac:dyDescent="0.25">
      <c r="A1514" s="75">
        <v>20122403</v>
      </c>
      <c r="B1514" s="76" t="s">
        <v>2833</v>
      </c>
    </row>
    <row r="1515" spans="1:2" x14ac:dyDescent="0.25">
      <c r="A1515" s="75">
        <v>20122404</v>
      </c>
      <c r="B1515" s="76" t="s">
        <v>5285</v>
      </c>
    </row>
    <row r="1516" spans="1:2" x14ac:dyDescent="0.25">
      <c r="A1516" s="75">
        <v>20122405</v>
      </c>
      <c r="B1516" s="76" t="s">
        <v>18695</v>
      </c>
    </row>
    <row r="1517" spans="1:2" x14ac:dyDescent="0.25">
      <c r="A1517" s="75">
        <v>20122406</v>
      </c>
      <c r="B1517" s="76" t="s">
        <v>18099</v>
      </c>
    </row>
    <row r="1518" spans="1:2" x14ac:dyDescent="0.25">
      <c r="A1518" s="75">
        <v>20122407</v>
      </c>
      <c r="B1518" s="76" t="s">
        <v>12495</v>
      </c>
    </row>
    <row r="1519" spans="1:2" x14ac:dyDescent="0.25">
      <c r="A1519" s="75">
        <v>20122408</v>
      </c>
      <c r="B1519" s="76" t="s">
        <v>12953</v>
      </c>
    </row>
    <row r="1520" spans="1:2" x14ac:dyDescent="0.25">
      <c r="A1520" s="75">
        <v>20122409</v>
      </c>
      <c r="B1520" s="76" t="s">
        <v>7628</v>
      </c>
    </row>
    <row r="1521" spans="1:2" x14ac:dyDescent="0.25">
      <c r="A1521" s="75">
        <v>20122410</v>
      </c>
      <c r="B1521" s="76" t="s">
        <v>10032</v>
      </c>
    </row>
    <row r="1522" spans="1:2" x14ac:dyDescent="0.25">
      <c r="A1522" s="75">
        <v>20122501</v>
      </c>
      <c r="B1522" s="76" t="s">
        <v>6173</v>
      </c>
    </row>
    <row r="1523" spans="1:2" x14ac:dyDescent="0.25">
      <c r="A1523" s="75">
        <v>20122502</v>
      </c>
      <c r="B1523" s="76" t="s">
        <v>7090</v>
      </c>
    </row>
    <row r="1524" spans="1:2" x14ac:dyDescent="0.25">
      <c r="A1524" s="75">
        <v>20122503</v>
      </c>
      <c r="B1524" s="76" t="s">
        <v>12958</v>
      </c>
    </row>
    <row r="1525" spans="1:2" x14ac:dyDescent="0.25">
      <c r="A1525" s="75">
        <v>20122504</v>
      </c>
      <c r="B1525" s="76" t="s">
        <v>17030</v>
      </c>
    </row>
    <row r="1526" spans="1:2" x14ac:dyDescent="0.25">
      <c r="A1526" s="75">
        <v>20122505</v>
      </c>
      <c r="B1526" s="76" t="s">
        <v>13886</v>
      </c>
    </row>
    <row r="1527" spans="1:2" x14ac:dyDescent="0.25">
      <c r="A1527" s="75">
        <v>20122506</v>
      </c>
      <c r="B1527" s="76" t="s">
        <v>12068</v>
      </c>
    </row>
    <row r="1528" spans="1:2" x14ac:dyDescent="0.25">
      <c r="A1528" s="75">
        <v>20122507</v>
      </c>
      <c r="B1528" s="76" t="s">
        <v>13009</v>
      </c>
    </row>
    <row r="1529" spans="1:2" x14ac:dyDescent="0.25">
      <c r="A1529" s="75">
        <v>20122508</v>
      </c>
      <c r="B1529" s="76" t="s">
        <v>13001</v>
      </c>
    </row>
    <row r="1530" spans="1:2" x14ac:dyDescent="0.25">
      <c r="A1530" s="75">
        <v>20122509</v>
      </c>
      <c r="B1530" s="76" t="s">
        <v>6687</v>
      </c>
    </row>
    <row r="1531" spans="1:2" x14ac:dyDescent="0.25">
      <c r="A1531" s="75">
        <v>20122510</v>
      </c>
      <c r="B1531" s="76" t="s">
        <v>16685</v>
      </c>
    </row>
    <row r="1532" spans="1:2" x14ac:dyDescent="0.25">
      <c r="A1532" s="75">
        <v>20122511</v>
      </c>
      <c r="B1532" s="76" t="s">
        <v>13915</v>
      </c>
    </row>
    <row r="1533" spans="1:2" x14ac:dyDescent="0.25">
      <c r="A1533" s="75">
        <v>20122512</v>
      </c>
      <c r="B1533" s="76" t="s">
        <v>609</v>
      </c>
    </row>
    <row r="1534" spans="1:2" x14ac:dyDescent="0.25">
      <c r="A1534" s="75">
        <v>20122513</v>
      </c>
      <c r="B1534" s="76" t="s">
        <v>15217</v>
      </c>
    </row>
    <row r="1535" spans="1:2" x14ac:dyDescent="0.25">
      <c r="A1535" s="75">
        <v>20122514</v>
      </c>
      <c r="B1535" s="76" t="s">
        <v>1747</v>
      </c>
    </row>
    <row r="1536" spans="1:2" x14ac:dyDescent="0.25">
      <c r="A1536" s="75">
        <v>20122515</v>
      </c>
      <c r="B1536" s="76" t="s">
        <v>8036</v>
      </c>
    </row>
    <row r="1537" spans="1:2" x14ac:dyDescent="0.25">
      <c r="A1537" s="75">
        <v>20122601</v>
      </c>
      <c r="B1537" s="76" t="s">
        <v>2474</v>
      </c>
    </row>
    <row r="1538" spans="1:2" x14ac:dyDescent="0.25">
      <c r="A1538" s="75">
        <v>20122602</v>
      </c>
      <c r="B1538" s="76" t="s">
        <v>4392</v>
      </c>
    </row>
    <row r="1539" spans="1:2" x14ac:dyDescent="0.25">
      <c r="A1539" s="75">
        <v>20122603</v>
      </c>
      <c r="B1539" s="76" t="s">
        <v>17513</v>
      </c>
    </row>
    <row r="1540" spans="1:2" x14ac:dyDescent="0.25">
      <c r="A1540" s="75">
        <v>20122604</v>
      </c>
      <c r="B1540" s="76" t="s">
        <v>2098</v>
      </c>
    </row>
    <row r="1541" spans="1:2" x14ac:dyDescent="0.25">
      <c r="A1541" s="75">
        <v>20122605</v>
      </c>
      <c r="B1541" s="76" t="s">
        <v>1497</v>
      </c>
    </row>
    <row r="1542" spans="1:2" x14ac:dyDescent="0.25">
      <c r="A1542" s="75">
        <v>20122606</v>
      </c>
      <c r="B1542" s="76" t="s">
        <v>14009</v>
      </c>
    </row>
    <row r="1543" spans="1:2" x14ac:dyDescent="0.25">
      <c r="A1543" s="75">
        <v>20122607</v>
      </c>
      <c r="B1543" s="76" t="s">
        <v>17086</v>
      </c>
    </row>
    <row r="1544" spans="1:2" x14ac:dyDescent="0.25">
      <c r="A1544" s="75">
        <v>20122608</v>
      </c>
      <c r="B1544" s="76" t="s">
        <v>17564</v>
      </c>
    </row>
    <row r="1545" spans="1:2" x14ac:dyDescent="0.25">
      <c r="A1545" s="75">
        <v>20122609</v>
      </c>
      <c r="B1545" s="76" t="s">
        <v>14292</v>
      </c>
    </row>
    <row r="1546" spans="1:2" x14ac:dyDescent="0.25">
      <c r="A1546" s="75">
        <v>20122610</v>
      </c>
      <c r="B1546" s="76" t="s">
        <v>932</v>
      </c>
    </row>
    <row r="1547" spans="1:2" x14ac:dyDescent="0.25">
      <c r="A1547" s="75">
        <v>20122611</v>
      </c>
      <c r="B1547" s="76" t="s">
        <v>7361</v>
      </c>
    </row>
    <row r="1548" spans="1:2" x14ac:dyDescent="0.25">
      <c r="A1548" s="75">
        <v>20122612</v>
      </c>
      <c r="B1548" s="76" t="s">
        <v>16547</v>
      </c>
    </row>
    <row r="1549" spans="1:2" x14ac:dyDescent="0.25">
      <c r="A1549" s="75">
        <v>20122613</v>
      </c>
      <c r="B1549" s="76" t="s">
        <v>7054</v>
      </c>
    </row>
    <row r="1550" spans="1:2" x14ac:dyDescent="0.25">
      <c r="A1550" s="75">
        <v>20122614</v>
      </c>
      <c r="B1550" s="76" t="s">
        <v>17828</v>
      </c>
    </row>
    <row r="1551" spans="1:2" x14ac:dyDescent="0.25">
      <c r="A1551" s="75">
        <v>20122615</v>
      </c>
      <c r="B1551" s="76" t="s">
        <v>7627</v>
      </c>
    </row>
    <row r="1552" spans="1:2" x14ac:dyDescent="0.25">
      <c r="A1552" s="75">
        <v>20122616</v>
      </c>
      <c r="B1552" s="76" t="s">
        <v>12994</v>
      </c>
    </row>
    <row r="1553" spans="1:2" x14ac:dyDescent="0.25">
      <c r="A1553" s="75">
        <v>20122617</v>
      </c>
      <c r="B1553" s="76" t="s">
        <v>14379</v>
      </c>
    </row>
    <row r="1554" spans="1:2" x14ac:dyDescent="0.25">
      <c r="A1554" s="75">
        <v>20122618</v>
      </c>
      <c r="B1554" s="76" t="s">
        <v>1501</v>
      </c>
    </row>
    <row r="1555" spans="1:2" x14ac:dyDescent="0.25">
      <c r="A1555" s="75">
        <v>20122619</v>
      </c>
      <c r="B1555" s="76" t="s">
        <v>11672</v>
      </c>
    </row>
    <row r="1556" spans="1:2" x14ac:dyDescent="0.25">
      <c r="A1556" s="75">
        <v>20122620</v>
      </c>
      <c r="B1556" s="76" t="s">
        <v>12424</v>
      </c>
    </row>
    <row r="1557" spans="1:2" x14ac:dyDescent="0.25">
      <c r="A1557" s="75">
        <v>20122621</v>
      </c>
      <c r="B1557" s="76" t="s">
        <v>15638</v>
      </c>
    </row>
    <row r="1558" spans="1:2" x14ac:dyDescent="0.25">
      <c r="A1558" s="75">
        <v>20122622</v>
      </c>
      <c r="B1558" s="76" t="s">
        <v>11576</v>
      </c>
    </row>
    <row r="1559" spans="1:2" x14ac:dyDescent="0.25">
      <c r="A1559" s="75">
        <v>20122623</v>
      </c>
      <c r="B1559" s="76" t="s">
        <v>4957</v>
      </c>
    </row>
    <row r="1560" spans="1:2" x14ac:dyDescent="0.25">
      <c r="A1560" s="75">
        <v>20122701</v>
      </c>
      <c r="B1560" s="76" t="s">
        <v>13831</v>
      </c>
    </row>
    <row r="1561" spans="1:2" x14ac:dyDescent="0.25">
      <c r="A1561" s="75">
        <v>20122702</v>
      </c>
      <c r="B1561" s="76" t="s">
        <v>8948</v>
      </c>
    </row>
    <row r="1562" spans="1:2" x14ac:dyDescent="0.25">
      <c r="A1562" s="75">
        <v>20122703</v>
      </c>
      <c r="B1562" s="76" t="s">
        <v>5087</v>
      </c>
    </row>
    <row r="1563" spans="1:2" x14ac:dyDescent="0.25">
      <c r="A1563" s="75">
        <v>20122704</v>
      </c>
      <c r="B1563" s="76" t="s">
        <v>16637</v>
      </c>
    </row>
    <row r="1564" spans="1:2" x14ac:dyDescent="0.25">
      <c r="A1564" s="75">
        <v>20122705</v>
      </c>
      <c r="B1564" s="76" t="s">
        <v>5791</v>
      </c>
    </row>
    <row r="1565" spans="1:2" x14ac:dyDescent="0.25">
      <c r="A1565" s="75">
        <v>20122706</v>
      </c>
      <c r="B1565" s="76" t="s">
        <v>18828</v>
      </c>
    </row>
    <row r="1566" spans="1:2" x14ac:dyDescent="0.25">
      <c r="A1566" s="75">
        <v>20122707</v>
      </c>
      <c r="B1566" s="76" t="s">
        <v>2080</v>
      </c>
    </row>
    <row r="1567" spans="1:2" x14ac:dyDescent="0.25">
      <c r="A1567" s="75">
        <v>20122708</v>
      </c>
      <c r="B1567" s="76" t="s">
        <v>2439</v>
      </c>
    </row>
    <row r="1568" spans="1:2" x14ac:dyDescent="0.25">
      <c r="A1568" s="75">
        <v>20122709</v>
      </c>
      <c r="B1568" s="76" t="s">
        <v>6689</v>
      </c>
    </row>
    <row r="1569" spans="1:2" x14ac:dyDescent="0.25">
      <c r="A1569" s="75">
        <v>20122801</v>
      </c>
      <c r="B1569" s="76" t="s">
        <v>14020</v>
      </c>
    </row>
    <row r="1570" spans="1:2" x14ac:dyDescent="0.25">
      <c r="A1570" s="75">
        <v>20122802</v>
      </c>
      <c r="B1570" s="76" t="s">
        <v>16799</v>
      </c>
    </row>
    <row r="1571" spans="1:2" x14ac:dyDescent="0.25">
      <c r="A1571" s="75">
        <v>20122803</v>
      </c>
      <c r="B1571" s="76" t="s">
        <v>8395</v>
      </c>
    </row>
    <row r="1572" spans="1:2" x14ac:dyDescent="0.25">
      <c r="A1572" s="75">
        <v>20122804</v>
      </c>
      <c r="B1572" s="76" t="s">
        <v>3603</v>
      </c>
    </row>
    <row r="1573" spans="1:2" x14ac:dyDescent="0.25">
      <c r="A1573" s="75">
        <v>20122806</v>
      </c>
      <c r="B1573" s="76" t="s">
        <v>1360</v>
      </c>
    </row>
    <row r="1574" spans="1:2" x14ac:dyDescent="0.25">
      <c r="A1574" s="75">
        <v>20122807</v>
      </c>
      <c r="B1574" s="76" t="s">
        <v>2290</v>
      </c>
    </row>
    <row r="1575" spans="1:2" x14ac:dyDescent="0.25">
      <c r="A1575" s="75">
        <v>20122808</v>
      </c>
      <c r="B1575" s="76" t="s">
        <v>19806</v>
      </c>
    </row>
    <row r="1576" spans="1:2" x14ac:dyDescent="0.25">
      <c r="A1576" s="75">
        <v>20122809</v>
      </c>
      <c r="B1576" s="76" t="s">
        <v>13795</v>
      </c>
    </row>
    <row r="1577" spans="1:2" x14ac:dyDescent="0.25">
      <c r="A1577" s="75">
        <v>20122810</v>
      </c>
      <c r="B1577" s="76" t="s">
        <v>11229</v>
      </c>
    </row>
    <row r="1578" spans="1:2" x14ac:dyDescent="0.25">
      <c r="A1578" s="75">
        <v>20122811</v>
      </c>
      <c r="B1578" s="76" t="s">
        <v>1080</v>
      </c>
    </row>
    <row r="1579" spans="1:2" x14ac:dyDescent="0.25">
      <c r="A1579" s="75">
        <v>20122812</v>
      </c>
      <c r="B1579" s="76" t="s">
        <v>4337</v>
      </c>
    </row>
    <row r="1580" spans="1:2" x14ac:dyDescent="0.25">
      <c r="A1580" s="75">
        <v>20122813</v>
      </c>
      <c r="B1580" s="76" t="s">
        <v>10612</v>
      </c>
    </row>
    <row r="1581" spans="1:2" x14ac:dyDescent="0.25">
      <c r="A1581" s="75">
        <v>20122814</v>
      </c>
      <c r="B1581" s="76" t="s">
        <v>8480</v>
      </c>
    </row>
    <row r="1582" spans="1:2" x14ac:dyDescent="0.25">
      <c r="A1582" s="75">
        <v>20122815</v>
      </c>
      <c r="B1582" s="76" t="s">
        <v>5654</v>
      </c>
    </row>
    <row r="1583" spans="1:2" x14ac:dyDescent="0.25">
      <c r="A1583" s="75">
        <v>20122816</v>
      </c>
      <c r="B1583" s="76" t="s">
        <v>1167</v>
      </c>
    </row>
    <row r="1584" spans="1:2" x14ac:dyDescent="0.25">
      <c r="A1584" s="75">
        <v>20122817</v>
      </c>
      <c r="B1584" s="76" t="s">
        <v>13442</v>
      </c>
    </row>
    <row r="1585" spans="1:2" x14ac:dyDescent="0.25">
      <c r="A1585" s="75">
        <v>20122818</v>
      </c>
      <c r="B1585" s="76" t="s">
        <v>9686</v>
      </c>
    </row>
    <row r="1586" spans="1:2" x14ac:dyDescent="0.25">
      <c r="A1586" s="75">
        <v>20122819</v>
      </c>
      <c r="B1586" s="76" t="s">
        <v>1881</v>
      </c>
    </row>
    <row r="1587" spans="1:2" x14ac:dyDescent="0.25">
      <c r="A1587" s="75">
        <v>20122820</v>
      </c>
      <c r="B1587" s="76" t="s">
        <v>2234</v>
      </c>
    </row>
    <row r="1588" spans="1:2" x14ac:dyDescent="0.25">
      <c r="A1588" s="75">
        <v>20122821</v>
      </c>
      <c r="B1588" s="76" t="s">
        <v>4921</v>
      </c>
    </row>
    <row r="1589" spans="1:2" x14ac:dyDescent="0.25">
      <c r="A1589" s="75">
        <v>20122822</v>
      </c>
      <c r="B1589" s="76" t="s">
        <v>2233</v>
      </c>
    </row>
    <row r="1590" spans="1:2" x14ac:dyDescent="0.25">
      <c r="A1590" s="75">
        <v>20122823</v>
      </c>
      <c r="B1590" s="76" t="s">
        <v>5408</v>
      </c>
    </row>
    <row r="1591" spans="1:2" x14ac:dyDescent="0.25">
      <c r="A1591" s="75">
        <v>20122824</v>
      </c>
      <c r="B1591" s="76" t="s">
        <v>11864</v>
      </c>
    </row>
    <row r="1592" spans="1:2" x14ac:dyDescent="0.25">
      <c r="A1592" s="75">
        <v>20122825</v>
      </c>
      <c r="B1592" s="76" t="s">
        <v>14701</v>
      </c>
    </row>
    <row r="1593" spans="1:2" x14ac:dyDescent="0.25">
      <c r="A1593" s="75">
        <v>20122826</v>
      </c>
      <c r="B1593" s="76" t="s">
        <v>7557</v>
      </c>
    </row>
    <row r="1594" spans="1:2" x14ac:dyDescent="0.25">
      <c r="A1594" s="75">
        <v>20122827</v>
      </c>
      <c r="B1594" s="76" t="s">
        <v>16541</v>
      </c>
    </row>
    <row r="1595" spans="1:2" x14ac:dyDescent="0.25">
      <c r="A1595" s="75">
        <v>20122828</v>
      </c>
      <c r="B1595" s="76" t="s">
        <v>17205</v>
      </c>
    </row>
    <row r="1596" spans="1:2" x14ac:dyDescent="0.25">
      <c r="A1596" s="75">
        <v>20122829</v>
      </c>
      <c r="B1596" s="76" t="s">
        <v>18918</v>
      </c>
    </row>
    <row r="1597" spans="1:2" x14ac:dyDescent="0.25">
      <c r="A1597" s="75">
        <v>20122830</v>
      </c>
      <c r="B1597" s="76" t="s">
        <v>12996</v>
      </c>
    </row>
    <row r="1598" spans="1:2" x14ac:dyDescent="0.25">
      <c r="A1598" s="75">
        <v>20122831</v>
      </c>
      <c r="B1598" s="76" t="s">
        <v>17648</v>
      </c>
    </row>
    <row r="1599" spans="1:2" x14ac:dyDescent="0.25">
      <c r="A1599" s="75">
        <v>20122832</v>
      </c>
      <c r="B1599" s="76" t="s">
        <v>6718</v>
      </c>
    </row>
    <row r="1600" spans="1:2" x14ac:dyDescent="0.25">
      <c r="A1600" s="75">
        <v>20122833</v>
      </c>
      <c r="B1600" s="76" t="s">
        <v>18491</v>
      </c>
    </row>
    <row r="1601" spans="1:2" x14ac:dyDescent="0.25">
      <c r="A1601" s="75">
        <v>20122834</v>
      </c>
      <c r="B1601" s="76" t="s">
        <v>10241</v>
      </c>
    </row>
    <row r="1602" spans="1:2" x14ac:dyDescent="0.25">
      <c r="A1602" s="75">
        <v>20122835</v>
      </c>
      <c r="B1602" s="76" t="s">
        <v>13205</v>
      </c>
    </row>
    <row r="1603" spans="1:2" x14ac:dyDescent="0.25">
      <c r="A1603" s="75">
        <v>20122836</v>
      </c>
      <c r="B1603" s="76" t="s">
        <v>15852</v>
      </c>
    </row>
    <row r="1604" spans="1:2" x14ac:dyDescent="0.25">
      <c r="A1604" s="75">
        <v>20122837</v>
      </c>
      <c r="B1604" s="76" t="s">
        <v>11617</v>
      </c>
    </row>
    <row r="1605" spans="1:2" x14ac:dyDescent="0.25">
      <c r="A1605" s="75">
        <v>20122838</v>
      </c>
      <c r="B1605" s="76" t="s">
        <v>12278</v>
      </c>
    </row>
    <row r="1606" spans="1:2" x14ac:dyDescent="0.25">
      <c r="A1606" s="75">
        <v>20122839</v>
      </c>
      <c r="B1606" s="76" t="s">
        <v>15966</v>
      </c>
    </row>
    <row r="1607" spans="1:2" x14ac:dyDescent="0.25">
      <c r="A1607" s="75">
        <v>20122840</v>
      </c>
      <c r="B1607" s="76" t="s">
        <v>7952</v>
      </c>
    </row>
    <row r="1608" spans="1:2" x14ac:dyDescent="0.25">
      <c r="A1608" s="75">
        <v>20122841</v>
      </c>
      <c r="B1608" s="76" t="s">
        <v>11950</v>
      </c>
    </row>
    <row r="1609" spans="1:2" x14ac:dyDescent="0.25">
      <c r="A1609" s="75">
        <v>20122842</v>
      </c>
      <c r="B1609" s="76" t="s">
        <v>10852</v>
      </c>
    </row>
    <row r="1610" spans="1:2" x14ac:dyDescent="0.25">
      <c r="A1610" s="75">
        <v>20122843</v>
      </c>
      <c r="B1610" s="76" t="s">
        <v>1873</v>
      </c>
    </row>
    <row r="1611" spans="1:2" x14ac:dyDescent="0.25">
      <c r="A1611" s="75">
        <v>20122901</v>
      </c>
      <c r="B1611" s="76" t="s">
        <v>876</v>
      </c>
    </row>
    <row r="1612" spans="1:2" x14ac:dyDescent="0.25">
      <c r="A1612" s="75">
        <v>20122902</v>
      </c>
      <c r="B1612" s="76" t="s">
        <v>11624</v>
      </c>
    </row>
    <row r="1613" spans="1:2" x14ac:dyDescent="0.25">
      <c r="A1613" s="75">
        <v>20122903</v>
      </c>
      <c r="B1613" s="76" t="s">
        <v>19624</v>
      </c>
    </row>
    <row r="1614" spans="1:2" x14ac:dyDescent="0.25">
      <c r="A1614" s="75">
        <v>20123001</v>
      </c>
      <c r="B1614" s="76" t="s">
        <v>17661</v>
      </c>
    </row>
    <row r="1615" spans="1:2" x14ac:dyDescent="0.25">
      <c r="A1615" s="75">
        <v>20123002</v>
      </c>
      <c r="B1615" s="76" t="s">
        <v>16525</v>
      </c>
    </row>
    <row r="1616" spans="1:2" x14ac:dyDescent="0.25">
      <c r="A1616" s="75">
        <v>20123003</v>
      </c>
      <c r="B1616" s="76" t="s">
        <v>12309</v>
      </c>
    </row>
    <row r="1617" spans="1:2" x14ac:dyDescent="0.25">
      <c r="A1617" s="75">
        <v>20131001</v>
      </c>
      <c r="B1617" s="76" t="s">
        <v>15062</v>
      </c>
    </row>
    <row r="1618" spans="1:2" x14ac:dyDescent="0.25">
      <c r="A1618" s="75">
        <v>20131002</v>
      </c>
      <c r="B1618" s="76" t="s">
        <v>15171</v>
      </c>
    </row>
    <row r="1619" spans="1:2" x14ac:dyDescent="0.25">
      <c r="A1619" s="75">
        <v>20131003</v>
      </c>
      <c r="B1619" s="76" t="s">
        <v>6318</v>
      </c>
    </row>
    <row r="1620" spans="1:2" x14ac:dyDescent="0.25">
      <c r="A1620" s="75">
        <v>20131004</v>
      </c>
      <c r="B1620" s="76" t="s">
        <v>4454</v>
      </c>
    </row>
    <row r="1621" spans="1:2" x14ac:dyDescent="0.25">
      <c r="A1621" s="75">
        <v>20131005</v>
      </c>
      <c r="B1621" s="76" t="s">
        <v>1579</v>
      </c>
    </row>
    <row r="1622" spans="1:2" x14ac:dyDescent="0.25">
      <c r="A1622" s="75">
        <v>20131006</v>
      </c>
      <c r="B1622" s="76" t="s">
        <v>3635</v>
      </c>
    </row>
    <row r="1623" spans="1:2" x14ac:dyDescent="0.25">
      <c r="A1623" s="75">
        <v>20131007</v>
      </c>
      <c r="B1623" s="76" t="s">
        <v>13661</v>
      </c>
    </row>
    <row r="1624" spans="1:2" x14ac:dyDescent="0.25">
      <c r="A1624" s="75">
        <v>20131008</v>
      </c>
      <c r="B1624" s="76" t="s">
        <v>9592</v>
      </c>
    </row>
    <row r="1625" spans="1:2" x14ac:dyDescent="0.25">
      <c r="A1625" s="75">
        <v>20131009</v>
      </c>
      <c r="B1625" s="76" t="s">
        <v>6029</v>
      </c>
    </row>
    <row r="1626" spans="1:2" x14ac:dyDescent="0.25">
      <c r="A1626" s="75">
        <v>20131010</v>
      </c>
      <c r="B1626" s="76" t="s">
        <v>3502</v>
      </c>
    </row>
    <row r="1627" spans="1:2" x14ac:dyDescent="0.25">
      <c r="A1627" s="75">
        <v>20131101</v>
      </c>
      <c r="B1627" s="76" t="s">
        <v>3896</v>
      </c>
    </row>
    <row r="1628" spans="1:2" x14ac:dyDescent="0.25">
      <c r="A1628" s="75">
        <v>20131102</v>
      </c>
      <c r="B1628" s="76" t="s">
        <v>6792</v>
      </c>
    </row>
    <row r="1629" spans="1:2" x14ac:dyDescent="0.25">
      <c r="A1629" s="75">
        <v>20131103</v>
      </c>
      <c r="B1629" s="76" t="s">
        <v>3825</v>
      </c>
    </row>
    <row r="1630" spans="1:2" x14ac:dyDescent="0.25">
      <c r="A1630" s="75">
        <v>20131104</v>
      </c>
      <c r="B1630" s="76" t="s">
        <v>14519</v>
      </c>
    </row>
    <row r="1631" spans="1:2" x14ac:dyDescent="0.25">
      <c r="A1631" s="75">
        <v>20131105</v>
      </c>
      <c r="B1631" s="76" t="s">
        <v>4988</v>
      </c>
    </row>
    <row r="1632" spans="1:2" x14ac:dyDescent="0.25">
      <c r="A1632" s="75">
        <v>20131106</v>
      </c>
      <c r="B1632" s="76" t="s">
        <v>5149</v>
      </c>
    </row>
    <row r="1633" spans="1:2" x14ac:dyDescent="0.25">
      <c r="A1633" s="75">
        <v>20131201</v>
      </c>
      <c r="B1633" s="76" t="s">
        <v>5354</v>
      </c>
    </row>
    <row r="1634" spans="1:2" x14ac:dyDescent="0.25">
      <c r="A1634" s="75">
        <v>20131202</v>
      </c>
      <c r="B1634" s="76" t="s">
        <v>4386</v>
      </c>
    </row>
    <row r="1635" spans="1:2" x14ac:dyDescent="0.25">
      <c r="A1635" s="75">
        <v>20131301</v>
      </c>
      <c r="B1635" s="76" t="s">
        <v>14417</v>
      </c>
    </row>
    <row r="1636" spans="1:2" x14ac:dyDescent="0.25">
      <c r="A1636" s="75">
        <v>20131302</v>
      </c>
      <c r="B1636" s="76" t="s">
        <v>14803</v>
      </c>
    </row>
    <row r="1637" spans="1:2" x14ac:dyDescent="0.25">
      <c r="A1637" s="75">
        <v>20131303</v>
      </c>
      <c r="B1637" s="76" t="s">
        <v>4081</v>
      </c>
    </row>
    <row r="1638" spans="1:2" x14ac:dyDescent="0.25">
      <c r="A1638" s="75">
        <v>20131304</v>
      </c>
      <c r="B1638" s="76" t="s">
        <v>4307</v>
      </c>
    </row>
    <row r="1639" spans="1:2" x14ac:dyDescent="0.25">
      <c r="A1639" s="75">
        <v>20131305</v>
      </c>
      <c r="B1639" s="76" t="s">
        <v>8420</v>
      </c>
    </row>
    <row r="1640" spans="1:2" x14ac:dyDescent="0.25">
      <c r="A1640" s="75">
        <v>20131306</v>
      </c>
      <c r="B1640" s="76" t="s">
        <v>16613</v>
      </c>
    </row>
    <row r="1641" spans="1:2" x14ac:dyDescent="0.25">
      <c r="A1641" s="75">
        <v>20131307</v>
      </c>
      <c r="B1641" s="76" t="s">
        <v>16021</v>
      </c>
    </row>
    <row r="1642" spans="1:2" x14ac:dyDescent="0.25">
      <c r="A1642" s="75">
        <v>20131308</v>
      </c>
      <c r="B1642" s="76" t="s">
        <v>537</v>
      </c>
    </row>
    <row r="1643" spans="1:2" x14ac:dyDescent="0.25">
      <c r="A1643" s="75">
        <v>20141001</v>
      </c>
      <c r="B1643" s="76" t="s">
        <v>6851</v>
      </c>
    </row>
    <row r="1644" spans="1:2" x14ac:dyDescent="0.25">
      <c r="A1644" s="75">
        <v>20141002</v>
      </c>
      <c r="B1644" s="76" t="s">
        <v>19617</v>
      </c>
    </row>
    <row r="1645" spans="1:2" x14ac:dyDescent="0.25">
      <c r="A1645" s="75">
        <v>20141003</v>
      </c>
      <c r="B1645" s="76" t="s">
        <v>4310</v>
      </c>
    </row>
    <row r="1646" spans="1:2" x14ac:dyDescent="0.25">
      <c r="A1646" s="75">
        <v>20141004</v>
      </c>
      <c r="B1646" s="76" t="s">
        <v>18052</v>
      </c>
    </row>
    <row r="1647" spans="1:2" x14ac:dyDescent="0.25">
      <c r="A1647" s="75">
        <v>20141005</v>
      </c>
      <c r="B1647" s="76" t="s">
        <v>17905</v>
      </c>
    </row>
    <row r="1648" spans="1:2" x14ac:dyDescent="0.25">
      <c r="A1648" s="75">
        <v>20141006</v>
      </c>
      <c r="B1648" s="76" t="s">
        <v>11200</v>
      </c>
    </row>
    <row r="1649" spans="1:2" x14ac:dyDescent="0.25">
      <c r="A1649" s="75">
        <v>20141007</v>
      </c>
      <c r="B1649" s="76" t="s">
        <v>8837</v>
      </c>
    </row>
    <row r="1650" spans="1:2" x14ac:dyDescent="0.25">
      <c r="A1650" s="75">
        <v>20141008</v>
      </c>
      <c r="B1650" s="76" t="s">
        <v>17860</v>
      </c>
    </row>
    <row r="1651" spans="1:2" x14ac:dyDescent="0.25">
      <c r="A1651" s="75">
        <v>20141011</v>
      </c>
      <c r="B1651" s="76" t="s">
        <v>5508</v>
      </c>
    </row>
    <row r="1652" spans="1:2" x14ac:dyDescent="0.25">
      <c r="A1652" s="75">
        <v>20141012</v>
      </c>
      <c r="B1652" s="76" t="s">
        <v>16399</v>
      </c>
    </row>
    <row r="1653" spans="1:2" x14ac:dyDescent="0.25">
      <c r="A1653" s="75">
        <v>20141013</v>
      </c>
      <c r="B1653" s="76" t="s">
        <v>8214</v>
      </c>
    </row>
    <row r="1654" spans="1:2" x14ac:dyDescent="0.25">
      <c r="A1654" s="75">
        <v>20141014</v>
      </c>
      <c r="B1654" s="76" t="s">
        <v>3543</v>
      </c>
    </row>
    <row r="1655" spans="1:2" x14ac:dyDescent="0.25">
      <c r="A1655" s="75">
        <v>20141015</v>
      </c>
      <c r="B1655" s="76" t="s">
        <v>7321</v>
      </c>
    </row>
    <row r="1656" spans="1:2" x14ac:dyDescent="0.25">
      <c r="A1656" s="75">
        <v>20141101</v>
      </c>
      <c r="B1656" s="76" t="s">
        <v>7539</v>
      </c>
    </row>
    <row r="1657" spans="1:2" x14ac:dyDescent="0.25">
      <c r="A1657" s="75">
        <v>20141201</v>
      </c>
      <c r="B1657" s="76" t="s">
        <v>9415</v>
      </c>
    </row>
    <row r="1658" spans="1:2" x14ac:dyDescent="0.25">
      <c r="A1658" s="75">
        <v>20141301</v>
      </c>
      <c r="B1658" s="76" t="s">
        <v>916</v>
      </c>
    </row>
    <row r="1659" spans="1:2" x14ac:dyDescent="0.25">
      <c r="A1659" s="75">
        <v>20141401</v>
      </c>
      <c r="B1659" s="76" t="s">
        <v>3716</v>
      </c>
    </row>
    <row r="1660" spans="1:2" x14ac:dyDescent="0.25">
      <c r="A1660" s="75">
        <v>20141501</v>
      </c>
      <c r="B1660" s="76" t="s">
        <v>8690</v>
      </c>
    </row>
    <row r="1661" spans="1:2" x14ac:dyDescent="0.25">
      <c r="A1661" s="75">
        <v>20141601</v>
      </c>
      <c r="B1661" s="76" t="s">
        <v>1370</v>
      </c>
    </row>
    <row r="1662" spans="1:2" x14ac:dyDescent="0.25">
      <c r="A1662" s="75">
        <v>20141701</v>
      </c>
      <c r="B1662" s="76" t="s">
        <v>16644</v>
      </c>
    </row>
    <row r="1663" spans="1:2" x14ac:dyDescent="0.25">
      <c r="A1663" s="75">
        <v>20141702</v>
      </c>
      <c r="B1663" s="76" t="s">
        <v>5618</v>
      </c>
    </row>
    <row r="1664" spans="1:2" x14ac:dyDescent="0.25">
      <c r="A1664" s="75">
        <v>20141703</v>
      </c>
      <c r="B1664" s="76" t="s">
        <v>858</v>
      </c>
    </row>
    <row r="1665" spans="1:2" x14ac:dyDescent="0.25">
      <c r="A1665" s="75">
        <v>20141704</v>
      </c>
      <c r="B1665" s="76" t="s">
        <v>11818</v>
      </c>
    </row>
    <row r="1666" spans="1:2" x14ac:dyDescent="0.25">
      <c r="A1666" s="75">
        <v>20141705</v>
      </c>
      <c r="B1666" s="76" t="s">
        <v>7665</v>
      </c>
    </row>
    <row r="1667" spans="1:2" x14ac:dyDescent="0.25">
      <c r="A1667" s="75">
        <v>20141801</v>
      </c>
      <c r="B1667" s="76" t="s">
        <v>4878</v>
      </c>
    </row>
    <row r="1668" spans="1:2" x14ac:dyDescent="0.25">
      <c r="A1668" s="75">
        <v>20141901</v>
      </c>
      <c r="B1668" s="76" t="s">
        <v>7903</v>
      </c>
    </row>
    <row r="1669" spans="1:2" x14ac:dyDescent="0.25">
      <c r="A1669" s="75">
        <v>20142001</v>
      </c>
      <c r="B1669" s="76" t="s">
        <v>8860</v>
      </c>
    </row>
    <row r="1670" spans="1:2" x14ac:dyDescent="0.25">
      <c r="A1670" s="75">
        <v>20142101</v>
      </c>
      <c r="B1670" s="76" t="s">
        <v>9609</v>
      </c>
    </row>
    <row r="1671" spans="1:2" x14ac:dyDescent="0.25">
      <c r="A1671" s="75">
        <v>20142201</v>
      </c>
      <c r="B1671" s="76" t="s">
        <v>12085</v>
      </c>
    </row>
    <row r="1672" spans="1:2" x14ac:dyDescent="0.25">
      <c r="A1672" s="75">
        <v>20142301</v>
      </c>
      <c r="B1672" s="76" t="s">
        <v>992</v>
      </c>
    </row>
    <row r="1673" spans="1:2" x14ac:dyDescent="0.25">
      <c r="A1673" s="75">
        <v>20142401</v>
      </c>
      <c r="B1673" s="76" t="s">
        <v>8702</v>
      </c>
    </row>
    <row r="1674" spans="1:2" x14ac:dyDescent="0.25">
      <c r="A1674" s="75">
        <v>20142402</v>
      </c>
      <c r="B1674" s="76" t="s">
        <v>19522</v>
      </c>
    </row>
    <row r="1675" spans="1:2" x14ac:dyDescent="0.25">
      <c r="A1675" s="75">
        <v>20142403</v>
      </c>
      <c r="B1675" s="76" t="s">
        <v>13516</v>
      </c>
    </row>
    <row r="1676" spans="1:2" x14ac:dyDescent="0.25">
      <c r="A1676" s="75">
        <v>20142404</v>
      </c>
      <c r="B1676" s="76" t="s">
        <v>19724</v>
      </c>
    </row>
    <row r="1677" spans="1:2" x14ac:dyDescent="0.25">
      <c r="A1677" s="75">
        <v>20142405</v>
      </c>
      <c r="B1677" s="76" t="s">
        <v>14371</v>
      </c>
    </row>
    <row r="1678" spans="1:2" x14ac:dyDescent="0.25">
      <c r="A1678" s="75">
        <v>20142501</v>
      </c>
      <c r="B1678" s="76" t="s">
        <v>17994</v>
      </c>
    </row>
    <row r="1679" spans="1:2" x14ac:dyDescent="0.25">
      <c r="A1679" s="75">
        <v>20142601</v>
      </c>
      <c r="B1679" s="76" t="s">
        <v>9366</v>
      </c>
    </row>
    <row r="1680" spans="1:2" x14ac:dyDescent="0.25">
      <c r="A1680" s="75">
        <v>20142701</v>
      </c>
      <c r="B1680" s="76" t="s">
        <v>7715</v>
      </c>
    </row>
    <row r="1681" spans="1:2" x14ac:dyDescent="0.25">
      <c r="A1681" s="75">
        <v>20142702</v>
      </c>
      <c r="B1681" s="76" t="s">
        <v>18536</v>
      </c>
    </row>
    <row r="1682" spans="1:2" x14ac:dyDescent="0.25">
      <c r="A1682" s="75">
        <v>20142703</v>
      </c>
      <c r="B1682" s="76" t="s">
        <v>14618</v>
      </c>
    </row>
    <row r="1683" spans="1:2" x14ac:dyDescent="0.25">
      <c r="A1683" s="75">
        <v>20142801</v>
      </c>
      <c r="B1683" s="76" t="s">
        <v>18236</v>
      </c>
    </row>
    <row r="1684" spans="1:2" x14ac:dyDescent="0.25">
      <c r="A1684" s="75">
        <v>20142901</v>
      </c>
      <c r="B1684" s="76" t="s">
        <v>6547</v>
      </c>
    </row>
    <row r="1685" spans="1:2" x14ac:dyDescent="0.25">
      <c r="A1685" s="75">
        <v>20143001</v>
      </c>
      <c r="B1685" s="76" t="s">
        <v>1802</v>
      </c>
    </row>
    <row r="1686" spans="1:2" x14ac:dyDescent="0.25">
      <c r="A1686" s="75">
        <v>20143002</v>
      </c>
      <c r="B1686" s="76" t="s">
        <v>18072</v>
      </c>
    </row>
    <row r="1687" spans="1:2" x14ac:dyDescent="0.25">
      <c r="A1687" s="75">
        <v>21101501</v>
      </c>
      <c r="B1687" s="76" t="s">
        <v>17765</v>
      </c>
    </row>
    <row r="1688" spans="1:2" x14ac:dyDescent="0.25">
      <c r="A1688" s="75">
        <v>21101502</v>
      </c>
      <c r="B1688" s="76" t="s">
        <v>14439</v>
      </c>
    </row>
    <row r="1689" spans="1:2" x14ac:dyDescent="0.25">
      <c r="A1689" s="75">
        <v>21101503</v>
      </c>
      <c r="B1689" s="76" t="s">
        <v>12307</v>
      </c>
    </row>
    <row r="1690" spans="1:2" x14ac:dyDescent="0.25">
      <c r="A1690" s="75">
        <v>21101504</v>
      </c>
      <c r="B1690" s="76" t="s">
        <v>16920</v>
      </c>
    </row>
    <row r="1691" spans="1:2" x14ac:dyDescent="0.25">
      <c r="A1691" s="75">
        <v>21101505</v>
      </c>
      <c r="B1691" s="76" t="s">
        <v>644</v>
      </c>
    </row>
    <row r="1692" spans="1:2" x14ac:dyDescent="0.25">
      <c r="A1692" s="75">
        <v>21101506</v>
      </c>
      <c r="B1692" s="76" t="s">
        <v>8457</v>
      </c>
    </row>
    <row r="1693" spans="1:2" x14ac:dyDescent="0.25">
      <c r="A1693" s="75">
        <v>21101507</v>
      </c>
      <c r="B1693" s="76" t="s">
        <v>4753</v>
      </c>
    </row>
    <row r="1694" spans="1:2" x14ac:dyDescent="0.25">
      <c r="A1694" s="75">
        <v>21101508</v>
      </c>
      <c r="B1694" s="76" t="s">
        <v>178</v>
      </c>
    </row>
    <row r="1695" spans="1:2" x14ac:dyDescent="0.25">
      <c r="A1695" s="75">
        <v>21101509</v>
      </c>
      <c r="B1695" s="76" t="s">
        <v>15740</v>
      </c>
    </row>
    <row r="1696" spans="1:2" x14ac:dyDescent="0.25">
      <c r="A1696" s="75">
        <v>21101510</v>
      </c>
      <c r="B1696" s="76" t="s">
        <v>3526</v>
      </c>
    </row>
    <row r="1697" spans="1:2" x14ac:dyDescent="0.25">
      <c r="A1697" s="75">
        <v>21101511</v>
      </c>
      <c r="B1697" s="76" t="s">
        <v>6402</v>
      </c>
    </row>
    <row r="1698" spans="1:2" x14ac:dyDescent="0.25">
      <c r="A1698" s="75">
        <v>21101512</v>
      </c>
      <c r="B1698" s="76" t="s">
        <v>19876</v>
      </c>
    </row>
    <row r="1699" spans="1:2" x14ac:dyDescent="0.25">
      <c r="A1699" s="75">
        <v>21101513</v>
      </c>
      <c r="B1699" s="76" t="s">
        <v>16041</v>
      </c>
    </row>
    <row r="1700" spans="1:2" x14ac:dyDescent="0.25">
      <c r="A1700" s="75">
        <v>21101514</v>
      </c>
      <c r="B1700" s="76" t="s">
        <v>452</v>
      </c>
    </row>
    <row r="1701" spans="1:2" x14ac:dyDescent="0.25">
      <c r="A1701" s="75">
        <v>21101516</v>
      </c>
      <c r="B1701" s="76" t="s">
        <v>2888</v>
      </c>
    </row>
    <row r="1702" spans="1:2" x14ac:dyDescent="0.25">
      <c r="A1702" s="75">
        <v>21101601</v>
      </c>
      <c r="B1702" s="76" t="s">
        <v>9367</v>
      </c>
    </row>
    <row r="1703" spans="1:2" x14ac:dyDescent="0.25">
      <c r="A1703" s="75">
        <v>21101602</v>
      </c>
      <c r="B1703" s="76" t="s">
        <v>11003</v>
      </c>
    </row>
    <row r="1704" spans="1:2" x14ac:dyDescent="0.25">
      <c r="A1704" s="75">
        <v>21101603</v>
      </c>
      <c r="B1704" s="76" t="s">
        <v>2898</v>
      </c>
    </row>
    <row r="1705" spans="1:2" x14ac:dyDescent="0.25">
      <c r="A1705" s="75">
        <v>21101604</v>
      </c>
      <c r="B1705" s="76" t="s">
        <v>17786</v>
      </c>
    </row>
    <row r="1706" spans="1:2" x14ac:dyDescent="0.25">
      <c r="A1706" s="75">
        <v>21101605</v>
      </c>
      <c r="B1706" s="76" t="s">
        <v>4137</v>
      </c>
    </row>
    <row r="1707" spans="1:2" x14ac:dyDescent="0.25">
      <c r="A1707" s="75">
        <v>21101606</v>
      </c>
      <c r="B1707" s="76" t="s">
        <v>7885</v>
      </c>
    </row>
    <row r="1708" spans="1:2" x14ac:dyDescent="0.25">
      <c r="A1708" s="75">
        <v>21101607</v>
      </c>
      <c r="B1708" s="76" t="s">
        <v>4399</v>
      </c>
    </row>
    <row r="1709" spans="1:2" x14ac:dyDescent="0.25">
      <c r="A1709" s="75">
        <v>21101701</v>
      </c>
      <c r="B1709" s="76" t="s">
        <v>15214</v>
      </c>
    </row>
    <row r="1710" spans="1:2" x14ac:dyDescent="0.25">
      <c r="A1710" s="75">
        <v>21101702</v>
      </c>
      <c r="B1710" s="76" t="s">
        <v>3069</v>
      </c>
    </row>
    <row r="1711" spans="1:2" x14ac:dyDescent="0.25">
      <c r="A1711" s="75">
        <v>21101703</v>
      </c>
      <c r="B1711" s="76" t="s">
        <v>9723</v>
      </c>
    </row>
    <row r="1712" spans="1:2" x14ac:dyDescent="0.25">
      <c r="A1712" s="75">
        <v>21101704</v>
      </c>
      <c r="B1712" s="76" t="s">
        <v>15209</v>
      </c>
    </row>
    <row r="1713" spans="1:2" x14ac:dyDescent="0.25">
      <c r="A1713" s="75">
        <v>21101705</v>
      </c>
      <c r="B1713" s="76" t="s">
        <v>14904</v>
      </c>
    </row>
    <row r="1714" spans="1:2" x14ac:dyDescent="0.25">
      <c r="A1714" s="75">
        <v>21101706</v>
      </c>
      <c r="B1714" s="76" t="s">
        <v>19350</v>
      </c>
    </row>
    <row r="1715" spans="1:2" x14ac:dyDescent="0.25">
      <c r="A1715" s="75">
        <v>21101707</v>
      </c>
      <c r="B1715" s="76" t="s">
        <v>3037</v>
      </c>
    </row>
    <row r="1716" spans="1:2" x14ac:dyDescent="0.25">
      <c r="A1716" s="75">
        <v>21101708</v>
      </c>
      <c r="B1716" s="76" t="s">
        <v>11263</v>
      </c>
    </row>
    <row r="1717" spans="1:2" x14ac:dyDescent="0.25">
      <c r="A1717" s="75">
        <v>21101801</v>
      </c>
      <c r="B1717" s="76" t="s">
        <v>4576</v>
      </c>
    </row>
    <row r="1718" spans="1:2" x14ac:dyDescent="0.25">
      <c r="A1718" s="75">
        <v>21101802</v>
      </c>
      <c r="B1718" s="76" t="s">
        <v>16095</v>
      </c>
    </row>
    <row r="1719" spans="1:2" x14ac:dyDescent="0.25">
      <c r="A1719" s="75">
        <v>21101803</v>
      </c>
      <c r="B1719" s="76" t="s">
        <v>14807</v>
      </c>
    </row>
    <row r="1720" spans="1:2" x14ac:dyDescent="0.25">
      <c r="A1720" s="75">
        <v>21101804</v>
      </c>
      <c r="B1720" s="76" t="s">
        <v>16415</v>
      </c>
    </row>
    <row r="1721" spans="1:2" x14ac:dyDescent="0.25">
      <c r="A1721" s="75">
        <v>21101805</v>
      </c>
      <c r="B1721" s="76" t="s">
        <v>9747</v>
      </c>
    </row>
    <row r="1722" spans="1:2" x14ac:dyDescent="0.25">
      <c r="A1722" s="75">
        <v>21101806</v>
      </c>
      <c r="B1722" s="76" t="s">
        <v>6696</v>
      </c>
    </row>
    <row r="1723" spans="1:2" x14ac:dyDescent="0.25">
      <c r="A1723" s="75">
        <v>21101807</v>
      </c>
      <c r="B1723" s="76" t="s">
        <v>12481</v>
      </c>
    </row>
    <row r="1724" spans="1:2" x14ac:dyDescent="0.25">
      <c r="A1724" s="75">
        <v>21101808</v>
      </c>
      <c r="B1724" s="76" t="s">
        <v>1180</v>
      </c>
    </row>
    <row r="1725" spans="1:2" x14ac:dyDescent="0.25">
      <c r="A1725" s="75">
        <v>21101901</v>
      </c>
      <c r="B1725" s="76" t="s">
        <v>5733</v>
      </c>
    </row>
    <row r="1726" spans="1:2" x14ac:dyDescent="0.25">
      <c r="A1726" s="75">
        <v>21101902</v>
      </c>
      <c r="B1726" s="76" t="s">
        <v>2146</v>
      </c>
    </row>
    <row r="1727" spans="1:2" x14ac:dyDescent="0.25">
      <c r="A1727" s="75">
        <v>21101903</v>
      </c>
      <c r="B1727" s="76" t="s">
        <v>11993</v>
      </c>
    </row>
    <row r="1728" spans="1:2" x14ac:dyDescent="0.25">
      <c r="A1728" s="75">
        <v>21101904</v>
      </c>
      <c r="B1728" s="76" t="s">
        <v>10849</v>
      </c>
    </row>
    <row r="1729" spans="1:2" x14ac:dyDescent="0.25">
      <c r="A1729" s="75">
        <v>21101905</v>
      </c>
      <c r="B1729" s="76" t="s">
        <v>12223</v>
      </c>
    </row>
    <row r="1730" spans="1:2" x14ac:dyDescent="0.25">
      <c r="A1730" s="75">
        <v>21101906</v>
      </c>
      <c r="B1730" s="76" t="s">
        <v>12869</v>
      </c>
    </row>
    <row r="1731" spans="1:2" x14ac:dyDescent="0.25">
      <c r="A1731" s="75">
        <v>21101907</v>
      </c>
      <c r="B1731" s="76" t="s">
        <v>12071</v>
      </c>
    </row>
    <row r="1732" spans="1:2" x14ac:dyDescent="0.25">
      <c r="A1732" s="75">
        <v>21101908</v>
      </c>
      <c r="B1732" s="76" t="s">
        <v>6834</v>
      </c>
    </row>
    <row r="1733" spans="1:2" x14ac:dyDescent="0.25">
      <c r="A1733" s="75">
        <v>21101909</v>
      </c>
      <c r="B1733" s="76" t="s">
        <v>11456</v>
      </c>
    </row>
    <row r="1734" spans="1:2" x14ac:dyDescent="0.25">
      <c r="A1734" s="75">
        <v>21102001</v>
      </c>
      <c r="B1734" s="76" t="s">
        <v>13095</v>
      </c>
    </row>
    <row r="1735" spans="1:2" x14ac:dyDescent="0.25">
      <c r="A1735" s="75">
        <v>21102002</v>
      </c>
      <c r="B1735" s="76" t="s">
        <v>9800</v>
      </c>
    </row>
    <row r="1736" spans="1:2" x14ac:dyDescent="0.25">
      <c r="A1736" s="75">
        <v>21102003</v>
      </c>
      <c r="B1736" s="76" t="s">
        <v>15964</v>
      </c>
    </row>
    <row r="1737" spans="1:2" x14ac:dyDescent="0.25">
      <c r="A1737" s="75">
        <v>21102004</v>
      </c>
      <c r="B1737" s="76" t="s">
        <v>19481</v>
      </c>
    </row>
    <row r="1738" spans="1:2" x14ac:dyDescent="0.25">
      <c r="A1738" s="75">
        <v>21102005</v>
      </c>
      <c r="B1738" s="76" t="s">
        <v>9842</v>
      </c>
    </row>
    <row r="1739" spans="1:2" x14ac:dyDescent="0.25">
      <c r="A1739" s="75">
        <v>21102006</v>
      </c>
      <c r="B1739" s="76" t="s">
        <v>6956</v>
      </c>
    </row>
    <row r="1740" spans="1:2" x14ac:dyDescent="0.25">
      <c r="A1740" s="75">
        <v>21102101</v>
      </c>
      <c r="B1740" s="76" t="s">
        <v>2074</v>
      </c>
    </row>
    <row r="1741" spans="1:2" x14ac:dyDescent="0.25">
      <c r="A1741" s="75">
        <v>21102201</v>
      </c>
      <c r="B1741" s="76" t="s">
        <v>8201</v>
      </c>
    </row>
    <row r="1742" spans="1:2" x14ac:dyDescent="0.25">
      <c r="A1742" s="75">
        <v>21102202</v>
      </c>
      <c r="B1742" s="76" t="s">
        <v>7011</v>
      </c>
    </row>
    <row r="1743" spans="1:2" x14ac:dyDescent="0.25">
      <c r="A1743" s="75">
        <v>21102203</v>
      </c>
      <c r="B1743" s="76" t="s">
        <v>10206</v>
      </c>
    </row>
    <row r="1744" spans="1:2" x14ac:dyDescent="0.25">
      <c r="A1744" s="75">
        <v>21102204</v>
      </c>
      <c r="B1744" s="76" t="s">
        <v>4379</v>
      </c>
    </row>
    <row r="1745" spans="1:2" x14ac:dyDescent="0.25">
      <c r="A1745" s="75">
        <v>21102205</v>
      </c>
      <c r="B1745" s="76" t="s">
        <v>17842</v>
      </c>
    </row>
    <row r="1746" spans="1:2" x14ac:dyDescent="0.25">
      <c r="A1746" s="75">
        <v>21102206</v>
      </c>
      <c r="B1746" s="76" t="s">
        <v>18661</v>
      </c>
    </row>
    <row r="1747" spans="1:2" x14ac:dyDescent="0.25">
      <c r="A1747" s="75">
        <v>21102207</v>
      </c>
      <c r="B1747" s="76" t="s">
        <v>10590</v>
      </c>
    </row>
    <row r="1748" spans="1:2" x14ac:dyDescent="0.25">
      <c r="A1748" s="75">
        <v>21102301</v>
      </c>
      <c r="B1748" s="76" t="s">
        <v>17066</v>
      </c>
    </row>
    <row r="1749" spans="1:2" x14ac:dyDescent="0.25">
      <c r="A1749" s="75">
        <v>21102302</v>
      </c>
      <c r="B1749" s="76" t="s">
        <v>6243</v>
      </c>
    </row>
    <row r="1750" spans="1:2" x14ac:dyDescent="0.25">
      <c r="A1750" s="75">
        <v>21102303</v>
      </c>
      <c r="B1750" s="76" t="s">
        <v>8308</v>
      </c>
    </row>
    <row r="1751" spans="1:2" x14ac:dyDescent="0.25">
      <c r="A1751" s="75">
        <v>21102304</v>
      </c>
      <c r="B1751" s="76" t="s">
        <v>12809</v>
      </c>
    </row>
    <row r="1752" spans="1:2" x14ac:dyDescent="0.25">
      <c r="A1752" s="75">
        <v>21102401</v>
      </c>
      <c r="B1752" s="76" t="s">
        <v>4518</v>
      </c>
    </row>
    <row r="1753" spans="1:2" x14ac:dyDescent="0.25">
      <c r="A1753" s="75">
        <v>21102402</v>
      </c>
      <c r="B1753" s="76" t="s">
        <v>297</v>
      </c>
    </row>
    <row r="1754" spans="1:2" x14ac:dyDescent="0.25">
      <c r="A1754" s="75">
        <v>21102403</v>
      </c>
      <c r="B1754" s="76" t="s">
        <v>9930</v>
      </c>
    </row>
    <row r="1755" spans="1:2" x14ac:dyDescent="0.25">
      <c r="A1755" s="75">
        <v>21102404</v>
      </c>
      <c r="B1755" s="76" t="s">
        <v>14031</v>
      </c>
    </row>
    <row r="1756" spans="1:2" x14ac:dyDescent="0.25">
      <c r="A1756" s="75">
        <v>21111501</v>
      </c>
      <c r="B1756" s="76" t="s">
        <v>874</v>
      </c>
    </row>
    <row r="1757" spans="1:2" x14ac:dyDescent="0.25">
      <c r="A1757" s="75">
        <v>21111502</v>
      </c>
      <c r="B1757" s="76" t="s">
        <v>11057</v>
      </c>
    </row>
    <row r="1758" spans="1:2" x14ac:dyDescent="0.25">
      <c r="A1758" s="75">
        <v>21111503</v>
      </c>
      <c r="B1758" s="76" t="s">
        <v>15542</v>
      </c>
    </row>
    <row r="1759" spans="1:2" x14ac:dyDescent="0.25">
      <c r="A1759" s="75">
        <v>21111504</v>
      </c>
      <c r="B1759" s="76" t="s">
        <v>15341</v>
      </c>
    </row>
    <row r="1760" spans="1:2" x14ac:dyDescent="0.25">
      <c r="A1760" s="75">
        <v>21111506</v>
      </c>
      <c r="B1760" s="76" t="s">
        <v>10181</v>
      </c>
    </row>
    <row r="1761" spans="1:2" x14ac:dyDescent="0.25">
      <c r="A1761" s="75">
        <v>21111507</v>
      </c>
      <c r="B1761" s="76" t="s">
        <v>1661</v>
      </c>
    </row>
    <row r="1762" spans="1:2" x14ac:dyDescent="0.25">
      <c r="A1762" s="75">
        <v>21111508</v>
      </c>
      <c r="B1762" s="76" t="s">
        <v>12956</v>
      </c>
    </row>
    <row r="1763" spans="1:2" x14ac:dyDescent="0.25">
      <c r="A1763" s="75">
        <v>21111601</v>
      </c>
      <c r="B1763" s="76" t="s">
        <v>10907</v>
      </c>
    </row>
    <row r="1764" spans="1:2" x14ac:dyDescent="0.25">
      <c r="A1764" s="75">
        <v>21111602</v>
      </c>
      <c r="B1764" s="76" t="s">
        <v>16116</v>
      </c>
    </row>
    <row r="1765" spans="1:2" x14ac:dyDescent="0.25">
      <c r="A1765" s="75">
        <v>22101501</v>
      </c>
      <c r="B1765" s="76" t="s">
        <v>16815</v>
      </c>
    </row>
    <row r="1766" spans="1:2" x14ac:dyDescent="0.25">
      <c r="A1766" s="75">
        <v>22101502</v>
      </c>
      <c r="B1766" s="76" t="s">
        <v>681</v>
      </c>
    </row>
    <row r="1767" spans="1:2" x14ac:dyDescent="0.25">
      <c r="A1767" s="75">
        <v>22101504</v>
      </c>
      <c r="B1767" s="76" t="s">
        <v>6982</v>
      </c>
    </row>
    <row r="1768" spans="1:2" x14ac:dyDescent="0.25">
      <c r="A1768" s="75">
        <v>22101505</v>
      </c>
      <c r="B1768" s="76" t="s">
        <v>18423</v>
      </c>
    </row>
    <row r="1769" spans="1:2" x14ac:dyDescent="0.25">
      <c r="A1769" s="75">
        <v>22101507</v>
      </c>
      <c r="B1769" s="76" t="s">
        <v>19362</v>
      </c>
    </row>
    <row r="1770" spans="1:2" x14ac:dyDescent="0.25">
      <c r="A1770" s="75">
        <v>22101508</v>
      </c>
      <c r="B1770" s="76" t="s">
        <v>14813</v>
      </c>
    </row>
    <row r="1771" spans="1:2" x14ac:dyDescent="0.25">
      <c r="A1771" s="75">
        <v>22101509</v>
      </c>
      <c r="B1771" s="76" t="s">
        <v>16666</v>
      </c>
    </row>
    <row r="1772" spans="1:2" x14ac:dyDescent="0.25">
      <c r="A1772" s="75">
        <v>22101511</v>
      </c>
      <c r="B1772" s="76" t="s">
        <v>1530</v>
      </c>
    </row>
    <row r="1773" spans="1:2" x14ac:dyDescent="0.25">
      <c r="A1773" s="75">
        <v>22101513</v>
      </c>
      <c r="B1773" s="76" t="s">
        <v>3412</v>
      </c>
    </row>
    <row r="1774" spans="1:2" x14ac:dyDescent="0.25">
      <c r="A1774" s="75">
        <v>22101514</v>
      </c>
      <c r="B1774" s="76" t="s">
        <v>300</v>
      </c>
    </row>
    <row r="1775" spans="1:2" x14ac:dyDescent="0.25">
      <c r="A1775" s="75">
        <v>22101516</v>
      </c>
      <c r="B1775" s="76" t="s">
        <v>10117</v>
      </c>
    </row>
    <row r="1776" spans="1:2" x14ac:dyDescent="0.25">
      <c r="A1776" s="75">
        <v>22101518</v>
      </c>
      <c r="B1776" s="76" t="s">
        <v>7746</v>
      </c>
    </row>
    <row r="1777" spans="1:2" x14ac:dyDescent="0.25">
      <c r="A1777" s="75">
        <v>22101519</v>
      </c>
      <c r="B1777" s="76" t="s">
        <v>15468</v>
      </c>
    </row>
    <row r="1778" spans="1:2" x14ac:dyDescent="0.25">
      <c r="A1778" s="75">
        <v>22101520</v>
      </c>
      <c r="B1778" s="76" t="s">
        <v>16828</v>
      </c>
    </row>
    <row r="1779" spans="1:2" x14ac:dyDescent="0.25">
      <c r="A1779" s="75">
        <v>22101521</v>
      </c>
      <c r="B1779" s="76" t="s">
        <v>16166</v>
      </c>
    </row>
    <row r="1780" spans="1:2" x14ac:dyDescent="0.25">
      <c r="A1780" s="75">
        <v>22101522</v>
      </c>
      <c r="B1780" s="76" t="s">
        <v>17972</v>
      </c>
    </row>
    <row r="1781" spans="1:2" x14ac:dyDescent="0.25">
      <c r="A1781" s="75">
        <v>22101523</v>
      </c>
      <c r="B1781" s="76" t="s">
        <v>16627</v>
      </c>
    </row>
    <row r="1782" spans="1:2" x14ac:dyDescent="0.25">
      <c r="A1782" s="75">
        <v>22101524</v>
      </c>
      <c r="B1782" s="76" t="s">
        <v>3355</v>
      </c>
    </row>
    <row r="1783" spans="1:2" x14ac:dyDescent="0.25">
      <c r="A1783" s="75">
        <v>22101525</v>
      </c>
      <c r="B1783" s="76" t="s">
        <v>14082</v>
      </c>
    </row>
    <row r="1784" spans="1:2" x14ac:dyDescent="0.25">
      <c r="A1784" s="75">
        <v>22101526</v>
      </c>
      <c r="B1784" s="76" t="s">
        <v>5287</v>
      </c>
    </row>
    <row r="1785" spans="1:2" x14ac:dyDescent="0.25">
      <c r="A1785" s="75">
        <v>22101527</v>
      </c>
      <c r="B1785" s="76" t="s">
        <v>5407</v>
      </c>
    </row>
    <row r="1786" spans="1:2" x14ac:dyDescent="0.25">
      <c r="A1786" s="75">
        <v>22101528</v>
      </c>
      <c r="B1786" s="76" t="s">
        <v>9645</v>
      </c>
    </row>
    <row r="1787" spans="1:2" x14ac:dyDescent="0.25">
      <c r="A1787" s="75">
        <v>22101529</v>
      </c>
      <c r="B1787" s="76" t="s">
        <v>15424</v>
      </c>
    </row>
    <row r="1788" spans="1:2" x14ac:dyDescent="0.25">
      <c r="A1788" s="75">
        <v>22101530</v>
      </c>
      <c r="B1788" s="76" t="s">
        <v>11919</v>
      </c>
    </row>
    <row r="1789" spans="1:2" x14ac:dyDescent="0.25">
      <c r="A1789" s="75">
        <v>22101531</v>
      </c>
      <c r="B1789" s="76" t="s">
        <v>13032</v>
      </c>
    </row>
    <row r="1790" spans="1:2" x14ac:dyDescent="0.25">
      <c r="A1790" s="75">
        <v>22101532</v>
      </c>
      <c r="B1790" s="76" t="s">
        <v>5611</v>
      </c>
    </row>
    <row r="1791" spans="1:2" x14ac:dyDescent="0.25">
      <c r="A1791" s="75">
        <v>22101533</v>
      </c>
      <c r="B1791" s="76" t="s">
        <v>2108</v>
      </c>
    </row>
    <row r="1792" spans="1:2" x14ac:dyDescent="0.25">
      <c r="A1792" s="75">
        <v>22101534</v>
      </c>
      <c r="B1792" s="76" t="s">
        <v>9383</v>
      </c>
    </row>
    <row r="1793" spans="1:2" x14ac:dyDescent="0.25">
      <c r="A1793" s="75">
        <v>22101602</v>
      </c>
      <c r="B1793" s="76" t="s">
        <v>10395</v>
      </c>
    </row>
    <row r="1794" spans="1:2" x14ac:dyDescent="0.25">
      <c r="A1794" s="75">
        <v>22101603</v>
      </c>
      <c r="B1794" s="76" t="s">
        <v>7453</v>
      </c>
    </row>
    <row r="1795" spans="1:2" x14ac:dyDescent="0.25">
      <c r="A1795" s="75">
        <v>22101604</v>
      </c>
      <c r="B1795" s="76" t="s">
        <v>13919</v>
      </c>
    </row>
    <row r="1796" spans="1:2" x14ac:dyDescent="0.25">
      <c r="A1796" s="75">
        <v>22101605</v>
      </c>
      <c r="B1796" s="76" t="s">
        <v>90</v>
      </c>
    </row>
    <row r="1797" spans="1:2" x14ac:dyDescent="0.25">
      <c r="A1797" s="75">
        <v>22101606</v>
      </c>
      <c r="B1797" s="76" t="s">
        <v>2704</v>
      </c>
    </row>
    <row r="1798" spans="1:2" x14ac:dyDescent="0.25">
      <c r="A1798" s="75">
        <v>22101607</v>
      </c>
      <c r="B1798" s="76" t="s">
        <v>6535</v>
      </c>
    </row>
    <row r="1799" spans="1:2" x14ac:dyDescent="0.25">
      <c r="A1799" s="75">
        <v>22101608</v>
      </c>
      <c r="B1799" s="76" t="s">
        <v>5063</v>
      </c>
    </row>
    <row r="1800" spans="1:2" x14ac:dyDescent="0.25">
      <c r="A1800" s="75">
        <v>22101609</v>
      </c>
      <c r="B1800" s="76" t="s">
        <v>643</v>
      </c>
    </row>
    <row r="1801" spans="1:2" x14ac:dyDescent="0.25">
      <c r="A1801" s="75">
        <v>22101610</v>
      </c>
      <c r="B1801" s="76" t="s">
        <v>13264</v>
      </c>
    </row>
    <row r="1802" spans="1:2" x14ac:dyDescent="0.25">
      <c r="A1802" s="75">
        <v>22101611</v>
      </c>
      <c r="B1802" s="76" t="s">
        <v>7662</v>
      </c>
    </row>
    <row r="1803" spans="1:2" x14ac:dyDescent="0.25">
      <c r="A1803" s="75">
        <v>22101612</v>
      </c>
      <c r="B1803" s="76" t="s">
        <v>7161</v>
      </c>
    </row>
    <row r="1804" spans="1:2" x14ac:dyDescent="0.25">
      <c r="A1804" s="75">
        <v>22101613</v>
      </c>
      <c r="B1804" s="76" t="s">
        <v>12837</v>
      </c>
    </row>
    <row r="1805" spans="1:2" x14ac:dyDescent="0.25">
      <c r="A1805" s="75">
        <v>22101614</v>
      </c>
      <c r="B1805" s="76" t="s">
        <v>4153</v>
      </c>
    </row>
    <row r="1806" spans="1:2" x14ac:dyDescent="0.25">
      <c r="A1806" s="75">
        <v>22101615</v>
      </c>
      <c r="B1806" s="76" t="s">
        <v>18469</v>
      </c>
    </row>
    <row r="1807" spans="1:2" x14ac:dyDescent="0.25">
      <c r="A1807" s="75">
        <v>22101616</v>
      </c>
      <c r="B1807" s="76" t="s">
        <v>10816</v>
      </c>
    </row>
    <row r="1808" spans="1:2" x14ac:dyDescent="0.25">
      <c r="A1808" s="75">
        <v>22101617</v>
      </c>
      <c r="B1808" s="76" t="s">
        <v>2608</v>
      </c>
    </row>
    <row r="1809" spans="1:2" x14ac:dyDescent="0.25">
      <c r="A1809" s="75">
        <v>22101618</v>
      </c>
      <c r="B1809" s="76" t="s">
        <v>18262</v>
      </c>
    </row>
    <row r="1810" spans="1:2" x14ac:dyDescent="0.25">
      <c r="A1810" s="75">
        <v>22101619</v>
      </c>
      <c r="B1810" s="76" t="s">
        <v>18900</v>
      </c>
    </row>
    <row r="1811" spans="1:2" x14ac:dyDescent="0.25">
      <c r="A1811" s="75">
        <v>22101620</v>
      </c>
      <c r="B1811" s="76" t="s">
        <v>5375</v>
      </c>
    </row>
    <row r="1812" spans="1:2" x14ac:dyDescent="0.25">
      <c r="A1812" s="75">
        <v>22101701</v>
      </c>
      <c r="B1812" s="76" t="s">
        <v>12924</v>
      </c>
    </row>
    <row r="1813" spans="1:2" x14ac:dyDescent="0.25">
      <c r="A1813" s="75">
        <v>22101702</v>
      </c>
      <c r="B1813" s="76" t="s">
        <v>15207</v>
      </c>
    </row>
    <row r="1814" spans="1:2" x14ac:dyDescent="0.25">
      <c r="A1814" s="75">
        <v>22101703</v>
      </c>
      <c r="B1814" s="76" t="s">
        <v>6224</v>
      </c>
    </row>
    <row r="1815" spans="1:2" x14ac:dyDescent="0.25">
      <c r="A1815" s="75">
        <v>22101704</v>
      </c>
      <c r="B1815" s="76" t="s">
        <v>4976</v>
      </c>
    </row>
    <row r="1816" spans="1:2" x14ac:dyDescent="0.25">
      <c r="A1816" s="75">
        <v>22101705</v>
      </c>
      <c r="B1816" s="76" t="s">
        <v>6259</v>
      </c>
    </row>
    <row r="1817" spans="1:2" x14ac:dyDescent="0.25">
      <c r="A1817" s="75">
        <v>22101706</v>
      </c>
      <c r="B1817" s="76" t="s">
        <v>6567</v>
      </c>
    </row>
    <row r="1818" spans="1:2" x14ac:dyDescent="0.25">
      <c r="A1818" s="75">
        <v>22101707</v>
      </c>
      <c r="B1818" s="76" t="s">
        <v>8865</v>
      </c>
    </row>
    <row r="1819" spans="1:2" x14ac:dyDescent="0.25">
      <c r="A1819" s="75">
        <v>22101708</v>
      </c>
      <c r="B1819" s="76" t="s">
        <v>15477</v>
      </c>
    </row>
    <row r="1820" spans="1:2" x14ac:dyDescent="0.25">
      <c r="A1820" s="75">
        <v>22101709</v>
      </c>
      <c r="B1820" s="76" t="s">
        <v>17455</v>
      </c>
    </row>
    <row r="1821" spans="1:2" x14ac:dyDescent="0.25">
      <c r="A1821" s="75">
        <v>22101710</v>
      </c>
      <c r="B1821" s="76" t="s">
        <v>3358</v>
      </c>
    </row>
    <row r="1822" spans="1:2" x14ac:dyDescent="0.25">
      <c r="A1822" s="75">
        <v>22101711</v>
      </c>
      <c r="B1822" s="76" t="s">
        <v>15633</v>
      </c>
    </row>
    <row r="1823" spans="1:2" x14ac:dyDescent="0.25">
      <c r="A1823" s="75">
        <v>22101712</v>
      </c>
      <c r="B1823" s="76" t="s">
        <v>19894</v>
      </c>
    </row>
    <row r="1824" spans="1:2" x14ac:dyDescent="0.25">
      <c r="A1824" s="75">
        <v>22101713</v>
      </c>
      <c r="B1824" s="76" t="s">
        <v>10762</v>
      </c>
    </row>
    <row r="1825" spans="1:2" x14ac:dyDescent="0.25">
      <c r="A1825" s="75">
        <v>22101714</v>
      </c>
      <c r="B1825" s="76" t="s">
        <v>19107</v>
      </c>
    </row>
    <row r="1826" spans="1:2" x14ac:dyDescent="0.25">
      <c r="A1826" s="75">
        <v>22101715</v>
      </c>
      <c r="B1826" s="76" t="s">
        <v>13608</v>
      </c>
    </row>
    <row r="1827" spans="1:2" x14ac:dyDescent="0.25">
      <c r="A1827" s="75">
        <v>22101716</v>
      </c>
      <c r="B1827" s="76" t="s">
        <v>5090</v>
      </c>
    </row>
    <row r="1828" spans="1:2" x14ac:dyDescent="0.25">
      <c r="A1828" s="75">
        <v>22101717</v>
      </c>
      <c r="B1828" s="76" t="s">
        <v>14199</v>
      </c>
    </row>
    <row r="1829" spans="1:2" x14ac:dyDescent="0.25">
      <c r="A1829" s="75">
        <v>22101718</v>
      </c>
      <c r="B1829" s="76" t="s">
        <v>7356</v>
      </c>
    </row>
    <row r="1830" spans="1:2" x14ac:dyDescent="0.25">
      <c r="A1830" s="75">
        <v>22101719</v>
      </c>
      <c r="B1830" s="76" t="s">
        <v>14547</v>
      </c>
    </row>
    <row r="1831" spans="1:2" x14ac:dyDescent="0.25">
      <c r="A1831" s="75">
        <v>22101720</v>
      </c>
      <c r="B1831" s="76" t="s">
        <v>263</v>
      </c>
    </row>
    <row r="1832" spans="1:2" x14ac:dyDescent="0.25">
      <c r="A1832" s="75">
        <v>22101801</v>
      </c>
      <c r="B1832" s="76" t="s">
        <v>7020</v>
      </c>
    </row>
    <row r="1833" spans="1:2" x14ac:dyDescent="0.25">
      <c r="A1833" s="75">
        <v>22101802</v>
      </c>
      <c r="B1833" s="76" t="s">
        <v>19934</v>
      </c>
    </row>
    <row r="1834" spans="1:2" x14ac:dyDescent="0.25">
      <c r="A1834" s="75">
        <v>22101803</v>
      </c>
      <c r="B1834" s="76" t="s">
        <v>816</v>
      </c>
    </row>
    <row r="1835" spans="1:2" x14ac:dyDescent="0.25">
      <c r="A1835" s="75">
        <v>22101804</v>
      </c>
      <c r="B1835" s="76" t="s">
        <v>4407</v>
      </c>
    </row>
    <row r="1836" spans="1:2" x14ac:dyDescent="0.25">
      <c r="A1836" s="75">
        <v>22101901</v>
      </c>
      <c r="B1836" s="76" t="s">
        <v>7208</v>
      </c>
    </row>
    <row r="1837" spans="1:2" x14ac:dyDescent="0.25">
      <c r="A1837" s="75">
        <v>22101902</v>
      </c>
      <c r="B1837" s="76" t="s">
        <v>17358</v>
      </c>
    </row>
    <row r="1838" spans="1:2" x14ac:dyDescent="0.25">
      <c r="A1838" s="75">
        <v>22101903</v>
      </c>
      <c r="B1838" s="76" t="s">
        <v>2676</v>
      </c>
    </row>
    <row r="1839" spans="1:2" x14ac:dyDescent="0.25">
      <c r="A1839" s="75">
        <v>22101904</v>
      </c>
      <c r="B1839" s="76" t="s">
        <v>11726</v>
      </c>
    </row>
    <row r="1840" spans="1:2" x14ac:dyDescent="0.25">
      <c r="A1840" s="75">
        <v>22101905</v>
      </c>
      <c r="B1840" s="76" t="s">
        <v>9691</v>
      </c>
    </row>
    <row r="1841" spans="1:2" x14ac:dyDescent="0.25">
      <c r="A1841" s="75">
        <v>22101906</v>
      </c>
      <c r="B1841" s="76" t="s">
        <v>11867</v>
      </c>
    </row>
    <row r="1842" spans="1:2" x14ac:dyDescent="0.25">
      <c r="A1842" s="75">
        <v>22101907</v>
      </c>
      <c r="B1842" s="76" t="s">
        <v>12807</v>
      </c>
    </row>
    <row r="1843" spans="1:2" x14ac:dyDescent="0.25">
      <c r="A1843" s="75">
        <v>22102001</v>
      </c>
      <c r="B1843" s="76" t="s">
        <v>17747</v>
      </c>
    </row>
    <row r="1844" spans="1:2" x14ac:dyDescent="0.25">
      <c r="A1844" s="75">
        <v>23101501</v>
      </c>
      <c r="B1844" s="76" t="s">
        <v>19573</v>
      </c>
    </row>
    <row r="1845" spans="1:2" x14ac:dyDescent="0.25">
      <c r="A1845" s="75">
        <v>23101502</v>
      </c>
      <c r="B1845" s="76" t="s">
        <v>15246</v>
      </c>
    </row>
    <row r="1846" spans="1:2" x14ac:dyDescent="0.25">
      <c r="A1846" s="75">
        <v>23101503</v>
      </c>
      <c r="B1846" s="76" t="s">
        <v>9880</v>
      </c>
    </row>
    <row r="1847" spans="1:2" x14ac:dyDescent="0.25">
      <c r="A1847" s="75">
        <v>23101504</v>
      </c>
      <c r="B1847" s="76" t="s">
        <v>4708</v>
      </c>
    </row>
    <row r="1848" spans="1:2" x14ac:dyDescent="0.25">
      <c r="A1848" s="75">
        <v>23101505</v>
      </c>
      <c r="B1848" s="76" t="s">
        <v>419</v>
      </c>
    </row>
    <row r="1849" spans="1:2" x14ac:dyDescent="0.25">
      <c r="A1849" s="75">
        <v>23101506</v>
      </c>
      <c r="B1849" s="76" t="s">
        <v>2127</v>
      </c>
    </row>
    <row r="1850" spans="1:2" x14ac:dyDescent="0.25">
      <c r="A1850" s="75">
        <v>23101507</v>
      </c>
      <c r="B1850" s="76" t="s">
        <v>4315</v>
      </c>
    </row>
    <row r="1851" spans="1:2" x14ac:dyDescent="0.25">
      <c r="A1851" s="75">
        <v>23101508</v>
      </c>
      <c r="B1851" s="76" t="s">
        <v>15578</v>
      </c>
    </row>
    <row r="1852" spans="1:2" x14ac:dyDescent="0.25">
      <c r="A1852" s="75">
        <v>23101509</v>
      </c>
      <c r="B1852" s="76" t="s">
        <v>16982</v>
      </c>
    </row>
    <row r="1853" spans="1:2" x14ac:dyDescent="0.25">
      <c r="A1853" s="75">
        <v>23101510</v>
      </c>
      <c r="B1853" s="76" t="s">
        <v>6761</v>
      </c>
    </row>
    <row r="1854" spans="1:2" x14ac:dyDescent="0.25">
      <c r="A1854" s="75">
        <v>23101511</v>
      </c>
      <c r="B1854" s="76" t="s">
        <v>5953</v>
      </c>
    </row>
    <row r="1855" spans="1:2" x14ac:dyDescent="0.25">
      <c r="A1855" s="75">
        <v>23101512</v>
      </c>
      <c r="B1855" s="76" t="s">
        <v>14256</v>
      </c>
    </row>
    <row r="1856" spans="1:2" x14ac:dyDescent="0.25">
      <c r="A1856" s="75">
        <v>23101513</v>
      </c>
      <c r="B1856" s="76" t="s">
        <v>14972</v>
      </c>
    </row>
    <row r="1857" spans="1:2" x14ac:dyDescent="0.25">
      <c r="A1857" s="75">
        <v>23101514</v>
      </c>
      <c r="B1857" s="76" t="s">
        <v>14338</v>
      </c>
    </row>
    <row r="1858" spans="1:2" x14ac:dyDescent="0.25">
      <c r="A1858" s="75">
        <v>23101515</v>
      </c>
      <c r="B1858" s="76" t="s">
        <v>16936</v>
      </c>
    </row>
    <row r="1859" spans="1:2" x14ac:dyDescent="0.25">
      <c r="A1859" s="75">
        <v>23101516</v>
      </c>
      <c r="B1859" s="76" t="s">
        <v>3888</v>
      </c>
    </row>
    <row r="1860" spans="1:2" x14ac:dyDescent="0.25">
      <c r="A1860" s="75">
        <v>23101517</v>
      </c>
      <c r="B1860" s="76" t="s">
        <v>16237</v>
      </c>
    </row>
    <row r="1861" spans="1:2" x14ac:dyDescent="0.25">
      <c r="A1861" s="75">
        <v>23101518</v>
      </c>
      <c r="B1861" s="76" t="s">
        <v>6800</v>
      </c>
    </row>
    <row r="1862" spans="1:2" x14ac:dyDescent="0.25">
      <c r="A1862" s="75">
        <v>23101519</v>
      </c>
      <c r="B1862" s="76" t="s">
        <v>3397</v>
      </c>
    </row>
    <row r="1863" spans="1:2" x14ac:dyDescent="0.25">
      <c r="A1863" s="75">
        <v>23101520</v>
      </c>
      <c r="B1863" s="76" t="s">
        <v>18927</v>
      </c>
    </row>
    <row r="1864" spans="1:2" x14ac:dyDescent="0.25">
      <c r="A1864" s="75">
        <v>23101521</v>
      </c>
      <c r="B1864" s="76" t="s">
        <v>11337</v>
      </c>
    </row>
    <row r="1865" spans="1:2" x14ac:dyDescent="0.25">
      <c r="A1865" s="75">
        <v>23101522</v>
      </c>
      <c r="B1865" s="76" t="s">
        <v>10850</v>
      </c>
    </row>
    <row r="1866" spans="1:2" x14ac:dyDescent="0.25">
      <c r="A1866" s="75">
        <v>23111501</v>
      </c>
      <c r="B1866" s="76" t="s">
        <v>3176</v>
      </c>
    </row>
    <row r="1867" spans="1:2" x14ac:dyDescent="0.25">
      <c r="A1867" s="75">
        <v>23111502</v>
      </c>
      <c r="B1867" s="76" t="s">
        <v>11042</v>
      </c>
    </row>
    <row r="1868" spans="1:2" x14ac:dyDescent="0.25">
      <c r="A1868" s="75">
        <v>23111503</v>
      </c>
      <c r="B1868" s="76" t="s">
        <v>4192</v>
      </c>
    </row>
    <row r="1869" spans="1:2" x14ac:dyDescent="0.25">
      <c r="A1869" s="75">
        <v>23111504</v>
      </c>
      <c r="B1869" s="76" t="s">
        <v>10188</v>
      </c>
    </row>
    <row r="1870" spans="1:2" x14ac:dyDescent="0.25">
      <c r="A1870" s="75">
        <v>23111505</v>
      </c>
      <c r="B1870" s="76" t="s">
        <v>601</v>
      </c>
    </row>
    <row r="1871" spans="1:2" x14ac:dyDescent="0.25">
      <c r="A1871" s="75">
        <v>23111506</v>
      </c>
      <c r="B1871" s="76" t="s">
        <v>10705</v>
      </c>
    </row>
    <row r="1872" spans="1:2" x14ac:dyDescent="0.25">
      <c r="A1872" s="75">
        <v>23111507</v>
      </c>
      <c r="B1872" s="76" t="s">
        <v>373</v>
      </c>
    </row>
    <row r="1873" spans="1:2" x14ac:dyDescent="0.25">
      <c r="A1873" s="75">
        <v>23111601</v>
      </c>
      <c r="B1873" s="76" t="s">
        <v>13143</v>
      </c>
    </row>
    <row r="1874" spans="1:2" x14ac:dyDescent="0.25">
      <c r="A1874" s="75">
        <v>23111602</v>
      </c>
      <c r="B1874" s="76" t="s">
        <v>758</v>
      </c>
    </row>
    <row r="1875" spans="1:2" x14ac:dyDescent="0.25">
      <c r="A1875" s="75">
        <v>23111603</v>
      </c>
      <c r="B1875" s="76" t="s">
        <v>18134</v>
      </c>
    </row>
    <row r="1876" spans="1:2" x14ac:dyDescent="0.25">
      <c r="A1876" s="75">
        <v>23111604</v>
      </c>
      <c r="B1876" s="76" t="s">
        <v>12502</v>
      </c>
    </row>
    <row r="1877" spans="1:2" x14ac:dyDescent="0.25">
      <c r="A1877" s="75">
        <v>23111605</v>
      </c>
      <c r="B1877" s="76" t="s">
        <v>6353</v>
      </c>
    </row>
    <row r="1878" spans="1:2" x14ac:dyDescent="0.25">
      <c r="A1878" s="75">
        <v>23111606</v>
      </c>
      <c r="B1878" s="76" t="s">
        <v>17027</v>
      </c>
    </row>
    <row r="1879" spans="1:2" x14ac:dyDescent="0.25">
      <c r="A1879" s="75">
        <v>23121501</v>
      </c>
      <c r="B1879" s="76" t="s">
        <v>4860</v>
      </c>
    </row>
    <row r="1880" spans="1:2" x14ac:dyDescent="0.25">
      <c r="A1880" s="75">
        <v>23121502</v>
      </c>
      <c r="B1880" s="76" t="s">
        <v>15220</v>
      </c>
    </row>
    <row r="1881" spans="1:2" x14ac:dyDescent="0.25">
      <c r="A1881" s="75">
        <v>23121503</v>
      </c>
      <c r="B1881" s="76" t="s">
        <v>18742</v>
      </c>
    </row>
    <row r="1882" spans="1:2" x14ac:dyDescent="0.25">
      <c r="A1882" s="75">
        <v>23121504</v>
      </c>
      <c r="B1882" s="76" t="s">
        <v>1593</v>
      </c>
    </row>
    <row r="1883" spans="1:2" x14ac:dyDescent="0.25">
      <c r="A1883" s="75">
        <v>23121505</v>
      </c>
      <c r="B1883" s="76" t="s">
        <v>14774</v>
      </c>
    </row>
    <row r="1884" spans="1:2" x14ac:dyDescent="0.25">
      <c r="A1884" s="75">
        <v>23121506</v>
      </c>
      <c r="B1884" s="76" t="s">
        <v>8799</v>
      </c>
    </row>
    <row r="1885" spans="1:2" x14ac:dyDescent="0.25">
      <c r="A1885" s="75">
        <v>23121507</v>
      </c>
      <c r="B1885" s="76" t="s">
        <v>17002</v>
      </c>
    </row>
    <row r="1886" spans="1:2" x14ac:dyDescent="0.25">
      <c r="A1886" s="75">
        <v>23121508</v>
      </c>
      <c r="B1886" s="76" t="s">
        <v>2961</v>
      </c>
    </row>
    <row r="1887" spans="1:2" x14ac:dyDescent="0.25">
      <c r="A1887" s="75">
        <v>23121509</v>
      </c>
      <c r="B1887" s="76" t="s">
        <v>10969</v>
      </c>
    </row>
    <row r="1888" spans="1:2" x14ac:dyDescent="0.25">
      <c r="A1888" s="75">
        <v>23121510</v>
      </c>
      <c r="B1888" s="76" t="s">
        <v>185</v>
      </c>
    </row>
    <row r="1889" spans="1:2" x14ac:dyDescent="0.25">
      <c r="A1889" s="75">
        <v>23121601</v>
      </c>
      <c r="B1889" s="76" t="s">
        <v>17234</v>
      </c>
    </row>
    <row r="1890" spans="1:2" x14ac:dyDescent="0.25">
      <c r="A1890" s="75">
        <v>23121602</v>
      </c>
      <c r="B1890" s="76" t="s">
        <v>19509</v>
      </c>
    </row>
    <row r="1891" spans="1:2" x14ac:dyDescent="0.25">
      <c r="A1891" s="75">
        <v>23121603</v>
      </c>
      <c r="B1891" s="76" t="s">
        <v>14288</v>
      </c>
    </row>
    <row r="1892" spans="1:2" x14ac:dyDescent="0.25">
      <c r="A1892" s="75">
        <v>23121604</v>
      </c>
      <c r="B1892" s="76" t="s">
        <v>19647</v>
      </c>
    </row>
    <row r="1893" spans="1:2" x14ac:dyDescent="0.25">
      <c r="A1893" s="75">
        <v>23121605</v>
      </c>
      <c r="B1893" s="76" t="s">
        <v>16778</v>
      </c>
    </row>
    <row r="1894" spans="1:2" x14ac:dyDescent="0.25">
      <c r="A1894" s="75">
        <v>23121606</v>
      </c>
      <c r="B1894" s="76" t="s">
        <v>19450</v>
      </c>
    </row>
    <row r="1895" spans="1:2" x14ac:dyDescent="0.25">
      <c r="A1895" s="75">
        <v>23121607</v>
      </c>
      <c r="B1895" s="76" t="s">
        <v>9279</v>
      </c>
    </row>
    <row r="1896" spans="1:2" x14ac:dyDescent="0.25">
      <c r="A1896" s="75">
        <v>23121608</v>
      </c>
      <c r="B1896" s="76" t="s">
        <v>2351</v>
      </c>
    </row>
    <row r="1897" spans="1:2" x14ac:dyDescent="0.25">
      <c r="A1897" s="75">
        <v>23121609</v>
      </c>
      <c r="B1897" s="76" t="s">
        <v>14485</v>
      </c>
    </row>
    <row r="1898" spans="1:2" x14ac:dyDescent="0.25">
      <c r="A1898" s="75">
        <v>23121610</v>
      </c>
      <c r="B1898" s="76" t="s">
        <v>6365</v>
      </c>
    </row>
    <row r="1899" spans="1:2" x14ac:dyDescent="0.25">
      <c r="A1899" s="75">
        <v>23121611</v>
      </c>
      <c r="B1899" s="76" t="s">
        <v>15485</v>
      </c>
    </row>
    <row r="1900" spans="1:2" x14ac:dyDescent="0.25">
      <c r="A1900" s="75">
        <v>23121612</v>
      </c>
      <c r="B1900" s="76" t="s">
        <v>2348</v>
      </c>
    </row>
    <row r="1901" spans="1:2" x14ac:dyDescent="0.25">
      <c r="A1901" s="75">
        <v>23121613</v>
      </c>
      <c r="B1901" s="76" t="s">
        <v>5599</v>
      </c>
    </row>
    <row r="1902" spans="1:2" x14ac:dyDescent="0.25">
      <c r="A1902" s="75">
        <v>23121614</v>
      </c>
      <c r="B1902" s="76" t="s">
        <v>10082</v>
      </c>
    </row>
    <row r="1903" spans="1:2" x14ac:dyDescent="0.25">
      <c r="A1903" s="75">
        <v>23121615</v>
      </c>
      <c r="B1903" s="76" t="s">
        <v>19774</v>
      </c>
    </row>
    <row r="1904" spans="1:2" x14ac:dyDescent="0.25">
      <c r="A1904" s="75">
        <v>23131501</v>
      </c>
      <c r="B1904" s="76" t="s">
        <v>15670</v>
      </c>
    </row>
    <row r="1905" spans="1:2" x14ac:dyDescent="0.25">
      <c r="A1905" s="75">
        <v>23131502</v>
      </c>
      <c r="B1905" s="76" t="s">
        <v>3368</v>
      </c>
    </row>
    <row r="1906" spans="1:2" x14ac:dyDescent="0.25">
      <c r="A1906" s="75">
        <v>23131503</v>
      </c>
      <c r="B1906" s="76" t="s">
        <v>19376</v>
      </c>
    </row>
    <row r="1907" spans="1:2" x14ac:dyDescent="0.25">
      <c r="A1907" s="75">
        <v>23131504</v>
      </c>
      <c r="B1907" s="76" t="s">
        <v>20018</v>
      </c>
    </row>
    <row r="1908" spans="1:2" x14ac:dyDescent="0.25">
      <c r="A1908" s="75">
        <v>23131505</v>
      </c>
      <c r="B1908" s="76" t="s">
        <v>6678</v>
      </c>
    </row>
    <row r="1909" spans="1:2" x14ac:dyDescent="0.25">
      <c r="A1909" s="75">
        <v>23131506</v>
      </c>
      <c r="B1909" s="76" t="s">
        <v>6890</v>
      </c>
    </row>
    <row r="1910" spans="1:2" x14ac:dyDescent="0.25">
      <c r="A1910" s="75">
        <v>23131507</v>
      </c>
      <c r="B1910" s="76" t="s">
        <v>13390</v>
      </c>
    </row>
    <row r="1911" spans="1:2" x14ac:dyDescent="0.25">
      <c r="A1911" s="75">
        <v>23131508</v>
      </c>
      <c r="B1911" s="76" t="s">
        <v>10711</v>
      </c>
    </row>
    <row r="1912" spans="1:2" x14ac:dyDescent="0.25">
      <c r="A1912" s="75">
        <v>23131509</v>
      </c>
      <c r="B1912" s="76" t="s">
        <v>4501</v>
      </c>
    </row>
    <row r="1913" spans="1:2" x14ac:dyDescent="0.25">
      <c r="A1913" s="75">
        <v>23131510</v>
      </c>
      <c r="B1913" s="76" t="s">
        <v>9114</v>
      </c>
    </row>
    <row r="1914" spans="1:2" x14ac:dyDescent="0.25">
      <c r="A1914" s="75">
        <v>23131511</v>
      </c>
      <c r="B1914" s="76" t="s">
        <v>3342</v>
      </c>
    </row>
    <row r="1915" spans="1:2" x14ac:dyDescent="0.25">
      <c r="A1915" s="75">
        <v>23131512</v>
      </c>
      <c r="B1915" s="76" t="s">
        <v>3580</v>
      </c>
    </row>
    <row r="1916" spans="1:2" x14ac:dyDescent="0.25">
      <c r="A1916" s="75">
        <v>23131513</v>
      </c>
      <c r="B1916" s="76" t="s">
        <v>18244</v>
      </c>
    </row>
    <row r="1917" spans="1:2" x14ac:dyDescent="0.25">
      <c r="A1917" s="75">
        <v>23131514</v>
      </c>
      <c r="B1917" s="76" t="s">
        <v>2341</v>
      </c>
    </row>
    <row r="1918" spans="1:2" x14ac:dyDescent="0.25">
      <c r="A1918" s="75">
        <v>23131515</v>
      </c>
      <c r="B1918" s="76" t="s">
        <v>10774</v>
      </c>
    </row>
    <row r="1919" spans="1:2" x14ac:dyDescent="0.25">
      <c r="A1919" s="75">
        <v>23131601</v>
      </c>
      <c r="B1919" s="76" t="s">
        <v>5249</v>
      </c>
    </row>
    <row r="1920" spans="1:2" x14ac:dyDescent="0.25">
      <c r="A1920" s="75">
        <v>23131602</v>
      </c>
      <c r="B1920" s="76" t="s">
        <v>5984</v>
      </c>
    </row>
    <row r="1921" spans="1:2" x14ac:dyDescent="0.25">
      <c r="A1921" s="75">
        <v>23131603</v>
      </c>
      <c r="B1921" s="76" t="s">
        <v>11022</v>
      </c>
    </row>
    <row r="1922" spans="1:2" x14ac:dyDescent="0.25">
      <c r="A1922" s="75">
        <v>23131604</v>
      </c>
      <c r="B1922" s="76" t="s">
        <v>8133</v>
      </c>
    </row>
    <row r="1923" spans="1:2" x14ac:dyDescent="0.25">
      <c r="A1923" s="75">
        <v>23131701</v>
      </c>
      <c r="B1923" s="76" t="s">
        <v>9577</v>
      </c>
    </row>
    <row r="1924" spans="1:2" x14ac:dyDescent="0.25">
      <c r="A1924" s="75">
        <v>23131702</v>
      </c>
      <c r="B1924" s="76" t="s">
        <v>14173</v>
      </c>
    </row>
    <row r="1925" spans="1:2" x14ac:dyDescent="0.25">
      <c r="A1925" s="75">
        <v>23131703</v>
      </c>
      <c r="B1925" s="76" t="s">
        <v>1411</v>
      </c>
    </row>
    <row r="1926" spans="1:2" x14ac:dyDescent="0.25">
      <c r="A1926" s="75">
        <v>23131704</v>
      </c>
      <c r="B1926" s="76" t="s">
        <v>8192</v>
      </c>
    </row>
    <row r="1927" spans="1:2" x14ac:dyDescent="0.25">
      <c r="A1927" s="75">
        <v>23141601</v>
      </c>
      <c r="B1927" s="76" t="s">
        <v>10505</v>
      </c>
    </row>
    <row r="1928" spans="1:2" x14ac:dyDescent="0.25">
      <c r="A1928" s="75">
        <v>23141602</v>
      </c>
      <c r="B1928" s="76" t="s">
        <v>545</v>
      </c>
    </row>
    <row r="1929" spans="1:2" x14ac:dyDescent="0.25">
      <c r="A1929" s="75">
        <v>23141603</v>
      </c>
      <c r="B1929" s="76" t="s">
        <v>3347</v>
      </c>
    </row>
    <row r="1930" spans="1:2" x14ac:dyDescent="0.25">
      <c r="A1930" s="75">
        <v>23141604</v>
      </c>
      <c r="B1930" s="76" t="s">
        <v>8039</v>
      </c>
    </row>
    <row r="1931" spans="1:2" x14ac:dyDescent="0.25">
      <c r="A1931" s="75">
        <v>23141605</v>
      </c>
      <c r="B1931" s="76" t="s">
        <v>95</v>
      </c>
    </row>
    <row r="1932" spans="1:2" x14ac:dyDescent="0.25">
      <c r="A1932" s="75">
        <v>23141701</v>
      </c>
      <c r="B1932" s="76" t="s">
        <v>597</v>
      </c>
    </row>
    <row r="1933" spans="1:2" x14ac:dyDescent="0.25">
      <c r="A1933" s="75">
        <v>23141702</v>
      </c>
      <c r="B1933" s="76" t="s">
        <v>19747</v>
      </c>
    </row>
    <row r="1934" spans="1:2" x14ac:dyDescent="0.25">
      <c r="A1934" s="75">
        <v>23141703</v>
      </c>
      <c r="B1934" s="76" t="s">
        <v>19165</v>
      </c>
    </row>
    <row r="1935" spans="1:2" x14ac:dyDescent="0.25">
      <c r="A1935" s="75">
        <v>23141704</v>
      </c>
      <c r="B1935" s="76" t="s">
        <v>18590</v>
      </c>
    </row>
    <row r="1936" spans="1:2" x14ac:dyDescent="0.25">
      <c r="A1936" s="75">
        <v>23151501</v>
      </c>
      <c r="B1936" s="76" t="s">
        <v>7401</v>
      </c>
    </row>
    <row r="1937" spans="1:2" x14ac:dyDescent="0.25">
      <c r="A1937" s="75">
        <v>23151502</v>
      </c>
      <c r="B1937" s="76" t="s">
        <v>4566</v>
      </c>
    </row>
    <row r="1938" spans="1:2" x14ac:dyDescent="0.25">
      <c r="A1938" s="75">
        <v>23151503</v>
      </c>
      <c r="B1938" s="76" t="s">
        <v>155</v>
      </c>
    </row>
    <row r="1939" spans="1:2" x14ac:dyDescent="0.25">
      <c r="A1939" s="75">
        <v>23151504</v>
      </c>
      <c r="B1939" s="76" t="s">
        <v>12039</v>
      </c>
    </row>
    <row r="1940" spans="1:2" x14ac:dyDescent="0.25">
      <c r="A1940" s="75">
        <v>23151506</v>
      </c>
      <c r="B1940" s="76" t="s">
        <v>11763</v>
      </c>
    </row>
    <row r="1941" spans="1:2" x14ac:dyDescent="0.25">
      <c r="A1941" s="75">
        <v>23151507</v>
      </c>
      <c r="B1941" s="76" t="s">
        <v>19416</v>
      </c>
    </row>
    <row r="1942" spans="1:2" x14ac:dyDescent="0.25">
      <c r="A1942" s="75">
        <v>23151508</v>
      </c>
      <c r="B1942" s="76" t="s">
        <v>3202</v>
      </c>
    </row>
    <row r="1943" spans="1:2" x14ac:dyDescent="0.25">
      <c r="A1943" s="75">
        <v>23151509</v>
      </c>
      <c r="B1943" s="76" t="s">
        <v>6592</v>
      </c>
    </row>
    <row r="1944" spans="1:2" x14ac:dyDescent="0.25">
      <c r="A1944" s="75">
        <v>23151510</v>
      </c>
      <c r="B1944" s="76" t="s">
        <v>19657</v>
      </c>
    </row>
    <row r="1945" spans="1:2" x14ac:dyDescent="0.25">
      <c r="A1945" s="75">
        <v>23151511</v>
      </c>
      <c r="B1945" s="76" t="s">
        <v>3909</v>
      </c>
    </row>
    <row r="1946" spans="1:2" x14ac:dyDescent="0.25">
      <c r="A1946" s="75">
        <v>23151512</v>
      </c>
      <c r="B1946" s="76" t="s">
        <v>14636</v>
      </c>
    </row>
    <row r="1947" spans="1:2" x14ac:dyDescent="0.25">
      <c r="A1947" s="75">
        <v>23151513</v>
      </c>
      <c r="B1947" s="76" t="s">
        <v>4731</v>
      </c>
    </row>
    <row r="1948" spans="1:2" x14ac:dyDescent="0.25">
      <c r="A1948" s="75">
        <v>23151514</v>
      </c>
      <c r="B1948" s="76" t="s">
        <v>9295</v>
      </c>
    </row>
    <row r="1949" spans="1:2" x14ac:dyDescent="0.25">
      <c r="A1949" s="75">
        <v>23151515</v>
      </c>
      <c r="B1949" s="76" t="s">
        <v>11925</v>
      </c>
    </row>
    <row r="1950" spans="1:2" x14ac:dyDescent="0.25">
      <c r="A1950" s="75">
        <v>23151516</v>
      </c>
      <c r="B1950" s="76" t="s">
        <v>12097</v>
      </c>
    </row>
    <row r="1951" spans="1:2" x14ac:dyDescent="0.25">
      <c r="A1951" s="75">
        <v>23151601</v>
      </c>
      <c r="B1951" s="76" t="s">
        <v>17399</v>
      </c>
    </row>
    <row r="1952" spans="1:2" x14ac:dyDescent="0.25">
      <c r="A1952" s="75">
        <v>23151602</v>
      </c>
      <c r="B1952" s="76" t="s">
        <v>7279</v>
      </c>
    </row>
    <row r="1953" spans="1:2" x14ac:dyDescent="0.25">
      <c r="A1953" s="75">
        <v>23151603</v>
      </c>
      <c r="B1953" s="76" t="s">
        <v>13249</v>
      </c>
    </row>
    <row r="1954" spans="1:2" x14ac:dyDescent="0.25">
      <c r="A1954" s="75">
        <v>23151604</v>
      </c>
      <c r="B1954" s="76" t="s">
        <v>17248</v>
      </c>
    </row>
    <row r="1955" spans="1:2" x14ac:dyDescent="0.25">
      <c r="A1955" s="75">
        <v>23151606</v>
      </c>
      <c r="B1955" s="76" t="s">
        <v>14825</v>
      </c>
    </row>
    <row r="1956" spans="1:2" x14ac:dyDescent="0.25">
      <c r="A1956" s="75">
        <v>23151607</v>
      </c>
      <c r="B1956" s="76" t="s">
        <v>8432</v>
      </c>
    </row>
    <row r="1957" spans="1:2" x14ac:dyDescent="0.25">
      <c r="A1957" s="75">
        <v>23151608</v>
      </c>
      <c r="B1957" s="76" t="s">
        <v>5646</v>
      </c>
    </row>
    <row r="1958" spans="1:2" x14ac:dyDescent="0.25">
      <c r="A1958" s="75">
        <v>23151701</v>
      </c>
      <c r="B1958" s="76" t="s">
        <v>2154</v>
      </c>
    </row>
    <row r="1959" spans="1:2" x14ac:dyDescent="0.25">
      <c r="A1959" s="75">
        <v>23151702</v>
      </c>
      <c r="B1959" s="76" t="s">
        <v>14751</v>
      </c>
    </row>
    <row r="1960" spans="1:2" x14ac:dyDescent="0.25">
      <c r="A1960" s="75">
        <v>23151703</v>
      </c>
      <c r="B1960" s="76" t="s">
        <v>3915</v>
      </c>
    </row>
    <row r="1961" spans="1:2" x14ac:dyDescent="0.25">
      <c r="A1961" s="75">
        <v>23151704</v>
      </c>
      <c r="B1961" s="76" t="s">
        <v>7785</v>
      </c>
    </row>
    <row r="1962" spans="1:2" x14ac:dyDescent="0.25">
      <c r="A1962" s="75">
        <v>23151705</v>
      </c>
      <c r="B1962" s="76" t="s">
        <v>8269</v>
      </c>
    </row>
    <row r="1963" spans="1:2" x14ac:dyDescent="0.25">
      <c r="A1963" s="75">
        <v>23151801</v>
      </c>
      <c r="B1963" s="76" t="s">
        <v>18331</v>
      </c>
    </row>
    <row r="1964" spans="1:2" x14ac:dyDescent="0.25">
      <c r="A1964" s="75">
        <v>23151802</v>
      </c>
      <c r="B1964" s="76" t="s">
        <v>10839</v>
      </c>
    </row>
    <row r="1965" spans="1:2" x14ac:dyDescent="0.25">
      <c r="A1965" s="75">
        <v>23151803</v>
      </c>
      <c r="B1965" s="76" t="s">
        <v>11113</v>
      </c>
    </row>
    <row r="1966" spans="1:2" x14ac:dyDescent="0.25">
      <c r="A1966" s="75">
        <v>23151804</v>
      </c>
      <c r="B1966" s="76" t="s">
        <v>18958</v>
      </c>
    </row>
    <row r="1967" spans="1:2" x14ac:dyDescent="0.25">
      <c r="A1967" s="75">
        <v>23151805</v>
      </c>
      <c r="B1967" s="76" t="s">
        <v>13201</v>
      </c>
    </row>
    <row r="1968" spans="1:2" x14ac:dyDescent="0.25">
      <c r="A1968" s="75">
        <v>23151806</v>
      </c>
      <c r="B1968" s="76" t="s">
        <v>14675</v>
      </c>
    </row>
    <row r="1969" spans="1:2" x14ac:dyDescent="0.25">
      <c r="A1969" s="75">
        <v>23151807</v>
      </c>
      <c r="B1969" s="76" t="s">
        <v>2089</v>
      </c>
    </row>
    <row r="1970" spans="1:2" x14ac:dyDescent="0.25">
      <c r="A1970" s="75">
        <v>23151808</v>
      </c>
      <c r="B1970" s="76" t="s">
        <v>2636</v>
      </c>
    </row>
    <row r="1971" spans="1:2" x14ac:dyDescent="0.25">
      <c r="A1971" s="75">
        <v>23151809</v>
      </c>
      <c r="B1971" s="76" t="s">
        <v>16311</v>
      </c>
    </row>
    <row r="1972" spans="1:2" x14ac:dyDescent="0.25">
      <c r="A1972" s="75">
        <v>23151810</v>
      </c>
      <c r="B1972" s="76" t="s">
        <v>7112</v>
      </c>
    </row>
    <row r="1973" spans="1:2" x14ac:dyDescent="0.25">
      <c r="A1973" s="75">
        <v>23151811</v>
      </c>
      <c r="B1973" s="76" t="s">
        <v>18388</v>
      </c>
    </row>
    <row r="1974" spans="1:2" x14ac:dyDescent="0.25">
      <c r="A1974" s="75">
        <v>23151812</v>
      </c>
      <c r="B1974" s="76" t="s">
        <v>12261</v>
      </c>
    </row>
    <row r="1975" spans="1:2" x14ac:dyDescent="0.25">
      <c r="A1975" s="75">
        <v>23151813</v>
      </c>
      <c r="B1975" s="76" t="s">
        <v>5547</v>
      </c>
    </row>
    <row r="1976" spans="1:2" x14ac:dyDescent="0.25">
      <c r="A1976" s="75">
        <v>23151814</v>
      </c>
      <c r="B1976" s="76" t="s">
        <v>181</v>
      </c>
    </row>
    <row r="1977" spans="1:2" x14ac:dyDescent="0.25">
      <c r="A1977" s="75">
        <v>23151816</v>
      </c>
      <c r="B1977" s="76" t="s">
        <v>1005</v>
      </c>
    </row>
    <row r="1978" spans="1:2" x14ac:dyDescent="0.25">
      <c r="A1978" s="75">
        <v>23151817</v>
      </c>
      <c r="B1978" s="76" t="s">
        <v>15869</v>
      </c>
    </row>
    <row r="1979" spans="1:2" x14ac:dyDescent="0.25">
      <c r="A1979" s="75">
        <v>23151818</v>
      </c>
      <c r="B1979" s="76" t="s">
        <v>19849</v>
      </c>
    </row>
    <row r="1980" spans="1:2" x14ac:dyDescent="0.25">
      <c r="A1980" s="75">
        <v>23151819</v>
      </c>
      <c r="B1980" s="76" t="s">
        <v>7502</v>
      </c>
    </row>
    <row r="1981" spans="1:2" x14ac:dyDescent="0.25">
      <c r="A1981" s="75">
        <v>23151820</v>
      </c>
      <c r="B1981" s="76" t="s">
        <v>19302</v>
      </c>
    </row>
    <row r="1982" spans="1:2" x14ac:dyDescent="0.25">
      <c r="A1982" s="75">
        <v>23151821</v>
      </c>
      <c r="B1982" s="76" t="s">
        <v>10709</v>
      </c>
    </row>
    <row r="1983" spans="1:2" x14ac:dyDescent="0.25">
      <c r="A1983" s="75">
        <v>23151822</v>
      </c>
      <c r="B1983" s="76" t="s">
        <v>3511</v>
      </c>
    </row>
    <row r="1984" spans="1:2" x14ac:dyDescent="0.25">
      <c r="A1984" s="75">
        <v>23151823</v>
      </c>
      <c r="B1984" s="76" t="s">
        <v>15934</v>
      </c>
    </row>
    <row r="1985" spans="1:2" x14ac:dyDescent="0.25">
      <c r="A1985" s="75">
        <v>23151901</v>
      </c>
      <c r="B1985" s="76" t="s">
        <v>14504</v>
      </c>
    </row>
    <row r="1986" spans="1:2" x14ac:dyDescent="0.25">
      <c r="A1986" s="75">
        <v>23151902</v>
      </c>
      <c r="B1986" s="76" t="s">
        <v>3409</v>
      </c>
    </row>
    <row r="1987" spans="1:2" x14ac:dyDescent="0.25">
      <c r="A1987" s="75">
        <v>23151903</v>
      </c>
      <c r="B1987" s="76" t="s">
        <v>5710</v>
      </c>
    </row>
    <row r="1988" spans="1:2" x14ac:dyDescent="0.25">
      <c r="A1988" s="75">
        <v>23151904</v>
      </c>
      <c r="B1988" s="76" t="s">
        <v>13790</v>
      </c>
    </row>
    <row r="1989" spans="1:2" x14ac:dyDescent="0.25">
      <c r="A1989" s="75">
        <v>23151905</v>
      </c>
      <c r="B1989" s="76" t="s">
        <v>14641</v>
      </c>
    </row>
    <row r="1990" spans="1:2" x14ac:dyDescent="0.25">
      <c r="A1990" s="75">
        <v>23151906</v>
      </c>
      <c r="B1990" s="76" t="s">
        <v>16670</v>
      </c>
    </row>
    <row r="1991" spans="1:2" x14ac:dyDescent="0.25">
      <c r="A1991" s="75">
        <v>23152001</v>
      </c>
      <c r="B1991" s="76" t="s">
        <v>8895</v>
      </c>
    </row>
    <row r="1992" spans="1:2" x14ac:dyDescent="0.25">
      <c r="A1992" s="75">
        <v>23152002</v>
      </c>
      <c r="B1992" s="76" t="s">
        <v>7509</v>
      </c>
    </row>
    <row r="1993" spans="1:2" x14ac:dyDescent="0.25">
      <c r="A1993" s="75">
        <v>23152101</v>
      </c>
      <c r="B1993" s="76" t="s">
        <v>18414</v>
      </c>
    </row>
    <row r="1994" spans="1:2" x14ac:dyDescent="0.25">
      <c r="A1994" s="75">
        <v>23152102</v>
      </c>
      <c r="B1994" s="76" t="s">
        <v>2980</v>
      </c>
    </row>
    <row r="1995" spans="1:2" x14ac:dyDescent="0.25">
      <c r="A1995" s="75">
        <v>23152103</v>
      </c>
      <c r="B1995" s="76" t="s">
        <v>3165</v>
      </c>
    </row>
    <row r="1996" spans="1:2" x14ac:dyDescent="0.25">
      <c r="A1996" s="75">
        <v>23152104</v>
      </c>
      <c r="B1996" s="76" t="s">
        <v>11738</v>
      </c>
    </row>
    <row r="1997" spans="1:2" x14ac:dyDescent="0.25">
      <c r="A1997" s="75">
        <v>23152201</v>
      </c>
      <c r="B1997" s="76" t="s">
        <v>12066</v>
      </c>
    </row>
    <row r="1998" spans="1:2" x14ac:dyDescent="0.25">
      <c r="A1998" s="75">
        <v>23152202</v>
      </c>
      <c r="B1998" s="76" t="s">
        <v>18537</v>
      </c>
    </row>
    <row r="1999" spans="1:2" x14ac:dyDescent="0.25">
      <c r="A1999" s="75">
        <v>23152203</v>
      </c>
      <c r="B1999" s="76" t="s">
        <v>1520</v>
      </c>
    </row>
    <row r="2000" spans="1:2" x14ac:dyDescent="0.25">
      <c r="A2000" s="75">
        <v>23152204</v>
      </c>
      <c r="B2000" s="76" t="s">
        <v>3988</v>
      </c>
    </row>
    <row r="2001" spans="1:2" x14ac:dyDescent="0.25">
      <c r="A2001" s="75">
        <v>23152205</v>
      </c>
      <c r="B2001" s="76" t="s">
        <v>7620</v>
      </c>
    </row>
    <row r="2002" spans="1:2" x14ac:dyDescent="0.25">
      <c r="A2002" s="75">
        <v>23152206</v>
      </c>
      <c r="B2002" s="76" t="s">
        <v>9626</v>
      </c>
    </row>
    <row r="2003" spans="1:2" x14ac:dyDescent="0.25">
      <c r="A2003" s="75">
        <v>23152901</v>
      </c>
      <c r="B2003" s="76" t="s">
        <v>9106</v>
      </c>
    </row>
    <row r="2004" spans="1:2" x14ac:dyDescent="0.25">
      <c r="A2004" s="75">
        <v>23152902</v>
      </c>
      <c r="B2004" s="76" t="s">
        <v>12952</v>
      </c>
    </row>
    <row r="2005" spans="1:2" x14ac:dyDescent="0.25">
      <c r="A2005" s="75">
        <v>23152903</v>
      </c>
      <c r="B2005" s="76" t="s">
        <v>20061</v>
      </c>
    </row>
    <row r="2006" spans="1:2" x14ac:dyDescent="0.25">
      <c r="A2006" s="75">
        <v>23152904</v>
      </c>
      <c r="B2006" s="76" t="s">
        <v>18402</v>
      </c>
    </row>
    <row r="2007" spans="1:2" x14ac:dyDescent="0.25">
      <c r="A2007" s="75">
        <v>23152905</v>
      </c>
      <c r="B2007" s="76" t="s">
        <v>15404</v>
      </c>
    </row>
    <row r="2008" spans="1:2" x14ac:dyDescent="0.25">
      <c r="A2008" s="75">
        <v>23152906</v>
      </c>
      <c r="B2008" s="76" t="s">
        <v>13190</v>
      </c>
    </row>
    <row r="2009" spans="1:2" x14ac:dyDescent="0.25">
      <c r="A2009" s="75">
        <v>23153001</v>
      </c>
      <c r="B2009" s="76" t="s">
        <v>15323</v>
      </c>
    </row>
    <row r="2010" spans="1:2" x14ac:dyDescent="0.25">
      <c r="A2010" s="75">
        <v>23153002</v>
      </c>
      <c r="B2010" s="76" t="s">
        <v>18231</v>
      </c>
    </row>
    <row r="2011" spans="1:2" x14ac:dyDescent="0.25">
      <c r="A2011" s="75">
        <v>23153003</v>
      </c>
      <c r="B2011" s="76" t="s">
        <v>12941</v>
      </c>
    </row>
    <row r="2012" spans="1:2" x14ac:dyDescent="0.25">
      <c r="A2012" s="75">
        <v>23153004</v>
      </c>
      <c r="B2012" s="76" t="s">
        <v>12184</v>
      </c>
    </row>
    <row r="2013" spans="1:2" x14ac:dyDescent="0.25">
      <c r="A2013" s="75">
        <v>23153005</v>
      </c>
      <c r="B2013" s="76" t="s">
        <v>3048</v>
      </c>
    </row>
    <row r="2014" spans="1:2" x14ac:dyDescent="0.25">
      <c r="A2014" s="75">
        <v>23153006</v>
      </c>
      <c r="B2014" s="76" t="s">
        <v>8090</v>
      </c>
    </row>
    <row r="2015" spans="1:2" x14ac:dyDescent="0.25">
      <c r="A2015" s="75">
        <v>23153007</v>
      </c>
      <c r="B2015" s="76" t="s">
        <v>3837</v>
      </c>
    </row>
    <row r="2016" spans="1:2" x14ac:dyDescent="0.25">
      <c r="A2016" s="75">
        <v>23153008</v>
      </c>
      <c r="B2016" s="76" t="s">
        <v>15236</v>
      </c>
    </row>
    <row r="2017" spans="1:2" x14ac:dyDescent="0.25">
      <c r="A2017" s="75">
        <v>23153009</v>
      </c>
      <c r="B2017" s="76" t="s">
        <v>13014</v>
      </c>
    </row>
    <row r="2018" spans="1:2" x14ac:dyDescent="0.25">
      <c r="A2018" s="75">
        <v>23153010</v>
      </c>
      <c r="B2018" s="76" t="s">
        <v>8937</v>
      </c>
    </row>
    <row r="2019" spans="1:2" x14ac:dyDescent="0.25">
      <c r="A2019" s="75">
        <v>23153011</v>
      </c>
      <c r="B2019" s="76" t="s">
        <v>13170</v>
      </c>
    </row>
    <row r="2020" spans="1:2" x14ac:dyDescent="0.25">
      <c r="A2020" s="75">
        <v>23153012</v>
      </c>
      <c r="B2020" s="76" t="s">
        <v>227</v>
      </c>
    </row>
    <row r="2021" spans="1:2" x14ac:dyDescent="0.25">
      <c r="A2021" s="75">
        <v>23153013</v>
      </c>
      <c r="B2021" s="76" t="s">
        <v>15301</v>
      </c>
    </row>
    <row r="2022" spans="1:2" x14ac:dyDescent="0.25">
      <c r="A2022" s="75">
        <v>23153014</v>
      </c>
      <c r="B2022" s="76" t="s">
        <v>8654</v>
      </c>
    </row>
    <row r="2023" spans="1:2" x14ac:dyDescent="0.25">
      <c r="A2023" s="75">
        <v>23153015</v>
      </c>
      <c r="B2023" s="76" t="s">
        <v>12815</v>
      </c>
    </row>
    <row r="2024" spans="1:2" x14ac:dyDescent="0.25">
      <c r="A2024" s="75">
        <v>23153016</v>
      </c>
      <c r="B2024" s="76" t="s">
        <v>12635</v>
      </c>
    </row>
    <row r="2025" spans="1:2" x14ac:dyDescent="0.25">
      <c r="A2025" s="75">
        <v>23153017</v>
      </c>
      <c r="B2025" s="76" t="s">
        <v>7093</v>
      </c>
    </row>
    <row r="2026" spans="1:2" x14ac:dyDescent="0.25">
      <c r="A2026" s="75">
        <v>23153018</v>
      </c>
      <c r="B2026" s="76" t="s">
        <v>8516</v>
      </c>
    </row>
    <row r="2027" spans="1:2" x14ac:dyDescent="0.25">
      <c r="A2027" s="75">
        <v>23153019</v>
      </c>
      <c r="B2027" s="76" t="s">
        <v>15800</v>
      </c>
    </row>
    <row r="2028" spans="1:2" x14ac:dyDescent="0.25">
      <c r="A2028" s="75">
        <v>23153020</v>
      </c>
      <c r="B2028" s="76" t="s">
        <v>7159</v>
      </c>
    </row>
    <row r="2029" spans="1:2" x14ac:dyDescent="0.25">
      <c r="A2029" s="75">
        <v>23153021</v>
      </c>
      <c r="B2029" s="76" t="s">
        <v>8527</v>
      </c>
    </row>
    <row r="2030" spans="1:2" x14ac:dyDescent="0.25">
      <c r="A2030" s="75">
        <v>23153022</v>
      </c>
      <c r="B2030" s="76" t="s">
        <v>6641</v>
      </c>
    </row>
    <row r="2031" spans="1:2" x14ac:dyDescent="0.25">
      <c r="A2031" s="75">
        <v>23153023</v>
      </c>
      <c r="B2031" s="76" t="s">
        <v>13490</v>
      </c>
    </row>
    <row r="2032" spans="1:2" x14ac:dyDescent="0.25">
      <c r="A2032" s="75">
        <v>23153024</v>
      </c>
      <c r="B2032" s="76" t="s">
        <v>19447</v>
      </c>
    </row>
    <row r="2033" spans="1:2" x14ac:dyDescent="0.25">
      <c r="A2033" s="75">
        <v>23153025</v>
      </c>
      <c r="B2033" s="76" t="s">
        <v>16084</v>
      </c>
    </row>
    <row r="2034" spans="1:2" x14ac:dyDescent="0.25">
      <c r="A2034" s="75">
        <v>23153026</v>
      </c>
      <c r="B2034" s="76" t="s">
        <v>713</v>
      </c>
    </row>
    <row r="2035" spans="1:2" x14ac:dyDescent="0.25">
      <c r="A2035" s="75">
        <v>23153027</v>
      </c>
      <c r="B2035" s="76" t="s">
        <v>10991</v>
      </c>
    </row>
    <row r="2036" spans="1:2" x14ac:dyDescent="0.25">
      <c r="A2036" s="75">
        <v>23153028</v>
      </c>
      <c r="B2036" s="76" t="s">
        <v>11886</v>
      </c>
    </row>
    <row r="2037" spans="1:2" x14ac:dyDescent="0.25">
      <c r="A2037" s="75">
        <v>23153029</v>
      </c>
      <c r="B2037" s="76" t="s">
        <v>1278</v>
      </c>
    </row>
    <row r="2038" spans="1:2" x14ac:dyDescent="0.25">
      <c r="A2038" s="75">
        <v>23153030</v>
      </c>
      <c r="B2038" s="76" t="s">
        <v>13930</v>
      </c>
    </row>
    <row r="2039" spans="1:2" x14ac:dyDescent="0.25">
      <c r="A2039" s="75">
        <v>23153031</v>
      </c>
      <c r="B2039" s="76" t="s">
        <v>15818</v>
      </c>
    </row>
    <row r="2040" spans="1:2" x14ac:dyDescent="0.25">
      <c r="A2040" s="75">
        <v>23153032</v>
      </c>
      <c r="B2040" s="76" t="s">
        <v>12796</v>
      </c>
    </row>
    <row r="2041" spans="1:2" x14ac:dyDescent="0.25">
      <c r="A2041" s="75">
        <v>23153033</v>
      </c>
      <c r="B2041" s="76" t="s">
        <v>16440</v>
      </c>
    </row>
    <row r="2042" spans="1:2" x14ac:dyDescent="0.25">
      <c r="A2042" s="75">
        <v>23153034</v>
      </c>
      <c r="B2042" s="76" t="s">
        <v>2122</v>
      </c>
    </row>
    <row r="2043" spans="1:2" x14ac:dyDescent="0.25">
      <c r="A2043" s="75">
        <v>23153035</v>
      </c>
      <c r="B2043" s="76" t="s">
        <v>10591</v>
      </c>
    </row>
    <row r="2044" spans="1:2" x14ac:dyDescent="0.25">
      <c r="A2044" s="75">
        <v>23153036</v>
      </c>
      <c r="B2044" s="76" t="s">
        <v>2641</v>
      </c>
    </row>
    <row r="2045" spans="1:2" x14ac:dyDescent="0.25">
      <c r="A2045" s="75">
        <v>23153037</v>
      </c>
      <c r="B2045" s="76" t="s">
        <v>19323</v>
      </c>
    </row>
    <row r="2046" spans="1:2" x14ac:dyDescent="0.25">
      <c r="A2046" s="75">
        <v>23153101</v>
      </c>
      <c r="B2046" s="76" t="s">
        <v>9557</v>
      </c>
    </row>
    <row r="2047" spans="1:2" x14ac:dyDescent="0.25">
      <c r="A2047" s="75">
        <v>23153102</v>
      </c>
      <c r="B2047" s="76" t="s">
        <v>2403</v>
      </c>
    </row>
    <row r="2048" spans="1:2" x14ac:dyDescent="0.25">
      <c r="A2048" s="75">
        <v>23153103</v>
      </c>
      <c r="B2048" s="76" t="s">
        <v>1892</v>
      </c>
    </row>
    <row r="2049" spans="1:2" x14ac:dyDescent="0.25">
      <c r="A2049" s="75">
        <v>23153129</v>
      </c>
      <c r="B2049" s="76" t="s">
        <v>9023</v>
      </c>
    </row>
    <row r="2050" spans="1:2" x14ac:dyDescent="0.25">
      <c r="A2050" s="75">
        <v>23153130</v>
      </c>
      <c r="B2050" s="76" t="s">
        <v>18284</v>
      </c>
    </row>
    <row r="2051" spans="1:2" x14ac:dyDescent="0.25">
      <c r="A2051" s="75">
        <v>23153131</v>
      </c>
      <c r="B2051" s="76" t="s">
        <v>12619</v>
      </c>
    </row>
    <row r="2052" spans="1:2" x14ac:dyDescent="0.25">
      <c r="A2052" s="75">
        <v>23153132</v>
      </c>
      <c r="B2052" s="76" t="s">
        <v>12389</v>
      </c>
    </row>
    <row r="2053" spans="1:2" x14ac:dyDescent="0.25">
      <c r="A2053" s="75">
        <v>23153133</v>
      </c>
      <c r="B2053" s="76" t="s">
        <v>1380</v>
      </c>
    </row>
    <row r="2054" spans="1:2" x14ac:dyDescent="0.25">
      <c r="A2054" s="75">
        <v>23153134</v>
      </c>
      <c r="B2054" s="76" t="s">
        <v>10791</v>
      </c>
    </row>
    <row r="2055" spans="1:2" x14ac:dyDescent="0.25">
      <c r="A2055" s="75">
        <v>23153135</v>
      </c>
      <c r="B2055" s="76" t="s">
        <v>1353</v>
      </c>
    </row>
    <row r="2056" spans="1:2" x14ac:dyDescent="0.25">
      <c r="A2056" s="75">
        <v>23153136</v>
      </c>
      <c r="B2056" s="76" t="s">
        <v>11832</v>
      </c>
    </row>
    <row r="2057" spans="1:2" x14ac:dyDescent="0.25">
      <c r="A2057" s="75">
        <v>23153137</v>
      </c>
      <c r="B2057" s="76" t="s">
        <v>8898</v>
      </c>
    </row>
    <row r="2058" spans="1:2" x14ac:dyDescent="0.25">
      <c r="A2058" s="75">
        <v>23153138</v>
      </c>
      <c r="B2058" s="76" t="s">
        <v>10225</v>
      </c>
    </row>
    <row r="2059" spans="1:2" x14ac:dyDescent="0.25">
      <c r="A2059" s="75">
        <v>23153139</v>
      </c>
      <c r="B2059" s="76" t="s">
        <v>2271</v>
      </c>
    </row>
    <row r="2060" spans="1:2" x14ac:dyDescent="0.25">
      <c r="A2060" s="75">
        <v>23153140</v>
      </c>
      <c r="B2060" s="76" t="s">
        <v>6084</v>
      </c>
    </row>
    <row r="2061" spans="1:2" x14ac:dyDescent="0.25">
      <c r="A2061" s="75">
        <v>23153201</v>
      </c>
      <c r="B2061" s="76" t="s">
        <v>11452</v>
      </c>
    </row>
    <row r="2062" spans="1:2" x14ac:dyDescent="0.25">
      <c r="A2062" s="75">
        <v>23153202</v>
      </c>
      <c r="B2062" s="76" t="s">
        <v>16665</v>
      </c>
    </row>
    <row r="2063" spans="1:2" x14ac:dyDescent="0.25">
      <c r="A2063" s="75">
        <v>23153203</v>
      </c>
      <c r="B2063" s="76" t="s">
        <v>14303</v>
      </c>
    </row>
    <row r="2064" spans="1:2" x14ac:dyDescent="0.25">
      <c r="A2064" s="75">
        <v>23153204</v>
      </c>
      <c r="B2064" s="76" t="s">
        <v>6395</v>
      </c>
    </row>
    <row r="2065" spans="1:2" x14ac:dyDescent="0.25">
      <c r="A2065" s="75">
        <v>23153301</v>
      </c>
      <c r="B2065" s="76" t="s">
        <v>15247</v>
      </c>
    </row>
    <row r="2066" spans="1:2" x14ac:dyDescent="0.25">
      <c r="A2066" s="75">
        <v>23153302</v>
      </c>
      <c r="B2066" s="76" t="s">
        <v>17559</v>
      </c>
    </row>
    <row r="2067" spans="1:2" x14ac:dyDescent="0.25">
      <c r="A2067" s="75">
        <v>23153303</v>
      </c>
      <c r="B2067" s="76" t="s">
        <v>17901</v>
      </c>
    </row>
    <row r="2068" spans="1:2" x14ac:dyDescent="0.25">
      <c r="A2068" s="75">
        <v>23153305</v>
      </c>
      <c r="B2068" s="76" t="s">
        <v>11345</v>
      </c>
    </row>
    <row r="2069" spans="1:2" x14ac:dyDescent="0.25">
      <c r="A2069" s="75">
        <v>23153306</v>
      </c>
      <c r="B2069" s="76" t="s">
        <v>6166</v>
      </c>
    </row>
    <row r="2070" spans="1:2" x14ac:dyDescent="0.25">
      <c r="A2070" s="75">
        <v>23153307</v>
      </c>
      <c r="B2070" s="76" t="s">
        <v>13094</v>
      </c>
    </row>
    <row r="2071" spans="1:2" x14ac:dyDescent="0.25">
      <c r="A2071" s="75">
        <v>23153308</v>
      </c>
      <c r="B2071" s="76" t="s">
        <v>3424</v>
      </c>
    </row>
    <row r="2072" spans="1:2" x14ac:dyDescent="0.25">
      <c r="A2072" s="75">
        <v>23153309</v>
      </c>
      <c r="B2072" s="76" t="s">
        <v>15605</v>
      </c>
    </row>
    <row r="2073" spans="1:2" x14ac:dyDescent="0.25">
      <c r="A2073" s="75">
        <v>23153310</v>
      </c>
      <c r="B2073" s="76" t="s">
        <v>19196</v>
      </c>
    </row>
    <row r="2074" spans="1:2" x14ac:dyDescent="0.25">
      <c r="A2074" s="75">
        <v>23153311</v>
      </c>
      <c r="B2074" s="76" t="s">
        <v>5155</v>
      </c>
    </row>
    <row r="2075" spans="1:2" x14ac:dyDescent="0.25">
      <c r="A2075" s="75">
        <v>23153312</v>
      </c>
      <c r="B2075" s="76" t="s">
        <v>3558</v>
      </c>
    </row>
    <row r="2076" spans="1:2" x14ac:dyDescent="0.25">
      <c r="A2076" s="75">
        <v>23153313</v>
      </c>
      <c r="B2076" s="76" t="s">
        <v>19422</v>
      </c>
    </row>
    <row r="2077" spans="1:2" x14ac:dyDescent="0.25">
      <c r="A2077" s="75">
        <v>23153401</v>
      </c>
      <c r="B2077" s="76" t="s">
        <v>8286</v>
      </c>
    </row>
    <row r="2078" spans="1:2" x14ac:dyDescent="0.25">
      <c r="A2078" s="75">
        <v>23153402</v>
      </c>
      <c r="B2078" s="76" t="s">
        <v>9072</v>
      </c>
    </row>
    <row r="2079" spans="1:2" x14ac:dyDescent="0.25">
      <c r="A2079" s="75">
        <v>23153403</v>
      </c>
      <c r="B2079" s="76" t="s">
        <v>10690</v>
      </c>
    </row>
    <row r="2080" spans="1:2" x14ac:dyDescent="0.25">
      <c r="A2080" s="75">
        <v>23153404</v>
      </c>
      <c r="B2080" s="76" t="s">
        <v>3565</v>
      </c>
    </row>
    <row r="2081" spans="1:2" x14ac:dyDescent="0.25">
      <c r="A2081" s="75">
        <v>23153405</v>
      </c>
      <c r="B2081" s="76" t="s">
        <v>10161</v>
      </c>
    </row>
    <row r="2082" spans="1:2" x14ac:dyDescent="0.25">
      <c r="A2082" s="75">
        <v>23153406</v>
      </c>
      <c r="B2082" s="76" t="s">
        <v>13113</v>
      </c>
    </row>
    <row r="2083" spans="1:2" x14ac:dyDescent="0.25">
      <c r="A2083" s="75">
        <v>23153407</v>
      </c>
      <c r="B2083" s="76" t="s">
        <v>16318</v>
      </c>
    </row>
    <row r="2084" spans="1:2" x14ac:dyDescent="0.25">
      <c r="A2084" s="75">
        <v>23153408</v>
      </c>
      <c r="B2084" s="76" t="s">
        <v>12235</v>
      </c>
    </row>
    <row r="2085" spans="1:2" x14ac:dyDescent="0.25">
      <c r="A2085" s="75">
        <v>23153409</v>
      </c>
      <c r="B2085" s="76" t="s">
        <v>14810</v>
      </c>
    </row>
    <row r="2086" spans="1:2" x14ac:dyDescent="0.25">
      <c r="A2086" s="75">
        <v>23153410</v>
      </c>
      <c r="B2086" s="76" t="s">
        <v>626</v>
      </c>
    </row>
    <row r="2087" spans="1:2" x14ac:dyDescent="0.25">
      <c r="A2087" s="75">
        <v>23153411</v>
      </c>
      <c r="B2087" s="76" t="s">
        <v>1754</v>
      </c>
    </row>
    <row r="2088" spans="1:2" x14ac:dyDescent="0.25">
      <c r="A2088" s="75">
        <v>23153412</v>
      </c>
      <c r="B2088" s="76" t="s">
        <v>11097</v>
      </c>
    </row>
    <row r="2089" spans="1:2" x14ac:dyDescent="0.25">
      <c r="A2089" s="75">
        <v>23153413</v>
      </c>
      <c r="B2089" s="76" t="s">
        <v>14453</v>
      </c>
    </row>
    <row r="2090" spans="1:2" x14ac:dyDescent="0.25">
      <c r="A2090" s="75">
        <v>23153414</v>
      </c>
      <c r="B2090" s="76" t="s">
        <v>9531</v>
      </c>
    </row>
    <row r="2091" spans="1:2" x14ac:dyDescent="0.25">
      <c r="A2091" s="75">
        <v>23153415</v>
      </c>
      <c r="B2091" s="76" t="s">
        <v>2159</v>
      </c>
    </row>
    <row r="2092" spans="1:2" x14ac:dyDescent="0.25">
      <c r="A2092" s="75">
        <v>23153416</v>
      </c>
      <c r="B2092" s="76" t="s">
        <v>15158</v>
      </c>
    </row>
    <row r="2093" spans="1:2" x14ac:dyDescent="0.25">
      <c r="A2093" s="75">
        <v>23153417</v>
      </c>
      <c r="B2093" s="76" t="s">
        <v>4305</v>
      </c>
    </row>
    <row r="2094" spans="1:2" x14ac:dyDescent="0.25">
      <c r="A2094" s="75">
        <v>23153501</v>
      </c>
      <c r="B2094" s="76" t="s">
        <v>10150</v>
      </c>
    </row>
    <row r="2095" spans="1:2" x14ac:dyDescent="0.25">
      <c r="A2095" s="75">
        <v>23153502</v>
      </c>
      <c r="B2095" s="76" t="s">
        <v>15743</v>
      </c>
    </row>
    <row r="2096" spans="1:2" x14ac:dyDescent="0.25">
      <c r="A2096" s="75">
        <v>23153503</v>
      </c>
      <c r="B2096" s="76" t="s">
        <v>574</v>
      </c>
    </row>
    <row r="2097" spans="1:2" x14ac:dyDescent="0.25">
      <c r="A2097" s="75">
        <v>23153504</v>
      </c>
      <c r="B2097" s="76" t="s">
        <v>18381</v>
      </c>
    </row>
    <row r="2098" spans="1:2" x14ac:dyDescent="0.25">
      <c r="A2098" s="75">
        <v>23153505</v>
      </c>
      <c r="B2098" s="76" t="s">
        <v>11023</v>
      </c>
    </row>
    <row r="2099" spans="1:2" x14ac:dyDescent="0.25">
      <c r="A2099" s="75">
        <v>23153506</v>
      </c>
      <c r="B2099" s="76" t="s">
        <v>2845</v>
      </c>
    </row>
    <row r="2100" spans="1:2" x14ac:dyDescent="0.25">
      <c r="A2100" s="75">
        <v>23153507</v>
      </c>
      <c r="B2100" s="76" t="s">
        <v>18378</v>
      </c>
    </row>
    <row r="2101" spans="1:2" x14ac:dyDescent="0.25">
      <c r="A2101" s="75">
        <v>23153508</v>
      </c>
      <c r="B2101" s="76" t="s">
        <v>17183</v>
      </c>
    </row>
    <row r="2102" spans="1:2" x14ac:dyDescent="0.25">
      <c r="A2102" s="75">
        <v>23161501</v>
      </c>
      <c r="B2102" s="76" t="s">
        <v>13922</v>
      </c>
    </row>
    <row r="2103" spans="1:2" x14ac:dyDescent="0.25">
      <c r="A2103" s="75">
        <v>23161502</v>
      </c>
      <c r="B2103" s="76" t="s">
        <v>15991</v>
      </c>
    </row>
    <row r="2104" spans="1:2" x14ac:dyDescent="0.25">
      <c r="A2104" s="75">
        <v>23161503</v>
      </c>
      <c r="B2104" s="76" t="s">
        <v>4967</v>
      </c>
    </row>
    <row r="2105" spans="1:2" x14ac:dyDescent="0.25">
      <c r="A2105" s="75">
        <v>23161504</v>
      </c>
      <c r="B2105" s="76" t="s">
        <v>10939</v>
      </c>
    </row>
    <row r="2106" spans="1:2" x14ac:dyDescent="0.25">
      <c r="A2106" s="75">
        <v>23161506</v>
      </c>
      <c r="B2106" s="76" t="s">
        <v>5280</v>
      </c>
    </row>
    <row r="2107" spans="1:2" x14ac:dyDescent="0.25">
      <c r="A2107" s="75">
        <v>23161507</v>
      </c>
      <c r="B2107" s="76" t="s">
        <v>8506</v>
      </c>
    </row>
    <row r="2108" spans="1:2" x14ac:dyDescent="0.25">
      <c r="A2108" s="75">
        <v>23161508</v>
      </c>
      <c r="B2108" s="76" t="s">
        <v>15015</v>
      </c>
    </row>
    <row r="2109" spans="1:2" x14ac:dyDescent="0.25">
      <c r="A2109" s="75">
        <v>23161509</v>
      </c>
      <c r="B2109" s="76" t="s">
        <v>16327</v>
      </c>
    </row>
    <row r="2110" spans="1:2" x14ac:dyDescent="0.25">
      <c r="A2110" s="75">
        <v>23161510</v>
      </c>
      <c r="B2110" s="76" t="s">
        <v>18548</v>
      </c>
    </row>
    <row r="2111" spans="1:2" x14ac:dyDescent="0.25">
      <c r="A2111" s="75">
        <v>23161511</v>
      </c>
      <c r="B2111" s="76" t="s">
        <v>8555</v>
      </c>
    </row>
    <row r="2112" spans="1:2" x14ac:dyDescent="0.25">
      <c r="A2112" s="75">
        <v>23161512</v>
      </c>
      <c r="B2112" s="76" t="s">
        <v>1572</v>
      </c>
    </row>
    <row r="2113" spans="1:2" x14ac:dyDescent="0.25">
      <c r="A2113" s="75">
        <v>23161513</v>
      </c>
      <c r="B2113" s="76" t="s">
        <v>6347</v>
      </c>
    </row>
    <row r="2114" spans="1:2" x14ac:dyDescent="0.25">
      <c r="A2114" s="75">
        <v>23161514</v>
      </c>
      <c r="B2114" s="76" t="s">
        <v>19394</v>
      </c>
    </row>
    <row r="2115" spans="1:2" x14ac:dyDescent="0.25">
      <c r="A2115" s="75">
        <v>23161515</v>
      </c>
      <c r="B2115" s="76" t="s">
        <v>9551</v>
      </c>
    </row>
    <row r="2116" spans="1:2" x14ac:dyDescent="0.25">
      <c r="A2116" s="75">
        <v>23161601</v>
      </c>
      <c r="B2116" s="76" t="s">
        <v>13922</v>
      </c>
    </row>
    <row r="2117" spans="1:2" x14ac:dyDescent="0.25">
      <c r="A2117" s="75">
        <v>23161602</v>
      </c>
      <c r="B2117" s="76" t="s">
        <v>1673</v>
      </c>
    </row>
    <row r="2118" spans="1:2" x14ac:dyDescent="0.25">
      <c r="A2118" s="75">
        <v>23161603</v>
      </c>
      <c r="B2118" s="76" t="s">
        <v>17033</v>
      </c>
    </row>
    <row r="2119" spans="1:2" x14ac:dyDescent="0.25">
      <c r="A2119" s="75">
        <v>23161605</v>
      </c>
      <c r="B2119" s="76" t="s">
        <v>2035</v>
      </c>
    </row>
    <row r="2120" spans="1:2" x14ac:dyDescent="0.25">
      <c r="A2120" s="75">
        <v>23161606</v>
      </c>
      <c r="B2120" s="76" t="s">
        <v>14365</v>
      </c>
    </row>
    <row r="2121" spans="1:2" x14ac:dyDescent="0.25">
      <c r="A2121" s="75">
        <v>23161607</v>
      </c>
      <c r="B2121" s="76" t="s">
        <v>9197</v>
      </c>
    </row>
    <row r="2122" spans="1:2" x14ac:dyDescent="0.25">
      <c r="A2122" s="75">
        <v>23161608</v>
      </c>
      <c r="B2122" s="76" t="s">
        <v>12306</v>
      </c>
    </row>
    <row r="2123" spans="1:2" x14ac:dyDescent="0.25">
      <c r="A2123" s="75">
        <v>23171501</v>
      </c>
      <c r="B2123" s="76" t="s">
        <v>6443</v>
      </c>
    </row>
    <row r="2124" spans="1:2" x14ac:dyDescent="0.25">
      <c r="A2124" s="75">
        <v>23171502</v>
      </c>
      <c r="B2124" s="76" t="s">
        <v>4978</v>
      </c>
    </row>
    <row r="2125" spans="1:2" x14ac:dyDescent="0.25">
      <c r="A2125" s="75">
        <v>23171504</v>
      </c>
      <c r="B2125" s="76" t="s">
        <v>19131</v>
      </c>
    </row>
    <row r="2126" spans="1:2" x14ac:dyDescent="0.25">
      <c r="A2126" s="75">
        <v>23171505</v>
      </c>
      <c r="B2126" s="76" t="s">
        <v>9706</v>
      </c>
    </row>
    <row r="2127" spans="1:2" x14ac:dyDescent="0.25">
      <c r="A2127" s="75">
        <v>23171506</v>
      </c>
      <c r="B2127" s="76" t="s">
        <v>12003</v>
      </c>
    </row>
    <row r="2128" spans="1:2" x14ac:dyDescent="0.25">
      <c r="A2128" s="75">
        <v>23171507</v>
      </c>
      <c r="B2128" s="76" t="s">
        <v>15519</v>
      </c>
    </row>
    <row r="2129" spans="1:2" x14ac:dyDescent="0.25">
      <c r="A2129" s="75">
        <v>23171508</v>
      </c>
      <c r="B2129" s="76" t="s">
        <v>8280</v>
      </c>
    </row>
    <row r="2130" spans="1:2" x14ac:dyDescent="0.25">
      <c r="A2130" s="75">
        <v>23171509</v>
      </c>
      <c r="B2130" s="76" t="s">
        <v>8113</v>
      </c>
    </row>
    <row r="2131" spans="1:2" x14ac:dyDescent="0.25">
      <c r="A2131" s="75">
        <v>23171510</v>
      </c>
      <c r="B2131" s="76" t="s">
        <v>504</v>
      </c>
    </row>
    <row r="2132" spans="1:2" x14ac:dyDescent="0.25">
      <c r="A2132" s="75">
        <v>23171511</v>
      </c>
      <c r="B2132" s="76" t="s">
        <v>1210</v>
      </c>
    </row>
    <row r="2133" spans="1:2" x14ac:dyDescent="0.25">
      <c r="A2133" s="75">
        <v>23171512</v>
      </c>
      <c r="B2133" s="76" t="s">
        <v>8387</v>
      </c>
    </row>
    <row r="2134" spans="1:2" x14ac:dyDescent="0.25">
      <c r="A2134" s="75">
        <v>23171513</v>
      </c>
      <c r="B2134" s="76" t="s">
        <v>35</v>
      </c>
    </row>
    <row r="2135" spans="1:2" x14ac:dyDescent="0.25">
      <c r="A2135" s="75">
        <v>23171514</v>
      </c>
      <c r="B2135" s="76" t="s">
        <v>6668</v>
      </c>
    </row>
    <row r="2136" spans="1:2" x14ac:dyDescent="0.25">
      <c r="A2136" s="75">
        <v>23171515</v>
      </c>
      <c r="B2136" s="76" t="s">
        <v>14209</v>
      </c>
    </row>
    <row r="2137" spans="1:2" x14ac:dyDescent="0.25">
      <c r="A2137" s="75">
        <v>23171517</v>
      </c>
      <c r="B2137" s="76" t="s">
        <v>19131</v>
      </c>
    </row>
    <row r="2138" spans="1:2" x14ac:dyDescent="0.25">
      <c r="A2138" s="75">
        <v>23171518</v>
      </c>
      <c r="B2138" s="76" t="s">
        <v>13237</v>
      </c>
    </row>
    <row r="2139" spans="1:2" x14ac:dyDescent="0.25">
      <c r="A2139" s="75">
        <v>23171519</v>
      </c>
      <c r="B2139" s="76" t="s">
        <v>6097</v>
      </c>
    </row>
    <row r="2140" spans="1:2" x14ac:dyDescent="0.25">
      <c r="A2140" s="75">
        <v>23171520</v>
      </c>
      <c r="B2140" s="76" t="s">
        <v>4168</v>
      </c>
    </row>
    <row r="2141" spans="1:2" x14ac:dyDescent="0.25">
      <c r="A2141" s="75">
        <v>23171521</v>
      </c>
      <c r="B2141" s="76" t="s">
        <v>9564</v>
      </c>
    </row>
    <row r="2142" spans="1:2" x14ac:dyDescent="0.25">
      <c r="A2142" s="75">
        <v>23171522</v>
      </c>
      <c r="B2142" s="76" t="s">
        <v>19136</v>
      </c>
    </row>
    <row r="2143" spans="1:2" x14ac:dyDescent="0.25">
      <c r="A2143" s="75">
        <v>23171523</v>
      </c>
      <c r="B2143" s="76" t="s">
        <v>9927</v>
      </c>
    </row>
    <row r="2144" spans="1:2" x14ac:dyDescent="0.25">
      <c r="A2144" s="75">
        <v>23171524</v>
      </c>
      <c r="B2144" s="76" t="s">
        <v>3980</v>
      </c>
    </row>
    <row r="2145" spans="1:2" x14ac:dyDescent="0.25">
      <c r="A2145" s="75">
        <v>23171525</v>
      </c>
      <c r="B2145" s="76" t="s">
        <v>517</v>
      </c>
    </row>
    <row r="2146" spans="1:2" x14ac:dyDescent="0.25">
      <c r="A2146" s="75">
        <v>23171526</v>
      </c>
      <c r="B2146" s="76" t="s">
        <v>4716</v>
      </c>
    </row>
    <row r="2147" spans="1:2" x14ac:dyDescent="0.25">
      <c r="A2147" s="75">
        <v>23171527</v>
      </c>
      <c r="B2147" s="76" t="s">
        <v>14488</v>
      </c>
    </row>
    <row r="2148" spans="1:2" x14ac:dyDescent="0.25">
      <c r="A2148" s="75">
        <v>23171528</v>
      </c>
      <c r="B2148" s="76" t="s">
        <v>3942</v>
      </c>
    </row>
    <row r="2149" spans="1:2" x14ac:dyDescent="0.25">
      <c r="A2149" s="75">
        <v>23171529</v>
      </c>
      <c r="B2149" s="76" t="s">
        <v>13667</v>
      </c>
    </row>
    <row r="2150" spans="1:2" x14ac:dyDescent="0.25">
      <c r="A2150" s="75">
        <v>23171530</v>
      </c>
      <c r="B2150" s="76" t="s">
        <v>1545</v>
      </c>
    </row>
    <row r="2151" spans="1:2" x14ac:dyDescent="0.25">
      <c r="A2151" s="75">
        <v>23171531</v>
      </c>
      <c r="B2151" s="76" t="s">
        <v>9693</v>
      </c>
    </row>
    <row r="2152" spans="1:2" x14ac:dyDescent="0.25">
      <c r="A2152" s="75">
        <v>23171532</v>
      </c>
      <c r="B2152" s="76" t="s">
        <v>13461</v>
      </c>
    </row>
    <row r="2153" spans="1:2" x14ac:dyDescent="0.25">
      <c r="A2153" s="75">
        <v>23171533</v>
      </c>
      <c r="B2153" s="76" t="s">
        <v>10737</v>
      </c>
    </row>
    <row r="2154" spans="1:2" x14ac:dyDescent="0.25">
      <c r="A2154" s="75">
        <v>23171534</v>
      </c>
      <c r="B2154" s="76" t="s">
        <v>2308</v>
      </c>
    </row>
    <row r="2155" spans="1:2" x14ac:dyDescent="0.25">
      <c r="A2155" s="75">
        <v>23171535</v>
      </c>
      <c r="B2155" s="76" t="s">
        <v>19568</v>
      </c>
    </row>
    <row r="2156" spans="1:2" x14ac:dyDescent="0.25">
      <c r="A2156" s="75">
        <v>23171536</v>
      </c>
      <c r="B2156" s="76" t="s">
        <v>3356</v>
      </c>
    </row>
    <row r="2157" spans="1:2" x14ac:dyDescent="0.25">
      <c r="A2157" s="75">
        <v>23171537</v>
      </c>
      <c r="B2157" s="76" t="s">
        <v>15823</v>
      </c>
    </row>
    <row r="2158" spans="1:2" x14ac:dyDescent="0.25">
      <c r="A2158" s="75">
        <v>23171538</v>
      </c>
      <c r="B2158" s="76" t="s">
        <v>12042</v>
      </c>
    </row>
    <row r="2159" spans="1:2" x14ac:dyDescent="0.25">
      <c r="A2159" s="75">
        <v>23171539</v>
      </c>
      <c r="B2159" s="76" t="s">
        <v>3528</v>
      </c>
    </row>
    <row r="2160" spans="1:2" x14ac:dyDescent="0.25">
      <c r="A2160" s="75">
        <v>23171540</v>
      </c>
      <c r="B2160" s="76" t="s">
        <v>1306</v>
      </c>
    </row>
    <row r="2161" spans="1:2" x14ac:dyDescent="0.25">
      <c r="A2161" s="75">
        <v>23171541</v>
      </c>
      <c r="B2161" s="76" t="s">
        <v>6457</v>
      </c>
    </row>
    <row r="2162" spans="1:2" x14ac:dyDescent="0.25">
      <c r="A2162" s="75">
        <v>23171602</v>
      </c>
      <c r="B2162" s="76" t="s">
        <v>6051</v>
      </c>
    </row>
    <row r="2163" spans="1:2" x14ac:dyDescent="0.25">
      <c r="A2163" s="75">
        <v>23171603</v>
      </c>
      <c r="B2163" s="76" t="s">
        <v>11830</v>
      </c>
    </row>
    <row r="2164" spans="1:2" x14ac:dyDescent="0.25">
      <c r="A2164" s="75">
        <v>23171604</v>
      </c>
      <c r="B2164" s="76" t="s">
        <v>6820</v>
      </c>
    </row>
    <row r="2165" spans="1:2" x14ac:dyDescent="0.25">
      <c r="A2165" s="75">
        <v>23171605</v>
      </c>
      <c r="B2165" s="76" t="s">
        <v>16849</v>
      </c>
    </row>
    <row r="2166" spans="1:2" x14ac:dyDescent="0.25">
      <c r="A2166" s="75">
        <v>23171606</v>
      </c>
      <c r="B2166" s="76" t="s">
        <v>18157</v>
      </c>
    </row>
    <row r="2167" spans="1:2" x14ac:dyDescent="0.25">
      <c r="A2167" s="75">
        <v>23171607</v>
      </c>
      <c r="B2167" s="76" t="s">
        <v>4830</v>
      </c>
    </row>
    <row r="2168" spans="1:2" x14ac:dyDescent="0.25">
      <c r="A2168" s="75">
        <v>23171608</v>
      </c>
      <c r="B2168" s="76" t="s">
        <v>13938</v>
      </c>
    </row>
    <row r="2169" spans="1:2" x14ac:dyDescent="0.25">
      <c r="A2169" s="75">
        <v>23171609</v>
      </c>
      <c r="B2169" s="76" t="s">
        <v>7613</v>
      </c>
    </row>
    <row r="2170" spans="1:2" x14ac:dyDescent="0.25">
      <c r="A2170" s="75">
        <v>23171610</v>
      </c>
      <c r="B2170" s="76" t="s">
        <v>11900</v>
      </c>
    </row>
    <row r="2171" spans="1:2" x14ac:dyDescent="0.25">
      <c r="A2171" s="75">
        <v>23171611</v>
      </c>
      <c r="B2171" s="76" t="s">
        <v>9641</v>
      </c>
    </row>
    <row r="2172" spans="1:2" x14ac:dyDescent="0.25">
      <c r="A2172" s="75">
        <v>23171612</v>
      </c>
      <c r="B2172" s="76" t="s">
        <v>5081</v>
      </c>
    </row>
    <row r="2173" spans="1:2" x14ac:dyDescent="0.25">
      <c r="A2173" s="75">
        <v>23171613</v>
      </c>
      <c r="B2173" s="76" t="s">
        <v>3781</v>
      </c>
    </row>
    <row r="2174" spans="1:2" x14ac:dyDescent="0.25">
      <c r="A2174" s="75">
        <v>23171614</v>
      </c>
      <c r="B2174" s="76" t="s">
        <v>17660</v>
      </c>
    </row>
    <row r="2175" spans="1:2" x14ac:dyDescent="0.25">
      <c r="A2175" s="75">
        <v>23171615</v>
      </c>
      <c r="B2175" s="76" t="s">
        <v>12543</v>
      </c>
    </row>
    <row r="2176" spans="1:2" x14ac:dyDescent="0.25">
      <c r="A2176" s="75">
        <v>23171616</v>
      </c>
      <c r="B2176" s="76" t="s">
        <v>19105</v>
      </c>
    </row>
    <row r="2177" spans="1:2" x14ac:dyDescent="0.25">
      <c r="A2177" s="75">
        <v>23171617</v>
      </c>
      <c r="B2177" s="76" t="s">
        <v>11716</v>
      </c>
    </row>
    <row r="2178" spans="1:2" x14ac:dyDescent="0.25">
      <c r="A2178" s="75">
        <v>23171618</v>
      </c>
      <c r="B2178" s="76" t="s">
        <v>16176</v>
      </c>
    </row>
    <row r="2179" spans="1:2" x14ac:dyDescent="0.25">
      <c r="A2179" s="75">
        <v>23171619</v>
      </c>
      <c r="B2179" s="76" t="s">
        <v>8923</v>
      </c>
    </row>
    <row r="2180" spans="1:2" x14ac:dyDescent="0.25">
      <c r="A2180" s="75">
        <v>23171620</v>
      </c>
      <c r="B2180" s="76" t="s">
        <v>7680</v>
      </c>
    </row>
    <row r="2181" spans="1:2" x14ac:dyDescent="0.25">
      <c r="A2181" s="75">
        <v>23171621</v>
      </c>
      <c r="B2181" s="76" t="s">
        <v>15644</v>
      </c>
    </row>
    <row r="2182" spans="1:2" x14ac:dyDescent="0.25">
      <c r="A2182" s="75">
        <v>23171622</v>
      </c>
      <c r="B2182" s="76" t="s">
        <v>12263</v>
      </c>
    </row>
    <row r="2183" spans="1:2" x14ac:dyDescent="0.25">
      <c r="A2183" s="75">
        <v>23171623</v>
      </c>
      <c r="B2183" s="76" t="s">
        <v>8069</v>
      </c>
    </row>
    <row r="2184" spans="1:2" x14ac:dyDescent="0.25">
      <c r="A2184" s="75">
        <v>23171701</v>
      </c>
      <c r="B2184" s="76" t="s">
        <v>14690</v>
      </c>
    </row>
    <row r="2185" spans="1:2" x14ac:dyDescent="0.25">
      <c r="A2185" s="75">
        <v>23171702</v>
      </c>
      <c r="B2185" s="76" t="s">
        <v>17822</v>
      </c>
    </row>
    <row r="2186" spans="1:2" x14ac:dyDescent="0.25">
      <c r="A2186" s="75">
        <v>23171703</v>
      </c>
      <c r="B2186" s="76" t="s">
        <v>4204</v>
      </c>
    </row>
    <row r="2187" spans="1:2" x14ac:dyDescent="0.25">
      <c r="A2187" s="75">
        <v>23171704</v>
      </c>
      <c r="B2187" s="76" t="s">
        <v>14913</v>
      </c>
    </row>
    <row r="2188" spans="1:2" x14ac:dyDescent="0.25">
      <c r="A2188" s="75">
        <v>23171705</v>
      </c>
      <c r="B2188" s="76" t="s">
        <v>10979</v>
      </c>
    </row>
    <row r="2189" spans="1:2" x14ac:dyDescent="0.25">
      <c r="A2189" s="75">
        <v>23171706</v>
      </c>
      <c r="B2189" s="76" t="s">
        <v>5660</v>
      </c>
    </row>
    <row r="2190" spans="1:2" x14ac:dyDescent="0.25">
      <c r="A2190" s="75">
        <v>23171707</v>
      </c>
      <c r="B2190" s="76" t="s">
        <v>18712</v>
      </c>
    </row>
    <row r="2191" spans="1:2" x14ac:dyDescent="0.25">
      <c r="A2191" s="75">
        <v>23171708</v>
      </c>
      <c r="B2191" s="76" t="s">
        <v>15253</v>
      </c>
    </row>
    <row r="2192" spans="1:2" x14ac:dyDescent="0.25">
      <c r="A2192" s="75">
        <v>23171801</v>
      </c>
      <c r="B2192" s="76" t="s">
        <v>7864</v>
      </c>
    </row>
    <row r="2193" spans="1:2" x14ac:dyDescent="0.25">
      <c r="A2193" s="75">
        <v>23171802</v>
      </c>
      <c r="B2193" s="76" t="s">
        <v>1636</v>
      </c>
    </row>
    <row r="2194" spans="1:2" x14ac:dyDescent="0.25">
      <c r="A2194" s="75">
        <v>23171803</v>
      </c>
      <c r="B2194" s="76" t="s">
        <v>6355</v>
      </c>
    </row>
    <row r="2195" spans="1:2" x14ac:dyDescent="0.25">
      <c r="A2195" s="75">
        <v>23171804</v>
      </c>
      <c r="B2195" s="76" t="s">
        <v>1375</v>
      </c>
    </row>
    <row r="2196" spans="1:2" x14ac:dyDescent="0.25">
      <c r="A2196" s="75">
        <v>23171805</v>
      </c>
      <c r="B2196" s="76" t="s">
        <v>5590</v>
      </c>
    </row>
    <row r="2197" spans="1:2" x14ac:dyDescent="0.25">
      <c r="A2197" s="75">
        <v>23171806</v>
      </c>
      <c r="B2197" s="76" t="s">
        <v>6485</v>
      </c>
    </row>
    <row r="2198" spans="1:2" x14ac:dyDescent="0.25">
      <c r="A2198" s="75">
        <v>23171901</v>
      </c>
      <c r="B2198" s="76" t="s">
        <v>13710</v>
      </c>
    </row>
    <row r="2199" spans="1:2" x14ac:dyDescent="0.25">
      <c r="A2199" s="75">
        <v>23171902</v>
      </c>
      <c r="B2199" s="76" t="s">
        <v>2789</v>
      </c>
    </row>
    <row r="2200" spans="1:2" x14ac:dyDescent="0.25">
      <c r="A2200" s="75">
        <v>23171903</v>
      </c>
      <c r="B2200" s="76" t="s">
        <v>4504</v>
      </c>
    </row>
    <row r="2201" spans="1:2" x14ac:dyDescent="0.25">
      <c r="A2201" s="75">
        <v>23171904</v>
      </c>
      <c r="B2201" s="76" t="s">
        <v>15954</v>
      </c>
    </row>
    <row r="2202" spans="1:2" x14ac:dyDescent="0.25">
      <c r="A2202" s="75">
        <v>23171905</v>
      </c>
      <c r="B2202" s="76" t="s">
        <v>11420</v>
      </c>
    </row>
    <row r="2203" spans="1:2" x14ac:dyDescent="0.25">
      <c r="A2203" s="75">
        <v>23171906</v>
      </c>
      <c r="B2203" s="76" t="s">
        <v>18027</v>
      </c>
    </row>
    <row r="2204" spans="1:2" x14ac:dyDescent="0.25">
      <c r="A2204" s="75">
        <v>23172001</v>
      </c>
      <c r="B2204" s="76" t="s">
        <v>9462</v>
      </c>
    </row>
    <row r="2205" spans="1:2" x14ac:dyDescent="0.25">
      <c r="A2205" s="75">
        <v>23172002</v>
      </c>
      <c r="B2205" s="76" t="s">
        <v>18188</v>
      </c>
    </row>
    <row r="2206" spans="1:2" x14ac:dyDescent="0.25">
      <c r="A2206" s="75">
        <v>23172003</v>
      </c>
      <c r="B2206" s="76" t="s">
        <v>18552</v>
      </c>
    </row>
    <row r="2207" spans="1:2" x14ac:dyDescent="0.25">
      <c r="A2207" s="75">
        <v>23172005</v>
      </c>
      <c r="B2207" s="76" t="s">
        <v>14084</v>
      </c>
    </row>
    <row r="2208" spans="1:2" x14ac:dyDescent="0.25">
      <c r="A2208" s="75">
        <v>23172006</v>
      </c>
      <c r="B2208" s="76" t="s">
        <v>18268</v>
      </c>
    </row>
    <row r="2209" spans="1:2" x14ac:dyDescent="0.25">
      <c r="A2209" s="75">
        <v>23172007</v>
      </c>
      <c r="B2209" s="76" t="s">
        <v>3266</v>
      </c>
    </row>
    <row r="2210" spans="1:2" x14ac:dyDescent="0.25">
      <c r="A2210" s="75">
        <v>23172008</v>
      </c>
      <c r="B2210" s="76" t="s">
        <v>6974</v>
      </c>
    </row>
    <row r="2211" spans="1:2" x14ac:dyDescent="0.25">
      <c r="A2211" s="75">
        <v>23172009</v>
      </c>
      <c r="B2211" s="76" t="s">
        <v>6870</v>
      </c>
    </row>
    <row r="2212" spans="1:2" x14ac:dyDescent="0.25">
      <c r="A2212" s="75">
        <v>23172010</v>
      </c>
      <c r="B2212" s="76" t="s">
        <v>2508</v>
      </c>
    </row>
    <row r="2213" spans="1:2" x14ac:dyDescent="0.25">
      <c r="A2213" s="75">
        <v>23172011</v>
      </c>
      <c r="B2213" s="76" t="s">
        <v>8777</v>
      </c>
    </row>
    <row r="2214" spans="1:2" x14ac:dyDescent="0.25">
      <c r="A2214" s="75">
        <v>23172012</v>
      </c>
      <c r="B2214" s="76" t="s">
        <v>16240</v>
      </c>
    </row>
    <row r="2215" spans="1:2" x14ac:dyDescent="0.25">
      <c r="A2215" s="75">
        <v>23172013</v>
      </c>
      <c r="B2215" s="76" t="s">
        <v>17470</v>
      </c>
    </row>
    <row r="2216" spans="1:2" x14ac:dyDescent="0.25">
      <c r="A2216" s="75">
        <v>23172014</v>
      </c>
      <c r="B2216" s="76" t="s">
        <v>19246</v>
      </c>
    </row>
    <row r="2217" spans="1:2" x14ac:dyDescent="0.25">
      <c r="A2217" s="75">
        <v>23172015</v>
      </c>
      <c r="B2217" s="76" t="s">
        <v>15253</v>
      </c>
    </row>
    <row r="2218" spans="1:2" x14ac:dyDescent="0.25">
      <c r="A2218" s="75">
        <v>23181501</v>
      </c>
      <c r="B2218" s="76" t="s">
        <v>7777</v>
      </c>
    </row>
    <row r="2219" spans="1:2" x14ac:dyDescent="0.25">
      <c r="A2219" s="75">
        <v>23181502</v>
      </c>
      <c r="B2219" s="76" t="s">
        <v>708</v>
      </c>
    </row>
    <row r="2220" spans="1:2" x14ac:dyDescent="0.25">
      <c r="A2220" s="75">
        <v>23181504</v>
      </c>
      <c r="B2220" s="76" t="s">
        <v>11964</v>
      </c>
    </row>
    <row r="2221" spans="1:2" x14ac:dyDescent="0.25">
      <c r="A2221" s="75">
        <v>23181505</v>
      </c>
      <c r="B2221" s="76" t="s">
        <v>9616</v>
      </c>
    </row>
    <row r="2222" spans="1:2" x14ac:dyDescent="0.25">
      <c r="A2222" s="75">
        <v>23181506</v>
      </c>
      <c r="B2222" s="76" t="s">
        <v>13330</v>
      </c>
    </row>
    <row r="2223" spans="1:2" x14ac:dyDescent="0.25">
      <c r="A2223" s="75">
        <v>23181507</v>
      </c>
      <c r="B2223" s="76" t="s">
        <v>12156</v>
      </c>
    </row>
    <row r="2224" spans="1:2" x14ac:dyDescent="0.25">
      <c r="A2224" s="75">
        <v>23181508</v>
      </c>
      <c r="B2224" s="76" t="s">
        <v>9279</v>
      </c>
    </row>
    <row r="2225" spans="1:2" x14ac:dyDescent="0.25">
      <c r="A2225" s="75">
        <v>23181509</v>
      </c>
      <c r="B2225" s="76" t="s">
        <v>9482</v>
      </c>
    </row>
    <row r="2226" spans="1:2" x14ac:dyDescent="0.25">
      <c r="A2226" s="75">
        <v>23181510</v>
      </c>
      <c r="B2226" s="76" t="s">
        <v>17779</v>
      </c>
    </row>
    <row r="2227" spans="1:2" x14ac:dyDescent="0.25">
      <c r="A2227" s="75">
        <v>23181511</v>
      </c>
      <c r="B2227" s="76" t="s">
        <v>18620</v>
      </c>
    </row>
    <row r="2228" spans="1:2" x14ac:dyDescent="0.25">
      <c r="A2228" s="75">
        <v>23181512</v>
      </c>
      <c r="B2228" s="76" t="s">
        <v>7988</v>
      </c>
    </row>
    <row r="2229" spans="1:2" x14ac:dyDescent="0.25">
      <c r="A2229" s="75">
        <v>23181513</v>
      </c>
      <c r="B2229" s="76" t="s">
        <v>5388</v>
      </c>
    </row>
    <row r="2230" spans="1:2" x14ac:dyDescent="0.25">
      <c r="A2230" s="75">
        <v>23181601</v>
      </c>
      <c r="B2230" s="76" t="s">
        <v>9507</v>
      </c>
    </row>
    <row r="2231" spans="1:2" x14ac:dyDescent="0.25">
      <c r="A2231" s="75">
        <v>23181602</v>
      </c>
      <c r="B2231" s="76" t="s">
        <v>2242</v>
      </c>
    </row>
    <row r="2232" spans="1:2" x14ac:dyDescent="0.25">
      <c r="A2232" s="75">
        <v>23181603</v>
      </c>
      <c r="B2232" s="76" t="s">
        <v>15508</v>
      </c>
    </row>
    <row r="2233" spans="1:2" x14ac:dyDescent="0.25">
      <c r="A2233" s="75">
        <v>23181604</v>
      </c>
      <c r="B2233" s="76" t="s">
        <v>2895</v>
      </c>
    </row>
    <row r="2234" spans="1:2" x14ac:dyDescent="0.25">
      <c r="A2234" s="75">
        <v>23181605</v>
      </c>
      <c r="B2234" s="76" t="s">
        <v>5824</v>
      </c>
    </row>
    <row r="2235" spans="1:2" x14ac:dyDescent="0.25">
      <c r="A2235" s="75">
        <v>23181606</v>
      </c>
      <c r="B2235" s="76" t="s">
        <v>10176</v>
      </c>
    </row>
    <row r="2236" spans="1:2" x14ac:dyDescent="0.25">
      <c r="A2236" s="75">
        <v>23181701</v>
      </c>
      <c r="B2236" s="76" t="s">
        <v>19259</v>
      </c>
    </row>
    <row r="2237" spans="1:2" x14ac:dyDescent="0.25">
      <c r="A2237" s="75">
        <v>23181702</v>
      </c>
      <c r="B2237" s="76" t="s">
        <v>4054</v>
      </c>
    </row>
    <row r="2238" spans="1:2" x14ac:dyDescent="0.25">
      <c r="A2238" s="75">
        <v>23181703</v>
      </c>
      <c r="B2238" s="76" t="s">
        <v>5624</v>
      </c>
    </row>
    <row r="2239" spans="1:2" x14ac:dyDescent="0.25">
      <c r="A2239" s="75">
        <v>23181704</v>
      </c>
      <c r="B2239" s="76" t="s">
        <v>6291</v>
      </c>
    </row>
    <row r="2240" spans="1:2" x14ac:dyDescent="0.25">
      <c r="A2240" s="75">
        <v>23181801</v>
      </c>
      <c r="B2240" s="76" t="s">
        <v>15117</v>
      </c>
    </row>
    <row r="2241" spans="1:2" x14ac:dyDescent="0.25">
      <c r="A2241" s="75">
        <v>23181802</v>
      </c>
      <c r="B2241" s="76" t="s">
        <v>2365</v>
      </c>
    </row>
    <row r="2242" spans="1:2" x14ac:dyDescent="0.25">
      <c r="A2242" s="75">
        <v>23181803</v>
      </c>
      <c r="B2242" s="76" t="s">
        <v>16853</v>
      </c>
    </row>
    <row r="2243" spans="1:2" x14ac:dyDescent="0.25">
      <c r="A2243" s="75">
        <v>23181804</v>
      </c>
      <c r="B2243" s="76" t="s">
        <v>8159</v>
      </c>
    </row>
    <row r="2244" spans="1:2" x14ac:dyDescent="0.25">
      <c r="A2244" s="75">
        <v>23191001</v>
      </c>
      <c r="B2244" s="76" t="s">
        <v>13049</v>
      </c>
    </row>
    <row r="2245" spans="1:2" x14ac:dyDescent="0.25">
      <c r="A2245" s="75">
        <v>23191002</v>
      </c>
      <c r="B2245" s="76" t="s">
        <v>15334</v>
      </c>
    </row>
    <row r="2246" spans="1:2" x14ac:dyDescent="0.25">
      <c r="A2246" s="75">
        <v>23191003</v>
      </c>
      <c r="B2246" s="76" t="s">
        <v>13158</v>
      </c>
    </row>
    <row r="2247" spans="1:2" x14ac:dyDescent="0.25">
      <c r="A2247" s="75">
        <v>23191004</v>
      </c>
      <c r="B2247" s="76" t="s">
        <v>3271</v>
      </c>
    </row>
    <row r="2248" spans="1:2" x14ac:dyDescent="0.25">
      <c r="A2248" s="75">
        <v>23191005</v>
      </c>
      <c r="B2248" s="76" t="s">
        <v>12534</v>
      </c>
    </row>
    <row r="2249" spans="1:2" x14ac:dyDescent="0.25">
      <c r="A2249" s="75">
        <v>23191101</v>
      </c>
      <c r="B2249" s="76" t="s">
        <v>7</v>
      </c>
    </row>
    <row r="2250" spans="1:2" x14ac:dyDescent="0.25">
      <c r="A2250" s="75">
        <v>23191102</v>
      </c>
      <c r="B2250" s="76" t="s">
        <v>13533</v>
      </c>
    </row>
    <row r="2251" spans="1:2" x14ac:dyDescent="0.25">
      <c r="A2251" s="75">
        <v>23191201</v>
      </c>
      <c r="B2251" s="76" t="s">
        <v>9501</v>
      </c>
    </row>
    <row r="2252" spans="1:2" x14ac:dyDescent="0.25">
      <c r="A2252" s="75">
        <v>23191202</v>
      </c>
      <c r="B2252" s="76" t="s">
        <v>2551</v>
      </c>
    </row>
    <row r="2253" spans="1:2" x14ac:dyDescent="0.25">
      <c r="A2253" s="75">
        <v>23201001</v>
      </c>
      <c r="B2253" s="76" t="s">
        <v>15847</v>
      </c>
    </row>
    <row r="2254" spans="1:2" x14ac:dyDescent="0.25">
      <c r="A2254" s="75">
        <v>23201002</v>
      </c>
      <c r="B2254" s="76" t="s">
        <v>10287</v>
      </c>
    </row>
    <row r="2255" spans="1:2" x14ac:dyDescent="0.25">
      <c r="A2255" s="75">
        <v>23201003</v>
      </c>
      <c r="B2255" s="76" t="s">
        <v>16714</v>
      </c>
    </row>
    <row r="2256" spans="1:2" x14ac:dyDescent="0.25">
      <c r="A2256" s="75">
        <v>23201004</v>
      </c>
      <c r="B2256" s="76" t="s">
        <v>8483</v>
      </c>
    </row>
    <row r="2257" spans="1:2" x14ac:dyDescent="0.25">
      <c r="A2257" s="75">
        <v>23201005</v>
      </c>
      <c r="B2257" s="76" t="s">
        <v>13413</v>
      </c>
    </row>
    <row r="2258" spans="1:2" x14ac:dyDescent="0.25">
      <c r="A2258" s="75">
        <v>23201101</v>
      </c>
      <c r="B2258" s="76" t="s">
        <v>810</v>
      </c>
    </row>
    <row r="2259" spans="1:2" x14ac:dyDescent="0.25">
      <c r="A2259" s="75">
        <v>23201102</v>
      </c>
      <c r="B2259" s="76" t="s">
        <v>13998</v>
      </c>
    </row>
    <row r="2260" spans="1:2" x14ac:dyDescent="0.25">
      <c r="A2260" s="75">
        <v>23201201</v>
      </c>
      <c r="B2260" s="76" t="s">
        <v>301</v>
      </c>
    </row>
    <row r="2261" spans="1:2" x14ac:dyDescent="0.25">
      <c r="A2261" s="75">
        <v>23201202</v>
      </c>
      <c r="B2261" s="76" t="s">
        <v>16914</v>
      </c>
    </row>
    <row r="2262" spans="1:2" x14ac:dyDescent="0.25">
      <c r="A2262" s="75">
        <v>23211001</v>
      </c>
      <c r="B2262" s="76" t="s">
        <v>7440</v>
      </c>
    </row>
    <row r="2263" spans="1:2" x14ac:dyDescent="0.25">
      <c r="A2263" s="75">
        <v>23211002</v>
      </c>
      <c r="B2263" s="76" t="s">
        <v>15794</v>
      </c>
    </row>
    <row r="2264" spans="1:2" x14ac:dyDescent="0.25">
      <c r="A2264" s="75">
        <v>23211101</v>
      </c>
      <c r="B2264" s="76" t="s">
        <v>10355</v>
      </c>
    </row>
    <row r="2265" spans="1:2" x14ac:dyDescent="0.25">
      <c r="A2265" s="75">
        <v>23221001</v>
      </c>
      <c r="B2265" s="76" t="s">
        <v>7265</v>
      </c>
    </row>
    <row r="2266" spans="1:2" x14ac:dyDescent="0.25">
      <c r="A2266" s="75">
        <v>23221002</v>
      </c>
      <c r="B2266" s="76" t="s">
        <v>5708</v>
      </c>
    </row>
    <row r="2267" spans="1:2" x14ac:dyDescent="0.25">
      <c r="A2267" s="75">
        <v>23221101</v>
      </c>
      <c r="B2267" s="76" t="s">
        <v>14230</v>
      </c>
    </row>
    <row r="2268" spans="1:2" x14ac:dyDescent="0.25">
      <c r="A2268" s="75">
        <v>23221201</v>
      </c>
      <c r="B2268" s="76" t="s">
        <v>19022</v>
      </c>
    </row>
    <row r="2269" spans="1:2" x14ac:dyDescent="0.25">
      <c r="A2269" s="75">
        <v>23231001</v>
      </c>
      <c r="B2269" s="76" t="s">
        <v>11619</v>
      </c>
    </row>
    <row r="2270" spans="1:2" x14ac:dyDescent="0.25">
      <c r="A2270" s="75">
        <v>23231002</v>
      </c>
      <c r="B2270" s="76" t="s">
        <v>19410</v>
      </c>
    </row>
    <row r="2271" spans="1:2" x14ac:dyDescent="0.25">
      <c r="A2271" s="75">
        <v>23231101</v>
      </c>
      <c r="B2271" s="76" t="s">
        <v>18531</v>
      </c>
    </row>
    <row r="2272" spans="1:2" x14ac:dyDescent="0.25">
      <c r="A2272" s="75">
        <v>23231102</v>
      </c>
      <c r="B2272" s="76" t="s">
        <v>3734</v>
      </c>
    </row>
    <row r="2273" spans="1:2" x14ac:dyDescent="0.25">
      <c r="A2273" s="75">
        <v>23231201</v>
      </c>
      <c r="B2273" s="76" t="s">
        <v>13521</v>
      </c>
    </row>
    <row r="2274" spans="1:2" x14ac:dyDescent="0.25">
      <c r="A2274" s="75">
        <v>23231202</v>
      </c>
      <c r="B2274" s="76" t="s">
        <v>16636</v>
      </c>
    </row>
    <row r="2275" spans="1:2" x14ac:dyDescent="0.25">
      <c r="A2275" s="75">
        <v>23231301</v>
      </c>
      <c r="B2275" s="76" t="s">
        <v>9753</v>
      </c>
    </row>
    <row r="2276" spans="1:2" x14ac:dyDescent="0.25">
      <c r="A2276" s="75">
        <v>23231302</v>
      </c>
      <c r="B2276" s="76" t="s">
        <v>15858</v>
      </c>
    </row>
    <row r="2277" spans="1:2" x14ac:dyDescent="0.25">
      <c r="A2277" s="75">
        <v>23231401</v>
      </c>
      <c r="B2277" s="76" t="s">
        <v>3620</v>
      </c>
    </row>
    <row r="2278" spans="1:2" x14ac:dyDescent="0.25">
      <c r="A2278" s="75">
        <v>23231402</v>
      </c>
      <c r="B2278" s="76" t="s">
        <v>11770</v>
      </c>
    </row>
    <row r="2279" spans="1:2" x14ac:dyDescent="0.25">
      <c r="A2279" s="75">
        <v>23231501</v>
      </c>
      <c r="B2279" s="76" t="s">
        <v>15145</v>
      </c>
    </row>
    <row r="2280" spans="1:2" x14ac:dyDescent="0.25">
      <c r="A2280" s="75">
        <v>23231502</v>
      </c>
      <c r="B2280" s="76" t="s">
        <v>18760</v>
      </c>
    </row>
    <row r="2281" spans="1:2" x14ac:dyDescent="0.25">
      <c r="A2281" s="75">
        <v>23231601</v>
      </c>
      <c r="B2281" s="76" t="s">
        <v>6650</v>
      </c>
    </row>
    <row r="2282" spans="1:2" x14ac:dyDescent="0.25">
      <c r="A2282" s="75">
        <v>23231602</v>
      </c>
      <c r="B2282" s="76" t="s">
        <v>17093</v>
      </c>
    </row>
    <row r="2283" spans="1:2" x14ac:dyDescent="0.25">
      <c r="A2283" s="75">
        <v>23231701</v>
      </c>
      <c r="B2283" s="76" t="s">
        <v>2753</v>
      </c>
    </row>
    <row r="2284" spans="1:2" x14ac:dyDescent="0.25">
      <c r="A2284" s="75">
        <v>23231801</v>
      </c>
      <c r="B2284" s="76" t="s">
        <v>7768</v>
      </c>
    </row>
    <row r="2285" spans="1:2" x14ac:dyDescent="0.25">
      <c r="A2285" s="75">
        <v>23231901</v>
      </c>
      <c r="B2285" s="76" t="s">
        <v>13826</v>
      </c>
    </row>
    <row r="2286" spans="1:2" x14ac:dyDescent="0.25">
      <c r="A2286" s="75">
        <v>23231902</v>
      </c>
      <c r="B2286" s="76" t="s">
        <v>7448</v>
      </c>
    </row>
    <row r="2287" spans="1:2" x14ac:dyDescent="0.25">
      <c r="A2287" s="75">
        <v>23231903</v>
      </c>
      <c r="B2287" s="76" t="s">
        <v>14976</v>
      </c>
    </row>
    <row r="2288" spans="1:2" x14ac:dyDescent="0.25">
      <c r="A2288" s="75">
        <v>23232001</v>
      </c>
      <c r="B2288" s="76" t="s">
        <v>17240</v>
      </c>
    </row>
    <row r="2289" spans="1:2" x14ac:dyDescent="0.25">
      <c r="A2289" s="75">
        <v>23232101</v>
      </c>
      <c r="B2289" s="76" t="s">
        <v>6158</v>
      </c>
    </row>
    <row r="2290" spans="1:2" x14ac:dyDescent="0.25">
      <c r="A2290" s="75">
        <v>23232201</v>
      </c>
      <c r="B2290" s="76" t="s">
        <v>18615</v>
      </c>
    </row>
    <row r="2291" spans="1:2" x14ac:dyDescent="0.25">
      <c r="A2291" s="75">
        <v>24101501</v>
      </c>
      <c r="B2291" s="76" t="s">
        <v>12119</v>
      </c>
    </row>
    <row r="2292" spans="1:2" x14ac:dyDescent="0.25">
      <c r="A2292" s="75">
        <v>24101502</v>
      </c>
      <c r="B2292" s="76" t="s">
        <v>1553</v>
      </c>
    </row>
    <row r="2293" spans="1:2" x14ac:dyDescent="0.25">
      <c r="A2293" s="75">
        <v>24101503</v>
      </c>
      <c r="B2293" s="76" t="s">
        <v>75</v>
      </c>
    </row>
    <row r="2294" spans="1:2" x14ac:dyDescent="0.25">
      <c r="A2294" s="75">
        <v>24101504</v>
      </c>
      <c r="B2294" s="76" t="s">
        <v>2096</v>
      </c>
    </row>
    <row r="2295" spans="1:2" x14ac:dyDescent="0.25">
      <c r="A2295" s="75">
        <v>24101505</v>
      </c>
      <c r="B2295" s="76" t="s">
        <v>16498</v>
      </c>
    </row>
    <row r="2296" spans="1:2" x14ac:dyDescent="0.25">
      <c r="A2296" s="75">
        <v>24101506</v>
      </c>
      <c r="B2296" s="76" t="s">
        <v>3700</v>
      </c>
    </row>
    <row r="2297" spans="1:2" x14ac:dyDescent="0.25">
      <c r="A2297" s="75">
        <v>24101507</v>
      </c>
      <c r="B2297" s="76" t="s">
        <v>12898</v>
      </c>
    </row>
    <row r="2298" spans="1:2" x14ac:dyDescent="0.25">
      <c r="A2298" s="75">
        <v>24101508</v>
      </c>
      <c r="B2298" s="76" t="s">
        <v>14445</v>
      </c>
    </row>
    <row r="2299" spans="1:2" x14ac:dyDescent="0.25">
      <c r="A2299" s="75">
        <v>24101509</v>
      </c>
      <c r="B2299" s="76" t="s">
        <v>3040</v>
      </c>
    </row>
    <row r="2300" spans="1:2" x14ac:dyDescent="0.25">
      <c r="A2300" s="75">
        <v>24101510</v>
      </c>
      <c r="B2300" s="76" t="s">
        <v>8199</v>
      </c>
    </row>
    <row r="2301" spans="1:2" x14ac:dyDescent="0.25">
      <c r="A2301" s="75">
        <v>24101511</v>
      </c>
      <c r="B2301" s="76" t="s">
        <v>14956</v>
      </c>
    </row>
    <row r="2302" spans="1:2" x14ac:dyDescent="0.25">
      <c r="A2302" s="75">
        <v>24101512</v>
      </c>
      <c r="B2302" s="76" t="s">
        <v>17156</v>
      </c>
    </row>
    <row r="2303" spans="1:2" x14ac:dyDescent="0.25">
      <c r="A2303" s="75">
        <v>24101601</v>
      </c>
      <c r="B2303" s="76" t="s">
        <v>7493</v>
      </c>
    </row>
    <row r="2304" spans="1:2" x14ac:dyDescent="0.25">
      <c r="A2304" s="75">
        <v>24101602</v>
      </c>
      <c r="B2304" s="76" t="s">
        <v>16545</v>
      </c>
    </row>
    <row r="2305" spans="1:2" x14ac:dyDescent="0.25">
      <c r="A2305" s="75">
        <v>24101603</v>
      </c>
      <c r="B2305" s="76" t="s">
        <v>10493</v>
      </c>
    </row>
    <row r="2306" spans="1:2" x14ac:dyDescent="0.25">
      <c r="A2306" s="75">
        <v>24101604</v>
      </c>
      <c r="B2306" s="76" t="s">
        <v>16299</v>
      </c>
    </row>
    <row r="2307" spans="1:2" x14ac:dyDescent="0.25">
      <c r="A2307" s="75">
        <v>24101605</v>
      </c>
      <c r="B2307" s="76" t="s">
        <v>2037</v>
      </c>
    </row>
    <row r="2308" spans="1:2" x14ac:dyDescent="0.25">
      <c r="A2308" s="75">
        <v>24101606</v>
      </c>
      <c r="B2308" s="76" t="s">
        <v>19983</v>
      </c>
    </row>
    <row r="2309" spans="1:2" x14ac:dyDescent="0.25">
      <c r="A2309" s="75">
        <v>24101608</v>
      </c>
      <c r="B2309" s="76" t="s">
        <v>1795</v>
      </c>
    </row>
    <row r="2310" spans="1:2" x14ac:dyDescent="0.25">
      <c r="A2310" s="75">
        <v>24101609</v>
      </c>
      <c r="B2310" s="76" t="s">
        <v>5576</v>
      </c>
    </row>
    <row r="2311" spans="1:2" x14ac:dyDescent="0.25">
      <c r="A2311" s="75">
        <v>24101610</v>
      </c>
      <c r="B2311" s="76" t="s">
        <v>4263</v>
      </c>
    </row>
    <row r="2312" spans="1:2" x14ac:dyDescent="0.25">
      <c r="A2312" s="75">
        <v>24101611</v>
      </c>
      <c r="B2312" s="76" t="s">
        <v>10878</v>
      </c>
    </row>
    <row r="2313" spans="1:2" x14ac:dyDescent="0.25">
      <c r="A2313" s="75">
        <v>24101612</v>
      </c>
      <c r="B2313" s="76" t="s">
        <v>5894</v>
      </c>
    </row>
    <row r="2314" spans="1:2" x14ac:dyDescent="0.25">
      <c r="A2314" s="75">
        <v>24101613</v>
      </c>
      <c r="B2314" s="76" t="s">
        <v>1629</v>
      </c>
    </row>
    <row r="2315" spans="1:2" x14ac:dyDescent="0.25">
      <c r="A2315" s="75">
        <v>24101614</v>
      </c>
      <c r="B2315" s="76" t="s">
        <v>9468</v>
      </c>
    </row>
    <row r="2316" spans="1:2" x14ac:dyDescent="0.25">
      <c r="A2316" s="75">
        <v>24101615</v>
      </c>
      <c r="B2316" s="76" t="s">
        <v>2347</v>
      </c>
    </row>
    <row r="2317" spans="1:2" x14ac:dyDescent="0.25">
      <c r="A2317" s="75">
        <v>24101616</v>
      </c>
      <c r="B2317" s="76" t="s">
        <v>18183</v>
      </c>
    </row>
    <row r="2318" spans="1:2" x14ac:dyDescent="0.25">
      <c r="A2318" s="75">
        <v>24101617</v>
      </c>
      <c r="B2318" s="76" t="s">
        <v>9995</v>
      </c>
    </row>
    <row r="2319" spans="1:2" x14ac:dyDescent="0.25">
      <c r="A2319" s="75">
        <v>24101618</v>
      </c>
      <c r="B2319" s="76" t="s">
        <v>19833</v>
      </c>
    </row>
    <row r="2320" spans="1:2" x14ac:dyDescent="0.25">
      <c r="A2320" s="75">
        <v>24101619</v>
      </c>
      <c r="B2320" s="76" t="s">
        <v>2031</v>
      </c>
    </row>
    <row r="2321" spans="1:2" x14ac:dyDescent="0.25">
      <c r="A2321" s="75">
        <v>24101620</v>
      </c>
      <c r="B2321" s="76" t="s">
        <v>13111</v>
      </c>
    </row>
    <row r="2322" spans="1:2" x14ac:dyDescent="0.25">
      <c r="A2322" s="75">
        <v>24101621</v>
      </c>
      <c r="B2322" s="76" t="s">
        <v>18925</v>
      </c>
    </row>
    <row r="2323" spans="1:2" x14ac:dyDescent="0.25">
      <c r="A2323" s="75">
        <v>24101622</v>
      </c>
      <c r="B2323" s="76" t="s">
        <v>17881</v>
      </c>
    </row>
    <row r="2324" spans="1:2" x14ac:dyDescent="0.25">
      <c r="A2324" s="75">
        <v>24101623</v>
      </c>
      <c r="B2324" s="76" t="s">
        <v>7852</v>
      </c>
    </row>
    <row r="2325" spans="1:2" x14ac:dyDescent="0.25">
      <c r="A2325" s="75">
        <v>24101624</v>
      </c>
      <c r="B2325" s="76" t="s">
        <v>17507</v>
      </c>
    </row>
    <row r="2326" spans="1:2" x14ac:dyDescent="0.25">
      <c r="A2326" s="75">
        <v>24101625</v>
      </c>
      <c r="B2326" s="76" t="s">
        <v>4452</v>
      </c>
    </row>
    <row r="2327" spans="1:2" x14ac:dyDescent="0.25">
      <c r="A2327" s="75">
        <v>24101626</v>
      </c>
      <c r="B2327" s="76" t="s">
        <v>11525</v>
      </c>
    </row>
    <row r="2328" spans="1:2" x14ac:dyDescent="0.25">
      <c r="A2328" s="75">
        <v>24101627</v>
      </c>
      <c r="B2328" s="76" t="s">
        <v>13736</v>
      </c>
    </row>
    <row r="2329" spans="1:2" x14ac:dyDescent="0.25">
      <c r="A2329" s="75">
        <v>24101628</v>
      </c>
      <c r="B2329" s="76" t="s">
        <v>2220</v>
      </c>
    </row>
    <row r="2330" spans="1:2" x14ac:dyDescent="0.25">
      <c r="A2330" s="75">
        <v>24101629</v>
      </c>
      <c r="B2330" s="76" t="s">
        <v>12833</v>
      </c>
    </row>
    <row r="2331" spans="1:2" x14ac:dyDescent="0.25">
      <c r="A2331" s="75">
        <v>24101630</v>
      </c>
      <c r="B2331" s="76" t="s">
        <v>11669</v>
      </c>
    </row>
    <row r="2332" spans="1:2" x14ac:dyDescent="0.25">
      <c r="A2332" s="75">
        <v>24101631</v>
      </c>
      <c r="B2332" s="76" t="s">
        <v>7920</v>
      </c>
    </row>
    <row r="2333" spans="1:2" x14ac:dyDescent="0.25">
      <c r="A2333" s="75">
        <v>24101632</v>
      </c>
      <c r="B2333" s="76" t="s">
        <v>6722</v>
      </c>
    </row>
    <row r="2334" spans="1:2" x14ac:dyDescent="0.25">
      <c r="A2334" s="75">
        <v>24101633</v>
      </c>
      <c r="B2334" s="76" t="s">
        <v>2167</v>
      </c>
    </row>
    <row r="2335" spans="1:2" x14ac:dyDescent="0.25">
      <c r="A2335" s="75">
        <v>24101634</v>
      </c>
      <c r="B2335" s="76" t="s">
        <v>7151</v>
      </c>
    </row>
    <row r="2336" spans="1:2" x14ac:dyDescent="0.25">
      <c r="A2336" s="75">
        <v>24101701</v>
      </c>
      <c r="B2336" s="76" t="s">
        <v>7676</v>
      </c>
    </row>
    <row r="2337" spans="1:2" x14ac:dyDescent="0.25">
      <c r="A2337" s="75">
        <v>24101702</v>
      </c>
      <c r="B2337" s="76" t="s">
        <v>10194</v>
      </c>
    </row>
    <row r="2338" spans="1:2" x14ac:dyDescent="0.25">
      <c r="A2338" s="75">
        <v>24101703</v>
      </c>
      <c r="B2338" s="76" t="s">
        <v>16851</v>
      </c>
    </row>
    <row r="2339" spans="1:2" x14ac:dyDescent="0.25">
      <c r="A2339" s="75">
        <v>24101704</v>
      </c>
      <c r="B2339" s="76" t="s">
        <v>18985</v>
      </c>
    </row>
    <row r="2340" spans="1:2" x14ac:dyDescent="0.25">
      <c r="A2340" s="75">
        <v>24101705</v>
      </c>
      <c r="B2340" s="76" t="s">
        <v>11170</v>
      </c>
    </row>
    <row r="2341" spans="1:2" x14ac:dyDescent="0.25">
      <c r="A2341" s="75">
        <v>24101706</v>
      </c>
      <c r="B2341" s="76" t="s">
        <v>8283</v>
      </c>
    </row>
    <row r="2342" spans="1:2" x14ac:dyDescent="0.25">
      <c r="A2342" s="75">
        <v>24101707</v>
      </c>
      <c r="B2342" s="76" t="s">
        <v>18794</v>
      </c>
    </row>
    <row r="2343" spans="1:2" x14ac:dyDescent="0.25">
      <c r="A2343" s="75">
        <v>24101708</v>
      </c>
      <c r="B2343" s="76" t="s">
        <v>5758</v>
      </c>
    </row>
    <row r="2344" spans="1:2" x14ac:dyDescent="0.25">
      <c r="A2344" s="75">
        <v>24101709</v>
      </c>
      <c r="B2344" s="76" t="s">
        <v>14738</v>
      </c>
    </row>
    <row r="2345" spans="1:2" x14ac:dyDescent="0.25">
      <c r="A2345" s="75">
        <v>24101710</v>
      </c>
      <c r="B2345" s="76" t="s">
        <v>14592</v>
      </c>
    </row>
    <row r="2346" spans="1:2" x14ac:dyDescent="0.25">
      <c r="A2346" s="75">
        <v>24101711</v>
      </c>
      <c r="B2346" s="76" t="s">
        <v>5391</v>
      </c>
    </row>
    <row r="2347" spans="1:2" x14ac:dyDescent="0.25">
      <c r="A2347" s="75">
        <v>24101712</v>
      </c>
      <c r="B2347" s="76" t="s">
        <v>15937</v>
      </c>
    </row>
    <row r="2348" spans="1:2" x14ac:dyDescent="0.25">
      <c r="A2348" s="75">
        <v>24101713</v>
      </c>
      <c r="B2348" s="76" t="s">
        <v>17038</v>
      </c>
    </row>
    <row r="2349" spans="1:2" x14ac:dyDescent="0.25">
      <c r="A2349" s="75">
        <v>24101714</v>
      </c>
      <c r="B2349" s="76" t="s">
        <v>12548</v>
      </c>
    </row>
    <row r="2350" spans="1:2" x14ac:dyDescent="0.25">
      <c r="A2350" s="75">
        <v>24101715</v>
      </c>
      <c r="B2350" s="76" t="s">
        <v>13870</v>
      </c>
    </row>
    <row r="2351" spans="1:2" x14ac:dyDescent="0.25">
      <c r="A2351" s="75">
        <v>24101716</v>
      </c>
      <c r="B2351" s="76" t="s">
        <v>16435</v>
      </c>
    </row>
    <row r="2352" spans="1:2" x14ac:dyDescent="0.25">
      <c r="A2352" s="75">
        <v>24101717</v>
      </c>
      <c r="B2352" s="76" t="s">
        <v>19771</v>
      </c>
    </row>
    <row r="2353" spans="1:2" x14ac:dyDescent="0.25">
      <c r="A2353" s="75">
        <v>24101718</v>
      </c>
      <c r="B2353" s="76" t="s">
        <v>7823</v>
      </c>
    </row>
    <row r="2354" spans="1:2" x14ac:dyDescent="0.25">
      <c r="A2354" s="75">
        <v>24101719</v>
      </c>
      <c r="B2354" s="76" t="s">
        <v>7817</v>
      </c>
    </row>
    <row r="2355" spans="1:2" x14ac:dyDescent="0.25">
      <c r="A2355" s="75">
        <v>24101721</v>
      </c>
      <c r="B2355" s="76" t="s">
        <v>15266</v>
      </c>
    </row>
    <row r="2356" spans="1:2" x14ac:dyDescent="0.25">
      <c r="A2356" s="75">
        <v>24101722</v>
      </c>
      <c r="B2356" s="76" t="s">
        <v>10545</v>
      </c>
    </row>
    <row r="2357" spans="1:2" x14ac:dyDescent="0.25">
      <c r="A2357" s="75">
        <v>24101723</v>
      </c>
      <c r="B2357" s="76" t="s">
        <v>15628</v>
      </c>
    </row>
    <row r="2358" spans="1:2" x14ac:dyDescent="0.25">
      <c r="A2358" s="75">
        <v>24101724</v>
      </c>
      <c r="B2358" s="76" t="s">
        <v>9391</v>
      </c>
    </row>
    <row r="2359" spans="1:2" x14ac:dyDescent="0.25">
      <c r="A2359" s="75">
        <v>24101725</v>
      </c>
      <c r="B2359" s="76" t="s">
        <v>16058</v>
      </c>
    </row>
    <row r="2360" spans="1:2" x14ac:dyDescent="0.25">
      <c r="A2360" s="75">
        <v>24101726</v>
      </c>
      <c r="B2360" s="76" t="s">
        <v>5035</v>
      </c>
    </row>
    <row r="2361" spans="1:2" x14ac:dyDescent="0.25">
      <c r="A2361" s="75">
        <v>24101727</v>
      </c>
      <c r="B2361" s="76" t="s">
        <v>11344</v>
      </c>
    </row>
    <row r="2362" spans="1:2" x14ac:dyDescent="0.25">
      <c r="A2362" s="75">
        <v>24101728</v>
      </c>
      <c r="B2362" s="76" t="s">
        <v>9518</v>
      </c>
    </row>
    <row r="2363" spans="1:2" x14ac:dyDescent="0.25">
      <c r="A2363" s="75">
        <v>24101801</v>
      </c>
      <c r="B2363" s="76" t="s">
        <v>897</v>
      </c>
    </row>
    <row r="2364" spans="1:2" x14ac:dyDescent="0.25">
      <c r="A2364" s="75">
        <v>24101802</v>
      </c>
      <c r="B2364" s="76" t="s">
        <v>5076</v>
      </c>
    </row>
    <row r="2365" spans="1:2" x14ac:dyDescent="0.25">
      <c r="A2365" s="75">
        <v>24101803</v>
      </c>
      <c r="B2365" s="76" t="s">
        <v>13056</v>
      </c>
    </row>
    <row r="2366" spans="1:2" x14ac:dyDescent="0.25">
      <c r="A2366" s="75">
        <v>24101804</v>
      </c>
      <c r="B2366" s="76" t="s">
        <v>2922</v>
      </c>
    </row>
    <row r="2367" spans="1:2" x14ac:dyDescent="0.25">
      <c r="A2367" s="75">
        <v>24101805</v>
      </c>
      <c r="B2367" s="76" t="s">
        <v>11451</v>
      </c>
    </row>
    <row r="2368" spans="1:2" x14ac:dyDescent="0.25">
      <c r="A2368" s="75">
        <v>24101806</v>
      </c>
      <c r="B2368" s="76" t="s">
        <v>3850</v>
      </c>
    </row>
    <row r="2369" spans="1:2" x14ac:dyDescent="0.25">
      <c r="A2369" s="75">
        <v>24101807</v>
      </c>
      <c r="B2369" s="76" t="s">
        <v>19039</v>
      </c>
    </row>
    <row r="2370" spans="1:2" x14ac:dyDescent="0.25">
      <c r="A2370" s="75">
        <v>24101808</v>
      </c>
      <c r="B2370" s="76" t="s">
        <v>12340</v>
      </c>
    </row>
    <row r="2371" spans="1:2" x14ac:dyDescent="0.25">
      <c r="A2371" s="75">
        <v>24101809</v>
      </c>
      <c r="B2371" s="76" t="s">
        <v>3725</v>
      </c>
    </row>
    <row r="2372" spans="1:2" x14ac:dyDescent="0.25">
      <c r="A2372" s="75">
        <v>24101901</v>
      </c>
      <c r="B2372" s="76" t="s">
        <v>12124</v>
      </c>
    </row>
    <row r="2373" spans="1:2" x14ac:dyDescent="0.25">
      <c r="A2373" s="75">
        <v>24101902</v>
      </c>
      <c r="B2373" s="76" t="s">
        <v>2375</v>
      </c>
    </row>
    <row r="2374" spans="1:2" x14ac:dyDescent="0.25">
      <c r="A2374" s="75">
        <v>24101903</v>
      </c>
      <c r="B2374" s="76" t="s">
        <v>15283</v>
      </c>
    </row>
    <row r="2375" spans="1:2" x14ac:dyDescent="0.25">
      <c r="A2375" s="75">
        <v>24101904</v>
      </c>
      <c r="B2375" s="76" t="s">
        <v>8741</v>
      </c>
    </row>
    <row r="2376" spans="1:2" x14ac:dyDescent="0.25">
      <c r="A2376" s="75">
        <v>24101905</v>
      </c>
      <c r="B2376" s="76" t="s">
        <v>18567</v>
      </c>
    </row>
    <row r="2377" spans="1:2" x14ac:dyDescent="0.25">
      <c r="A2377" s="75">
        <v>24101906</v>
      </c>
      <c r="B2377" s="76" t="s">
        <v>7456</v>
      </c>
    </row>
    <row r="2378" spans="1:2" x14ac:dyDescent="0.25">
      <c r="A2378" s="75">
        <v>24101907</v>
      </c>
      <c r="B2378" s="76" t="s">
        <v>1351</v>
      </c>
    </row>
    <row r="2379" spans="1:2" x14ac:dyDescent="0.25">
      <c r="A2379" s="75">
        <v>24102001</v>
      </c>
      <c r="B2379" s="76" t="s">
        <v>4650</v>
      </c>
    </row>
    <row r="2380" spans="1:2" x14ac:dyDescent="0.25">
      <c r="A2380" s="75">
        <v>24102002</v>
      </c>
      <c r="B2380" s="76" t="s">
        <v>444</v>
      </c>
    </row>
    <row r="2381" spans="1:2" x14ac:dyDescent="0.25">
      <c r="A2381" s="75">
        <v>24102004</v>
      </c>
      <c r="B2381" s="76" t="s">
        <v>12247</v>
      </c>
    </row>
    <row r="2382" spans="1:2" x14ac:dyDescent="0.25">
      <c r="A2382" s="75">
        <v>24102005</v>
      </c>
      <c r="B2382" s="76" t="s">
        <v>19531</v>
      </c>
    </row>
    <row r="2383" spans="1:2" x14ac:dyDescent="0.25">
      <c r="A2383" s="75">
        <v>24102006</v>
      </c>
      <c r="B2383" s="76" t="s">
        <v>1355</v>
      </c>
    </row>
    <row r="2384" spans="1:2" x14ac:dyDescent="0.25">
      <c r="A2384" s="75">
        <v>24102007</v>
      </c>
      <c r="B2384" s="76" t="s">
        <v>3316</v>
      </c>
    </row>
    <row r="2385" spans="1:2" x14ac:dyDescent="0.25">
      <c r="A2385" s="75">
        <v>24102008</v>
      </c>
      <c r="B2385" s="76" t="s">
        <v>13928</v>
      </c>
    </row>
    <row r="2386" spans="1:2" x14ac:dyDescent="0.25">
      <c r="A2386" s="75">
        <v>24102101</v>
      </c>
      <c r="B2386" s="76" t="s">
        <v>672</v>
      </c>
    </row>
    <row r="2387" spans="1:2" x14ac:dyDescent="0.25">
      <c r="A2387" s="75">
        <v>24102102</v>
      </c>
      <c r="B2387" s="76" t="s">
        <v>16091</v>
      </c>
    </row>
    <row r="2388" spans="1:2" x14ac:dyDescent="0.25">
      <c r="A2388" s="75">
        <v>24102103</v>
      </c>
      <c r="B2388" s="76" t="s">
        <v>19497</v>
      </c>
    </row>
    <row r="2389" spans="1:2" x14ac:dyDescent="0.25">
      <c r="A2389" s="75">
        <v>24102104</v>
      </c>
      <c r="B2389" s="76" t="s">
        <v>13487</v>
      </c>
    </row>
    <row r="2390" spans="1:2" x14ac:dyDescent="0.25">
      <c r="A2390" s="75">
        <v>24102105</v>
      </c>
      <c r="B2390" s="76" t="s">
        <v>18294</v>
      </c>
    </row>
    <row r="2391" spans="1:2" x14ac:dyDescent="0.25">
      <c r="A2391" s="75">
        <v>24102106</v>
      </c>
      <c r="B2391" s="76" t="s">
        <v>50</v>
      </c>
    </row>
    <row r="2392" spans="1:2" x14ac:dyDescent="0.25">
      <c r="A2392" s="75">
        <v>24102107</v>
      </c>
      <c r="B2392" s="76" t="s">
        <v>9049</v>
      </c>
    </row>
    <row r="2393" spans="1:2" x14ac:dyDescent="0.25">
      <c r="A2393" s="75">
        <v>24102108</v>
      </c>
      <c r="B2393" s="76" t="s">
        <v>17638</v>
      </c>
    </row>
    <row r="2394" spans="1:2" x14ac:dyDescent="0.25">
      <c r="A2394" s="75">
        <v>24102109</v>
      </c>
      <c r="B2394" s="76" t="s">
        <v>19173</v>
      </c>
    </row>
    <row r="2395" spans="1:2" x14ac:dyDescent="0.25">
      <c r="A2395" s="75">
        <v>24102201</v>
      </c>
      <c r="B2395" s="76" t="s">
        <v>14029</v>
      </c>
    </row>
    <row r="2396" spans="1:2" x14ac:dyDescent="0.25">
      <c r="A2396" s="75">
        <v>24102202</v>
      </c>
      <c r="B2396" s="76" t="s">
        <v>13660</v>
      </c>
    </row>
    <row r="2397" spans="1:2" x14ac:dyDescent="0.25">
      <c r="A2397" s="75">
        <v>24102203</v>
      </c>
      <c r="B2397" s="76" t="s">
        <v>11329</v>
      </c>
    </row>
    <row r="2398" spans="1:2" x14ac:dyDescent="0.25">
      <c r="A2398" s="75">
        <v>24102204</v>
      </c>
      <c r="B2398" s="76" t="s">
        <v>12248</v>
      </c>
    </row>
    <row r="2399" spans="1:2" x14ac:dyDescent="0.25">
      <c r="A2399" s="75">
        <v>24102208</v>
      </c>
      <c r="B2399" s="76" t="s">
        <v>7483</v>
      </c>
    </row>
    <row r="2400" spans="1:2" x14ac:dyDescent="0.25">
      <c r="A2400" s="75">
        <v>24111501</v>
      </c>
      <c r="B2400" s="76" t="s">
        <v>19836</v>
      </c>
    </row>
    <row r="2401" spans="1:2" x14ac:dyDescent="0.25">
      <c r="A2401" s="75">
        <v>24111502</v>
      </c>
      <c r="B2401" s="76" t="s">
        <v>4250</v>
      </c>
    </row>
    <row r="2402" spans="1:2" x14ac:dyDescent="0.25">
      <c r="A2402" s="75">
        <v>24111503</v>
      </c>
      <c r="B2402" s="76" t="s">
        <v>11773</v>
      </c>
    </row>
    <row r="2403" spans="1:2" x14ac:dyDescent="0.25">
      <c r="A2403" s="75">
        <v>24111505</v>
      </c>
      <c r="B2403" s="76" t="s">
        <v>5089</v>
      </c>
    </row>
    <row r="2404" spans="1:2" x14ac:dyDescent="0.25">
      <c r="A2404" s="75">
        <v>24111506</v>
      </c>
      <c r="B2404" s="76" t="s">
        <v>19078</v>
      </c>
    </row>
    <row r="2405" spans="1:2" x14ac:dyDescent="0.25">
      <c r="A2405" s="75">
        <v>24111507</v>
      </c>
      <c r="B2405" s="76" t="s">
        <v>12899</v>
      </c>
    </row>
    <row r="2406" spans="1:2" x14ac:dyDescent="0.25">
      <c r="A2406" s="75">
        <v>24111508</v>
      </c>
      <c r="B2406" s="76" t="s">
        <v>5254</v>
      </c>
    </row>
    <row r="2407" spans="1:2" x14ac:dyDescent="0.25">
      <c r="A2407" s="75">
        <v>24111509</v>
      </c>
      <c r="B2407" s="76" t="s">
        <v>16395</v>
      </c>
    </row>
    <row r="2408" spans="1:2" x14ac:dyDescent="0.25">
      <c r="A2408" s="75">
        <v>24111801</v>
      </c>
      <c r="B2408" s="76" t="s">
        <v>4105</v>
      </c>
    </row>
    <row r="2409" spans="1:2" x14ac:dyDescent="0.25">
      <c r="A2409" s="75">
        <v>24111802</v>
      </c>
      <c r="B2409" s="76" t="s">
        <v>10795</v>
      </c>
    </row>
    <row r="2410" spans="1:2" x14ac:dyDescent="0.25">
      <c r="A2410" s="75">
        <v>24111803</v>
      </c>
      <c r="B2410" s="76" t="s">
        <v>17877</v>
      </c>
    </row>
    <row r="2411" spans="1:2" x14ac:dyDescent="0.25">
      <c r="A2411" s="75">
        <v>24111804</v>
      </c>
      <c r="B2411" s="76" t="s">
        <v>4848</v>
      </c>
    </row>
    <row r="2412" spans="1:2" x14ac:dyDescent="0.25">
      <c r="A2412" s="75">
        <v>24111805</v>
      </c>
      <c r="B2412" s="76" t="s">
        <v>17953</v>
      </c>
    </row>
    <row r="2413" spans="1:2" x14ac:dyDescent="0.25">
      <c r="A2413" s="75">
        <v>24111806</v>
      </c>
      <c r="B2413" s="76" t="s">
        <v>5044</v>
      </c>
    </row>
    <row r="2414" spans="1:2" x14ac:dyDescent="0.25">
      <c r="A2414" s="75">
        <v>24111807</v>
      </c>
      <c r="B2414" s="76" t="s">
        <v>1033</v>
      </c>
    </row>
    <row r="2415" spans="1:2" x14ac:dyDescent="0.25">
      <c r="A2415" s="75">
        <v>24111808</v>
      </c>
      <c r="B2415" s="76" t="s">
        <v>12479</v>
      </c>
    </row>
    <row r="2416" spans="1:2" x14ac:dyDescent="0.25">
      <c r="A2416" s="75">
        <v>24111809</v>
      </c>
      <c r="B2416" s="76" t="s">
        <v>2021</v>
      </c>
    </row>
    <row r="2417" spans="1:2" x14ac:dyDescent="0.25">
      <c r="A2417" s="75">
        <v>24111810</v>
      </c>
      <c r="B2417" s="76" t="s">
        <v>10717</v>
      </c>
    </row>
    <row r="2418" spans="1:2" x14ac:dyDescent="0.25">
      <c r="A2418" s="75">
        <v>24111811</v>
      </c>
      <c r="B2418" s="76" t="s">
        <v>14077</v>
      </c>
    </row>
    <row r="2419" spans="1:2" x14ac:dyDescent="0.25">
      <c r="A2419" s="75">
        <v>24111812</v>
      </c>
      <c r="B2419" s="76" t="s">
        <v>1238</v>
      </c>
    </row>
    <row r="2420" spans="1:2" x14ac:dyDescent="0.25">
      <c r="A2420" s="75">
        <v>24111813</v>
      </c>
      <c r="B2420" s="76" t="s">
        <v>13699</v>
      </c>
    </row>
    <row r="2421" spans="1:2" x14ac:dyDescent="0.25">
      <c r="A2421" s="75">
        <v>24112003</v>
      </c>
      <c r="B2421" s="76" t="s">
        <v>12128</v>
      </c>
    </row>
    <row r="2422" spans="1:2" x14ac:dyDescent="0.25">
      <c r="A2422" s="75">
        <v>24112004</v>
      </c>
      <c r="B2422" s="76" t="s">
        <v>11093</v>
      </c>
    </row>
    <row r="2423" spans="1:2" x14ac:dyDescent="0.25">
      <c r="A2423" s="75">
        <v>24112005</v>
      </c>
      <c r="B2423" s="76" t="s">
        <v>538</v>
      </c>
    </row>
    <row r="2424" spans="1:2" x14ac:dyDescent="0.25">
      <c r="A2424" s="75">
        <v>24112006</v>
      </c>
      <c r="B2424" s="76" t="s">
        <v>8814</v>
      </c>
    </row>
    <row r="2425" spans="1:2" x14ac:dyDescent="0.25">
      <c r="A2425" s="75">
        <v>24112101</v>
      </c>
      <c r="B2425" s="76" t="s">
        <v>19091</v>
      </c>
    </row>
    <row r="2426" spans="1:2" x14ac:dyDescent="0.25">
      <c r="A2426" s="75">
        <v>24112102</v>
      </c>
      <c r="B2426" s="76" t="s">
        <v>19818</v>
      </c>
    </row>
    <row r="2427" spans="1:2" x14ac:dyDescent="0.25">
      <c r="A2427" s="75">
        <v>24112108</v>
      </c>
      <c r="B2427" s="76" t="s">
        <v>5970</v>
      </c>
    </row>
    <row r="2428" spans="1:2" x14ac:dyDescent="0.25">
      <c r="A2428" s="75">
        <v>24112109</v>
      </c>
      <c r="B2428" s="76" t="s">
        <v>2473</v>
      </c>
    </row>
    <row r="2429" spans="1:2" x14ac:dyDescent="0.25">
      <c r="A2429" s="75">
        <v>24112110</v>
      </c>
      <c r="B2429" s="76" t="s">
        <v>10757</v>
      </c>
    </row>
    <row r="2430" spans="1:2" x14ac:dyDescent="0.25">
      <c r="A2430" s="75">
        <v>24112111</v>
      </c>
      <c r="B2430" s="76" t="s">
        <v>3301</v>
      </c>
    </row>
    <row r="2431" spans="1:2" x14ac:dyDescent="0.25">
      <c r="A2431" s="75">
        <v>24112112</v>
      </c>
      <c r="B2431" s="76" t="s">
        <v>12092</v>
      </c>
    </row>
    <row r="2432" spans="1:2" x14ac:dyDescent="0.25">
      <c r="A2432" s="75">
        <v>24112204</v>
      </c>
      <c r="B2432" s="76" t="s">
        <v>18796</v>
      </c>
    </row>
    <row r="2433" spans="1:2" x14ac:dyDescent="0.25">
      <c r="A2433" s="75">
        <v>24112205</v>
      </c>
      <c r="B2433" s="76" t="s">
        <v>18936</v>
      </c>
    </row>
    <row r="2434" spans="1:2" x14ac:dyDescent="0.25">
      <c r="A2434" s="75">
        <v>24112206</v>
      </c>
      <c r="B2434" s="76" t="s">
        <v>18834</v>
      </c>
    </row>
    <row r="2435" spans="1:2" x14ac:dyDescent="0.25">
      <c r="A2435" s="75">
        <v>24112207</v>
      </c>
      <c r="B2435" s="76" t="s">
        <v>3759</v>
      </c>
    </row>
    <row r="2436" spans="1:2" x14ac:dyDescent="0.25">
      <c r="A2436" s="75">
        <v>24112208</v>
      </c>
      <c r="B2436" s="76" t="s">
        <v>6262</v>
      </c>
    </row>
    <row r="2437" spans="1:2" x14ac:dyDescent="0.25">
      <c r="A2437" s="75">
        <v>24112209</v>
      </c>
      <c r="B2437" s="76" t="s">
        <v>659</v>
      </c>
    </row>
    <row r="2438" spans="1:2" x14ac:dyDescent="0.25">
      <c r="A2438" s="75">
        <v>24112401</v>
      </c>
      <c r="B2438" s="76" t="s">
        <v>15326</v>
      </c>
    </row>
    <row r="2439" spans="1:2" x14ac:dyDescent="0.25">
      <c r="A2439" s="75">
        <v>24112402</v>
      </c>
      <c r="B2439" s="76" t="s">
        <v>10664</v>
      </c>
    </row>
    <row r="2440" spans="1:2" x14ac:dyDescent="0.25">
      <c r="A2440" s="75">
        <v>24112403</v>
      </c>
      <c r="B2440" s="76" t="s">
        <v>18011</v>
      </c>
    </row>
    <row r="2441" spans="1:2" x14ac:dyDescent="0.25">
      <c r="A2441" s="75">
        <v>24112404</v>
      </c>
      <c r="B2441" s="76" t="s">
        <v>5699</v>
      </c>
    </row>
    <row r="2442" spans="1:2" x14ac:dyDescent="0.25">
      <c r="A2442" s="75">
        <v>24112405</v>
      </c>
      <c r="B2442" s="76" t="s">
        <v>19535</v>
      </c>
    </row>
    <row r="2443" spans="1:2" x14ac:dyDescent="0.25">
      <c r="A2443" s="75">
        <v>24112406</v>
      </c>
      <c r="B2443" s="76" t="s">
        <v>4507</v>
      </c>
    </row>
    <row r="2444" spans="1:2" x14ac:dyDescent="0.25">
      <c r="A2444" s="75">
        <v>24112407</v>
      </c>
      <c r="B2444" s="76" t="s">
        <v>737</v>
      </c>
    </row>
    <row r="2445" spans="1:2" x14ac:dyDescent="0.25">
      <c r="A2445" s="75">
        <v>24112408</v>
      </c>
      <c r="B2445" s="76" t="s">
        <v>16010</v>
      </c>
    </row>
    <row r="2446" spans="1:2" x14ac:dyDescent="0.25">
      <c r="A2446" s="75">
        <v>24112409</v>
      </c>
      <c r="B2446" s="76" t="s">
        <v>17848</v>
      </c>
    </row>
    <row r="2447" spans="1:2" x14ac:dyDescent="0.25">
      <c r="A2447" s="75">
        <v>24112501</v>
      </c>
      <c r="B2447" s="76" t="s">
        <v>4937</v>
      </c>
    </row>
    <row r="2448" spans="1:2" x14ac:dyDescent="0.25">
      <c r="A2448" s="75">
        <v>24112502</v>
      </c>
      <c r="B2448" s="76" t="s">
        <v>11191</v>
      </c>
    </row>
    <row r="2449" spans="1:2" x14ac:dyDescent="0.25">
      <c r="A2449" s="75">
        <v>24112503</v>
      </c>
      <c r="B2449" s="76" t="s">
        <v>13553</v>
      </c>
    </row>
    <row r="2450" spans="1:2" x14ac:dyDescent="0.25">
      <c r="A2450" s="75">
        <v>24112504</v>
      </c>
      <c r="B2450" s="76" t="s">
        <v>10051</v>
      </c>
    </row>
    <row r="2451" spans="1:2" x14ac:dyDescent="0.25">
      <c r="A2451" s="75">
        <v>24112505</v>
      </c>
      <c r="B2451" s="76" t="s">
        <v>3861</v>
      </c>
    </row>
    <row r="2452" spans="1:2" x14ac:dyDescent="0.25">
      <c r="A2452" s="75">
        <v>24112601</v>
      </c>
      <c r="B2452" s="76" t="s">
        <v>18832</v>
      </c>
    </row>
    <row r="2453" spans="1:2" x14ac:dyDescent="0.25">
      <c r="A2453" s="75">
        <v>24112602</v>
      </c>
      <c r="B2453" s="76" t="s">
        <v>11199</v>
      </c>
    </row>
    <row r="2454" spans="1:2" x14ac:dyDescent="0.25">
      <c r="A2454" s="75">
        <v>24121502</v>
      </c>
      <c r="B2454" s="76" t="s">
        <v>2501</v>
      </c>
    </row>
    <row r="2455" spans="1:2" x14ac:dyDescent="0.25">
      <c r="A2455" s="75">
        <v>24121503</v>
      </c>
      <c r="B2455" s="76" t="s">
        <v>16303</v>
      </c>
    </row>
    <row r="2456" spans="1:2" x14ac:dyDescent="0.25">
      <c r="A2456" s="75">
        <v>24121504</v>
      </c>
      <c r="B2456" s="76" t="s">
        <v>14465</v>
      </c>
    </row>
    <row r="2457" spans="1:2" x14ac:dyDescent="0.25">
      <c r="A2457" s="75">
        <v>24121506</v>
      </c>
      <c r="B2457" s="76" t="s">
        <v>13698</v>
      </c>
    </row>
    <row r="2458" spans="1:2" x14ac:dyDescent="0.25">
      <c r="A2458" s="75">
        <v>24121507</v>
      </c>
      <c r="B2458" s="76" t="s">
        <v>11795</v>
      </c>
    </row>
    <row r="2459" spans="1:2" x14ac:dyDescent="0.25">
      <c r="A2459" s="75">
        <v>24121508</v>
      </c>
      <c r="B2459" s="76" t="s">
        <v>6404</v>
      </c>
    </row>
    <row r="2460" spans="1:2" x14ac:dyDescent="0.25">
      <c r="A2460" s="75">
        <v>24121509</v>
      </c>
      <c r="B2460" s="76" t="s">
        <v>17656</v>
      </c>
    </row>
    <row r="2461" spans="1:2" x14ac:dyDescent="0.25">
      <c r="A2461" s="75">
        <v>24121801</v>
      </c>
      <c r="B2461" s="76" t="s">
        <v>9563</v>
      </c>
    </row>
    <row r="2462" spans="1:2" x14ac:dyDescent="0.25">
      <c r="A2462" s="75">
        <v>24121802</v>
      </c>
      <c r="B2462" s="76" t="s">
        <v>9733</v>
      </c>
    </row>
    <row r="2463" spans="1:2" x14ac:dyDescent="0.25">
      <c r="A2463" s="75">
        <v>24121803</v>
      </c>
      <c r="B2463" s="76" t="s">
        <v>4472</v>
      </c>
    </row>
    <row r="2464" spans="1:2" x14ac:dyDescent="0.25">
      <c r="A2464" s="75">
        <v>24121804</v>
      </c>
      <c r="B2464" s="76" t="s">
        <v>4582</v>
      </c>
    </row>
    <row r="2465" spans="1:2" x14ac:dyDescent="0.25">
      <c r="A2465" s="75">
        <v>24121805</v>
      </c>
      <c r="B2465" s="76" t="s">
        <v>9720</v>
      </c>
    </row>
    <row r="2466" spans="1:2" x14ac:dyDescent="0.25">
      <c r="A2466" s="75">
        <v>24121806</v>
      </c>
      <c r="B2466" s="76" t="s">
        <v>15073</v>
      </c>
    </row>
    <row r="2467" spans="1:2" x14ac:dyDescent="0.25">
      <c r="A2467" s="75">
        <v>24121807</v>
      </c>
      <c r="B2467" s="76" t="s">
        <v>1618</v>
      </c>
    </row>
    <row r="2468" spans="1:2" x14ac:dyDescent="0.25">
      <c r="A2468" s="75">
        <v>24122001</v>
      </c>
      <c r="B2468" s="76" t="s">
        <v>6915</v>
      </c>
    </row>
    <row r="2469" spans="1:2" x14ac:dyDescent="0.25">
      <c r="A2469" s="75">
        <v>24122002</v>
      </c>
      <c r="B2469" s="76" t="s">
        <v>13445</v>
      </c>
    </row>
    <row r="2470" spans="1:2" x14ac:dyDescent="0.25">
      <c r="A2470" s="75">
        <v>24122003</v>
      </c>
      <c r="B2470" s="76" t="s">
        <v>13007</v>
      </c>
    </row>
    <row r="2471" spans="1:2" x14ac:dyDescent="0.25">
      <c r="A2471" s="75">
        <v>24122004</v>
      </c>
      <c r="B2471" s="76" t="s">
        <v>12021</v>
      </c>
    </row>
    <row r="2472" spans="1:2" x14ac:dyDescent="0.25">
      <c r="A2472" s="75">
        <v>24122005</v>
      </c>
      <c r="B2472" s="76" t="s">
        <v>8878</v>
      </c>
    </row>
    <row r="2473" spans="1:2" x14ac:dyDescent="0.25">
      <c r="A2473" s="75">
        <v>24122006</v>
      </c>
      <c r="B2473" s="76" t="s">
        <v>1015</v>
      </c>
    </row>
    <row r="2474" spans="1:2" x14ac:dyDescent="0.25">
      <c r="A2474" s="75">
        <v>24131501</v>
      </c>
      <c r="B2474" s="76" t="s">
        <v>11360</v>
      </c>
    </row>
    <row r="2475" spans="1:2" x14ac:dyDescent="0.25">
      <c r="A2475" s="75">
        <v>24131502</v>
      </c>
      <c r="B2475" s="76" t="s">
        <v>12361</v>
      </c>
    </row>
    <row r="2476" spans="1:2" x14ac:dyDescent="0.25">
      <c r="A2476" s="75">
        <v>24131503</v>
      </c>
      <c r="B2476" s="76" t="s">
        <v>7191</v>
      </c>
    </row>
    <row r="2477" spans="1:2" x14ac:dyDescent="0.25">
      <c r="A2477" s="75">
        <v>24131504</v>
      </c>
      <c r="B2477" s="76" t="s">
        <v>18197</v>
      </c>
    </row>
    <row r="2478" spans="1:2" x14ac:dyDescent="0.25">
      <c r="A2478" s="75">
        <v>24131505</v>
      </c>
      <c r="B2478" s="76" t="s">
        <v>13438</v>
      </c>
    </row>
    <row r="2479" spans="1:2" x14ac:dyDescent="0.25">
      <c r="A2479" s="75">
        <v>24131506</v>
      </c>
      <c r="B2479" s="76" t="s">
        <v>11574</v>
      </c>
    </row>
    <row r="2480" spans="1:2" x14ac:dyDescent="0.25">
      <c r="A2480" s="75">
        <v>24131601</v>
      </c>
      <c r="B2480" s="76" t="s">
        <v>15903</v>
      </c>
    </row>
    <row r="2481" spans="1:2" x14ac:dyDescent="0.25">
      <c r="A2481" s="75">
        <v>24131602</v>
      </c>
      <c r="B2481" s="76" t="s">
        <v>13054</v>
      </c>
    </row>
    <row r="2482" spans="1:2" x14ac:dyDescent="0.25">
      <c r="A2482" s="75">
        <v>24131603</v>
      </c>
      <c r="B2482" s="76" t="s">
        <v>15431</v>
      </c>
    </row>
    <row r="2483" spans="1:2" x14ac:dyDescent="0.25">
      <c r="A2483" s="75">
        <v>24131604</v>
      </c>
      <c r="B2483" s="76" t="s">
        <v>7921</v>
      </c>
    </row>
    <row r="2484" spans="1:2" x14ac:dyDescent="0.25">
      <c r="A2484" s="75">
        <v>24131605</v>
      </c>
      <c r="B2484" s="76" t="s">
        <v>7191</v>
      </c>
    </row>
    <row r="2485" spans="1:2" x14ac:dyDescent="0.25">
      <c r="A2485" s="75">
        <v>24131606</v>
      </c>
      <c r="B2485" s="76" t="s">
        <v>16289</v>
      </c>
    </row>
    <row r="2486" spans="1:2" x14ac:dyDescent="0.25">
      <c r="A2486" s="75">
        <v>24131607</v>
      </c>
      <c r="B2486" s="76" t="s">
        <v>15020</v>
      </c>
    </row>
    <row r="2487" spans="1:2" x14ac:dyDescent="0.25">
      <c r="A2487" s="75">
        <v>24131901</v>
      </c>
      <c r="B2487" s="76" t="s">
        <v>5511</v>
      </c>
    </row>
    <row r="2488" spans="1:2" x14ac:dyDescent="0.25">
      <c r="A2488" s="75">
        <v>24131902</v>
      </c>
      <c r="B2488" s="76" t="s">
        <v>4612</v>
      </c>
    </row>
    <row r="2489" spans="1:2" x14ac:dyDescent="0.25">
      <c r="A2489" s="75">
        <v>24141501</v>
      </c>
      <c r="B2489" s="76" t="s">
        <v>16056</v>
      </c>
    </row>
    <row r="2490" spans="1:2" x14ac:dyDescent="0.25">
      <c r="A2490" s="75">
        <v>24141502</v>
      </c>
      <c r="B2490" s="76" t="s">
        <v>13350</v>
      </c>
    </row>
    <row r="2491" spans="1:2" x14ac:dyDescent="0.25">
      <c r="A2491" s="75">
        <v>24141504</v>
      </c>
      <c r="B2491" s="76" t="s">
        <v>16110</v>
      </c>
    </row>
    <row r="2492" spans="1:2" x14ac:dyDescent="0.25">
      <c r="A2492" s="75">
        <v>24141506</v>
      </c>
      <c r="B2492" s="76" t="s">
        <v>13465</v>
      </c>
    </row>
    <row r="2493" spans="1:2" x14ac:dyDescent="0.25">
      <c r="A2493" s="75">
        <v>24141507</v>
      </c>
      <c r="B2493" s="76" t="s">
        <v>13203</v>
      </c>
    </row>
    <row r="2494" spans="1:2" x14ac:dyDescent="0.25">
      <c r="A2494" s="75">
        <v>24141508</v>
      </c>
      <c r="B2494" s="76" t="s">
        <v>9477</v>
      </c>
    </row>
    <row r="2495" spans="1:2" x14ac:dyDescent="0.25">
      <c r="A2495" s="75">
        <v>24141509</v>
      </c>
      <c r="B2495" s="76" t="s">
        <v>3461</v>
      </c>
    </row>
    <row r="2496" spans="1:2" x14ac:dyDescent="0.25">
      <c r="A2496" s="75">
        <v>24141510</v>
      </c>
      <c r="B2496" s="76" t="s">
        <v>7538</v>
      </c>
    </row>
    <row r="2497" spans="1:2" x14ac:dyDescent="0.25">
      <c r="A2497" s="75">
        <v>24141511</v>
      </c>
      <c r="B2497" s="76" t="s">
        <v>15548</v>
      </c>
    </row>
    <row r="2498" spans="1:2" x14ac:dyDescent="0.25">
      <c r="A2498" s="75">
        <v>24141512</v>
      </c>
      <c r="B2498" s="76" t="s">
        <v>6707</v>
      </c>
    </row>
    <row r="2499" spans="1:2" x14ac:dyDescent="0.25">
      <c r="A2499" s="75">
        <v>24141513</v>
      </c>
      <c r="B2499" s="76" t="s">
        <v>12719</v>
      </c>
    </row>
    <row r="2500" spans="1:2" x14ac:dyDescent="0.25">
      <c r="A2500" s="75">
        <v>24141514</v>
      </c>
      <c r="B2500" s="76" t="s">
        <v>5015</v>
      </c>
    </row>
    <row r="2501" spans="1:2" x14ac:dyDescent="0.25">
      <c r="A2501" s="75">
        <v>24141515</v>
      </c>
      <c r="B2501" s="76" t="s">
        <v>4946</v>
      </c>
    </row>
    <row r="2502" spans="1:2" x14ac:dyDescent="0.25">
      <c r="A2502" s="75">
        <v>24141601</v>
      </c>
      <c r="B2502" s="76" t="s">
        <v>4218</v>
      </c>
    </row>
    <row r="2503" spans="1:2" x14ac:dyDescent="0.25">
      <c r="A2503" s="75">
        <v>24141602</v>
      </c>
      <c r="B2503" s="76" t="s">
        <v>9081</v>
      </c>
    </row>
    <row r="2504" spans="1:2" x14ac:dyDescent="0.25">
      <c r="A2504" s="75">
        <v>24141603</v>
      </c>
      <c r="B2504" s="76" t="s">
        <v>18525</v>
      </c>
    </row>
    <row r="2505" spans="1:2" x14ac:dyDescent="0.25">
      <c r="A2505" s="75">
        <v>24141604</v>
      </c>
      <c r="B2505" s="76" t="s">
        <v>3613</v>
      </c>
    </row>
    <row r="2506" spans="1:2" x14ac:dyDescent="0.25">
      <c r="A2506" s="75">
        <v>24141605</v>
      </c>
      <c r="B2506" s="76" t="s">
        <v>4550</v>
      </c>
    </row>
    <row r="2507" spans="1:2" x14ac:dyDescent="0.25">
      <c r="A2507" s="75">
        <v>24141606</v>
      </c>
      <c r="B2507" s="76" t="s">
        <v>5078</v>
      </c>
    </row>
    <row r="2508" spans="1:2" x14ac:dyDescent="0.25">
      <c r="A2508" s="75">
        <v>24141607</v>
      </c>
      <c r="B2508" s="76" t="s">
        <v>1044</v>
      </c>
    </row>
    <row r="2509" spans="1:2" x14ac:dyDescent="0.25">
      <c r="A2509" s="75">
        <v>24141608</v>
      </c>
      <c r="B2509" s="76" t="s">
        <v>15061</v>
      </c>
    </row>
    <row r="2510" spans="1:2" x14ac:dyDescent="0.25">
      <c r="A2510" s="75">
        <v>24141701</v>
      </c>
      <c r="B2510" s="76" t="s">
        <v>17689</v>
      </c>
    </row>
    <row r="2511" spans="1:2" x14ac:dyDescent="0.25">
      <c r="A2511" s="75">
        <v>24141702</v>
      </c>
      <c r="B2511" s="76" t="s">
        <v>8086</v>
      </c>
    </row>
    <row r="2512" spans="1:2" x14ac:dyDescent="0.25">
      <c r="A2512" s="75">
        <v>24141703</v>
      </c>
      <c r="B2512" s="76" t="s">
        <v>16966</v>
      </c>
    </row>
    <row r="2513" spans="1:2" x14ac:dyDescent="0.25">
      <c r="A2513" s="75">
        <v>24141704</v>
      </c>
      <c r="B2513" s="76" t="s">
        <v>7878</v>
      </c>
    </row>
    <row r="2514" spans="1:2" x14ac:dyDescent="0.25">
      <c r="A2514" s="75">
        <v>24141705</v>
      </c>
      <c r="B2514" s="76" t="s">
        <v>15535</v>
      </c>
    </row>
    <row r="2515" spans="1:2" x14ac:dyDescent="0.25">
      <c r="A2515" s="75">
        <v>24141706</v>
      </c>
      <c r="B2515" s="76" t="s">
        <v>14458</v>
      </c>
    </row>
    <row r="2516" spans="1:2" x14ac:dyDescent="0.25">
      <c r="A2516" s="75">
        <v>24141707</v>
      </c>
      <c r="B2516" s="76" t="s">
        <v>16255</v>
      </c>
    </row>
    <row r="2517" spans="1:2" x14ac:dyDescent="0.25">
      <c r="A2517" s="75">
        <v>24141708</v>
      </c>
      <c r="B2517" s="76" t="s">
        <v>2494</v>
      </c>
    </row>
    <row r="2518" spans="1:2" x14ac:dyDescent="0.25">
      <c r="A2518" s="75">
        <v>24141709</v>
      </c>
      <c r="B2518" s="76" t="s">
        <v>20002</v>
      </c>
    </row>
    <row r="2519" spans="1:2" x14ac:dyDescent="0.25">
      <c r="A2519" s="75">
        <v>25101501</v>
      </c>
      <c r="B2519" s="76" t="s">
        <v>10102</v>
      </c>
    </row>
    <row r="2520" spans="1:2" x14ac:dyDescent="0.25">
      <c r="A2520" s="75">
        <v>25101502</v>
      </c>
      <c r="B2520" s="76" t="s">
        <v>2324</v>
      </c>
    </row>
    <row r="2521" spans="1:2" x14ac:dyDescent="0.25">
      <c r="A2521" s="75">
        <v>25101503</v>
      </c>
      <c r="B2521" s="76" t="s">
        <v>17834</v>
      </c>
    </row>
    <row r="2522" spans="1:2" x14ac:dyDescent="0.25">
      <c r="A2522" s="75">
        <v>25101504</v>
      </c>
      <c r="B2522" s="76" t="s">
        <v>11969</v>
      </c>
    </row>
    <row r="2523" spans="1:2" x14ac:dyDescent="0.25">
      <c r="A2523" s="75">
        <v>25101505</v>
      </c>
      <c r="B2523" s="76" t="s">
        <v>4026</v>
      </c>
    </row>
    <row r="2524" spans="1:2" x14ac:dyDescent="0.25">
      <c r="A2524" s="75">
        <v>25101506</v>
      </c>
      <c r="B2524" s="76" t="s">
        <v>17787</v>
      </c>
    </row>
    <row r="2525" spans="1:2" x14ac:dyDescent="0.25">
      <c r="A2525" s="75">
        <v>25101507</v>
      </c>
      <c r="B2525" s="76" t="s">
        <v>5771</v>
      </c>
    </row>
    <row r="2526" spans="1:2" x14ac:dyDescent="0.25">
      <c r="A2526" s="75">
        <v>25101508</v>
      </c>
      <c r="B2526" s="76" t="s">
        <v>3695</v>
      </c>
    </row>
    <row r="2527" spans="1:2" x14ac:dyDescent="0.25">
      <c r="A2527" s="75">
        <v>25101601</v>
      </c>
      <c r="B2527" s="76" t="s">
        <v>11124</v>
      </c>
    </row>
    <row r="2528" spans="1:2" x14ac:dyDescent="0.25">
      <c r="A2528" s="75">
        <v>25101602</v>
      </c>
      <c r="B2528" s="76" t="s">
        <v>899</v>
      </c>
    </row>
    <row r="2529" spans="1:2" x14ac:dyDescent="0.25">
      <c r="A2529" s="75">
        <v>25101604</v>
      </c>
      <c r="B2529" s="76" t="s">
        <v>15571</v>
      </c>
    </row>
    <row r="2530" spans="1:2" x14ac:dyDescent="0.25">
      <c r="A2530" s="75">
        <v>25101609</v>
      </c>
      <c r="B2530" s="76" t="s">
        <v>12610</v>
      </c>
    </row>
    <row r="2531" spans="1:2" x14ac:dyDescent="0.25">
      <c r="A2531" s="75">
        <v>25101610</v>
      </c>
      <c r="B2531" s="76" t="s">
        <v>905</v>
      </c>
    </row>
    <row r="2532" spans="1:2" x14ac:dyDescent="0.25">
      <c r="A2532" s="75">
        <v>25101611</v>
      </c>
      <c r="B2532" s="76" t="s">
        <v>2475</v>
      </c>
    </row>
    <row r="2533" spans="1:2" x14ac:dyDescent="0.25">
      <c r="A2533" s="75">
        <v>25101701</v>
      </c>
      <c r="B2533" s="76" t="s">
        <v>2735</v>
      </c>
    </row>
    <row r="2534" spans="1:2" x14ac:dyDescent="0.25">
      <c r="A2534" s="75">
        <v>25101702</v>
      </c>
      <c r="B2534" s="76" t="s">
        <v>4456</v>
      </c>
    </row>
    <row r="2535" spans="1:2" x14ac:dyDescent="0.25">
      <c r="A2535" s="75">
        <v>25101703</v>
      </c>
      <c r="B2535" s="76" t="s">
        <v>14745</v>
      </c>
    </row>
    <row r="2536" spans="1:2" x14ac:dyDescent="0.25">
      <c r="A2536" s="75">
        <v>25101801</v>
      </c>
      <c r="B2536" s="76" t="s">
        <v>15995</v>
      </c>
    </row>
    <row r="2537" spans="1:2" x14ac:dyDescent="0.25">
      <c r="A2537" s="75">
        <v>25101802</v>
      </c>
      <c r="B2537" s="76" t="s">
        <v>8481</v>
      </c>
    </row>
    <row r="2538" spans="1:2" x14ac:dyDescent="0.25">
      <c r="A2538" s="75">
        <v>25101803</v>
      </c>
      <c r="B2538" s="76" t="s">
        <v>10320</v>
      </c>
    </row>
    <row r="2539" spans="1:2" x14ac:dyDescent="0.25">
      <c r="A2539" s="75">
        <v>25101901</v>
      </c>
      <c r="B2539" s="76" t="s">
        <v>17993</v>
      </c>
    </row>
    <row r="2540" spans="1:2" x14ac:dyDescent="0.25">
      <c r="A2540" s="75">
        <v>25101902</v>
      </c>
      <c r="B2540" s="76" t="s">
        <v>8466</v>
      </c>
    </row>
    <row r="2541" spans="1:2" x14ac:dyDescent="0.25">
      <c r="A2541" s="75">
        <v>25101903</v>
      </c>
      <c r="B2541" s="76" t="s">
        <v>14826</v>
      </c>
    </row>
    <row r="2542" spans="1:2" x14ac:dyDescent="0.25">
      <c r="A2542" s="75">
        <v>25101904</v>
      </c>
      <c r="B2542" s="76" t="s">
        <v>10845</v>
      </c>
    </row>
    <row r="2543" spans="1:2" x14ac:dyDescent="0.25">
      <c r="A2543" s="75">
        <v>25101905</v>
      </c>
      <c r="B2543" s="76" t="s">
        <v>19138</v>
      </c>
    </row>
    <row r="2544" spans="1:2" x14ac:dyDescent="0.25">
      <c r="A2544" s="75">
        <v>25101906</v>
      </c>
      <c r="B2544" s="76" t="s">
        <v>6175</v>
      </c>
    </row>
    <row r="2545" spans="1:2" x14ac:dyDescent="0.25">
      <c r="A2545" s="75">
        <v>25101907</v>
      </c>
      <c r="B2545" s="76" t="s">
        <v>826</v>
      </c>
    </row>
    <row r="2546" spans="1:2" x14ac:dyDescent="0.25">
      <c r="A2546" s="75">
        <v>25101908</v>
      </c>
      <c r="B2546" s="76" t="s">
        <v>13186</v>
      </c>
    </row>
    <row r="2547" spans="1:2" x14ac:dyDescent="0.25">
      <c r="A2547" s="75">
        <v>25102001</v>
      </c>
      <c r="B2547" s="76" t="s">
        <v>3419</v>
      </c>
    </row>
    <row r="2548" spans="1:2" x14ac:dyDescent="0.25">
      <c r="A2548" s="75">
        <v>25102002</v>
      </c>
      <c r="B2548" s="76" t="s">
        <v>16475</v>
      </c>
    </row>
    <row r="2549" spans="1:2" x14ac:dyDescent="0.25">
      <c r="A2549" s="75">
        <v>25102003</v>
      </c>
      <c r="B2549" s="76" t="s">
        <v>12016</v>
      </c>
    </row>
    <row r="2550" spans="1:2" x14ac:dyDescent="0.25">
      <c r="A2550" s="75">
        <v>25102101</v>
      </c>
      <c r="B2550" s="76" t="s">
        <v>13583</v>
      </c>
    </row>
    <row r="2551" spans="1:2" x14ac:dyDescent="0.25">
      <c r="A2551" s="75">
        <v>25102102</v>
      </c>
      <c r="B2551" s="76" t="s">
        <v>10736</v>
      </c>
    </row>
    <row r="2552" spans="1:2" x14ac:dyDescent="0.25">
      <c r="A2552" s="75">
        <v>25102103</v>
      </c>
      <c r="B2552" s="76" t="s">
        <v>18145</v>
      </c>
    </row>
    <row r="2553" spans="1:2" x14ac:dyDescent="0.25">
      <c r="A2553" s="75">
        <v>25102104</v>
      </c>
      <c r="B2553" s="76" t="s">
        <v>8949</v>
      </c>
    </row>
    <row r="2554" spans="1:2" x14ac:dyDescent="0.25">
      <c r="A2554" s="75">
        <v>25102105</v>
      </c>
      <c r="B2554" s="76" t="s">
        <v>14648</v>
      </c>
    </row>
    <row r="2555" spans="1:2" x14ac:dyDescent="0.25">
      <c r="A2555" s="75">
        <v>25102106</v>
      </c>
      <c r="B2555" s="76" t="s">
        <v>12222</v>
      </c>
    </row>
    <row r="2556" spans="1:2" x14ac:dyDescent="0.25">
      <c r="A2556" s="75">
        <v>25111501</v>
      </c>
      <c r="B2556" s="76" t="s">
        <v>12671</v>
      </c>
    </row>
    <row r="2557" spans="1:2" x14ac:dyDescent="0.25">
      <c r="A2557" s="75">
        <v>25111502</v>
      </c>
      <c r="B2557" s="76" t="s">
        <v>4103</v>
      </c>
    </row>
    <row r="2558" spans="1:2" x14ac:dyDescent="0.25">
      <c r="A2558" s="75">
        <v>25111503</v>
      </c>
      <c r="B2558" s="76" t="s">
        <v>2614</v>
      </c>
    </row>
    <row r="2559" spans="1:2" x14ac:dyDescent="0.25">
      <c r="A2559" s="75">
        <v>25111504</v>
      </c>
      <c r="B2559" s="76" t="s">
        <v>1990</v>
      </c>
    </row>
    <row r="2560" spans="1:2" x14ac:dyDescent="0.25">
      <c r="A2560" s="75">
        <v>25111505</v>
      </c>
      <c r="B2560" s="76" t="s">
        <v>4338</v>
      </c>
    </row>
    <row r="2561" spans="1:2" x14ac:dyDescent="0.25">
      <c r="A2561" s="75">
        <v>25111506</v>
      </c>
      <c r="B2561" s="76" t="s">
        <v>8986</v>
      </c>
    </row>
    <row r="2562" spans="1:2" x14ac:dyDescent="0.25">
      <c r="A2562" s="75">
        <v>25111507</v>
      </c>
      <c r="B2562" s="76" t="s">
        <v>13303</v>
      </c>
    </row>
    <row r="2563" spans="1:2" x14ac:dyDescent="0.25">
      <c r="A2563" s="75">
        <v>25111508</v>
      </c>
      <c r="B2563" s="76" t="s">
        <v>2337</v>
      </c>
    </row>
    <row r="2564" spans="1:2" x14ac:dyDescent="0.25">
      <c r="A2564" s="75">
        <v>25111509</v>
      </c>
      <c r="B2564" s="76" t="s">
        <v>1601</v>
      </c>
    </row>
    <row r="2565" spans="1:2" x14ac:dyDescent="0.25">
      <c r="A2565" s="75">
        <v>25111510</v>
      </c>
      <c r="B2565" s="76" t="s">
        <v>9022</v>
      </c>
    </row>
    <row r="2566" spans="1:2" x14ac:dyDescent="0.25">
      <c r="A2566" s="75">
        <v>25111511</v>
      </c>
      <c r="B2566" s="76" t="s">
        <v>14940</v>
      </c>
    </row>
    <row r="2567" spans="1:2" x14ac:dyDescent="0.25">
      <c r="A2567" s="75">
        <v>25111512</v>
      </c>
      <c r="B2567" s="76" t="s">
        <v>6564</v>
      </c>
    </row>
    <row r="2568" spans="1:2" x14ac:dyDescent="0.25">
      <c r="A2568" s="75">
        <v>25111513</v>
      </c>
      <c r="B2568" s="76" t="s">
        <v>3599</v>
      </c>
    </row>
    <row r="2569" spans="1:2" x14ac:dyDescent="0.25">
      <c r="A2569" s="75">
        <v>25111601</v>
      </c>
      <c r="B2569" s="76" t="s">
        <v>14323</v>
      </c>
    </row>
    <row r="2570" spans="1:2" x14ac:dyDescent="0.25">
      <c r="A2570" s="75">
        <v>25111602</v>
      </c>
      <c r="B2570" s="76" t="s">
        <v>17942</v>
      </c>
    </row>
    <row r="2571" spans="1:2" x14ac:dyDescent="0.25">
      <c r="A2571" s="75">
        <v>25111603</v>
      </c>
      <c r="B2571" s="76" t="s">
        <v>17732</v>
      </c>
    </row>
    <row r="2572" spans="1:2" x14ac:dyDescent="0.25">
      <c r="A2572" s="75">
        <v>25111701</v>
      </c>
      <c r="B2572" s="76" t="s">
        <v>2740</v>
      </c>
    </row>
    <row r="2573" spans="1:2" x14ac:dyDescent="0.25">
      <c r="A2573" s="75">
        <v>25111702</v>
      </c>
      <c r="B2573" s="76" t="s">
        <v>7685</v>
      </c>
    </row>
    <row r="2574" spans="1:2" x14ac:dyDescent="0.25">
      <c r="A2574" s="75">
        <v>25111703</v>
      </c>
      <c r="B2574" s="76" t="s">
        <v>6531</v>
      </c>
    </row>
    <row r="2575" spans="1:2" x14ac:dyDescent="0.25">
      <c r="A2575" s="75">
        <v>25111704</v>
      </c>
      <c r="B2575" s="76" t="s">
        <v>4078</v>
      </c>
    </row>
    <row r="2576" spans="1:2" x14ac:dyDescent="0.25">
      <c r="A2576" s="75">
        <v>25111705</v>
      </c>
      <c r="B2576" s="76" t="s">
        <v>12779</v>
      </c>
    </row>
    <row r="2577" spans="1:2" x14ac:dyDescent="0.25">
      <c r="A2577" s="75">
        <v>25111706</v>
      </c>
      <c r="B2577" s="76" t="s">
        <v>9230</v>
      </c>
    </row>
    <row r="2578" spans="1:2" x14ac:dyDescent="0.25">
      <c r="A2578" s="75">
        <v>25111707</v>
      </c>
      <c r="B2578" s="76" t="s">
        <v>589</v>
      </c>
    </row>
    <row r="2579" spans="1:2" x14ac:dyDescent="0.25">
      <c r="A2579" s="75">
        <v>25111708</v>
      </c>
      <c r="B2579" s="76" t="s">
        <v>10416</v>
      </c>
    </row>
    <row r="2580" spans="1:2" x14ac:dyDescent="0.25">
      <c r="A2580" s="75">
        <v>25111709</v>
      </c>
      <c r="B2580" s="76" t="s">
        <v>13999</v>
      </c>
    </row>
    <row r="2581" spans="1:2" x14ac:dyDescent="0.25">
      <c r="A2581" s="75">
        <v>25111710</v>
      </c>
      <c r="B2581" s="76" t="s">
        <v>978</v>
      </c>
    </row>
    <row r="2582" spans="1:2" x14ac:dyDescent="0.25">
      <c r="A2582" s="75">
        <v>25111711</v>
      </c>
      <c r="B2582" s="76" t="s">
        <v>907</v>
      </c>
    </row>
    <row r="2583" spans="1:2" x14ac:dyDescent="0.25">
      <c r="A2583" s="75">
        <v>25111712</v>
      </c>
      <c r="B2583" s="76" t="s">
        <v>18456</v>
      </c>
    </row>
    <row r="2584" spans="1:2" x14ac:dyDescent="0.25">
      <c r="A2584" s="75">
        <v>25111713</v>
      </c>
      <c r="B2584" s="76" t="s">
        <v>5648</v>
      </c>
    </row>
    <row r="2585" spans="1:2" x14ac:dyDescent="0.25">
      <c r="A2585" s="75">
        <v>25111714</v>
      </c>
      <c r="B2585" s="76" t="s">
        <v>17015</v>
      </c>
    </row>
    <row r="2586" spans="1:2" x14ac:dyDescent="0.25">
      <c r="A2586" s="75">
        <v>25111715</v>
      </c>
      <c r="B2586" s="76" t="s">
        <v>10808</v>
      </c>
    </row>
    <row r="2587" spans="1:2" x14ac:dyDescent="0.25">
      <c r="A2587" s="75">
        <v>25111716</v>
      </c>
      <c r="B2587" s="76" t="s">
        <v>16908</v>
      </c>
    </row>
    <row r="2588" spans="1:2" x14ac:dyDescent="0.25">
      <c r="A2588" s="75">
        <v>25111717</v>
      </c>
      <c r="B2588" s="76" t="s">
        <v>14752</v>
      </c>
    </row>
    <row r="2589" spans="1:2" x14ac:dyDescent="0.25">
      <c r="A2589" s="75">
        <v>25111718</v>
      </c>
      <c r="B2589" s="76" t="s">
        <v>2813</v>
      </c>
    </row>
    <row r="2590" spans="1:2" x14ac:dyDescent="0.25">
      <c r="A2590" s="75">
        <v>25111719</v>
      </c>
      <c r="B2590" s="76" t="s">
        <v>7597</v>
      </c>
    </row>
    <row r="2591" spans="1:2" x14ac:dyDescent="0.25">
      <c r="A2591" s="75">
        <v>25111720</v>
      </c>
      <c r="B2591" s="76" t="s">
        <v>8342</v>
      </c>
    </row>
    <row r="2592" spans="1:2" x14ac:dyDescent="0.25">
      <c r="A2592" s="75">
        <v>25111721</v>
      </c>
      <c r="B2592" s="76" t="s">
        <v>705</v>
      </c>
    </row>
    <row r="2593" spans="1:2" x14ac:dyDescent="0.25">
      <c r="A2593" s="75">
        <v>25111801</v>
      </c>
      <c r="B2593" s="76" t="s">
        <v>1219</v>
      </c>
    </row>
    <row r="2594" spans="1:2" x14ac:dyDescent="0.25">
      <c r="A2594" s="75">
        <v>25111802</v>
      </c>
      <c r="B2594" s="76" t="s">
        <v>18169</v>
      </c>
    </row>
    <row r="2595" spans="1:2" x14ac:dyDescent="0.25">
      <c r="A2595" s="75">
        <v>25111803</v>
      </c>
      <c r="B2595" s="76" t="s">
        <v>5436</v>
      </c>
    </row>
    <row r="2596" spans="1:2" x14ac:dyDescent="0.25">
      <c r="A2596" s="75">
        <v>25111804</v>
      </c>
      <c r="B2596" s="76" t="s">
        <v>17746</v>
      </c>
    </row>
    <row r="2597" spans="1:2" x14ac:dyDescent="0.25">
      <c r="A2597" s="75">
        <v>25111805</v>
      </c>
      <c r="B2597" s="76" t="s">
        <v>17724</v>
      </c>
    </row>
    <row r="2598" spans="1:2" x14ac:dyDescent="0.25">
      <c r="A2598" s="75">
        <v>25111806</v>
      </c>
      <c r="B2598" s="76" t="s">
        <v>1715</v>
      </c>
    </row>
    <row r="2599" spans="1:2" x14ac:dyDescent="0.25">
      <c r="A2599" s="75">
        <v>25111807</v>
      </c>
      <c r="B2599" s="76" t="s">
        <v>2881</v>
      </c>
    </row>
    <row r="2600" spans="1:2" x14ac:dyDescent="0.25">
      <c r="A2600" s="75">
        <v>25111808</v>
      </c>
      <c r="B2600" s="76" t="s">
        <v>5977</v>
      </c>
    </row>
    <row r="2601" spans="1:2" x14ac:dyDescent="0.25">
      <c r="A2601" s="75">
        <v>25111901</v>
      </c>
      <c r="B2601" s="76" t="s">
        <v>15466</v>
      </c>
    </row>
    <row r="2602" spans="1:2" x14ac:dyDescent="0.25">
      <c r="A2602" s="75">
        <v>25111902</v>
      </c>
      <c r="B2602" s="76" t="s">
        <v>3007</v>
      </c>
    </row>
    <row r="2603" spans="1:2" x14ac:dyDescent="0.25">
      <c r="A2603" s="75">
        <v>25111903</v>
      </c>
      <c r="B2603" s="76" t="s">
        <v>7645</v>
      </c>
    </row>
    <row r="2604" spans="1:2" x14ac:dyDescent="0.25">
      <c r="A2604" s="75">
        <v>25111904</v>
      </c>
      <c r="B2604" s="76" t="s">
        <v>9774</v>
      </c>
    </row>
    <row r="2605" spans="1:2" x14ac:dyDescent="0.25">
      <c r="A2605" s="75">
        <v>25111905</v>
      </c>
      <c r="B2605" s="76" t="s">
        <v>4040</v>
      </c>
    </row>
    <row r="2606" spans="1:2" x14ac:dyDescent="0.25">
      <c r="A2606" s="75">
        <v>25111906</v>
      </c>
      <c r="B2606" s="76" t="s">
        <v>7711</v>
      </c>
    </row>
    <row r="2607" spans="1:2" x14ac:dyDescent="0.25">
      <c r="A2607" s="75">
        <v>25111907</v>
      </c>
      <c r="B2607" s="76" t="s">
        <v>16550</v>
      </c>
    </row>
    <row r="2608" spans="1:2" x14ac:dyDescent="0.25">
      <c r="A2608" s="75">
        <v>25111908</v>
      </c>
      <c r="B2608" s="76" t="s">
        <v>2500</v>
      </c>
    </row>
    <row r="2609" spans="1:2" x14ac:dyDescent="0.25">
      <c r="A2609" s="75">
        <v>25111909</v>
      </c>
      <c r="B2609" s="76" t="s">
        <v>9256</v>
      </c>
    </row>
    <row r="2610" spans="1:2" x14ac:dyDescent="0.25">
      <c r="A2610" s="75">
        <v>25111910</v>
      </c>
      <c r="B2610" s="76" t="s">
        <v>10228</v>
      </c>
    </row>
    <row r="2611" spans="1:2" x14ac:dyDescent="0.25">
      <c r="A2611" s="75">
        <v>25111911</v>
      </c>
      <c r="B2611" s="76" t="s">
        <v>27</v>
      </c>
    </row>
    <row r="2612" spans="1:2" x14ac:dyDescent="0.25">
      <c r="A2612" s="75">
        <v>25111912</v>
      </c>
      <c r="B2612" s="76" t="s">
        <v>8325</v>
      </c>
    </row>
    <row r="2613" spans="1:2" x14ac:dyDescent="0.25">
      <c r="A2613" s="75">
        <v>25111913</v>
      </c>
      <c r="B2613" s="76" t="s">
        <v>14684</v>
      </c>
    </row>
    <row r="2614" spans="1:2" x14ac:dyDescent="0.25">
      <c r="A2614" s="75">
        <v>25111914</v>
      </c>
      <c r="B2614" s="76" t="s">
        <v>16249</v>
      </c>
    </row>
    <row r="2615" spans="1:2" x14ac:dyDescent="0.25">
      <c r="A2615" s="75">
        <v>25111915</v>
      </c>
      <c r="B2615" s="76" t="s">
        <v>262</v>
      </c>
    </row>
    <row r="2616" spans="1:2" x14ac:dyDescent="0.25">
      <c r="A2616" s="75">
        <v>25111916</v>
      </c>
      <c r="B2616" s="76" t="s">
        <v>8393</v>
      </c>
    </row>
    <row r="2617" spans="1:2" x14ac:dyDescent="0.25">
      <c r="A2617" s="75">
        <v>25111917</v>
      </c>
      <c r="B2617" s="76" t="s">
        <v>2372</v>
      </c>
    </row>
    <row r="2618" spans="1:2" x14ac:dyDescent="0.25">
      <c r="A2618" s="75">
        <v>25111918</v>
      </c>
      <c r="B2618" s="76" t="s">
        <v>10430</v>
      </c>
    </row>
    <row r="2619" spans="1:2" x14ac:dyDescent="0.25">
      <c r="A2619" s="75">
        <v>25111919</v>
      </c>
      <c r="B2619" s="76" t="s">
        <v>14014</v>
      </c>
    </row>
    <row r="2620" spans="1:2" x14ac:dyDescent="0.25">
      <c r="A2620" s="75">
        <v>25111920</v>
      </c>
      <c r="B2620" s="76" t="s">
        <v>15643</v>
      </c>
    </row>
    <row r="2621" spans="1:2" x14ac:dyDescent="0.25">
      <c r="A2621" s="75">
        <v>25111921</v>
      </c>
      <c r="B2621" s="76" t="s">
        <v>3281</v>
      </c>
    </row>
    <row r="2622" spans="1:2" x14ac:dyDescent="0.25">
      <c r="A2622" s="75">
        <v>25111922</v>
      </c>
      <c r="B2622" s="76" t="s">
        <v>3707</v>
      </c>
    </row>
    <row r="2623" spans="1:2" x14ac:dyDescent="0.25">
      <c r="A2623" s="75">
        <v>25111923</v>
      </c>
      <c r="B2623" s="76" t="s">
        <v>10286</v>
      </c>
    </row>
    <row r="2624" spans="1:2" x14ac:dyDescent="0.25">
      <c r="A2624" s="75">
        <v>25111924</v>
      </c>
      <c r="B2624" s="76" t="s">
        <v>5693</v>
      </c>
    </row>
    <row r="2625" spans="1:2" x14ac:dyDescent="0.25">
      <c r="A2625" s="75">
        <v>25111925</v>
      </c>
      <c r="B2625" s="76" t="s">
        <v>9634</v>
      </c>
    </row>
    <row r="2626" spans="1:2" x14ac:dyDescent="0.25">
      <c r="A2626" s="75">
        <v>25111926</v>
      </c>
      <c r="B2626" s="76" t="s">
        <v>12192</v>
      </c>
    </row>
    <row r="2627" spans="1:2" x14ac:dyDescent="0.25">
      <c r="A2627" s="75">
        <v>25111927</v>
      </c>
      <c r="B2627" s="76" t="s">
        <v>14487</v>
      </c>
    </row>
    <row r="2628" spans="1:2" x14ac:dyDescent="0.25">
      <c r="A2628" s="75">
        <v>25111928</v>
      </c>
      <c r="B2628" s="76" t="s">
        <v>8217</v>
      </c>
    </row>
    <row r="2629" spans="1:2" x14ac:dyDescent="0.25">
      <c r="A2629" s="75">
        <v>25111929</v>
      </c>
      <c r="B2629" s="76" t="s">
        <v>7767</v>
      </c>
    </row>
    <row r="2630" spans="1:2" x14ac:dyDescent="0.25">
      <c r="A2630" s="75">
        <v>25111930</v>
      </c>
      <c r="B2630" s="76" t="s">
        <v>409</v>
      </c>
    </row>
    <row r="2631" spans="1:2" x14ac:dyDescent="0.25">
      <c r="A2631" s="75">
        <v>25111931</v>
      </c>
      <c r="B2631" s="76" t="s">
        <v>17644</v>
      </c>
    </row>
    <row r="2632" spans="1:2" x14ac:dyDescent="0.25">
      <c r="A2632" s="75">
        <v>25111932</v>
      </c>
      <c r="B2632" s="76" t="s">
        <v>14185</v>
      </c>
    </row>
    <row r="2633" spans="1:2" x14ac:dyDescent="0.25">
      <c r="A2633" s="75">
        <v>25111933</v>
      </c>
      <c r="B2633" s="76" t="s">
        <v>8299</v>
      </c>
    </row>
    <row r="2634" spans="1:2" x14ac:dyDescent="0.25">
      <c r="A2634" s="75">
        <v>25111934</v>
      </c>
      <c r="B2634" s="76" t="s">
        <v>13187</v>
      </c>
    </row>
    <row r="2635" spans="1:2" x14ac:dyDescent="0.25">
      <c r="A2635" s="75">
        <v>25111935</v>
      </c>
      <c r="B2635" s="76" t="s">
        <v>19082</v>
      </c>
    </row>
    <row r="2636" spans="1:2" x14ac:dyDescent="0.25">
      <c r="A2636" s="75">
        <v>25121501</v>
      </c>
      <c r="B2636" s="76" t="s">
        <v>10681</v>
      </c>
    </row>
    <row r="2637" spans="1:2" x14ac:dyDescent="0.25">
      <c r="A2637" s="75">
        <v>25121502</v>
      </c>
      <c r="B2637" s="76" t="s">
        <v>15418</v>
      </c>
    </row>
    <row r="2638" spans="1:2" x14ac:dyDescent="0.25">
      <c r="A2638" s="75">
        <v>25121503</v>
      </c>
      <c r="B2638" s="76" t="s">
        <v>4983</v>
      </c>
    </row>
    <row r="2639" spans="1:2" x14ac:dyDescent="0.25">
      <c r="A2639" s="75">
        <v>25121504</v>
      </c>
      <c r="B2639" s="76" t="s">
        <v>10563</v>
      </c>
    </row>
    <row r="2640" spans="1:2" x14ac:dyDescent="0.25">
      <c r="A2640" s="75">
        <v>25121601</v>
      </c>
      <c r="B2640" s="76" t="s">
        <v>12105</v>
      </c>
    </row>
    <row r="2641" spans="1:2" x14ac:dyDescent="0.25">
      <c r="A2641" s="75">
        <v>25121602</v>
      </c>
      <c r="B2641" s="76" t="s">
        <v>10533</v>
      </c>
    </row>
    <row r="2642" spans="1:2" x14ac:dyDescent="0.25">
      <c r="A2642" s="75">
        <v>25121603</v>
      </c>
      <c r="B2642" s="76" t="s">
        <v>2070</v>
      </c>
    </row>
    <row r="2643" spans="1:2" x14ac:dyDescent="0.25">
      <c r="A2643" s="75">
        <v>25121604</v>
      </c>
      <c r="B2643" s="76" t="s">
        <v>17208</v>
      </c>
    </row>
    <row r="2644" spans="1:2" x14ac:dyDescent="0.25">
      <c r="A2644" s="75">
        <v>25121605</v>
      </c>
      <c r="B2644" s="76" t="s">
        <v>2054</v>
      </c>
    </row>
    <row r="2645" spans="1:2" x14ac:dyDescent="0.25">
      <c r="A2645" s="75">
        <v>25121701</v>
      </c>
      <c r="B2645" s="76" t="s">
        <v>8357</v>
      </c>
    </row>
    <row r="2646" spans="1:2" x14ac:dyDescent="0.25">
      <c r="A2646" s="75">
        <v>25121702</v>
      </c>
      <c r="B2646" s="76" t="s">
        <v>9364</v>
      </c>
    </row>
    <row r="2647" spans="1:2" x14ac:dyDescent="0.25">
      <c r="A2647" s="75">
        <v>25121703</v>
      </c>
      <c r="B2647" s="76" t="s">
        <v>11989</v>
      </c>
    </row>
    <row r="2648" spans="1:2" x14ac:dyDescent="0.25">
      <c r="A2648" s="75">
        <v>25121704</v>
      </c>
      <c r="B2648" s="76" t="s">
        <v>18621</v>
      </c>
    </row>
    <row r="2649" spans="1:2" x14ac:dyDescent="0.25">
      <c r="A2649" s="75">
        <v>25121705</v>
      </c>
      <c r="B2649" s="76" t="s">
        <v>4033</v>
      </c>
    </row>
    <row r="2650" spans="1:2" x14ac:dyDescent="0.25">
      <c r="A2650" s="75">
        <v>25121706</v>
      </c>
      <c r="B2650" s="76" t="s">
        <v>6239</v>
      </c>
    </row>
    <row r="2651" spans="1:2" x14ac:dyDescent="0.25">
      <c r="A2651" s="75">
        <v>25121707</v>
      </c>
      <c r="B2651" s="76" t="s">
        <v>4500</v>
      </c>
    </row>
    <row r="2652" spans="1:2" x14ac:dyDescent="0.25">
      <c r="A2652" s="75">
        <v>25131501</v>
      </c>
      <c r="B2652" s="76" t="s">
        <v>6052</v>
      </c>
    </row>
    <row r="2653" spans="1:2" x14ac:dyDescent="0.25">
      <c r="A2653" s="75">
        <v>25131502</v>
      </c>
      <c r="B2653" s="76" t="s">
        <v>16795</v>
      </c>
    </row>
    <row r="2654" spans="1:2" x14ac:dyDescent="0.25">
      <c r="A2654" s="75">
        <v>25131503</v>
      </c>
      <c r="B2654" s="76" t="s">
        <v>18519</v>
      </c>
    </row>
    <row r="2655" spans="1:2" x14ac:dyDescent="0.25">
      <c r="A2655" s="75">
        <v>25131504</v>
      </c>
      <c r="B2655" s="76" t="s">
        <v>5678</v>
      </c>
    </row>
    <row r="2656" spans="1:2" x14ac:dyDescent="0.25">
      <c r="A2656" s="75">
        <v>25131505</v>
      </c>
      <c r="B2656" s="76" t="s">
        <v>5504</v>
      </c>
    </row>
    <row r="2657" spans="1:2" x14ac:dyDescent="0.25">
      <c r="A2657" s="75">
        <v>25131506</v>
      </c>
      <c r="B2657" s="76" t="s">
        <v>6206</v>
      </c>
    </row>
    <row r="2658" spans="1:2" x14ac:dyDescent="0.25">
      <c r="A2658" s="75">
        <v>25131507</v>
      </c>
      <c r="B2658" s="76" t="s">
        <v>4841</v>
      </c>
    </row>
    <row r="2659" spans="1:2" x14ac:dyDescent="0.25">
      <c r="A2659" s="75">
        <v>25131508</v>
      </c>
      <c r="B2659" s="76" t="s">
        <v>17955</v>
      </c>
    </row>
    <row r="2660" spans="1:2" x14ac:dyDescent="0.25">
      <c r="A2660" s="75">
        <v>25131601</v>
      </c>
      <c r="B2660" s="76" t="s">
        <v>11502</v>
      </c>
    </row>
    <row r="2661" spans="1:2" x14ac:dyDescent="0.25">
      <c r="A2661" s="75">
        <v>25131602</v>
      </c>
      <c r="B2661" s="76" t="s">
        <v>3914</v>
      </c>
    </row>
    <row r="2662" spans="1:2" x14ac:dyDescent="0.25">
      <c r="A2662" s="75">
        <v>25131603</v>
      </c>
      <c r="B2662" s="76" t="s">
        <v>6497</v>
      </c>
    </row>
    <row r="2663" spans="1:2" x14ac:dyDescent="0.25">
      <c r="A2663" s="75">
        <v>25131604</v>
      </c>
      <c r="B2663" s="76" t="s">
        <v>7274</v>
      </c>
    </row>
    <row r="2664" spans="1:2" x14ac:dyDescent="0.25">
      <c r="A2664" s="75">
        <v>25131701</v>
      </c>
      <c r="B2664" s="76" t="s">
        <v>13325</v>
      </c>
    </row>
    <row r="2665" spans="1:2" x14ac:dyDescent="0.25">
      <c r="A2665" s="75">
        <v>25131702</v>
      </c>
      <c r="B2665" s="76" t="s">
        <v>3274</v>
      </c>
    </row>
    <row r="2666" spans="1:2" x14ac:dyDescent="0.25">
      <c r="A2666" s="75">
        <v>25131703</v>
      </c>
      <c r="B2666" s="76" t="s">
        <v>10242</v>
      </c>
    </row>
    <row r="2667" spans="1:2" x14ac:dyDescent="0.25">
      <c r="A2667" s="75">
        <v>25131704</v>
      </c>
      <c r="B2667" s="76" t="s">
        <v>16481</v>
      </c>
    </row>
    <row r="2668" spans="1:2" x14ac:dyDescent="0.25">
      <c r="A2668" s="75">
        <v>25131705</v>
      </c>
      <c r="B2668" s="76" t="s">
        <v>10896</v>
      </c>
    </row>
    <row r="2669" spans="1:2" x14ac:dyDescent="0.25">
      <c r="A2669" s="75">
        <v>25131706</v>
      </c>
      <c r="B2669" s="76" t="s">
        <v>520</v>
      </c>
    </row>
    <row r="2670" spans="1:2" x14ac:dyDescent="0.25">
      <c r="A2670" s="75">
        <v>25131707</v>
      </c>
      <c r="B2670" s="76" t="s">
        <v>16890</v>
      </c>
    </row>
    <row r="2671" spans="1:2" x14ac:dyDescent="0.25">
      <c r="A2671" s="75">
        <v>25131708</v>
      </c>
      <c r="B2671" s="76" t="s">
        <v>14410</v>
      </c>
    </row>
    <row r="2672" spans="1:2" x14ac:dyDescent="0.25">
      <c r="A2672" s="75">
        <v>25131709</v>
      </c>
      <c r="B2672" s="76" t="s">
        <v>18601</v>
      </c>
    </row>
    <row r="2673" spans="1:2" x14ac:dyDescent="0.25">
      <c r="A2673" s="75">
        <v>25131801</v>
      </c>
      <c r="B2673" s="76" t="s">
        <v>16717</v>
      </c>
    </row>
    <row r="2674" spans="1:2" x14ac:dyDescent="0.25">
      <c r="A2674" s="75">
        <v>25131902</v>
      </c>
      <c r="B2674" s="76" t="s">
        <v>8705</v>
      </c>
    </row>
    <row r="2675" spans="1:2" x14ac:dyDescent="0.25">
      <c r="A2675" s="75">
        <v>25131903</v>
      </c>
      <c r="B2675" s="76" t="s">
        <v>5239</v>
      </c>
    </row>
    <row r="2676" spans="1:2" x14ac:dyDescent="0.25">
      <c r="A2676" s="75">
        <v>25131904</v>
      </c>
      <c r="B2676" s="76" t="s">
        <v>4771</v>
      </c>
    </row>
    <row r="2677" spans="1:2" x14ac:dyDescent="0.25">
      <c r="A2677" s="75">
        <v>25131905</v>
      </c>
      <c r="B2677" s="76" t="s">
        <v>15979</v>
      </c>
    </row>
    <row r="2678" spans="1:2" x14ac:dyDescent="0.25">
      <c r="A2678" s="75">
        <v>25131906</v>
      </c>
      <c r="B2678" s="76" t="s">
        <v>809</v>
      </c>
    </row>
    <row r="2679" spans="1:2" x14ac:dyDescent="0.25">
      <c r="A2679" s="75">
        <v>25132001</v>
      </c>
      <c r="B2679" s="76" t="s">
        <v>18568</v>
      </c>
    </row>
    <row r="2680" spans="1:2" x14ac:dyDescent="0.25">
      <c r="A2680" s="75">
        <v>25132002</v>
      </c>
      <c r="B2680" s="76" t="s">
        <v>16913</v>
      </c>
    </row>
    <row r="2681" spans="1:2" x14ac:dyDescent="0.25">
      <c r="A2681" s="75">
        <v>25132003</v>
      </c>
      <c r="B2681" s="76" t="s">
        <v>5505</v>
      </c>
    </row>
    <row r="2682" spans="1:2" x14ac:dyDescent="0.25">
      <c r="A2682" s="75">
        <v>25132004</v>
      </c>
      <c r="B2682" s="76" t="s">
        <v>10111</v>
      </c>
    </row>
    <row r="2683" spans="1:2" x14ac:dyDescent="0.25">
      <c r="A2683" s="75">
        <v>25132005</v>
      </c>
      <c r="B2683" s="76" t="s">
        <v>3898</v>
      </c>
    </row>
    <row r="2684" spans="1:2" x14ac:dyDescent="0.25">
      <c r="A2684" s="75">
        <v>25151501</v>
      </c>
      <c r="B2684" s="76" t="s">
        <v>18091</v>
      </c>
    </row>
    <row r="2685" spans="1:2" x14ac:dyDescent="0.25">
      <c r="A2685" s="75">
        <v>25151502</v>
      </c>
      <c r="B2685" s="76" t="s">
        <v>8434</v>
      </c>
    </row>
    <row r="2686" spans="1:2" x14ac:dyDescent="0.25">
      <c r="A2686" s="75">
        <v>25151701</v>
      </c>
      <c r="B2686" s="76" t="s">
        <v>2533</v>
      </c>
    </row>
    <row r="2687" spans="1:2" x14ac:dyDescent="0.25">
      <c r="A2687" s="75">
        <v>25151702</v>
      </c>
      <c r="B2687" s="76" t="s">
        <v>2381</v>
      </c>
    </row>
    <row r="2688" spans="1:2" x14ac:dyDescent="0.25">
      <c r="A2688" s="75">
        <v>25151703</v>
      </c>
      <c r="B2688" s="76" t="s">
        <v>14217</v>
      </c>
    </row>
    <row r="2689" spans="1:2" x14ac:dyDescent="0.25">
      <c r="A2689" s="75">
        <v>25151704</v>
      </c>
      <c r="B2689" s="76" t="s">
        <v>5910</v>
      </c>
    </row>
    <row r="2690" spans="1:2" x14ac:dyDescent="0.25">
      <c r="A2690" s="75">
        <v>25151705</v>
      </c>
      <c r="B2690" s="76" t="s">
        <v>920</v>
      </c>
    </row>
    <row r="2691" spans="1:2" x14ac:dyDescent="0.25">
      <c r="A2691" s="75">
        <v>25151706</v>
      </c>
      <c r="B2691" s="76" t="s">
        <v>6152</v>
      </c>
    </row>
    <row r="2692" spans="1:2" x14ac:dyDescent="0.25">
      <c r="A2692" s="75">
        <v>25151707</v>
      </c>
      <c r="B2692" s="76" t="s">
        <v>16934</v>
      </c>
    </row>
    <row r="2693" spans="1:2" x14ac:dyDescent="0.25">
      <c r="A2693" s="75">
        <v>25151708</v>
      </c>
      <c r="B2693" s="76" t="s">
        <v>3722</v>
      </c>
    </row>
    <row r="2694" spans="1:2" x14ac:dyDescent="0.25">
      <c r="A2694" s="75">
        <v>25151709</v>
      </c>
      <c r="B2694" s="76" t="s">
        <v>11219</v>
      </c>
    </row>
    <row r="2695" spans="1:2" x14ac:dyDescent="0.25">
      <c r="A2695" s="75">
        <v>25161501</v>
      </c>
      <c r="B2695" s="76" t="s">
        <v>18687</v>
      </c>
    </row>
    <row r="2696" spans="1:2" x14ac:dyDescent="0.25">
      <c r="A2696" s="75">
        <v>25161502</v>
      </c>
      <c r="B2696" s="76" t="s">
        <v>152</v>
      </c>
    </row>
    <row r="2697" spans="1:2" x14ac:dyDescent="0.25">
      <c r="A2697" s="75">
        <v>25161503</v>
      </c>
      <c r="B2697" s="76" t="s">
        <v>12447</v>
      </c>
    </row>
    <row r="2698" spans="1:2" x14ac:dyDescent="0.25">
      <c r="A2698" s="75">
        <v>25161504</v>
      </c>
      <c r="B2698" s="76" t="s">
        <v>15875</v>
      </c>
    </row>
    <row r="2699" spans="1:2" x14ac:dyDescent="0.25">
      <c r="A2699" s="75">
        <v>25161505</v>
      </c>
      <c r="B2699" s="76" t="s">
        <v>18118</v>
      </c>
    </row>
    <row r="2700" spans="1:2" x14ac:dyDescent="0.25">
      <c r="A2700" s="75">
        <v>25161506</v>
      </c>
      <c r="B2700" s="76" t="s">
        <v>3400</v>
      </c>
    </row>
    <row r="2701" spans="1:2" x14ac:dyDescent="0.25">
      <c r="A2701" s="75">
        <v>25161507</v>
      </c>
      <c r="B2701" s="76" t="s">
        <v>19073</v>
      </c>
    </row>
    <row r="2702" spans="1:2" x14ac:dyDescent="0.25">
      <c r="A2702" s="75">
        <v>25161508</v>
      </c>
      <c r="B2702" s="76" t="s">
        <v>18734</v>
      </c>
    </row>
    <row r="2703" spans="1:2" x14ac:dyDescent="0.25">
      <c r="A2703" s="75">
        <v>25161509</v>
      </c>
      <c r="B2703" s="76" t="s">
        <v>6221</v>
      </c>
    </row>
    <row r="2704" spans="1:2" x14ac:dyDescent="0.25">
      <c r="A2704" s="75">
        <v>25171502</v>
      </c>
      <c r="B2704" s="76" t="s">
        <v>3414</v>
      </c>
    </row>
    <row r="2705" spans="1:2" x14ac:dyDescent="0.25">
      <c r="A2705" s="75">
        <v>25171503</v>
      </c>
      <c r="B2705" s="76" t="s">
        <v>11953</v>
      </c>
    </row>
    <row r="2706" spans="1:2" x14ac:dyDescent="0.25">
      <c r="A2706" s="75">
        <v>25171504</v>
      </c>
      <c r="B2706" s="76" t="s">
        <v>929</v>
      </c>
    </row>
    <row r="2707" spans="1:2" x14ac:dyDescent="0.25">
      <c r="A2707" s="75">
        <v>25171505</v>
      </c>
      <c r="B2707" s="76" t="s">
        <v>6148</v>
      </c>
    </row>
    <row r="2708" spans="1:2" x14ac:dyDescent="0.25">
      <c r="A2708" s="75">
        <v>25171506</v>
      </c>
      <c r="B2708" s="76" t="s">
        <v>15047</v>
      </c>
    </row>
    <row r="2709" spans="1:2" x14ac:dyDescent="0.25">
      <c r="A2709" s="75">
        <v>25171507</v>
      </c>
      <c r="B2709" s="76" t="s">
        <v>10285</v>
      </c>
    </row>
    <row r="2710" spans="1:2" x14ac:dyDescent="0.25">
      <c r="A2710" s="75">
        <v>25171602</v>
      </c>
      <c r="B2710" s="76" t="s">
        <v>12360</v>
      </c>
    </row>
    <row r="2711" spans="1:2" x14ac:dyDescent="0.25">
      <c r="A2711" s="75">
        <v>25171603</v>
      </c>
      <c r="B2711" s="76" t="s">
        <v>9523</v>
      </c>
    </row>
    <row r="2712" spans="1:2" x14ac:dyDescent="0.25">
      <c r="A2712" s="75">
        <v>25171702</v>
      </c>
      <c r="B2712" s="76" t="s">
        <v>12411</v>
      </c>
    </row>
    <row r="2713" spans="1:2" x14ac:dyDescent="0.25">
      <c r="A2713" s="75">
        <v>25171703</v>
      </c>
      <c r="B2713" s="76" t="s">
        <v>16212</v>
      </c>
    </row>
    <row r="2714" spans="1:2" x14ac:dyDescent="0.25">
      <c r="A2714" s="75">
        <v>25171704</v>
      </c>
      <c r="B2714" s="76" t="s">
        <v>5519</v>
      </c>
    </row>
    <row r="2715" spans="1:2" x14ac:dyDescent="0.25">
      <c r="A2715" s="75">
        <v>25171705</v>
      </c>
      <c r="B2715" s="76" t="s">
        <v>1614</v>
      </c>
    </row>
    <row r="2716" spans="1:2" x14ac:dyDescent="0.25">
      <c r="A2716" s="75">
        <v>25171706</v>
      </c>
      <c r="B2716" s="76" t="s">
        <v>19115</v>
      </c>
    </row>
    <row r="2717" spans="1:2" x14ac:dyDescent="0.25">
      <c r="A2717" s="75">
        <v>25171707</v>
      </c>
      <c r="B2717" s="76" t="s">
        <v>18886</v>
      </c>
    </row>
    <row r="2718" spans="1:2" x14ac:dyDescent="0.25">
      <c r="A2718" s="75">
        <v>25171708</v>
      </c>
      <c r="B2718" s="76" t="s">
        <v>14106</v>
      </c>
    </row>
    <row r="2719" spans="1:2" x14ac:dyDescent="0.25">
      <c r="A2719" s="75">
        <v>25171709</v>
      </c>
      <c r="B2719" s="76" t="s">
        <v>18839</v>
      </c>
    </row>
    <row r="2720" spans="1:2" x14ac:dyDescent="0.25">
      <c r="A2720" s="75">
        <v>25171710</v>
      </c>
      <c r="B2720" s="76" t="s">
        <v>1456</v>
      </c>
    </row>
    <row r="2721" spans="1:2" x14ac:dyDescent="0.25">
      <c r="A2721" s="75">
        <v>25171711</v>
      </c>
      <c r="B2721" s="76" t="s">
        <v>13810</v>
      </c>
    </row>
    <row r="2722" spans="1:2" x14ac:dyDescent="0.25">
      <c r="A2722" s="75">
        <v>25171712</v>
      </c>
      <c r="B2722" s="76" t="s">
        <v>7008</v>
      </c>
    </row>
    <row r="2723" spans="1:2" x14ac:dyDescent="0.25">
      <c r="A2723" s="75">
        <v>25171713</v>
      </c>
      <c r="B2723" s="76" t="s">
        <v>19601</v>
      </c>
    </row>
    <row r="2724" spans="1:2" x14ac:dyDescent="0.25">
      <c r="A2724" s="75">
        <v>25171714</v>
      </c>
      <c r="B2724" s="76" t="s">
        <v>16638</v>
      </c>
    </row>
    <row r="2725" spans="1:2" x14ac:dyDescent="0.25">
      <c r="A2725" s="75">
        <v>25171715</v>
      </c>
      <c r="B2725" s="76" t="s">
        <v>11261</v>
      </c>
    </row>
    <row r="2726" spans="1:2" x14ac:dyDescent="0.25">
      <c r="A2726" s="75">
        <v>25171716</v>
      </c>
      <c r="B2726" s="76" t="s">
        <v>9393</v>
      </c>
    </row>
    <row r="2727" spans="1:2" x14ac:dyDescent="0.25">
      <c r="A2727" s="75">
        <v>25171717</v>
      </c>
      <c r="B2727" s="76" t="s">
        <v>20</v>
      </c>
    </row>
    <row r="2728" spans="1:2" x14ac:dyDescent="0.25">
      <c r="A2728" s="75">
        <v>25171718</v>
      </c>
      <c r="B2728" s="76" t="s">
        <v>8164</v>
      </c>
    </row>
    <row r="2729" spans="1:2" x14ac:dyDescent="0.25">
      <c r="A2729" s="75">
        <v>25171719</v>
      </c>
      <c r="B2729" s="76" t="s">
        <v>16033</v>
      </c>
    </row>
    <row r="2730" spans="1:2" x14ac:dyDescent="0.25">
      <c r="A2730" s="75">
        <v>25171901</v>
      </c>
      <c r="B2730" s="76" t="s">
        <v>9734</v>
      </c>
    </row>
    <row r="2731" spans="1:2" x14ac:dyDescent="0.25">
      <c r="A2731" s="75">
        <v>25171902</v>
      </c>
      <c r="B2731" s="76" t="s">
        <v>10114</v>
      </c>
    </row>
    <row r="2732" spans="1:2" x14ac:dyDescent="0.25">
      <c r="A2732" s="75">
        <v>25171903</v>
      </c>
      <c r="B2732" s="76" t="s">
        <v>8758</v>
      </c>
    </row>
    <row r="2733" spans="1:2" x14ac:dyDescent="0.25">
      <c r="A2733" s="75">
        <v>25171905</v>
      </c>
      <c r="B2733" s="76" t="s">
        <v>7125</v>
      </c>
    </row>
    <row r="2734" spans="1:2" x14ac:dyDescent="0.25">
      <c r="A2734" s="75">
        <v>25172001</v>
      </c>
      <c r="B2734" s="76" t="s">
        <v>12233</v>
      </c>
    </row>
    <row r="2735" spans="1:2" x14ac:dyDescent="0.25">
      <c r="A2735" s="75">
        <v>25172002</v>
      </c>
      <c r="B2735" s="76" t="s">
        <v>5156</v>
      </c>
    </row>
    <row r="2736" spans="1:2" x14ac:dyDescent="0.25">
      <c r="A2736" s="75">
        <v>25172003</v>
      </c>
      <c r="B2736" s="76" t="s">
        <v>5195</v>
      </c>
    </row>
    <row r="2737" spans="1:2" x14ac:dyDescent="0.25">
      <c r="A2737" s="75">
        <v>25172004</v>
      </c>
      <c r="B2737" s="76" t="s">
        <v>9133</v>
      </c>
    </row>
    <row r="2738" spans="1:2" x14ac:dyDescent="0.25">
      <c r="A2738" s="75">
        <v>25172005</v>
      </c>
      <c r="B2738" s="76" t="s">
        <v>3123</v>
      </c>
    </row>
    <row r="2739" spans="1:2" x14ac:dyDescent="0.25">
      <c r="A2739" s="75">
        <v>25172007</v>
      </c>
      <c r="B2739" s="76" t="s">
        <v>5608</v>
      </c>
    </row>
    <row r="2740" spans="1:2" x14ac:dyDescent="0.25">
      <c r="A2740" s="75">
        <v>25172009</v>
      </c>
      <c r="B2740" s="76" t="s">
        <v>2206</v>
      </c>
    </row>
    <row r="2741" spans="1:2" x14ac:dyDescent="0.25">
      <c r="A2741" s="75">
        <v>25172010</v>
      </c>
      <c r="B2741" s="76" t="s">
        <v>6183</v>
      </c>
    </row>
    <row r="2742" spans="1:2" x14ac:dyDescent="0.25">
      <c r="A2742" s="75">
        <v>25172011</v>
      </c>
      <c r="B2742" s="76" t="s">
        <v>18618</v>
      </c>
    </row>
    <row r="2743" spans="1:2" x14ac:dyDescent="0.25">
      <c r="A2743" s="75">
        <v>25172101</v>
      </c>
      <c r="B2743" s="76" t="s">
        <v>4177</v>
      </c>
    </row>
    <row r="2744" spans="1:2" x14ac:dyDescent="0.25">
      <c r="A2744" s="75">
        <v>25172104</v>
      </c>
      <c r="B2744" s="76" t="s">
        <v>18793</v>
      </c>
    </row>
    <row r="2745" spans="1:2" x14ac:dyDescent="0.25">
      <c r="A2745" s="75">
        <v>25172105</v>
      </c>
      <c r="B2745" s="76" t="s">
        <v>19186</v>
      </c>
    </row>
    <row r="2746" spans="1:2" x14ac:dyDescent="0.25">
      <c r="A2746" s="75">
        <v>25172106</v>
      </c>
      <c r="B2746" s="76" t="s">
        <v>7339</v>
      </c>
    </row>
    <row r="2747" spans="1:2" x14ac:dyDescent="0.25">
      <c r="A2747" s="75">
        <v>25172108</v>
      </c>
      <c r="B2747" s="76" t="s">
        <v>17816</v>
      </c>
    </row>
    <row r="2748" spans="1:2" x14ac:dyDescent="0.25">
      <c r="A2748" s="75">
        <v>25172109</v>
      </c>
      <c r="B2748" s="76" t="s">
        <v>3859</v>
      </c>
    </row>
    <row r="2749" spans="1:2" x14ac:dyDescent="0.25">
      <c r="A2749" s="75">
        <v>25172110</v>
      </c>
      <c r="B2749" s="76" t="s">
        <v>7184</v>
      </c>
    </row>
    <row r="2750" spans="1:2" x14ac:dyDescent="0.25">
      <c r="A2750" s="75">
        <v>25172111</v>
      </c>
      <c r="B2750" s="76" t="s">
        <v>4532</v>
      </c>
    </row>
    <row r="2751" spans="1:2" x14ac:dyDescent="0.25">
      <c r="A2751" s="75">
        <v>25172112</v>
      </c>
      <c r="B2751" s="76" t="s">
        <v>11477</v>
      </c>
    </row>
    <row r="2752" spans="1:2" x14ac:dyDescent="0.25">
      <c r="A2752" s="75">
        <v>25172113</v>
      </c>
      <c r="B2752" s="76" t="s">
        <v>12226</v>
      </c>
    </row>
    <row r="2753" spans="1:2" x14ac:dyDescent="0.25">
      <c r="A2753" s="75">
        <v>25172114</v>
      </c>
      <c r="B2753" s="76" t="s">
        <v>8448</v>
      </c>
    </row>
    <row r="2754" spans="1:2" x14ac:dyDescent="0.25">
      <c r="A2754" s="75">
        <v>25172201</v>
      </c>
      <c r="B2754" s="76" t="s">
        <v>832</v>
      </c>
    </row>
    <row r="2755" spans="1:2" x14ac:dyDescent="0.25">
      <c r="A2755" s="75">
        <v>25172203</v>
      </c>
      <c r="B2755" s="76" t="s">
        <v>8701</v>
      </c>
    </row>
    <row r="2756" spans="1:2" x14ac:dyDescent="0.25">
      <c r="A2756" s="75">
        <v>25172204</v>
      </c>
      <c r="B2756" s="76" t="s">
        <v>279</v>
      </c>
    </row>
    <row r="2757" spans="1:2" x14ac:dyDescent="0.25">
      <c r="A2757" s="75">
        <v>25172205</v>
      </c>
      <c r="B2757" s="76" t="s">
        <v>16588</v>
      </c>
    </row>
    <row r="2758" spans="1:2" x14ac:dyDescent="0.25">
      <c r="A2758" s="75">
        <v>25172301</v>
      </c>
      <c r="B2758" s="76" t="s">
        <v>4580</v>
      </c>
    </row>
    <row r="2759" spans="1:2" x14ac:dyDescent="0.25">
      <c r="A2759" s="75">
        <v>25172303</v>
      </c>
      <c r="B2759" s="76" t="s">
        <v>3436</v>
      </c>
    </row>
    <row r="2760" spans="1:2" x14ac:dyDescent="0.25">
      <c r="A2760" s="75">
        <v>25172404</v>
      </c>
      <c r="B2760" s="76" t="s">
        <v>14024</v>
      </c>
    </row>
    <row r="2761" spans="1:2" x14ac:dyDescent="0.25">
      <c r="A2761" s="75">
        <v>25172405</v>
      </c>
      <c r="B2761" s="76" t="s">
        <v>16329</v>
      </c>
    </row>
    <row r="2762" spans="1:2" x14ac:dyDescent="0.25">
      <c r="A2762" s="75">
        <v>25172406</v>
      </c>
      <c r="B2762" s="76" t="s">
        <v>2470</v>
      </c>
    </row>
    <row r="2763" spans="1:2" x14ac:dyDescent="0.25">
      <c r="A2763" s="75">
        <v>25172407</v>
      </c>
      <c r="B2763" s="76" t="s">
        <v>4644</v>
      </c>
    </row>
    <row r="2764" spans="1:2" x14ac:dyDescent="0.25">
      <c r="A2764" s="75">
        <v>25172408</v>
      </c>
      <c r="B2764" s="76" t="s">
        <v>19139</v>
      </c>
    </row>
    <row r="2765" spans="1:2" x14ac:dyDescent="0.25">
      <c r="A2765" s="75">
        <v>25172502</v>
      </c>
      <c r="B2765" s="76" t="s">
        <v>11490</v>
      </c>
    </row>
    <row r="2766" spans="1:2" x14ac:dyDescent="0.25">
      <c r="A2766" s="75">
        <v>25172503</v>
      </c>
      <c r="B2766" s="76" t="s">
        <v>8874</v>
      </c>
    </row>
    <row r="2767" spans="1:2" x14ac:dyDescent="0.25">
      <c r="A2767" s="75">
        <v>25172504</v>
      </c>
      <c r="B2767" s="76" t="s">
        <v>19253</v>
      </c>
    </row>
    <row r="2768" spans="1:2" x14ac:dyDescent="0.25">
      <c r="A2768" s="75">
        <v>25172505</v>
      </c>
      <c r="B2768" s="76" t="s">
        <v>15298</v>
      </c>
    </row>
    <row r="2769" spans="1:2" x14ac:dyDescent="0.25">
      <c r="A2769" s="75">
        <v>25172506</v>
      </c>
      <c r="B2769" s="76" t="s">
        <v>2994</v>
      </c>
    </row>
    <row r="2770" spans="1:2" x14ac:dyDescent="0.25">
      <c r="A2770" s="75">
        <v>25172507</v>
      </c>
      <c r="B2770" s="76" t="s">
        <v>5727</v>
      </c>
    </row>
    <row r="2771" spans="1:2" x14ac:dyDescent="0.25">
      <c r="A2771" s="75">
        <v>25172508</v>
      </c>
      <c r="B2771" s="76" t="s">
        <v>4783</v>
      </c>
    </row>
    <row r="2772" spans="1:2" x14ac:dyDescent="0.25">
      <c r="A2772" s="75">
        <v>25172601</v>
      </c>
      <c r="B2772" s="76" t="s">
        <v>221</v>
      </c>
    </row>
    <row r="2773" spans="1:2" x14ac:dyDescent="0.25">
      <c r="A2773" s="75">
        <v>25172602</v>
      </c>
      <c r="B2773" s="76" t="s">
        <v>7340</v>
      </c>
    </row>
    <row r="2774" spans="1:2" x14ac:dyDescent="0.25">
      <c r="A2774" s="75">
        <v>25172603</v>
      </c>
      <c r="B2774" s="76" t="s">
        <v>835</v>
      </c>
    </row>
    <row r="2775" spans="1:2" x14ac:dyDescent="0.25">
      <c r="A2775" s="75">
        <v>25172604</v>
      </c>
      <c r="B2775" s="76" t="s">
        <v>9644</v>
      </c>
    </row>
    <row r="2776" spans="1:2" x14ac:dyDescent="0.25">
      <c r="A2776" s="75">
        <v>25172605</v>
      </c>
      <c r="B2776" s="76" t="s">
        <v>5332</v>
      </c>
    </row>
    <row r="2777" spans="1:2" x14ac:dyDescent="0.25">
      <c r="A2777" s="75">
        <v>25172606</v>
      </c>
      <c r="B2777" s="76" t="s">
        <v>10017</v>
      </c>
    </row>
    <row r="2778" spans="1:2" x14ac:dyDescent="0.25">
      <c r="A2778" s="75">
        <v>25172607</v>
      </c>
      <c r="B2778" s="76" t="s">
        <v>7101</v>
      </c>
    </row>
    <row r="2779" spans="1:2" x14ac:dyDescent="0.25">
      <c r="A2779" s="75">
        <v>25172608</v>
      </c>
      <c r="B2779" s="76" t="s">
        <v>5872</v>
      </c>
    </row>
    <row r="2780" spans="1:2" x14ac:dyDescent="0.25">
      <c r="A2780" s="75">
        <v>25172702</v>
      </c>
      <c r="B2780" s="76" t="s">
        <v>11157</v>
      </c>
    </row>
    <row r="2781" spans="1:2" x14ac:dyDescent="0.25">
      <c r="A2781" s="75">
        <v>25172703</v>
      </c>
      <c r="B2781" s="76" t="s">
        <v>103</v>
      </c>
    </row>
    <row r="2782" spans="1:2" x14ac:dyDescent="0.25">
      <c r="A2782" s="75">
        <v>25172704</v>
      </c>
      <c r="B2782" s="76" t="s">
        <v>10048</v>
      </c>
    </row>
    <row r="2783" spans="1:2" x14ac:dyDescent="0.25">
      <c r="A2783" s="75">
        <v>25172802</v>
      </c>
      <c r="B2783" s="76" t="s">
        <v>12436</v>
      </c>
    </row>
    <row r="2784" spans="1:2" x14ac:dyDescent="0.25">
      <c r="A2784" s="75">
        <v>25172803</v>
      </c>
      <c r="B2784" s="76" t="s">
        <v>7365</v>
      </c>
    </row>
    <row r="2785" spans="1:2" x14ac:dyDescent="0.25">
      <c r="A2785" s="75">
        <v>25172901</v>
      </c>
      <c r="B2785" s="76" t="s">
        <v>17545</v>
      </c>
    </row>
    <row r="2786" spans="1:2" x14ac:dyDescent="0.25">
      <c r="A2786" s="75">
        <v>25172903</v>
      </c>
      <c r="B2786" s="76" t="s">
        <v>6344</v>
      </c>
    </row>
    <row r="2787" spans="1:2" x14ac:dyDescent="0.25">
      <c r="A2787" s="75">
        <v>25172904</v>
      </c>
      <c r="B2787" s="76" t="s">
        <v>12827</v>
      </c>
    </row>
    <row r="2788" spans="1:2" x14ac:dyDescent="0.25">
      <c r="A2788" s="75">
        <v>25172905</v>
      </c>
      <c r="B2788" s="76" t="s">
        <v>12653</v>
      </c>
    </row>
    <row r="2789" spans="1:2" x14ac:dyDescent="0.25">
      <c r="A2789" s="75">
        <v>25172906</v>
      </c>
      <c r="B2789" s="76" t="s">
        <v>1168</v>
      </c>
    </row>
    <row r="2790" spans="1:2" x14ac:dyDescent="0.25">
      <c r="A2790" s="75">
        <v>25172907</v>
      </c>
      <c r="B2790" s="76" t="s">
        <v>3292</v>
      </c>
    </row>
    <row r="2791" spans="1:2" x14ac:dyDescent="0.25">
      <c r="A2791" s="75">
        <v>25173001</v>
      </c>
      <c r="B2791" s="76" t="s">
        <v>16554</v>
      </c>
    </row>
    <row r="2792" spans="1:2" x14ac:dyDescent="0.25">
      <c r="A2792" s="75">
        <v>25173003</v>
      </c>
      <c r="B2792" s="76" t="s">
        <v>9274</v>
      </c>
    </row>
    <row r="2793" spans="1:2" x14ac:dyDescent="0.25">
      <c r="A2793" s="75">
        <v>25173004</v>
      </c>
      <c r="B2793" s="76" t="s">
        <v>19660</v>
      </c>
    </row>
    <row r="2794" spans="1:2" x14ac:dyDescent="0.25">
      <c r="A2794" s="75">
        <v>25173005</v>
      </c>
      <c r="B2794" s="76" t="s">
        <v>12749</v>
      </c>
    </row>
    <row r="2795" spans="1:2" x14ac:dyDescent="0.25">
      <c r="A2795" s="75">
        <v>25173107</v>
      </c>
      <c r="B2795" s="76" t="s">
        <v>8470</v>
      </c>
    </row>
    <row r="2796" spans="1:2" x14ac:dyDescent="0.25">
      <c r="A2796" s="75">
        <v>25173108</v>
      </c>
      <c r="B2796" s="76" t="s">
        <v>2153</v>
      </c>
    </row>
    <row r="2797" spans="1:2" x14ac:dyDescent="0.25">
      <c r="A2797" s="75">
        <v>25173303</v>
      </c>
      <c r="B2797" s="76" t="s">
        <v>12741</v>
      </c>
    </row>
    <row r="2798" spans="1:2" x14ac:dyDescent="0.25">
      <c r="A2798" s="75">
        <v>25173304</v>
      </c>
      <c r="B2798" s="76" t="s">
        <v>4586</v>
      </c>
    </row>
    <row r="2799" spans="1:2" x14ac:dyDescent="0.25">
      <c r="A2799" s="75">
        <v>25173701</v>
      </c>
      <c r="B2799" s="76" t="s">
        <v>13000</v>
      </c>
    </row>
    <row r="2800" spans="1:2" x14ac:dyDescent="0.25">
      <c r="A2800" s="75">
        <v>25173702</v>
      </c>
      <c r="B2800" s="76" t="s">
        <v>7223</v>
      </c>
    </row>
    <row r="2801" spans="1:2" x14ac:dyDescent="0.25">
      <c r="A2801" s="75">
        <v>25173703</v>
      </c>
      <c r="B2801" s="76" t="s">
        <v>17631</v>
      </c>
    </row>
    <row r="2802" spans="1:2" x14ac:dyDescent="0.25">
      <c r="A2802" s="75">
        <v>25173704</v>
      </c>
      <c r="B2802" s="76" t="s">
        <v>18370</v>
      </c>
    </row>
    <row r="2803" spans="1:2" x14ac:dyDescent="0.25">
      <c r="A2803" s="75">
        <v>25173705</v>
      </c>
      <c r="B2803" s="76" t="s">
        <v>2530</v>
      </c>
    </row>
    <row r="2804" spans="1:2" x14ac:dyDescent="0.25">
      <c r="A2804" s="75">
        <v>25173801</v>
      </c>
      <c r="B2804" s="76" t="s">
        <v>16878</v>
      </c>
    </row>
    <row r="2805" spans="1:2" x14ac:dyDescent="0.25">
      <c r="A2805" s="75">
        <v>25173802</v>
      </c>
      <c r="B2805" s="76" t="s">
        <v>11100</v>
      </c>
    </row>
    <row r="2806" spans="1:2" x14ac:dyDescent="0.25">
      <c r="A2806" s="75">
        <v>25173803</v>
      </c>
      <c r="B2806" s="76" t="s">
        <v>7444</v>
      </c>
    </row>
    <row r="2807" spans="1:2" x14ac:dyDescent="0.25">
      <c r="A2807" s="75">
        <v>25173804</v>
      </c>
      <c r="B2807" s="76" t="s">
        <v>8227</v>
      </c>
    </row>
    <row r="2808" spans="1:2" x14ac:dyDescent="0.25">
      <c r="A2808" s="75">
        <v>25173805</v>
      </c>
      <c r="B2808" s="76" t="s">
        <v>12978</v>
      </c>
    </row>
    <row r="2809" spans="1:2" x14ac:dyDescent="0.25">
      <c r="A2809" s="75">
        <v>25173806</v>
      </c>
      <c r="B2809" s="76" t="s">
        <v>2432</v>
      </c>
    </row>
    <row r="2810" spans="1:2" x14ac:dyDescent="0.25">
      <c r="A2810" s="75">
        <v>25173807</v>
      </c>
      <c r="B2810" s="76" t="s">
        <v>1630</v>
      </c>
    </row>
    <row r="2811" spans="1:2" x14ac:dyDescent="0.25">
      <c r="A2811" s="75">
        <v>25173808</v>
      </c>
      <c r="B2811" s="76" t="s">
        <v>68</v>
      </c>
    </row>
    <row r="2812" spans="1:2" x14ac:dyDescent="0.25">
      <c r="A2812" s="75">
        <v>25173809</v>
      </c>
      <c r="B2812" s="76" t="s">
        <v>6321</v>
      </c>
    </row>
    <row r="2813" spans="1:2" x14ac:dyDescent="0.25">
      <c r="A2813" s="75">
        <v>25173810</v>
      </c>
      <c r="B2813" s="76" t="s">
        <v>1385</v>
      </c>
    </row>
    <row r="2814" spans="1:2" x14ac:dyDescent="0.25">
      <c r="A2814" s="75">
        <v>25173811</v>
      </c>
      <c r="B2814" s="76" t="s">
        <v>14724</v>
      </c>
    </row>
    <row r="2815" spans="1:2" x14ac:dyDescent="0.25">
      <c r="A2815" s="75">
        <v>25173812</v>
      </c>
      <c r="B2815" s="76" t="s">
        <v>14406</v>
      </c>
    </row>
    <row r="2816" spans="1:2" x14ac:dyDescent="0.25">
      <c r="A2816" s="75">
        <v>25173813</v>
      </c>
      <c r="B2816" s="76" t="s">
        <v>5180</v>
      </c>
    </row>
    <row r="2817" spans="1:2" x14ac:dyDescent="0.25">
      <c r="A2817" s="75">
        <v>25173815</v>
      </c>
      <c r="B2817" s="76" t="s">
        <v>18191</v>
      </c>
    </row>
    <row r="2818" spans="1:2" x14ac:dyDescent="0.25">
      <c r="A2818" s="75">
        <v>25173816</v>
      </c>
      <c r="B2818" s="76" t="s">
        <v>2918</v>
      </c>
    </row>
    <row r="2819" spans="1:2" x14ac:dyDescent="0.25">
      <c r="A2819" s="75">
        <v>25173817</v>
      </c>
      <c r="B2819" s="76" t="s">
        <v>13069</v>
      </c>
    </row>
    <row r="2820" spans="1:2" x14ac:dyDescent="0.25">
      <c r="A2820" s="75">
        <v>25173901</v>
      </c>
      <c r="B2820" s="76" t="s">
        <v>5286</v>
      </c>
    </row>
    <row r="2821" spans="1:2" x14ac:dyDescent="0.25">
      <c r="A2821" s="75">
        <v>25174001</v>
      </c>
      <c r="B2821" s="76" t="s">
        <v>536</v>
      </c>
    </row>
    <row r="2822" spans="1:2" x14ac:dyDescent="0.25">
      <c r="A2822" s="75">
        <v>25174002</v>
      </c>
      <c r="B2822" s="76" t="s">
        <v>13743</v>
      </c>
    </row>
    <row r="2823" spans="1:2" x14ac:dyDescent="0.25">
      <c r="A2823" s="75">
        <v>25174003</v>
      </c>
      <c r="B2823" s="76" t="s">
        <v>10846</v>
      </c>
    </row>
    <row r="2824" spans="1:2" x14ac:dyDescent="0.25">
      <c r="A2824" s="75">
        <v>25174004</v>
      </c>
      <c r="B2824" s="76" t="s">
        <v>8128</v>
      </c>
    </row>
    <row r="2825" spans="1:2" x14ac:dyDescent="0.25">
      <c r="A2825" s="75">
        <v>25174101</v>
      </c>
      <c r="B2825" s="76" t="s">
        <v>17825</v>
      </c>
    </row>
    <row r="2826" spans="1:2" x14ac:dyDescent="0.25">
      <c r="A2826" s="75">
        <v>25174102</v>
      </c>
      <c r="B2826" s="76" t="s">
        <v>9805</v>
      </c>
    </row>
    <row r="2827" spans="1:2" x14ac:dyDescent="0.25">
      <c r="A2827" s="75">
        <v>25174103</v>
      </c>
      <c r="B2827" s="76" t="s">
        <v>5923</v>
      </c>
    </row>
    <row r="2828" spans="1:2" x14ac:dyDescent="0.25">
      <c r="A2828" s="75">
        <v>25174104</v>
      </c>
      <c r="B2828" s="76" t="s">
        <v>11034</v>
      </c>
    </row>
    <row r="2829" spans="1:2" x14ac:dyDescent="0.25">
      <c r="A2829" s="75">
        <v>25174105</v>
      </c>
      <c r="B2829" s="76" t="s">
        <v>19211</v>
      </c>
    </row>
    <row r="2830" spans="1:2" x14ac:dyDescent="0.25">
      <c r="A2830" s="75">
        <v>25174106</v>
      </c>
      <c r="B2830" s="76" t="s">
        <v>16601</v>
      </c>
    </row>
    <row r="2831" spans="1:2" x14ac:dyDescent="0.25">
      <c r="A2831" s="75">
        <v>25174107</v>
      </c>
      <c r="B2831" s="76" t="s">
        <v>14501</v>
      </c>
    </row>
    <row r="2832" spans="1:2" x14ac:dyDescent="0.25">
      <c r="A2832" s="75">
        <v>25174201</v>
      </c>
      <c r="B2832" s="76" t="s">
        <v>17028</v>
      </c>
    </row>
    <row r="2833" spans="1:2" x14ac:dyDescent="0.25">
      <c r="A2833" s="75">
        <v>25174202</v>
      </c>
      <c r="B2833" s="76" t="s">
        <v>19232</v>
      </c>
    </row>
    <row r="2834" spans="1:2" x14ac:dyDescent="0.25">
      <c r="A2834" s="75">
        <v>25174203</v>
      </c>
      <c r="B2834" s="76" t="s">
        <v>14608</v>
      </c>
    </row>
    <row r="2835" spans="1:2" x14ac:dyDescent="0.25">
      <c r="A2835" s="75">
        <v>25174204</v>
      </c>
      <c r="B2835" s="76" t="s">
        <v>6154</v>
      </c>
    </row>
    <row r="2836" spans="1:2" x14ac:dyDescent="0.25">
      <c r="A2836" s="75">
        <v>25174205</v>
      </c>
      <c r="B2836" s="76" t="s">
        <v>10203</v>
      </c>
    </row>
    <row r="2837" spans="1:2" x14ac:dyDescent="0.25">
      <c r="A2837" s="75">
        <v>25174206</v>
      </c>
      <c r="B2837" s="76" t="s">
        <v>3112</v>
      </c>
    </row>
    <row r="2838" spans="1:2" x14ac:dyDescent="0.25">
      <c r="A2838" s="75">
        <v>25174207</v>
      </c>
      <c r="B2838" s="76" t="s">
        <v>15136</v>
      </c>
    </row>
    <row r="2839" spans="1:2" x14ac:dyDescent="0.25">
      <c r="A2839" s="75">
        <v>25174208</v>
      </c>
      <c r="B2839" s="76" t="s">
        <v>14920</v>
      </c>
    </row>
    <row r="2840" spans="1:2" x14ac:dyDescent="0.25">
      <c r="A2840" s="75">
        <v>25174209</v>
      </c>
      <c r="B2840" s="76" t="s">
        <v>3075</v>
      </c>
    </row>
    <row r="2841" spans="1:2" x14ac:dyDescent="0.25">
      <c r="A2841" s="75">
        <v>25174210</v>
      </c>
      <c r="B2841" s="76" t="s">
        <v>15976</v>
      </c>
    </row>
    <row r="2842" spans="1:2" x14ac:dyDescent="0.25">
      <c r="A2842" s="75">
        <v>25174211</v>
      </c>
      <c r="B2842" s="76" t="s">
        <v>11243</v>
      </c>
    </row>
    <row r="2843" spans="1:2" x14ac:dyDescent="0.25">
      <c r="A2843" s="75">
        <v>25174212</v>
      </c>
      <c r="B2843" s="76" t="s">
        <v>7741</v>
      </c>
    </row>
    <row r="2844" spans="1:2" x14ac:dyDescent="0.25">
      <c r="A2844" s="75">
        <v>25174213</v>
      </c>
      <c r="B2844" s="76" t="s">
        <v>8073</v>
      </c>
    </row>
    <row r="2845" spans="1:2" x14ac:dyDescent="0.25">
      <c r="A2845" s="75">
        <v>25174401</v>
      </c>
      <c r="B2845" s="76" t="s">
        <v>10925</v>
      </c>
    </row>
    <row r="2846" spans="1:2" x14ac:dyDescent="0.25">
      <c r="A2846" s="75">
        <v>25174402</v>
      </c>
      <c r="B2846" s="76" t="s">
        <v>7391</v>
      </c>
    </row>
    <row r="2847" spans="1:2" x14ac:dyDescent="0.25">
      <c r="A2847" s="75">
        <v>25174403</v>
      </c>
      <c r="B2847" s="76" t="s">
        <v>5999</v>
      </c>
    </row>
    <row r="2848" spans="1:2" x14ac:dyDescent="0.25">
      <c r="A2848" s="75">
        <v>25174404</v>
      </c>
      <c r="B2848" s="76" t="s">
        <v>427</v>
      </c>
    </row>
    <row r="2849" spans="1:2" x14ac:dyDescent="0.25">
      <c r="A2849" s="75">
        <v>25174405</v>
      </c>
      <c r="B2849" s="76" t="s">
        <v>9868</v>
      </c>
    </row>
    <row r="2850" spans="1:2" x14ac:dyDescent="0.25">
      <c r="A2850" s="75">
        <v>25174406</v>
      </c>
      <c r="B2850" s="76" t="s">
        <v>3796</v>
      </c>
    </row>
    <row r="2851" spans="1:2" x14ac:dyDescent="0.25">
      <c r="A2851" s="75">
        <v>25174407</v>
      </c>
      <c r="B2851" s="76" t="s">
        <v>2864</v>
      </c>
    </row>
    <row r="2852" spans="1:2" x14ac:dyDescent="0.25">
      <c r="A2852" s="75">
        <v>25174408</v>
      </c>
      <c r="B2852" s="76" t="s">
        <v>3372</v>
      </c>
    </row>
    <row r="2853" spans="1:2" x14ac:dyDescent="0.25">
      <c r="A2853" s="75">
        <v>25174409</v>
      </c>
      <c r="B2853" s="76" t="s">
        <v>12818</v>
      </c>
    </row>
    <row r="2854" spans="1:2" x14ac:dyDescent="0.25">
      <c r="A2854" s="75">
        <v>25174410</v>
      </c>
      <c r="B2854" s="76" t="s">
        <v>3071</v>
      </c>
    </row>
    <row r="2855" spans="1:2" x14ac:dyDescent="0.25">
      <c r="A2855" s="75">
        <v>25174601</v>
      </c>
      <c r="B2855" s="76" t="s">
        <v>19631</v>
      </c>
    </row>
    <row r="2856" spans="1:2" x14ac:dyDescent="0.25">
      <c r="A2856" s="75">
        <v>25174602</v>
      </c>
      <c r="B2856" s="76" t="s">
        <v>16651</v>
      </c>
    </row>
    <row r="2857" spans="1:2" x14ac:dyDescent="0.25">
      <c r="A2857" s="75">
        <v>25174603</v>
      </c>
      <c r="B2857" s="76" t="s">
        <v>7709</v>
      </c>
    </row>
    <row r="2858" spans="1:2" x14ac:dyDescent="0.25">
      <c r="A2858" s="75">
        <v>25174701</v>
      </c>
      <c r="B2858" s="76" t="s">
        <v>8832</v>
      </c>
    </row>
    <row r="2859" spans="1:2" x14ac:dyDescent="0.25">
      <c r="A2859" s="75">
        <v>25181601</v>
      </c>
      <c r="B2859" s="76" t="s">
        <v>8682</v>
      </c>
    </row>
    <row r="2860" spans="1:2" x14ac:dyDescent="0.25">
      <c r="A2860" s="75">
        <v>25181602</v>
      </c>
      <c r="B2860" s="76" t="s">
        <v>15555</v>
      </c>
    </row>
    <row r="2861" spans="1:2" x14ac:dyDescent="0.25">
      <c r="A2861" s="75">
        <v>25181603</v>
      </c>
      <c r="B2861" s="76" t="s">
        <v>14457</v>
      </c>
    </row>
    <row r="2862" spans="1:2" x14ac:dyDescent="0.25">
      <c r="A2862" s="75">
        <v>25181701</v>
      </c>
      <c r="B2862" s="76" t="s">
        <v>9890</v>
      </c>
    </row>
    <row r="2863" spans="1:2" x14ac:dyDescent="0.25">
      <c r="A2863" s="75">
        <v>25181702</v>
      </c>
      <c r="B2863" s="76" t="s">
        <v>6879</v>
      </c>
    </row>
    <row r="2864" spans="1:2" x14ac:dyDescent="0.25">
      <c r="A2864" s="75">
        <v>25181703</v>
      </c>
      <c r="B2864" s="76" t="s">
        <v>1113</v>
      </c>
    </row>
    <row r="2865" spans="1:2" x14ac:dyDescent="0.25">
      <c r="A2865" s="75">
        <v>25181704</v>
      </c>
      <c r="B2865" s="76" t="s">
        <v>3936</v>
      </c>
    </row>
    <row r="2866" spans="1:2" x14ac:dyDescent="0.25">
      <c r="A2866" s="75">
        <v>25181705</v>
      </c>
      <c r="B2866" s="76" t="s">
        <v>9913</v>
      </c>
    </row>
    <row r="2867" spans="1:2" x14ac:dyDescent="0.25">
      <c r="A2867" s="75">
        <v>25181706</v>
      </c>
      <c r="B2867" s="76" t="s">
        <v>15957</v>
      </c>
    </row>
    <row r="2868" spans="1:2" x14ac:dyDescent="0.25">
      <c r="A2868" s="75">
        <v>25181707</v>
      </c>
      <c r="B2868" s="76" t="s">
        <v>10174</v>
      </c>
    </row>
    <row r="2869" spans="1:2" x14ac:dyDescent="0.25">
      <c r="A2869" s="75">
        <v>25181708</v>
      </c>
      <c r="B2869" s="76" t="s">
        <v>1255</v>
      </c>
    </row>
    <row r="2870" spans="1:2" x14ac:dyDescent="0.25">
      <c r="A2870" s="75">
        <v>25181709</v>
      </c>
      <c r="B2870" s="76" t="s">
        <v>13046</v>
      </c>
    </row>
    <row r="2871" spans="1:2" x14ac:dyDescent="0.25">
      <c r="A2871" s="75">
        <v>25181710</v>
      </c>
      <c r="B2871" s="76" t="s">
        <v>11713</v>
      </c>
    </row>
    <row r="2872" spans="1:2" x14ac:dyDescent="0.25">
      <c r="A2872" s="75">
        <v>25181711</v>
      </c>
      <c r="B2872" s="76" t="s">
        <v>7251</v>
      </c>
    </row>
    <row r="2873" spans="1:2" x14ac:dyDescent="0.25">
      <c r="A2873" s="75">
        <v>25181712</v>
      </c>
      <c r="B2873" s="76" t="s">
        <v>2051</v>
      </c>
    </row>
    <row r="2874" spans="1:2" x14ac:dyDescent="0.25">
      <c r="A2874" s="75">
        <v>25181713</v>
      </c>
      <c r="B2874" s="76" t="s">
        <v>13592</v>
      </c>
    </row>
    <row r="2875" spans="1:2" x14ac:dyDescent="0.25">
      <c r="A2875" s="75">
        <v>25191501</v>
      </c>
      <c r="B2875" s="76" t="s">
        <v>2467</v>
      </c>
    </row>
    <row r="2876" spans="1:2" x14ac:dyDescent="0.25">
      <c r="A2876" s="75">
        <v>25191502</v>
      </c>
      <c r="B2876" s="76" t="s">
        <v>12612</v>
      </c>
    </row>
    <row r="2877" spans="1:2" x14ac:dyDescent="0.25">
      <c r="A2877" s="75">
        <v>25191503</v>
      </c>
      <c r="B2877" s="76" t="s">
        <v>16813</v>
      </c>
    </row>
    <row r="2878" spans="1:2" x14ac:dyDescent="0.25">
      <c r="A2878" s="75">
        <v>25191504</v>
      </c>
      <c r="B2878" s="76" t="s">
        <v>9884</v>
      </c>
    </row>
    <row r="2879" spans="1:2" x14ac:dyDescent="0.25">
      <c r="A2879" s="75">
        <v>25191505</v>
      </c>
      <c r="B2879" s="76" t="s">
        <v>371</v>
      </c>
    </row>
    <row r="2880" spans="1:2" x14ac:dyDescent="0.25">
      <c r="A2880" s="75">
        <v>25191506</v>
      </c>
      <c r="B2880" s="76" t="s">
        <v>17133</v>
      </c>
    </row>
    <row r="2881" spans="1:2" x14ac:dyDescent="0.25">
      <c r="A2881" s="75">
        <v>25191507</v>
      </c>
      <c r="B2881" s="76" t="s">
        <v>18150</v>
      </c>
    </row>
    <row r="2882" spans="1:2" x14ac:dyDescent="0.25">
      <c r="A2882" s="75">
        <v>25191508</v>
      </c>
      <c r="B2882" s="76" t="s">
        <v>11382</v>
      </c>
    </row>
    <row r="2883" spans="1:2" x14ac:dyDescent="0.25">
      <c r="A2883" s="75">
        <v>25191509</v>
      </c>
      <c r="B2883" s="76" t="s">
        <v>11272</v>
      </c>
    </row>
    <row r="2884" spans="1:2" x14ac:dyDescent="0.25">
      <c r="A2884" s="75">
        <v>25191510</v>
      </c>
      <c r="B2884" s="76" t="s">
        <v>7378</v>
      </c>
    </row>
    <row r="2885" spans="1:2" x14ac:dyDescent="0.25">
      <c r="A2885" s="75">
        <v>25191511</v>
      </c>
      <c r="B2885" s="76" t="s">
        <v>6530</v>
      </c>
    </row>
    <row r="2886" spans="1:2" x14ac:dyDescent="0.25">
      <c r="A2886" s="75">
        <v>25191512</v>
      </c>
      <c r="B2886" s="76" t="s">
        <v>3135</v>
      </c>
    </row>
    <row r="2887" spans="1:2" x14ac:dyDescent="0.25">
      <c r="A2887" s="75">
        <v>25191513</v>
      </c>
      <c r="B2887" s="76" t="s">
        <v>6002</v>
      </c>
    </row>
    <row r="2888" spans="1:2" x14ac:dyDescent="0.25">
      <c r="A2888" s="75">
        <v>25191514</v>
      </c>
      <c r="B2888" s="76" t="s">
        <v>11449</v>
      </c>
    </row>
    <row r="2889" spans="1:2" x14ac:dyDescent="0.25">
      <c r="A2889" s="75">
        <v>25191601</v>
      </c>
      <c r="B2889" s="76" t="s">
        <v>4665</v>
      </c>
    </row>
    <row r="2890" spans="1:2" x14ac:dyDescent="0.25">
      <c r="A2890" s="75">
        <v>25191602</v>
      </c>
      <c r="B2890" s="76" t="s">
        <v>13678</v>
      </c>
    </row>
    <row r="2891" spans="1:2" x14ac:dyDescent="0.25">
      <c r="A2891" s="75">
        <v>25191603</v>
      </c>
      <c r="B2891" s="76" t="s">
        <v>11541</v>
      </c>
    </row>
    <row r="2892" spans="1:2" x14ac:dyDescent="0.25">
      <c r="A2892" s="75">
        <v>25191604</v>
      </c>
      <c r="B2892" s="76" t="s">
        <v>4082</v>
      </c>
    </row>
    <row r="2893" spans="1:2" x14ac:dyDescent="0.25">
      <c r="A2893" s="75">
        <v>25191605</v>
      </c>
      <c r="B2893" s="76" t="s">
        <v>387</v>
      </c>
    </row>
    <row r="2894" spans="1:2" x14ac:dyDescent="0.25">
      <c r="A2894" s="75">
        <v>25191701</v>
      </c>
      <c r="B2894" s="76" t="s">
        <v>14503</v>
      </c>
    </row>
    <row r="2895" spans="1:2" x14ac:dyDescent="0.25">
      <c r="A2895" s="75">
        <v>25191702</v>
      </c>
      <c r="B2895" s="76" t="s">
        <v>4455</v>
      </c>
    </row>
    <row r="2896" spans="1:2" x14ac:dyDescent="0.25">
      <c r="A2896" s="75">
        <v>25191703</v>
      </c>
      <c r="B2896" s="76" t="s">
        <v>10874</v>
      </c>
    </row>
    <row r="2897" spans="1:2" x14ac:dyDescent="0.25">
      <c r="A2897" s="75">
        <v>25191704</v>
      </c>
      <c r="B2897" s="76" t="s">
        <v>17131</v>
      </c>
    </row>
    <row r="2898" spans="1:2" x14ac:dyDescent="0.25">
      <c r="A2898" s="75">
        <v>25201501</v>
      </c>
      <c r="B2898" s="76" t="s">
        <v>6539</v>
      </c>
    </row>
    <row r="2899" spans="1:2" x14ac:dyDescent="0.25">
      <c r="A2899" s="75">
        <v>25201502</v>
      </c>
      <c r="B2899" s="76" t="s">
        <v>8169</v>
      </c>
    </row>
    <row r="2900" spans="1:2" x14ac:dyDescent="0.25">
      <c r="A2900" s="75">
        <v>25201503</v>
      </c>
      <c r="B2900" s="76" t="s">
        <v>13122</v>
      </c>
    </row>
    <row r="2901" spans="1:2" x14ac:dyDescent="0.25">
      <c r="A2901" s="75">
        <v>25201504</v>
      </c>
      <c r="B2901" s="76" t="s">
        <v>6811</v>
      </c>
    </row>
    <row r="2902" spans="1:2" x14ac:dyDescent="0.25">
      <c r="A2902" s="75">
        <v>25201505</v>
      </c>
      <c r="B2902" s="76" t="s">
        <v>2204</v>
      </c>
    </row>
    <row r="2903" spans="1:2" x14ac:dyDescent="0.25">
      <c r="A2903" s="75">
        <v>25201506</v>
      </c>
      <c r="B2903" s="76" t="s">
        <v>19707</v>
      </c>
    </row>
    <row r="2904" spans="1:2" x14ac:dyDescent="0.25">
      <c r="A2904" s="75">
        <v>25201507</v>
      </c>
      <c r="B2904" s="76" t="s">
        <v>14109</v>
      </c>
    </row>
    <row r="2905" spans="1:2" x14ac:dyDescent="0.25">
      <c r="A2905" s="75">
        <v>25201508</v>
      </c>
      <c r="B2905" s="76" t="s">
        <v>15119</v>
      </c>
    </row>
    <row r="2906" spans="1:2" x14ac:dyDescent="0.25">
      <c r="A2906" s="75">
        <v>25201509</v>
      </c>
      <c r="B2906" s="76" t="s">
        <v>18538</v>
      </c>
    </row>
    <row r="2907" spans="1:2" x14ac:dyDescent="0.25">
      <c r="A2907" s="75">
        <v>25201510</v>
      </c>
      <c r="B2907" s="76" t="s">
        <v>17640</v>
      </c>
    </row>
    <row r="2908" spans="1:2" x14ac:dyDescent="0.25">
      <c r="A2908" s="75">
        <v>25201511</v>
      </c>
      <c r="B2908" s="76" t="s">
        <v>14098</v>
      </c>
    </row>
    <row r="2909" spans="1:2" x14ac:dyDescent="0.25">
      <c r="A2909" s="75">
        <v>25201512</v>
      </c>
      <c r="B2909" s="76" t="s">
        <v>12330</v>
      </c>
    </row>
    <row r="2910" spans="1:2" x14ac:dyDescent="0.25">
      <c r="A2910" s="75">
        <v>25201513</v>
      </c>
      <c r="B2910" s="76" t="s">
        <v>6294</v>
      </c>
    </row>
    <row r="2911" spans="1:2" x14ac:dyDescent="0.25">
      <c r="A2911" s="75">
        <v>25201514</v>
      </c>
      <c r="B2911" s="76" t="s">
        <v>3890</v>
      </c>
    </row>
    <row r="2912" spans="1:2" x14ac:dyDescent="0.25">
      <c r="A2912" s="75">
        <v>25201515</v>
      </c>
      <c r="B2912" s="76" t="s">
        <v>2454</v>
      </c>
    </row>
    <row r="2913" spans="1:2" x14ac:dyDescent="0.25">
      <c r="A2913" s="75">
        <v>25201516</v>
      </c>
      <c r="B2913" s="76" t="s">
        <v>8905</v>
      </c>
    </row>
    <row r="2914" spans="1:2" x14ac:dyDescent="0.25">
      <c r="A2914" s="75">
        <v>25201517</v>
      </c>
      <c r="B2914" s="76" t="s">
        <v>12114</v>
      </c>
    </row>
    <row r="2915" spans="1:2" x14ac:dyDescent="0.25">
      <c r="A2915" s="75">
        <v>25201518</v>
      </c>
      <c r="B2915" s="76" t="s">
        <v>5663</v>
      </c>
    </row>
    <row r="2916" spans="1:2" x14ac:dyDescent="0.25">
      <c r="A2916" s="75">
        <v>25201519</v>
      </c>
      <c r="B2916" s="76" t="s">
        <v>18988</v>
      </c>
    </row>
    <row r="2917" spans="1:2" x14ac:dyDescent="0.25">
      <c r="A2917" s="75">
        <v>25201520</v>
      </c>
      <c r="B2917" s="76" t="s">
        <v>17184</v>
      </c>
    </row>
    <row r="2918" spans="1:2" x14ac:dyDescent="0.25">
      <c r="A2918" s="75">
        <v>25201601</v>
      </c>
      <c r="B2918" s="76" t="s">
        <v>16338</v>
      </c>
    </row>
    <row r="2919" spans="1:2" x14ac:dyDescent="0.25">
      <c r="A2919" s="75">
        <v>25201602</v>
      </c>
      <c r="B2919" s="76" t="s">
        <v>8931</v>
      </c>
    </row>
    <row r="2920" spans="1:2" x14ac:dyDescent="0.25">
      <c r="A2920" s="75">
        <v>25201603</v>
      </c>
      <c r="B2920" s="76" t="s">
        <v>19734</v>
      </c>
    </row>
    <row r="2921" spans="1:2" x14ac:dyDescent="0.25">
      <c r="A2921" s="75">
        <v>25201604</v>
      </c>
      <c r="B2921" s="76" t="s">
        <v>15121</v>
      </c>
    </row>
    <row r="2922" spans="1:2" x14ac:dyDescent="0.25">
      <c r="A2922" s="75">
        <v>25201605</v>
      </c>
      <c r="B2922" s="76" t="s">
        <v>12181</v>
      </c>
    </row>
    <row r="2923" spans="1:2" x14ac:dyDescent="0.25">
      <c r="A2923" s="75">
        <v>25201606</v>
      </c>
      <c r="B2923" s="76" t="s">
        <v>4541</v>
      </c>
    </row>
    <row r="2924" spans="1:2" x14ac:dyDescent="0.25">
      <c r="A2924" s="75">
        <v>25201701</v>
      </c>
      <c r="B2924" s="76" t="s">
        <v>2661</v>
      </c>
    </row>
    <row r="2925" spans="1:2" x14ac:dyDescent="0.25">
      <c r="A2925" s="75">
        <v>25201702</v>
      </c>
      <c r="B2925" s="76" t="s">
        <v>4470</v>
      </c>
    </row>
    <row r="2926" spans="1:2" x14ac:dyDescent="0.25">
      <c r="A2926" s="75">
        <v>25201703</v>
      </c>
      <c r="B2926" s="76" t="s">
        <v>15662</v>
      </c>
    </row>
    <row r="2927" spans="1:2" x14ac:dyDescent="0.25">
      <c r="A2927" s="75">
        <v>25201704</v>
      </c>
      <c r="B2927" s="76" t="s">
        <v>2143</v>
      </c>
    </row>
    <row r="2928" spans="1:2" x14ac:dyDescent="0.25">
      <c r="A2928" s="75">
        <v>25201705</v>
      </c>
      <c r="B2928" s="76" t="s">
        <v>12785</v>
      </c>
    </row>
    <row r="2929" spans="1:2" x14ac:dyDescent="0.25">
      <c r="A2929" s="75">
        <v>25201706</v>
      </c>
      <c r="B2929" s="76" t="s">
        <v>7254</v>
      </c>
    </row>
    <row r="2930" spans="1:2" x14ac:dyDescent="0.25">
      <c r="A2930" s="75">
        <v>25201707</v>
      </c>
      <c r="B2930" s="76" t="s">
        <v>9247</v>
      </c>
    </row>
    <row r="2931" spans="1:2" x14ac:dyDescent="0.25">
      <c r="A2931" s="75">
        <v>25201708</v>
      </c>
      <c r="B2931" s="76" t="s">
        <v>13483</v>
      </c>
    </row>
    <row r="2932" spans="1:2" x14ac:dyDescent="0.25">
      <c r="A2932" s="75">
        <v>25201709</v>
      </c>
      <c r="B2932" s="76" t="s">
        <v>15649</v>
      </c>
    </row>
    <row r="2933" spans="1:2" x14ac:dyDescent="0.25">
      <c r="A2933" s="75">
        <v>25201710</v>
      </c>
      <c r="B2933" s="76" t="s">
        <v>2066</v>
      </c>
    </row>
    <row r="2934" spans="1:2" x14ac:dyDescent="0.25">
      <c r="A2934" s="75">
        <v>25201801</v>
      </c>
      <c r="B2934" s="76" t="s">
        <v>9157</v>
      </c>
    </row>
    <row r="2935" spans="1:2" x14ac:dyDescent="0.25">
      <c r="A2935" s="75">
        <v>25201802</v>
      </c>
      <c r="B2935" s="76" t="s">
        <v>5117</v>
      </c>
    </row>
    <row r="2936" spans="1:2" x14ac:dyDescent="0.25">
      <c r="A2936" s="75">
        <v>25201901</v>
      </c>
      <c r="B2936" s="76" t="s">
        <v>11227</v>
      </c>
    </row>
    <row r="2937" spans="1:2" x14ac:dyDescent="0.25">
      <c r="A2937" s="75">
        <v>25201902</v>
      </c>
      <c r="B2937" s="76" t="s">
        <v>4291</v>
      </c>
    </row>
    <row r="2938" spans="1:2" x14ac:dyDescent="0.25">
      <c r="A2938" s="75">
        <v>25201903</v>
      </c>
      <c r="B2938" s="76" t="s">
        <v>854</v>
      </c>
    </row>
    <row r="2939" spans="1:2" x14ac:dyDescent="0.25">
      <c r="A2939" s="75">
        <v>25201904</v>
      </c>
      <c r="B2939" s="76" t="s">
        <v>10541</v>
      </c>
    </row>
    <row r="2940" spans="1:2" x14ac:dyDescent="0.25">
      <c r="A2940" s="75">
        <v>25202001</v>
      </c>
      <c r="B2940" s="76" t="s">
        <v>9886</v>
      </c>
    </row>
    <row r="2941" spans="1:2" x14ac:dyDescent="0.25">
      <c r="A2941" s="75">
        <v>25202002</v>
      </c>
      <c r="B2941" s="76" t="s">
        <v>649</v>
      </c>
    </row>
    <row r="2942" spans="1:2" x14ac:dyDescent="0.25">
      <c r="A2942" s="75">
        <v>25202003</v>
      </c>
      <c r="B2942" s="76" t="s">
        <v>2158</v>
      </c>
    </row>
    <row r="2943" spans="1:2" x14ac:dyDescent="0.25">
      <c r="A2943" s="75">
        <v>25202004</v>
      </c>
      <c r="B2943" s="76" t="s">
        <v>2433</v>
      </c>
    </row>
    <row r="2944" spans="1:2" x14ac:dyDescent="0.25">
      <c r="A2944" s="75">
        <v>25202101</v>
      </c>
      <c r="B2944" s="76" t="s">
        <v>16472</v>
      </c>
    </row>
    <row r="2945" spans="1:2" x14ac:dyDescent="0.25">
      <c r="A2945" s="75">
        <v>25202102</v>
      </c>
      <c r="B2945" s="76" t="s">
        <v>11052</v>
      </c>
    </row>
    <row r="2946" spans="1:2" x14ac:dyDescent="0.25">
      <c r="A2946" s="75">
        <v>25202103</v>
      </c>
      <c r="B2946" s="76" t="s">
        <v>16586</v>
      </c>
    </row>
    <row r="2947" spans="1:2" x14ac:dyDescent="0.25">
      <c r="A2947" s="75">
        <v>25202104</v>
      </c>
      <c r="B2947" s="76" t="s">
        <v>10679</v>
      </c>
    </row>
    <row r="2948" spans="1:2" x14ac:dyDescent="0.25">
      <c r="A2948" s="75">
        <v>25202105</v>
      </c>
      <c r="B2948" s="76" t="s">
        <v>17665</v>
      </c>
    </row>
    <row r="2949" spans="1:2" x14ac:dyDescent="0.25">
      <c r="A2949" s="75">
        <v>25202201</v>
      </c>
      <c r="B2949" s="76" t="s">
        <v>12291</v>
      </c>
    </row>
    <row r="2950" spans="1:2" x14ac:dyDescent="0.25">
      <c r="A2950" s="75">
        <v>25202202</v>
      </c>
      <c r="B2950" s="76" t="s">
        <v>14824</v>
      </c>
    </row>
    <row r="2951" spans="1:2" x14ac:dyDescent="0.25">
      <c r="A2951" s="75">
        <v>25202203</v>
      </c>
      <c r="B2951" s="76" t="s">
        <v>6136</v>
      </c>
    </row>
    <row r="2952" spans="1:2" x14ac:dyDescent="0.25">
      <c r="A2952" s="75">
        <v>25202204</v>
      </c>
      <c r="B2952" s="76" t="s">
        <v>17571</v>
      </c>
    </row>
    <row r="2953" spans="1:2" x14ac:dyDescent="0.25">
      <c r="A2953" s="75">
        <v>25202205</v>
      </c>
      <c r="B2953" s="76" t="s">
        <v>1340</v>
      </c>
    </row>
    <row r="2954" spans="1:2" x14ac:dyDescent="0.25">
      <c r="A2954" s="75">
        <v>25202206</v>
      </c>
      <c r="B2954" s="76" t="s">
        <v>8205</v>
      </c>
    </row>
    <row r="2955" spans="1:2" x14ac:dyDescent="0.25">
      <c r="A2955" s="75">
        <v>25202301</v>
      </c>
      <c r="B2955" s="76" t="s">
        <v>11425</v>
      </c>
    </row>
    <row r="2956" spans="1:2" x14ac:dyDescent="0.25">
      <c r="A2956" s="75">
        <v>25202302</v>
      </c>
      <c r="B2956" s="76" t="s">
        <v>3145</v>
      </c>
    </row>
    <row r="2957" spans="1:2" x14ac:dyDescent="0.25">
      <c r="A2957" s="75">
        <v>25202401</v>
      </c>
      <c r="B2957" s="76" t="s">
        <v>17741</v>
      </c>
    </row>
    <row r="2958" spans="1:2" x14ac:dyDescent="0.25">
      <c r="A2958" s="75">
        <v>25202402</v>
      </c>
      <c r="B2958" s="76" t="s">
        <v>7169</v>
      </c>
    </row>
    <row r="2959" spans="1:2" x14ac:dyDescent="0.25">
      <c r="A2959" s="75">
        <v>25202403</v>
      </c>
      <c r="B2959" s="76" t="s">
        <v>3740</v>
      </c>
    </row>
    <row r="2960" spans="1:2" x14ac:dyDescent="0.25">
      <c r="A2960" s="75">
        <v>25202404</v>
      </c>
      <c r="B2960" s="76" t="s">
        <v>17799</v>
      </c>
    </row>
    <row r="2961" spans="1:2" x14ac:dyDescent="0.25">
      <c r="A2961" s="75">
        <v>25202405</v>
      </c>
      <c r="B2961" s="76" t="s">
        <v>10128</v>
      </c>
    </row>
    <row r="2962" spans="1:2" x14ac:dyDescent="0.25">
      <c r="A2962" s="75">
        <v>25202406</v>
      </c>
      <c r="B2962" s="76" t="s">
        <v>14892</v>
      </c>
    </row>
    <row r="2963" spans="1:2" x14ac:dyDescent="0.25">
      <c r="A2963" s="75">
        <v>25202501</v>
      </c>
      <c r="B2963" s="76" t="s">
        <v>308</v>
      </c>
    </row>
    <row r="2964" spans="1:2" x14ac:dyDescent="0.25">
      <c r="A2964" s="75">
        <v>25202502</v>
      </c>
      <c r="B2964" s="76" t="s">
        <v>11356</v>
      </c>
    </row>
    <row r="2965" spans="1:2" x14ac:dyDescent="0.25">
      <c r="A2965" s="75">
        <v>25202503</v>
      </c>
      <c r="B2965" s="76" t="s">
        <v>15947</v>
      </c>
    </row>
    <row r="2966" spans="1:2" x14ac:dyDescent="0.25">
      <c r="A2966" s="75">
        <v>25202504</v>
      </c>
      <c r="B2966" s="76" t="s">
        <v>162</v>
      </c>
    </row>
    <row r="2967" spans="1:2" x14ac:dyDescent="0.25">
      <c r="A2967" s="75">
        <v>25202505</v>
      </c>
      <c r="B2967" s="76" t="s">
        <v>17505</v>
      </c>
    </row>
    <row r="2968" spans="1:2" x14ac:dyDescent="0.25">
      <c r="A2968" s="75">
        <v>25202506</v>
      </c>
      <c r="B2968" s="76" t="s">
        <v>613</v>
      </c>
    </row>
    <row r="2969" spans="1:2" x14ac:dyDescent="0.25">
      <c r="A2969" s="75">
        <v>25202507</v>
      </c>
      <c r="B2969" s="76" t="s">
        <v>9652</v>
      </c>
    </row>
    <row r="2970" spans="1:2" x14ac:dyDescent="0.25">
      <c r="A2970" s="75">
        <v>25202508</v>
      </c>
      <c r="B2970" s="76" t="s">
        <v>8225</v>
      </c>
    </row>
    <row r="2971" spans="1:2" x14ac:dyDescent="0.25">
      <c r="A2971" s="75">
        <v>25202509</v>
      </c>
      <c r="B2971" s="76" t="s">
        <v>3537</v>
      </c>
    </row>
    <row r="2972" spans="1:2" x14ac:dyDescent="0.25">
      <c r="A2972" s="75">
        <v>25202510</v>
      </c>
      <c r="B2972" s="76" t="s">
        <v>2461</v>
      </c>
    </row>
    <row r="2973" spans="1:2" x14ac:dyDescent="0.25">
      <c r="A2973" s="75">
        <v>25202601</v>
      </c>
      <c r="B2973" s="76" t="s">
        <v>6943</v>
      </c>
    </row>
    <row r="2974" spans="1:2" x14ac:dyDescent="0.25">
      <c r="A2974" s="75">
        <v>25202602</v>
      </c>
      <c r="B2974" s="76" t="s">
        <v>1261</v>
      </c>
    </row>
    <row r="2975" spans="1:2" x14ac:dyDescent="0.25">
      <c r="A2975" s="75">
        <v>25202603</v>
      </c>
      <c r="B2975" s="76" t="s">
        <v>3086</v>
      </c>
    </row>
    <row r="2976" spans="1:2" x14ac:dyDescent="0.25">
      <c r="A2976" s="75">
        <v>25202604</v>
      </c>
      <c r="B2976" s="76" t="s">
        <v>7534</v>
      </c>
    </row>
    <row r="2977" spans="1:2" x14ac:dyDescent="0.25">
      <c r="A2977" s="75">
        <v>25202605</v>
      </c>
      <c r="B2977" s="76" t="s">
        <v>5773</v>
      </c>
    </row>
    <row r="2978" spans="1:2" x14ac:dyDescent="0.25">
      <c r="A2978" s="75">
        <v>25202606</v>
      </c>
      <c r="B2978" s="76" t="s">
        <v>4602</v>
      </c>
    </row>
    <row r="2979" spans="1:2" x14ac:dyDescent="0.25">
      <c r="A2979" s="75">
        <v>25202607</v>
      </c>
      <c r="B2979" s="76" t="s">
        <v>16181</v>
      </c>
    </row>
    <row r="2980" spans="1:2" x14ac:dyDescent="0.25">
      <c r="A2980" s="75">
        <v>25202701</v>
      </c>
      <c r="B2980" s="76" t="s">
        <v>17497</v>
      </c>
    </row>
    <row r="2981" spans="1:2" x14ac:dyDescent="0.25">
      <c r="A2981" s="75">
        <v>25202702</v>
      </c>
      <c r="B2981" s="76" t="s">
        <v>4295</v>
      </c>
    </row>
    <row r="2982" spans="1:2" x14ac:dyDescent="0.25">
      <c r="A2982" s="75">
        <v>26101501</v>
      </c>
      <c r="B2982" s="76" t="s">
        <v>11814</v>
      </c>
    </row>
    <row r="2983" spans="1:2" x14ac:dyDescent="0.25">
      <c r="A2983" s="75">
        <v>26101502</v>
      </c>
      <c r="B2983" s="76" t="s">
        <v>1568</v>
      </c>
    </row>
    <row r="2984" spans="1:2" x14ac:dyDescent="0.25">
      <c r="A2984" s="75">
        <v>26101503</v>
      </c>
      <c r="B2984" s="76" t="s">
        <v>12171</v>
      </c>
    </row>
    <row r="2985" spans="1:2" x14ac:dyDescent="0.25">
      <c r="A2985" s="75">
        <v>26101504</v>
      </c>
      <c r="B2985" s="76" t="s">
        <v>9908</v>
      </c>
    </row>
    <row r="2986" spans="1:2" x14ac:dyDescent="0.25">
      <c r="A2986" s="75">
        <v>26101505</v>
      </c>
      <c r="B2986" s="76" t="s">
        <v>3908</v>
      </c>
    </row>
    <row r="2987" spans="1:2" x14ac:dyDescent="0.25">
      <c r="A2987" s="75">
        <v>26101506</v>
      </c>
      <c r="B2987" s="76" t="s">
        <v>1672</v>
      </c>
    </row>
    <row r="2988" spans="1:2" x14ac:dyDescent="0.25">
      <c r="A2988" s="75">
        <v>26101507</v>
      </c>
      <c r="B2988" s="76" t="s">
        <v>12354</v>
      </c>
    </row>
    <row r="2989" spans="1:2" x14ac:dyDescent="0.25">
      <c r="A2989" s="75">
        <v>26101508</v>
      </c>
      <c r="B2989" s="76" t="s">
        <v>5853</v>
      </c>
    </row>
    <row r="2990" spans="1:2" x14ac:dyDescent="0.25">
      <c r="A2990" s="75">
        <v>26101509</v>
      </c>
      <c r="B2990" s="76" t="s">
        <v>5522</v>
      </c>
    </row>
    <row r="2991" spans="1:2" x14ac:dyDescent="0.25">
      <c r="A2991" s="75">
        <v>26101510</v>
      </c>
      <c r="B2991" s="76" t="s">
        <v>19512</v>
      </c>
    </row>
    <row r="2992" spans="1:2" x14ac:dyDescent="0.25">
      <c r="A2992" s="75">
        <v>26101511</v>
      </c>
      <c r="B2992" s="76" t="s">
        <v>18657</v>
      </c>
    </row>
    <row r="2993" spans="1:2" x14ac:dyDescent="0.25">
      <c r="A2993" s="75">
        <v>26101512</v>
      </c>
      <c r="B2993" s="76" t="s">
        <v>8099</v>
      </c>
    </row>
    <row r="2994" spans="1:2" x14ac:dyDescent="0.25">
      <c r="A2994" s="75">
        <v>26101513</v>
      </c>
      <c r="B2994" s="76" t="s">
        <v>4230</v>
      </c>
    </row>
    <row r="2995" spans="1:2" x14ac:dyDescent="0.25">
      <c r="A2995" s="75">
        <v>26101601</v>
      </c>
      <c r="B2995" s="76" t="s">
        <v>7382</v>
      </c>
    </row>
    <row r="2996" spans="1:2" x14ac:dyDescent="0.25">
      <c r="A2996" s="75">
        <v>26101602</v>
      </c>
      <c r="B2996" s="76" t="s">
        <v>376</v>
      </c>
    </row>
    <row r="2997" spans="1:2" x14ac:dyDescent="0.25">
      <c r="A2997" s="75">
        <v>26101603</v>
      </c>
      <c r="B2997" s="76" t="s">
        <v>16083</v>
      </c>
    </row>
    <row r="2998" spans="1:2" x14ac:dyDescent="0.25">
      <c r="A2998" s="75">
        <v>26101604</v>
      </c>
      <c r="B2998" s="76" t="s">
        <v>16244</v>
      </c>
    </row>
    <row r="2999" spans="1:2" x14ac:dyDescent="0.25">
      <c r="A2999" s="75">
        <v>26101605</v>
      </c>
      <c r="B2999" s="76" t="s">
        <v>17414</v>
      </c>
    </row>
    <row r="3000" spans="1:2" x14ac:dyDescent="0.25">
      <c r="A3000" s="75">
        <v>26101606</v>
      </c>
      <c r="B3000" s="76" t="s">
        <v>17650</v>
      </c>
    </row>
    <row r="3001" spans="1:2" x14ac:dyDescent="0.25">
      <c r="A3001" s="75">
        <v>26101607</v>
      </c>
      <c r="B3001" s="76" t="s">
        <v>2213</v>
      </c>
    </row>
    <row r="3002" spans="1:2" x14ac:dyDescent="0.25">
      <c r="A3002" s="75">
        <v>26101608</v>
      </c>
      <c r="B3002" s="76" t="s">
        <v>12004</v>
      </c>
    </row>
    <row r="3003" spans="1:2" x14ac:dyDescent="0.25">
      <c r="A3003" s="75">
        <v>26101609</v>
      </c>
      <c r="B3003" s="76" t="s">
        <v>16441</v>
      </c>
    </row>
    <row r="3004" spans="1:2" x14ac:dyDescent="0.25">
      <c r="A3004" s="75">
        <v>26101610</v>
      </c>
      <c r="B3004" s="76" t="s">
        <v>12966</v>
      </c>
    </row>
    <row r="3005" spans="1:2" x14ac:dyDescent="0.25">
      <c r="A3005" s="75">
        <v>26101611</v>
      </c>
      <c r="B3005" s="76" t="s">
        <v>19332</v>
      </c>
    </row>
    <row r="3006" spans="1:2" x14ac:dyDescent="0.25">
      <c r="A3006" s="75">
        <v>26101612</v>
      </c>
      <c r="B3006" s="76" t="s">
        <v>7181</v>
      </c>
    </row>
    <row r="3007" spans="1:2" x14ac:dyDescent="0.25">
      <c r="A3007" s="75">
        <v>26101613</v>
      </c>
      <c r="B3007" s="76" t="s">
        <v>11814</v>
      </c>
    </row>
    <row r="3008" spans="1:2" x14ac:dyDescent="0.25">
      <c r="A3008" s="75">
        <v>26101614</v>
      </c>
      <c r="B3008" s="76" t="s">
        <v>13561</v>
      </c>
    </row>
    <row r="3009" spans="1:2" x14ac:dyDescent="0.25">
      <c r="A3009" s="75">
        <v>26101615</v>
      </c>
      <c r="B3009" s="76" t="s">
        <v>592</v>
      </c>
    </row>
    <row r="3010" spans="1:2" x14ac:dyDescent="0.25">
      <c r="A3010" s="75">
        <v>26101616</v>
      </c>
      <c r="B3010" s="76" t="s">
        <v>19923</v>
      </c>
    </row>
    <row r="3011" spans="1:2" x14ac:dyDescent="0.25">
      <c r="A3011" s="75">
        <v>26101701</v>
      </c>
      <c r="B3011" s="76" t="s">
        <v>16297</v>
      </c>
    </row>
    <row r="3012" spans="1:2" x14ac:dyDescent="0.25">
      <c r="A3012" s="75">
        <v>26101702</v>
      </c>
      <c r="B3012" s="76" t="s">
        <v>10123</v>
      </c>
    </row>
    <row r="3013" spans="1:2" x14ac:dyDescent="0.25">
      <c r="A3013" s="75">
        <v>26101703</v>
      </c>
      <c r="B3013" s="76" t="s">
        <v>14160</v>
      </c>
    </row>
    <row r="3014" spans="1:2" x14ac:dyDescent="0.25">
      <c r="A3014" s="75">
        <v>26101704</v>
      </c>
      <c r="B3014" s="76" t="s">
        <v>16679</v>
      </c>
    </row>
    <row r="3015" spans="1:2" x14ac:dyDescent="0.25">
      <c r="A3015" s="75">
        <v>26101705</v>
      </c>
      <c r="B3015" s="76" t="s">
        <v>17485</v>
      </c>
    </row>
    <row r="3016" spans="1:2" x14ac:dyDescent="0.25">
      <c r="A3016" s="75">
        <v>26101706</v>
      </c>
      <c r="B3016" s="76" t="s">
        <v>3539</v>
      </c>
    </row>
    <row r="3017" spans="1:2" x14ac:dyDescent="0.25">
      <c r="A3017" s="75">
        <v>26101707</v>
      </c>
      <c r="B3017" s="76" t="s">
        <v>12659</v>
      </c>
    </row>
    <row r="3018" spans="1:2" x14ac:dyDescent="0.25">
      <c r="A3018" s="75">
        <v>26101708</v>
      </c>
      <c r="B3018" s="76" t="s">
        <v>4370</v>
      </c>
    </row>
    <row r="3019" spans="1:2" x14ac:dyDescent="0.25">
      <c r="A3019" s="75">
        <v>26101709</v>
      </c>
      <c r="B3019" s="76" t="s">
        <v>10326</v>
      </c>
    </row>
    <row r="3020" spans="1:2" x14ac:dyDescent="0.25">
      <c r="A3020" s="75">
        <v>26101710</v>
      </c>
      <c r="B3020" s="76" t="s">
        <v>4339</v>
      </c>
    </row>
    <row r="3021" spans="1:2" x14ac:dyDescent="0.25">
      <c r="A3021" s="75">
        <v>26101711</v>
      </c>
      <c r="B3021" s="76" t="s">
        <v>10203</v>
      </c>
    </row>
    <row r="3022" spans="1:2" x14ac:dyDescent="0.25">
      <c r="A3022" s="75">
        <v>26101712</v>
      </c>
      <c r="B3022" s="76" t="s">
        <v>871</v>
      </c>
    </row>
    <row r="3023" spans="1:2" x14ac:dyDescent="0.25">
      <c r="A3023" s="75">
        <v>26101713</v>
      </c>
      <c r="B3023" s="76" t="s">
        <v>1869</v>
      </c>
    </row>
    <row r="3024" spans="1:2" x14ac:dyDescent="0.25">
      <c r="A3024" s="75">
        <v>26101715</v>
      </c>
      <c r="B3024" s="76" t="s">
        <v>78</v>
      </c>
    </row>
    <row r="3025" spans="1:2" x14ac:dyDescent="0.25">
      <c r="A3025" s="75">
        <v>26101716</v>
      </c>
      <c r="B3025" s="76" t="s">
        <v>12540</v>
      </c>
    </row>
    <row r="3026" spans="1:2" x14ac:dyDescent="0.25">
      <c r="A3026" s="75">
        <v>26101717</v>
      </c>
      <c r="B3026" s="76" t="s">
        <v>18993</v>
      </c>
    </row>
    <row r="3027" spans="1:2" x14ac:dyDescent="0.25">
      <c r="A3027" s="75">
        <v>26101718</v>
      </c>
      <c r="B3027" s="76" t="s">
        <v>9980</v>
      </c>
    </row>
    <row r="3028" spans="1:2" x14ac:dyDescent="0.25">
      <c r="A3028" s="75">
        <v>26101719</v>
      </c>
      <c r="B3028" s="76" t="s">
        <v>4756</v>
      </c>
    </row>
    <row r="3029" spans="1:2" x14ac:dyDescent="0.25">
      <c r="A3029" s="75">
        <v>26101720</v>
      </c>
      <c r="B3029" s="76" t="s">
        <v>19698</v>
      </c>
    </row>
    <row r="3030" spans="1:2" x14ac:dyDescent="0.25">
      <c r="A3030" s="75">
        <v>26101721</v>
      </c>
      <c r="B3030" s="76" t="s">
        <v>8533</v>
      </c>
    </row>
    <row r="3031" spans="1:2" x14ac:dyDescent="0.25">
      <c r="A3031" s="75">
        <v>26101723</v>
      </c>
      <c r="B3031" s="76" t="s">
        <v>10040</v>
      </c>
    </row>
    <row r="3032" spans="1:2" x14ac:dyDescent="0.25">
      <c r="A3032" s="75">
        <v>26101724</v>
      </c>
      <c r="B3032" s="76" t="s">
        <v>9732</v>
      </c>
    </row>
    <row r="3033" spans="1:2" x14ac:dyDescent="0.25">
      <c r="A3033" s="75">
        <v>26101725</v>
      </c>
      <c r="B3033" s="76" t="s">
        <v>11210</v>
      </c>
    </row>
    <row r="3034" spans="1:2" x14ac:dyDescent="0.25">
      <c r="A3034" s="75">
        <v>26101726</v>
      </c>
      <c r="B3034" s="76" t="s">
        <v>10057</v>
      </c>
    </row>
    <row r="3035" spans="1:2" x14ac:dyDescent="0.25">
      <c r="A3035" s="75">
        <v>26101727</v>
      </c>
      <c r="B3035" s="76" t="s">
        <v>1135</v>
      </c>
    </row>
    <row r="3036" spans="1:2" x14ac:dyDescent="0.25">
      <c r="A3036" s="75">
        <v>26101728</v>
      </c>
      <c r="B3036" s="76" t="s">
        <v>9378</v>
      </c>
    </row>
    <row r="3037" spans="1:2" x14ac:dyDescent="0.25">
      <c r="A3037" s="75">
        <v>26101729</v>
      </c>
      <c r="B3037" s="76" t="s">
        <v>19893</v>
      </c>
    </row>
    <row r="3038" spans="1:2" x14ac:dyDescent="0.25">
      <c r="A3038" s="75">
        <v>26101730</v>
      </c>
      <c r="B3038" s="76" t="s">
        <v>18576</v>
      </c>
    </row>
    <row r="3039" spans="1:2" x14ac:dyDescent="0.25">
      <c r="A3039" s="75">
        <v>26101731</v>
      </c>
      <c r="B3039" s="76" t="s">
        <v>18111</v>
      </c>
    </row>
    <row r="3040" spans="1:2" x14ac:dyDescent="0.25">
      <c r="A3040" s="75">
        <v>26101732</v>
      </c>
      <c r="B3040" s="76" t="s">
        <v>13106</v>
      </c>
    </row>
    <row r="3041" spans="1:2" x14ac:dyDescent="0.25">
      <c r="A3041" s="75">
        <v>26101733</v>
      </c>
      <c r="B3041" s="76" t="s">
        <v>8053</v>
      </c>
    </row>
    <row r="3042" spans="1:2" x14ac:dyDescent="0.25">
      <c r="A3042" s="75">
        <v>26101734</v>
      </c>
      <c r="B3042" s="76" t="s">
        <v>7436</v>
      </c>
    </row>
    <row r="3043" spans="1:2" x14ac:dyDescent="0.25">
      <c r="A3043" s="75">
        <v>26101735</v>
      </c>
      <c r="B3043" s="76" t="s">
        <v>6366</v>
      </c>
    </row>
    <row r="3044" spans="1:2" x14ac:dyDescent="0.25">
      <c r="A3044" s="75">
        <v>26101736</v>
      </c>
      <c r="B3044" s="76" t="s">
        <v>8413</v>
      </c>
    </row>
    <row r="3045" spans="1:2" x14ac:dyDescent="0.25">
      <c r="A3045" s="75">
        <v>26101737</v>
      </c>
      <c r="B3045" s="76" t="s">
        <v>6397</v>
      </c>
    </row>
    <row r="3046" spans="1:2" x14ac:dyDescent="0.25">
      <c r="A3046" s="75">
        <v>26101738</v>
      </c>
      <c r="B3046" s="76" t="s">
        <v>9791</v>
      </c>
    </row>
    <row r="3047" spans="1:2" x14ac:dyDescent="0.25">
      <c r="A3047" s="75">
        <v>26101740</v>
      </c>
      <c r="B3047" s="76" t="s">
        <v>13089</v>
      </c>
    </row>
    <row r="3048" spans="1:2" x14ac:dyDescent="0.25">
      <c r="A3048" s="75">
        <v>26101741</v>
      </c>
      <c r="B3048" s="76" t="s">
        <v>9231</v>
      </c>
    </row>
    <row r="3049" spans="1:2" x14ac:dyDescent="0.25">
      <c r="A3049" s="75">
        <v>26101742</v>
      </c>
      <c r="B3049" s="76" t="s">
        <v>6815</v>
      </c>
    </row>
    <row r="3050" spans="1:2" x14ac:dyDescent="0.25">
      <c r="A3050" s="75">
        <v>26101743</v>
      </c>
      <c r="B3050" s="76" t="s">
        <v>1879</v>
      </c>
    </row>
    <row r="3051" spans="1:2" x14ac:dyDescent="0.25">
      <c r="A3051" s="75">
        <v>26101747</v>
      </c>
      <c r="B3051" s="76" t="s">
        <v>3199</v>
      </c>
    </row>
    <row r="3052" spans="1:2" x14ac:dyDescent="0.25">
      <c r="A3052" s="75">
        <v>26101748</v>
      </c>
      <c r="B3052" s="76" t="s">
        <v>938</v>
      </c>
    </row>
    <row r="3053" spans="1:2" x14ac:dyDescent="0.25">
      <c r="A3053" s="75">
        <v>26101749</v>
      </c>
      <c r="B3053" s="76" t="s">
        <v>19558</v>
      </c>
    </row>
    <row r="3054" spans="1:2" x14ac:dyDescent="0.25">
      <c r="A3054" s="75">
        <v>26101750</v>
      </c>
      <c r="B3054" s="76" t="s">
        <v>1069</v>
      </c>
    </row>
    <row r="3055" spans="1:2" x14ac:dyDescent="0.25">
      <c r="A3055" s="75">
        <v>26101751</v>
      </c>
      <c r="B3055" s="76" t="s">
        <v>14543</v>
      </c>
    </row>
    <row r="3056" spans="1:2" x14ac:dyDescent="0.25">
      <c r="A3056" s="75">
        <v>26101754</v>
      </c>
      <c r="B3056" s="76" t="s">
        <v>3751</v>
      </c>
    </row>
    <row r="3057" spans="1:2" x14ac:dyDescent="0.25">
      <c r="A3057" s="75">
        <v>26101755</v>
      </c>
      <c r="B3057" s="76" t="s">
        <v>18401</v>
      </c>
    </row>
    <row r="3058" spans="1:2" x14ac:dyDescent="0.25">
      <c r="A3058" s="75">
        <v>26101756</v>
      </c>
      <c r="B3058" s="76" t="s">
        <v>12469</v>
      </c>
    </row>
    <row r="3059" spans="1:2" x14ac:dyDescent="0.25">
      <c r="A3059" s="75">
        <v>26101757</v>
      </c>
      <c r="B3059" s="76" t="s">
        <v>845</v>
      </c>
    </row>
    <row r="3060" spans="1:2" x14ac:dyDescent="0.25">
      <c r="A3060" s="75">
        <v>26101758</v>
      </c>
      <c r="B3060" s="76" t="s">
        <v>6965</v>
      </c>
    </row>
    <row r="3061" spans="1:2" x14ac:dyDescent="0.25">
      <c r="A3061" s="75">
        <v>26101759</v>
      </c>
      <c r="B3061" s="76" t="s">
        <v>18650</v>
      </c>
    </row>
    <row r="3062" spans="1:2" x14ac:dyDescent="0.25">
      <c r="A3062" s="75">
        <v>26101760</v>
      </c>
      <c r="B3062" s="76" t="s">
        <v>796</v>
      </c>
    </row>
    <row r="3063" spans="1:2" x14ac:dyDescent="0.25">
      <c r="A3063" s="75">
        <v>26101761</v>
      </c>
      <c r="B3063" s="76" t="s">
        <v>10776</v>
      </c>
    </row>
    <row r="3064" spans="1:2" x14ac:dyDescent="0.25">
      <c r="A3064" s="75">
        <v>26101762</v>
      </c>
      <c r="B3064" s="76" t="s">
        <v>578</v>
      </c>
    </row>
    <row r="3065" spans="1:2" x14ac:dyDescent="0.25">
      <c r="A3065" s="75">
        <v>26101763</v>
      </c>
      <c r="B3065" s="76" t="s">
        <v>18608</v>
      </c>
    </row>
    <row r="3066" spans="1:2" x14ac:dyDescent="0.25">
      <c r="A3066" s="75">
        <v>26101764</v>
      </c>
      <c r="B3066" s="76" t="s">
        <v>3780</v>
      </c>
    </row>
    <row r="3067" spans="1:2" x14ac:dyDescent="0.25">
      <c r="A3067" s="75">
        <v>26101765</v>
      </c>
      <c r="B3067" s="76" t="s">
        <v>14047</v>
      </c>
    </row>
    <row r="3068" spans="1:2" x14ac:dyDescent="0.25">
      <c r="A3068" s="75">
        <v>26101766</v>
      </c>
      <c r="B3068" s="76" t="s">
        <v>2413</v>
      </c>
    </row>
    <row r="3069" spans="1:2" x14ac:dyDescent="0.25">
      <c r="A3069" s="75">
        <v>26101801</v>
      </c>
      <c r="B3069" s="76" t="s">
        <v>3448</v>
      </c>
    </row>
    <row r="3070" spans="1:2" x14ac:dyDescent="0.25">
      <c r="A3070" s="75">
        <v>26101802</v>
      </c>
      <c r="B3070" s="76" t="s">
        <v>8736</v>
      </c>
    </row>
    <row r="3071" spans="1:2" x14ac:dyDescent="0.25">
      <c r="A3071" s="75">
        <v>26101803</v>
      </c>
      <c r="B3071" s="76" t="s">
        <v>15110</v>
      </c>
    </row>
    <row r="3072" spans="1:2" x14ac:dyDescent="0.25">
      <c r="A3072" s="75">
        <v>26101805</v>
      </c>
      <c r="B3072" s="76" t="s">
        <v>7441</v>
      </c>
    </row>
    <row r="3073" spans="1:2" x14ac:dyDescent="0.25">
      <c r="A3073" s="75">
        <v>26101806</v>
      </c>
      <c r="B3073" s="76" t="s">
        <v>12455</v>
      </c>
    </row>
    <row r="3074" spans="1:2" x14ac:dyDescent="0.25">
      <c r="A3074" s="75">
        <v>26101807</v>
      </c>
      <c r="B3074" s="76" t="s">
        <v>1929</v>
      </c>
    </row>
    <row r="3075" spans="1:2" x14ac:dyDescent="0.25">
      <c r="A3075" s="75">
        <v>26101808</v>
      </c>
      <c r="B3075" s="76" t="s">
        <v>14041</v>
      </c>
    </row>
    <row r="3076" spans="1:2" x14ac:dyDescent="0.25">
      <c r="A3076" s="75">
        <v>26101809</v>
      </c>
      <c r="B3076" s="76" t="s">
        <v>10654</v>
      </c>
    </row>
    <row r="3077" spans="1:2" x14ac:dyDescent="0.25">
      <c r="A3077" s="75">
        <v>26101903</v>
      </c>
      <c r="B3077" s="76" t="s">
        <v>8610</v>
      </c>
    </row>
    <row r="3078" spans="1:2" x14ac:dyDescent="0.25">
      <c r="A3078" s="75">
        <v>26101904</v>
      </c>
      <c r="B3078" s="76" t="s">
        <v>10528</v>
      </c>
    </row>
    <row r="3079" spans="1:2" x14ac:dyDescent="0.25">
      <c r="A3079" s="75">
        <v>26101905</v>
      </c>
      <c r="B3079" s="76" t="s">
        <v>16198</v>
      </c>
    </row>
    <row r="3080" spans="1:2" x14ac:dyDescent="0.25">
      <c r="A3080" s="75">
        <v>26111501</v>
      </c>
      <c r="B3080" s="76" t="s">
        <v>9097</v>
      </c>
    </row>
    <row r="3081" spans="1:2" x14ac:dyDescent="0.25">
      <c r="A3081" s="75">
        <v>26111503</v>
      </c>
      <c r="B3081" s="76" t="s">
        <v>17108</v>
      </c>
    </row>
    <row r="3082" spans="1:2" x14ac:dyDescent="0.25">
      <c r="A3082" s="75">
        <v>26111504</v>
      </c>
      <c r="B3082" s="76" t="s">
        <v>19619</v>
      </c>
    </row>
    <row r="3083" spans="1:2" x14ac:dyDescent="0.25">
      <c r="A3083" s="75">
        <v>26111505</v>
      </c>
      <c r="B3083" s="76" t="s">
        <v>1448</v>
      </c>
    </row>
    <row r="3084" spans="1:2" x14ac:dyDescent="0.25">
      <c r="A3084" s="75">
        <v>26111506</v>
      </c>
      <c r="B3084" s="76" t="s">
        <v>5702</v>
      </c>
    </row>
    <row r="3085" spans="1:2" x14ac:dyDescent="0.25">
      <c r="A3085" s="75">
        <v>26111508</v>
      </c>
      <c r="B3085" s="76" t="s">
        <v>19404</v>
      </c>
    </row>
    <row r="3086" spans="1:2" x14ac:dyDescent="0.25">
      <c r="A3086" s="75">
        <v>26111509</v>
      </c>
      <c r="B3086" s="76" t="s">
        <v>9801</v>
      </c>
    </row>
    <row r="3087" spans="1:2" x14ac:dyDescent="0.25">
      <c r="A3087" s="75">
        <v>26111510</v>
      </c>
      <c r="B3087" s="76" t="s">
        <v>3810</v>
      </c>
    </row>
    <row r="3088" spans="1:2" x14ac:dyDescent="0.25">
      <c r="A3088" s="75">
        <v>26111512</v>
      </c>
      <c r="B3088" s="76" t="s">
        <v>13940</v>
      </c>
    </row>
    <row r="3089" spans="1:2" x14ac:dyDescent="0.25">
      <c r="A3089" s="75">
        <v>26111513</v>
      </c>
      <c r="B3089" s="76" t="s">
        <v>9040</v>
      </c>
    </row>
    <row r="3090" spans="1:2" x14ac:dyDescent="0.25">
      <c r="A3090" s="75">
        <v>26111514</v>
      </c>
      <c r="B3090" s="76" t="s">
        <v>12509</v>
      </c>
    </row>
    <row r="3091" spans="1:2" x14ac:dyDescent="0.25">
      <c r="A3091" s="75">
        <v>26111515</v>
      </c>
      <c r="B3091" s="76" t="s">
        <v>4486</v>
      </c>
    </row>
    <row r="3092" spans="1:2" x14ac:dyDescent="0.25">
      <c r="A3092" s="75">
        <v>26111516</v>
      </c>
      <c r="B3092" s="76" t="s">
        <v>6420</v>
      </c>
    </row>
    <row r="3093" spans="1:2" x14ac:dyDescent="0.25">
      <c r="A3093" s="75">
        <v>26111517</v>
      </c>
      <c r="B3093" s="76" t="s">
        <v>5404</v>
      </c>
    </row>
    <row r="3094" spans="1:2" x14ac:dyDescent="0.25">
      <c r="A3094" s="75">
        <v>26111518</v>
      </c>
      <c r="B3094" s="76" t="s">
        <v>3589</v>
      </c>
    </row>
    <row r="3095" spans="1:2" x14ac:dyDescent="0.25">
      <c r="A3095" s="75">
        <v>26111519</v>
      </c>
      <c r="B3095" s="76" t="s">
        <v>12954</v>
      </c>
    </row>
    <row r="3096" spans="1:2" x14ac:dyDescent="0.25">
      <c r="A3096" s="75">
        <v>26111520</v>
      </c>
      <c r="B3096" s="76" t="s">
        <v>17871</v>
      </c>
    </row>
    <row r="3097" spans="1:2" x14ac:dyDescent="0.25">
      <c r="A3097" s="75">
        <v>26111521</v>
      </c>
      <c r="B3097" s="76" t="s">
        <v>18335</v>
      </c>
    </row>
    <row r="3098" spans="1:2" x14ac:dyDescent="0.25">
      <c r="A3098" s="75">
        <v>26111522</v>
      </c>
      <c r="B3098" s="76" t="s">
        <v>841</v>
      </c>
    </row>
    <row r="3099" spans="1:2" x14ac:dyDescent="0.25">
      <c r="A3099" s="75">
        <v>26111523</v>
      </c>
      <c r="B3099" s="76" t="s">
        <v>5930</v>
      </c>
    </row>
    <row r="3100" spans="1:2" x14ac:dyDescent="0.25">
      <c r="A3100" s="75">
        <v>26111524</v>
      </c>
      <c r="B3100" s="76" t="s">
        <v>8365</v>
      </c>
    </row>
    <row r="3101" spans="1:2" x14ac:dyDescent="0.25">
      <c r="A3101" s="75">
        <v>26111525</v>
      </c>
      <c r="B3101" s="76" t="s">
        <v>18306</v>
      </c>
    </row>
    <row r="3102" spans="1:2" x14ac:dyDescent="0.25">
      <c r="A3102" s="75">
        <v>26111526</v>
      </c>
      <c r="B3102" s="76" t="s">
        <v>2969</v>
      </c>
    </row>
    <row r="3103" spans="1:2" x14ac:dyDescent="0.25">
      <c r="A3103" s="75">
        <v>26111527</v>
      </c>
      <c r="B3103" s="76" t="s">
        <v>7966</v>
      </c>
    </row>
    <row r="3104" spans="1:2" x14ac:dyDescent="0.25">
      <c r="A3104" s="75">
        <v>26111528</v>
      </c>
      <c r="B3104" s="76" t="s">
        <v>12831</v>
      </c>
    </row>
    <row r="3105" spans="1:2" x14ac:dyDescent="0.25">
      <c r="A3105" s="75">
        <v>26111529</v>
      </c>
      <c r="B3105" s="76" t="s">
        <v>11607</v>
      </c>
    </row>
    <row r="3106" spans="1:2" x14ac:dyDescent="0.25">
      <c r="A3106" s="75">
        <v>26111530</v>
      </c>
      <c r="B3106" s="76" t="s">
        <v>6260</v>
      </c>
    </row>
    <row r="3107" spans="1:2" x14ac:dyDescent="0.25">
      <c r="A3107" s="75">
        <v>26111531</v>
      </c>
      <c r="B3107" s="76" t="s">
        <v>14818</v>
      </c>
    </row>
    <row r="3108" spans="1:2" x14ac:dyDescent="0.25">
      <c r="A3108" s="75">
        <v>26111532</v>
      </c>
      <c r="B3108" s="76" t="s">
        <v>8956</v>
      </c>
    </row>
    <row r="3109" spans="1:2" x14ac:dyDescent="0.25">
      <c r="A3109" s="75">
        <v>26111533</v>
      </c>
      <c r="B3109" s="76" t="s">
        <v>6601</v>
      </c>
    </row>
    <row r="3110" spans="1:2" x14ac:dyDescent="0.25">
      <c r="A3110" s="75">
        <v>26111534</v>
      </c>
      <c r="B3110" s="76" t="s">
        <v>13809</v>
      </c>
    </row>
    <row r="3111" spans="1:2" x14ac:dyDescent="0.25">
      <c r="A3111" s="75">
        <v>26111535</v>
      </c>
      <c r="B3111" s="76" t="s">
        <v>2294</v>
      </c>
    </row>
    <row r="3112" spans="1:2" x14ac:dyDescent="0.25">
      <c r="A3112" s="75">
        <v>26111601</v>
      </c>
      <c r="B3112" s="76" t="s">
        <v>11847</v>
      </c>
    </row>
    <row r="3113" spans="1:2" x14ac:dyDescent="0.25">
      <c r="A3113" s="75">
        <v>26111602</v>
      </c>
      <c r="B3113" s="76" t="s">
        <v>18441</v>
      </c>
    </row>
    <row r="3114" spans="1:2" x14ac:dyDescent="0.25">
      <c r="A3114" s="75">
        <v>26111603</v>
      </c>
      <c r="B3114" s="76" t="s">
        <v>7286</v>
      </c>
    </row>
    <row r="3115" spans="1:2" x14ac:dyDescent="0.25">
      <c r="A3115" s="75">
        <v>26111604</v>
      </c>
      <c r="B3115" s="76" t="s">
        <v>1707</v>
      </c>
    </row>
    <row r="3116" spans="1:2" x14ac:dyDescent="0.25">
      <c r="A3116" s="75">
        <v>26111605</v>
      </c>
      <c r="B3116" s="76" t="s">
        <v>7227</v>
      </c>
    </row>
    <row r="3117" spans="1:2" x14ac:dyDescent="0.25">
      <c r="A3117" s="75">
        <v>26111606</v>
      </c>
      <c r="B3117" s="76" t="s">
        <v>17603</v>
      </c>
    </row>
    <row r="3118" spans="1:2" x14ac:dyDescent="0.25">
      <c r="A3118" s="75">
        <v>26111607</v>
      </c>
      <c r="B3118" s="76" t="s">
        <v>13604</v>
      </c>
    </row>
    <row r="3119" spans="1:2" x14ac:dyDescent="0.25">
      <c r="A3119" s="75">
        <v>26111608</v>
      </c>
      <c r="B3119" s="76" t="s">
        <v>13965</v>
      </c>
    </row>
    <row r="3120" spans="1:2" x14ac:dyDescent="0.25">
      <c r="A3120" s="75">
        <v>26111701</v>
      </c>
      <c r="B3120" s="76" t="s">
        <v>6594</v>
      </c>
    </row>
    <row r="3121" spans="1:2" x14ac:dyDescent="0.25">
      <c r="A3121" s="75">
        <v>26111702</v>
      </c>
      <c r="B3121" s="76" t="s">
        <v>1521</v>
      </c>
    </row>
    <row r="3122" spans="1:2" x14ac:dyDescent="0.25">
      <c r="A3122" s="75">
        <v>26111703</v>
      </c>
      <c r="B3122" s="76" t="s">
        <v>5804</v>
      </c>
    </row>
    <row r="3123" spans="1:2" x14ac:dyDescent="0.25">
      <c r="A3123" s="75">
        <v>26111704</v>
      </c>
      <c r="B3123" s="76" t="s">
        <v>7322</v>
      </c>
    </row>
    <row r="3124" spans="1:2" x14ac:dyDescent="0.25">
      <c r="A3124" s="75">
        <v>26111705</v>
      </c>
      <c r="B3124" s="76" t="s">
        <v>17951</v>
      </c>
    </row>
    <row r="3125" spans="1:2" x14ac:dyDescent="0.25">
      <c r="A3125" s="75">
        <v>26111706</v>
      </c>
      <c r="B3125" s="76" t="s">
        <v>12210</v>
      </c>
    </row>
    <row r="3126" spans="1:2" x14ac:dyDescent="0.25">
      <c r="A3126" s="75">
        <v>26111707</v>
      </c>
      <c r="B3126" s="76" t="s">
        <v>19316</v>
      </c>
    </row>
    <row r="3127" spans="1:2" x14ac:dyDescent="0.25">
      <c r="A3127" s="75">
        <v>26111708</v>
      </c>
      <c r="B3127" s="76" t="s">
        <v>8846</v>
      </c>
    </row>
    <row r="3128" spans="1:2" x14ac:dyDescent="0.25">
      <c r="A3128" s="75">
        <v>26111709</v>
      </c>
      <c r="B3128" s="76" t="s">
        <v>10378</v>
      </c>
    </row>
    <row r="3129" spans="1:2" x14ac:dyDescent="0.25">
      <c r="A3129" s="75">
        <v>26111710</v>
      </c>
      <c r="B3129" s="76" t="s">
        <v>3555</v>
      </c>
    </row>
    <row r="3130" spans="1:2" x14ac:dyDescent="0.25">
      <c r="A3130" s="75">
        <v>26111711</v>
      </c>
      <c r="B3130" s="76" t="s">
        <v>13414</v>
      </c>
    </row>
    <row r="3131" spans="1:2" x14ac:dyDescent="0.25">
      <c r="A3131" s="75">
        <v>26111712</v>
      </c>
      <c r="B3131" s="76" t="s">
        <v>18850</v>
      </c>
    </row>
    <row r="3132" spans="1:2" x14ac:dyDescent="0.25">
      <c r="A3132" s="75">
        <v>26111713</v>
      </c>
      <c r="B3132" s="76" t="s">
        <v>7980</v>
      </c>
    </row>
    <row r="3133" spans="1:2" x14ac:dyDescent="0.25">
      <c r="A3133" s="75">
        <v>26111714</v>
      </c>
      <c r="B3133" s="76" t="s">
        <v>10327</v>
      </c>
    </row>
    <row r="3134" spans="1:2" x14ac:dyDescent="0.25">
      <c r="A3134" s="75">
        <v>26111715</v>
      </c>
      <c r="B3134" s="76" t="s">
        <v>13121</v>
      </c>
    </row>
    <row r="3135" spans="1:2" x14ac:dyDescent="0.25">
      <c r="A3135" s="75">
        <v>26111716</v>
      </c>
      <c r="B3135" s="76" t="s">
        <v>815</v>
      </c>
    </row>
    <row r="3136" spans="1:2" x14ac:dyDescent="0.25">
      <c r="A3136" s="75">
        <v>26111717</v>
      </c>
      <c r="B3136" s="76" t="s">
        <v>13627</v>
      </c>
    </row>
    <row r="3137" spans="1:2" x14ac:dyDescent="0.25">
      <c r="A3137" s="75">
        <v>26111718</v>
      </c>
      <c r="B3137" s="76" t="s">
        <v>15514</v>
      </c>
    </row>
    <row r="3138" spans="1:2" x14ac:dyDescent="0.25">
      <c r="A3138" s="75">
        <v>26111719</v>
      </c>
      <c r="B3138" s="76" t="s">
        <v>8047</v>
      </c>
    </row>
    <row r="3139" spans="1:2" x14ac:dyDescent="0.25">
      <c r="A3139" s="75">
        <v>26111720</v>
      </c>
      <c r="B3139" s="76" t="s">
        <v>2111</v>
      </c>
    </row>
    <row r="3140" spans="1:2" x14ac:dyDescent="0.25">
      <c r="A3140" s="75">
        <v>26111721</v>
      </c>
      <c r="B3140" s="76" t="s">
        <v>18204</v>
      </c>
    </row>
    <row r="3141" spans="1:2" x14ac:dyDescent="0.25">
      <c r="A3141" s="75">
        <v>26111722</v>
      </c>
      <c r="B3141" s="76" t="s">
        <v>4593</v>
      </c>
    </row>
    <row r="3142" spans="1:2" x14ac:dyDescent="0.25">
      <c r="A3142" s="75">
        <v>26111723</v>
      </c>
      <c r="B3142" s="76" t="s">
        <v>74</v>
      </c>
    </row>
    <row r="3143" spans="1:2" x14ac:dyDescent="0.25">
      <c r="A3143" s="75">
        <v>26111724</v>
      </c>
      <c r="B3143" s="76" t="s">
        <v>3654</v>
      </c>
    </row>
    <row r="3144" spans="1:2" x14ac:dyDescent="0.25">
      <c r="A3144" s="75">
        <v>26111725</v>
      </c>
      <c r="B3144" s="76" t="s">
        <v>18704</v>
      </c>
    </row>
    <row r="3145" spans="1:2" x14ac:dyDescent="0.25">
      <c r="A3145" s="75">
        <v>26111801</v>
      </c>
      <c r="B3145" s="76" t="s">
        <v>3696</v>
      </c>
    </row>
    <row r="3146" spans="1:2" x14ac:dyDescent="0.25">
      <c r="A3146" s="75">
        <v>26111802</v>
      </c>
      <c r="B3146" s="76" t="s">
        <v>3913</v>
      </c>
    </row>
    <row r="3147" spans="1:2" x14ac:dyDescent="0.25">
      <c r="A3147" s="75">
        <v>26111803</v>
      </c>
      <c r="B3147" s="76" t="s">
        <v>17016</v>
      </c>
    </row>
    <row r="3148" spans="1:2" x14ac:dyDescent="0.25">
      <c r="A3148" s="75">
        <v>26111804</v>
      </c>
      <c r="B3148" s="76" t="s">
        <v>8763</v>
      </c>
    </row>
    <row r="3149" spans="1:2" x14ac:dyDescent="0.25">
      <c r="A3149" s="75">
        <v>26111805</v>
      </c>
      <c r="B3149" s="76" t="s">
        <v>1000</v>
      </c>
    </row>
    <row r="3150" spans="1:2" x14ac:dyDescent="0.25">
      <c r="A3150" s="75">
        <v>26111806</v>
      </c>
      <c r="B3150" s="76" t="s">
        <v>6199</v>
      </c>
    </row>
    <row r="3151" spans="1:2" x14ac:dyDescent="0.25">
      <c r="A3151" s="75">
        <v>26111807</v>
      </c>
      <c r="B3151" s="76" t="s">
        <v>4022</v>
      </c>
    </row>
    <row r="3152" spans="1:2" x14ac:dyDescent="0.25">
      <c r="A3152" s="75">
        <v>26111808</v>
      </c>
      <c r="B3152" s="76" t="s">
        <v>11102</v>
      </c>
    </row>
    <row r="3153" spans="1:2" x14ac:dyDescent="0.25">
      <c r="A3153" s="75">
        <v>26111809</v>
      </c>
      <c r="B3153" s="76" t="s">
        <v>18040</v>
      </c>
    </row>
    <row r="3154" spans="1:2" x14ac:dyDescent="0.25">
      <c r="A3154" s="75">
        <v>26111810</v>
      </c>
      <c r="B3154" s="76" t="s">
        <v>11167</v>
      </c>
    </row>
    <row r="3155" spans="1:2" x14ac:dyDescent="0.25">
      <c r="A3155" s="75">
        <v>26111901</v>
      </c>
      <c r="B3155" s="76" t="s">
        <v>8879</v>
      </c>
    </row>
    <row r="3156" spans="1:2" x14ac:dyDescent="0.25">
      <c r="A3156" s="75">
        <v>26111902</v>
      </c>
      <c r="B3156" s="76" t="s">
        <v>16580</v>
      </c>
    </row>
    <row r="3157" spans="1:2" x14ac:dyDescent="0.25">
      <c r="A3157" s="75">
        <v>26111903</v>
      </c>
      <c r="B3157" s="76" t="s">
        <v>12062</v>
      </c>
    </row>
    <row r="3158" spans="1:2" x14ac:dyDescent="0.25">
      <c r="A3158" s="75">
        <v>26111904</v>
      </c>
      <c r="B3158" s="76" t="s">
        <v>8544</v>
      </c>
    </row>
    <row r="3159" spans="1:2" x14ac:dyDescent="0.25">
      <c r="A3159" s="75">
        <v>26111905</v>
      </c>
      <c r="B3159" s="76" t="s">
        <v>9620</v>
      </c>
    </row>
    <row r="3160" spans="1:2" x14ac:dyDescent="0.25">
      <c r="A3160" s="75">
        <v>26111907</v>
      </c>
      <c r="B3160" s="76" t="s">
        <v>15944</v>
      </c>
    </row>
    <row r="3161" spans="1:2" x14ac:dyDescent="0.25">
      <c r="A3161" s="75">
        <v>26111908</v>
      </c>
      <c r="B3161" s="76" t="s">
        <v>15883</v>
      </c>
    </row>
    <row r="3162" spans="1:2" x14ac:dyDescent="0.25">
      <c r="A3162" s="75">
        <v>26111909</v>
      </c>
      <c r="B3162" s="76" t="s">
        <v>19961</v>
      </c>
    </row>
    <row r="3163" spans="1:2" x14ac:dyDescent="0.25">
      <c r="A3163" s="75">
        <v>26111910</v>
      </c>
      <c r="B3163" s="76" t="s">
        <v>14431</v>
      </c>
    </row>
    <row r="3164" spans="1:2" x14ac:dyDescent="0.25">
      <c r="A3164" s="75">
        <v>26112001</v>
      </c>
      <c r="B3164" s="76" t="s">
        <v>5174</v>
      </c>
    </row>
    <row r="3165" spans="1:2" x14ac:dyDescent="0.25">
      <c r="A3165" s="75">
        <v>26112002</v>
      </c>
      <c r="B3165" s="76" t="s">
        <v>14929</v>
      </c>
    </row>
    <row r="3166" spans="1:2" x14ac:dyDescent="0.25">
      <c r="A3166" s="75">
        <v>26112003</v>
      </c>
      <c r="B3166" s="76" t="s">
        <v>16534</v>
      </c>
    </row>
    <row r="3167" spans="1:2" x14ac:dyDescent="0.25">
      <c r="A3167" s="75">
        <v>26112004</v>
      </c>
      <c r="B3167" s="76" t="s">
        <v>16835</v>
      </c>
    </row>
    <row r="3168" spans="1:2" x14ac:dyDescent="0.25">
      <c r="A3168" s="75">
        <v>26112101</v>
      </c>
      <c r="B3168" s="76" t="s">
        <v>19192</v>
      </c>
    </row>
    <row r="3169" spans="1:2" x14ac:dyDescent="0.25">
      <c r="A3169" s="75">
        <v>26112102</v>
      </c>
      <c r="B3169" s="76" t="s">
        <v>11184</v>
      </c>
    </row>
    <row r="3170" spans="1:2" x14ac:dyDescent="0.25">
      <c r="A3170" s="75">
        <v>26112103</v>
      </c>
      <c r="B3170" s="76" t="s">
        <v>13665</v>
      </c>
    </row>
    <row r="3171" spans="1:2" x14ac:dyDescent="0.25">
      <c r="A3171" s="75">
        <v>26112104</v>
      </c>
      <c r="B3171" s="76" t="s">
        <v>6740</v>
      </c>
    </row>
    <row r="3172" spans="1:2" x14ac:dyDescent="0.25">
      <c r="A3172" s="75">
        <v>26112105</v>
      </c>
      <c r="B3172" s="76" t="s">
        <v>17355</v>
      </c>
    </row>
    <row r="3173" spans="1:2" x14ac:dyDescent="0.25">
      <c r="A3173" s="75">
        <v>26121501</v>
      </c>
      <c r="B3173" s="76" t="s">
        <v>15900</v>
      </c>
    </row>
    <row r="3174" spans="1:2" x14ac:dyDescent="0.25">
      <c r="A3174" s="75">
        <v>26121505</v>
      </c>
      <c r="B3174" s="76" t="s">
        <v>2368</v>
      </c>
    </row>
    <row r="3175" spans="1:2" x14ac:dyDescent="0.25">
      <c r="A3175" s="75">
        <v>26121507</v>
      </c>
      <c r="B3175" s="76" t="s">
        <v>979</v>
      </c>
    </row>
    <row r="3176" spans="1:2" x14ac:dyDescent="0.25">
      <c r="A3176" s="75">
        <v>26121508</v>
      </c>
      <c r="B3176" s="76" t="s">
        <v>18690</v>
      </c>
    </row>
    <row r="3177" spans="1:2" x14ac:dyDescent="0.25">
      <c r="A3177" s="75">
        <v>26121509</v>
      </c>
      <c r="B3177" s="76" t="s">
        <v>12808</v>
      </c>
    </row>
    <row r="3178" spans="1:2" x14ac:dyDescent="0.25">
      <c r="A3178" s="75">
        <v>26121510</v>
      </c>
      <c r="B3178" s="76" t="s">
        <v>17174</v>
      </c>
    </row>
    <row r="3179" spans="1:2" x14ac:dyDescent="0.25">
      <c r="A3179" s="75">
        <v>26121514</v>
      </c>
      <c r="B3179" s="76" t="s">
        <v>11739</v>
      </c>
    </row>
    <row r="3180" spans="1:2" x14ac:dyDescent="0.25">
      <c r="A3180" s="75">
        <v>26121515</v>
      </c>
      <c r="B3180" s="76" t="s">
        <v>17361</v>
      </c>
    </row>
    <row r="3181" spans="1:2" x14ac:dyDescent="0.25">
      <c r="A3181" s="75">
        <v>26121517</v>
      </c>
      <c r="B3181" s="76" t="s">
        <v>15965</v>
      </c>
    </row>
    <row r="3182" spans="1:2" x14ac:dyDescent="0.25">
      <c r="A3182" s="75">
        <v>26121519</v>
      </c>
      <c r="B3182" s="76" t="s">
        <v>9942</v>
      </c>
    </row>
    <row r="3183" spans="1:2" x14ac:dyDescent="0.25">
      <c r="A3183" s="75">
        <v>26121520</v>
      </c>
      <c r="B3183" s="76" t="s">
        <v>19726</v>
      </c>
    </row>
    <row r="3184" spans="1:2" x14ac:dyDescent="0.25">
      <c r="A3184" s="75">
        <v>26121521</v>
      </c>
      <c r="B3184" s="76" t="s">
        <v>16503</v>
      </c>
    </row>
    <row r="3185" spans="1:2" x14ac:dyDescent="0.25">
      <c r="A3185" s="75">
        <v>26121522</v>
      </c>
      <c r="B3185" s="76" t="s">
        <v>9237</v>
      </c>
    </row>
    <row r="3186" spans="1:2" x14ac:dyDescent="0.25">
      <c r="A3186" s="75">
        <v>26121523</v>
      </c>
      <c r="B3186" s="76" t="s">
        <v>4296</v>
      </c>
    </row>
    <row r="3187" spans="1:2" x14ac:dyDescent="0.25">
      <c r="A3187" s="75">
        <v>26121524</v>
      </c>
      <c r="B3187" s="76" t="s">
        <v>6600</v>
      </c>
    </row>
    <row r="3188" spans="1:2" x14ac:dyDescent="0.25">
      <c r="A3188" s="75">
        <v>26121532</v>
      </c>
      <c r="B3188" s="76" t="s">
        <v>1583</v>
      </c>
    </row>
    <row r="3189" spans="1:2" x14ac:dyDescent="0.25">
      <c r="A3189" s="75">
        <v>26121533</v>
      </c>
      <c r="B3189" s="76" t="s">
        <v>7467</v>
      </c>
    </row>
    <row r="3190" spans="1:2" x14ac:dyDescent="0.25">
      <c r="A3190" s="75">
        <v>26121534</v>
      </c>
      <c r="B3190" s="76" t="s">
        <v>11807</v>
      </c>
    </row>
    <row r="3191" spans="1:2" x14ac:dyDescent="0.25">
      <c r="A3191" s="75">
        <v>26121536</v>
      </c>
      <c r="B3191" s="76" t="s">
        <v>10146</v>
      </c>
    </row>
    <row r="3192" spans="1:2" x14ac:dyDescent="0.25">
      <c r="A3192" s="75">
        <v>26121538</v>
      </c>
      <c r="B3192" s="76" t="s">
        <v>15172</v>
      </c>
    </row>
    <row r="3193" spans="1:2" x14ac:dyDescent="0.25">
      <c r="A3193" s="75">
        <v>26121539</v>
      </c>
      <c r="B3193" s="76" t="s">
        <v>4048</v>
      </c>
    </row>
    <row r="3194" spans="1:2" x14ac:dyDescent="0.25">
      <c r="A3194" s="75">
        <v>26121540</v>
      </c>
      <c r="B3194" s="76" t="s">
        <v>3851</v>
      </c>
    </row>
    <row r="3195" spans="1:2" x14ac:dyDescent="0.25">
      <c r="A3195" s="75">
        <v>26121541</v>
      </c>
      <c r="B3195" s="76" t="s">
        <v>4469</v>
      </c>
    </row>
    <row r="3196" spans="1:2" x14ac:dyDescent="0.25">
      <c r="A3196" s="75">
        <v>26121601</v>
      </c>
      <c r="B3196" s="76" t="s">
        <v>14380</v>
      </c>
    </row>
    <row r="3197" spans="1:2" x14ac:dyDescent="0.25">
      <c r="A3197" s="75">
        <v>26121602</v>
      </c>
      <c r="B3197" s="76" t="s">
        <v>8721</v>
      </c>
    </row>
    <row r="3198" spans="1:2" x14ac:dyDescent="0.25">
      <c r="A3198" s="75">
        <v>26121603</v>
      </c>
      <c r="B3198" s="76" t="s">
        <v>9249</v>
      </c>
    </row>
    <row r="3199" spans="1:2" x14ac:dyDescent="0.25">
      <c r="A3199" s="75">
        <v>26121604</v>
      </c>
      <c r="B3199" s="76" t="s">
        <v>18146</v>
      </c>
    </row>
    <row r="3200" spans="1:2" x14ac:dyDescent="0.25">
      <c r="A3200" s="75">
        <v>26121605</v>
      </c>
      <c r="B3200" s="76" t="s">
        <v>13643</v>
      </c>
    </row>
    <row r="3201" spans="1:2" x14ac:dyDescent="0.25">
      <c r="A3201" s="75">
        <v>26121606</v>
      </c>
      <c r="B3201" s="76" t="s">
        <v>13782</v>
      </c>
    </row>
    <row r="3202" spans="1:2" x14ac:dyDescent="0.25">
      <c r="A3202" s="75">
        <v>26121607</v>
      </c>
      <c r="B3202" s="76" t="s">
        <v>10698</v>
      </c>
    </row>
    <row r="3203" spans="1:2" x14ac:dyDescent="0.25">
      <c r="A3203" s="75">
        <v>26121608</v>
      </c>
      <c r="B3203" s="76" t="s">
        <v>7873</v>
      </c>
    </row>
    <row r="3204" spans="1:2" x14ac:dyDescent="0.25">
      <c r="A3204" s="75">
        <v>26121609</v>
      </c>
      <c r="B3204" s="76" t="s">
        <v>17195</v>
      </c>
    </row>
    <row r="3205" spans="1:2" x14ac:dyDescent="0.25">
      <c r="A3205" s="75">
        <v>26121610</v>
      </c>
      <c r="B3205" s="76" t="s">
        <v>19493</v>
      </c>
    </row>
    <row r="3206" spans="1:2" x14ac:dyDescent="0.25">
      <c r="A3206" s="75">
        <v>26121611</v>
      </c>
      <c r="B3206" s="76" t="s">
        <v>4132</v>
      </c>
    </row>
    <row r="3207" spans="1:2" x14ac:dyDescent="0.25">
      <c r="A3207" s="75">
        <v>26121612</v>
      </c>
      <c r="B3207" s="76" t="s">
        <v>14266</v>
      </c>
    </row>
    <row r="3208" spans="1:2" x14ac:dyDescent="0.25">
      <c r="A3208" s="75">
        <v>26121613</v>
      </c>
      <c r="B3208" s="76" t="s">
        <v>11026</v>
      </c>
    </row>
    <row r="3209" spans="1:2" x14ac:dyDescent="0.25">
      <c r="A3209" s="75">
        <v>26121614</v>
      </c>
      <c r="B3209" s="76" t="s">
        <v>16836</v>
      </c>
    </row>
    <row r="3210" spans="1:2" x14ac:dyDescent="0.25">
      <c r="A3210" s="75">
        <v>26121615</v>
      </c>
      <c r="B3210" s="76" t="s">
        <v>6984</v>
      </c>
    </row>
    <row r="3211" spans="1:2" x14ac:dyDescent="0.25">
      <c r="A3211" s="75">
        <v>26121616</v>
      </c>
      <c r="B3211" s="76" t="s">
        <v>16526</v>
      </c>
    </row>
    <row r="3212" spans="1:2" x14ac:dyDescent="0.25">
      <c r="A3212" s="75">
        <v>26121617</v>
      </c>
      <c r="B3212" s="76" t="s">
        <v>8168</v>
      </c>
    </row>
    <row r="3213" spans="1:2" x14ac:dyDescent="0.25">
      <c r="A3213" s="75">
        <v>26121618</v>
      </c>
      <c r="B3213" s="76" t="s">
        <v>19349</v>
      </c>
    </row>
    <row r="3214" spans="1:2" x14ac:dyDescent="0.25">
      <c r="A3214" s="75">
        <v>26121619</v>
      </c>
      <c r="B3214" s="76" t="s">
        <v>1166</v>
      </c>
    </row>
    <row r="3215" spans="1:2" x14ac:dyDescent="0.25">
      <c r="A3215" s="75">
        <v>26121620</v>
      </c>
      <c r="B3215" s="76" t="s">
        <v>6717</v>
      </c>
    </row>
    <row r="3216" spans="1:2" x14ac:dyDescent="0.25">
      <c r="A3216" s="75">
        <v>26121621</v>
      </c>
      <c r="B3216" s="76" t="s">
        <v>5653</v>
      </c>
    </row>
    <row r="3217" spans="1:2" x14ac:dyDescent="0.25">
      <c r="A3217" s="75">
        <v>26121622</v>
      </c>
      <c r="B3217" s="76" t="s">
        <v>12733</v>
      </c>
    </row>
    <row r="3218" spans="1:2" x14ac:dyDescent="0.25">
      <c r="A3218" s="75">
        <v>26121623</v>
      </c>
      <c r="B3218" s="76" t="s">
        <v>6679</v>
      </c>
    </row>
    <row r="3219" spans="1:2" x14ac:dyDescent="0.25">
      <c r="A3219" s="75">
        <v>26121624</v>
      </c>
      <c r="B3219" s="76" t="s">
        <v>18384</v>
      </c>
    </row>
    <row r="3220" spans="1:2" x14ac:dyDescent="0.25">
      <c r="A3220" s="75">
        <v>26121628</v>
      </c>
      <c r="B3220" s="76" t="s">
        <v>5411</v>
      </c>
    </row>
    <row r="3221" spans="1:2" x14ac:dyDescent="0.25">
      <c r="A3221" s="75">
        <v>26121629</v>
      </c>
      <c r="B3221" s="76" t="s">
        <v>10895</v>
      </c>
    </row>
    <row r="3222" spans="1:2" x14ac:dyDescent="0.25">
      <c r="A3222" s="75">
        <v>26121630</v>
      </c>
      <c r="B3222" s="76" t="s">
        <v>61</v>
      </c>
    </row>
    <row r="3223" spans="1:2" x14ac:dyDescent="0.25">
      <c r="A3223" s="75">
        <v>26121631</v>
      </c>
      <c r="B3223" s="76" t="s">
        <v>20035</v>
      </c>
    </row>
    <row r="3224" spans="1:2" x14ac:dyDescent="0.25">
      <c r="A3224" s="75">
        <v>26121632</v>
      </c>
      <c r="B3224" s="76" t="s">
        <v>10309</v>
      </c>
    </row>
    <row r="3225" spans="1:2" x14ac:dyDescent="0.25">
      <c r="A3225" s="75">
        <v>26121633</v>
      </c>
      <c r="B3225" s="76" t="s">
        <v>4067</v>
      </c>
    </row>
    <row r="3226" spans="1:2" x14ac:dyDescent="0.25">
      <c r="A3226" s="75">
        <v>26121634</v>
      </c>
      <c r="B3226" s="76" t="s">
        <v>2890</v>
      </c>
    </row>
    <row r="3227" spans="1:2" x14ac:dyDescent="0.25">
      <c r="A3227" s="75">
        <v>26121635</v>
      </c>
      <c r="B3227" s="76" t="s">
        <v>7287</v>
      </c>
    </row>
    <row r="3228" spans="1:2" x14ac:dyDescent="0.25">
      <c r="A3228" s="75">
        <v>26121636</v>
      </c>
      <c r="B3228" s="76" t="s">
        <v>3508</v>
      </c>
    </row>
    <row r="3229" spans="1:2" x14ac:dyDescent="0.25">
      <c r="A3229" s="75">
        <v>26121637</v>
      </c>
      <c r="B3229" s="76" t="s">
        <v>7701</v>
      </c>
    </row>
    <row r="3230" spans="1:2" x14ac:dyDescent="0.25">
      <c r="A3230" s="75">
        <v>26121701</v>
      </c>
      <c r="B3230" s="76" t="s">
        <v>1378</v>
      </c>
    </row>
    <row r="3231" spans="1:2" x14ac:dyDescent="0.25">
      <c r="A3231" s="75">
        <v>26121702</v>
      </c>
      <c r="B3231" s="76" t="s">
        <v>15839</v>
      </c>
    </row>
    <row r="3232" spans="1:2" x14ac:dyDescent="0.25">
      <c r="A3232" s="75">
        <v>26121703</v>
      </c>
      <c r="B3232" s="76" t="s">
        <v>6013</v>
      </c>
    </row>
    <row r="3233" spans="1:2" x14ac:dyDescent="0.25">
      <c r="A3233" s="75">
        <v>26121704</v>
      </c>
      <c r="B3233" s="76" t="s">
        <v>9362</v>
      </c>
    </row>
    <row r="3234" spans="1:2" x14ac:dyDescent="0.25">
      <c r="A3234" s="75">
        <v>26121705</v>
      </c>
      <c r="B3234" s="76" t="s">
        <v>2985</v>
      </c>
    </row>
    <row r="3235" spans="1:2" x14ac:dyDescent="0.25">
      <c r="A3235" s="75">
        <v>26131501</v>
      </c>
      <c r="B3235" s="76" t="s">
        <v>19343</v>
      </c>
    </row>
    <row r="3236" spans="1:2" x14ac:dyDescent="0.25">
      <c r="A3236" s="75">
        <v>26131502</v>
      </c>
      <c r="B3236" s="76" t="s">
        <v>13247</v>
      </c>
    </row>
    <row r="3237" spans="1:2" x14ac:dyDescent="0.25">
      <c r="A3237" s="75">
        <v>26131503</v>
      </c>
      <c r="B3237" s="76" t="s">
        <v>8094</v>
      </c>
    </row>
    <row r="3238" spans="1:2" x14ac:dyDescent="0.25">
      <c r="A3238" s="75">
        <v>26131504</v>
      </c>
      <c r="B3238" s="76" t="s">
        <v>3668</v>
      </c>
    </row>
    <row r="3239" spans="1:2" x14ac:dyDescent="0.25">
      <c r="A3239" s="75">
        <v>26131505</v>
      </c>
      <c r="B3239" s="76" t="s">
        <v>15003</v>
      </c>
    </row>
    <row r="3240" spans="1:2" x14ac:dyDescent="0.25">
      <c r="A3240" s="75">
        <v>26131506</v>
      </c>
      <c r="B3240" s="76" t="s">
        <v>19292</v>
      </c>
    </row>
    <row r="3241" spans="1:2" x14ac:dyDescent="0.25">
      <c r="A3241" s="75">
        <v>26131507</v>
      </c>
      <c r="B3241" s="76" t="s">
        <v>9772</v>
      </c>
    </row>
    <row r="3242" spans="1:2" x14ac:dyDescent="0.25">
      <c r="A3242" s="75">
        <v>26131508</v>
      </c>
      <c r="B3242" s="76" t="s">
        <v>11603</v>
      </c>
    </row>
    <row r="3243" spans="1:2" x14ac:dyDescent="0.25">
      <c r="A3243" s="75">
        <v>26131509</v>
      </c>
      <c r="B3243" s="76" t="s">
        <v>1130</v>
      </c>
    </row>
    <row r="3244" spans="1:2" x14ac:dyDescent="0.25">
      <c r="A3244" s="75">
        <v>26131510</v>
      </c>
      <c r="B3244" s="76" t="s">
        <v>8212</v>
      </c>
    </row>
    <row r="3245" spans="1:2" x14ac:dyDescent="0.25">
      <c r="A3245" s="75">
        <v>26131601</v>
      </c>
      <c r="B3245" s="76" t="s">
        <v>5635</v>
      </c>
    </row>
    <row r="3246" spans="1:2" x14ac:dyDescent="0.25">
      <c r="A3246" s="75">
        <v>26131602</v>
      </c>
      <c r="B3246" s="76" t="s">
        <v>19247</v>
      </c>
    </row>
    <row r="3247" spans="1:2" x14ac:dyDescent="0.25">
      <c r="A3247" s="75">
        <v>26131603</v>
      </c>
      <c r="B3247" s="76" t="s">
        <v>13309</v>
      </c>
    </row>
    <row r="3248" spans="1:2" x14ac:dyDescent="0.25">
      <c r="A3248" s="75">
        <v>26131604</v>
      </c>
      <c r="B3248" s="76" t="s">
        <v>9519</v>
      </c>
    </row>
    <row r="3249" spans="1:2" x14ac:dyDescent="0.25">
      <c r="A3249" s="75">
        <v>26131605</v>
      </c>
      <c r="B3249" s="76" t="s">
        <v>7275</v>
      </c>
    </row>
    <row r="3250" spans="1:2" x14ac:dyDescent="0.25">
      <c r="A3250" s="75">
        <v>26131606</v>
      </c>
      <c r="B3250" s="76" t="s">
        <v>12243</v>
      </c>
    </row>
    <row r="3251" spans="1:2" x14ac:dyDescent="0.25">
      <c r="A3251" s="75">
        <v>26131607</v>
      </c>
      <c r="B3251" s="76" t="s">
        <v>11039</v>
      </c>
    </row>
    <row r="3252" spans="1:2" x14ac:dyDescent="0.25">
      <c r="A3252" s="75">
        <v>26131608</v>
      </c>
      <c r="B3252" s="76" t="s">
        <v>14808</v>
      </c>
    </row>
    <row r="3253" spans="1:2" x14ac:dyDescent="0.25">
      <c r="A3253" s="75">
        <v>26131609</v>
      </c>
      <c r="B3253" s="76" t="s">
        <v>15438</v>
      </c>
    </row>
    <row r="3254" spans="1:2" x14ac:dyDescent="0.25">
      <c r="A3254" s="75">
        <v>26131610</v>
      </c>
      <c r="B3254" s="76" t="s">
        <v>440</v>
      </c>
    </row>
    <row r="3255" spans="1:2" x14ac:dyDescent="0.25">
      <c r="A3255" s="75">
        <v>26131611</v>
      </c>
      <c r="B3255" s="76" t="s">
        <v>10115</v>
      </c>
    </row>
    <row r="3256" spans="1:2" x14ac:dyDescent="0.25">
      <c r="A3256" s="75">
        <v>26131612</v>
      </c>
      <c r="B3256" s="76" t="s">
        <v>19406</v>
      </c>
    </row>
    <row r="3257" spans="1:2" x14ac:dyDescent="0.25">
      <c r="A3257" s="75">
        <v>26131613</v>
      </c>
      <c r="B3257" s="76" t="s">
        <v>7242</v>
      </c>
    </row>
    <row r="3258" spans="1:2" x14ac:dyDescent="0.25">
      <c r="A3258" s="75">
        <v>26131614</v>
      </c>
      <c r="B3258" s="76" t="s">
        <v>17096</v>
      </c>
    </row>
    <row r="3259" spans="1:2" x14ac:dyDescent="0.25">
      <c r="A3259" s="75">
        <v>26131615</v>
      </c>
      <c r="B3259" s="76" t="s">
        <v>9125</v>
      </c>
    </row>
    <row r="3260" spans="1:2" x14ac:dyDescent="0.25">
      <c r="A3260" s="75">
        <v>26131616</v>
      </c>
      <c r="B3260" s="76" t="s">
        <v>7549</v>
      </c>
    </row>
    <row r="3261" spans="1:2" x14ac:dyDescent="0.25">
      <c r="A3261" s="75">
        <v>26131701</v>
      </c>
      <c r="B3261" s="76" t="s">
        <v>5874</v>
      </c>
    </row>
    <row r="3262" spans="1:2" x14ac:dyDescent="0.25">
      <c r="A3262" s="75">
        <v>26131702</v>
      </c>
      <c r="B3262" s="76" t="s">
        <v>9765</v>
      </c>
    </row>
    <row r="3263" spans="1:2" x14ac:dyDescent="0.25">
      <c r="A3263" s="75">
        <v>26131801</v>
      </c>
      <c r="B3263" s="76" t="s">
        <v>11206</v>
      </c>
    </row>
    <row r="3264" spans="1:2" x14ac:dyDescent="0.25">
      <c r="A3264" s="75">
        <v>26131802</v>
      </c>
      <c r="B3264" s="76" t="s">
        <v>13577</v>
      </c>
    </row>
    <row r="3265" spans="1:2" x14ac:dyDescent="0.25">
      <c r="A3265" s="75">
        <v>26131803</v>
      </c>
      <c r="B3265" s="76" t="s">
        <v>4340</v>
      </c>
    </row>
    <row r="3266" spans="1:2" x14ac:dyDescent="0.25">
      <c r="A3266" s="75">
        <v>26131804</v>
      </c>
      <c r="B3266" s="76" t="s">
        <v>6329</v>
      </c>
    </row>
    <row r="3267" spans="1:2" x14ac:dyDescent="0.25">
      <c r="A3267" s="75">
        <v>26131805</v>
      </c>
      <c r="B3267" s="76" t="s">
        <v>9490</v>
      </c>
    </row>
    <row r="3268" spans="1:2" x14ac:dyDescent="0.25">
      <c r="A3268" s="75">
        <v>26131806</v>
      </c>
      <c r="B3268" s="76" t="s">
        <v>6858</v>
      </c>
    </row>
    <row r="3269" spans="1:2" x14ac:dyDescent="0.25">
      <c r="A3269" s="75">
        <v>26131807</v>
      </c>
      <c r="B3269" s="76" t="s">
        <v>14935</v>
      </c>
    </row>
    <row r="3270" spans="1:2" x14ac:dyDescent="0.25">
      <c r="A3270" s="75">
        <v>26131808</v>
      </c>
      <c r="B3270" s="76" t="s">
        <v>254</v>
      </c>
    </row>
    <row r="3271" spans="1:2" x14ac:dyDescent="0.25">
      <c r="A3271" s="75">
        <v>26131809</v>
      </c>
      <c r="B3271" s="76" t="s">
        <v>16929</v>
      </c>
    </row>
    <row r="3272" spans="1:2" x14ac:dyDescent="0.25">
      <c r="A3272" s="75">
        <v>26131810</v>
      </c>
      <c r="B3272" s="76" t="s">
        <v>10943</v>
      </c>
    </row>
    <row r="3273" spans="1:2" x14ac:dyDescent="0.25">
      <c r="A3273" s="75">
        <v>26131811</v>
      </c>
      <c r="B3273" s="76" t="s">
        <v>7059</v>
      </c>
    </row>
    <row r="3274" spans="1:2" x14ac:dyDescent="0.25">
      <c r="A3274" s="75">
        <v>26131812</v>
      </c>
      <c r="B3274" s="76" t="s">
        <v>289</v>
      </c>
    </row>
    <row r="3275" spans="1:2" x14ac:dyDescent="0.25">
      <c r="A3275" s="75">
        <v>26131813</v>
      </c>
      <c r="B3275" s="76" t="s">
        <v>5025</v>
      </c>
    </row>
    <row r="3276" spans="1:2" x14ac:dyDescent="0.25">
      <c r="A3276" s="75">
        <v>26131814</v>
      </c>
      <c r="B3276" s="76" t="s">
        <v>13134</v>
      </c>
    </row>
    <row r="3277" spans="1:2" x14ac:dyDescent="0.25">
      <c r="A3277" s="75">
        <v>26141601</v>
      </c>
      <c r="B3277" s="76" t="s">
        <v>10130</v>
      </c>
    </row>
    <row r="3278" spans="1:2" x14ac:dyDescent="0.25">
      <c r="A3278" s="75">
        <v>26141602</v>
      </c>
      <c r="B3278" s="76" t="s">
        <v>7735</v>
      </c>
    </row>
    <row r="3279" spans="1:2" x14ac:dyDescent="0.25">
      <c r="A3279" s="75">
        <v>26141603</v>
      </c>
      <c r="B3279" s="76" t="s">
        <v>14914</v>
      </c>
    </row>
    <row r="3280" spans="1:2" x14ac:dyDescent="0.25">
      <c r="A3280" s="75">
        <v>26141701</v>
      </c>
      <c r="B3280" s="76" t="s">
        <v>8932</v>
      </c>
    </row>
    <row r="3281" spans="1:2" x14ac:dyDescent="0.25">
      <c r="A3281" s="75">
        <v>26141702</v>
      </c>
      <c r="B3281" s="76" t="s">
        <v>18924</v>
      </c>
    </row>
    <row r="3282" spans="1:2" x14ac:dyDescent="0.25">
      <c r="A3282" s="75">
        <v>26141703</v>
      </c>
      <c r="B3282" s="76" t="s">
        <v>16210</v>
      </c>
    </row>
    <row r="3283" spans="1:2" x14ac:dyDescent="0.25">
      <c r="A3283" s="75">
        <v>26141704</v>
      </c>
      <c r="B3283" s="76" t="s">
        <v>13052</v>
      </c>
    </row>
    <row r="3284" spans="1:2" x14ac:dyDescent="0.25">
      <c r="A3284" s="75">
        <v>26141801</v>
      </c>
      <c r="B3284" s="76" t="s">
        <v>15021</v>
      </c>
    </row>
    <row r="3285" spans="1:2" x14ac:dyDescent="0.25">
      <c r="A3285" s="75">
        <v>26141802</v>
      </c>
      <c r="B3285" s="76" t="s">
        <v>2899</v>
      </c>
    </row>
    <row r="3286" spans="1:2" x14ac:dyDescent="0.25">
      <c r="A3286" s="75">
        <v>26141803</v>
      </c>
      <c r="B3286" s="76" t="s">
        <v>10988</v>
      </c>
    </row>
    <row r="3287" spans="1:2" x14ac:dyDescent="0.25">
      <c r="A3287" s="75">
        <v>26141804</v>
      </c>
      <c r="B3287" s="76" t="s">
        <v>3193</v>
      </c>
    </row>
    <row r="3288" spans="1:2" x14ac:dyDescent="0.25">
      <c r="A3288" s="75">
        <v>26141805</v>
      </c>
      <c r="B3288" s="76" t="s">
        <v>2060</v>
      </c>
    </row>
    <row r="3289" spans="1:2" x14ac:dyDescent="0.25">
      <c r="A3289" s="75">
        <v>26141806</v>
      </c>
      <c r="B3289" s="76" t="s">
        <v>12569</v>
      </c>
    </row>
    <row r="3290" spans="1:2" x14ac:dyDescent="0.25">
      <c r="A3290" s="75">
        <v>26141807</v>
      </c>
      <c r="B3290" s="76" t="s">
        <v>13082</v>
      </c>
    </row>
    <row r="3291" spans="1:2" x14ac:dyDescent="0.25">
      <c r="A3291" s="75">
        <v>26141808</v>
      </c>
      <c r="B3291" s="76" t="s">
        <v>11753</v>
      </c>
    </row>
    <row r="3292" spans="1:2" x14ac:dyDescent="0.25">
      <c r="A3292" s="75">
        <v>26141809</v>
      </c>
      <c r="B3292" s="76" t="s">
        <v>4274</v>
      </c>
    </row>
    <row r="3293" spans="1:2" x14ac:dyDescent="0.25">
      <c r="A3293" s="75">
        <v>26141901</v>
      </c>
      <c r="B3293" s="76" t="s">
        <v>11461</v>
      </c>
    </row>
    <row r="3294" spans="1:2" x14ac:dyDescent="0.25">
      <c r="A3294" s="75">
        <v>26141902</v>
      </c>
      <c r="B3294" s="76" t="s">
        <v>10390</v>
      </c>
    </row>
    <row r="3295" spans="1:2" x14ac:dyDescent="0.25">
      <c r="A3295" s="75">
        <v>26141904</v>
      </c>
      <c r="B3295" s="76" t="s">
        <v>8712</v>
      </c>
    </row>
    <row r="3296" spans="1:2" x14ac:dyDescent="0.25">
      <c r="A3296" s="75">
        <v>26141905</v>
      </c>
      <c r="B3296" s="76" t="s">
        <v>7042</v>
      </c>
    </row>
    <row r="3297" spans="1:2" x14ac:dyDescent="0.25">
      <c r="A3297" s="75">
        <v>26141906</v>
      </c>
      <c r="B3297" s="76" t="s">
        <v>1327</v>
      </c>
    </row>
    <row r="3298" spans="1:2" x14ac:dyDescent="0.25">
      <c r="A3298" s="75">
        <v>26141907</v>
      </c>
      <c r="B3298" s="76" t="s">
        <v>19599</v>
      </c>
    </row>
    <row r="3299" spans="1:2" x14ac:dyDescent="0.25">
      <c r="A3299" s="75">
        <v>26141908</v>
      </c>
      <c r="B3299" s="76" t="s">
        <v>16790</v>
      </c>
    </row>
    <row r="3300" spans="1:2" x14ac:dyDescent="0.25">
      <c r="A3300" s="75">
        <v>26141909</v>
      </c>
      <c r="B3300" s="76" t="s">
        <v>15410</v>
      </c>
    </row>
    <row r="3301" spans="1:2" x14ac:dyDescent="0.25">
      <c r="A3301" s="75">
        <v>26141910</v>
      </c>
      <c r="B3301" s="76" t="s">
        <v>15561</v>
      </c>
    </row>
    <row r="3302" spans="1:2" x14ac:dyDescent="0.25">
      <c r="A3302" s="75">
        <v>26141911</v>
      </c>
      <c r="B3302" s="76" t="s">
        <v>8939</v>
      </c>
    </row>
    <row r="3303" spans="1:2" x14ac:dyDescent="0.25">
      <c r="A3303" s="75">
        <v>26142001</v>
      </c>
      <c r="B3303" s="76" t="s">
        <v>16745</v>
      </c>
    </row>
    <row r="3304" spans="1:2" x14ac:dyDescent="0.25">
      <c r="A3304" s="75">
        <v>26142002</v>
      </c>
      <c r="B3304" s="76" t="s">
        <v>12666</v>
      </c>
    </row>
    <row r="3305" spans="1:2" x14ac:dyDescent="0.25">
      <c r="A3305" s="75">
        <v>26142003</v>
      </c>
      <c r="B3305" s="76" t="s">
        <v>2069</v>
      </c>
    </row>
    <row r="3306" spans="1:2" x14ac:dyDescent="0.25">
      <c r="A3306" s="75">
        <v>26142004</v>
      </c>
      <c r="B3306" s="76" t="s">
        <v>18856</v>
      </c>
    </row>
    <row r="3307" spans="1:2" x14ac:dyDescent="0.25">
      <c r="A3307" s="75">
        <v>26142005</v>
      </c>
      <c r="B3307" s="76" t="s">
        <v>15411</v>
      </c>
    </row>
    <row r="3308" spans="1:2" x14ac:dyDescent="0.25">
      <c r="A3308" s="75">
        <v>26142006</v>
      </c>
      <c r="B3308" s="76" t="s">
        <v>8454</v>
      </c>
    </row>
    <row r="3309" spans="1:2" x14ac:dyDescent="0.25">
      <c r="A3309" s="75">
        <v>26142007</v>
      </c>
      <c r="B3309" s="76" t="s">
        <v>9515</v>
      </c>
    </row>
    <row r="3310" spans="1:2" x14ac:dyDescent="0.25">
      <c r="A3310" s="75">
        <v>26142101</v>
      </c>
      <c r="B3310" s="76" t="s">
        <v>18006</v>
      </c>
    </row>
    <row r="3311" spans="1:2" x14ac:dyDescent="0.25">
      <c r="A3311" s="75">
        <v>26142106</v>
      </c>
      <c r="B3311" s="76" t="s">
        <v>13852</v>
      </c>
    </row>
    <row r="3312" spans="1:2" x14ac:dyDescent="0.25">
      <c r="A3312" s="75">
        <v>26142108</v>
      </c>
      <c r="B3312" s="76" t="s">
        <v>6856</v>
      </c>
    </row>
    <row r="3313" spans="1:2" x14ac:dyDescent="0.25">
      <c r="A3313" s="75">
        <v>26142117</v>
      </c>
      <c r="B3313" s="76" t="s">
        <v>18563</v>
      </c>
    </row>
    <row r="3314" spans="1:2" x14ac:dyDescent="0.25">
      <c r="A3314" s="75">
        <v>26142201</v>
      </c>
      <c r="B3314" s="76" t="s">
        <v>19780</v>
      </c>
    </row>
    <row r="3315" spans="1:2" x14ac:dyDescent="0.25">
      <c r="A3315" s="75">
        <v>26142202</v>
      </c>
      <c r="B3315" s="76" t="s">
        <v>6087</v>
      </c>
    </row>
    <row r="3316" spans="1:2" x14ac:dyDescent="0.25">
      <c r="A3316" s="75">
        <v>26142302</v>
      </c>
      <c r="B3316" s="76" t="s">
        <v>5627</v>
      </c>
    </row>
    <row r="3317" spans="1:2" x14ac:dyDescent="0.25">
      <c r="A3317" s="75">
        <v>26142303</v>
      </c>
      <c r="B3317" s="76" t="s">
        <v>7692</v>
      </c>
    </row>
    <row r="3318" spans="1:2" x14ac:dyDescent="0.25">
      <c r="A3318" s="75">
        <v>26142304</v>
      </c>
      <c r="B3318" s="76" t="s">
        <v>11967</v>
      </c>
    </row>
    <row r="3319" spans="1:2" x14ac:dyDescent="0.25">
      <c r="A3319" s="75">
        <v>26142306</v>
      </c>
      <c r="B3319" s="76" t="s">
        <v>8238</v>
      </c>
    </row>
    <row r="3320" spans="1:2" x14ac:dyDescent="0.25">
      <c r="A3320" s="75">
        <v>26142307</v>
      </c>
      <c r="B3320" s="76" t="s">
        <v>3360</v>
      </c>
    </row>
    <row r="3321" spans="1:2" x14ac:dyDescent="0.25">
      <c r="A3321" s="75">
        <v>26142308</v>
      </c>
      <c r="B3321" s="76" t="s">
        <v>14798</v>
      </c>
    </row>
    <row r="3322" spans="1:2" x14ac:dyDescent="0.25">
      <c r="A3322" s="75">
        <v>26142310</v>
      </c>
      <c r="B3322" s="76" t="s">
        <v>17646</v>
      </c>
    </row>
    <row r="3323" spans="1:2" x14ac:dyDescent="0.25">
      <c r="A3323" s="75">
        <v>26142311</v>
      </c>
      <c r="B3323" s="76" t="s">
        <v>12311</v>
      </c>
    </row>
    <row r="3324" spans="1:2" x14ac:dyDescent="0.25">
      <c r="A3324" s="75">
        <v>26142312</v>
      </c>
      <c r="B3324" s="76" t="s">
        <v>13044</v>
      </c>
    </row>
    <row r="3325" spans="1:2" x14ac:dyDescent="0.25">
      <c r="A3325" s="75">
        <v>26142401</v>
      </c>
      <c r="B3325" s="76" t="s">
        <v>19837</v>
      </c>
    </row>
    <row r="3326" spans="1:2" x14ac:dyDescent="0.25">
      <c r="A3326" s="75">
        <v>26142402</v>
      </c>
      <c r="B3326" s="76" t="s">
        <v>12933</v>
      </c>
    </row>
    <row r="3327" spans="1:2" x14ac:dyDescent="0.25">
      <c r="A3327" s="75">
        <v>26142403</v>
      </c>
      <c r="B3327" s="76" t="s">
        <v>2157</v>
      </c>
    </row>
    <row r="3328" spans="1:2" x14ac:dyDescent="0.25">
      <c r="A3328" s="75">
        <v>26142404</v>
      </c>
      <c r="B3328" s="76" t="s">
        <v>19347</v>
      </c>
    </row>
    <row r="3329" spans="1:2" x14ac:dyDescent="0.25">
      <c r="A3329" s="75">
        <v>26142405</v>
      </c>
      <c r="B3329" s="76" t="s">
        <v>6618</v>
      </c>
    </row>
    <row r="3330" spans="1:2" x14ac:dyDescent="0.25">
      <c r="A3330" s="75">
        <v>26142406</v>
      </c>
      <c r="B3330" s="76" t="s">
        <v>13539</v>
      </c>
    </row>
    <row r="3331" spans="1:2" x14ac:dyDescent="0.25">
      <c r="A3331" s="75">
        <v>26142407</v>
      </c>
      <c r="B3331" s="76" t="s">
        <v>3297</v>
      </c>
    </row>
    <row r="3332" spans="1:2" x14ac:dyDescent="0.25">
      <c r="A3332" s="75">
        <v>26142408</v>
      </c>
      <c r="B3332" s="76" t="s">
        <v>11944</v>
      </c>
    </row>
    <row r="3333" spans="1:2" x14ac:dyDescent="0.25">
      <c r="A3333" s="75">
        <v>27111501</v>
      </c>
      <c r="B3333" s="76" t="s">
        <v>6802</v>
      </c>
    </row>
    <row r="3334" spans="1:2" x14ac:dyDescent="0.25">
      <c r="A3334" s="75">
        <v>27111502</v>
      </c>
      <c r="B3334" s="76" t="s">
        <v>3376</v>
      </c>
    </row>
    <row r="3335" spans="1:2" x14ac:dyDescent="0.25">
      <c r="A3335" s="75">
        <v>27111503</v>
      </c>
      <c r="B3335" s="76" t="s">
        <v>12826</v>
      </c>
    </row>
    <row r="3336" spans="1:2" x14ac:dyDescent="0.25">
      <c r="A3336" s="75">
        <v>27111504</v>
      </c>
      <c r="B3336" s="76" t="s">
        <v>6994</v>
      </c>
    </row>
    <row r="3337" spans="1:2" x14ac:dyDescent="0.25">
      <c r="A3337" s="75">
        <v>27111505</v>
      </c>
      <c r="B3337" s="76" t="s">
        <v>5741</v>
      </c>
    </row>
    <row r="3338" spans="1:2" x14ac:dyDescent="0.25">
      <c r="A3338" s="75">
        <v>27111506</v>
      </c>
      <c r="B3338" s="76" t="s">
        <v>18682</v>
      </c>
    </row>
    <row r="3339" spans="1:2" x14ac:dyDescent="0.25">
      <c r="A3339" s="75">
        <v>27111507</v>
      </c>
      <c r="B3339" s="76" t="s">
        <v>10451</v>
      </c>
    </row>
    <row r="3340" spans="1:2" x14ac:dyDescent="0.25">
      <c r="A3340" s="75">
        <v>27111508</v>
      </c>
      <c r="B3340" s="76" t="s">
        <v>20000</v>
      </c>
    </row>
    <row r="3341" spans="1:2" x14ac:dyDescent="0.25">
      <c r="A3341" s="75">
        <v>27111509</v>
      </c>
      <c r="B3341" s="76" t="s">
        <v>11567</v>
      </c>
    </row>
    <row r="3342" spans="1:2" x14ac:dyDescent="0.25">
      <c r="A3342" s="75">
        <v>27111510</v>
      </c>
      <c r="B3342" s="76" t="s">
        <v>12351</v>
      </c>
    </row>
    <row r="3343" spans="1:2" x14ac:dyDescent="0.25">
      <c r="A3343" s="75">
        <v>27111511</v>
      </c>
      <c r="B3343" s="76" t="s">
        <v>6647</v>
      </c>
    </row>
    <row r="3344" spans="1:2" x14ac:dyDescent="0.25">
      <c r="A3344" s="75">
        <v>27111512</v>
      </c>
      <c r="B3344" s="76" t="s">
        <v>14696</v>
      </c>
    </row>
    <row r="3345" spans="1:2" x14ac:dyDescent="0.25">
      <c r="A3345" s="75">
        <v>27111513</v>
      </c>
      <c r="B3345" s="76" t="s">
        <v>10224</v>
      </c>
    </row>
    <row r="3346" spans="1:2" x14ac:dyDescent="0.25">
      <c r="A3346" s="75">
        <v>27111514</v>
      </c>
      <c r="B3346" s="76" t="s">
        <v>13497</v>
      </c>
    </row>
    <row r="3347" spans="1:2" x14ac:dyDescent="0.25">
      <c r="A3347" s="75">
        <v>27111515</v>
      </c>
      <c r="B3347" s="76" t="s">
        <v>18803</v>
      </c>
    </row>
    <row r="3348" spans="1:2" x14ac:dyDescent="0.25">
      <c r="A3348" s="75">
        <v>27111516</v>
      </c>
      <c r="B3348" s="76" t="s">
        <v>9148</v>
      </c>
    </row>
    <row r="3349" spans="1:2" x14ac:dyDescent="0.25">
      <c r="A3349" s="75">
        <v>27111517</v>
      </c>
      <c r="B3349" s="76" t="s">
        <v>15045</v>
      </c>
    </row>
    <row r="3350" spans="1:2" x14ac:dyDescent="0.25">
      <c r="A3350" s="75">
        <v>27111518</v>
      </c>
      <c r="B3350" s="76" t="s">
        <v>15525</v>
      </c>
    </row>
    <row r="3351" spans="1:2" x14ac:dyDescent="0.25">
      <c r="A3351" s="75">
        <v>27111519</v>
      </c>
      <c r="B3351" s="76" t="s">
        <v>5945</v>
      </c>
    </row>
    <row r="3352" spans="1:2" x14ac:dyDescent="0.25">
      <c r="A3352" s="75">
        <v>27111520</v>
      </c>
      <c r="B3352" s="76" t="s">
        <v>5512</v>
      </c>
    </row>
    <row r="3353" spans="1:2" x14ac:dyDescent="0.25">
      <c r="A3353" s="75">
        <v>27111521</v>
      </c>
      <c r="B3353" s="76" t="s">
        <v>3874</v>
      </c>
    </row>
    <row r="3354" spans="1:2" x14ac:dyDescent="0.25">
      <c r="A3354" s="75">
        <v>27111601</v>
      </c>
      <c r="B3354" s="76" t="s">
        <v>1687</v>
      </c>
    </row>
    <row r="3355" spans="1:2" x14ac:dyDescent="0.25">
      <c r="A3355" s="75">
        <v>27111602</v>
      </c>
      <c r="B3355" s="76" t="s">
        <v>15751</v>
      </c>
    </row>
    <row r="3356" spans="1:2" x14ac:dyDescent="0.25">
      <c r="A3356" s="75">
        <v>27111603</v>
      </c>
      <c r="B3356" s="76" t="s">
        <v>1242</v>
      </c>
    </row>
    <row r="3357" spans="1:2" x14ac:dyDescent="0.25">
      <c r="A3357" s="75">
        <v>27111604</v>
      </c>
      <c r="B3357" s="76" t="s">
        <v>13153</v>
      </c>
    </row>
    <row r="3358" spans="1:2" x14ac:dyDescent="0.25">
      <c r="A3358" s="75">
        <v>27111605</v>
      </c>
      <c r="B3358" s="76" t="s">
        <v>9017</v>
      </c>
    </row>
    <row r="3359" spans="1:2" x14ac:dyDescent="0.25">
      <c r="A3359" s="75">
        <v>27111607</v>
      </c>
      <c r="B3359" s="76" t="s">
        <v>19408</v>
      </c>
    </row>
    <row r="3360" spans="1:2" x14ac:dyDescent="0.25">
      <c r="A3360" s="75">
        <v>27111608</v>
      </c>
      <c r="B3360" s="76" t="s">
        <v>15319</v>
      </c>
    </row>
    <row r="3361" spans="1:2" x14ac:dyDescent="0.25">
      <c r="A3361" s="75">
        <v>27111609</v>
      </c>
      <c r="B3361" s="76" t="s">
        <v>4497</v>
      </c>
    </row>
    <row r="3362" spans="1:2" x14ac:dyDescent="0.25">
      <c r="A3362" s="75">
        <v>27111701</v>
      </c>
      <c r="B3362" s="76" t="s">
        <v>1518</v>
      </c>
    </row>
    <row r="3363" spans="1:2" x14ac:dyDescent="0.25">
      <c r="A3363" s="75">
        <v>27111702</v>
      </c>
      <c r="B3363" s="76" t="s">
        <v>694</v>
      </c>
    </row>
    <row r="3364" spans="1:2" x14ac:dyDescent="0.25">
      <c r="A3364" s="75">
        <v>27111703</v>
      </c>
      <c r="B3364" s="76" t="s">
        <v>14240</v>
      </c>
    </row>
    <row r="3365" spans="1:2" x14ac:dyDescent="0.25">
      <c r="A3365" s="75">
        <v>27111704</v>
      </c>
      <c r="B3365" s="76" t="s">
        <v>6922</v>
      </c>
    </row>
    <row r="3366" spans="1:2" x14ac:dyDescent="0.25">
      <c r="A3366" s="75">
        <v>27111705</v>
      </c>
      <c r="B3366" s="76" t="s">
        <v>4654</v>
      </c>
    </row>
    <row r="3367" spans="1:2" x14ac:dyDescent="0.25">
      <c r="A3367" s="75">
        <v>27111706</v>
      </c>
      <c r="B3367" s="76" t="s">
        <v>12229</v>
      </c>
    </row>
    <row r="3368" spans="1:2" x14ac:dyDescent="0.25">
      <c r="A3368" s="75">
        <v>27111707</v>
      </c>
      <c r="B3368" s="76" t="s">
        <v>7651</v>
      </c>
    </row>
    <row r="3369" spans="1:2" x14ac:dyDescent="0.25">
      <c r="A3369" s="75">
        <v>27111708</v>
      </c>
      <c r="B3369" s="76" t="s">
        <v>3195</v>
      </c>
    </row>
    <row r="3370" spans="1:2" x14ac:dyDescent="0.25">
      <c r="A3370" s="75">
        <v>27111709</v>
      </c>
      <c r="B3370" s="76" t="s">
        <v>15077</v>
      </c>
    </row>
    <row r="3371" spans="1:2" x14ac:dyDescent="0.25">
      <c r="A3371" s="75">
        <v>27111710</v>
      </c>
      <c r="B3371" s="76" t="s">
        <v>15754</v>
      </c>
    </row>
    <row r="3372" spans="1:2" x14ac:dyDescent="0.25">
      <c r="A3372" s="75">
        <v>27111711</v>
      </c>
      <c r="B3372" s="76" t="s">
        <v>12669</v>
      </c>
    </row>
    <row r="3373" spans="1:2" x14ac:dyDescent="0.25">
      <c r="A3373" s="75">
        <v>27111712</v>
      </c>
      <c r="B3373" s="76" t="s">
        <v>15477</v>
      </c>
    </row>
    <row r="3374" spans="1:2" x14ac:dyDescent="0.25">
      <c r="A3374" s="75">
        <v>27111713</v>
      </c>
      <c r="B3374" s="76" t="s">
        <v>8396</v>
      </c>
    </row>
    <row r="3375" spans="1:2" x14ac:dyDescent="0.25">
      <c r="A3375" s="75">
        <v>27111714</v>
      </c>
      <c r="B3375" s="76" t="s">
        <v>11070</v>
      </c>
    </row>
    <row r="3376" spans="1:2" x14ac:dyDescent="0.25">
      <c r="A3376" s="75">
        <v>27111715</v>
      </c>
      <c r="B3376" s="76" t="s">
        <v>14687</v>
      </c>
    </row>
    <row r="3377" spans="1:2" x14ac:dyDescent="0.25">
      <c r="A3377" s="75">
        <v>27111716</v>
      </c>
      <c r="B3377" s="76" t="s">
        <v>17141</v>
      </c>
    </row>
    <row r="3378" spans="1:2" x14ac:dyDescent="0.25">
      <c r="A3378" s="75">
        <v>27111717</v>
      </c>
      <c r="B3378" s="76" t="s">
        <v>2117</v>
      </c>
    </row>
    <row r="3379" spans="1:2" x14ac:dyDescent="0.25">
      <c r="A3379" s="75">
        <v>27111718</v>
      </c>
      <c r="B3379" s="76" t="s">
        <v>12271</v>
      </c>
    </row>
    <row r="3380" spans="1:2" x14ac:dyDescent="0.25">
      <c r="A3380" s="75">
        <v>27111720</v>
      </c>
      <c r="B3380" s="76" t="s">
        <v>11840</v>
      </c>
    </row>
    <row r="3381" spans="1:2" x14ac:dyDescent="0.25">
      <c r="A3381" s="75">
        <v>27111721</v>
      </c>
      <c r="B3381" s="76" t="s">
        <v>18996</v>
      </c>
    </row>
    <row r="3382" spans="1:2" x14ac:dyDescent="0.25">
      <c r="A3382" s="75">
        <v>27111722</v>
      </c>
      <c r="B3382" s="76" t="s">
        <v>19594</v>
      </c>
    </row>
    <row r="3383" spans="1:2" x14ac:dyDescent="0.25">
      <c r="A3383" s="75">
        <v>27111723</v>
      </c>
      <c r="B3383" s="76" t="s">
        <v>5688</v>
      </c>
    </row>
    <row r="3384" spans="1:2" x14ac:dyDescent="0.25">
      <c r="A3384" s="75">
        <v>27111724</v>
      </c>
      <c r="B3384" s="76" t="s">
        <v>9254</v>
      </c>
    </row>
    <row r="3385" spans="1:2" x14ac:dyDescent="0.25">
      <c r="A3385" s="75">
        <v>27111725</v>
      </c>
      <c r="B3385" s="76" t="s">
        <v>12379</v>
      </c>
    </row>
    <row r="3386" spans="1:2" x14ac:dyDescent="0.25">
      <c r="A3386" s="75">
        <v>27111726</v>
      </c>
      <c r="B3386" s="76" t="s">
        <v>8984</v>
      </c>
    </row>
    <row r="3387" spans="1:2" x14ac:dyDescent="0.25">
      <c r="A3387" s="75">
        <v>27111727</v>
      </c>
      <c r="B3387" s="76" t="s">
        <v>2896</v>
      </c>
    </row>
    <row r="3388" spans="1:2" x14ac:dyDescent="0.25">
      <c r="A3388" s="75">
        <v>27111801</v>
      </c>
      <c r="B3388" s="76" t="s">
        <v>18394</v>
      </c>
    </row>
    <row r="3389" spans="1:2" x14ac:dyDescent="0.25">
      <c r="A3389" s="75">
        <v>27111802</v>
      </c>
      <c r="B3389" s="76" t="s">
        <v>13431</v>
      </c>
    </row>
    <row r="3390" spans="1:2" x14ac:dyDescent="0.25">
      <c r="A3390" s="75">
        <v>27111803</v>
      </c>
      <c r="B3390" s="76" t="s">
        <v>8172</v>
      </c>
    </row>
    <row r="3391" spans="1:2" x14ac:dyDescent="0.25">
      <c r="A3391" s="75">
        <v>27111804</v>
      </c>
      <c r="B3391" s="76" t="s">
        <v>12072</v>
      </c>
    </row>
    <row r="3392" spans="1:2" x14ac:dyDescent="0.25">
      <c r="A3392" s="75">
        <v>27111806</v>
      </c>
      <c r="B3392" s="76" t="s">
        <v>18691</v>
      </c>
    </row>
    <row r="3393" spans="1:2" x14ac:dyDescent="0.25">
      <c r="A3393" s="75">
        <v>27111807</v>
      </c>
      <c r="B3393" s="76" t="s">
        <v>866</v>
      </c>
    </row>
    <row r="3394" spans="1:2" x14ac:dyDescent="0.25">
      <c r="A3394" s="75">
        <v>27111809</v>
      </c>
      <c r="B3394" s="76" t="s">
        <v>10925</v>
      </c>
    </row>
    <row r="3395" spans="1:2" x14ac:dyDescent="0.25">
      <c r="A3395" s="75">
        <v>27111810</v>
      </c>
      <c r="B3395" s="76" t="s">
        <v>2733</v>
      </c>
    </row>
    <row r="3396" spans="1:2" x14ac:dyDescent="0.25">
      <c r="A3396" s="75">
        <v>27111901</v>
      </c>
      <c r="B3396" s="76" t="s">
        <v>19030</v>
      </c>
    </row>
    <row r="3397" spans="1:2" x14ac:dyDescent="0.25">
      <c r="A3397" s="75">
        <v>27111902</v>
      </c>
      <c r="B3397" s="76" t="s">
        <v>6494</v>
      </c>
    </row>
    <row r="3398" spans="1:2" x14ac:dyDescent="0.25">
      <c r="A3398" s="75">
        <v>27111903</v>
      </c>
      <c r="B3398" s="76" t="s">
        <v>14022</v>
      </c>
    </row>
    <row r="3399" spans="1:2" x14ac:dyDescent="0.25">
      <c r="A3399" s="75">
        <v>27111904</v>
      </c>
      <c r="B3399" s="76" t="s">
        <v>1704</v>
      </c>
    </row>
    <row r="3400" spans="1:2" x14ac:dyDescent="0.25">
      <c r="A3400" s="75">
        <v>27111905</v>
      </c>
      <c r="B3400" s="76" t="s">
        <v>2127</v>
      </c>
    </row>
    <row r="3401" spans="1:2" x14ac:dyDescent="0.25">
      <c r="A3401" s="75">
        <v>27111906</v>
      </c>
      <c r="B3401" s="76" t="s">
        <v>6446</v>
      </c>
    </row>
    <row r="3402" spans="1:2" x14ac:dyDescent="0.25">
      <c r="A3402" s="75">
        <v>27111907</v>
      </c>
      <c r="B3402" s="76" t="s">
        <v>9975</v>
      </c>
    </row>
    <row r="3403" spans="1:2" x14ac:dyDescent="0.25">
      <c r="A3403" s="75">
        <v>27111908</v>
      </c>
      <c r="B3403" s="76" t="s">
        <v>10005</v>
      </c>
    </row>
    <row r="3404" spans="1:2" x14ac:dyDescent="0.25">
      <c r="A3404" s="75">
        <v>27111909</v>
      </c>
      <c r="B3404" s="76" t="s">
        <v>13229</v>
      </c>
    </row>
    <row r="3405" spans="1:2" x14ac:dyDescent="0.25">
      <c r="A3405" s="75">
        <v>27111910</v>
      </c>
      <c r="B3405" s="76" t="s">
        <v>18354</v>
      </c>
    </row>
    <row r="3406" spans="1:2" x14ac:dyDescent="0.25">
      <c r="A3406" s="75">
        <v>27111911</v>
      </c>
      <c r="B3406" s="76" t="s">
        <v>10281</v>
      </c>
    </row>
    <row r="3407" spans="1:2" x14ac:dyDescent="0.25">
      <c r="A3407" s="75">
        <v>27112001</v>
      </c>
      <c r="B3407" s="76" t="s">
        <v>13664</v>
      </c>
    </row>
    <row r="3408" spans="1:2" x14ac:dyDescent="0.25">
      <c r="A3408" s="75">
        <v>27112002</v>
      </c>
      <c r="B3408" s="76" t="s">
        <v>5763</v>
      </c>
    </row>
    <row r="3409" spans="1:2" x14ac:dyDescent="0.25">
      <c r="A3409" s="75">
        <v>27112003</v>
      </c>
      <c r="B3409" s="76" t="s">
        <v>2333</v>
      </c>
    </row>
    <row r="3410" spans="1:2" x14ac:dyDescent="0.25">
      <c r="A3410" s="75">
        <v>27112004</v>
      </c>
      <c r="B3410" s="76" t="s">
        <v>8288</v>
      </c>
    </row>
    <row r="3411" spans="1:2" x14ac:dyDescent="0.25">
      <c r="A3411" s="75">
        <v>27112005</v>
      </c>
      <c r="B3411" s="76" t="s">
        <v>7916</v>
      </c>
    </row>
    <row r="3412" spans="1:2" x14ac:dyDescent="0.25">
      <c r="A3412" s="75">
        <v>27112006</v>
      </c>
      <c r="B3412" s="76" t="s">
        <v>13909</v>
      </c>
    </row>
    <row r="3413" spans="1:2" x14ac:dyDescent="0.25">
      <c r="A3413" s="75">
        <v>27112007</v>
      </c>
      <c r="B3413" s="76" t="s">
        <v>10819</v>
      </c>
    </row>
    <row r="3414" spans="1:2" x14ac:dyDescent="0.25">
      <c r="A3414" s="75">
        <v>27112008</v>
      </c>
      <c r="B3414" s="76" t="s">
        <v>296</v>
      </c>
    </row>
    <row r="3415" spans="1:2" x14ac:dyDescent="0.25">
      <c r="A3415" s="75">
        <v>27112009</v>
      </c>
      <c r="B3415" s="76" t="s">
        <v>3044</v>
      </c>
    </row>
    <row r="3416" spans="1:2" x14ac:dyDescent="0.25">
      <c r="A3416" s="75">
        <v>27112010</v>
      </c>
      <c r="B3416" s="76" t="s">
        <v>5578</v>
      </c>
    </row>
    <row r="3417" spans="1:2" x14ac:dyDescent="0.25">
      <c r="A3417" s="75">
        <v>27112011</v>
      </c>
      <c r="B3417" s="76" t="s">
        <v>2466</v>
      </c>
    </row>
    <row r="3418" spans="1:2" x14ac:dyDescent="0.25">
      <c r="A3418" s="75">
        <v>27112012</v>
      </c>
      <c r="B3418" s="76" t="s">
        <v>10827</v>
      </c>
    </row>
    <row r="3419" spans="1:2" x14ac:dyDescent="0.25">
      <c r="A3419" s="75">
        <v>27112013</v>
      </c>
      <c r="B3419" s="76" t="s">
        <v>1358</v>
      </c>
    </row>
    <row r="3420" spans="1:2" x14ac:dyDescent="0.25">
      <c r="A3420" s="75">
        <v>27112014</v>
      </c>
      <c r="B3420" s="76" t="s">
        <v>13875</v>
      </c>
    </row>
    <row r="3421" spans="1:2" x14ac:dyDescent="0.25">
      <c r="A3421" s="75">
        <v>27112015</v>
      </c>
      <c r="B3421" s="76" t="s">
        <v>19304</v>
      </c>
    </row>
    <row r="3422" spans="1:2" x14ac:dyDescent="0.25">
      <c r="A3422" s="75">
        <v>27112016</v>
      </c>
      <c r="B3422" s="76" t="s">
        <v>11471</v>
      </c>
    </row>
    <row r="3423" spans="1:2" x14ac:dyDescent="0.25">
      <c r="A3423" s="75">
        <v>27112017</v>
      </c>
      <c r="B3423" s="76" t="s">
        <v>19149</v>
      </c>
    </row>
    <row r="3424" spans="1:2" x14ac:dyDescent="0.25">
      <c r="A3424" s="75">
        <v>27112101</v>
      </c>
      <c r="B3424" s="76" t="s">
        <v>17573</v>
      </c>
    </row>
    <row r="3425" spans="1:2" x14ac:dyDescent="0.25">
      <c r="A3425" s="75">
        <v>27112102</v>
      </c>
      <c r="B3425" s="76" t="s">
        <v>11808</v>
      </c>
    </row>
    <row r="3426" spans="1:2" x14ac:dyDescent="0.25">
      <c r="A3426" s="75">
        <v>27112103</v>
      </c>
      <c r="B3426" s="76" t="s">
        <v>19293</v>
      </c>
    </row>
    <row r="3427" spans="1:2" x14ac:dyDescent="0.25">
      <c r="A3427" s="75">
        <v>27112104</v>
      </c>
      <c r="B3427" s="76" t="s">
        <v>2964</v>
      </c>
    </row>
    <row r="3428" spans="1:2" x14ac:dyDescent="0.25">
      <c r="A3428" s="75">
        <v>27112105</v>
      </c>
      <c r="B3428" s="76" t="s">
        <v>11606</v>
      </c>
    </row>
    <row r="3429" spans="1:2" x14ac:dyDescent="0.25">
      <c r="A3429" s="75">
        <v>27112106</v>
      </c>
      <c r="B3429" s="76" t="s">
        <v>485</v>
      </c>
    </row>
    <row r="3430" spans="1:2" x14ac:dyDescent="0.25">
      <c r="A3430" s="75">
        <v>27112107</v>
      </c>
      <c r="B3430" s="76" t="s">
        <v>11387</v>
      </c>
    </row>
    <row r="3431" spans="1:2" x14ac:dyDescent="0.25">
      <c r="A3431" s="75">
        <v>27112108</v>
      </c>
      <c r="B3431" s="76" t="s">
        <v>18175</v>
      </c>
    </row>
    <row r="3432" spans="1:2" x14ac:dyDescent="0.25">
      <c r="A3432" s="75">
        <v>27112109</v>
      </c>
      <c r="B3432" s="76" t="s">
        <v>16557</v>
      </c>
    </row>
    <row r="3433" spans="1:2" x14ac:dyDescent="0.25">
      <c r="A3433" s="75">
        <v>27112110</v>
      </c>
      <c r="B3433" s="76" t="s">
        <v>18875</v>
      </c>
    </row>
    <row r="3434" spans="1:2" x14ac:dyDescent="0.25">
      <c r="A3434" s="75">
        <v>27112111</v>
      </c>
      <c r="B3434" s="76" t="s">
        <v>8345</v>
      </c>
    </row>
    <row r="3435" spans="1:2" x14ac:dyDescent="0.25">
      <c r="A3435" s="75">
        <v>27112112</v>
      </c>
      <c r="B3435" s="76" t="s">
        <v>19552</v>
      </c>
    </row>
    <row r="3436" spans="1:2" x14ac:dyDescent="0.25">
      <c r="A3436" s="75">
        <v>27112113</v>
      </c>
      <c r="B3436" s="76" t="s">
        <v>15017</v>
      </c>
    </row>
    <row r="3437" spans="1:2" x14ac:dyDescent="0.25">
      <c r="A3437" s="75">
        <v>27112114</v>
      </c>
      <c r="B3437" s="76" t="s">
        <v>6573</v>
      </c>
    </row>
    <row r="3438" spans="1:2" x14ac:dyDescent="0.25">
      <c r="A3438" s="75">
        <v>27112115</v>
      </c>
      <c r="B3438" s="76" t="s">
        <v>930</v>
      </c>
    </row>
    <row r="3439" spans="1:2" x14ac:dyDescent="0.25">
      <c r="A3439" s="75">
        <v>27112116</v>
      </c>
      <c r="B3439" s="76" t="s">
        <v>3067</v>
      </c>
    </row>
    <row r="3440" spans="1:2" x14ac:dyDescent="0.25">
      <c r="A3440" s="75">
        <v>27112117</v>
      </c>
      <c r="B3440" s="76" t="s">
        <v>1615</v>
      </c>
    </row>
    <row r="3441" spans="1:2" x14ac:dyDescent="0.25">
      <c r="A3441" s="75">
        <v>27112119</v>
      </c>
      <c r="B3441" s="76" t="s">
        <v>18377</v>
      </c>
    </row>
    <row r="3442" spans="1:2" x14ac:dyDescent="0.25">
      <c r="A3442" s="75">
        <v>27112120</v>
      </c>
      <c r="B3442" s="76" t="s">
        <v>7360</v>
      </c>
    </row>
    <row r="3443" spans="1:2" x14ac:dyDescent="0.25">
      <c r="A3443" s="75">
        <v>27112121</v>
      </c>
      <c r="B3443" s="76" t="s">
        <v>9719</v>
      </c>
    </row>
    <row r="3444" spans="1:2" x14ac:dyDescent="0.25">
      <c r="A3444" s="75">
        <v>27112122</v>
      </c>
      <c r="B3444" s="76" t="s">
        <v>12723</v>
      </c>
    </row>
    <row r="3445" spans="1:2" x14ac:dyDescent="0.25">
      <c r="A3445" s="75">
        <v>27112123</v>
      </c>
      <c r="B3445" s="76" t="s">
        <v>4110</v>
      </c>
    </row>
    <row r="3446" spans="1:2" x14ac:dyDescent="0.25">
      <c r="A3446" s="75">
        <v>27112124</v>
      </c>
      <c r="B3446" s="76" t="s">
        <v>10003</v>
      </c>
    </row>
    <row r="3447" spans="1:2" x14ac:dyDescent="0.25">
      <c r="A3447" s="75">
        <v>27112125</v>
      </c>
      <c r="B3447" s="76" t="s">
        <v>10950</v>
      </c>
    </row>
    <row r="3448" spans="1:2" x14ac:dyDescent="0.25">
      <c r="A3448" s="75">
        <v>27112126</v>
      </c>
      <c r="B3448" s="76" t="s">
        <v>13502</v>
      </c>
    </row>
    <row r="3449" spans="1:2" x14ac:dyDescent="0.25">
      <c r="A3449" s="75">
        <v>27112127</v>
      </c>
      <c r="B3449" s="76" t="s">
        <v>1730</v>
      </c>
    </row>
    <row r="3450" spans="1:2" x14ac:dyDescent="0.25">
      <c r="A3450" s="75">
        <v>27112128</v>
      </c>
      <c r="B3450" s="76" t="s">
        <v>13855</v>
      </c>
    </row>
    <row r="3451" spans="1:2" x14ac:dyDescent="0.25">
      <c r="A3451" s="75">
        <v>27112129</v>
      </c>
      <c r="B3451" s="76" t="s">
        <v>19655</v>
      </c>
    </row>
    <row r="3452" spans="1:2" x14ac:dyDescent="0.25">
      <c r="A3452" s="75">
        <v>27112130</v>
      </c>
      <c r="B3452" s="76" t="s">
        <v>7278</v>
      </c>
    </row>
    <row r="3453" spans="1:2" x14ac:dyDescent="0.25">
      <c r="A3453" s="75">
        <v>27112131</v>
      </c>
      <c r="B3453" s="76" t="s">
        <v>16288</v>
      </c>
    </row>
    <row r="3454" spans="1:2" x14ac:dyDescent="0.25">
      <c r="A3454" s="75">
        <v>27112132</v>
      </c>
      <c r="B3454" s="76" t="s">
        <v>11396</v>
      </c>
    </row>
    <row r="3455" spans="1:2" x14ac:dyDescent="0.25">
      <c r="A3455" s="75">
        <v>27112133</v>
      </c>
      <c r="B3455" s="76" t="s">
        <v>7437</v>
      </c>
    </row>
    <row r="3456" spans="1:2" x14ac:dyDescent="0.25">
      <c r="A3456" s="75">
        <v>27112134</v>
      </c>
      <c r="B3456" s="76" t="s">
        <v>8550</v>
      </c>
    </row>
    <row r="3457" spans="1:2" x14ac:dyDescent="0.25">
      <c r="A3457" s="75">
        <v>27112201</v>
      </c>
      <c r="B3457" s="76" t="s">
        <v>6261</v>
      </c>
    </row>
    <row r="3458" spans="1:2" x14ac:dyDescent="0.25">
      <c r="A3458" s="75">
        <v>27112202</v>
      </c>
      <c r="B3458" s="76" t="s">
        <v>13512</v>
      </c>
    </row>
    <row r="3459" spans="1:2" x14ac:dyDescent="0.25">
      <c r="A3459" s="75">
        <v>27112203</v>
      </c>
      <c r="B3459" s="76" t="s">
        <v>11266</v>
      </c>
    </row>
    <row r="3460" spans="1:2" x14ac:dyDescent="0.25">
      <c r="A3460" s="75">
        <v>27112205</v>
      </c>
      <c r="B3460" s="76" t="s">
        <v>568</v>
      </c>
    </row>
    <row r="3461" spans="1:2" x14ac:dyDescent="0.25">
      <c r="A3461" s="75">
        <v>27112301</v>
      </c>
      <c r="B3461" s="76" t="s">
        <v>16802</v>
      </c>
    </row>
    <row r="3462" spans="1:2" x14ac:dyDescent="0.25">
      <c r="A3462" s="75">
        <v>27112302</v>
      </c>
      <c r="B3462" s="76" t="s">
        <v>8180</v>
      </c>
    </row>
    <row r="3463" spans="1:2" x14ac:dyDescent="0.25">
      <c r="A3463" s="75">
        <v>27112303</v>
      </c>
      <c r="B3463" s="76" t="s">
        <v>7764</v>
      </c>
    </row>
    <row r="3464" spans="1:2" x14ac:dyDescent="0.25">
      <c r="A3464" s="75">
        <v>27112304</v>
      </c>
      <c r="B3464" s="76" t="s">
        <v>9078</v>
      </c>
    </row>
    <row r="3465" spans="1:2" x14ac:dyDescent="0.25">
      <c r="A3465" s="75">
        <v>27112305</v>
      </c>
      <c r="B3465" s="76" t="s">
        <v>2846</v>
      </c>
    </row>
    <row r="3466" spans="1:2" x14ac:dyDescent="0.25">
      <c r="A3466" s="75">
        <v>27112306</v>
      </c>
      <c r="B3466" s="76" t="s">
        <v>1458</v>
      </c>
    </row>
    <row r="3467" spans="1:2" x14ac:dyDescent="0.25">
      <c r="A3467" s="75">
        <v>27112401</v>
      </c>
      <c r="B3467" s="76" t="s">
        <v>16230</v>
      </c>
    </row>
    <row r="3468" spans="1:2" x14ac:dyDescent="0.25">
      <c r="A3468" s="75">
        <v>27112402</v>
      </c>
      <c r="B3468" s="76" t="s">
        <v>8493</v>
      </c>
    </row>
    <row r="3469" spans="1:2" x14ac:dyDescent="0.25">
      <c r="A3469" s="75">
        <v>27112403</v>
      </c>
      <c r="B3469" s="76" t="s">
        <v>9457</v>
      </c>
    </row>
    <row r="3470" spans="1:2" x14ac:dyDescent="0.25">
      <c r="A3470" s="75">
        <v>27112404</v>
      </c>
      <c r="B3470" s="76" t="s">
        <v>12041</v>
      </c>
    </row>
    <row r="3471" spans="1:2" x14ac:dyDescent="0.25">
      <c r="A3471" s="75">
        <v>27112405</v>
      </c>
      <c r="B3471" s="76" t="s">
        <v>13042</v>
      </c>
    </row>
    <row r="3472" spans="1:2" x14ac:dyDescent="0.25">
      <c r="A3472" s="75">
        <v>27112406</v>
      </c>
      <c r="B3472" s="76" t="s">
        <v>11510</v>
      </c>
    </row>
    <row r="3473" spans="1:2" x14ac:dyDescent="0.25">
      <c r="A3473" s="75">
        <v>27112407</v>
      </c>
      <c r="B3473" s="76" t="s">
        <v>4377</v>
      </c>
    </row>
    <row r="3474" spans="1:2" x14ac:dyDescent="0.25">
      <c r="A3474" s="75">
        <v>27112501</v>
      </c>
      <c r="B3474" s="76" t="s">
        <v>1363</v>
      </c>
    </row>
    <row r="3475" spans="1:2" x14ac:dyDescent="0.25">
      <c r="A3475" s="75">
        <v>27112502</v>
      </c>
      <c r="B3475" s="76" t="s">
        <v>4519</v>
      </c>
    </row>
    <row r="3476" spans="1:2" x14ac:dyDescent="0.25">
      <c r="A3476" s="75">
        <v>27112503</v>
      </c>
      <c r="B3476" s="76" t="s">
        <v>12131</v>
      </c>
    </row>
    <row r="3477" spans="1:2" x14ac:dyDescent="0.25">
      <c r="A3477" s="75">
        <v>27112504</v>
      </c>
      <c r="B3477" s="76" t="s">
        <v>3857</v>
      </c>
    </row>
    <row r="3478" spans="1:2" x14ac:dyDescent="0.25">
      <c r="A3478" s="75">
        <v>27112505</v>
      </c>
      <c r="B3478" s="76" t="s">
        <v>290</v>
      </c>
    </row>
    <row r="3479" spans="1:2" x14ac:dyDescent="0.25">
      <c r="A3479" s="75">
        <v>27112506</v>
      </c>
      <c r="B3479" s="76" t="s">
        <v>11279</v>
      </c>
    </row>
    <row r="3480" spans="1:2" x14ac:dyDescent="0.25">
      <c r="A3480" s="75">
        <v>27112601</v>
      </c>
      <c r="B3480" s="76" t="s">
        <v>3623</v>
      </c>
    </row>
    <row r="3481" spans="1:2" x14ac:dyDescent="0.25">
      <c r="A3481" s="75">
        <v>27112602</v>
      </c>
      <c r="B3481" s="76" t="s">
        <v>3675</v>
      </c>
    </row>
    <row r="3482" spans="1:2" x14ac:dyDescent="0.25">
      <c r="A3482" s="75">
        <v>27112701</v>
      </c>
      <c r="B3482" s="76" t="s">
        <v>13071</v>
      </c>
    </row>
    <row r="3483" spans="1:2" x14ac:dyDescent="0.25">
      <c r="A3483" s="75">
        <v>27112702</v>
      </c>
      <c r="B3483" s="76" t="s">
        <v>9949</v>
      </c>
    </row>
    <row r="3484" spans="1:2" x14ac:dyDescent="0.25">
      <c r="A3484" s="75">
        <v>27112703</v>
      </c>
      <c r="B3484" s="76" t="s">
        <v>3486</v>
      </c>
    </row>
    <row r="3485" spans="1:2" x14ac:dyDescent="0.25">
      <c r="A3485" s="75">
        <v>27112704</v>
      </c>
      <c r="B3485" s="76" t="s">
        <v>17479</v>
      </c>
    </row>
    <row r="3486" spans="1:2" x14ac:dyDescent="0.25">
      <c r="A3486" s="75">
        <v>27112705</v>
      </c>
      <c r="B3486" s="76" t="s">
        <v>13989</v>
      </c>
    </row>
    <row r="3487" spans="1:2" x14ac:dyDescent="0.25">
      <c r="A3487" s="75">
        <v>27112706</v>
      </c>
      <c r="B3487" s="76" t="s">
        <v>10775</v>
      </c>
    </row>
    <row r="3488" spans="1:2" x14ac:dyDescent="0.25">
      <c r="A3488" s="75">
        <v>27112707</v>
      </c>
      <c r="B3488" s="76" t="s">
        <v>12525</v>
      </c>
    </row>
    <row r="3489" spans="1:2" x14ac:dyDescent="0.25">
      <c r="A3489" s="75">
        <v>27112708</v>
      </c>
      <c r="B3489" s="76" t="s">
        <v>8155</v>
      </c>
    </row>
    <row r="3490" spans="1:2" x14ac:dyDescent="0.25">
      <c r="A3490" s="75">
        <v>27112709</v>
      </c>
      <c r="B3490" s="76" t="s">
        <v>13566</v>
      </c>
    </row>
    <row r="3491" spans="1:2" x14ac:dyDescent="0.25">
      <c r="A3491" s="75">
        <v>27112710</v>
      </c>
      <c r="B3491" s="76" t="s">
        <v>21</v>
      </c>
    </row>
    <row r="3492" spans="1:2" x14ac:dyDescent="0.25">
      <c r="A3492" s="75">
        <v>27112711</v>
      </c>
      <c r="B3492" s="76" t="s">
        <v>18930</v>
      </c>
    </row>
    <row r="3493" spans="1:2" x14ac:dyDescent="0.25">
      <c r="A3493" s="75">
        <v>27112712</v>
      </c>
      <c r="B3493" s="76" t="s">
        <v>18193</v>
      </c>
    </row>
    <row r="3494" spans="1:2" x14ac:dyDescent="0.25">
      <c r="A3494" s="75">
        <v>27112713</v>
      </c>
      <c r="B3494" s="76" t="s">
        <v>16833</v>
      </c>
    </row>
    <row r="3495" spans="1:2" x14ac:dyDescent="0.25">
      <c r="A3495" s="75">
        <v>27112714</v>
      </c>
      <c r="B3495" s="76" t="s">
        <v>2562</v>
      </c>
    </row>
    <row r="3496" spans="1:2" x14ac:dyDescent="0.25">
      <c r="A3496" s="75">
        <v>27112715</v>
      </c>
      <c r="B3496" s="76" t="s">
        <v>3014</v>
      </c>
    </row>
    <row r="3497" spans="1:2" x14ac:dyDescent="0.25">
      <c r="A3497" s="75">
        <v>27112716</v>
      </c>
      <c r="B3497" s="76" t="s">
        <v>14206</v>
      </c>
    </row>
    <row r="3498" spans="1:2" x14ac:dyDescent="0.25">
      <c r="A3498" s="75">
        <v>27112717</v>
      </c>
      <c r="B3498" s="76" t="s">
        <v>7501</v>
      </c>
    </row>
    <row r="3499" spans="1:2" x14ac:dyDescent="0.25">
      <c r="A3499" s="75">
        <v>27112718</v>
      </c>
      <c r="B3499" s="76" t="s">
        <v>183</v>
      </c>
    </row>
    <row r="3500" spans="1:2" x14ac:dyDescent="0.25">
      <c r="A3500" s="75">
        <v>27112719</v>
      </c>
      <c r="B3500" s="76" t="s">
        <v>10637</v>
      </c>
    </row>
    <row r="3501" spans="1:2" x14ac:dyDescent="0.25">
      <c r="A3501" s="75">
        <v>27112720</v>
      </c>
      <c r="B3501" s="76" t="s">
        <v>14749</v>
      </c>
    </row>
    <row r="3502" spans="1:2" x14ac:dyDescent="0.25">
      <c r="A3502" s="75">
        <v>27112721</v>
      </c>
      <c r="B3502" s="76" t="s">
        <v>18649</v>
      </c>
    </row>
    <row r="3503" spans="1:2" x14ac:dyDescent="0.25">
      <c r="A3503" s="75">
        <v>27112801</v>
      </c>
      <c r="B3503" s="76" t="s">
        <v>13070</v>
      </c>
    </row>
    <row r="3504" spans="1:2" x14ac:dyDescent="0.25">
      <c r="A3504" s="75">
        <v>27112802</v>
      </c>
      <c r="B3504" s="76" t="s">
        <v>614</v>
      </c>
    </row>
    <row r="3505" spans="1:2" x14ac:dyDescent="0.25">
      <c r="A3505" s="75">
        <v>27112803</v>
      </c>
      <c r="B3505" s="76" t="s">
        <v>344</v>
      </c>
    </row>
    <row r="3506" spans="1:2" x14ac:dyDescent="0.25">
      <c r="A3506" s="75">
        <v>27112804</v>
      </c>
      <c r="B3506" s="76" t="s">
        <v>17713</v>
      </c>
    </row>
    <row r="3507" spans="1:2" x14ac:dyDescent="0.25">
      <c r="A3507" s="75">
        <v>27112805</v>
      </c>
      <c r="B3507" s="76" t="s">
        <v>8660</v>
      </c>
    </row>
    <row r="3508" spans="1:2" x14ac:dyDescent="0.25">
      <c r="A3508" s="75">
        <v>27112806</v>
      </c>
      <c r="B3508" s="76" t="s">
        <v>449</v>
      </c>
    </row>
    <row r="3509" spans="1:2" x14ac:dyDescent="0.25">
      <c r="A3509" s="75">
        <v>27112807</v>
      </c>
      <c r="B3509" s="76" t="s">
        <v>3857</v>
      </c>
    </row>
    <row r="3510" spans="1:2" x14ac:dyDescent="0.25">
      <c r="A3510" s="75">
        <v>27112808</v>
      </c>
      <c r="B3510" s="76" t="s">
        <v>10951</v>
      </c>
    </row>
    <row r="3511" spans="1:2" x14ac:dyDescent="0.25">
      <c r="A3511" s="75">
        <v>27112809</v>
      </c>
      <c r="B3511" s="76" t="s">
        <v>11619</v>
      </c>
    </row>
    <row r="3512" spans="1:2" x14ac:dyDescent="0.25">
      <c r="A3512" s="75">
        <v>27112810</v>
      </c>
      <c r="B3512" s="76" t="s">
        <v>16539</v>
      </c>
    </row>
    <row r="3513" spans="1:2" x14ac:dyDescent="0.25">
      <c r="A3513" s="75">
        <v>27112811</v>
      </c>
      <c r="B3513" s="76" t="s">
        <v>19913</v>
      </c>
    </row>
    <row r="3514" spans="1:2" x14ac:dyDescent="0.25">
      <c r="A3514" s="75">
        <v>27112812</v>
      </c>
      <c r="B3514" s="76" t="s">
        <v>16168</v>
      </c>
    </row>
    <row r="3515" spans="1:2" x14ac:dyDescent="0.25">
      <c r="A3515" s="75">
        <v>27112813</v>
      </c>
      <c r="B3515" s="76" t="s">
        <v>1871</v>
      </c>
    </row>
    <row r="3516" spans="1:2" x14ac:dyDescent="0.25">
      <c r="A3516" s="75">
        <v>27112814</v>
      </c>
      <c r="B3516" s="76" t="s">
        <v>18050</v>
      </c>
    </row>
    <row r="3517" spans="1:2" x14ac:dyDescent="0.25">
      <c r="A3517" s="75">
        <v>27112815</v>
      </c>
      <c r="B3517" s="76" t="s">
        <v>5958</v>
      </c>
    </row>
    <row r="3518" spans="1:2" x14ac:dyDescent="0.25">
      <c r="A3518" s="75">
        <v>27112818</v>
      </c>
      <c r="B3518" s="76" t="s">
        <v>17738</v>
      </c>
    </row>
    <row r="3519" spans="1:2" x14ac:dyDescent="0.25">
      <c r="A3519" s="75">
        <v>27112819</v>
      </c>
      <c r="B3519" s="76" t="s">
        <v>18986</v>
      </c>
    </row>
    <row r="3520" spans="1:2" x14ac:dyDescent="0.25">
      <c r="A3520" s="75">
        <v>27112820</v>
      </c>
      <c r="B3520" s="76" t="s">
        <v>20022</v>
      </c>
    </row>
    <row r="3521" spans="1:2" x14ac:dyDescent="0.25">
      <c r="A3521" s="75">
        <v>27112821</v>
      </c>
      <c r="B3521" s="76" t="s">
        <v>11724</v>
      </c>
    </row>
    <row r="3522" spans="1:2" x14ac:dyDescent="0.25">
      <c r="A3522" s="75">
        <v>27112822</v>
      </c>
      <c r="B3522" s="76" t="s">
        <v>4836</v>
      </c>
    </row>
    <row r="3523" spans="1:2" x14ac:dyDescent="0.25">
      <c r="A3523" s="75">
        <v>27112823</v>
      </c>
      <c r="B3523" s="76" t="s">
        <v>14948</v>
      </c>
    </row>
    <row r="3524" spans="1:2" x14ac:dyDescent="0.25">
      <c r="A3524" s="75">
        <v>27112824</v>
      </c>
      <c r="B3524" s="76" t="s">
        <v>13780</v>
      </c>
    </row>
    <row r="3525" spans="1:2" x14ac:dyDescent="0.25">
      <c r="A3525" s="75">
        <v>27112825</v>
      </c>
      <c r="B3525" s="76" t="s">
        <v>11470</v>
      </c>
    </row>
    <row r="3526" spans="1:2" x14ac:dyDescent="0.25">
      <c r="A3526" s="75">
        <v>27112826</v>
      </c>
      <c r="B3526" s="76" t="s">
        <v>18559</v>
      </c>
    </row>
    <row r="3527" spans="1:2" x14ac:dyDescent="0.25">
      <c r="A3527" s="75">
        <v>27112901</v>
      </c>
      <c r="B3527" s="76" t="s">
        <v>10781</v>
      </c>
    </row>
    <row r="3528" spans="1:2" x14ac:dyDescent="0.25">
      <c r="A3528" s="75">
        <v>27112902</v>
      </c>
      <c r="B3528" s="76" t="s">
        <v>13058</v>
      </c>
    </row>
    <row r="3529" spans="1:2" x14ac:dyDescent="0.25">
      <c r="A3529" s="75">
        <v>27112903</v>
      </c>
      <c r="B3529" s="76" t="s">
        <v>2531</v>
      </c>
    </row>
    <row r="3530" spans="1:2" x14ac:dyDescent="0.25">
      <c r="A3530" s="75">
        <v>27112904</v>
      </c>
      <c r="B3530" s="76" t="s">
        <v>1133</v>
      </c>
    </row>
    <row r="3531" spans="1:2" x14ac:dyDescent="0.25">
      <c r="A3531" s="75">
        <v>27112905</v>
      </c>
      <c r="B3531" s="76" t="s">
        <v>4229</v>
      </c>
    </row>
    <row r="3532" spans="1:2" x14ac:dyDescent="0.25">
      <c r="A3532" s="75">
        <v>27112906</v>
      </c>
      <c r="B3532" s="76" t="s">
        <v>3872</v>
      </c>
    </row>
    <row r="3533" spans="1:2" x14ac:dyDescent="0.25">
      <c r="A3533" s="75">
        <v>27112907</v>
      </c>
      <c r="B3533" s="76" t="s">
        <v>1657</v>
      </c>
    </row>
    <row r="3534" spans="1:2" x14ac:dyDescent="0.25">
      <c r="A3534" s="75">
        <v>27112908</v>
      </c>
      <c r="B3534" s="76" t="s">
        <v>17726</v>
      </c>
    </row>
    <row r="3535" spans="1:2" x14ac:dyDescent="0.25">
      <c r="A3535" s="75">
        <v>27113001</v>
      </c>
      <c r="B3535" s="76" t="s">
        <v>10571</v>
      </c>
    </row>
    <row r="3536" spans="1:2" x14ac:dyDescent="0.25">
      <c r="A3536" s="75">
        <v>27113002</v>
      </c>
      <c r="B3536" s="76" t="s">
        <v>17996</v>
      </c>
    </row>
    <row r="3537" spans="1:2" x14ac:dyDescent="0.25">
      <c r="A3537" s="75">
        <v>27113003</v>
      </c>
      <c r="B3537" s="76" t="s">
        <v>3534</v>
      </c>
    </row>
    <row r="3538" spans="1:2" x14ac:dyDescent="0.25">
      <c r="A3538" s="75">
        <v>27113004</v>
      </c>
      <c r="B3538" s="76" t="s">
        <v>18464</v>
      </c>
    </row>
    <row r="3539" spans="1:2" x14ac:dyDescent="0.25">
      <c r="A3539" s="75">
        <v>27113101</v>
      </c>
      <c r="B3539" s="76" t="s">
        <v>472</v>
      </c>
    </row>
    <row r="3540" spans="1:2" x14ac:dyDescent="0.25">
      <c r="A3540" s="75">
        <v>27113102</v>
      </c>
      <c r="B3540" s="76" t="s">
        <v>8248</v>
      </c>
    </row>
    <row r="3541" spans="1:2" x14ac:dyDescent="0.25">
      <c r="A3541" s="75">
        <v>27113103</v>
      </c>
      <c r="B3541" s="76" t="s">
        <v>13943</v>
      </c>
    </row>
    <row r="3542" spans="1:2" x14ac:dyDescent="0.25">
      <c r="A3542" s="75">
        <v>27113201</v>
      </c>
      <c r="B3542" s="76" t="s">
        <v>14347</v>
      </c>
    </row>
    <row r="3543" spans="1:2" x14ac:dyDescent="0.25">
      <c r="A3543" s="75">
        <v>27113202</v>
      </c>
      <c r="B3543" s="76" t="s">
        <v>2362</v>
      </c>
    </row>
    <row r="3544" spans="1:2" x14ac:dyDescent="0.25">
      <c r="A3544" s="75">
        <v>27113203</v>
      </c>
      <c r="B3544" s="76" t="s">
        <v>7979</v>
      </c>
    </row>
    <row r="3545" spans="1:2" x14ac:dyDescent="0.25">
      <c r="A3545" s="75">
        <v>27113204</v>
      </c>
      <c r="B3545" s="76" t="s">
        <v>1024</v>
      </c>
    </row>
    <row r="3546" spans="1:2" x14ac:dyDescent="0.25">
      <c r="A3546" s="75">
        <v>27121501</v>
      </c>
      <c r="B3546" s="76" t="s">
        <v>11248</v>
      </c>
    </row>
    <row r="3547" spans="1:2" x14ac:dyDescent="0.25">
      <c r="A3547" s="75">
        <v>27121502</v>
      </c>
      <c r="B3547" s="76" t="s">
        <v>4254</v>
      </c>
    </row>
    <row r="3548" spans="1:2" x14ac:dyDescent="0.25">
      <c r="A3548" s="75">
        <v>27121503</v>
      </c>
      <c r="B3548" s="76" t="s">
        <v>16134</v>
      </c>
    </row>
    <row r="3549" spans="1:2" x14ac:dyDescent="0.25">
      <c r="A3549" s="75">
        <v>27121601</v>
      </c>
      <c r="B3549" s="76" t="s">
        <v>674</v>
      </c>
    </row>
    <row r="3550" spans="1:2" x14ac:dyDescent="0.25">
      <c r="A3550" s="75">
        <v>27121602</v>
      </c>
      <c r="B3550" s="76" t="s">
        <v>13403</v>
      </c>
    </row>
    <row r="3551" spans="1:2" x14ac:dyDescent="0.25">
      <c r="A3551" s="75">
        <v>27121603</v>
      </c>
      <c r="B3551" s="76" t="s">
        <v>71</v>
      </c>
    </row>
    <row r="3552" spans="1:2" x14ac:dyDescent="0.25">
      <c r="A3552" s="75">
        <v>27121604</v>
      </c>
      <c r="B3552" s="76" t="s">
        <v>8438</v>
      </c>
    </row>
    <row r="3553" spans="1:2" x14ac:dyDescent="0.25">
      <c r="A3553" s="75">
        <v>27121605</v>
      </c>
      <c r="B3553" s="76" t="s">
        <v>13116</v>
      </c>
    </row>
    <row r="3554" spans="1:2" x14ac:dyDescent="0.25">
      <c r="A3554" s="75">
        <v>27121606</v>
      </c>
      <c r="B3554" s="76" t="s">
        <v>9453</v>
      </c>
    </row>
    <row r="3555" spans="1:2" x14ac:dyDescent="0.25">
      <c r="A3555" s="75">
        <v>27121701</v>
      </c>
      <c r="B3555" s="76" t="s">
        <v>4167</v>
      </c>
    </row>
    <row r="3556" spans="1:2" x14ac:dyDescent="0.25">
      <c r="A3556" s="75">
        <v>27121702</v>
      </c>
      <c r="B3556" s="76" t="s">
        <v>3227</v>
      </c>
    </row>
    <row r="3557" spans="1:2" x14ac:dyDescent="0.25">
      <c r="A3557" s="75">
        <v>27121703</v>
      </c>
      <c r="B3557" s="76" t="s">
        <v>14801</v>
      </c>
    </row>
    <row r="3558" spans="1:2" x14ac:dyDescent="0.25">
      <c r="A3558" s="75">
        <v>27121704</v>
      </c>
      <c r="B3558" s="76" t="s">
        <v>1441</v>
      </c>
    </row>
    <row r="3559" spans="1:2" x14ac:dyDescent="0.25">
      <c r="A3559" s="75">
        <v>27121705</v>
      </c>
      <c r="B3559" s="76" t="s">
        <v>2891</v>
      </c>
    </row>
    <row r="3560" spans="1:2" x14ac:dyDescent="0.25">
      <c r="A3560" s="75">
        <v>27121706</v>
      </c>
      <c r="B3560" s="76" t="s">
        <v>622</v>
      </c>
    </row>
    <row r="3561" spans="1:2" x14ac:dyDescent="0.25">
      <c r="A3561" s="75">
        <v>27121707</v>
      </c>
      <c r="B3561" s="76" t="s">
        <v>8985</v>
      </c>
    </row>
    <row r="3562" spans="1:2" x14ac:dyDescent="0.25">
      <c r="A3562" s="75">
        <v>27126101</v>
      </c>
      <c r="B3562" s="76" t="s">
        <v>14731</v>
      </c>
    </row>
    <row r="3563" spans="1:2" x14ac:dyDescent="0.25">
      <c r="A3563" s="75">
        <v>27126102</v>
      </c>
      <c r="B3563" s="76" t="s">
        <v>4086</v>
      </c>
    </row>
    <row r="3564" spans="1:2" x14ac:dyDescent="0.25">
      <c r="A3564" s="75">
        <v>27131501</v>
      </c>
      <c r="B3564" s="76" t="s">
        <v>6703</v>
      </c>
    </row>
    <row r="3565" spans="1:2" x14ac:dyDescent="0.25">
      <c r="A3565" s="75">
        <v>27131502</v>
      </c>
      <c r="B3565" s="76" t="s">
        <v>9584</v>
      </c>
    </row>
    <row r="3566" spans="1:2" x14ac:dyDescent="0.25">
      <c r="A3566" s="75">
        <v>27131504</v>
      </c>
      <c r="B3566" s="76" t="s">
        <v>11079</v>
      </c>
    </row>
    <row r="3567" spans="1:2" x14ac:dyDescent="0.25">
      <c r="A3567" s="75">
        <v>27131505</v>
      </c>
      <c r="B3567" s="76" t="s">
        <v>19294</v>
      </c>
    </row>
    <row r="3568" spans="1:2" x14ac:dyDescent="0.25">
      <c r="A3568" s="75">
        <v>27131506</v>
      </c>
      <c r="B3568" s="76" t="s">
        <v>7762</v>
      </c>
    </row>
    <row r="3569" spans="1:2" x14ac:dyDescent="0.25">
      <c r="A3569" s="75">
        <v>27131507</v>
      </c>
      <c r="B3569" s="76" t="s">
        <v>15589</v>
      </c>
    </row>
    <row r="3570" spans="1:2" x14ac:dyDescent="0.25">
      <c r="A3570" s="75">
        <v>27131508</v>
      </c>
      <c r="B3570" s="76" t="s">
        <v>1568</v>
      </c>
    </row>
    <row r="3571" spans="1:2" x14ac:dyDescent="0.25">
      <c r="A3571" s="75">
        <v>27131509</v>
      </c>
      <c r="B3571" s="76" t="s">
        <v>8359</v>
      </c>
    </row>
    <row r="3572" spans="1:2" x14ac:dyDescent="0.25">
      <c r="A3572" s="75">
        <v>27131510</v>
      </c>
      <c r="B3572" s="76" t="s">
        <v>12202</v>
      </c>
    </row>
    <row r="3573" spans="1:2" x14ac:dyDescent="0.25">
      <c r="A3573" s="75">
        <v>27131511</v>
      </c>
      <c r="B3573" s="76" t="s">
        <v>7505</v>
      </c>
    </row>
    <row r="3574" spans="1:2" x14ac:dyDescent="0.25">
      <c r="A3574" s="75">
        <v>27131512</v>
      </c>
      <c r="B3574" s="76" t="s">
        <v>18083</v>
      </c>
    </row>
    <row r="3575" spans="1:2" x14ac:dyDescent="0.25">
      <c r="A3575" s="75">
        <v>27131601</v>
      </c>
      <c r="B3575" s="76" t="s">
        <v>9754</v>
      </c>
    </row>
    <row r="3576" spans="1:2" x14ac:dyDescent="0.25">
      <c r="A3576" s="75">
        <v>27131603</v>
      </c>
      <c r="B3576" s="76" t="s">
        <v>30</v>
      </c>
    </row>
    <row r="3577" spans="1:2" x14ac:dyDescent="0.25">
      <c r="A3577" s="75">
        <v>27131604</v>
      </c>
      <c r="B3577" s="76" t="s">
        <v>2594</v>
      </c>
    </row>
    <row r="3578" spans="1:2" x14ac:dyDescent="0.25">
      <c r="A3578" s="75">
        <v>27131605</v>
      </c>
      <c r="B3578" s="76" t="s">
        <v>7996</v>
      </c>
    </row>
    <row r="3579" spans="1:2" x14ac:dyDescent="0.25">
      <c r="A3579" s="75">
        <v>27131608</v>
      </c>
      <c r="B3579" s="76" t="s">
        <v>12801</v>
      </c>
    </row>
    <row r="3580" spans="1:2" x14ac:dyDescent="0.25">
      <c r="A3580" s="75">
        <v>27131609</v>
      </c>
      <c r="B3580" s="76" t="s">
        <v>17092</v>
      </c>
    </row>
    <row r="3581" spans="1:2" x14ac:dyDescent="0.25">
      <c r="A3581" s="75">
        <v>27131610</v>
      </c>
      <c r="B3581" s="76" t="s">
        <v>10443</v>
      </c>
    </row>
    <row r="3582" spans="1:2" x14ac:dyDescent="0.25">
      <c r="A3582" s="75">
        <v>27131613</v>
      </c>
      <c r="B3582" s="76" t="s">
        <v>1635</v>
      </c>
    </row>
    <row r="3583" spans="1:2" x14ac:dyDescent="0.25">
      <c r="A3583" s="75">
        <v>27131614</v>
      </c>
      <c r="B3583" s="76" t="s">
        <v>1533</v>
      </c>
    </row>
    <row r="3584" spans="1:2" x14ac:dyDescent="0.25">
      <c r="A3584" s="75">
        <v>27131701</v>
      </c>
      <c r="B3584" s="76" t="s">
        <v>2008</v>
      </c>
    </row>
    <row r="3585" spans="1:2" x14ac:dyDescent="0.25">
      <c r="A3585" s="75">
        <v>27131702</v>
      </c>
      <c r="B3585" s="76" t="s">
        <v>6191</v>
      </c>
    </row>
    <row r="3586" spans="1:2" x14ac:dyDescent="0.25">
      <c r="A3586" s="75">
        <v>27131703</v>
      </c>
      <c r="B3586" s="76" t="s">
        <v>10626</v>
      </c>
    </row>
    <row r="3587" spans="1:2" x14ac:dyDescent="0.25">
      <c r="A3587" s="75">
        <v>27131704</v>
      </c>
      <c r="B3587" s="76" t="s">
        <v>19686</v>
      </c>
    </row>
    <row r="3588" spans="1:2" x14ac:dyDescent="0.25">
      <c r="A3588" s="75">
        <v>27131705</v>
      </c>
      <c r="B3588" s="76" t="s">
        <v>15579</v>
      </c>
    </row>
    <row r="3589" spans="1:2" x14ac:dyDescent="0.25">
      <c r="A3589" s="75">
        <v>27131706</v>
      </c>
      <c r="B3589" s="76" t="s">
        <v>1535</v>
      </c>
    </row>
    <row r="3590" spans="1:2" x14ac:dyDescent="0.25">
      <c r="A3590" s="75">
        <v>27131707</v>
      </c>
      <c r="B3590" s="76" t="s">
        <v>10247</v>
      </c>
    </row>
    <row r="3591" spans="1:2" x14ac:dyDescent="0.25">
      <c r="A3591" s="75">
        <v>27131708</v>
      </c>
      <c r="B3591" s="76" t="s">
        <v>3178</v>
      </c>
    </row>
    <row r="3592" spans="1:2" x14ac:dyDescent="0.25">
      <c r="A3592" s="75">
        <v>27131709</v>
      </c>
      <c r="B3592" s="76" t="s">
        <v>6200</v>
      </c>
    </row>
    <row r="3593" spans="1:2" x14ac:dyDescent="0.25">
      <c r="A3593" s="75">
        <v>27141001</v>
      </c>
      <c r="B3593" s="76" t="s">
        <v>10634</v>
      </c>
    </row>
    <row r="3594" spans="1:2" x14ac:dyDescent="0.25">
      <c r="A3594" s="75">
        <v>27141101</v>
      </c>
      <c r="B3594" s="76" t="s">
        <v>16980</v>
      </c>
    </row>
    <row r="3595" spans="1:2" x14ac:dyDescent="0.25">
      <c r="A3595" s="75">
        <v>30101501</v>
      </c>
      <c r="B3595" s="76" t="s">
        <v>1798</v>
      </c>
    </row>
    <row r="3596" spans="1:2" x14ac:dyDescent="0.25">
      <c r="A3596" s="75">
        <v>30101502</v>
      </c>
      <c r="B3596" s="76" t="s">
        <v>16306</v>
      </c>
    </row>
    <row r="3597" spans="1:2" x14ac:dyDescent="0.25">
      <c r="A3597" s="75">
        <v>30101503</v>
      </c>
      <c r="B3597" s="76" t="s">
        <v>14070</v>
      </c>
    </row>
    <row r="3598" spans="1:2" x14ac:dyDescent="0.25">
      <c r="A3598" s="75">
        <v>30101504</v>
      </c>
      <c r="B3598" s="76" t="s">
        <v>3990</v>
      </c>
    </row>
    <row r="3599" spans="1:2" x14ac:dyDescent="0.25">
      <c r="A3599" s="75">
        <v>30101505</v>
      </c>
      <c r="B3599" s="76" t="s">
        <v>330</v>
      </c>
    </row>
    <row r="3600" spans="1:2" x14ac:dyDescent="0.25">
      <c r="A3600" s="75">
        <v>30101506</v>
      </c>
      <c r="B3600" s="76" t="s">
        <v>526</v>
      </c>
    </row>
    <row r="3601" spans="1:2" x14ac:dyDescent="0.25">
      <c r="A3601" s="75">
        <v>30101507</v>
      </c>
      <c r="B3601" s="76" t="s">
        <v>10256</v>
      </c>
    </row>
    <row r="3602" spans="1:2" x14ac:dyDescent="0.25">
      <c r="A3602" s="75">
        <v>30101508</v>
      </c>
      <c r="B3602" s="76" t="s">
        <v>10086</v>
      </c>
    </row>
    <row r="3603" spans="1:2" x14ac:dyDescent="0.25">
      <c r="A3603" s="75">
        <v>30101509</v>
      </c>
      <c r="B3603" s="76" t="s">
        <v>10464</v>
      </c>
    </row>
    <row r="3604" spans="1:2" x14ac:dyDescent="0.25">
      <c r="A3604" s="75">
        <v>30101510</v>
      </c>
      <c r="B3604" s="76" t="s">
        <v>3171</v>
      </c>
    </row>
    <row r="3605" spans="1:2" x14ac:dyDescent="0.25">
      <c r="A3605" s="75">
        <v>30101511</v>
      </c>
      <c r="B3605" s="76" t="s">
        <v>7312</v>
      </c>
    </row>
    <row r="3606" spans="1:2" x14ac:dyDescent="0.25">
      <c r="A3606" s="75">
        <v>30101512</v>
      </c>
      <c r="B3606" s="76" t="s">
        <v>10628</v>
      </c>
    </row>
    <row r="3607" spans="1:2" x14ac:dyDescent="0.25">
      <c r="A3607" s="75">
        <v>30101513</v>
      </c>
      <c r="B3607" s="76" t="s">
        <v>17130</v>
      </c>
    </row>
    <row r="3608" spans="1:2" x14ac:dyDescent="0.25">
      <c r="A3608" s="75">
        <v>30101514</v>
      </c>
      <c r="B3608" s="76" t="s">
        <v>6088</v>
      </c>
    </row>
    <row r="3609" spans="1:2" x14ac:dyDescent="0.25">
      <c r="A3609" s="75">
        <v>30101515</v>
      </c>
      <c r="B3609" s="76" t="s">
        <v>2483</v>
      </c>
    </row>
    <row r="3610" spans="1:2" x14ac:dyDescent="0.25">
      <c r="A3610" s="75">
        <v>30101516</v>
      </c>
      <c r="B3610" s="76" t="s">
        <v>2596</v>
      </c>
    </row>
    <row r="3611" spans="1:2" x14ac:dyDescent="0.25">
      <c r="A3611" s="75">
        <v>30101517</v>
      </c>
      <c r="B3611" s="76" t="s">
        <v>6068</v>
      </c>
    </row>
    <row r="3612" spans="1:2" x14ac:dyDescent="0.25">
      <c r="A3612" s="75">
        <v>30101601</v>
      </c>
      <c r="B3612" s="76" t="s">
        <v>8771</v>
      </c>
    </row>
    <row r="3613" spans="1:2" x14ac:dyDescent="0.25">
      <c r="A3613" s="75">
        <v>30101602</v>
      </c>
      <c r="B3613" s="76" t="s">
        <v>2900</v>
      </c>
    </row>
    <row r="3614" spans="1:2" x14ac:dyDescent="0.25">
      <c r="A3614" s="75">
        <v>30101603</v>
      </c>
      <c r="B3614" s="76" t="s">
        <v>12758</v>
      </c>
    </row>
    <row r="3615" spans="1:2" x14ac:dyDescent="0.25">
      <c r="A3615" s="75">
        <v>30101604</v>
      </c>
      <c r="B3615" s="76" t="s">
        <v>7185</v>
      </c>
    </row>
    <row r="3616" spans="1:2" x14ac:dyDescent="0.25">
      <c r="A3616" s="75">
        <v>30101605</v>
      </c>
      <c r="B3616" s="76" t="s">
        <v>5327</v>
      </c>
    </row>
    <row r="3617" spans="1:2" x14ac:dyDescent="0.25">
      <c r="A3617" s="75">
        <v>30101606</v>
      </c>
      <c r="B3617" s="76" t="s">
        <v>16756</v>
      </c>
    </row>
    <row r="3618" spans="1:2" x14ac:dyDescent="0.25">
      <c r="A3618" s="75">
        <v>30101607</v>
      </c>
      <c r="B3618" s="76" t="s">
        <v>4516</v>
      </c>
    </row>
    <row r="3619" spans="1:2" x14ac:dyDescent="0.25">
      <c r="A3619" s="75">
        <v>30101608</v>
      </c>
      <c r="B3619" s="76" t="s">
        <v>16368</v>
      </c>
    </row>
    <row r="3620" spans="1:2" x14ac:dyDescent="0.25">
      <c r="A3620" s="75">
        <v>30101609</v>
      </c>
      <c r="B3620" s="76" t="s">
        <v>5744</v>
      </c>
    </row>
    <row r="3621" spans="1:2" x14ac:dyDescent="0.25">
      <c r="A3621" s="75">
        <v>30101610</v>
      </c>
      <c r="B3621" s="76" t="s">
        <v>1546</v>
      </c>
    </row>
    <row r="3622" spans="1:2" x14ac:dyDescent="0.25">
      <c r="A3622" s="75">
        <v>30101611</v>
      </c>
      <c r="B3622" s="76" t="s">
        <v>5786</v>
      </c>
    </row>
    <row r="3623" spans="1:2" x14ac:dyDescent="0.25">
      <c r="A3623" s="75">
        <v>30101612</v>
      </c>
      <c r="B3623" s="76" t="s">
        <v>5124</v>
      </c>
    </row>
    <row r="3624" spans="1:2" x14ac:dyDescent="0.25">
      <c r="A3624" s="75">
        <v>30101613</v>
      </c>
      <c r="B3624" s="76" t="s">
        <v>6724</v>
      </c>
    </row>
    <row r="3625" spans="1:2" x14ac:dyDescent="0.25">
      <c r="A3625" s="75">
        <v>30101614</v>
      </c>
      <c r="B3625" s="76" t="s">
        <v>11428</v>
      </c>
    </row>
    <row r="3626" spans="1:2" x14ac:dyDescent="0.25">
      <c r="A3626" s="75">
        <v>30101615</v>
      </c>
      <c r="B3626" s="76" t="s">
        <v>14388</v>
      </c>
    </row>
    <row r="3627" spans="1:2" x14ac:dyDescent="0.25">
      <c r="A3627" s="75">
        <v>30101616</v>
      </c>
      <c r="B3627" s="76" t="s">
        <v>9055</v>
      </c>
    </row>
    <row r="3628" spans="1:2" x14ac:dyDescent="0.25">
      <c r="A3628" s="75">
        <v>30101617</v>
      </c>
      <c r="B3628" s="76" t="s">
        <v>12415</v>
      </c>
    </row>
    <row r="3629" spans="1:2" x14ac:dyDescent="0.25">
      <c r="A3629" s="75">
        <v>30101618</v>
      </c>
      <c r="B3629" s="76" t="s">
        <v>9259</v>
      </c>
    </row>
    <row r="3630" spans="1:2" x14ac:dyDescent="0.25">
      <c r="A3630" s="75">
        <v>30101701</v>
      </c>
      <c r="B3630" s="76" t="s">
        <v>7573</v>
      </c>
    </row>
    <row r="3631" spans="1:2" x14ac:dyDescent="0.25">
      <c r="A3631" s="75">
        <v>30101702</v>
      </c>
      <c r="B3631" s="76" t="s">
        <v>5193</v>
      </c>
    </row>
    <row r="3632" spans="1:2" x14ac:dyDescent="0.25">
      <c r="A3632" s="75">
        <v>30101703</v>
      </c>
      <c r="B3632" s="76" t="s">
        <v>9185</v>
      </c>
    </row>
    <row r="3633" spans="1:2" x14ac:dyDescent="0.25">
      <c r="A3633" s="75">
        <v>30101704</v>
      </c>
      <c r="B3633" s="76" t="s">
        <v>9498</v>
      </c>
    </row>
    <row r="3634" spans="1:2" x14ac:dyDescent="0.25">
      <c r="A3634" s="75">
        <v>30101705</v>
      </c>
      <c r="B3634" s="76" t="s">
        <v>19007</v>
      </c>
    </row>
    <row r="3635" spans="1:2" x14ac:dyDescent="0.25">
      <c r="A3635" s="75">
        <v>30101706</v>
      </c>
      <c r="B3635" s="76" t="s">
        <v>1960</v>
      </c>
    </row>
    <row r="3636" spans="1:2" x14ac:dyDescent="0.25">
      <c r="A3636" s="75">
        <v>30101707</v>
      </c>
      <c r="B3636" s="76" t="s">
        <v>6960</v>
      </c>
    </row>
    <row r="3637" spans="1:2" x14ac:dyDescent="0.25">
      <c r="A3637" s="75">
        <v>30101708</v>
      </c>
      <c r="B3637" s="76" t="s">
        <v>7637</v>
      </c>
    </row>
    <row r="3638" spans="1:2" x14ac:dyDescent="0.25">
      <c r="A3638" s="75">
        <v>30101709</v>
      </c>
      <c r="B3638" s="76" t="s">
        <v>5936</v>
      </c>
    </row>
    <row r="3639" spans="1:2" x14ac:dyDescent="0.25">
      <c r="A3639" s="75">
        <v>30101710</v>
      </c>
      <c r="B3639" s="76" t="s">
        <v>11478</v>
      </c>
    </row>
    <row r="3640" spans="1:2" x14ac:dyDescent="0.25">
      <c r="A3640" s="75">
        <v>30101711</v>
      </c>
      <c r="B3640" s="76" t="s">
        <v>14668</v>
      </c>
    </row>
    <row r="3641" spans="1:2" x14ac:dyDescent="0.25">
      <c r="A3641" s="75">
        <v>30101712</v>
      </c>
      <c r="B3641" s="76" t="s">
        <v>12784</v>
      </c>
    </row>
    <row r="3642" spans="1:2" x14ac:dyDescent="0.25">
      <c r="A3642" s="75">
        <v>30101713</v>
      </c>
      <c r="B3642" s="76" t="s">
        <v>6872</v>
      </c>
    </row>
    <row r="3643" spans="1:2" x14ac:dyDescent="0.25">
      <c r="A3643" s="75">
        <v>30101714</v>
      </c>
      <c r="B3643" s="76" t="s">
        <v>11632</v>
      </c>
    </row>
    <row r="3644" spans="1:2" x14ac:dyDescent="0.25">
      <c r="A3644" s="75">
        <v>30101715</v>
      </c>
      <c r="B3644" s="76" t="s">
        <v>12186</v>
      </c>
    </row>
    <row r="3645" spans="1:2" x14ac:dyDescent="0.25">
      <c r="A3645" s="75">
        <v>30101716</v>
      </c>
      <c r="B3645" s="76" t="s">
        <v>15486</v>
      </c>
    </row>
    <row r="3646" spans="1:2" x14ac:dyDescent="0.25">
      <c r="A3646" s="75">
        <v>30101717</v>
      </c>
      <c r="B3646" s="76" t="s">
        <v>11846</v>
      </c>
    </row>
    <row r="3647" spans="1:2" x14ac:dyDescent="0.25">
      <c r="A3647" s="75">
        <v>30101718</v>
      </c>
      <c r="B3647" s="76" t="s">
        <v>5039</v>
      </c>
    </row>
    <row r="3648" spans="1:2" x14ac:dyDescent="0.25">
      <c r="A3648" s="75">
        <v>30101801</v>
      </c>
      <c r="B3648" s="76" t="s">
        <v>298</v>
      </c>
    </row>
    <row r="3649" spans="1:2" x14ac:dyDescent="0.25">
      <c r="A3649" s="75">
        <v>30101802</v>
      </c>
      <c r="B3649" s="76" t="s">
        <v>9388</v>
      </c>
    </row>
    <row r="3650" spans="1:2" x14ac:dyDescent="0.25">
      <c r="A3650" s="75">
        <v>30101803</v>
      </c>
      <c r="B3650" s="76" t="s">
        <v>16925</v>
      </c>
    </row>
    <row r="3651" spans="1:2" x14ac:dyDescent="0.25">
      <c r="A3651" s="75">
        <v>30101804</v>
      </c>
      <c r="B3651" s="76" t="s">
        <v>116</v>
      </c>
    </row>
    <row r="3652" spans="1:2" x14ac:dyDescent="0.25">
      <c r="A3652" s="75">
        <v>30101805</v>
      </c>
      <c r="B3652" s="76" t="s">
        <v>4225</v>
      </c>
    </row>
    <row r="3653" spans="1:2" x14ac:dyDescent="0.25">
      <c r="A3653" s="75">
        <v>30101806</v>
      </c>
      <c r="B3653" s="76" t="s">
        <v>2906</v>
      </c>
    </row>
    <row r="3654" spans="1:2" x14ac:dyDescent="0.25">
      <c r="A3654" s="75">
        <v>30101807</v>
      </c>
      <c r="B3654" s="76" t="s">
        <v>19673</v>
      </c>
    </row>
    <row r="3655" spans="1:2" x14ac:dyDescent="0.25">
      <c r="A3655" s="75">
        <v>30101808</v>
      </c>
      <c r="B3655" s="76" t="s">
        <v>7536</v>
      </c>
    </row>
    <row r="3656" spans="1:2" x14ac:dyDescent="0.25">
      <c r="A3656" s="75">
        <v>30101809</v>
      </c>
      <c r="B3656" s="76" t="s">
        <v>1810</v>
      </c>
    </row>
    <row r="3657" spans="1:2" x14ac:dyDescent="0.25">
      <c r="A3657" s="75">
        <v>30101810</v>
      </c>
      <c r="B3657" s="76" t="s">
        <v>13562</v>
      </c>
    </row>
    <row r="3658" spans="1:2" x14ac:dyDescent="0.25">
      <c r="A3658" s="75">
        <v>30101811</v>
      </c>
      <c r="B3658" s="76" t="s">
        <v>12524</v>
      </c>
    </row>
    <row r="3659" spans="1:2" x14ac:dyDescent="0.25">
      <c r="A3659" s="75">
        <v>30101812</v>
      </c>
      <c r="B3659" s="76" t="s">
        <v>470</v>
      </c>
    </row>
    <row r="3660" spans="1:2" x14ac:dyDescent="0.25">
      <c r="A3660" s="75">
        <v>30101813</v>
      </c>
      <c r="B3660" s="76" t="s">
        <v>14</v>
      </c>
    </row>
    <row r="3661" spans="1:2" x14ac:dyDescent="0.25">
      <c r="A3661" s="75">
        <v>30101814</v>
      </c>
      <c r="B3661" s="76" t="s">
        <v>17717</v>
      </c>
    </row>
    <row r="3662" spans="1:2" x14ac:dyDescent="0.25">
      <c r="A3662" s="75">
        <v>30101815</v>
      </c>
      <c r="B3662" s="76" t="s">
        <v>937</v>
      </c>
    </row>
    <row r="3663" spans="1:2" x14ac:dyDescent="0.25">
      <c r="A3663" s="75">
        <v>30101816</v>
      </c>
      <c r="B3663" s="76" t="s">
        <v>1732</v>
      </c>
    </row>
    <row r="3664" spans="1:2" x14ac:dyDescent="0.25">
      <c r="A3664" s="75">
        <v>30101817</v>
      </c>
      <c r="B3664" s="76" t="s">
        <v>17182</v>
      </c>
    </row>
    <row r="3665" spans="1:2" x14ac:dyDescent="0.25">
      <c r="A3665" s="75">
        <v>30101901</v>
      </c>
      <c r="B3665" s="76" t="s">
        <v>4382</v>
      </c>
    </row>
    <row r="3666" spans="1:2" x14ac:dyDescent="0.25">
      <c r="A3666" s="75">
        <v>30101902</v>
      </c>
      <c r="B3666" s="76" t="s">
        <v>18561</v>
      </c>
    </row>
    <row r="3667" spans="1:2" x14ac:dyDescent="0.25">
      <c r="A3667" s="75">
        <v>30101903</v>
      </c>
      <c r="B3667" s="76" t="s">
        <v>10485</v>
      </c>
    </row>
    <row r="3668" spans="1:2" x14ac:dyDescent="0.25">
      <c r="A3668" s="75">
        <v>30101904</v>
      </c>
      <c r="B3668" s="76" t="s">
        <v>1099</v>
      </c>
    </row>
    <row r="3669" spans="1:2" x14ac:dyDescent="0.25">
      <c r="A3669" s="75">
        <v>30101905</v>
      </c>
      <c r="B3669" s="76" t="s">
        <v>9027</v>
      </c>
    </row>
    <row r="3670" spans="1:2" x14ac:dyDescent="0.25">
      <c r="A3670" s="75">
        <v>30101906</v>
      </c>
      <c r="B3670" s="76" t="s">
        <v>18873</v>
      </c>
    </row>
    <row r="3671" spans="1:2" x14ac:dyDescent="0.25">
      <c r="A3671" s="75">
        <v>30101907</v>
      </c>
      <c r="B3671" s="76" t="s">
        <v>2930</v>
      </c>
    </row>
    <row r="3672" spans="1:2" x14ac:dyDescent="0.25">
      <c r="A3672" s="75">
        <v>30101908</v>
      </c>
      <c r="B3672" s="76" t="s">
        <v>9485</v>
      </c>
    </row>
    <row r="3673" spans="1:2" x14ac:dyDescent="0.25">
      <c r="A3673" s="75">
        <v>30101909</v>
      </c>
      <c r="B3673" s="76" t="s">
        <v>11923</v>
      </c>
    </row>
    <row r="3674" spans="1:2" x14ac:dyDescent="0.25">
      <c r="A3674" s="75">
        <v>30101910</v>
      </c>
      <c r="B3674" s="76" t="s">
        <v>984</v>
      </c>
    </row>
    <row r="3675" spans="1:2" x14ac:dyDescent="0.25">
      <c r="A3675" s="75">
        <v>30101911</v>
      </c>
      <c r="B3675" s="76" t="s">
        <v>14633</v>
      </c>
    </row>
    <row r="3676" spans="1:2" x14ac:dyDescent="0.25">
      <c r="A3676" s="75">
        <v>30101912</v>
      </c>
      <c r="B3676" s="76" t="s">
        <v>5100</v>
      </c>
    </row>
    <row r="3677" spans="1:2" x14ac:dyDescent="0.25">
      <c r="A3677" s="75">
        <v>30101913</v>
      </c>
      <c r="B3677" s="76" t="s">
        <v>15582</v>
      </c>
    </row>
    <row r="3678" spans="1:2" x14ac:dyDescent="0.25">
      <c r="A3678" s="75">
        <v>30101914</v>
      </c>
      <c r="B3678" s="76" t="s">
        <v>13333</v>
      </c>
    </row>
    <row r="3679" spans="1:2" x14ac:dyDescent="0.25">
      <c r="A3679" s="75">
        <v>30101915</v>
      </c>
      <c r="B3679" s="76" t="s">
        <v>9718</v>
      </c>
    </row>
    <row r="3680" spans="1:2" x14ac:dyDescent="0.25">
      <c r="A3680" s="75">
        <v>30101916</v>
      </c>
      <c r="B3680" s="76" t="s">
        <v>4062</v>
      </c>
    </row>
    <row r="3681" spans="1:2" x14ac:dyDescent="0.25">
      <c r="A3681" s="75">
        <v>30101918</v>
      </c>
      <c r="B3681" s="76" t="s">
        <v>5444</v>
      </c>
    </row>
    <row r="3682" spans="1:2" x14ac:dyDescent="0.25">
      <c r="A3682" s="75">
        <v>30101919</v>
      </c>
      <c r="B3682" s="76" t="s">
        <v>2734</v>
      </c>
    </row>
    <row r="3683" spans="1:2" x14ac:dyDescent="0.25">
      <c r="A3683" s="75">
        <v>30101920</v>
      </c>
      <c r="B3683" s="76" t="s">
        <v>3421</v>
      </c>
    </row>
    <row r="3684" spans="1:2" x14ac:dyDescent="0.25">
      <c r="A3684" s="75">
        <v>30101921</v>
      </c>
      <c r="B3684" s="76" t="s">
        <v>18056</v>
      </c>
    </row>
    <row r="3685" spans="1:2" x14ac:dyDescent="0.25">
      <c r="A3685" s="75">
        <v>30101922</v>
      </c>
      <c r="B3685" s="76" t="s">
        <v>10701</v>
      </c>
    </row>
    <row r="3686" spans="1:2" x14ac:dyDescent="0.25">
      <c r="A3686" s="75">
        <v>30101923</v>
      </c>
      <c r="B3686" s="76" t="s">
        <v>1862</v>
      </c>
    </row>
    <row r="3687" spans="1:2" x14ac:dyDescent="0.25">
      <c r="A3687" s="75">
        <v>30102001</v>
      </c>
      <c r="B3687" s="76" t="s">
        <v>6319</v>
      </c>
    </row>
    <row r="3688" spans="1:2" x14ac:dyDescent="0.25">
      <c r="A3688" s="75">
        <v>30102002</v>
      </c>
      <c r="B3688" s="76" t="s">
        <v>12179</v>
      </c>
    </row>
    <row r="3689" spans="1:2" x14ac:dyDescent="0.25">
      <c r="A3689" s="75">
        <v>30102003</v>
      </c>
      <c r="B3689" s="76" t="s">
        <v>17356</v>
      </c>
    </row>
    <row r="3690" spans="1:2" x14ac:dyDescent="0.25">
      <c r="A3690" s="75">
        <v>30102004</v>
      </c>
      <c r="B3690" s="76" t="s">
        <v>12050</v>
      </c>
    </row>
    <row r="3691" spans="1:2" x14ac:dyDescent="0.25">
      <c r="A3691" s="75">
        <v>30102005</v>
      </c>
      <c r="B3691" s="76" t="s">
        <v>19681</v>
      </c>
    </row>
    <row r="3692" spans="1:2" x14ac:dyDescent="0.25">
      <c r="A3692" s="75">
        <v>30102006</v>
      </c>
      <c r="B3692" s="76" t="s">
        <v>7236</v>
      </c>
    </row>
    <row r="3693" spans="1:2" x14ac:dyDescent="0.25">
      <c r="A3693" s="75">
        <v>30102007</v>
      </c>
      <c r="B3693" s="76" t="s">
        <v>3432</v>
      </c>
    </row>
    <row r="3694" spans="1:2" x14ac:dyDescent="0.25">
      <c r="A3694" s="75">
        <v>30102008</v>
      </c>
      <c r="B3694" s="76" t="s">
        <v>484</v>
      </c>
    </row>
    <row r="3695" spans="1:2" x14ac:dyDescent="0.25">
      <c r="A3695" s="75">
        <v>30102009</v>
      </c>
      <c r="B3695" s="76" t="s">
        <v>15078</v>
      </c>
    </row>
    <row r="3696" spans="1:2" x14ac:dyDescent="0.25">
      <c r="A3696" s="75">
        <v>30102010</v>
      </c>
      <c r="B3696" s="76" t="s">
        <v>17806</v>
      </c>
    </row>
    <row r="3697" spans="1:2" x14ac:dyDescent="0.25">
      <c r="A3697" s="75">
        <v>30102011</v>
      </c>
      <c r="B3697" s="76" t="s">
        <v>11578</v>
      </c>
    </row>
    <row r="3698" spans="1:2" x14ac:dyDescent="0.25">
      <c r="A3698" s="75">
        <v>30102012</v>
      </c>
      <c r="B3698" s="76" t="s">
        <v>898</v>
      </c>
    </row>
    <row r="3699" spans="1:2" x14ac:dyDescent="0.25">
      <c r="A3699" s="75">
        <v>30102013</v>
      </c>
      <c r="B3699" s="76" t="s">
        <v>11674</v>
      </c>
    </row>
    <row r="3700" spans="1:2" x14ac:dyDescent="0.25">
      <c r="A3700" s="75">
        <v>30102014</v>
      </c>
      <c r="B3700" s="76" t="s">
        <v>8952</v>
      </c>
    </row>
    <row r="3701" spans="1:2" x14ac:dyDescent="0.25">
      <c r="A3701" s="75">
        <v>30102015</v>
      </c>
      <c r="B3701" s="76" t="s">
        <v>11914</v>
      </c>
    </row>
    <row r="3702" spans="1:2" x14ac:dyDescent="0.25">
      <c r="A3702" s="75">
        <v>30102201</v>
      </c>
      <c r="B3702" s="76" t="s">
        <v>7377</v>
      </c>
    </row>
    <row r="3703" spans="1:2" x14ac:dyDescent="0.25">
      <c r="A3703" s="75">
        <v>30102202</v>
      </c>
      <c r="B3703" s="76" t="s">
        <v>10782</v>
      </c>
    </row>
    <row r="3704" spans="1:2" x14ac:dyDescent="0.25">
      <c r="A3704" s="75">
        <v>30102203</v>
      </c>
      <c r="B3704" s="76" t="s">
        <v>2784</v>
      </c>
    </row>
    <row r="3705" spans="1:2" x14ac:dyDescent="0.25">
      <c r="A3705" s="75">
        <v>30102204</v>
      </c>
      <c r="B3705" s="76" t="s">
        <v>9612</v>
      </c>
    </row>
    <row r="3706" spans="1:2" x14ac:dyDescent="0.25">
      <c r="A3706" s="75">
        <v>30102205</v>
      </c>
      <c r="B3706" s="76" t="s">
        <v>6833</v>
      </c>
    </row>
    <row r="3707" spans="1:2" x14ac:dyDescent="0.25">
      <c r="A3707" s="75">
        <v>30102206</v>
      </c>
      <c r="B3707" s="76" t="s">
        <v>15504</v>
      </c>
    </row>
    <row r="3708" spans="1:2" x14ac:dyDescent="0.25">
      <c r="A3708" s="75">
        <v>30102207</v>
      </c>
      <c r="B3708" s="76" t="s">
        <v>5714</v>
      </c>
    </row>
    <row r="3709" spans="1:2" x14ac:dyDescent="0.25">
      <c r="A3709" s="75">
        <v>30102208</v>
      </c>
      <c r="B3709" s="76" t="s">
        <v>17074</v>
      </c>
    </row>
    <row r="3710" spans="1:2" x14ac:dyDescent="0.25">
      <c r="A3710" s="75">
        <v>30102209</v>
      </c>
      <c r="B3710" s="76" t="s">
        <v>462</v>
      </c>
    </row>
    <row r="3711" spans="1:2" x14ac:dyDescent="0.25">
      <c r="A3711" s="75">
        <v>30102210</v>
      </c>
      <c r="B3711" s="76" t="s">
        <v>17715</v>
      </c>
    </row>
    <row r="3712" spans="1:2" x14ac:dyDescent="0.25">
      <c r="A3712" s="75">
        <v>30102211</v>
      </c>
      <c r="B3712" s="76" t="s">
        <v>4185</v>
      </c>
    </row>
    <row r="3713" spans="1:2" x14ac:dyDescent="0.25">
      <c r="A3713" s="75">
        <v>30102212</v>
      </c>
      <c r="B3713" s="76" t="s">
        <v>5150</v>
      </c>
    </row>
    <row r="3714" spans="1:2" x14ac:dyDescent="0.25">
      <c r="A3714" s="75">
        <v>30102213</v>
      </c>
      <c r="B3714" s="76" t="s">
        <v>4579</v>
      </c>
    </row>
    <row r="3715" spans="1:2" x14ac:dyDescent="0.25">
      <c r="A3715" s="75">
        <v>30102214</v>
      </c>
      <c r="B3715" s="76" t="s">
        <v>11264</v>
      </c>
    </row>
    <row r="3716" spans="1:2" x14ac:dyDescent="0.25">
      <c r="A3716" s="75">
        <v>30102215</v>
      </c>
      <c r="B3716" s="76" t="s">
        <v>8430</v>
      </c>
    </row>
    <row r="3717" spans="1:2" x14ac:dyDescent="0.25">
      <c r="A3717" s="75">
        <v>30102216</v>
      </c>
      <c r="B3717" s="76" t="s">
        <v>15647</v>
      </c>
    </row>
    <row r="3718" spans="1:2" x14ac:dyDescent="0.25">
      <c r="A3718" s="75">
        <v>30102217</v>
      </c>
      <c r="B3718" s="76" t="s">
        <v>4012</v>
      </c>
    </row>
    <row r="3719" spans="1:2" x14ac:dyDescent="0.25">
      <c r="A3719" s="75">
        <v>30102218</v>
      </c>
      <c r="B3719" s="76" t="s">
        <v>1487</v>
      </c>
    </row>
    <row r="3720" spans="1:2" x14ac:dyDescent="0.25">
      <c r="A3720" s="75">
        <v>30102220</v>
      </c>
      <c r="B3720" s="76" t="s">
        <v>12871</v>
      </c>
    </row>
    <row r="3721" spans="1:2" x14ac:dyDescent="0.25">
      <c r="A3721" s="75">
        <v>30102301</v>
      </c>
      <c r="B3721" s="76" t="s">
        <v>11622</v>
      </c>
    </row>
    <row r="3722" spans="1:2" x14ac:dyDescent="0.25">
      <c r="A3722" s="75">
        <v>30102302</v>
      </c>
      <c r="B3722" s="76" t="s">
        <v>4832</v>
      </c>
    </row>
    <row r="3723" spans="1:2" x14ac:dyDescent="0.25">
      <c r="A3723" s="75">
        <v>30102303</v>
      </c>
      <c r="B3723" s="76" t="s">
        <v>8624</v>
      </c>
    </row>
    <row r="3724" spans="1:2" x14ac:dyDescent="0.25">
      <c r="A3724" s="75">
        <v>30102304</v>
      </c>
      <c r="B3724" s="76" t="s">
        <v>4744</v>
      </c>
    </row>
    <row r="3725" spans="1:2" x14ac:dyDescent="0.25">
      <c r="A3725" s="75">
        <v>30102305</v>
      </c>
      <c r="B3725" s="76" t="s">
        <v>9405</v>
      </c>
    </row>
    <row r="3726" spans="1:2" x14ac:dyDescent="0.25">
      <c r="A3726" s="75">
        <v>30102306</v>
      </c>
      <c r="B3726" s="76" t="s">
        <v>16782</v>
      </c>
    </row>
    <row r="3727" spans="1:2" x14ac:dyDescent="0.25">
      <c r="A3727" s="75">
        <v>30102307</v>
      </c>
      <c r="B3727" s="76" t="s">
        <v>12929</v>
      </c>
    </row>
    <row r="3728" spans="1:2" x14ac:dyDescent="0.25">
      <c r="A3728" s="75">
        <v>30102308</v>
      </c>
      <c r="B3728" s="76" t="s">
        <v>12729</v>
      </c>
    </row>
    <row r="3729" spans="1:2" x14ac:dyDescent="0.25">
      <c r="A3729" s="75">
        <v>30102309</v>
      </c>
      <c r="B3729" s="76" t="s">
        <v>4897</v>
      </c>
    </row>
    <row r="3730" spans="1:2" x14ac:dyDescent="0.25">
      <c r="A3730" s="75">
        <v>30102310</v>
      </c>
      <c r="B3730" s="76" t="s">
        <v>5760</v>
      </c>
    </row>
    <row r="3731" spans="1:2" x14ac:dyDescent="0.25">
      <c r="A3731" s="75">
        <v>30102311</v>
      </c>
      <c r="B3731" s="76" t="s">
        <v>6475</v>
      </c>
    </row>
    <row r="3732" spans="1:2" x14ac:dyDescent="0.25">
      <c r="A3732" s="75">
        <v>30102312</v>
      </c>
      <c r="B3732" s="76" t="s">
        <v>16921</v>
      </c>
    </row>
    <row r="3733" spans="1:2" x14ac:dyDescent="0.25">
      <c r="A3733" s="75">
        <v>30102313</v>
      </c>
      <c r="B3733" s="76" t="s">
        <v>4341</v>
      </c>
    </row>
    <row r="3734" spans="1:2" x14ac:dyDescent="0.25">
      <c r="A3734" s="75">
        <v>30102314</v>
      </c>
      <c r="B3734" s="76" t="s">
        <v>13905</v>
      </c>
    </row>
    <row r="3735" spans="1:2" x14ac:dyDescent="0.25">
      <c r="A3735" s="75">
        <v>30102315</v>
      </c>
      <c r="B3735" s="76" t="s">
        <v>19748</v>
      </c>
    </row>
    <row r="3736" spans="1:2" x14ac:dyDescent="0.25">
      <c r="A3736" s="75">
        <v>30102316</v>
      </c>
      <c r="B3736" s="76" t="s">
        <v>5222</v>
      </c>
    </row>
    <row r="3737" spans="1:2" x14ac:dyDescent="0.25">
      <c r="A3737" s="75">
        <v>30102401</v>
      </c>
      <c r="B3737" s="76" t="s">
        <v>12492</v>
      </c>
    </row>
    <row r="3738" spans="1:2" x14ac:dyDescent="0.25">
      <c r="A3738" s="75">
        <v>30102402</v>
      </c>
      <c r="B3738" s="76" t="s">
        <v>16922</v>
      </c>
    </row>
    <row r="3739" spans="1:2" x14ac:dyDescent="0.25">
      <c r="A3739" s="75">
        <v>30102403</v>
      </c>
      <c r="B3739" s="76" t="s">
        <v>5091</v>
      </c>
    </row>
    <row r="3740" spans="1:2" x14ac:dyDescent="0.25">
      <c r="A3740" s="75">
        <v>30102404</v>
      </c>
      <c r="B3740" s="76" t="s">
        <v>3296</v>
      </c>
    </row>
    <row r="3741" spans="1:2" x14ac:dyDescent="0.25">
      <c r="A3741" s="75">
        <v>30102405</v>
      </c>
      <c r="B3741" s="76" t="s">
        <v>3240</v>
      </c>
    </row>
    <row r="3742" spans="1:2" x14ac:dyDescent="0.25">
      <c r="A3742" s="75">
        <v>30102406</v>
      </c>
      <c r="B3742" s="76" t="s">
        <v>18107</v>
      </c>
    </row>
    <row r="3743" spans="1:2" x14ac:dyDescent="0.25">
      <c r="A3743" s="75">
        <v>30102407</v>
      </c>
      <c r="B3743" s="76" t="s">
        <v>11</v>
      </c>
    </row>
    <row r="3744" spans="1:2" x14ac:dyDescent="0.25">
      <c r="A3744" s="75">
        <v>30102408</v>
      </c>
      <c r="B3744" s="76" t="s">
        <v>5294</v>
      </c>
    </row>
    <row r="3745" spans="1:2" x14ac:dyDescent="0.25">
      <c r="A3745" s="75">
        <v>30102409</v>
      </c>
      <c r="B3745" s="76" t="s">
        <v>1725</v>
      </c>
    </row>
    <row r="3746" spans="1:2" x14ac:dyDescent="0.25">
      <c r="A3746" s="75">
        <v>30102410</v>
      </c>
      <c r="B3746" s="76" t="s">
        <v>9997</v>
      </c>
    </row>
    <row r="3747" spans="1:2" x14ac:dyDescent="0.25">
      <c r="A3747" s="75">
        <v>30102411</v>
      </c>
      <c r="B3747" s="76" t="s">
        <v>11721</v>
      </c>
    </row>
    <row r="3748" spans="1:2" x14ac:dyDescent="0.25">
      <c r="A3748" s="75">
        <v>30102412</v>
      </c>
      <c r="B3748" s="76" t="s">
        <v>1529</v>
      </c>
    </row>
    <row r="3749" spans="1:2" x14ac:dyDescent="0.25">
      <c r="A3749" s="75">
        <v>30102413</v>
      </c>
      <c r="B3749" s="76" t="s">
        <v>19582</v>
      </c>
    </row>
    <row r="3750" spans="1:2" x14ac:dyDescent="0.25">
      <c r="A3750" s="75">
        <v>30102414</v>
      </c>
      <c r="B3750" s="76" t="s">
        <v>19459</v>
      </c>
    </row>
    <row r="3751" spans="1:2" x14ac:dyDescent="0.25">
      <c r="A3751" s="75">
        <v>30102415</v>
      </c>
      <c r="B3751" s="76" t="s">
        <v>16127</v>
      </c>
    </row>
    <row r="3752" spans="1:2" x14ac:dyDescent="0.25">
      <c r="A3752" s="75">
        <v>30102416</v>
      </c>
      <c r="B3752" s="76" t="s">
        <v>7252</v>
      </c>
    </row>
    <row r="3753" spans="1:2" x14ac:dyDescent="0.25">
      <c r="A3753" s="75">
        <v>30102417</v>
      </c>
      <c r="B3753" s="76" t="s">
        <v>1304</v>
      </c>
    </row>
    <row r="3754" spans="1:2" x14ac:dyDescent="0.25">
      <c r="A3754" s="75">
        <v>30102501</v>
      </c>
      <c r="B3754" s="76" t="s">
        <v>7299</v>
      </c>
    </row>
    <row r="3755" spans="1:2" x14ac:dyDescent="0.25">
      <c r="A3755" s="75">
        <v>30102502</v>
      </c>
      <c r="B3755" s="76" t="s">
        <v>11655</v>
      </c>
    </row>
    <row r="3756" spans="1:2" x14ac:dyDescent="0.25">
      <c r="A3756" s="75">
        <v>30102503</v>
      </c>
      <c r="B3756" s="76" t="s">
        <v>200</v>
      </c>
    </row>
    <row r="3757" spans="1:2" x14ac:dyDescent="0.25">
      <c r="A3757" s="75">
        <v>30102504</v>
      </c>
      <c r="B3757" s="76" t="s">
        <v>8184</v>
      </c>
    </row>
    <row r="3758" spans="1:2" x14ac:dyDescent="0.25">
      <c r="A3758" s="75">
        <v>30102505</v>
      </c>
      <c r="B3758" s="76" t="s">
        <v>6066</v>
      </c>
    </row>
    <row r="3759" spans="1:2" x14ac:dyDescent="0.25">
      <c r="A3759" s="75">
        <v>30102506</v>
      </c>
      <c r="B3759" s="76" t="s">
        <v>14742</v>
      </c>
    </row>
    <row r="3760" spans="1:2" x14ac:dyDescent="0.25">
      <c r="A3760" s="75">
        <v>30102507</v>
      </c>
      <c r="B3760" s="76" t="s">
        <v>8220</v>
      </c>
    </row>
    <row r="3761" spans="1:2" x14ac:dyDescent="0.25">
      <c r="A3761" s="75">
        <v>30102508</v>
      </c>
      <c r="B3761" s="76" t="s">
        <v>1474</v>
      </c>
    </row>
    <row r="3762" spans="1:2" x14ac:dyDescent="0.25">
      <c r="A3762" s="75">
        <v>30102509</v>
      </c>
      <c r="B3762" s="76" t="s">
        <v>19534</v>
      </c>
    </row>
    <row r="3763" spans="1:2" x14ac:dyDescent="0.25">
      <c r="A3763" s="75">
        <v>30102510</v>
      </c>
      <c r="B3763" s="76" t="s">
        <v>6978</v>
      </c>
    </row>
    <row r="3764" spans="1:2" x14ac:dyDescent="0.25">
      <c r="A3764" s="75">
        <v>30102511</v>
      </c>
      <c r="B3764" s="76" t="s">
        <v>6314</v>
      </c>
    </row>
    <row r="3765" spans="1:2" x14ac:dyDescent="0.25">
      <c r="A3765" s="75">
        <v>30102512</v>
      </c>
      <c r="B3765" s="76" t="s">
        <v>4118</v>
      </c>
    </row>
    <row r="3766" spans="1:2" x14ac:dyDescent="0.25">
      <c r="A3766" s="75">
        <v>30102513</v>
      </c>
      <c r="B3766" s="76" t="s">
        <v>3723</v>
      </c>
    </row>
    <row r="3767" spans="1:2" x14ac:dyDescent="0.25">
      <c r="A3767" s="75">
        <v>30102514</v>
      </c>
      <c r="B3767" s="76" t="s">
        <v>12602</v>
      </c>
    </row>
    <row r="3768" spans="1:2" x14ac:dyDescent="0.25">
      <c r="A3768" s="75">
        <v>30102515</v>
      </c>
      <c r="B3768" s="76" t="s">
        <v>5398</v>
      </c>
    </row>
    <row r="3769" spans="1:2" x14ac:dyDescent="0.25">
      <c r="A3769" s="75">
        <v>30102516</v>
      </c>
      <c r="B3769" s="76" t="s">
        <v>16640</v>
      </c>
    </row>
    <row r="3770" spans="1:2" x14ac:dyDescent="0.25">
      <c r="A3770" s="75">
        <v>30102517</v>
      </c>
      <c r="B3770" s="76" t="s">
        <v>8158</v>
      </c>
    </row>
    <row r="3771" spans="1:2" x14ac:dyDescent="0.25">
      <c r="A3771" s="75">
        <v>30102518</v>
      </c>
      <c r="B3771" s="76" t="s">
        <v>13147</v>
      </c>
    </row>
    <row r="3772" spans="1:2" x14ac:dyDescent="0.25">
      <c r="A3772" s="75">
        <v>30102519</v>
      </c>
      <c r="B3772" s="76" t="s">
        <v>16744</v>
      </c>
    </row>
    <row r="3773" spans="1:2" x14ac:dyDescent="0.25">
      <c r="A3773" s="75">
        <v>30102520</v>
      </c>
      <c r="B3773" s="76" t="s">
        <v>3115</v>
      </c>
    </row>
    <row r="3774" spans="1:2" x14ac:dyDescent="0.25">
      <c r="A3774" s="75">
        <v>30102521</v>
      </c>
      <c r="B3774" s="76" t="s">
        <v>16242</v>
      </c>
    </row>
    <row r="3775" spans="1:2" x14ac:dyDescent="0.25">
      <c r="A3775" s="75">
        <v>30102522</v>
      </c>
      <c r="B3775" s="76" t="s">
        <v>7725</v>
      </c>
    </row>
    <row r="3776" spans="1:2" x14ac:dyDescent="0.25">
      <c r="A3776" s="75">
        <v>30102523</v>
      </c>
      <c r="B3776" s="76" t="s">
        <v>16772</v>
      </c>
    </row>
    <row r="3777" spans="1:2" x14ac:dyDescent="0.25">
      <c r="A3777" s="75">
        <v>30102524</v>
      </c>
      <c r="B3777" s="76" t="s">
        <v>5880</v>
      </c>
    </row>
    <row r="3778" spans="1:2" x14ac:dyDescent="0.25">
      <c r="A3778" s="75">
        <v>30102525</v>
      </c>
      <c r="B3778" s="76" t="s">
        <v>11073</v>
      </c>
    </row>
    <row r="3779" spans="1:2" x14ac:dyDescent="0.25">
      <c r="A3779" s="75">
        <v>30102526</v>
      </c>
      <c r="B3779" s="76" t="s">
        <v>18416</v>
      </c>
    </row>
    <row r="3780" spans="1:2" x14ac:dyDescent="0.25">
      <c r="A3780" s="75">
        <v>30102601</v>
      </c>
      <c r="B3780" s="76" t="s">
        <v>2350</v>
      </c>
    </row>
    <row r="3781" spans="1:2" x14ac:dyDescent="0.25">
      <c r="A3781" s="75">
        <v>30102602</v>
      </c>
      <c r="B3781" s="76" t="s">
        <v>14309</v>
      </c>
    </row>
    <row r="3782" spans="1:2" x14ac:dyDescent="0.25">
      <c r="A3782" s="75">
        <v>30102603</v>
      </c>
      <c r="B3782" s="76" t="s">
        <v>8156</v>
      </c>
    </row>
    <row r="3783" spans="1:2" x14ac:dyDescent="0.25">
      <c r="A3783" s="75">
        <v>30102604</v>
      </c>
      <c r="B3783" s="76" t="s">
        <v>8836</v>
      </c>
    </row>
    <row r="3784" spans="1:2" x14ac:dyDescent="0.25">
      <c r="A3784" s="75">
        <v>30102605</v>
      </c>
      <c r="B3784" s="76" t="s">
        <v>2970</v>
      </c>
    </row>
    <row r="3785" spans="1:2" x14ac:dyDescent="0.25">
      <c r="A3785" s="75">
        <v>30102606</v>
      </c>
      <c r="B3785" s="76" t="s">
        <v>13482</v>
      </c>
    </row>
    <row r="3786" spans="1:2" x14ac:dyDescent="0.25">
      <c r="A3786" s="75">
        <v>30102607</v>
      </c>
      <c r="B3786" s="76" t="s">
        <v>15667</v>
      </c>
    </row>
    <row r="3787" spans="1:2" x14ac:dyDescent="0.25">
      <c r="A3787" s="75">
        <v>30102608</v>
      </c>
      <c r="B3787" s="76" t="s">
        <v>18433</v>
      </c>
    </row>
    <row r="3788" spans="1:2" x14ac:dyDescent="0.25">
      <c r="A3788" s="75">
        <v>30102609</v>
      </c>
      <c r="B3788" s="76" t="s">
        <v>10277</v>
      </c>
    </row>
    <row r="3789" spans="1:2" x14ac:dyDescent="0.25">
      <c r="A3789" s="75">
        <v>30102610</v>
      </c>
      <c r="B3789" s="76" t="s">
        <v>9852</v>
      </c>
    </row>
    <row r="3790" spans="1:2" x14ac:dyDescent="0.25">
      <c r="A3790" s="75">
        <v>30102611</v>
      </c>
      <c r="B3790" s="76" t="s">
        <v>8361</v>
      </c>
    </row>
    <row r="3791" spans="1:2" x14ac:dyDescent="0.25">
      <c r="A3791" s="75">
        <v>30102612</v>
      </c>
      <c r="B3791" s="76" t="s">
        <v>12266</v>
      </c>
    </row>
    <row r="3792" spans="1:2" x14ac:dyDescent="0.25">
      <c r="A3792" s="75">
        <v>30102613</v>
      </c>
      <c r="B3792" s="76" t="s">
        <v>3697</v>
      </c>
    </row>
    <row r="3793" spans="1:2" x14ac:dyDescent="0.25">
      <c r="A3793" s="75">
        <v>30102614</v>
      </c>
      <c r="B3793" s="76" t="s">
        <v>9721</v>
      </c>
    </row>
    <row r="3794" spans="1:2" x14ac:dyDescent="0.25">
      <c r="A3794" s="75">
        <v>30102615</v>
      </c>
      <c r="B3794" s="76" t="s">
        <v>11822</v>
      </c>
    </row>
    <row r="3795" spans="1:2" x14ac:dyDescent="0.25">
      <c r="A3795" s="75">
        <v>30102616</v>
      </c>
      <c r="B3795" s="76" t="s">
        <v>10450</v>
      </c>
    </row>
    <row r="3796" spans="1:2" x14ac:dyDescent="0.25">
      <c r="A3796" s="75">
        <v>30102801</v>
      </c>
      <c r="B3796" s="76" t="s">
        <v>2118</v>
      </c>
    </row>
    <row r="3797" spans="1:2" x14ac:dyDescent="0.25">
      <c r="A3797" s="75">
        <v>30102802</v>
      </c>
      <c r="B3797" s="76" t="s">
        <v>9863</v>
      </c>
    </row>
    <row r="3798" spans="1:2" x14ac:dyDescent="0.25">
      <c r="A3798" s="75">
        <v>30102803</v>
      </c>
      <c r="B3798" s="76" t="s">
        <v>11735</v>
      </c>
    </row>
    <row r="3799" spans="1:2" x14ac:dyDescent="0.25">
      <c r="A3799" s="75">
        <v>30102901</v>
      </c>
      <c r="B3799" s="76" t="s">
        <v>7062</v>
      </c>
    </row>
    <row r="3800" spans="1:2" x14ac:dyDescent="0.25">
      <c r="A3800" s="75">
        <v>30102903</v>
      </c>
      <c r="B3800" s="76" t="s">
        <v>7017</v>
      </c>
    </row>
    <row r="3801" spans="1:2" x14ac:dyDescent="0.25">
      <c r="A3801" s="75">
        <v>30102904</v>
      </c>
      <c r="B3801" s="76" t="s">
        <v>12059</v>
      </c>
    </row>
    <row r="3802" spans="1:2" x14ac:dyDescent="0.25">
      <c r="A3802" s="75">
        <v>30102905</v>
      </c>
      <c r="B3802" s="76" t="s">
        <v>11482</v>
      </c>
    </row>
    <row r="3803" spans="1:2" x14ac:dyDescent="0.25">
      <c r="A3803" s="75">
        <v>30102906</v>
      </c>
      <c r="B3803" s="76" t="s">
        <v>10408</v>
      </c>
    </row>
    <row r="3804" spans="1:2" x14ac:dyDescent="0.25">
      <c r="A3804" s="75">
        <v>30103001</v>
      </c>
      <c r="B3804" s="76" t="s">
        <v>9136</v>
      </c>
    </row>
    <row r="3805" spans="1:2" x14ac:dyDescent="0.25">
      <c r="A3805" s="75">
        <v>30103002</v>
      </c>
      <c r="B3805" s="76" t="s">
        <v>3234</v>
      </c>
    </row>
    <row r="3806" spans="1:2" x14ac:dyDescent="0.25">
      <c r="A3806" s="75">
        <v>30103101</v>
      </c>
      <c r="B3806" s="76" t="s">
        <v>11819</v>
      </c>
    </row>
    <row r="3807" spans="1:2" x14ac:dyDescent="0.25">
      <c r="A3807" s="75">
        <v>30103102</v>
      </c>
      <c r="B3807" s="76" t="s">
        <v>4666</v>
      </c>
    </row>
    <row r="3808" spans="1:2" x14ac:dyDescent="0.25">
      <c r="A3808" s="75">
        <v>30103103</v>
      </c>
      <c r="B3808" s="76" t="s">
        <v>4430</v>
      </c>
    </row>
    <row r="3809" spans="1:2" x14ac:dyDescent="0.25">
      <c r="A3809" s="75">
        <v>30103201</v>
      </c>
      <c r="B3809" s="76" t="s">
        <v>4242</v>
      </c>
    </row>
    <row r="3810" spans="1:2" x14ac:dyDescent="0.25">
      <c r="A3810" s="75">
        <v>30103202</v>
      </c>
      <c r="B3810" s="76" t="s">
        <v>4145</v>
      </c>
    </row>
    <row r="3811" spans="1:2" x14ac:dyDescent="0.25">
      <c r="A3811" s="75">
        <v>30103203</v>
      </c>
      <c r="B3811" s="76" t="s">
        <v>17824</v>
      </c>
    </row>
    <row r="3812" spans="1:2" x14ac:dyDescent="0.25">
      <c r="A3812" s="75">
        <v>30103204</v>
      </c>
      <c r="B3812" s="76" t="s">
        <v>6058</v>
      </c>
    </row>
    <row r="3813" spans="1:2" x14ac:dyDescent="0.25">
      <c r="A3813" s="75">
        <v>30103205</v>
      </c>
      <c r="B3813" s="76" t="s">
        <v>4001</v>
      </c>
    </row>
    <row r="3814" spans="1:2" x14ac:dyDescent="0.25">
      <c r="A3814" s="75">
        <v>30103206</v>
      </c>
      <c r="B3814" s="76" t="s">
        <v>188</v>
      </c>
    </row>
    <row r="3815" spans="1:2" x14ac:dyDescent="0.25">
      <c r="A3815" s="75">
        <v>30103301</v>
      </c>
      <c r="B3815" s="76" t="s">
        <v>8092</v>
      </c>
    </row>
    <row r="3816" spans="1:2" x14ac:dyDescent="0.25">
      <c r="A3816" s="75">
        <v>30103302</v>
      </c>
      <c r="B3816" s="76" t="s">
        <v>3881</v>
      </c>
    </row>
    <row r="3817" spans="1:2" x14ac:dyDescent="0.25">
      <c r="A3817" s="75">
        <v>30103303</v>
      </c>
      <c r="B3817" s="76" t="s">
        <v>10080</v>
      </c>
    </row>
    <row r="3818" spans="1:2" x14ac:dyDescent="0.25">
      <c r="A3818" s="75">
        <v>30103304</v>
      </c>
      <c r="B3818" s="76" t="s">
        <v>12367</v>
      </c>
    </row>
    <row r="3819" spans="1:2" x14ac:dyDescent="0.25">
      <c r="A3819" s="75">
        <v>30103305</v>
      </c>
      <c r="B3819" s="76" t="s">
        <v>10307</v>
      </c>
    </row>
    <row r="3820" spans="1:2" x14ac:dyDescent="0.25">
      <c r="A3820" s="75">
        <v>30103306</v>
      </c>
      <c r="B3820" s="76" t="s">
        <v>5442</v>
      </c>
    </row>
    <row r="3821" spans="1:2" x14ac:dyDescent="0.25">
      <c r="A3821" s="75">
        <v>30103307</v>
      </c>
      <c r="B3821" s="76" t="s">
        <v>14962</v>
      </c>
    </row>
    <row r="3822" spans="1:2" x14ac:dyDescent="0.25">
      <c r="A3822" s="75">
        <v>30103308</v>
      </c>
      <c r="B3822" s="76" t="s">
        <v>1435</v>
      </c>
    </row>
    <row r="3823" spans="1:2" x14ac:dyDescent="0.25">
      <c r="A3823" s="75">
        <v>30103309</v>
      </c>
      <c r="B3823" s="76" t="s">
        <v>6062</v>
      </c>
    </row>
    <row r="3824" spans="1:2" x14ac:dyDescent="0.25">
      <c r="A3824" s="75">
        <v>30103310</v>
      </c>
      <c r="B3824" s="76" t="s">
        <v>7317</v>
      </c>
    </row>
    <row r="3825" spans="1:2" x14ac:dyDescent="0.25">
      <c r="A3825" s="75">
        <v>30103311</v>
      </c>
      <c r="B3825" s="76" t="s">
        <v>14354</v>
      </c>
    </row>
    <row r="3826" spans="1:2" x14ac:dyDescent="0.25">
      <c r="A3826" s="75">
        <v>30103312</v>
      </c>
      <c r="B3826" s="76" t="s">
        <v>13456</v>
      </c>
    </row>
    <row r="3827" spans="1:2" x14ac:dyDescent="0.25">
      <c r="A3827" s="75">
        <v>30103313</v>
      </c>
      <c r="B3827" s="76" t="s">
        <v>9095</v>
      </c>
    </row>
    <row r="3828" spans="1:2" x14ac:dyDescent="0.25">
      <c r="A3828" s="75">
        <v>30103401</v>
      </c>
      <c r="B3828" s="76" t="s">
        <v>2274</v>
      </c>
    </row>
    <row r="3829" spans="1:2" x14ac:dyDescent="0.25">
      <c r="A3829" s="75">
        <v>30103402</v>
      </c>
      <c r="B3829" s="76" t="s">
        <v>12851</v>
      </c>
    </row>
    <row r="3830" spans="1:2" x14ac:dyDescent="0.25">
      <c r="A3830" s="75">
        <v>30103403</v>
      </c>
      <c r="B3830" s="76" t="s">
        <v>12501</v>
      </c>
    </row>
    <row r="3831" spans="1:2" x14ac:dyDescent="0.25">
      <c r="A3831" s="75">
        <v>30103404</v>
      </c>
      <c r="B3831" s="76" t="s">
        <v>8179</v>
      </c>
    </row>
    <row r="3832" spans="1:2" x14ac:dyDescent="0.25">
      <c r="A3832" s="75">
        <v>30103405</v>
      </c>
      <c r="B3832" s="76" t="s">
        <v>16416</v>
      </c>
    </row>
    <row r="3833" spans="1:2" x14ac:dyDescent="0.25">
      <c r="A3833" s="75">
        <v>30103406</v>
      </c>
      <c r="B3833" s="76" t="s">
        <v>17682</v>
      </c>
    </row>
    <row r="3834" spans="1:2" x14ac:dyDescent="0.25">
      <c r="A3834" s="75">
        <v>30103407</v>
      </c>
      <c r="B3834" s="76" t="s">
        <v>18259</v>
      </c>
    </row>
    <row r="3835" spans="1:2" x14ac:dyDescent="0.25">
      <c r="A3835" s="75">
        <v>30103408</v>
      </c>
      <c r="B3835" s="76" t="s">
        <v>707</v>
      </c>
    </row>
    <row r="3836" spans="1:2" x14ac:dyDescent="0.25">
      <c r="A3836" s="75">
        <v>30103409</v>
      </c>
      <c r="B3836" s="76" t="s">
        <v>13903</v>
      </c>
    </row>
    <row r="3837" spans="1:2" x14ac:dyDescent="0.25">
      <c r="A3837" s="75">
        <v>30103410</v>
      </c>
      <c r="B3837" s="76" t="s">
        <v>9255</v>
      </c>
    </row>
    <row r="3838" spans="1:2" x14ac:dyDescent="0.25">
      <c r="A3838" s="75">
        <v>30103411</v>
      </c>
      <c r="B3838" s="76" t="s">
        <v>6111</v>
      </c>
    </row>
    <row r="3839" spans="1:2" x14ac:dyDescent="0.25">
      <c r="A3839" s="75">
        <v>30103412</v>
      </c>
      <c r="B3839" s="76" t="s">
        <v>10503</v>
      </c>
    </row>
    <row r="3840" spans="1:2" x14ac:dyDescent="0.25">
      <c r="A3840" s="75">
        <v>30103413</v>
      </c>
      <c r="B3840" s="76" t="s">
        <v>11101</v>
      </c>
    </row>
    <row r="3841" spans="1:2" x14ac:dyDescent="0.25">
      <c r="A3841" s="75">
        <v>30103501</v>
      </c>
      <c r="B3841" s="76" t="s">
        <v>14851</v>
      </c>
    </row>
    <row r="3842" spans="1:2" x14ac:dyDescent="0.25">
      <c r="A3842" s="75">
        <v>30103502</v>
      </c>
      <c r="B3842" s="76" t="s">
        <v>3905</v>
      </c>
    </row>
    <row r="3843" spans="1:2" x14ac:dyDescent="0.25">
      <c r="A3843" s="75">
        <v>30103503</v>
      </c>
      <c r="B3843" s="76" t="s">
        <v>9861</v>
      </c>
    </row>
    <row r="3844" spans="1:2" x14ac:dyDescent="0.25">
      <c r="A3844" s="75">
        <v>30103504</v>
      </c>
      <c r="B3844" s="76" t="s">
        <v>7870</v>
      </c>
    </row>
    <row r="3845" spans="1:2" x14ac:dyDescent="0.25">
      <c r="A3845" s="75">
        <v>30103505</v>
      </c>
      <c r="B3845" s="76" t="s">
        <v>489</v>
      </c>
    </row>
    <row r="3846" spans="1:2" x14ac:dyDescent="0.25">
      <c r="A3846" s="75">
        <v>30103506</v>
      </c>
      <c r="B3846" s="76" t="s">
        <v>19462</v>
      </c>
    </row>
    <row r="3847" spans="1:2" x14ac:dyDescent="0.25">
      <c r="A3847" s="75">
        <v>30103507</v>
      </c>
      <c r="B3847" s="76" t="s">
        <v>18862</v>
      </c>
    </row>
    <row r="3848" spans="1:2" x14ac:dyDescent="0.25">
      <c r="A3848" s="75">
        <v>30103508</v>
      </c>
      <c r="B3848" s="76" t="s">
        <v>9308</v>
      </c>
    </row>
    <row r="3849" spans="1:2" x14ac:dyDescent="0.25">
      <c r="A3849" s="75">
        <v>30103509</v>
      </c>
      <c r="B3849" s="76" t="s">
        <v>1849</v>
      </c>
    </row>
    <row r="3850" spans="1:2" x14ac:dyDescent="0.25">
      <c r="A3850" s="75">
        <v>30103510</v>
      </c>
      <c r="B3850" s="76" t="s">
        <v>12130</v>
      </c>
    </row>
    <row r="3851" spans="1:2" x14ac:dyDescent="0.25">
      <c r="A3851" s="75">
        <v>30103511</v>
      </c>
      <c r="B3851" s="76" t="s">
        <v>11883</v>
      </c>
    </row>
    <row r="3852" spans="1:2" x14ac:dyDescent="0.25">
      <c r="A3852" s="75">
        <v>30103512</v>
      </c>
      <c r="B3852" s="76" t="s">
        <v>1961</v>
      </c>
    </row>
    <row r="3853" spans="1:2" x14ac:dyDescent="0.25">
      <c r="A3853" s="75">
        <v>30103513</v>
      </c>
      <c r="B3853" s="76" t="s">
        <v>5392</v>
      </c>
    </row>
    <row r="3854" spans="1:2" x14ac:dyDescent="0.25">
      <c r="A3854" s="75">
        <v>30103514</v>
      </c>
      <c r="B3854" s="76" t="s">
        <v>605</v>
      </c>
    </row>
    <row r="3855" spans="1:2" x14ac:dyDescent="0.25">
      <c r="A3855" s="75">
        <v>30103515</v>
      </c>
      <c r="B3855" s="76" t="s">
        <v>5366</v>
      </c>
    </row>
    <row r="3856" spans="1:2" x14ac:dyDescent="0.25">
      <c r="A3856" s="75">
        <v>30103601</v>
      </c>
      <c r="B3856" s="76" t="s">
        <v>875</v>
      </c>
    </row>
    <row r="3857" spans="1:2" x14ac:dyDescent="0.25">
      <c r="A3857" s="75">
        <v>30103602</v>
      </c>
      <c r="B3857" s="76" t="s">
        <v>7850</v>
      </c>
    </row>
    <row r="3858" spans="1:2" x14ac:dyDescent="0.25">
      <c r="A3858" s="75">
        <v>30103603</v>
      </c>
      <c r="B3858" s="76" t="s">
        <v>4755</v>
      </c>
    </row>
    <row r="3859" spans="1:2" x14ac:dyDescent="0.25">
      <c r="A3859" s="75">
        <v>30103604</v>
      </c>
      <c r="B3859" s="76" t="s">
        <v>19852</v>
      </c>
    </row>
    <row r="3860" spans="1:2" x14ac:dyDescent="0.25">
      <c r="A3860" s="75">
        <v>30103605</v>
      </c>
      <c r="B3860" s="76" t="s">
        <v>2355</v>
      </c>
    </row>
    <row r="3861" spans="1:2" x14ac:dyDescent="0.25">
      <c r="A3861" s="75">
        <v>30103606</v>
      </c>
      <c r="B3861" s="76" t="s">
        <v>16403</v>
      </c>
    </row>
    <row r="3862" spans="1:2" x14ac:dyDescent="0.25">
      <c r="A3862" s="75">
        <v>30103607</v>
      </c>
      <c r="B3862" s="76" t="s">
        <v>4705</v>
      </c>
    </row>
    <row r="3863" spans="1:2" x14ac:dyDescent="0.25">
      <c r="A3863" s="75">
        <v>30103608</v>
      </c>
      <c r="B3863" s="76" t="s">
        <v>7602</v>
      </c>
    </row>
    <row r="3864" spans="1:2" x14ac:dyDescent="0.25">
      <c r="A3864" s="75">
        <v>30103701</v>
      </c>
      <c r="B3864" s="76" t="s">
        <v>12672</v>
      </c>
    </row>
    <row r="3865" spans="1:2" x14ac:dyDescent="0.25">
      <c r="A3865" s="75">
        <v>30111501</v>
      </c>
      <c r="B3865" s="76" t="s">
        <v>16277</v>
      </c>
    </row>
    <row r="3866" spans="1:2" x14ac:dyDescent="0.25">
      <c r="A3866" s="75">
        <v>30111502</v>
      </c>
      <c r="B3866" s="76" t="s">
        <v>2125</v>
      </c>
    </row>
    <row r="3867" spans="1:2" x14ac:dyDescent="0.25">
      <c r="A3867" s="75">
        <v>30111503</v>
      </c>
      <c r="B3867" s="76" t="s">
        <v>1121</v>
      </c>
    </row>
    <row r="3868" spans="1:2" x14ac:dyDescent="0.25">
      <c r="A3868" s="75">
        <v>30111504</v>
      </c>
      <c r="B3868" s="76" t="s">
        <v>15999</v>
      </c>
    </row>
    <row r="3869" spans="1:2" x14ac:dyDescent="0.25">
      <c r="A3869" s="75">
        <v>30111601</v>
      </c>
      <c r="B3869" s="76" t="s">
        <v>14202</v>
      </c>
    </row>
    <row r="3870" spans="1:2" x14ac:dyDescent="0.25">
      <c r="A3870" s="75">
        <v>30111602</v>
      </c>
      <c r="B3870" s="76" t="s">
        <v>17698</v>
      </c>
    </row>
    <row r="3871" spans="1:2" x14ac:dyDescent="0.25">
      <c r="A3871" s="75">
        <v>30111603</v>
      </c>
      <c r="B3871" s="76" t="s">
        <v>10423</v>
      </c>
    </row>
    <row r="3872" spans="1:2" x14ac:dyDescent="0.25">
      <c r="A3872" s="75">
        <v>30111604</v>
      </c>
      <c r="B3872" s="76" t="s">
        <v>8734</v>
      </c>
    </row>
    <row r="3873" spans="1:2" x14ac:dyDescent="0.25">
      <c r="A3873" s="75">
        <v>30111605</v>
      </c>
      <c r="B3873" s="76" t="s">
        <v>689</v>
      </c>
    </row>
    <row r="3874" spans="1:2" x14ac:dyDescent="0.25">
      <c r="A3874" s="75">
        <v>30111606</v>
      </c>
      <c r="B3874" s="76" t="s">
        <v>14659</v>
      </c>
    </row>
    <row r="3875" spans="1:2" x14ac:dyDescent="0.25">
      <c r="A3875" s="75">
        <v>30111607</v>
      </c>
      <c r="B3875" s="76" t="s">
        <v>2536</v>
      </c>
    </row>
    <row r="3876" spans="1:2" x14ac:dyDescent="0.25">
      <c r="A3876" s="75">
        <v>30111701</v>
      </c>
      <c r="B3876" s="76" t="s">
        <v>14164</v>
      </c>
    </row>
    <row r="3877" spans="1:2" x14ac:dyDescent="0.25">
      <c r="A3877" s="75">
        <v>30121501</v>
      </c>
      <c r="B3877" s="76" t="s">
        <v>16500</v>
      </c>
    </row>
    <row r="3878" spans="1:2" x14ac:dyDescent="0.25">
      <c r="A3878" s="75">
        <v>30121503</v>
      </c>
      <c r="B3878" s="76" t="s">
        <v>10555</v>
      </c>
    </row>
    <row r="3879" spans="1:2" x14ac:dyDescent="0.25">
      <c r="A3879" s="75">
        <v>30121601</v>
      </c>
      <c r="B3879" s="76" t="s">
        <v>6809</v>
      </c>
    </row>
    <row r="3880" spans="1:2" x14ac:dyDescent="0.25">
      <c r="A3880" s="75">
        <v>30121602</v>
      </c>
      <c r="B3880" s="76" t="s">
        <v>12129</v>
      </c>
    </row>
    <row r="3881" spans="1:2" x14ac:dyDescent="0.25">
      <c r="A3881" s="75">
        <v>30121603</v>
      </c>
      <c r="B3881" s="76" t="s">
        <v>5689</v>
      </c>
    </row>
    <row r="3882" spans="1:2" x14ac:dyDescent="0.25">
      <c r="A3882" s="75">
        <v>30121604</v>
      </c>
      <c r="B3882" s="76" t="s">
        <v>15308</v>
      </c>
    </row>
    <row r="3883" spans="1:2" x14ac:dyDescent="0.25">
      <c r="A3883" s="75">
        <v>30121605</v>
      </c>
      <c r="B3883" s="76" t="s">
        <v>17150</v>
      </c>
    </row>
    <row r="3884" spans="1:2" x14ac:dyDescent="0.25">
      <c r="A3884" s="75">
        <v>30131501</v>
      </c>
      <c r="B3884" s="76" t="s">
        <v>13808</v>
      </c>
    </row>
    <row r="3885" spans="1:2" x14ac:dyDescent="0.25">
      <c r="A3885" s="75">
        <v>30131502</v>
      </c>
      <c r="B3885" s="76" t="s">
        <v>8648</v>
      </c>
    </row>
    <row r="3886" spans="1:2" x14ac:dyDescent="0.25">
      <c r="A3886" s="75">
        <v>30131503</v>
      </c>
      <c r="B3886" s="76" t="s">
        <v>4916</v>
      </c>
    </row>
    <row r="3887" spans="1:2" x14ac:dyDescent="0.25">
      <c r="A3887" s="75">
        <v>30131504</v>
      </c>
      <c r="B3887" s="76" t="s">
        <v>1382</v>
      </c>
    </row>
    <row r="3888" spans="1:2" x14ac:dyDescent="0.25">
      <c r="A3888" s="75">
        <v>30131601</v>
      </c>
      <c r="B3888" s="76" t="s">
        <v>18716</v>
      </c>
    </row>
    <row r="3889" spans="1:2" x14ac:dyDescent="0.25">
      <c r="A3889" s="75">
        <v>30131602</v>
      </c>
      <c r="B3889" s="76" t="s">
        <v>5172</v>
      </c>
    </row>
    <row r="3890" spans="1:2" x14ac:dyDescent="0.25">
      <c r="A3890" s="75">
        <v>30131603</v>
      </c>
      <c r="B3890" s="76" t="s">
        <v>1733</v>
      </c>
    </row>
    <row r="3891" spans="1:2" x14ac:dyDescent="0.25">
      <c r="A3891" s="75">
        <v>30131604</v>
      </c>
      <c r="B3891" s="76" t="s">
        <v>5040</v>
      </c>
    </row>
    <row r="3892" spans="1:2" x14ac:dyDescent="0.25">
      <c r="A3892" s="75">
        <v>30131701</v>
      </c>
      <c r="B3892" s="76" t="s">
        <v>16876</v>
      </c>
    </row>
    <row r="3893" spans="1:2" x14ac:dyDescent="0.25">
      <c r="A3893" s="75">
        <v>30131702</v>
      </c>
      <c r="B3893" s="76" t="s">
        <v>8816</v>
      </c>
    </row>
    <row r="3894" spans="1:2" x14ac:dyDescent="0.25">
      <c r="A3894" s="75">
        <v>30131703</v>
      </c>
      <c r="B3894" s="76" t="s">
        <v>18399</v>
      </c>
    </row>
    <row r="3895" spans="1:2" x14ac:dyDescent="0.25">
      <c r="A3895" s="75">
        <v>30131704</v>
      </c>
      <c r="B3895" s="76" t="s">
        <v>12139</v>
      </c>
    </row>
    <row r="3896" spans="1:2" x14ac:dyDescent="0.25">
      <c r="A3896" s="75">
        <v>30131705</v>
      </c>
      <c r="B3896" s="76" t="s">
        <v>18024</v>
      </c>
    </row>
    <row r="3897" spans="1:2" x14ac:dyDescent="0.25">
      <c r="A3897" s="75">
        <v>30141501</v>
      </c>
      <c r="B3897" s="76" t="s">
        <v>18389</v>
      </c>
    </row>
    <row r="3898" spans="1:2" x14ac:dyDescent="0.25">
      <c r="A3898" s="75">
        <v>30141503</v>
      </c>
      <c r="B3898" s="76" t="s">
        <v>13124</v>
      </c>
    </row>
    <row r="3899" spans="1:2" x14ac:dyDescent="0.25">
      <c r="A3899" s="75">
        <v>30141505</v>
      </c>
      <c r="B3899" s="76" t="s">
        <v>7359</v>
      </c>
    </row>
    <row r="3900" spans="1:2" x14ac:dyDescent="0.25">
      <c r="A3900" s="75">
        <v>30141508</v>
      </c>
      <c r="B3900" s="76" t="s">
        <v>786</v>
      </c>
    </row>
    <row r="3901" spans="1:2" x14ac:dyDescent="0.25">
      <c r="A3901" s="75">
        <v>30141510</v>
      </c>
      <c r="B3901" s="76" t="s">
        <v>7681</v>
      </c>
    </row>
    <row r="3902" spans="1:2" x14ac:dyDescent="0.25">
      <c r="A3902" s="75">
        <v>30141511</v>
      </c>
      <c r="B3902" s="76" t="s">
        <v>2529</v>
      </c>
    </row>
    <row r="3903" spans="1:2" x14ac:dyDescent="0.25">
      <c r="A3903" s="75">
        <v>30141512</v>
      </c>
      <c r="B3903" s="76" t="s">
        <v>8492</v>
      </c>
    </row>
    <row r="3904" spans="1:2" x14ac:dyDescent="0.25">
      <c r="A3904" s="75">
        <v>30141513</v>
      </c>
      <c r="B3904" s="76" t="s">
        <v>6056</v>
      </c>
    </row>
    <row r="3905" spans="1:2" x14ac:dyDescent="0.25">
      <c r="A3905" s="75">
        <v>30141601</v>
      </c>
      <c r="B3905" s="76" t="s">
        <v>9871</v>
      </c>
    </row>
    <row r="3906" spans="1:2" x14ac:dyDescent="0.25">
      <c r="A3906" s="75">
        <v>30141602</v>
      </c>
      <c r="B3906" s="76" t="s">
        <v>11703</v>
      </c>
    </row>
    <row r="3907" spans="1:2" x14ac:dyDescent="0.25">
      <c r="A3907" s="75">
        <v>30141603</v>
      </c>
      <c r="B3907" s="76" t="s">
        <v>1076</v>
      </c>
    </row>
    <row r="3908" spans="1:2" x14ac:dyDescent="0.25">
      <c r="A3908" s="75">
        <v>30151501</v>
      </c>
      <c r="B3908" s="76" t="s">
        <v>1627</v>
      </c>
    </row>
    <row r="3909" spans="1:2" x14ac:dyDescent="0.25">
      <c r="A3909" s="75">
        <v>30151502</v>
      </c>
      <c r="B3909" s="76" t="s">
        <v>12160</v>
      </c>
    </row>
    <row r="3910" spans="1:2" x14ac:dyDescent="0.25">
      <c r="A3910" s="75">
        <v>30151503</v>
      </c>
      <c r="B3910" s="76" t="s">
        <v>11732</v>
      </c>
    </row>
    <row r="3911" spans="1:2" x14ac:dyDescent="0.25">
      <c r="A3911" s="75">
        <v>30151504</v>
      </c>
      <c r="B3911" s="76" t="s">
        <v>8511</v>
      </c>
    </row>
    <row r="3912" spans="1:2" x14ac:dyDescent="0.25">
      <c r="A3912" s="75">
        <v>30151505</v>
      </c>
      <c r="B3912" s="76" t="s">
        <v>4792</v>
      </c>
    </row>
    <row r="3913" spans="1:2" x14ac:dyDescent="0.25">
      <c r="A3913" s="75">
        <v>30151506</v>
      </c>
      <c r="B3913" s="76" t="s">
        <v>5056</v>
      </c>
    </row>
    <row r="3914" spans="1:2" x14ac:dyDescent="0.25">
      <c r="A3914" s="75">
        <v>30151507</v>
      </c>
      <c r="B3914" s="76" t="s">
        <v>11903</v>
      </c>
    </row>
    <row r="3915" spans="1:2" x14ac:dyDescent="0.25">
      <c r="A3915" s="75">
        <v>30151508</v>
      </c>
      <c r="B3915" s="76" t="s">
        <v>627</v>
      </c>
    </row>
    <row r="3916" spans="1:2" x14ac:dyDescent="0.25">
      <c r="A3916" s="75">
        <v>30151509</v>
      </c>
      <c r="B3916" s="76" t="s">
        <v>5555</v>
      </c>
    </row>
    <row r="3917" spans="1:2" x14ac:dyDescent="0.25">
      <c r="A3917" s="75">
        <v>30151510</v>
      </c>
      <c r="B3917" s="76" t="s">
        <v>1322</v>
      </c>
    </row>
    <row r="3918" spans="1:2" x14ac:dyDescent="0.25">
      <c r="A3918" s="75">
        <v>30151601</v>
      </c>
      <c r="B3918" s="76" t="s">
        <v>8850</v>
      </c>
    </row>
    <row r="3919" spans="1:2" x14ac:dyDescent="0.25">
      <c r="A3919" s="75">
        <v>30151602</v>
      </c>
      <c r="B3919" s="76" t="s">
        <v>402</v>
      </c>
    </row>
    <row r="3920" spans="1:2" x14ac:dyDescent="0.25">
      <c r="A3920" s="75">
        <v>30151603</v>
      </c>
      <c r="B3920" s="76" t="s">
        <v>15695</v>
      </c>
    </row>
    <row r="3921" spans="1:2" x14ac:dyDescent="0.25">
      <c r="A3921" s="75">
        <v>30151604</v>
      </c>
      <c r="B3921" s="76" t="s">
        <v>15921</v>
      </c>
    </row>
    <row r="3922" spans="1:2" x14ac:dyDescent="0.25">
      <c r="A3922" s="75">
        <v>30151605</v>
      </c>
      <c r="B3922" s="76" t="s">
        <v>16104</v>
      </c>
    </row>
    <row r="3923" spans="1:2" x14ac:dyDescent="0.25">
      <c r="A3923" s="75">
        <v>30151606</v>
      </c>
      <c r="B3923" s="76" t="s">
        <v>12274</v>
      </c>
    </row>
    <row r="3924" spans="1:2" x14ac:dyDescent="0.25">
      <c r="A3924" s="75">
        <v>30151607</v>
      </c>
      <c r="B3924" s="76" t="s">
        <v>18611</v>
      </c>
    </row>
    <row r="3925" spans="1:2" x14ac:dyDescent="0.25">
      <c r="A3925" s="75">
        <v>30151608</v>
      </c>
      <c r="B3925" s="76" t="s">
        <v>7499</v>
      </c>
    </row>
    <row r="3926" spans="1:2" x14ac:dyDescent="0.25">
      <c r="A3926" s="75">
        <v>30151609</v>
      </c>
      <c r="B3926" s="76" t="s">
        <v>4868</v>
      </c>
    </row>
    <row r="3927" spans="1:2" x14ac:dyDescent="0.25">
      <c r="A3927" s="75">
        <v>30151610</v>
      </c>
      <c r="B3927" s="76" t="s">
        <v>13653</v>
      </c>
    </row>
    <row r="3928" spans="1:2" x14ac:dyDescent="0.25">
      <c r="A3928" s="75">
        <v>30151701</v>
      </c>
      <c r="B3928" s="76" t="s">
        <v>8043</v>
      </c>
    </row>
    <row r="3929" spans="1:2" x14ac:dyDescent="0.25">
      <c r="A3929" s="75">
        <v>30151702</v>
      </c>
      <c r="B3929" s="76" t="s">
        <v>8977</v>
      </c>
    </row>
    <row r="3930" spans="1:2" x14ac:dyDescent="0.25">
      <c r="A3930" s="75">
        <v>30151703</v>
      </c>
      <c r="B3930" s="76" t="s">
        <v>998</v>
      </c>
    </row>
    <row r="3931" spans="1:2" x14ac:dyDescent="0.25">
      <c r="A3931" s="75">
        <v>30151704</v>
      </c>
      <c r="B3931" s="76" t="s">
        <v>17551</v>
      </c>
    </row>
    <row r="3932" spans="1:2" x14ac:dyDescent="0.25">
      <c r="A3932" s="75">
        <v>30151801</v>
      </c>
      <c r="B3932" s="76" t="s">
        <v>12720</v>
      </c>
    </row>
    <row r="3933" spans="1:2" x14ac:dyDescent="0.25">
      <c r="A3933" s="75">
        <v>30151802</v>
      </c>
      <c r="B3933" s="76" t="s">
        <v>19540</v>
      </c>
    </row>
    <row r="3934" spans="1:2" x14ac:dyDescent="0.25">
      <c r="A3934" s="75">
        <v>30151803</v>
      </c>
      <c r="B3934" s="76" t="s">
        <v>7810</v>
      </c>
    </row>
    <row r="3935" spans="1:2" x14ac:dyDescent="0.25">
      <c r="A3935" s="75">
        <v>30151804</v>
      </c>
      <c r="B3935" s="76" t="s">
        <v>19533</v>
      </c>
    </row>
    <row r="3936" spans="1:2" x14ac:dyDescent="0.25">
      <c r="A3936" s="75">
        <v>30151805</v>
      </c>
      <c r="B3936" s="76" t="s">
        <v>13225</v>
      </c>
    </row>
    <row r="3937" spans="1:2" x14ac:dyDescent="0.25">
      <c r="A3937" s="75">
        <v>30151806</v>
      </c>
      <c r="B3937" s="76" t="s">
        <v>13500</v>
      </c>
    </row>
    <row r="3938" spans="1:2" x14ac:dyDescent="0.25">
      <c r="A3938" s="75">
        <v>30151901</v>
      </c>
      <c r="B3938" s="76" t="s">
        <v>16629</v>
      </c>
    </row>
    <row r="3939" spans="1:2" x14ac:dyDescent="0.25">
      <c r="A3939" s="75">
        <v>30151902</v>
      </c>
      <c r="B3939" s="76" t="s">
        <v>10137</v>
      </c>
    </row>
    <row r="3940" spans="1:2" x14ac:dyDescent="0.25">
      <c r="A3940" s="75">
        <v>30152001</v>
      </c>
      <c r="B3940" s="76" t="s">
        <v>5421</v>
      </c>
    </row>
    <row r="3941" spans="1:2" x14ac:dyDescent="0.25">
      <c r="A3941" s="75">
        <v>30152002</v>
      </c>
      <c r="B3941" s="76" t="s">
        <v>1921</v>
      </c>
    </row>
    <row r="3942" spans="1:2" x14ac:dyDescent="0.25">
      <c r="A3942" s="75">
        <v>30152003</v>
      </c>
      <c r="B3942" s="76" t="s">
        <v>18960</v>
      </c>
    </row>
    <row r="3943" spans="1:2" x14ac:dyDescent="0.25">
      <c r="A3943" s="75">
        <v>30152101</v>
      </c>
      <c r="B3943" s="76" t="s">
        <v>17891</v>
      </c>
    </row>
    <row r="3944" spans="1:2" x14ac:dyDescent="0.25">
      <c r="A3944" s="75">
        <v>30161501</v>
      </c>
      <c r="B3944" s="76" t="s">
        <v>10684</v>
      </c>
    </row>
    <row r="3945" spans="1:2" x14ac:dyDescent="0.25">
      <c r="A3945" s="75">
        <v>30161502</v>
      </c>
      <c r="B3945" s="76" t="s">
        <v>7836</v>
      </c>
    </row>
    <row r="3946" spans="1:2" x14ac:dyDescent="0.25">
      <c r="A3946" s="75">
        <v>30161503</v>
      </c>
      <c r="B3946" s="76" t="s">
        <v>9628</v>
      </c>
    </row>
    <row r="3947" spans="1:2" x14ac:dyDescent="0.25">
      <c r="A3947" s="75">
        <v>30161504</v>
      </c>
      <c r="B3947" s="76" t="s">
        <v>19280</v>
      </c>
    </row>
    <row r="3948" spans="1:2" x14ac:dyDescent="0.25">
      <c r="A3948" s="75">
        <v>30161505</v>
      </c>
      <c r="B3948" s="76" t="s">
        <v>19912</v>
      </c>
    </row>
    <row r="3949" spans="1:2" x14ac:dyDescent="0.25">
      <c r="A3949" s="75">
        <v>30161507</v>
      </c>
      <c r="B3949" s="76" t="s">
        <v>19000</v>
      </c>
    </row>
    <row r="3950" spans="1:2" x14ac:dyDescent="0.25">
      <c r="A3950" s="75">
        <v>30161508</v>
      </c>
      <c r="B3950" s="76" t="s">
        <v>13749</v>
      </c>
    </row>
    <row r="3951" spans="1:2" x14ac:dyDescent="0.25">
      <c r="A3951" s="75">
        <v>30161509</v>
      </c>
      <c r="B3951" s="76" t="s">
        <v>19113</v>
      </c>
    </row>
    <row r="3952" spans="1:2" x14ac:dyDescent="0.25">
      <c r="A3952" s="75">
        <v>30161601</v>
      </c>
      <c r="B3952" s="76" t="s">
        <v>4770</v>
      </c>
    </row>
    <row r="3953" spans="1:2" x14ac:dyDescent="0.25">
      <c r="A3953" s="75">
        <v>30161602</v>
      </c>
      <c r="B3953" s="76" t="s">
        <v>6989</v>
      </c>
    </row>
    <row r="3954" spans="1:2" x14ac:dyDescent="0.25">
      <c r="A3954" s="75">
        <v>30161603</v>
      </c>
      <c r="B3954" s="76" t="s">
        <v>16880</v>
      </c>
    </row>
    <row r="3955" spans="1:2" x14ac:dyDescent="0.25">
      <c r="A3955" s="75">
        <v>30161604</v>
      </c>
      <c r="B3955" s="76" t="s">
        <v>10072</v>
      </c>
    </row>
    <row r="3956" spans="1:2" x14ac:dyDescent="0.25">
      <c r="A3956" s="75">
        <v>30161701</v>
      </c>
      <c r="B3956" s="76" t="s">
        <v>6918</v>
      </c>
    </row>
    <row r="3957" spans="1:2" x14ac:dyDescent="0.25">
      <c r="A3957" s="75">
        <v>30161702</v>
      </c>
      <c r="B3957" s="76" t="s">
        <v>10141</v>
      </c>
    </row>
    <row r="3958" spans="1:2" x14ac:dyDescent="0.25">
      <c r="A3958" s="75">
        <v>30161703</v>
      </c>
      <c r="B3958" s="76" t="s">
        <v>17830</v>
      </c>
    </row>
    <row r="3959" spans="1:2" x14ac:dyDescent="0.25">
      <c r="A3959" s="75">
        <v>30161705</v>
      </c>
      <c r="B3959" s="76" t="s">
        <v>4699</v>
      </c>
    </row>
    <row r="3960" spans="1:2" x14ac:dyDescent="0.25">
      <c r="A3960" s="75">
        <v>30161706</v>
      </c>
      <c r="B3960" s="76" t="s">
        <v>10471</v>
      </c>
    </row>
    <row r="3961" spans="1:2" x14ac:dyDescent="0.25">
      <c r="A3961" s="75">
        <v>30161707</v>
      </c>
      <c r="B3961" s="76" t="s">
        <v>18319</v>
      </c>
    </row>
    <row r="3962" spans="1:2" x14ac:dyDescent="0.25">
      <c r="A3962" s="75">
        <v>30161708</v>
      </c>
      <c r="B3962" s="76" t="s">
        <v>11430</v>
      </c>
    </row>
    <row r="3963" spans="1:2" x14ac:dyDescent="0.25">
      <c r="A3963" s="75">
        <v>30161709</v>
      </c>
      <c r="B3963" s="76" t="s">
        <v>11762</v>
      </c>
    </row>
    <row r="3964" spans="1:2" x14ac:dyDescent="0.25">
      <c r="A3964" s="75">
        <v>30161710</v>
      </c>
      <c r="B3964" s="76" t="s">
        <v>852</v>
      </c>
    </row>
    <row r="3965" spans="1:2" x14ac:dyDescent="0.25">
      <c r="A3965" s="75">
        <v>30161711</v>
      </c>
      <c r="B3965" s="76" t="s">
        <v>3752</v>
      </c>
    </row>
    <row r="3966" spans="1:2" x14ac:dyDescent="0.25">
      <c r="A3966" s="75">
        <v>30161712</v>
      </c>
      <c r="B3966" s="76" t="s">
        <v>642</v>
      </c>
    </row>
    <row r="3967" spans="1:2" x14ac:dyDescent="0.25">
      <c r="A3967" s="75">
        <v>30161713</v>
      </c>
      <c r="B3967" s="76" t="s">
        <v>17566</v>
      </c>
    </row>
    <row r="3968" spans="1:2" x14ac:dyDescent="0.25">
      <c r="A3968" s="75">
        <v>30161714</v>
      </c>
      <c r="B3968" s="76" t="s">
        <v>1462</v>
      </c>
    </row>
    <row r="3969" spans="1:2" x14ac:dyDescent="0.25">
      <c r="A3969" s="75">
        <v>30161715</v>
      </c>
      <c r="B3969" s="76" t="s">
        <v>19185</v>
      </c>
    </row>
    <row r="3970" spans="1:2" x14ac:dyDescent="0.25">
      <c r="A3970" s="75">
        <v>30161716</v>
      </c>
      <c r="B3970" s="76" t="s">
        <v>849</v>
      </c>
    </row>
    <row r="3971" spans="1:2" x14ac:dyDescent="0.25">
      <c r="A3971" s="75">
        <v>30161717</v>
      </c>
      <c r="B3971" s="76" t="s">
        <v>16712</v>
      </c>
    </row>
    <row r="3972" spans="1:2" x14ac:dyDescent="0.25">
      <c r="A3972" s="75">
        <v>30161718</v>
      </c>
      <c r="B3972" s="76" t="s">
        <v>3971</v>
      </c>
    </row>
    <row r="3973" spans="1:2" x14ac:dyDescent="0.25">
      <c r="A3973" s="75">
        <v>30161719</v>
      </c>
      <c r="B3973" s="76" t="s">
        <v>7074</v>
      </c>
    </row>
    <row r="3974" spans="1:2" x14ac:dyDescent="0.25">
      <c r="A3974" s="75">
        <v>30161801</v>
      </c>
      <c r="B3974" s="76" t="s">
        <v>19535</v>
      </c>
    </row>
    <row r="3975" spans="1:2" x14ac:dyDescent="0.25">
      <c r="A3975" s="75">
        <v>30161802</v>
      </c>
      <c r="B3975" s="76" t="s">
        <v>14372</v>
      </c>
    </row>
    <row r="3976" spans="1:2" x14ac:dyDescent="0.25">
      <c r="A3976" s="75">
        <v>30161901</v>
      </c>
      <c r="B3976" s="76" t="s">
        <v>16000</v>
      </c>
    </row>
    <row r="3977" spans="1:2" x14ac:dyDescent="0.25">
      <c r="A3977" s="75">
        <v>30161902</v>
      </c>
      <c r="B3977" s="76" t="s">
        <v>6479</v>
      </c>
    </row>
    <row r="3978" spans="1:2" x14ac:dyDescent="0.25">
      <c r="A3978" s="75">
        <v>30161903</v>
      </c>
      <c r="B3978" s="76" t="s">
        <v>3670</v>
      </c>
    </row>
    <row r="3979" spans="1:2" x14ac:dyDescent="0.25">
      <c r="A3979" s="75">
        <v>30161904</v>
      </c>
      <c r="B3979" s="76" t="s">
        <v>480</v>
      </c>
    </row>
    <row r="3980" spans="1:2" x14ac:dyDescent="0.25">
      <c r="A3980" s="75">
        <v>30161905</v>
      </c>
      <c r="B3980" s="76" t="s">
        <v>3933</v>
      </c>
    </row>
    <row r="3981" spans="1:2" x14ac:dyDescent="0.25">
      <c r="A3981" s="75">
        <v>30161906</v>
      </c>
      <c r="B3981" s="76" t="s">
        <v>8003</v>
      </c>
    </row>
    <row r="3982" spans="1:2" x14ac:dyDescent="0.25">
      <c r="A3982" s="75">
        <v>30161907</v>
      </c>
      <c r="B3982" s="76" t="s">
        <v>219</v>
      </c>
    </row>
    <row r="3983" spans="1:2" x14ac:dyDescent="0.25">
      <c r="A3983" s="75">
        <v>30161908</v>
      </c>
      <c r="B3983" s="76" t="s">
        <v>12167</v>
      </c>
    </row>
    <row r="3984" spans="1:2" x14ac:dyDescent="0.25">
      <c r="A3984" s="75">
        <v>30171501</v>
      </c>
      <c r="B3984" s="76" t="s">
        <v>17476</v>
      </c>
    </row>
    <row r="3985" spans="1:2" x14ac:dyDescent="0.25">
      <c r="A3985" s="75">
        <v>30171502</v>
      </c>
      <c r="B3985" s="76" t="s">
        <v>19516</v>
      </c>
    </row>
    <row r="3986" spans="1:2" x14ac:dyDescent="0.25">
      <c r="A3986" s="75">
        <v>30171503</v>
      </c>
      <c r="B3986" s="76" t="s">
        <v>715</v>
      </c>
    </row>
    <row r="3987" spans="1:2" x14ac:dyDescent="0.25">
      <c r="A3987" s="75">
        <v>30171504</v>
      </c>
      <c r="B3987" s="76" t="s">
        <v>2749</v>
      </c>
    </row>
    <row r="3988" spans="1:2" x14ac:dyDescent="0.25">
      <c r="A3988" s="75">
        <v>30171505</v>
      </c>
      <c r="B3988" s="76" t="s">
        <v>10598</v>
      </c>
    </row>
    <row r="3989" spans="1:2" x14ac:dyDescent="0.25">
      <c r="A3989" s="75">
        <v>30171506</v>
      </c>
      <c r="B3989" s="76" t="s">
        <v>690</v>
      </c>
    </row>
    <row r="3990" spans="1:2" x14ac:dyDescent="0.25">
      <c r="A3990" s="75">
        <v>30171507</v>
      </c>
      <c r="B3990" s="76" t="s">
        <v>8626</v>
      </c>
    </row>
    <row r="3991" spans="1:2" x14ac:dyDescent="0.25">
      <c r="A3991" s="75">
        <v>30171508</v>
      </c>
      <c r="B3991" s="76" t="s">
        <v>5066</v>
      </c>
    </row>
    <row r="3992" spans="1:2" x14ac:dyDescent="0.25">
      <c r="A3992" s="75">
        <v>30171509</v>
      </c>
      <c r="B3992" s="76" t="s">
        <v>1995</v>
      </c>
    </row>
    <row r="3993" spans="1:2" x14ac:dyDescent="0.25">
      <c r="A3993" s="75">
        <v>30171510</v>
      </c>
      <c r="B3993" s="76" t="s">
        <v>12706</v>
      </c>
    </row>
    <row r="3994" spans="1:2" x14ac:dyDescent="0.25">
      <c r="A3994" s="75">
        <v>30171511</v>
      </c>
      <c r="B3994" s="76" t="s">
        <v>16071</v>
      </c>
    </row>
    <row r="3995" spans="1:2" x14ac:dyDescent="0.25">
      <c r="A3995" s="75">
        <v>30171512</v>
      </c>
      <c r="B3995" s="76" t="s">
        <v>11787</v>
      </c>
    </row>
    <row r="3996" spans="1:2" x14ac:dyDescent="0.25">
      <c r="A3996" s="75">
        <v>30171513</v>
      </c>
      <c r="B3996" s="76" t="s">
        <v>2052</v>
      </c>
    </row>
    <row r="3997" spans="1:2" x14ac:dyDescent="0.25">
      <c r="A3997" s="75">
        <v>30171514</v>
      </c>
      <c r="B3997" s="76" t="s">
        <v>3484</v>
      </c>
    </row>
    <row r="3998" spans="1:2" x14ac:dyDescent="0.25">
      <c r="A3998" s="75">
        <v>30171604</v>
      </c>
      <c r="B3998" s="76" t="s">
        <v>10673</v>
      </c>
    </row>
    <row r="3999" spans="1:2" x14ac:dyDescent="0.25">
      <c r="A3999" s="75">
        <v>30171605</v>
      </c>
      <c r="B3999" s="76" t="s">
        <v>6919</v>
      </c>
    </row>
    <row r="4000" spans="1:2" x14ac:dyDescent="0.25">
      <c r="A4000" s="75">
        <v>30171606</v>
      </c>
      <c r="B4000" s="76" t="s">
        <v>2933</v>
      </c>
    </row>
    <row r="4001" spans="1:2" x14ac:dyDescent="0.25">
      <c r="A4001" s="75">
        <v>30171607</v>
      </c>
      <c r="B4001" s="76" t="s">
        <v>13572</v>
      </c>
    </row>
    <row r="4002" spans="1:2" x14ac:dyDescent="0.25">
      <c r="A4002" s="75">
        <v>30171608</v>
      </c>
      <c r="B4002" s="76" t="s">
        <v>12739</v>
      </c>
    </row>
    <row r="4003" spans="1:2" x14ac:dyDescent="0.25">
      <c r="A4003" s="75">
        <v>30171609</v>
      </c>
      <c r="B4003" s="76" t="s">
        <v>6585</v>
      </c>
    </row>
    <row r="4004" spans="1:2" x14ac:dyDescent="0.25">
      <c r="A4004" s="75">
        <v>30171610</v>
      </c>
      <c r="B4004" s="76" t="s">
        <v>6625</v>
      </c>
    </row>
    <row r="4005" spans="1:2" x14ac:dyDescent="0.25">
      <c r="A4005" s="75">
        <v>30171611</v>
      </c>
      <c r="B4005" s="76" t="s">
        <v>7209</v>
      </c>
    </row>
    <row r="4006" spans="1:2" x14ac:dyDescent="0.25">
      <c r="A4006" s="75">
        <v>30171612</v>
      </c>
      <c r="B4006" s="76" t="s">
        <v>5966</v>
      </c>
    </row>
    <row r="4007" spans="1:2" x14ac:dyDescent="0.25">
      <c r="A4007" s="75">
        <v>30171613</v>
      </c>
      <c r="B4007" s="76" t="s">
        <v>3473</v>
      </c>
    </row>
    <row r="4008" spans="1:2" x14ac:dyDescent="0.25">
      <c r="A4008" s="75">
        <v>30171614</v>
      </c>
      <c r="B4008" s="76" t="s">
        <v>6645</v>
      </c>
    </row>
    <row r="4009" spans="1:2" x14ac:dyDescent="0.25">
      <c r="A4009" s="75">
        <v>30171615</v>
      </c>
      <c r="B4009" s="76" t="s">
        <v>17908</v>
      </c>
    </row>
    <row r="4010" spans="1:2" x14ac:dyDescent="0.25">
      <c r="A4010" s="75">
        <v>30171701</v>
      </c>
      <c r="B4010" s="76" t="s">
        <v>16208</v>
      </c>
    </row>
    <row r="4011" spans="1:2" x14ac:dyDescent="0.25">
      <c r="A4011" s="75">
        <v>30171703</v>
      </c>
      <c r="B4011" s="76" t="s">
        <v>16326</v>
      </c>
    </row>
    <row r="4012" spans="1:2" x14ac:dyDescent="0.25">
      <c r="A4012" s="75">
        <v>30171704</v>
      </c>
      <c r="B4012" s="76" t="s">
        <v>11931</v>
      </c>
    </row>
    <row r="4013" spans="1:2" x14ac:dyDescent="0.25">
      <c r="A4013" s="75">
        <v>30171705</v>
      </c>
      <c r="B4013" s="76" t="s">
        <v>7518</v>
      </c>
    </row>
    <row r="4014" spans="1:2" x14ac:dyDescent="0.25">
      <c r="A4014" s="75">
        <v>30171706</v>
      </c>
      <c r="B4014" s="76" t="s">
        <v>4715</v>
      </c>
    </row>
    <row r="4015" spans="1:2" x14ac:dyDescent="0.25">
      <c r="A4015" s="75">
        <v>30171707</v>
      </c>
      <c r="B4015" s="76" t="s">
        <v>16846</v>
      </c>
    </row>
    <row r="4016" spans="1:2" x14ac:dyDescent="0.25">
      <c r="A4016" s="75">
        <v>30171708</v>
      </c>
      <c r="B4016" s="76" t="s">
        <v>4709</v>
      </c>
    </row>
    <row r="4017" spans="1:2" x14ac:dyDescent="0.25">
      <c r="A4017" s="75">
        <v>30171709</v>
      </c>
      <c r="B4017" s="76" t="s">
        <v>11347</v>
      </c>
    </row>
    <row r="4018" spans="1:2" x14ac:dyDescent="0.25">
      <c r="A4018" s="75">
        <v>30171801</v>
      </c>
      <c r="B4018" s="76" t="s">
        <v>5745</v>
      </c>
    </row>
    <row r="4019" spans="1:2" x14ac:dyDescent="0.25">
      <c r="A4019" s="75">
        <v>30171802</v>
      </c>
      <c r="B4019" s="76" t="s">
        <v>3893</v>
      </c>
    </row>
    <row r="4020" spans="1:2" x14ac:dyDescent="0.25">
      <c r="A4020" s="75">
        <v>30171803</v>
      </c>
      <c r="B4020" s="76" t="s">
        <v>6688</v>
      </c>
    </row>
    <row r="4021" spans="1:2" x14ac:dyDescent="0.25">
      <c r="A4021" s="75">
        <v>30171901</v>
      </c>
      <c r="B4021" s="76" t="s">
        <v>18289</v>
      </c>
    </row>
    <row r="4022" spans="1:2" x14ac:dyDescent="0.25">
      <c r="A4022" s="75">
        <v>30171902</v>
      </c>
      <c r="B4022" s="76" t="s">
        <v>13355</v>
      </c>
    </row>
    <row r="4023" spans="1:2" x14ac:dyDescent="0.25">
      <c r="A4023" s="75">
        <v>30171903</v>
      </c>
      <c r="B4023" s="76" t="s">
        <v>3820</v>
      </c>
    </row>
    <row r="4024" spans="1:2" x14ac:dyDescent="0.25">
      <c r="A4024" s="75">
        <v>30171904</v>
      </c>
      <c r="B4024" s="76" t="s">
        <v>4757</v>
      </c>
    </row>
    <row r="4025" spans="1:2" x14ac:dyDescent="0.25">
      <c r="A4025" s="75">
        <v>30171905</v>
      </c>
      <c r="B4025" s="76" t="s">
        <v>17801</v>
      </c>
    </row>
    <row r="4026" spans="1:2" x14ac:dyDescent="0.25">
      <c r="A4026" s="75">
        <v>30171906</v>
      </c>
      <c r="B4026" s="76" t="s">
        <v>18858</v>
      </c>
    </row>
    <row r="4027" spans="1:2" x14ac:dyDescent="0.25">
      <c r="A4027" s="75">
        <v>30172001</v>
      </c>
      <c r="B4027" s="76" t="s">
        <v>12456</v>
      </c>
    </row>
    <row r="4028" spans="1:2" x14ac:dyDescent="0.25">
      <c r="A4028" s="75">
        <v>30172002</v>
      </c>
      <c r="B4028" s="76" t="s">
        <v>1895</v>
      </c>
    </row>
    <row r="4029" spans="1:2" x14ac:dyDescent="0.25">
      <c r="A4029" s="75">
        <v>30181501</v>
      </c>
      <c r="B4029" s="76" t="s">
        <v>11590</v>
      </c>
    </row>
    <row r="4030" spans="1:2" x14ac:dyDescent="0.25">
      <c r="A4030" s="75">
        <v>30181502</v>
      </c>
      <c r="B4030" s="76" t="s">
        <v>3683</v>
      </c>
    </row>
    <row r="4031" spans="1:2" x14ac:dyDescent="0.25">
      <c r="A4031" s="75">
        <v>30181503</v>
      </c>
      <c r="B4031" s="76" t="s">
        <v>8230</v>
      </c>
    </row>
    <row r="4032" spans="1:2" x14ac:dyDescent="0.25">
      <c r="A4032" s="75">
        <v>30181504</v>
      </c>
      <c r="B4032" s="76" t="s">
        <v>1095</v>
      </c>
    </row>
    <row r="4033" spans="1:2" x14ac:dyDescent="0.25">
      <c r="A4033" s="75">
        <v>30181505</v>
      </c>
      <c r="B4033" s="76" t="s">
        <v>17966</v>
      </c>
    </row>
    <row r="4034" spans="1:2" x14ac:dyDescent="0.25">
      <c r="A4034" s="75">
        <v>30181506</v>
      </c>
      <c r="B4034" s="76" t="s">
        <v>3159</v>
      </c>
    </row>
    <row r="4035" spans="1:2" x14ac:dyDescent="0.25">
      <c r="A4035" s="75">
        <v>30181507</v>
      </c>
      <c r="B4035" s="76" t="s">
        <v>11030</v>
      </c>
    </row>
    <row r="4036" spans="1:2" x14ac:dyDescent="0.25">
      <c r="A4036" s="75">
        <v>30181508</v>
      </c>
      <c r="B4036" s="76" t="s">
        <v>12696</v>
      </c>
    </row>
    <row r="4037" spans="1:2" x14ac:dyDescent="0.25">
      <c r="A4037" s="75">
        <v>30181509</v>
      </c>
      <c r="B4037" s="76" t="s">
        <v>3799</v>
      </c>
    </row>
    <row r="4038" spans="1:2" x14ac:dyDescent="0.25">
      <c r="A4038" s="75">
        <v>30181510</v>
      </c>
      <c r="B4038" s="76" t="s">
        <v>6916</v>
      </c>
    </row>
    <row r="4039" spans="1:2" x14ac:dyDescent="0.25">
      <c r="A4039" s="75">
        <v>30181511</v>
      </c>
      <c r="B4039" s="76" t="s">
        <v>17966</v>
      </c>
    </row>
    <row r="4040" spans="1:2" x14ac:dyDescent="0.25">
      <c r="A4040" s="75">
        <v>30181512</v>
      </c>
      <c r="B4040" s="76" t="s">
        <v>9952</v>
      </c>
    </row>
    <row r="4041" spans="1:2" x14ac:dyDescent="0.25">
      <c r="A4041" s="75">
        <v>30181513</v>
      </c>
      <c r="B4041" s="76" t="s">
        <v>9856</v>
      </c>
    </row>
    <row r="4042" spans="1:2" x14ac:dyDescent="0.25">
      <c r="A4042" s="75">
        <v>30181514</v>
      </c>
      <c r="B4042" s="76" t="s">
        <v>7144</v>
      </c>
    </row>
    <row r="4043" spans="1:2" x14ac:dyDescent="0.25">
      <c r="A4043" s="75">
        <v>30181515</v>
      </c>
      <c r="B4043" s="76" t="s">
        <v>10552</v>
      </c>
    </row>
    <row r="4044" spans="1:2" x14ac:dyDescent="0.25">
      <c r="A4044" s="75">
        <v>30191501</v>
      </c>
      <c r="B4044" s="76" t="s">
        <v>219</v>
      </c>
    </row>
    <row r="4045" spans="1:2" x14ac:dyDescent="0.25">
      <c r="A4045" s="75">
        <v>30191502</v>
      </c>
      <c r="B4045" s="76" t="s">
        <v>15972</v>
      </c>
    </row>
    <row r="4046" spans="1:2" x14ac:dyDescent="0.25">
      <c r="A4046" s="75">
        <v>30191505</v>
      </c>
      <c r="B4046" s="76" t="s">
        <v>11294</v>
      </c>
    </row>
    <row r="4047" spans="1:2" x14ac:dyDescent="0.25">
      <c r="A4047" s="75">
        <v>30191601</v>
      </c>
      <c r="B4047" s="76" t="s">
        <v>13100</v>
      </c>
    </row>
    <row r="4048" spans="1:2" x14ac:dyDescent="0.25">
      <c r="A4048" s="75">
        <v>30191602</v>
      </c>
      <c r="B4048" s="76" t="s">
        <v>522</v>
      </c>
    </row>
    <row r="4049" spans="1:2" x14ac:dyDescent="0.25">
      <c r="A4049" s="75">
        <v>30191603</v>
      </c>
      <c r="B4049" s="76" t="s">
        <v>10021</v>
      </c>
    </row>
    <row r="4050" spans="1:2" x14ac:dyDescent="0.25">
      <c r="A4050" s="75">
        <v>30201501</v>
      </c>
      <c r="B4050" s="76" t="s">
        <v>14374</v>
      </c>
    </row>
    <row r="4051" spans="1:2" x14ac:dyDescent="0.25">
      <c r="A4051" s="75">
        <v>30201502</v>
      </c>
      <c r="B4051" s="76" t="s">
        <v>9808</v>
      </c>
    </row>
    <row r="4052" spans="1:2" x14ac:dyDescent="0.25">
      <c r="A4052" s="75">
        <v>30201601</v>
      </c>
      <c r="B4052" s="76" t="s">
        <v>13827</v>
      </c>
    </row>
    <row r="4053" spans="1:2" x14ac:dyDescent="0.25">
      <c r="A4053" s="75">
        <v>30201602</v>
      </c>
      <c r="B4053" s="76" t="s">
        <v>11920</v>
      </c>
    </row>
    <row r="4054" spans="1:2" x14ac:dyDescent="0.25">
      <c r="A4054" s="75">
        <v>30201603</v>
      </c>
      <c r="B4054" s="76" t="s">
        <v>10477</v>
      </c>
    </row>
    <row r="4055" spans="1:2" x14ac:dyDescent="0.25">
      <c r="A4055" s="75">
        <v>30201604</v>
      </c>
      <c r="B4055" s="76" t="s">
        <v>9009</v>
      </c>
    </row>
    <row r="4056" spans="1:2" x14ac:dyDescent="0.25">
      <c r="A4056" s="75">
        <v>30201605</v>
      </c>
      <c r="B4056" s="76" t="s">
        <v>17100</v>
      </c>
    </row>
    <row r="4057" spans="1:2" x14ac:dyDescent="0.25">
      <c r="A4057" s="75">
        <v>30201606</v>
      </c>
      <c r="B4057" s="76" t="s">
        <v>17379</v>
      </c>
    </row>
    <row r="4058" spans="1:2" x14ac:dyDescent="0.25">
      <c r="A4058" s="75">
        <v>30201701</v>
      </c>
      <c r="B4058" s="76" t="s">
        <v>15982</v>
      </c>
    </row>
    <row r="4059" spans="1:2" x14ac:dyDescent="0.25">
      <c r="A4059" s="75">
        <v>30201702</v>
      </c>
      <c r="B4059" s="76" t="s">
        <v>7261</v>
      </c>
    </row>
    <row r="4060" spans="1:2" x14ac:dyDescent="0.25">
      <c r="A4060" s="75">
        <v>30201703</v>
      </c>
      <c r="B4060" s="76" t="s">
        <v>8497</v>
      </c>
    </row>
    <row r="4061" spans="1:2" x14ac:dyDescent="0.25">
      <c r="A4061" s="75">
        <v>30201704</v>
      </c>
      <c r="B4061" s="76" t="s">
        <v>5922</v>
      </c>
    </row>
    <row r="4062" spans="1:2" x14ac:dyDescent="0.25">
      <c r="A4062" s="75">
        <v>30201705</v>
      </c>
      <c r="B4062" s="76" t="s">
        <v>12782</v>
      </c>
    </row>
    <row r="4063" spans="1:2" x14ac:dyDescent="0.25">
      <c r="A4063" s="75">
        <v>30201706</v>
      </c>
      <c r="B4063" s="76" t="s">
        <v>9909</v>
      </c>
    </row>
    <row r="4064" spans="1:2" x14ac:dyDescent="0.25">
      <c r="A4064" s="75">
        <v>30201707</v>
      </c>
      <c r="B4064" s="76" t="s">
        <v>15518</v>
      </c>
    </row>
    <row r="4065" spans="1:2" x14ac:dyDescent="0.25">
      <c r="A4065" s="75">
        <v>30201708</v>
      </c>
      <c r="B4065" s="76" t="s">
        <v>19653</v>
      </c>
    </row>
    <row r="4066" spans="1:2" x14ac:dyDescent="0.25">
      <c r="A4066" s="75">
        <v>30201710</v>
      </c>
      <c r="B4066" s="76" t="s">
        <v>6478</v>
      </c>
    </row>
    <row r="4067" spans="1:2" x14ac:dyDescent="0.25">
      <c r="A4067" s="75">
        <v>30201711</v>
      </c>
      <c r="B4067" s="76" t="s">
        <v>10964</v>
      </c>
    </row>
    <row r="4068" spans="1:2" x14ac:dyDescent="0.25">
      <c r="A4068" s="75">
        <v>30201712</v>
      </c>
      <c r="B4068" s="76" t="s">
        <v>14008</v>
      </c>
    </row>
    <row r="4069" spans="1:2" x14ac:dyDescent="0.25">
      <c r="A4069" s="75">
        <v>30201801</v>
      </c>
      <c r="B4069" s="76" t="s">
        <v>5266</v>
      </c>
    </row>
    <row r="4070" spans="1:2" x14ac:dyDescent="0.25">
      <c r="A4070" s="75">
        <v>30201802</v>
      </c>
      <c r="B4070" s="76" t="s">
        <v>16945</v>
      </c>
    </row>
    <row r="4071" spans="1:2" x14ac:dyDescent="0.25">
      <c r="A4071" s="75">
        <v>30201803</v>
      </c>
      <c r="B4071" s="76" t="s">
        <v>18257</v>
      </c>
    </row>
    <row r="4072" spans="1:2" x14ac:dyDescent="0.25">
      <c r="A4072" s="75">
        <v>30201901</v>
      </c>
      <c r="B4072" s="76" t="s">
        <v>16857</v>
      </c>
    </row>
    <row r="4073" spans="1:2" x14ac:dyDescent="0.25">
      <c r="A4073" s="75">
        <v>30201902</v>
      </c>
      <c r="B4073" s="76" t="s">
        <v>15734</v>
      </c>
    </row>
    <row r="4074" spans="1:2" x14ac:dyDescent="0.25">
      <c r="A4074" s="75">
        <v>30201903</v>
      </c>
      <c r="B4074" s="76" t="s">
        <v>17868</v>
      </c>
    </row>
    <row r="4075" spans="1:2" x14ac:dyDescent="0.25">
      <c r="A4075" s="75">
        <v>30201904</v>
      </c>
      <c r="B4075" s="76" t="s">
        <v>18773</v>
      </c>
    </row>
    <row r="4076" spans="1:2" x14ac:dyDescent="0.25">
      <c r="A4076" s="75">
        <v>30221001</v>
      </c>
      <c r="B4076" s="76" t="s">
        <v>6772</v>
      </c>
    </row>
    <row r="4077" spans="1:2" x14ac:dyDescent="0.25">
      <c r="A4077" s="75">
        <v>30221002</v>
      </c>
      <c r="B4077" s="76" t="s">
        <v>7222</v>
      </c>
    </row>
    <row r="4078" spans="1:2" x14ac:dyDescent="0.25">
      <c r="A4078" s="75">
        <v>30221003</v>
      </c>
      <c r="B4078" s="76" t="s">
        <v>8957</v>
      </c>
    </row>
    <row r="4079" spans="1:2" x14ac:dyDescent="0.25">
      <c r="A4079" s="75">
        <v>30221004</v>
      </c>
      <c r="B4079" s="76" t="s">
        <v>3398</v>
      </c>
    </row>
    <row r="4080" spans="1:2" x14ac:dyDescent="0.25">
      <c r="A4080" s="75">
        <v>30221005</v>
      </c>
      <c r="B4080" s="76" t="s">
        <v>7243</v>
      </c>
    </row>
    <row r="4081" spans="1:2" x14ac:dyDescent="0.25">
      <c r="A4081" s="75">
        <v>30221006</v>
      </c>
      <c r="B4081" s="76" t="s">
        <v>13873</v>
      </c>
    </row>
    <row r="4082" spans="1:2" x14ac:dyDescent="0.25">
      <c r="A4082" s="75">
        <v>30221007</v>
      </c>
      <c r="B4082" s="76" t="s">
        <v>7504</v>
      </c>
    </row>
    <row r="4083" spans="1:2" x14ac:dyDescent="0.25">
      <c r="A4083" s="75">
        <v>30221009</v>
      </c>
      <c r="B4083" s="76" t="s">
        <v>2602</v>
      </c>
    </row>
    <row r="4084" spans="1:2" x14ac:dyDescent="0.25">
      <c r="A4084" s="75">
        <v>30221010</v>
      </c>
      <c r="B4084" s="76" t="s">
        <v>5261</v>
      </c>
    </row>
    <row r="4085" spans="1:2" x14ac:dyDescent="0.25">
      <c r="A4085" s="75">
        <v>30221011</v>
      </c>
      <c r="B4085" s="76" t="s">
        <v>11664</v>
      </c>
    </row>
    <row r="4086" spans="1:2" x14ac:dyDescent="0.25">
      <c r="A4086" s="75">
        <v>30221012</v>
      </c>
      <c r="B4086" s="76" t="s">
        <v>9726</v>
      </c>
    </row>
    <row r="4087" spans="1:2" x14ac:dyDescent="0.25">
      <c r="A4087" s="75">
        <v>30221013</v>
      </c>
      <c r="B4087" s="76" t="s">
        <v>4189</v>
      </c>
    </row>
    <row r="4088" spans="1:2" x14ac:dyDescent="0.25">
      <c r="A4088" s="75">
        <v>30221014</v>
      </c>
      <c r="B4088" s="76" t="s">
        <v>16720</v>
      </c>
    </row>
    <row r="4089" spans="1:2" x14ac:dyDescent="0.25">
      <c r="A4089" s="75">
        <v>30222001</v>
      </c>
      <c r="B4089" s="76" t="s">
        <v>11361</v>
      </c>
    </row>
    <row r="4090" spans="1:2" x14ac:dyDescent="0.25">
      <c r="A4090" s="75">
        <v>30222002</v>
      </c>
      <c r="B4090" s="76" t="s">
        <v>1310</v>
      </c>
    </row>
    <row r="4091" spans="1:2" x14ac:dyDescent="0.25">
      <c r="A4091" s="75">
        <v>30222003</v>
      </c>
      <c r="B4091" s="76" t="s">
        <v>18127</v>
      </c>
    </row>
    <row r="4092" spans="1:2" x14ac:dyDescent="0.25">
      <c r="A4092" s="75">
        <v>30222004</v>
      </c>
      <c r="B4092" s="76" t="s">
        <v>7945</v>
      </c>
    </row>
    <row r="4093" spans="1:2" x14ac:dyDescent="0.25">
      <c r="A4093" s="75">
        <v>30222005</v>
      </c>
      <c r="B4093" s="76" t="s">
        <v>12614</v>
      </c>
    </row>
    <row r="4094" spans="1:2" x14ac:dyDescent="0.25">
      <c r="A4094" s="75">
        <v>30222006</v>
      </c>
      <c r="B4094" s="76" t="s">
        <v>15004</v>
      </c>
    </row>
    <row r="4095" spans="1:2" x14ac:dyDescent="0.25">
      <c r="A4095" s="75">
        <v>30222007</v>
      </c>
      <c r="B4095" s="76" t="s">
        <v>10707</v>
      </c>
    </row>
    <row r="4096" spans="1:2" x14ac:dyDescent="0.25">
      <c r="A4096" s="75">
        <v>30222008</v>
      </c>
      <c r="B4096" s="76" t="s">
        <v>19683</v>
      </c>
    </row>
    <row r="4097" spans="1:2" x14ac:dyDescent="0.25">
      <c r="A4097" s="75">
        <v>30222009</v>
      </c>
      <c r="B4097" s="76" t="s">
        <v>1195</v>
      </c>
    </row>
    <row r="4098" spans="1:2" x14ac:dyDescent="0.25">
      <c r="A4098" s="75">
        <v>30222010</v>
      </c>
      <c r="B4098" s="76" t="s">
        <v>8001</v>
      </c>
    </row>
    <row r="4099" spans="1:2" x14ac:dyDescent="0.25">
      <c r="A4099" s="75">
        <v>30222011</v>
      </c>
      <c r="B4099" s="76" t="s">
        <v>4446</v>
      </c>
    </row>
    <row r="4100" spans="1:2" x14ac:dyDescent="0.25">
      <c r="A4100" s="75">
        <v>30222012</v>
      </c>
      <c r="B4100" s="76" t="s">
        <v>14878</v>
      </c>
    </row>
    <row r="4101" spans="1:2" x14ac:dyDescent="0.25">
      <c r="A4101" s="75">
        <v>30222013</v>
      </c>
      <c r="B4101" s="76" t="s">
        <v>16092</v>
      </c>
    </row>
    <row r="4102" spans="1:2" x14ac:dyDescent="0.25">
      <c r="A4102" s="75">
        <v>30222014</v>
      </c>
      <c r="B4102" s="76" t="s">
        <v>1009</v>
      </c>
    </row>
    <row r="4103" spans="1:2" x14ac:dyDescent="0.25">
      <c r="A4103" s="75">
        <v>30222015</v>
      </c>
      <c r="B4103" s="76" t="s">
        <v>15686</v>
      </c>
    </row>
    <row r="4104" spans="1:2" x14ac:dyDescent="0.25">
      <c r="A4104" s="75">
        <v>30222016</v>
      </c>
      <c r="B4104" s="76" t="s">
        <v>18209</v>
      </c>
    </row>
    <row r="4105" spans="1:2" x14ac:dyDescent="0.25">
      <c r="A4105" s="75">
        <v>30222017</v>
      </c>
      <c r="B4105" s="76" t="s">
        <v>4173</v>
      </c>
    </row>
    <row r="4106" spans="1:2" x14ac:dyDescent="0.25">
      <c r="A4106" s="75">
        <v>30222018</v>
      </c>
      <c r="B4106" s="76" t="s">
        <v>15755</v>
      </c>
    </row>
    <row r="4107" spans="1:2" x14ac:dyDescent="0.25">
      <c r="A4107" s="75">
        <v>30222019</v>
      </c>
      <c r="B4107" s="76" t="s">
        <v>17111</v>
      </c>
    </row>
    <row r="4108" spans="1:2" x14ac:dyDescent="0.25">
      <c r="A4108" s="75">
        <v>30222020</v>
      </c>
      <c r="B4108" s="76" t="s">
        <v>6493</v>
      </c>
    </row>
    <row r="4109" spans="1:2" x14ac:dyDescent="0.25">
      <c r="A4109" s="75">
        <v>30222021</v>
      </c>
      <c r="B4109" s="76" t="s">
        <v>17947</v>
      </c>
    </row>
    <row r="4110" spans="1:2" x14ac:dyDescent="0.25">
      <c r="A4110" s="75">
        <v>30222022</v>
      </c>
      <c r="B4110" s="76" t="s">
        <v>2750</v>
      </c>
    </row>
    <row r="4111" spans="1:2" x14ac:dyDescent="0.25">
      <c r="A4111" s="75">
        <v>30222023</v>
      </c>
      <c r="B4111" s="76" t="s">
        <v>3677</v>
      </c>
    </row>
    <row r="4112" spans="1:2" x14ac:dyDescent="0.25">
      <c r="A4112" s="75">
        <v>30222024</v>
      </c>
      <c r="B4112" s="76" t="s">
        <v>6615</v>
      </c>
    </row>
    <row r="4113" spans="1:2" x14ac:dyDescent="0.25">
      <c r="A4113" s="75">
        <v>30222025</v>
      </c>
      <c r="B4113" s="76" t="s">
        <v>14772</v>
      </c>
    </row>
    <row r="4114" spans="1:2" x14ac:dyDescent="0.25">
      <c r="A4114" s="75">
        <v>30222026</v>
      </c>
      <c r="B4114" s="76" t="s">
        <v>19444</v>
      </c>
    </row>
    <row r="4115" spans="1:2" x14ac:dyDescent="0.25">
      <c r="A4115" s="75">
        <v>30222027</v>
      </c>
      <c r="B4115" s="76" t="s">
        <v>15701</v>
      </c>
    </row>
    <row r="4116" spans="1:2" x14ac:dyDescent="0.25">
      <c r="A4116" s="75">
        <v>30222028</v>
      </c>
      <c r="B4116" s="76" t="s">
        <v>8528</v>
      </c>
    </row>
    <row r="4117" spans="1:2" x14ac:dyDescent="0.25">
      <c r="A4117" s="75">
        <v>30222029</v>
      </c>
      <c r="B4117" s="76" t="s">
        <v>274</v>
      </c>
    </row>
    <row r="4118" spans="1:2" x14ac:dyDescent="0.25">
      <c r="A4118" s="75">
        <v>30222030</v>
      </c>
      <c r="B4118" s="76" t="s">
        <v>5402</v>
      </c>
    </row>
    <row r="4119" spans="1:2" x14ac:dyDescent="0.25">
      <c r="A4119" s="75">
        <v>30222031</v>
      </c>
      <c r="B4119" s="76" t="s">
        <v>4448</v>
      </c>
    </row>
    <row r="4120" spans="1:2" x14ac:dyDescent="0.25">
      <c r="A4120" s="75">
        <v>30222032</v>
      </c>
      <c r="B4120" s="76" t="s">
        <v>10982</v>
      </c>
    </row>
    <row r="4121" spans="1:2" x14ac:dyDescent="0.25">
      <c r="A4121" s="75">
        <v>30222033</v>
      </c>
      <c r="B4121" s="76" t="s">
        <v>3821</v>
      </c>
    </row>
    <row r="4122" spans="1:2" x14ac:dyDescent="0.25">
      <c r="A4122" s="75">
        <v>30222034</v>
      </c>
      <c r="B4122" s="76" t="s">
        <v>7121</v>
      </c>
    </row>
    <row r="4123" spans="1:2" x14ac:dyDescent="0.25">
      <c r="A4123" s="75">
        <v>30222035</v>
      </c>
      <c r="B4123" s="76" t="s">
        <v>5390</v>
      </c>
    </row>
    <row r="4124" spans="1:2" x14ac:dyDescent="0.25">
      <c r="A4124" s="75">
        <v>30222036</v>
      </c>
      <c r="B4124" s="76" t="s">
        <v>3559</v>
      </c>
    </row>
    <row r="4125" spans="1:2" x14ac:dyDescent="0.25">
      <c r="A4125" s="75">
        <v>30222037</v>
      </c>
      <c r="B4125" s="76" t="s">
        <v>1727</v>
      </c>
    </row>
    <row r="4126" spans="1:2" x14ac:dyDescent="0.25">
      <c r="A4126" s="75">
        <v>30222038</v>
      </c>
      <c r="B4126" s="76" t="s">
        <v>10847</v>
      </c>
    </row>
    <row r="4127" spans="1:2" x14ac:dyDescent="0.25">
      <c r="A4127" s="75">
        <v>30222039</v>
      </c>
      <c r="B4127" s="76" t="s">
        <v>19015</v>
      </c>
    </row>
    <row r="4128" spans="1:2" x14ac:dyDescent="0.25">
      <c r="A4128" s="75">
        <v>30222040</v>
      </c>
      <c r="B4128" s="76" t="s">
        <v>19577</v>
      </c>
    </row>
    <row r="4129" spans="1:2" x14ac:dyDescent="0.25">
      <c r="A4129" s="75">
        <v>30222041</v>
      </c>
      <c r="B4129" s="76" t="s">
        <v>10798</v>
      </c>
    </row>
    <row r="4130" spans="1:2" x14ac:dyDescent="0.25">
      <c r="A4130" s="75">
        <v>30222042</v>
      </c>
      <c r="B4130" s="76" t="s">
        <v>10110</v>
      </c>
    </row>
    <row r="4131" spans="1:2" x14ac:dyDescent="0.25">
      <c r="A4131" s="75">
        <v>30222043</v>
      </c>
      <c r="B4131" s="76" t="s">
        <v>4530</v>
      </c>
    </row>
    <row r="4132" spans="1:2" x14ac:dyDescent="0.25">
      <c r="A4132" s="75">
        <v>30222044</v>
      </c>
      <c r="B4132" s="76" t="s">
        <v>19299</v>
      </c>
    </row>
    <row r="4133" spans="1:2" x14ac:dyDescent="0.25">
      <c r="A4133" s="75">
        <v>30222045</v>
      </c>
      <c r="B4133" s="76" t="s">
        <v>170</v>
      </c>
    </row>
    <row r="4134" spans="1:2" x14ac:dyDescent="0.25">
      <c r="A4134" s="75">
        <v>30222046</v>
      </c>
      <c r="B4134" s="76" t="s">
        <v>10291</v>
      </c>
    </row>
    <row r="4135" spans="1:2" x14ac:dyDescent="0.25">
      <c r="A4135" s="75">
        <v>30222047</v>
      </c>
      <c r="B4135" s="76" t="s">
        <v>5134</v>
      </c>
    </row>
    <row r="4136" spans="1:2" x14ac:dyDescent="0.25">
      <c r="A4136" s="75">
        <v>30222048</v>
      </c>
      <c r="B4136" s="76" t="s">
        <v>12448</v>
      </c>
    </row>
    <row r="4137" spans="1:2" x14ac:dyDescent="0.25">
      <c r="A4137" s="75">
        <v>30222049</v>
      </c>
      <c r="B4137" s="76" t="s">
        <v>10389</v>
      </c>
    </row>
    <row r="4138" spans="1:2" x14ac:dyDescent="0.25">
      <c r="A4138" s="75">
        <v>30222050</v>
      </c>
      <c r="B4138" s="76" t="s">
        <v>15212</v>
      </c>
    </row>
    <row r="4139" spans="1:2" x14ac:dyDescent="0.25">
      <c r="A4139" s="75">
        <v>30222051</v>
      </c>
      <c r="B4139" s="76" t="s">
        <v>4304</v>
      </c>
    </row>
    <row r="4140" spans="1:2" x14ac:dyDescent="0.25">
      <c r="A4140" s="75">
        <v>30222052</v>
      </c>
      <c r="B4140" s="76" t="s">
        <v>12468</v>
      </c>
    </row>
    <row r="4141" spans="1:2" x14ac:dyDescent="0.25">
      <c r="A4141" s="75">
        <v>30222053</v>
      </c>
      <c r="B4141" s="76" t="s">
        <v>14918</v>
      </c>
    </row>
    <row r="4142" spans="1:2" x14ac:dyDescent="0.25">
      <c r="A4142" s="75">
        <v>30222054</v>
      </c>
      <c r="B4142" s="76" t="s">
        <v>6453</v>
      </c>
    </row>
    <row r="4143" spans="1:2" x14ac:dyDescent="0.25">
      <c r="A4143" s="75">
        <v>30222055</v>
      </c>
      <c r="B4143" s="76" t="s">
        <v>12035</v>
      </c>
    </row>
    <row r="4144" spans="1:2" x14ac:dyDescent="0.25">
      <c r="A4144" s="75">
        <v>30222056</v>
      </c>
      <c r="B4144" s="76" t="s">
        <v>2165</v>
      </c>
    </row>
    <row r="4145" spans="1:2" x14ac:dyDescent="0.25">
      <c r="A4145" s="75">
        <v>30222057</v>
      </c>
      <c r="B4145" s="76" t="s">
        <v>9955</v>
      </c>
    </row>
    <row r="4146" spans="1:2" x14ac:dyDescent="0.25">
      <c r="A4146" s="75">
        <v>30222058</v>
      </c>
      <c r="B4146" s="76" t="s">
        <v>12702</v>
      </c>
    </row>
    <row r="4147" spans="1:2" x14ac:dyDescent="0.25">
      <c r="A4147" s="75">
        <v>30222059</v>
      </c>
      <c r="B4147" s="76" t="s">
        <v>5927</v>
      </c>
    </row>
    <row r="4148" spans="1:2" x14ac:dyDescent="0.25">
      <c r="A4148" s="75">
        <v>30222060</v>
      </c>
      <c r="B4148" s="76" t="s">
        <v>2318</v>
      </c>
    </row>
    <row r="4149" spans="1:2" x14ac:dyDescent="0.25">
      <c r="A4149" s="75">
        <v>30222061</v>
      </c>
      <c r="B4149" s="76" t="s">
        <v>15765</v>
      </c>
    </row>
    <row r="4150" spans="1:2" x14ac:dyDescent="0.25">
      <c r="A4150" s="75">
        <v>30222063</v>
      </c>
      <c r="B4150" s="76" t="s">
        <v>17434</v>
      </c>
    </row>
    <row r="4151" spans="1:2" x14ac:dyDescent="0.25">
      <c r="A4151" s="75">
        <v>30222101</v>
      </c>
      <c r="B4151" s="76" t="s">
        <v>426</v>
      </c>
    </row>
    <row r="4152" spans="1:2" x14ac:dyDescent="0.25">
      <c r="A4152" s="75">
        <v>30222102</v>
      </c>
      <c r="B4152" s="76" t="s">
        <v>19775</v>
      </c>
    </row>
    <row r="4153" spans="1:2" x14ac:dyDescent="0.25">
      <c r="A4153" s="75">
        <v>30222103</v>
      </c>
      <c r="B4153" s="76" t="s">
        <v>19407</v>
      </c>
    </row>
    <row r="4154" spans="1:2" x14ac:dyDescent="0.25">
      <c r="A4154" s="75">
        <v>30222104</v>
      </c>
      <c r="B4154" s="76" t="s">
        <v>3845</v>
      </c>
    </row>
    <row r="4155" spans="1:2" x14ac:dyDescent="0.25">
      <c r="A4155" s="75">
        <v>30222105</v>
      </c>
      <c r="B4155" s="76" t="s">
        <v>3805</v>
      </c>
    </row>
    <row r="4156" spans="1:2" x14ac:dyDescent="0.25">
      <c r="A4156" s="75">
        <v>30222106</v>
      </c>
      <c r="B4156" s="76" t="s">
        <v>3878</v>
      </c>
    </row>
    <row r="4157" spans="1:2" x14ac:dyDescent="0.25">
      <c r="A4157" s="75">
        <v>30222107</v>
      </c>
      <c r="B4157" s="76" t="s">
        <v>15500</v>
      </c>
    </row>
    <row r="4158" spans="1:2" x14ac:dyDescent="0.25">
      <c r="A4158" s="75">
        <v>30222108</v>
      </c>
      <c r="B4158" s="76" t="s">
        <v>8881</v>
      </c>
    </row>
    <row r="4159" spans="1:2" x14ac:dyDescent="0.25">
      <c r="A4159" s="75">
        <v>30222109</v>
      </c>
      <c r="B4159" s="76" t="s">
        <v>1282</v>
      </c>
    </row>
    <row r="4160" spans="1:2" x14ac:dyDescent="0.25">
      <c r="A4160" s="75">
        <v>30222110</v>
      </c>
      <c r="B4160" s="76" t="s">
        <v>14381</v>
      </c>
    </row>
    <row r="4161" spans="1:2" x14ac:dyDescent="0.25">
      <c r="A4161" s="75">
        <v>30222111</v>
      </c>
      <c r="B4161" s="76" t="s">
        <v>1569</v>
      </c>
    </row>
    <row r="4162" spans="1:2" x14ac:dyDescent="0.25">
      <c r="A4162" s="75">
        <v>30222112</v>
      </c>
      <c r="B4162" s="76" t="s">
        <v>18532</v>
      </c>
    </row>
    <row r="4163" spans="1:2" x14ac:dyDescent="0.25">
      <c r="A4163" s="75">
        <v>30222113</v>
      </c>
      <c r="B4163" s="76" t="s">
        <v>3939</v>
      </c>
    </row>
    <row r="4164" spans="1:2" x14ac:dyDescent="0.25">
      <c r="A4164" s="75">
        <v>30222114</v>
      </c>
      <c r="B4164" s="76" t="s">
        <v>3323</v>
      </c>
    </row>
    <row r="4165" spans="1:2" x14ac:dyDescent="0.25">
      <c r="A4165" s="75">
        <v>30222115</v>
      </c>
      <c r="B4165" s="76" t="s">
        <v>7766</v>
      </c>
    </row>
    <row r="4166" spans="1:2" x14ac:dyDescent="0.25">
      <c r="A4166" s="75">
        <v>30222116</v>
      </c>
      <c r="B4166" s="76" t="s">
        <v>2807</v>
      </c>
    </row>
    <row r="4167" spans="1:2" x14ac:dyDescent="0.25">
      <c r="A4167" s="75">
        <v>30222201</v>
      </c>
      <c r="B4167" s="76" t="s">
        <v>7039</v>
      </c>
    </row>
    <row r="4168" spans="1:2" x14ac:dyDescent="0.25">
      <c r="A4168" s="75">
        <v>30222202</v>
      </c>
      <c r="B4168" s="76" t="s">
        <v>18492</v>
      </c>
    </row>
    <row r="4169" spans="1:2" x14ac:dyDescent="0.25">
      <c r="A4169" s="75">
        <v>30222203</v>
      </c>
      <c r="B4169" s="76" t="s">
        <v>11253</v>
      </c>
    </row>
    <row r="4170" spans="1:2" x14ac:dyDescent="0.25">
      <c r="A4170" s="75">
        <v>30222204</v>
      </c>
      <c r="B4170" s="76" t="s">
        <v>19143</v>
      </c>
    </row>
    <row r="4171" spans="1:2" x14ac:dyDescent="0.25">
      <c r="A4171" s="75">
        <v>30222205</v>
      </c>
      <c r="B4171" s="76" t="s">
        <v>17556</v>
      </c>
    </row>
    <row r="4172" spans="1:2" x14ac:dyDescent="0.25">
      <c r="A4172" s="75">
        <v>30222206</v>
      </c>
      <c r="B4172" s="76" t="s">
        <v>3560</v>
      </c>
    </row>
    <row r="4173" spans="1:2" x14ac:dyDescent="0.25">
      <c r="A4173" s="75">
        <v>30222207</v>
      </c>
      <c r="B4173" s="76" t="s">
        <v>8414</v>
      </c>
    </row>
    <row r="4174" spans="1:2" x14ac:dyDescent="0.25">
      <c r="A4174" s="75">
        <v>30222208</v>
      </c>
      <c r="B4174" s="76" t="s">
        <v>8581</v>
      </c>
    </row>
    <row r="4175" spans="1:2" x14ac:dyDescent="0.25">
      <c r="A4175" s="75">
        <v>30222301</v>
      </c>
      <c r="B4175" s="76" t="s">
        <v>15362</v>
      </c>
    </row>
    <row r="4176" spans="1:2" x14ac:dyDescent="0.25">
      <c r="A4176" s="75">
        <v>30222302</v>
      </c>
      <c r="B4176" s="76" t="s">
        <v>10223</v>
      </c>
    </row>
    <row r="4177" spans="1:2" x14ac:dyDescent="0.25">
      <c r="A4177" s="75">
        <v>30222303</v>
      </c>
      <c r="B4177" s="76" t="s">
        <v>3445</v>
      </c>
    </row>
    <row r="4178" spans="1:2" x14ac:dyDescent="0.25">
      <c r="A4178" s="75">
        <v>30222304</v>
      </c>
      <c r="B4178" s="76" t="s">
        <v>14622</v>
      </c>
    </row>
    <row r="4179" spans="1:2" x14ac:dyDescent="0.25">
      <c r="A4179" s="75">
        <v>30222305</v>
      </c>
      <c r="B4179" s="76" t="s">
        <v>1404</v>
      </c>
    </row>
    <row r="4180" spans="1:2" x14ac:dyDescent="0.25">
      <c r="A4180" s="75">
        <v>30222306</v>
      </c>
      <c r="B4180" s="76" t="s">
        <v>4569</v>
      </c>
    </row>
    <row r="4181" spans="1:2" x14ac:dyDescent="0.25">
      <c r="A4181" s="75">
        <v>30222307</v>
      </c>
      <c r="B4181" s="76" t="s">
        <v>3498</v>
      </c>
    </row>
    <row r="4182" spans="1:2" x14ac:dyDescent="0.25">
      <c r="A4182" s="75">
        <v>30222308</v>
      </c>
      <c r="B4182" s="76" t="s">
        <v>757</v>
      </c>
    </row>
    <row r="4183" spans="1:2" x14ac:dyDescent="0.25">
      <c r="A4183" s="75">
        <v>30222309</v>
      </c>
      <c r="B4183" s="76" t="s">
        <v>15243</v>
      </c>
    </row>
    <row r="4184" spans="1:2" x14ac:dyDescent="0.25">
      <c r="A4184" s="75">
        <v>30222401</v>
      </c>
      <c r="B4184" s="76" t="s">
        <v>10652</v>
      </c>
    </row>
    <row r="4185" spans="1:2" x14ac:dyDescent="0.25">
      <c r="A4185" s="75">
        <v>30222402</v>
      </c>
      <c r="B4185" s="76" t="s">
        <v>5092</v>
      </c>
    </row>
    <row r="4186" spans="1:2" x14ac:dyDescent="0.25">
      <c r="A4186" s="75">
        <v>30222403</v>
      </c>
      <c r="B4186" s="76" t="s">
        <v>9790</v>
      </c>
    </row>
    <row r="4187" spans="1:2" x14ac:dyDescent="0.25">
      <c r="A4187" s="75">
        <v>30222404</v>
      </c>
      <c r="B4187" s="76" t="s">
        <v>9661</v>
      </c>
    </row>
    <row r="4188" spans="1:2" x14ac:dyDescent="0.25">
      <c r="A4188" s="75">
        <v>30222405</v>
      </c>
      <c r="B4188" s="76" t="s">
        <v>15057</v>
      </c>
    </row>
    <row r="4189" spans="1:2" x14ac:dyDescent="0.25">
      <c r="A4189" s="75">
        <v>30222406</v>
      </c>
      <c r="B4189" s="76" t="s">
        <v>19164</v>
      </c>
    </row>
    <row r="4190" spans="1:2" x14ac:dyDescent="0.25">
      <c r="A4190" s="75">
        <v>30222407</v>
      </c>
      <c r="B4190" s="76" t="s">
        <v>18139</v>
      </c>
    </row>
    <row r="4191" spans="1:2" x14ac:dyDescent="0.25">
      <c r="A4191" s="75">
        <v>30222408</v>
      </c>
      <c r="B4191" s="76" t="s">
        <v>5396</v>
      </c>
    </row>
    <row r="4192" spans="1:2" x14ac:dyDescent="0.25">
      <c r="A4192" s="75">
        <v>30222409</v>
      </c>
      <c r="B4192" s="76" t="s">
        <v>5450</v>
      </c>
    </row>
    <row r="4193" spans="1:2" x14ac:dyDescent="0.25">
      <c r="A4193" s="75">
        <v>30222501</v>
      </c>
      <c r="B4193" s="76" t="s">
        <v>2223</v>
      </c>
    </row>
    <row r="4194" spans="1:2" x14ac:dyDescent="0.25">
      <c r="A4194" s="75">
        <v>30222502</v>
      </c>
      <c r="B4194" s="76" t="s">
        <v>10145</v>
      </c>
    </row>
    <row r="4195" spans="1:2" x14ac:dyDescent="0.25">
      <c r="A4195" s="75">
        <v>30222503</v>
      </c>
      <c r="B4195" s="76" t="s">
        <v>5895</v>
      </c>
    </row>
    <row r="4196" spans="1:2" x14ac:dyDescent="0.25">
      <c r="A4196" s="75">
        <v>30222504</v>
      </c>
      <c r="B4196" s="76" t="s">
        <v>8424</v>
      </c>
    </row>
    <row r="4197" spans="1:2" x14ac:dyDescent="0.25">
      <c r="A4197" s="75">
        <v>30222505</v>
      </c>
      <c r="B4197" s="76" t="s">
        <v>18847</v>
      </c>
    </row>
    <row r="4198" spans="1:2" x14ac:dyDescent="0.25">
      <c r="A4198" s="75">
        <v>30222506</v>
      </c>
      <c r="B4198" s="76" t="s">
        <v>702</v>
      </c>
    </row>
    <row r="4199" spans="1:2" x14ac:dyDescent="0.25">
      <c r="A4199" s="75">
        <v>30222507</v>
      </c>
      <c r="B4199" s="76" t="s">
        <v>6581</v>
      </c>
    </row>
    <row r="4200" spans="1:2" x14ac:dyDescent="0.25">
      <c r="A4200" s="75">
        <v>30222601</v>
      </c>
      <c r="B4200" s="76" t="s">
        <v>14992</v>
      </c>
    </row>
    <row r="4201" spans="1:2" x14ac:dyDescent="0.25">
      <c r="A4201" s="75">
        <v>30222602</v>
      </c>
      <c r="B4201" s="76" t="s">
        <v>5055</v>
      </c>
    </row>
    <row r="4202" spans="1:2" x14ac:dyDescent="0.25">
      <c r="A4202" s="75">
        <v>30222603</v>
      </c>
      <c r="B4202" s="76" t="s">
        <v>4658</v>
      </c>
    </row>
    <row r="4203" spans="1:2" x14ac:dyDescent="0.25">
      <c r="A4203" s="75">
        <v>30222604</v>
      </c>
      <c r="B4203" s="76" t="s">
        <v>8513</v>
      </c>
    </row>
    <row r="4204" spans="1:2" x14ac:dyDescent="0.25">
      <c r="A4204" s="75">
        <v>30222605</v>
      </c>
      <c r="B4204" s="76" t="s">
        <v>10508</v>
      </c>
    </row>
    <row r="4205" spans="1:2" x14ac:dyDescent="0.25">
      <c r="A4205" s="75">
        <v>30222606</v>
      </c>
      <c r="B4205" s="76" t="s">
        <v>10467</v>
      </c>
    </row>
    <row r="4206" spans="1:2" x14ac:dyDescent="0.25">
      <c r="A4206" s="75">
        <v>30222607</v>
      </c>
      <c r="B4206" s="76" t="s">
        <v>3437</v>
      </c>
    </row>
    <row r="4207" spans="1:2" x14ac:dyDescent="0.25">
      <c r="A4207" s="75">
        <v>30222608</v>
      </c>
      <c r="B4207" s="76" t="s">
        <v>7607</v>
      </c>
    </row>
    <row r="4208" spans="1:2" x14ac:dyDescent="0.25">
      <c r="A4208" s="75">
        <v>30222701</v>
      </c>
      <c r="B4208" s="76" t="s">
        <v>18119</v>
      </c>
    </row>
    <row r="4209" spans="1:2" x14ac:dyDescent="0.25">
      <c r="A4209" s="75">
        <v>30222702</v>
      </c>
      <c r="B4209" s="76" t="s">
        <v>19428</v>
      </c>
    </row>
    <row r="4210" spans="1:2" x14ac:dyDescent="0.25">
      <c r="A4210" s="75">
        <v>30222703</v>
      </c>
      <c r="B4210" s="76" t="s">
        <v>15389</v>
      </c>
    </row>
    <row r="4211" spans="1:2" x14ac:dyDescent="0.25">
      <c r="A4211" s="75">
        <v>30222801</v>
      </c>
      <c r="B4211" s="76" t="s">
        <v>19789</v>
      </c>
    </row>
    <row r="4212" spans="1:2" x14ac:dyDescent="0.25">
      <c r="A4212" s="75">
        <v>30222802</v>
      </c>
      <c r="B4212" s="76" t="s">
        <v>8313</v>
      </c>
    </row>
    <row r="4213" spans="1:2" x14ac:dyDescent="0.25">
      <c r="A4213" s="75">
        <v>30222803</v>
      </c>
      <c r="B4213" s="76" t="s">
        <v>13952</v>
      </c>
    </row>
    <row r="4214" spans="1:2" x14ac:dyDescent="0.25">
      <c r="A4214" s="75">
        <v>30222901</v>
      </c>
      <c r="B4214" s="76" t="s">
        <v>10599</v>
      </c>
    </row>
    <row r="4215" spans="1:2" x14ac:dyDescent="0.25">
      <c r="A4215" s="75">
        <v>30222902</v>
      </c>
      <c r="B4215" s="76" t="s">
        <v>653</v>
      </c>
    </row>
    <row r="4216" spans="1:2" x14ac:dyDescent="0.25">
      <c r="A4216" s="75">
        <v>30222903</v>
      </c>
      <c r="B4216" s="76" t="s">
        <v>10358</v>
      </c>
    </row>
    <row r="4217" spans="1:2" x14ac:dyDescent="0.25">
      <c r="A4217" s="75">
        <v>30222904</v>
      </c>
      <c r="B4217" s="76" t="s">
        <v>17549</v>
      </c>
    </row>
    <row r="4218" spans="1:2" x14ac:dyDescent="0.25">
      <c r="A4218" s="75">
        <v>30223001</v>
      </c>
      <c r="B4218" s="76" t="s">
        <v>11047</v>
      </c>
    </row>
    <row r="4219" spans="1:2" x14ac:dyDescent="0.25">
      <c r="A4219" s="75">
        <v>30223002</v>
      </c>
      <c r="B4219" s="76" t="s">
        <v>2585</v>
      </c>
    </row>
    <row r="4220" spans="1:2" x14ac:dyDescent="0.25">
      <c r="A4220" s="75">
        <v>30223003</v>
      </c>
      <c r="B4220" s="76" t="s">
        <v>5780</v>
      </c>
    </row>
    <row r="4221" spans="1:2" x14ac:dyDescent="0.25">
      <c r="A4221" s="75">
        <v>31101501</v>
      </c>
      <c r="B4221" s="76" t="s">
        <v>1038</v>
      </c>
    </row>
    <row r="4222" spans="1:2" x14ac:dyDescent="0.25">
      <c r="A4222" s="75">
        <v>31101502</v>
      </c>
      <c r="B4222" s="76" t="s">
        <v>211</v>
      </c>
    </row>
    <row r="4223" spans="1:2" x14ac:dyDescent="0.25">
      <c r="A4223" s="75">
        <v>31101503</v>
      </c>
      <c r="B4223" s="76" t="s">
        <v>16480</v>
      </c>
    </row>
    <row r="4224" spans="1:2" x14ac:dyDescent="0.25">
      <c r="A4224" s="75">
        <v>31101504</v>
      </c>
      <c r="B4224" s="76" t="s">
        <v>19489</v>
      </c>
    </row>
    <row r="4225" spans="1:2" x14ac:dyDescent="0.25">
      <c r="A4225" s="75">
        <v>31101505</v>
      </c>
      <c r="B4225" s="76" t="s">
        <v>19012</v>
      </c>
    </row>
    <row r="4226" spans="1:2" x14ac:dyDescent="0.25">
      <c r="A4226" s="75">
        <v>31101506</v>
      </c>
      <c r="B4226" s="76" t="s">
        <v>1943</v>
      </c>
    </row>
    <row r="4227" spans="1:2" x14ac:dyDescent="0.25">
      <c r="A4227" s="75">
        <v>31101507</v>
      </c>
      <c r="B4227" s="76" t="s">
        <v>4020</v>
      </c>
    </row>
    <row r="4228" spans="1:2" x14ac:dyDescent="0.25">
      <c r="A4228" s="75">
        <v>31101508</v>
      </c>
      <c r="B4228" s="76" t="s">
        <v>7951</v>
      </c>
    </row>
    <row r="4229" spans="1:2" x14ac:dyDescent="0.25">
      <c r="A4229" s="75">
        <v>31101509</v>
      </c>
      <c r="B4229" s="76" t="s">
        <v>2310</v>
      </c>
    </row>
    <row r="4230" spans="1:2" x14ac:dyDescent="0.25">
      <c r="A4230" s="75">
        <v>31101510</v>
      </c>
      <c r="B4230" s="76" t="s">
        <v>2747</v>
      </c>
    </row>
    <row r="4231" spans="1:2" x14ac:dyDescent="0.25">
      <c r="A4231" s="75">
        <v>31101511</v>
      </c>
      <c r="B4231" s="76" t="s">
        <v>882</v>
      </c>
    </row>
    <row r="4232" spans="1:2" x14ac:dyDescent="0.25">
      <c r="A4232" s="75">
        <v>31101512</v>
      </c>
      <c r="B4232" s="76" t="s">
        <v>16882</v>
      </c>
    </row>
    <row r="4233" spans="1:2" x14ac:dyDescent="0.25">
      <c r="A4233" s="75">
        <v>31101513</v>
      </c>
      <c r="B4233" s="76" t="s">
        <v>8423</v>
      </c>
    </row>
    <row r="4234" spans="1:2" x14ac:dyDescent="0.25">
      <c r="A4234" s="75">
        <v>31101514</v>
      </c>
      <c r="B4234" s="76" t="s">
        <v>3131</v>
      </c>
    </row>
    <row r="4235" spans="1:2" x14ac:dyDescent="0.25">
      <c r="A4235" s="75">
        <v>31101515</v>
      </c>
      <c r="B4235" s="76" t="s">
        <v>9192</v>
      </c>
    </row>
    <row r="4236" spans="1:2" x14ac:dyDescent="0.25">
      <c r="A4236" s="75">
        <v>31101516</v>
      </c>
      <c r="B4236" s="76" t="s">
        <v>16051</v>
      </c>
    </row>
    <row r="4237" spans="1:2" x14ac:dyDescent="0.25">
      <c r="A4237" s="75">
        <v>31101601</v>
      </c>
      <c r="B4237" s="76" t="s">
        <v>226</v>
      </c>
    </row>
    <row r="4238" spans="1:2" x14ac:dyDescent="0.25">
      <c r="A4238" s="75">
        <v>31101602</v>
      </c>
      <c r="B4238" s="76" t="s">
        <v>1794</v>
      </c>
    </row>
    <row r="4239" spans="1:2" x14ac:dyDescent="0.25">
      <c r="A4239" s="75">
        <v>31101603</v>
      </c>
      <c r="B4239" s="76" t="s">
        <v>12321</v>
      </c>
    </row>
    <row r="4240" spans="1:2" x14ac:dyDescent="0.25">
      <c r="A4240" s="75">
        <v>31101604</v>
      </c>
      <c r="B4240" s="76" t="s">
        <v>16159</v>
      </c>
    </row>
    <row r="4241" spans="1:2" x14ac:dyDescent="0.25">
      <c r="A4241" s="75">
        <v>31101605</v>
      </c>
      <c r="B4241" s="76" t="s">
        <v>18910</v>
      </c>
    </row>
    <row r="4242" spans="1:2" x14ac:dyDescent="0.25">
      <c r="A4242" s="75">
        <v>31101606</v>
      </c>
      <c r="B4242" s="76" t="s">
        <v>14828</v>
      </c>
    </row>
    <row r="4243" spans="1:2" x14ac:dyDescent="0.25">
      <c r="A4243" s="75">
        <v>31101607</v>
      </c>
      <c r="B4243" s="76" t="s">
        <v>4182</v>
      </c>
    </row>
    <row r="4244" spans="1:2" x14ac:dyDescent="0.25">
      <c r="A4244" s="75">
        <v>31101608</v>
      </c>
      <c r="B4244" s="76" t="s">
        <v>18484</v>
      </c>
    </row>
    <row r="4245" spans="1:2" x14ac:dyDescent="0.25">
      <c r="A4245" s="75">
        <v>31101609</v>
      </c>
      <c r="B4245" s="76" t="s">
        <v>18892</v>
      </c>
    </row>
    <row r="4246" spans="1:2" x14ac:dyDescent="0.25">
      <c r="A4246" s="75">
        <v>31101610</v>
      </c>
      <c r="B4246" s="76" t="s">
        <v>2643</v>
      </c>
    </row>
    <row r="4247" spans="1:2" x14ac:dyDescent="0.25">
      <c r="A4247" s="75">
        <v>31101611</v>
      </c>
      <c r="B4247" s="76" t="s">
        <v>3345</v>
      </c>
    </row>
    <row r="4248" spans="1:2" x14ac:dyDescent="0.25">
      <c r="A4248" s="75">
        <v>31101612</v>
      </c>
      <c r="B4248" s="76" t="s">
        <v>14067</v>
      </c>
    </row>
    <row r="4249" spans="1:2" x14ac:dyDescent="0.25">
      <c r="A4249" s="75">
        <v>31101613</v>
      </c>
      <c r="B4249" s="76" t="s">
        <v>18901</v>
      </c>
    </row>
    <row r="4250" spans="1:2" x14ac:dyDescent="0.25">
      <c r="A4250" s="75">
        <v>31101614</v>
      </c>
      <c r="B4250" s="76" t="s">
        <v>20052</v>
      </c>
    </row>
    <row r="4251" spans="1:2" x14ac:dyDescent="0.25">
      <c r="A4251" s="75">
        <v>31101615</v>
      </c>
      <c r="B4251" s="76" t="s">
        <v>125</v>
      </c>
    </row>
    <row r="4252" spans="1:2" x14ac:dyDescent="0.25">
      <c r="A4252" s="75">
        <v>31101616</v>
      </c>
      <c r="B4252" s="76" t="s">
        <v>7104</v>
      </c>
    </row>
    <row r="4253" spans="1:2" x14ac:dyDescent="0.25">
      <c r="A4253" s="75">
        <v>31101701</v>
      </c>
      <c r="B4253" s="76" t="s">
        <v>2275</v>
      </c>
    </row>
    <row r="4254" spans="1:2" x14ac:dyDescent="0.25">
      <c r="A4254" s="75">
        <v>31101702</v>
      </c>
      <c r="B4254" s="76" t="s">
        <v>12403</v>
      </c>
    </row>
    <row r="4255" spans="1:2" x14ac:dyDescent="0.25">
      <c r="A4255" s="75">
        <v>31101703</v>
      </c>
      <c r="B4255" s="76" t="s">
        <v>18713</v>
      </c>
    </row>
    <row r="4256" spans="1:2" x14ac:dyDescent="0.25">
      <c r="A4256" s="75">
        <v>31101704</v>
      </c>
      <c r="B4256" s="76" t="s">
        <v>15857</v>
      </c>
    </row>
    <row r="4257" spans="1:2" x14ac:dyDescent="0.25">
      <c r="A4257" s="75">
        <v>31101705</v>
      </c>
      <c r="B4257" s="76" t="s">
        <v>8677</v>
      </c>
    </row>
    <row r="4258" spans="1:2" x14ac:dyDescent="0.25">
      <c r="A4258" s="75">
        <v>31101706</v>
      </c>
      <c r="B4258" s="76" t="s">
        <v>9459</v>
      </c>
    </row>
    <row r="4259" spans="1:2" x14ac:dyDescent="0.25">
      <c r="A4259" s="75">
        <v>31101707</v>
      </c>
      <c r="B4259" s="76" t="s">
        <v>1381</v>
      </c>
    </row>
    <row r="4260" spans="1:2" x14ac:dyDescent="0.25">
      <c r="A4260" s="75">
        <v>31101708</v>
      </c>
      <c r="B4260" s="76" t="s">
        <v>12270</v>
      </c>
    </row>
    <row r="4261" spans="1:2" x14ac:dyDescent="0.25">
      <c r="A4261" s="75">
        <v>31101709</v>
      </c>
      <c r="B4261" s="76" t="s">
        <v>11395</v>
      </c>
    </row>
    <row r="4262" spans="1:2" x14ac:dyDescent="0.25">
      <c r="A4262" s="75">
        <v>31101710</v>
      </c>
      <c r="B4262" s="76" t="s">
        <v>6909</v>
      </c>
    </row>
    <row r="4263" spans="1:2" x14ac:dyDescent="0.25">
      <c r="A4263" s="75">
        <v>31101711</v>
      </c>
      <c r="B4263" s="76" t="s">
        <v>10569</v>
      </c>
    </row>
    <row r="4264" spans="1:2" x14ac:dyDescent="0.25">
      <c r="A4264" s="75">
        <v>31101712</v>
      </c>
      <c r="B4264" s="76" t="s">
        <v>2935</v>
      </c>
    </row>
    <row r="4265" spans="1:2" x14ac:dyDescent="0.25">
      <c r="A4265" s="75">
        <v>31101713</v>
      </c>
      <c r="B4265" s="76" t="s">
        <v>17422</v>
      </c>
    </row>
    <row r="4266" spans="1:2" x14ac:dyDescent="0.25">
      <c r="A4266" s="75">
        <v>31101714</v>
      </c>
      <c r="B4266" s="76" t="s">
        <v>5304</v>
      </c>
    </row>
    <row r="4267" spans="1:2" x14ac:dyDescent="0.25">
      <c r="A4267" s="75">
        <v>31101715</v>
      </c>
      <c r="B4267" s="76" t="s">
        <v>1528</v>
      </c>
    </row>
    <row r="4268" spans="1:2" x14ac:dyDescent="0.25">
      <c r="A4268" s="75">
        <v>31101716</v>
      </c>
      <c r="B4268" s="76" t="s">
        <v>9444</v>
      </c>
    </row>
    <row r="4269" spans="1:2" x14ac:dyDescent="0.25">
      <c r="A4269" s="75">
        <v>31101801</v>
      </c>
      <c r="B4269" s="76" t="s">
        <v>7345</v>
      </c>
    </row>
    <row r="4270" spans="1:2" x14ac:dyDescent="0.25">
      <c r="A4270" s="75">
        <v>31101802</v>
      </c>
      <c r="B4270" s="76" t="s">
        <v>551</v>
      </c>
    </row>
    <row r="4271" spans="1:2" x14ac:dyDescent="0.25">
      <c r="A4271" s="75">
        <v>31101803</v>
      </c>
      <c r="B4271" s="76" t="s">
        <v>13892</v>
      </c>
    </row>
    <row r="4272" spans="1:2" x14ac:dyDescent="0.25">
      <c r="A4272" s="75">
        <v>31101804</v>
      </c>
      <c r="B4272" s="76" t="s">
        <v>15</v>
      </c>
    </row>
    <row r="4273" spans="1:2" x14ac:dyDescent="0.25">
      <c r="A4273" s="75">
        <v>31101805</v>
      </c>
      <c r="B4273" s="76" t="s">
        <v>12153</v>
      </c>
    </row>
    <row r="4274" spans="1:2" x14ac:dyDescent="0.25">
      <c r="A4274" s="75">
        <v>31101806</v>
      </c>
      <c r="B4274" s="76" t="s">
        <v>14872</v>
      </c>
    </row>
    <row r="4275" spans="1:2" x14ac:dyDescent="0.25">
      <c r="A4275" s="75">
        <v>31101807</v>
      </c>
      <c r="B4275" s="76" t="s">
        <v>14280</v>
      </c>
    </row>
    <row r="4276" spans="1:2" x14ac:dyDescent="0.25">
      <c r="A4276" s="75">
        <v>31101808</v>
      </c>
      <c r="B4276" s="76" t="s">
        <v>4562</v>
      </c>
    </row>
    <row r="4277" spans="1:2" x14ac:dyDescent="0.25">
      <c r="A4277" s="75">
        <v>31101809</v>
      </c>
      <c r="B4277" s="76" t="s">
        <v>2794</v>
      </c>
    </row>
    <row r="4278" spans="1:2" x14ac:dyDescent="0.25">
      <c r="A4278" s="75">
        <v>31101810</v>
      </c>
      <c r="B4278" s="76" t="s">
        <v>3987</v>
      </c>
    </row>
    <row r="4279" spans="1:2" x14ac:dyDescent="0.25">
      <c r="A4279" s="75">
        <v>31101811</v>
      </c>
      <c r="B4279" s="76" t="s">
        <v>11324</v>
      </c>
    </row>
    <row r="4280" spans="1:2" x14ac:dyDescent="0.25">
      <c r="A4280" s="75">
        <v>31101812</v>
      </c>
      <c r="B4280" s="76" t="s">
        <v>12880</v>
      </c>
    </row>
    <row r="4281" spans="1:2" x14ac:dyDescent="0.25">
      <c r="A4281" s="75">
        <v>31101813</v>
      </c>
      <c r="B4281" s="76" t="s">
        <v>3440</v>
      </c>
    </row>
    <row r="4282" spans="1:2" x14ac:dyDescent="0.25">
      <c r="A4282" s="75">
        <v>31101814</v>
      </c>
      <c r="B4282" s="76" t="s">
        <v>13180</v>
      </c>
    </row>
    <row r="4283" spans="1:2" x14ac:dyDescent="0.25">
      <c r="A4283" s="75">
        <v>31101815</v>
      </c>
      <c r="B4283" s="76" t="s">
        <v>14771</v>
      </c>
    </row>
    <row r="4284" spans="1:2" x14ac:dyDescent="0.25">
      <c r="A4284" s="75">
        <v>31101816</v>
      </c>
      <c r="B4284" s="76" t="s">
        <v>4859</v>
      </c>
    </row>
    <row r="4285" spans="1:2" x14ac:dyDescent="0.25">
      <c r="A4285" s="75">
        <v>31101901</v>
      </c>
      <c r="B4285" s="76" t="s">
        <v>16043</v>
      </c>
    </row>
    <row r="4286" spans="1:2" x14ac:dyDescent="0.25">
      <c r="A4286" s="75">
        <v>31101902</v>
      </c>
      <c r="B4286" s="76" t="s">
        <v>18522</v>
      </c>
    </row>
    <row r="4287" spans="1:2" x14ac:dyDescent="0.25">
      <c r="A4287" s="75">
        <v>31101903</v>
      </c>
      <c r="B4287" s="76" t="s">
        <v>18711</v>
      </c>
    </row>
    <row r="4288" spans="1:2" x14ac:dyDescent="0.25">
      <c r="A4288" s="75">
        <v>31101904</v>
      </c>
      <c r="B4288" s="76" t="s">
        <v>17919</v>
      </c>
    </row>
    <row r="4289" spans="1:2" x14ac:dyDescent="0.25">
      <c r="A4289" s="75">
        <v>31101905</v>
      </c>
      <c r="B4289" s="76" t="s">
        <v>8371</v>
      </c>
    </row>
    <row r="4290" spans="1:2" x14ac:dyDescent="0.25">
      <c r="A4290" s="75">
        <v>31101906</v>
      </c>
      <c r="B4290" s="76" t="s">
        <v>1077</v>
      </c>
    </row>
    <row r="4291" spans="1:2" x14ac:dyDescent="0.25">
      <c r="A4291" s="75">
        <v>31101907</v>
      </c>
      <c r="B4291" s="76" t="s">
        <v>17857</v>
      </c>
    </row>
    <row r="4292" spans="1:2" x14ac:dyDescent="0.25">
      <c r="A4292" s="75">
        <v>31101908</v>
      </c>
      <c r="B4292" s="76" t="s">
        <v>15533</v>
      </c>
    </row>
    <row r="4293" spans="1:2" x14ac:dyDescent="0.25">
      <c r="A4293" s="75">
        <v>31101909</v>
      </c>
      <c r="B4293" s="76" t="s">
        <v>4972</v>
      </c>
    </row>
    <row r="4294" spans="1:2" x14ac:dyDescent="0.25">
      <c r="A4294" s="75">
        <v>31101910</v>
      </c>
      <c r="B4294" s="76" t="s">
        <v>14579</v>
      </c>
    </row>
    <row r="4295" spans="1:2" x14ac:dyDescent="0.25">
      <c r="A4295" s="75">
        <v>31101911</v>
      </c>
      <c r="B4295" s="76" t="s">
        <v>5724</v>
      </c>
    </row>
    <row r="4296" spans="1:2" x14ac:dyDescent="0.25">
      <c r="A4296" s="75">
        <v>31101912</v>
      </c>
      <c r="B4296" s="76" t="s">
        <v>7760</v>
      </c>
    </row>
    <row r="4297" spans="1:2" x14ac:dyDescent="0.25">
      <c r="A4297" s="75">
        <v>31102001</v>
      </c>
      <c r="B4297" s="76" t="s">
        <v>2812</v>
      </c>
    </row>
    <row r="4298" spans="1:2" x14ac:dyDescent="0.25">
      <c r="A4298" s="75">
        <v>31102002</v>
      </c>
      <c r="B4298" s="76" t="s">
        <v>7119</v>
      </c>
    </row>
    <row r="4299" spans="1:2" x14ac:dyDescent="0.25">
      <c r="A4299" s="75">
        <v>31102003</v>
      </c>
      <c r="B4299" s="76" t="s">
        <v>11554</v>
      </c>
    </row>
    <row r="4300" spans="1:2" x14ac:dyDescent="0.25">
      <c r="A4300" s="75">
        <v>31102004</v>
      </c>
      <c r="B4300" s="76" t="s">
        <v>19697</v>
      </c>
    </row>
    <row r="4301" spans="1:2" x14ac:dyDescent="0.25">
      <c r="A4301" s="75">
        <v>31102005</v>
      </c>
      <c r="B4301" s="76" t="s">
        <v>2987</v>
      </c>
    </row>
    <row r="4302" spans="1:2" x14ac:dyDescent="0.25">
      <c r="A4302" s="75">
        <v>31102006</v>
      </c>
      <c r="B4302" s="76" t="s">
        <v>14148</v>
      </c>
    </row>
    <row r="4303" spans="1:2" x14ac:dyDescent="0.25">
      <c r="A4303" s="75">
        <v>31102007</v>
      </c>
      <c r="B4303" s="76" t="s">
        <v>12530</v>
      </c>
    </row>
    <row r="4304" spans="1:2" x14ac:dyDescent="0.25">
      <c r="A4304" s="75">
        <v>31102008</v>
      </c>
      <c r="B4304" s="76" t="s">
        <v>12383</v>
      </c>
    </row>
    <row r="4305" spans="1:2" x14ac:dyDescent="0.25">
      <c r="A4305" s="75">
        <v>31102009</v>
      </c>
      <c r="B4305" s="76" t="s">
        <v>9281</v>
      </c>
    </row>
    <row r="4306" spans="1:2" x14ac:dyDescent="0.25">
      <c r="A4306" s="75">
        <v>31102010</v>
      </c>
      <c r="B4306" s="76" t="s">
        <v>9129</v>
      </c>
    </row>
    <row r="4307" spans="1:2" x14ac:dyDescent="0.25">
      <c r="A4307" s="75">
        <v>31102011</v>
      </c>
      <c r="B4307" s="76" t="s">
        <v>14984</v>
      </c>
    </row>
    <row r="4308" spans="1:2" x14ac:dyDescent="0.25">
      <c r="A4308" s="75">
        <v>31102012</v>
      </c>
      <c r="B4308" s="76" t="s">
        <v>17082</v>
      </c>
    </row>
    <row r="4309" spans="1:2" x14ac:dyDescent="0.25">
      <c r="A4309" s="75">
        <v>31102013</v>
      </c>
      <c r="B4309" s="76" t="s">
        <v>8981</v>
      </c>
    </row>
    <row r="4310" spans="1:2" x14ac:dyDescent="0.25">
      <c r="A4310" s="75">
        <v>31102014</v>
      </c>
      <c r="B4310" s="76" t="s">
        <v>6744</v>
      </c>
    </row>
    <row r="4311" spans="1:2" x14ac:dyDescent="0.25">
      <c r="A4311" s="75">
        <v>31102015</v>
      </c>
      <c r="B4311" s="76" t="s">
        <v>9497</v>
      </c>
    </row>
    <row r="4312" spans="1:2" x14ac:dyDescent="0.25">
      <c r="A4312" s="75">
        <v>31102016</v>
      </c>
      <c r="B4312" s="76" t="s">
        <v>4737</v>
      </c>
    </row>
    <row r="4313" spans="1:2" x14ac:dyDescent="0.25">
      <c r="A4313" s="75">
        <v>31102101</v>
      </c>
      <c r="B4313" s="76" t="s">
        <v>9178</v>
      </c>
    </row>
    <row r="4314" spans="1:2" x14ac:dyDescent="0.25">
      <c r="A4314" s="75">
        <v>31102102</v>
      </c>
      <c r="B4314" s="76" t="s">
        <v>13302</v>
      </c>
    </row>
    <row r="4315" spans="1:2" x14ac:dyDescent="0.25">
      <c r="A4315" s="75">
        <v>31102103</v>
      </c>
      <c r="B4315" s="76" t="s">
        <v>15668</v>
      </c>
    </row>
    <row r="4316" spans="1:2" x14ac:dyDescent="0.25">
      <c r="A4316" s="75">
        <v>31102104</v>
      </c>
      <c r="B4316" s="76" t="s">
        <v>700</v>
      </c>
    </row>
    <row r="4317" spans="1:2" x14ac:dyDescent="0.25">
      <c r="A4317" s="75">
        <v>31102105</v>
      </c>
      <c r="B4317" s="76" t="s">
        <v>2667</v>
      </c>
    </row>
    <row r="4318" spans="1:2" x14ac:dyDescent="0.25">
      <c r="A4318" s="75">
        <v>31102106</v>
      </c>
      <c r="B4318" s="76" t="s">
        <v>5656</v>
      </c>
    </row>
    <row r="4319" spans="1:2" x14ac:dyDescent="0.25">
      <c r="A4319" s="75">
        <v>31102107</v>
      </c>
      <c r="B4319" s="76" t="s">
        <v>14964</v>
      </c>
    </row>
    <row r="4320" spans="1:2" x14ac:dyDescent="0.25">
      <c r="A4320" s="75">
        <v>31102108</v>
      </c>
      <c r="B4320" s="76" t="s">
        <v>17948</v>
      </c>
    </row>
    <row r="4321" spans="1:2" x14ac:dyDescent="0.25">
      <c r="A4321" s="75">
        <v>31102109</v>
      </c>
      <c r="B4321" s="76" t="s">
        <v>11123</v>
      </c>
    </row>
    <row r="4322" spans="1:2" x14ac:dyDescent="0.25">
      <c r="A4322" s="75">
        <v>31102110</v>
      </c>
      <c r="B4322" s="76" t="s">
        <v>4166</v>
      </c>
    </row>
    <row r="4323" spans="1:2" x14ac:dyDescent="0.25">
      <c r="A4323" s="75">
        <v>31102111</v>
      </c>
      <c r="B4323" s="76" t="s">
        <v>4552</v>
      </c>
    </row>
    <row r="4324" spans="1:2" x14ac:dyDescent="0.25">
      <c r="A4324" s="75">
        <v>31102112</v>
      </c>
      <c r="B4324" s="76" t="s">
        <v>6020</v>
      </c>
    </row>
    <row r="4325" spans="1:2" x14ac:dyDescent="0.25">
      <c r="A4325" s="75">
        <v>31102113</v>
      </c>
      <c r="B4325" s="76" t="s">
        <v>12408</v>
      </c>
    </row>
    <row r="4326" spans="1:2" x14ac:dyDescent="0.25">
      <c r="A4326" s="75">
        <v>31102114</v>
      </c>
      <c r="B4326" s="76" t="s">
        <v>1561</v>
      </c>
    </row>
    <row r="4327" spans="1:2" x14ac:dyDescent="0.25">
      <c r="A4327" s="75">
        <v>31102115</v>
      </c>
      <c r="B4327" s="76" t="s">
        <v>5306</v>
      </c>
    </row>
    <row r="4328" spans="1:2" x14ac:dyDescent="0.25">
      <c r="A4328" s="75">
        <v>31102116</v>
      </c>
      <c r="B4328" s="76" t="s">
        <v>17915</v>
      </c>
    </row>
    <row r="4329" spans="1:2" x14ac:dyDescent="0.25">
      <c r="A4329" s="75">
        <v>31102201</v>
      </c>
      <c r="B4329" s="76" t="s">
        <v>3568</v>
      </c>
    </row>
    <row r="4330" spans="1:2" x14ac:dyDescent="0.25">
      <c r="A4330" s="75">
        <v>31102202</v>
      </c>
      <c r="B4330" s="76" t="s">
        <v>14522</v>
      </c>
    </row>
    <row r="4331" spans="1:2" x14ac:dyDescent="0.25">
      <c r="A4331" s="75">
        <v>31102203</v>
      </c>
      <c r="B4331" s="76" t="s">
        <v>14455</v>
      </c>
    </row>
    <row r="4332" spans="1:2" x14ac:dyDescent="0.25">
      <c r="A4332" s="75">
        <v>31102204</v>
      </c>
      <c r="B4332" s="76" t="s">
        <v>17332</v>
      </c>
    </row>
    <row r="4333" spans="1:2" x14ac:dyDescent="0.25">
      <c r="A4333" s="75">
        <v>31102205</v>
      </c>
      <c r="B4333" s="76" t="s">
        <v>2690</v>
      </c>
    </row>
    <row r="4334" spans="1:2" x14ac:dyDescent="0.25">
      <c r="A4334" s="75">
        <v>31102206</v>
      </c>
      <c r="B4334" s="76" t="s">
        <v>13798</v>
      </c>
    </row>
    <row r="4335" spans="1:2" x14ac:dyDescent="0.25">
      <c r="A4335" s="75">
        <v>31102207</v>
      </c>
      <c r="B4335" s="76" t="s">
        <v>18450</v>
      </c>
    </row>
    <row r="4336" spans="1:2" x14ac:dyDescent="0.25">
      <c r="A4336" s="75">
        <v>31102208</v>
      </c>
      <c r="B4336" s="76" t="s">
        <v>3883</v>
      </c>
    </row>
    <row r="4337" spans="1:2" x14ac:dyDescent="0.25">
      <c r="A4337" s="75">
        <v>31102209</v>
      </c>
      <c r="B4337" s="76" t="s">
        <v>17629</v>
      </c>
    </row>
    <row r="4338" spans="1:2" x14ac:dyDescent="0.25">
      <c r="A4338" s="75">
        <v>31102210</v>
      </c>
      <c r="B4338" s="76" t="s">
        <v>17064</v>
      </c>
    </row>
    <row r="4339" spans="1:2" x14ac:dyDescent="0.25">
      <c r="A4339" s="75">
        <v>31102211</v>
      </c>
      <c r="B4339" s="76" t="s">
        <v>18293</v>
      </c>
    </row>
    <row r="4340" spans="1:2" x14ac:dyDescent="0.25">
      <c r="A4340" s="75">
        <v>31102212</v>
      </c>
      <c r="B4340" s="76" t="s">
        <v>14116</v>
      </c>
    </row>
    <row r="4341" spans="1:2" x14ac:dyDescent="0.25">
      <c r="A4341" s="75">
        <v>31102213</v>
      </c>
      <c r="B4341" s="76" t="s">
        <v>6614</v>
      </c>
    </row>
    <row r="4342" spans="1:2" x14ac:dyDescent="0.25">
      <c r="A4342" s="75">
        <v>31102214</v>
      </c>
      <c r="B4342" s="76" t="s">
        <v>5476</v>
      </c>
    </row>
    <row r="4343" spans="1:2" x14ac:dyDescent="0.25">
      <c r="A4343" s="75">
        <v>31102215</v>
      </c>
      <c r="B4343" s="76" t="s">
        <v>896</v>
      </c>
    </row>
    <row r="4344" spans="1:2" x14ac:dyDescent="0.25">
      <c r="A4344" s="75">
        <v>31102216</v>
      </c>
      <c r="B4344" s="76" t="s">
        <v>5445</v>
      </c>
    </row>
    <row r="4345" spans="1:2" x14ac:dyDescent="0.25">
      <c r="A4345" s="75">
        <v>31102301</v>
      </c>
      <c r="B4345" s="76" t="s">
        <v>16926</v>
      </c>
    </row>
    <row r="4346" spans="1:2" x14ac:dyDescent="0.25">
      <c r="A4346" s="75">
        <v>31102302</v>
      </c>
      <c r="B4346" s="76" t="s">
        <v>8966</v>
      </c>
    </row>
    <row r="4347" spans="1:2" x14ac:dyDescent="0.25">
      <c r="A4347" s="75">
        <v>31102303</v>
      </c>
      <c r="B4347" s="76" t="s">
        <v>5043</v>
      </c>
    </row>
    <row r="4348" spans="1:2" x14ac:dyDescent="0.25">
      <c r="A4348" s="75">
        <v>31102304</v>
      </c>
      <c r="B4348" s="76" t="s">
        <v>3482</v>
      </c>
    </row>
    <row r="4349" spans="1:2" x14ac:dyDescent="0.25">
      <c r="A4349" s="75">
        <v>31102305</v>
      </c>
      <c r="B4349" s="76" t="s">
        <v>6634</v>
      </c>
    </row>
    <row r="4350" spans="1:2" x14ac:dyDescent="0.25">
      <c r="A4350" s="75">
        <v>31102306</v>
      </c>
      <c r="B4350" s="76" t="s">
        <v>9245</v>
      </c>
    </row>
    <row r="4351" spans="1:2" x14ac:dyDescent="0.25">
      <c r="A4351" s="75">
        <v>31102307</v>
      </c>
      <c r="B4351" s="76" t="s">
        <v>3477</v>
      </c>
    </row>
    <row r="4352" spans="1:2" x14ac:dyDescent="0.25">
      <c r="A4352" s="75">
        <v>31102308</v>
      </c>
      <c r="B4352" s="76" t="s">
        <v>14783</v>
      </c>
    </row>
    <row r="4353" spans="1:2" x14ac:dyDescent="0.25">
      <c r="A4353" s="75">
        <v>31102309</v>
      </c>
      <c r="B4353" s="76" t="s">
        <v>16236</v>
      </c>
    </row>
    <row r="4354" spans="1:2" x14ac:dyDescent="0.25">
      <c r="A4354" s="75">
        <v>31102310</v>
      </c>
      <c r="B4354" s="76" t="s">
        <v>17988</v>
      </c>
    </row>
    <row r="4355" spans="1:2" x14ac:dyDescent="0.25">
      <c r="A4355" s="75">
        <v>31102311</v>
      </c>
      <c r="B4355" s="76" t="s">
        <v>18039</v>
      </c>
    </row>
    <row r="4356" spans="1:2" x14ac:dyDescent="0.25">
      <c r="A4356" s="75">
        <v>31102312</v>
      </c>
      <c r="B4356" s="76" t="s">
        <v>4206</v>
      </c>
    </row>
    <row r="4357" spans="1:2" x14ac:dyDescent="0.25">
      <c r="A4357" s="75">
        <v>31102313</v>
      </c>
      <c r="B4357" s="76" t="s">
        <v>8419</v>
      </c>
    </row>
    <row r="4358" spans="1:2" x14ac:dyDescent="0.25">
      <c r="A4358" s="75">
        <v>31102314</v>
      </c>
      <c r="B4358" s="76" t="s">
        <v>14562</v>
      </c>
    </row>
    <row r="4359" spans="1:2" x14ac:dyDescent="0.25">
      <c r="A4359" s="75">
        <v>31102315</v>
      </c>
      <c r="B4359" s="76" t="s">
        <v>16461</v>
      </c>
    </row>
    <row r="4360" spans="1:2" x14ac:dyDescent="0.25">
      <c r="A4360" s="75">
        <v>31102316</v>
      </c>
      <c r="B4360" s="76" t="s">
        <v>15265</v>
      </c>
    </row>
    <row r="4361" spans="1:2" x14ac:dyDescent="0.25">
      <c r="A4361" s="75">
        <v>31102401</v>
      </c>
      <c r="B4361" s="76" t="s">
        <v>14654</v>
      </c>
    </row>
    <row r="4362" spans="1:2" x14ac:dyDescent="0.25">
      <c r="A4362" s="75">
        <v>31102402</v>
      </c>
      <c r="B4362" s="76" t="s">
        <v>1903</v>
      </c>
    </row>
    <row r="4363" spans="1:2" x14ac:dyDescent="0.25">
      <c r="A4363" s="75">
        <v>31102403</v>
      </c>
      <c r="B4363" s="76" t="s">
        <v>2442</v>
      </c>
    </row>
    <row r="4364" spans="1:2" x14ac:dyDescent="0.25">
      <c r="A4364" s="75">
        <v>31102404</v>
      </c>
      <c r="B4364" s="76" t="s">
        <v>9025</v>
      </c>
    </row>
    <row r="4365" spans="1:2" x14ac:dyDescent="0.25">
      <c r="A4365" s="75">
        <v>31102405</v>
      </c>
      <c r="B4365" s="76" t="s">
        <v>6069</v>
      </c>
    </row>
    <row r="4366" spans="1:2" x14ac:dyDescent="0.25">
      <c r="A4366" s="75">
        <v>31102406</v>
      </c>
      <c r="B4366" s="76" t="s">
        <v>14802</v>
      </c>
    </row>
    <row r="4367" spans="1:2" x14ac:dyDescent="0.25">
      <c r="A4367" s="75">
        <v>31102407</v>
      </c>
      <c r="B4367" s="76" t="s">
        <v>7314</v>
      </c>
    </row>
    <row r="4368" spans="1:2" x14ac:dyDescent="0.25">
      <c r="A4368" s="75">
        <v>31102408</v>
      </c>
      <c r="B4368" s="76" t="s">
        <v>11089</v>
      </c>
    </row>
    <row r="4369" spans="1:2" x14ac:dyDescent="0.25">
      <c r="A4369" s="75">
        <v>31102409</v>
      </c>
      <c r="B4369" s="76" t="s">
        <v>8887</v>
      </c>
    </row>
    <row r="4370" spans="1:2" x14ac:dyDescent="0.25">
      <c r="A4370" s="75">
        <v>31102410</v>
      </c>
      <c r="B4370" s="76" t="s">
        <v>5492</v>
      </c>
    </row>
    <row r="4371" spans="1:2" x14ac:dyDescent="0.25">
      <c r="A4371" s="75">
        <v>31102411</v>
      </c>
      <c r="B4371" s="76" t="s">
        <v>1688</v>
      </c>
    </row>
    <row r="4372" spans="1:2" x14ac:dyDescent="0.25">
      <c r="A4372" s="75">
        <v>31102412</v>
      </c>
      <c r="B4372" s="76" t="s">
        <v>20014</v>
      </c>
    </row>
    <row r="4373" spans="1:2" x14ac:dyDescent="0.25">
      <c r="A4373" s="75">
        <v>31102413</v>
      </c>
      <c r="B4373" s="76" t="s">
        <v>12634</v>
      </c>
    </row>
    <row r="4374" spans="1:2" x14ac:dyDescent="0.25">
      <c r="A4374" s="75">
        <v>31102414</v>
      </c>
      <c r="B4374" s="76" t="s">
        <v>2311</v>
      </c>
    </row>
    <row r="4375" spans="1:2" x14ac:dyDescent="0.25">
      <c r="A4375" s="75">
        <v>31102415</v>
      </c>
      <c r="B4375" s="76" t="s">
        <v>2304</v>
      </c>
    </row>
    <row r="4376" spans="1:2" x14ac:dyDescent="0.25">
      <c r="A4376" s="75">
        <v>31102416</v>
      </c>
      <c r="B4376" s="76" t="s">
        <v>2782</v>
      </c>
    </row>
    <row r="4377" spans="1:2" x14ac:dyDescent="0.25">
      <c r="A4377" s="75">
        <v>31111501</v>
      </c>
      <c r="B4377" s="76" t="s">
        <v>8745</v>
      </c>
    </row>
    <row r="4378" spans="1:2" x14ac:dyDescent="0.25">
      <c r="A4378" s="75">
        <v>31111502</v>
      </c>
      <c r="B4378" s="76" t="s">
        <v>7028</v>
      </c>
    </row>
    <row r="4379" spans="1:2" x14ac:dyDescent="0.25">
      <c r="A4379" s="75">
        <v>31111503</v>
      </c>
      <c r="B4379" s="76" t="s">
        <v>9028</v>
      </c>
    </row>
    <row r="4380" spans="1:2" x14ac:dyDescent="0.25">
      <c r="A4380" s="75">
        <v>31111504</v>
      </c>
      <c r="B4380" s="76" t="s">
        <v>1089</v>
      </c>
    </row>
    <row r="4381" spans="1:2" x14ac:dyDescent="0.25">
      <c r="A4381" s="75">
        <v>31111505</v>
      </c>
      <c r="B4381" s="76" t="s">
        <v>7624</v>
      </c>
    </row>
    <row r="4382" spans="1:2" x14ac:dyDescent="0.25">
      <c r="A4382" s="75">
        <v>31111506</v>
      </c>
      <c r="B4382" s="76" t="s">
        <v>2984</v>
      </c>
    </row>
    <row r="4383" spans="1:2" x14ac:dyDescent="0.25">
      <c r="A4383" s="75">
        <v>31111507</v>
      </c>
      <c r="B4383" s="76" t="s">
        <v>8606</v>
      </c>
    </row>
    <row r="4384" spans="1:2" x14ac:dyDescent="0.25">
      <c r="A4384" s="75">
        <v>31111508</v>
      </c>
      <c r="B4384" s="76" t="s">
        <v>19010</v>
      </c>
    </row>
    <row r="4385" spans="1:2" x14ac:dyDescent="0.25">
      <c r="A4385" s="75">
        <v>31111509</v>
      </c>
      <c r="B4385" s="76" t="s">
        <v>16248</v>
      </c>
    </row>
    <row r="4386" spans="1:2" x14ac:dyDescent="0.25">
      <c r="A4386" s="75">
        <v>31111510</v>
      </c>
      <c r="B4386" s="76" t="s">
        <v>3889</v>
      </c>
    </row>
    <row r="4387" spans="1:2" x14ac:dyDescent="0.25">
      <c r="A4387" s="75">
        <v>31111511</v>
      </c>
      <c r="B4387" s="76" t="s">
        <v>10012</v>
      </c>
    </row>
    <row r="4388" spans="1:2" x14ac:dyDescent="0.25">
      <c r="A4388" s="75">
        <v>31111512</v>
      </c>
      <c r="B4388" s="76" t="s">
        <v>7211</v>
      </c>
    </row>
    <row r="4389" spans="1:2" x14ac:dyDescent="0.25">
      <c r="A4389" s="75">
        <v>31111513</v>
      </c>
      <c r="B4389" s="76" t="s">
        <v>4891</v>
      </c>
    </row>
    <row r="4390" spans="1:2" x14ac:dyDescent="0.25">
      <c r="A4390" s="75">
        <v>31111514</v>
      </c>
      <c r="B4390" s="76" t="s">
        <v>15140</v>
      </c>
    </row>
    <row r="4391" spans="1:2" x14ac:dyDescent="0.25">
      <c r="A4391" s="75">
        <v>31111515</v>
      </c>
      <c r="B4391" s="76" t="s">
        <v>10704</v>
      </c>
    </row>
    <row r="4392" spans="1:2" x14ac:dyDescent="0.25">
      <c r="A4392" s="75">
        <v>31111516</v>
      </c>
      <c r="B4392" s="76" t="s">
        <v>16246</v>
      </c>
    </row>
    <row r="4393" spans="1:2" x14ac:dyDescent="0.25">
      <c r="A4393" s="75">
        <v>31111517</v>
      </c>
      <c r="B4393" s="76" t="s">
        <v>8667</v>
      </c>
    </row>
    <row r="4394" spans="1:2" x14ac:dyDescent="0.25">
      <c r="A4394" s="75">
        <v>31111601</v>
      </c>
      <c r="B4394" s="76" t="s">
        <v>10725</v>
      </c>
    </row>
    <row r="4395" spans="1:2" x14ac:dyDescent="0.25">
      <c r="A4395" s="75">
        <v>31111602</v>
      </c>
      <c r="B4395" s="76" t="s">
        <v>325</v>
      </c>
    </row>
    <row r="4396" spans="1:2" x14ac:dyDescent="0.25">
      <c r="A4396" s="75">
        <v>31111603</v>
      </c>
      <c r="B4396" s="76" t="s">
        <v>14171</v>
      </c>
    </row>
    <row r="4397" spans="1:2" x14ac:dyDescent="0.25">
      <c r="A4397" s="75">
        <v>31111604</v>
      </c>
      <c r="B4397" s="76" t="s">
        <v>14467</v>
      </c>
    </row>
    <row r="4398" spans="1:2" x14ac:dyDescent="0.25">
      <c r="A4398" s="75">
        <v>31111605</v>
      </c>
      <c r="B4398" s="76" t="s">
        <v>1763</v>
      </c>
    </row>
    <row r="4399" spans="1:2" x14ac:dyDescent="0.25">
      <c r="A4399" s="75">
        <v>31111606</v>
      </c>
      <c r="B4399" s="76" t="s">
        <v>18539</v>
      </c>
    </row>
    <row r="4400" spans="1:2" x14ac:dyDescent="0.25">
      <c r="A4400" s="75">
        <v>31111607</v>
      </c>
      <c r="B4400" s="76" t="s">
        <v>6759</v>
      </c>
    </row>
    <row r="4401" spans="1:2" x14ac:dyDescent="0.25">
      <c r="A4401" s="75">
        <v>31111608</v>
      </c>
      <c r="B4401" s="76" t="s">
        <v>19853</v>
      </c>
    </row>
    <row r="4402" spans="1:2" x14ac:dyDescent="0.25">
      <c r="A4402" s="75">
        <v>31111609</v>
      </c>
      <c r="B4402" s="76" t="s">
        <v>12991</v>
      </c>
    </row>
    <row r="4403" spans="1:2" x14ac:dyDescent="0.25">
      <c r="A4403" s="75">
        <v>31111610</v>
      </c>
      <c r="B4403" s="76" t="s">
        <v>13770</v>
      </c>
    </row>
    <row r="4404" spans="1:2" x14ac:dyDescent="0.25">
      <c r="A4404" s="75">
        <v>31111611</v>
      </c>
      <c r="B4404" s="76" t="s">
        <v>8494</v>
      </c>
    </row>
    <row r="4405" spans="1:2" x14ac:dyDescent="0.25">
      <c r="A4405" s="75">
        <v>31111612</v>
      </c>
      <c r="B4405" s="76" t="s">
        <v>1948</v>
      </c>
    </row>
    <row r="4406" spans="1:2" x14ac:dyDescent="0.25">
      <c r="A4406" s="75">
        <v>31111613</v>
      </c>
      <c r="B4406" s="76" t="s">
        <v>13245</v>
      </c>
    </row>
    <row r="4407" spans="1:2" x14ac:dyDescent="0.25">
      <c r="A4407" s="75">
        <v>31111614</v>
      </c>
      <c r="B4407" s="76" t="s">
        <v>11138</v>
      </c>
    </row>
    <row r="4408" spans="1:2" x14ac:dyDescent="0.25">
      <c r="A4408" s="75">
        <v>31111615</v>
      </c>
      <c r="B4408" s="76" t="s">
        <v>785</v>
      </c>
    </row>
    <row r="4409" spans="1:2" x14ac:dyDescent="0.25">
      <c r="A4409" s="75">
        <v>31111616</v>
      </c>
      <c r="B4409" s="76" t="s">
        <v>6003</v>
      </c>
    </row>
    <row r="4410" spans="1:2" x14ac:dyDescent="0.25">
      <c r="A4410" s="75">
        <v>31111617</v>
      </c>
      <c r="B4410" s="76" t="s">
        <v>5037</v>
      </c>
    </row>
    <row r="4411" spans="1:2" x14ac:dyDescent="0.25">
      <c r="A4411" s="75">
        <v>31111701</v>
      </c>
      <c r="B4411" s="76" t="s">
        <v>14941</v>
      </c>
    </row>
    <row r="4412" spans="1:2" x14ac:dyDescent="0.25">
      <c r="A4412" s="75">
        <v>31111702</v>
      </c>
      <c r="B4412" s="76" t="s">
        <v>3</v>
      </c>
    </row>
    <row r="4413" spans="1:2" x14ac:dyDescent="0.25">
      <c r="A4413" s="75">
        <v>31111703</v>
      </c>
      <c r="B4413" s="76" t="s">
        <v>12168</v>
      </c>
    </row>
    <row r="4414" spans="1:2" x14ac:dyDescent="0.25">
      <c r="A4414" s="75">
        <v>31111704</v>
      </c>
      <c r="B4414" s="76" t="s">
        <v>13547</v>
      </c>
    </row>
    <row r="4415" spans="1:2" x14ac:dyDescent="0.25">
      <c r="A4415" s="75">
        <v>31111705</v>
      </c>
      <c r="B4415" s="76" t="s">
        <v>4623</v>
      </c>
    </row>
    <row r="4416" spans="1:2" x14ac:dyDescent="0.25">
      <c r="A4416" s="75">
        <v>31111706</v>
      </c>
      <c r="B4416" s="76" t="s">
        <v>15867</v>
      </c>
    </row>
    <row r="4417" spans="1:2" x14ac:dyDescent="0.25">
      <c r="A4417" s="75">
        <v>31111707</v>
      </c>
      <c r="B4417" s="76" t="s">
        <v>8890</v>
      </c>
    </row>
    <row r="4418" spans="1:2" x14ac:dyDescent="0.25">
      <c r="A4418" s="75">
        <v>31111708</v>
      </c>
      <c r="B4418" s="76" t="s">
        <v>14516</v>
      </c>
    </row>
    <row r="4419" spans="1:2" x14ac:dyDescent="0.25">
      <c r="A4419" s="75">
        <v>31111709</v>
      </c>
      <c r="B4419" s="76" t="s">
        <v>3387</v>
      </c>
    </row>
    <row r="4420" spans="1:2" x14ac:dyDescent="0.25">
      <c r="A4420" s="75">
        <v>31111710</v>
      </c>
      <c r="B4420" s="76" t="s">
        <v>10360</v>
      </c>
    </row>
    <row r="4421" spans="1:2" x14ac:dyDescent="0.25">
      <c r="A4421" s="75">
        <v>31111711</v>
      </c>
      <c r="B4421" s="76" t="s">
        <v>19975</v>
      </c>
    </row>
    <row r="4422" spans="1:2" x14ac:dyDescent="0.25">
      <c r="A4422" s="75">
        <v>31111712</v>
      </c>
      <c r="B4422" s="76" t="s">
        <v>10346</v>
      </c>
    </row>
    <row r="4423" spans="1:2" x14ac:dyDescent="0.25">
      <c r="A4423" s="75">
        <v>31111713</v>
      </c>
      <c r="B4423" s="76" t="s">
        <v>6413</v>
      </c>
    </row>
    <row r="4424" spans="1:2" x14ac:dyDescent="0.25">
      <c r="A4424" s="75">
        <v>31111714</v>
      </c>
      <c r="B4424" s="76" t="s">
        <v>2902</v>
      </c>
    </row>
    <row r="4425" spans="1:2" x14ac:dyDescent="0.25">
      <c r="A4425" s="75">
        <v>31111715</v>
      </c>
      <c r="B4425" s="76" t="s">
        <v>701</v>
      </c>
    </row>
    <row r="4426" spans="1:2" x14ac:dyDescent="0.25">
      <c r="A4426" s="75">
        <v>31111716</v>
      </c>
      <c r="B4426" s="76" t="s">
        <v>4471</v>
      </c>
    </row>
    <row r="4427" spans="1:2" x14ac:dyDescent="0.25">
      <c r="A4427" s="75">
        <v>31111717</v>
      </c>
      <c r="B4427" s="76" t="s">
        <v>17374</v>
      </c>
    </row>
    <row r="4428" spans="1:2" x14ac:dyDescent="0.25">
      <c r="A4428" s="75">
        <v>31121001</v>
      </c>
      <c r="B4428" s="76" t="s">
        <v>4729</v>
      </c>
    </row>
    <row r="4429" spans="1:2" x14ac:dyDescent="0.25">
      <c r="A4429" s="75">
        <v>31121002</v>
      </c>
      <c r="B4429" s="76" t="s">
        <v>13055</v>
      </c>
    </row>
    <row r="4430" spans="1:2" x14ac:dyDescent="0.25">
      <c r="A4430" s="75">
        <v>31121003</v>
      </c>
      <c r="B4430" s="76" t="s">
        <v>5179</v>
      </c>
    </row>
    <row r="4431" spans="1:2" x14ac:dyDescent="0.25">
      <c r="A4431" s="75">
        <v>31121004</v>
      </c>
      <c r="B4431" s="76" t="s">
        <v>6242</v>
      </c>
    </row>
    <row r="4432" spans="1:2" x14ac:dyDescent="0.25">
      <c r="A4432" s="75">
        <v>31121005</v>
      </c>
      <c r="B4432" s="76" t="s">
        <v>11190</v>
      </c>
    </row>
    <row r="4433" spans="1:2" x14ac:dyDescent="0.25">
      <c r="A4433" s="75">
        <v>31121006</v>
      </c>
      <c r="B4433" s="76" t="s">
        <v>3961</v>
      </c>
    </row>
    <row r="4434" spans="1:2" x14ac:dyDescent="0.25">
      <c r="A4434" s="75">
        <v>31121007</v>
      </c>
      <c r="B4434" s="76" t="s">
        <v>11877</v>
      </c>
    </row>
    <row r="4435" spans="1:2" x14ac:dyDescent="0.25">
      <c r="A4435" s="75">
        <v>31121008</v>
      </c>
      <c r="B4435" s="76" t="s">
        <v>4187</v>
      </c>
    </row>
    <row r="4436" spans="1:2" x14ac:dyDescent="0.25">
      <c r="A4436" s="75">
        <v>31121009</v>
      </c>
      <c r="B4436" s="76" t="s">
        <v>15689</v>
      </c>
    </row>
    <row r="4437" spans="1:2" x14ac:dyDescent="0.25">
      <c r="A4437" s="75">
        <v>31121010</v>
      </c>
      <c r="B4437" s="76" t="s">
        <v>12913</v>
      </c>
    </row>
    <row r="4438" spans="1:2" x14ac:dyDescent="0.25">
      <c r="A4438" s="75">
        <v>31121011</v>
      </c>
      <c r="B4438" s="76" t="s">
        <v>5837</v>
      </c>
    </row>
    <row r="4439" spans="1:2" x14ac:dyDescent="0.25">
      <c r="A4439" s="75">
        <v>31121012</v>
      </c>
      <c r="B4439" s="76" t="s">
        <v>9246</v>
      </c>
    </row>
    <row r="4440" spans="1:2" x14ac:dyDescent="0.25">
      <c r="A4440" s="75">
        <v>31121013</v>
      </c>
      <c r="B4440" s="76" t="s">
        <v>11620</v>
      </c>
    </row>
    <row r="4441" spans="1:2" x14ac:dyDescent="0.25">
      <c r="A4441" s="75">
        <v>31121014</v>
      </c>
      <c r="B4441" s="76" t="s">
        <v>10638</v>
      </c>
    </row>
    <row r="4442" spans="1:2" x14ac:dyDescent="0.25">
      <c r="A4442" s="75">
        <v>31121015</v>
      </c>
      <c r="B4442" s="76" t="s">
        <v>179</v>
      </c>
    </row>
    <row r="4443" spans="1:2" x14ac:dyDescent="0.25">
      <c r="A4443" s="75">
        <v>31121016</v>
      </c>
      <c r="B4443" s="76" t="s">
        <v>3425</v>
      </c>
    </row>
    <row r="4444" spans="1:2" x14ac:dyDescent="0.25">
      <c r="A4444" s="75">
        <v>31121017</v>
      </c>
      <c r="B4444" s="76" t="s">
        <v>5271</v>
      </c>
    </row>
    <row r="4445" spans="1:2" x14ac:dyDescent="0.25">
      <c r="A4445" s="75">
        <v>31121018</v>
      </c>
      <c r="B4445" s="76" t="s">
        <v>18106</v>
      </c>
    </row>
    <row r="4446" spans="1:2" x14ac:dyDescent="0.25">
      <c r="A4446" s="75">
        <v>31121019</v>
      </c>
      <c r="B4446" s="76" t="s">
        <v>2583</v>
      </c>
    </row>
    <row r="4447" spans="1:2" x14ac:dyDescent="0.25">
      <c r="A4447" s="75">
        <v>31121101</v>
      </c>
      <c r="B4447" s="76" t="s">
        <v>10920</v>
      </c>
    </row>
    <row r="4448" spans="1:2" x14ac:dyDescent="0.25">
      <c r="A4448" s="75">
        <v>31121102</v>
      </c>
      <c r="B4448" s="76" t="s">
        <v>4808</v>
      </c>
    </row>
    <row r="4449" spans="1:2" x14ac:dyDescent="0.25">
      <c r="A4449" s="75">
        <v>31121103</v>
      </c>
      <c r="B4449" s="76" t="s">
        <v>9822</v>
      </c>
    </row>
    <row r="4450" spans="1:2" x14ac:dyDescent="0.25">
      <c r="A4450" s="75">
        <v>31121104</v>
      </c>
      <c r="B4450" s="76" t="s">
        <v>5406</v>
      </c>
    </row>
    <row r="4451" spans="1:2" x14ac:dyDescent="0.25">
      <c r="A4451" s="75">
        <v>31121105</v>
      </c>
      <c r="B4451" s="76" t="s">
        <v>14397</v>
      </c>
    </row>
    <row r="4452" spans="1:2" x14ac:dyDescent="0.25">
      <c r="A4452" s="75">
        <v>31121106</v>
      </c>
      <c r="B4452" s="76" t="s">
        <v>9051</v>
      </c>
    </row>
    <row r="4453" spans="1:2" x14ac:dyDescent="0.25">
      <c r="A4453" s="75">
        <v>31121107</v>
      </c>
      <c r="B4453" s="76" t="s">
        <v>4616</v>
      </c>
    </row>
    <row r="4454" spans="1:2" x14ac:dyDescent="0.25">
      <c r="A4454" s="75">
        <v>31121108</v>
      </c>
      <c r="B4454" s="76" t="s">
        <v>11796</v>
      </c>
    </row>
    <row r="4455" spans="1:2" x14ac:dyDescent="0.25">
      <c r="A4455" s="75">
        <v>31121109</v>
      </c>
      <c r="B4455" s="76" t="s">
        <v>4075</v>
      </c>
    </row>
    <row r="4456" spans="1:2" x14ac:dyDescent="0.25">
      <c r="A4456" s="75">
        <v>31121110</v>
      </c>
      <c r="B4456" s="76" t="s">
        <v>4632</v>
      </c>
    </row>
    <row r="4457" spans="1:2" x14ac:dyDescent="0.25">
      <c r="A4457" s="75">
        <v>31121111</v>
      </c>
      <c r="B4457" s="76" t="s">
        <v>17880</v>
      </c>
    </row>
    <row r="4458" spans="1:2" x14ac:dyDescent="0.25">
      <c r="A4458" s="75">
        <v>31121112</v>
      </c>
      <c r="B4458" s="76" t="s">
        <v>8856</v>
      </c>
    </row>
    <row r="4459" spans="1:2" x14ac:dyDescent="0.25">
      <c r="A4459" s="75">
        <v>31121113</v>
      </c>
      <c r="B4459" s="76" t="s">
        <v>2578</v>
      </c>
    </row>
    <row r="4460" spans="1:2" x14ac:dyDescent="0.25">
      <c r="A4460" s="75">
        <v>31121114</v>
      </c>
      <c r="B4460" s="76" t="s">
        <v>10201</v>
      </c>
    </row>
    <row r="4461" spans="1:2" x14ac:dyDescent="0.25">
      <c r="A4461" s="75">
        <v>31121115</v>
      </c>
      <c r="B4461" s="76" t="s">
        <v>18459</v>
      </c>
    </row>
    <row r="4462" spans="1:2" x14ac:dyDescent="0.25">
      <c r="A4462" s="75">
        <v>31121116</v>
      </c>
      <c r="B4462" s="76" t="s">
        <v>3984</v>
      </c>
    </row>
    <row r="4463" spans="1:2" x14ac:dyDescent="0.25">
      <c r="A4463" s="75">
        <v>31121117</v>
      </c>
      <c r="B4463" s="76" t="s">
        <v>936</v>
      </c>
    </row>
    <row r="4464" spans="1:2" x14ac:dyDescent="0.25">
      <c r="A4464" s="75">
        <v>31121118</v>
      </c>
      <c r="B4464" s="76" t="s">
        <v>10375</v>
      </c>
    </row>
    <row r="4465" spans="1:2" x14ac:dyDescent="0.25">
      <c r="A4465" s="75">
        <v>31121119</v>
      </c>
      <c r="B4465" s="76" t="s">
        <v>4965</v>
      </c>
    </row>
    <row r="4466" spans="1:2" x14ac:dyDescent="0.25">
      <c r="A4466" s="75">
        <v>31121201</v>
      </c>
      <c r="B4466" s="76" t="s">
        <v>6483</v>
      </c>
    </row>
    <row r="4467" spans="1:2" x14ac:dyDescent="0.25">
      <c r="A4467" s="75">
        <v>31121202</v>
      </c>
      <c r="B4467" s="76" t="s">
        <v>17823</v>
      </c>
    </row>
    <row r="4468" spans="1:2" x14ac:dyDescent="0.25">
      <c r="A4468" s="75">
        <v>31121203</v>
      </c>
      <c r="B4468" s="76" t="s">
        <v>3453</v>
      </c>
    </row>
    <row r="4469" spans="1:2" x14ac:dyDescent="0.25">
      <c r="A4469" s="75">
        <v>31121204</v>
      </c>
      <c r="B4469" s="76" t="s">
        <v>13024</v>
      </c>
    </row>
    <row r="4470" spans="1:2" x14ac:dyDescent="0.25">
      <c r="A4470" s="75">
        <v>31121205</v>
      </c>
      <c r="B4470" s="76" t="s">
        <v>3148</v>
      </c>
    </row>
    <row r="4471" spans="1:2" x14ac:dyDescent="0.25">
      <c r="A4471" s="75">
        <v>31121206</v>
      </c>
      <c r="B4471" s="76" t="s">
        <v>11274</v>
      </c>
    </row>
    <row r="4472" spans="1:2" x14ac:dyDescent="0.25">
      <c r="A4472" s="75">
        <v>31121207</v>
      </c>
      <c r="B4472" s="76" t="s">
        <v>8888</v>
      </c>
    </row>
    <row r="4473" spans="1:2" x14ac:dyDescent="0.25">
      <c r="A4473" s="75">
        <v>31121208</v>
      </c>
      <c r="B4473" s="76" t="s">
        <v>1589</v>
      </c>
    </row>
    <row r="4474" spans="1:2" x14ac:dyDescent="0.25">
      <c r="A4474" s="75">
        <v>31121209</v>
      </c>
      <c r="B4474" s="76" t="s">
        <v>18387</v>
      </c>
    </row>
    <row r="4475" spans="1:2" x14ac:dyDescent="0.25">
      <c r="A4475" s="75">
        <v>31121210</v>
      </c>
      <c r="B4475" s="76" t="s">
        <v>6441</v>
      </c>
    </row>
    <row r="4476" spans="1:2" x14ac:dyDescent="0.25">
      <c r="A4476" s="75">
        <v>31121211</v>
      </c>
      <c r="B4476" s="76" t="s">
        <v>14985</v>
      </c>
    </row>
    <row r="4477" spans="1:2" x14ac:dyDescent="0.25">
      <c r="A4477" s="75">
        <v>31121212</v>
      </c>
      <c r="B4477" s="76" t="s">
        <v>16986</v>
      </c>
    </row>
    <row r="4478" spans="1:2" x14ac:dyDescent="0.25">
      <c r="A4478" s="75">
        <v>31121213</v>
      </c>
      <c r="B4478" s="76" t="s">
        <v>15564</v>
      </c>
    </row>
    <row r="4479" spans="1:2" x14ac:dyDescent="0.25">
      <c r="A4479" s="75">
        <v>31121214</v>
      </c>
      <c r="B4479" s="76" t="s">
        <v>7120</v>
      </c>
    </row>
    <row r="4480" spans="1:2" x14ac:dyDescent="0.25">
      <c r="A4480" s="75">
        <v>31121215</v>
      </c>
      <c r="B4480" s="76" t="s">
        <v>12442</v>
      </c>
    </row>
    <row r="4481" spans="1:2" x14ac:dyDescent="0.25">
      <c r="A4481" s="75">
        <v>31121216</v>
      </c>
      <c r="B4481" s="76" t="s">
        <v>9588</v>
      </c>
    </row>
    <row r="4482" spans="1:2" x14ac:dyDescent="0.25">
      <c r="A4482" s="75">
        <v>31121217</v>
      </c>
      <c r="B4482" s="76" t="s">
        <v>16515</v>
      </c>
    </row>
    <row r="4483" spans="1:2" x14ac:dyDescent="0.25">
      <c r="A4483" s="75">
        <v>31121218</v>
      </c>
      <c r="B4483" s="76" t="s">
        <v>458</v>
      </c>
    </row>
    <row r="4484" spans="1:2" x14ac:dyDescent="0.25">
      <c r="A4484" s="75">
        <v>31121219</v>
      </c>
      <c r="B4484" s="76" t="s">
        <v>9465</v>
      </c>
    </row>
    <row r="4485" spans="1:2" x14ac:dyDescent="0.25">
      <c r="A4485" s="75">
        <v>31121301</v>
      </c>
      <c r="B4485" s="76" t="s">
        <v>13695</v>
      </c>
    </row>
    <row r="4486" spans="1:2" x14ac:dyDescent="0.25">
      <c r="A4486" s="75">
        <v>31121302</v>
      </c>
      <c r="B4486" s="76" t="s">
        <v>13677</v>
      </c>
    </row>
    <row r="4487" spans="1:2" x14ac:dyDescent="0.25">
      <c r="A4487" s="75">
        <v>31121303</v>
      </c>
      <c r="B4487" s="76" t="s">
        <v>15365</v>
      </c>
    </row>
    <row r="4488" spans="1:2" x14ac:dyDescent="0.25">
      <c r="A4488" s="75">
        <v>31121304</v>
      </c>
      <c r="B4488" s="76" t="s">
        <v>3125</v>
      </c>
    </row>
    <row r="4489" spans="1:2" x14ac:dyDescent="0.25">
      <c r="A4489" s="75">
        <v>31121305</v>
      </c>
      <c r="B4489" s="76" t="s">
        <v>1907</v>
      </c>
    </row>
    <row r="4490" spans="1:2" x14ac:dyDescent="0.25">
      <c r="A4490" s="75">
        <v>31121306</v>
      </c>
      <c r="B4490" s="76" t="s">
        <v>3168</v>
      </c>
    </row>
    <row r="4491" spans="1:2" x14ac:dyDescent="0.25">
      <c r="A4491" s="75">
        <v>31121307</v>
      </c>
      <c r="B4491" s="76" t="s">
        <v>10306</v>
      </c>
    </row>
    <row r="4492" spans="1:2" x14ac:dyDescent="0.25">
      <c r="A4492" s="75">
        <v>31121308</v>
      </c>
      <c r="B4492" s="76" t="s">
        <v>17502</v>
      </c>
    </row>
    <row r="4493" spans="1:2" x14ac:dyDescent="0.25">
      <c r="A4493" s="75">
        <v>31121309</v>
      </c>
      <c r="B4493" s="76" t="s">
        <v>19233</v>
      </c>
    </row>
    <row r="4494" spans="1:2" x14ac:dyDescent="0.25">
      <c r="A4494" s="75">
        <v>31121310</v>
      </c>
      <c r="B4494" s="76" t="s">
        <v>14647</v>
      </c>
    </row>
    <row r="4495" spans="1:2" x14ac:dyDescent="0.25">
      <c r="A4495" s="75">
        <v>31121311</v>
      </c>
      <c r="B4495" s="76" t="s">
        <v>6331</v>
      </c>
    </row>
    <row r="4496" spans="1:2" x14ac:dyDescent="0.25">
      <c r="A4496" s="75">
        <v>31121312</v>
      </c>
      <c r="B4496" s="76" t="s">
        <v>19009</v>
      </c>
    </row>
    <row r="4497" spans="1:2" x14ac:dyDescent="0.25">
      <c r="A4497" s="75">
        <v>31121313</v>
      </c>
      <c r="B4497" s="76" t="s">
        <v>5237</v>
      </c>
    </row>
    <row r="4498" spans="1:2" x14ac:dyDescent="0.25">
      <c r="A4498" s="75">
        <v>31121314</v>
      </c>
      <c r="B4498" s="76" t="s">
        <v>9684</v>
      </c>
    </row>
    <row r="4499" spans="1:2" x14ac:dyDescent="0.25">
      <c r="A4499" s="75">
        <v>31121315</v>
      </c>
      <c r="B4499" s="76" t="s">
        <v>11759</v>
      </c>
    </row>
    <row r="4500" spans="1:2" x14ac:dyDescent="0.25">
      <c r="A4500" s="75">
        <v>31121316</v>
      </c>
      <c r="B4500" s="76" t="s">
        <v>19757</v>
      </c>
    </row>
    <row r="4501" spans="1:2" x14ac:dyDescent="0.25">
      <c r="A4501" s="75">
        <v>31121317</v>
      </c>
      <c r="B4501" s="76" t="s">
        <v>12957</v>
      </c>
    </row>
    <row r="4502" spans="1:2" x14ac:dyDescent="0.25">
      <c r="A4502" s="75">
        <v>31121318</v>
      </c>
      <c r="B4502" s="76" t="s">
        <v>13594</v>
      </c>
    </row>
    <row r="4503" spans="1:2" x14ac:dyDescent="0.25">
      <c r="A4503" s="75">
        <v>31121319</v>
      </c>
      <c r="B4503" s="76" t="s">
        <v>4474</v>
      </c>
    </row>
    <row r="4504" spans="1:2" x14ac:dyDescent="0.25">
      <c r="A4504" s="75">
        <v>31121401</v>
      </c>
      <c r="B4504" s="76" t="s">
        <v>7723</v>
      </c>
    </row>
    <row r="4505" spans="1:2" x14ac:dyDescent="0.25">
      <c r="A4505" s="75">
        <v>31121402</v>
      </c>
      <c r="B4505" s="76" t="s">
        <v>13393</v>
      </c>
    </row>
    <row r="4506" spans="1:2" x14ac:dyDescent="0.25">
      <c r="A4506" s="75">
        <v>31121403</v>
      </c>
      <c r="B4506" s="76" t="s">
        <v>12538</v>
      </c>
    </row>
    <row r="4507" spans="1:2" x14ac:dyDescent="0.25">
      <c r="A4507" s="75">
        <v>31121404</v>
      </c>
      <c r="B4507" s="76" t="s">
        <v>3763</v>
      </c>
    </row>
    <row r="4508" spans="1:2" x14ac:dyDescent="0.25">
      <c r="A4508" s="75">
        <v>31121405</v>
      </c>
      <c r="B4508" s="76" t="s">
        <v>5464</v>
      </c>
    </row>
    <row r="4509" spans="1:2" x14ac:dyDescent="0.25">
      <c r="A4509" s="75">
        <v>31121406</v>
      </c>
      <c r="B4509" s="76" t="s">
        <v>4793</v>
      </c>
    </row>
    <row r="4510" spans="1:2" x14ac:dyDescent="0.25">
      <c r="A4510" s="75">
        <v>31121407</v>
      </c>
      <c r="B4510" s="76" t="s">
        <v>17570</v>
      </c>
    </row>
    <row r="4511" spans="1:2" x14ac:dyDescent="0.25">
      <c r="A4511" s="75">
        <v>31121408</v>
      </c>
      <c r="B4511" s="76" t="s">
        <v>15874</v>
      </c>
    </row>
    <row r="4512" spans="1:2" x14ac:dyDescent="0.25">
      <c r="A4512" s="75">
        <v>31121409</v>
      </c>
      <c r="B4512" s="76" t="s">
        <v>2761</v>
      </c>
    </row>
    <row r="4513" spans="1:2" x14ac:dyDescent="0.25">
      <c r="A4513" s="75">
        <v>31121410</v>
      </c>
      <c r="B4513" s="76" t="s">
        <v>1151</v>
      </c>
    </row>
    <row r="4514" spans="1:2" x14ac:dyDescent="0.25">
      <c r="A4514" s="75">
        <v>31121411</v>
      </c>
      <c r="B4514" s="76" t="s">
        <v>10185</v>
      </c>
    </row>
    <row r="4515" spans="1:2" x14ac:dyDescent="0.25">
      <c r="A4515" s="75">
        <v>31121412</v>
      </c>
      <c r="B4515" s="76" t="s">
        <v>9615</v>
      </c>
    </row>
    <row r="4516" spans="1:2" x14ac:dyDescent="0.25">
      <c r="A4516" s="75">
        <v>31121413</v>
      </c>
      <c r="B4516" s="76" t="s">
        <v>19412</v>
      </c>
    </row>
    <row r="4517" spans="1:2" x14ac:dyDescent="0.25">
      <c r="A4517" s="75">
        <v>31121414</v>
      </c>
      <c r="B4517" s="76" t="s">
        <v>12962</v>
      </c>
    </row>
    <row r="4518" spans="1:2" x14ac:dyDescent="0.25">
      <c r="A4518" s="75">
        <v>31121415</v>
      </c>
      <c r="B4518" s="76" t="s">
        <v>13491</v>
      </c>
    </row>
    <row r="4519" spans="1:2" x14ac:dyDescent="0.25">
      <c r="A4519" s="75">
        <v>31121416</v>
      </c>
      <c r="B4519" s="76" t="s">
        <v>9061</v>
      </c>
    </row>
    <row r="4520" spans="1:2" x14ac:dyDescent="0.25">
      <c r="A4520" s="75">
        <v>31121417</v>
      </c>
      <c r="B4520" s="76" t="s">
        <v>5154</v>
      </c>
    </row>
    <row r="4521" spans="1:2" x14ac:dyDescent="0.25">
      <c r="A4521" s="75">
        <v>31121418</v>
      </c>
      <c r="B4521" s="76" t="s">
        <v>4214</v>
      </c>
    </row>
    <row r="4522" spans="1:2" x14ac:dyDescent="0.25">
      <c r="A4522" s="75">
        <v>31121419</v>
      </c>
      <c r="B4522" s="76" t="s">
        <v>18373</v>
      </c>
    </row>
    <row r="4523" spans="1:2" x14ac:dyDescent="0.25">
      <c r="A4523" s="75">
        <v>31121501</v>
      </c>
      <c r="B4523" s="76" t="s">
        <v>11322</v>
      </c>
    </row>
    <row r="4524" spans="1:2" x14ac:dyDescent="0.25">
      <c r="A4524" s="75">
        <v>31121502</v>
      </c>
      <c r="B4524" s="76" t="s">
        <v>4172</v>
      </c>
    </row>
    <row r="4525" spans="1:2" x14ac:dyDescent="0.25">
      <c r="A4525" s="75">
        <v>31121503</v>
      </c>
      <c r="B4525" s="76" t="s">
        <v>15478</v>
      </c>
    </row>
    <row r="4526" spans="1:2" x14ac:dyDescent="0.25">
      <c r="A4526" s="75">
        <v>31121504</v>
      </c>
      <c r="B4526" s="76" t="s">
        <v>11484</v>
      </c>
    </row>
    <row r="4527" spans="1:2" x14ac:dyDescent="0.25">
      <c r="A4527" s="75">
        <v>31121505</v>
      </c>
      <c r="B4527" s="76" t="s">
        <v>16722</v>
      </c>
    </row>
    <row r="4528" spans="1:2" x14ac:dyDescent="0.25">
      <c r="A4528" s="75">
        <v>31121506</v>
      </c>
      <c r="B4528" s="76" t="s">
        <v>18913</v>
      </c>
    </row>
    <row r="4529" spans="1:2" x14ac:dyDescent="0.25">
      <c r="A4529" s="75">
        <v>31121507</v>
      </c>
      <c r="B4529" s="76" t="s">
        <v>16366</v>
      </c>
    </row>
    <row r="4530" spans="1:2" x14ac:dyDescent="0.25">
      <c r="A4530" s="75">
        <v>31121508</v>
      </c>
      <c r="B4530" s="76" t="s">
        <v>19060</v>
      </c>
    </row>
    <row r="4531" spans="1:2" x14ac:dyDescent="0.25">
      <c r="A4531" s="75">
        <v>31121509</v>
      </c>
      <c r="B4531" s="76" t="s">
        <v>9425</v>
      </c>
    </row>
    <row r="4532" spans="1:2" x14ac:dyDescent="0.25">
      <c r="A4532" s="75">
        <v>31121510</v>
      </c>
      <c r="B4532" s="76" t="s">
        <v>15503</v>
      </c>
    </row>
    <row r="4533" spans="1:2" x14ac:dyDescent="0.25">
      <c r="A4533" s="75">
        <v>31121511</v>
      </c>
      <c r="B4533" s="76" t="s">
        <v>3247</v>
      </c>
    </row>
    <row r="4534" spans="1:2" x14ac:dyDescent="0.25">
      <c r="A4534" s="75">
        <v>31121512</v>
      </c>
      <c r="B4534" s="76" t="s">
        <v>5200</v>
      </c>
    </row>
    <row r="4535" spans="1:2" x14ac:dyDescent="0.25">
      <c r="A4535" s="75">
        <v>31121513</v>
      </c>
      <c r="B4535" s="76" t="s">
        <v>2396</v>
      </c>
    </row>
    <row r="4536" spans="1:2" x14ac:dyDescent="0.25">
      <c r="A4536" s="75">
        <v>31121514</v>
      </c>
      <c r="B4536" s="76" t="s">
        <v>18759</v>
      </c>
    </row>
    <row r="4537" spans="1:2" x14ac:dyDescent="0.25">
      <c r="A4537" s="75">
        <v>31121515</v>
      </c>
      <c r="B4537" s="76" t="s">
        <v>6849</v>
      </c>
    </row>
    <row r="4538" spans="1:2" x14ac:dyDescent="0.25">
      <c r="A4538" s="75">
        <v>31121516</v>
      </c>
      <c r="B4538" s="76" t="s">
        <v>16308</v>
      </c>
    </row>
    <row r="4539" spans="1:2" x14ac:dyDescent="0.25">
      <c r="A4539" s="75">
        <v>31121517</v>
      </c>
      <c r="B4539" s="76" t="s">
        <v>346</v>
      </c>
    </row>
    <row r="4540" spans="1:2" x14ac:dyDescent="0.25">
      <c r="A4540" s="75">
        <v>31121518</v>
      </c>
      <c r="B4540" s="76" t="s">
        <v>15331</v>
      </c>
    </row>
    <row r="4541" spans="1:2" x14ac:dyDescent="0.25">
      <c r="A4541" s="75">
        <v>31121519</v>
      </c>
      <c r="B4541" s="76" t="s">
        <v>14434</v>
      </c>
    </row>
    <row r="4542" spans="1:2" x14ac:dyDescent="0.25">
      <c r="A4542" s="75">
        <v>31121601</v>
      </c>
      <c r="B4542" s="76" t="s">
        <v>4670</v>
      </c>
    </row>
    <row r="4543" spans="1:2" x14ac:dyDescent="0.25">
      <c r="A4543" s="75">
        <v>31121602</v>
      </c>
      <c r="B4543" s="76" t="s">
        <v>5751</v>
      </c>
    </row>
    <row r="4544" spans="1:2" x14ac:dyDescent="0.25">
      <c r="A4544" s="75">
        <v>31121603</v>
      </c>
      <c r="B4544" s="76" t="s">
        <v>8534</v>
      </c>
    </row>
    <row r="4545" spans="1:2" x14ac:dyDescent="0.25">
      <c r="A4545" s="75">
        <v>31121604</v>
      </c>
      <c r="B4545" s="76" t="s">
        <v>11044</v>
      </c>
    </row>
    <row r="4546" spans="1:2" x14ac:dyDescent="0.25">
      <c r="A4546" s="75">
        <v>31121605</v>
      </c>
      <c r="B4546" s="76" t="s">
        <v>13189</v>
      </c>
    </row>
    <row r="4547" spans="1:2" x14ac:dyDescent="0.25">
      <c r="A4547" s="75">
        <v>31121606</v>
      </c>
      <c r="B4547" s="76" t="s">
        <v>17820</v>
      </c>
    </row>
    <row r="4548" spans="1:2" x14ac:dyDescent="0.25">
      <c r="A4548" s="75">
        <v>31121607</v>
      </c>
      <c r="B4548" s="76" t="s">
        <v>6212</v>
      </c>
    </row>
    <row r="4549" spans="1:2" x14ac:dyDescent="0.25">
      <c r="A4549" s="75">
        <v>31121608</v>
      </c>
      <c r="B4549" s="76" t="s">
        <v>3999</v>
      </c>
    </row>
    <row r="4550" spans="1:2" x14ac:dyDescent="0.25">
      <c r="A4550" s="75">
        <v>31121609</v>
      </c>
      <c r="B4550" s="76" t="s">
        <v>6519</v>
      </c>
    </row>
    <row r="4551" spans="1:2" x14ac:dyDescent="0.25">
      <c r="A4551" s="75">
        <v>31121610</v>
      </c>
      <c r="B4551" s="76" t="s">
        <v>16877</v>
      </c>
    </row>
    <row r="4552" spans="1:2" x14ac:dyDescent="0.25">
      <c r="A4552" s="75">
        <v>31121611</v>
      </c>
      <c r="B4552" s="76" t="s">
        <v>3140</v>
      </c>
    </row>
    <row r="4553" spans="1:2" x14ac:dyDescent="0.25">
      <c r="A4553" s="75">
        <v>31121612</v>
      </c>
      <c r="B4553" s="76" t="s">
        <v>19517</v>
      </c>
    </row>
    <row r="4554" spans="1:2" x14ac:dyDescent="0.25">
      <c r="A4554" s="75">
        <v>31121613</v>
      </c>
      <c r="B4554" s="76" t="s">
        <v>17745</v>
      </c>
    </row>
    <row r="4555" spans="1:2" x14ac:dyDescent="0.25">
      <c r="A4555" s="75">
        <v>31121614</v>
      </c>
      <c r="B4555" s="76" t="s">
        <v>6463</v>
      </c>
    </row>
    <row r="4556" spans="1:2" x14ac:dyDescent="0.25">
      <c r="A4556" s="75">
        <v>31121615</v>
      </c>
      <c r="B4556" s="76" t="s">
        <v>5188</v>
      </c>
    </row>
    <row r="4557" spans="1:2" x14ac:dyDescent="0.25">
      <c r="A4557" s="75">
        <v>31121701</v>
      </c>
      <c r="B4557" s="76" t="s">
        <v>7273</v>
      </c>
    </row>
    <row r="4558" spans="1:2" x14ac:dyDescent="0.25">
      <c r="A4558" s="75">
        <v>31121702</v>
      </c>
      <c r="B4558" s="76" t="s">
        <v>4394</v>
      </c>
    </row>
    <row r="4559" spans="1:2" x14ac:dyDescent="0.25">
      <c r="A4559" s="75">
        <v>31121703</v>
      </c>
      <c r="B4559" s="76" t="s">
        <v>4119</v>
      </c>
    </row>
    <row r="4560" spans="1:2" x14ac:dyDescent="0.25">
      <c r="A4560" s="75">
        <v>31121704</v>
      </c>
      <c r="B4560" s="76" t="s">
        <v>7596</v>
      </c>
    </row>
    <row r="4561" spans="1:2" x14ac:dyDescent="0.25">
      <c r="A4561" s="75">
        <v>31121705</v>
      </c>
      <c r="B4561" s="76" t="s">
        <v>17851</v>
      </c>
    </row>
    <row r="4562" spans="1:2" x14ac:dyDescent="0.25">
      <c r="A4562" s="75">
        <v>31121706</v>
      </c>
      <c r="B4562" s="76" t="s">
        <v>6963</v>
      </c>
    </row>
    <row r="4563" spans="1:2" x14ac:dyDescent="0.25">
      <c r="A4563" s="75">
        <v>31121707</v>
      </c>
      <c r="B4563" s="76" t="s">
        <v>2699</v>
      </c>
    </row>
    <row r="4564" spans="1:2" x14ac:dyDescent="0.25">
      <c r="A4564" s="75">
        <v>31121708</v>
      </c>
      <c r="B4564" s="76" t="s">
        <v>18580</v>
      </c>
    </row>
    <row r="4565" spans="1:2" x14ac:dyDescent="0.25">
      <c r="A4565" s="75">
        <v>31121709</v>
      </c>
      <c r="B4565" s="76" t="s">
        <v>3243</v>
      </c>
    </row>
    <row r="4566" spans="1:2" x14ac:dyDescent="0.25">
      <c r="A4566" s="75">
        <v>31121710</v>
      </c>
      <c r="B4566" s="76" t="s">
        <v>2955</v>
      </c>
    </row>
    <row r="4567" spans="1:2" x14ac:dyDescent="0.25">
      <c r="A4567" s="75">
        <v>31121711</v>
      </c>
      <c r="B4567" s="76" t="s">
        <v>6315</v>
      </c>
    </row>
    <row r="4568" spans="1:2" x14ac:dyDescent="0.25">
      <c r="A4568" s="75">
        <v>31121712</v>
      </c>
      <c r="B4568" s="76" t="s">
        <v>19910</v>
      </c>
    </row>
    <row r="4569" spans="1:2" x14ac:dyDescent="0.25">
      <c r="A4569" s="75">
        <v>31121713</v>
      </c>
      <c r="B4569" s="76" t="s">
        <v>16785</v>
      </c>
    </row>
    <row r="4570" spans="1:2" x14ac:dyDescent="0.25">
      <c r="A4570" s="75">
        <v>31121714</v>
      </c>
      <c r="B4570" s="76" t="s">
        <v>12158</v>
      </c>
    </row>
    <row r="4571" spans="1:2" x14ac:dyDescent="0.25">
      <c r="A4571" s="75">
        <v>31121715</v>
      </c>
      <c r="B4571" s="76" t="s">
        <v>4844</v>
      </c>
    </row>
    <row r="4572" spans="1:2" x14ac:dyDescent="0.25">
      <c r="A4572" s="75">
        <v>31121716</v>
      </c>
      <c r="B4572" s="76" t="s">
        <v>7631</v>
      </c>
    </row>
    <row r="4573" spans="1:2" x14ac:dyDescent="0.25">
      <c r="A4573" s="75">
        <v>31121717</v>
      </c>
      <c r="B4573" s="76" t="s">
        <v>15894</v>
      </c>
    </row>
    <row r="4574" spans="1:2" x14ac:dyDescent="0.25">
      <c r="A4574" s="75">
        <v>31121718</v>
      </c>
      <c r="B4574" s="76" t="s">
        <v>4418</v>
      </c>
    </row>
    <row r="4575" spans="1:2" x14ac:dyDescent="0.25">
      <c r="A4575" s="75">
        <v>31121719</v>
      </c>
      <c r="B4575" s="76" t="s">
        <v>3591</v>
      </c>
    </row>
    <row r="4576" spans="1:2" x14ac:dyDescent="0.25">
      <c r="A4576" s="75">
        <v>31121801</v>
      </c>
      <c r="B4576" s="76" t="s">
        <v>1267</v>
      </c>
    </row>
    <row r="4577" spans="1:2" x14ac:dyDescent="0.25">
      <c r="A4577" s="75">
        <v>31121802</v>
      </c>
      <c r="B4577" s="76" t="s">
        <v>19021</v>
      </c>
    </row>
    <row r="4578" spans="1:2" x14ac:dyDescent="0.25">
      <c r="A4578" s="75">
        <v>31121803</v>
      </c>
      <c r="B4578" s="76" t="s">
        <v>17797</v>
      </c>
    </row>
    <row r="4579" spans="1:2" x14ac:dyDescent="0.25">
      <c r="A4579" s="75">
        <v>31121804</v>
      </c>
      <c r="B4579" s="76" t="s">
        <v>6202</v>
      </c>
    </row>
    <row r="4580" spans="1:2" x14ac:dyDescent="0.25">
      <c r="A4580" s="75">
        <v>31121805</v>
      </c>
      <c r="B4580" s="76" t="s">
        <v>16352</v>
      </c>
    </row>
    <row r="4581" spans="1:2" x14ac:dyDescent="0.25">
      <c r="A4581" s="75">
        <v>31121806</v>
      </c>
      <c r="B4581" s="76" t="s">
        <v>4746</v>
      </c>
    </row>
    <row r="4582" spans="1:2" x14ac:dyDescent="0.25">
      <c r="A4582" s="75">
        <v>31121807</v>
      </c>
      <c r="B4582" s="76" t="s">
        <v>5723</v>
      </c>
    </row>
    <row r="4583" spans="1:2" x14ac:dyDescent="0.25">
      <c r="A4583" s="75">
        <v>31121808</v>
      </c>
      <c r="B4583" s="76" t="s">
        <v>4401</v>
      </c>
    </row>
    <row r="4584" spans="1:2" x14ac:dyDescent="0.25">
      <c r="A4584" s="75">
        <v>31121809</v>
      </c>
      <c r="B4584" s="76" t="s">
        <v>17206</v>
      </c>
    </row>
    <row r="4585" spans="1:2" x14ac:dyDescent="0.25">
      <c r="A4585" s="75">
        <v>31121810</v>
      </c>
      <c r="B4585" s="76" t="s">
        <v>13894</v>
      </c>
    </row>
    <row r="4586" spans="1:2" x14ac:dyDescent="0.25">
      <c r="A4586" s="75">
        <v>31121811</v>
      </c>
      <c r="B4586" s="76" t="s">
        <v>1227</v>
      </c>
    </row>
    <row r="4587" spans="1:2" x14ac:dyDescent="0.25">
      <c r="A4587" s="75">
        <v>31121812</v>
      </c>
      <c r="B4587" s="76" t="s">
        <v>560</v>
      </c>
    </row>
    <row r="4588" spans="1:2" x14ac:dyDescent="0.25">
      <c r="A4588" s="75">
        <v>31121813</v>
      </c>
      <c r="B4588" s="76" t="s">
        <v>8564</v>
      </c>
    </row>
    <row r="4589" spans="1:2" x14ac:dyDescent="0.25">
      <c r="A4589" s="75">
        <v>31121814</v>
      </c>
      <c r="B4589" s="76" t="s">
        <v>3885</v>
      </c>
    </row>
    <row r="4590" spans="1:2" x14ac:dyDescent="0.25">
      <c r="A4590" s="75">
        <v>31121815</v>
      </c>
      <c r="B4590" s="76" t="s">
        <v>4680</v>
      </c>
    </row>
    <row r="4591" spans="1:2" x14ac:dyDescent="0.25">
      <c r="A4591" s="75">
        <v>31121816</v>
      </c>
      <c r="B4591" s="76" t="s">
        <v>1295</v>
      </c>
    </row>
    <row r="4592" spans="1:2" x14ac:dyDescent="0.25">
      <c r="A4592" s="75">
        <v>31121817</v>
      </c>
      <c r="B4592" s="76" t="s">
        <v>10750</v>
      </c>
    </row>
    <row r="4593" spans="1:2" x14ac:dyDescent="0.25">
      <c r="A4593" s="75">
        <v>31121818</v>
      </c>
      <c r="B4593" s="76" t="s">
        <v>2124</v>
      </c>
    </row>
    <row r="4594" spans="1:2" x14ac:dyDescent="0.25">
      <c r="A4594" s="75">
        <v>31121819</v>
      </c>
      <c r="B4594" s="76" t="s">
        <v>11638</v>
      </c>
    </row>
    <row r="4595" spans="1:2" x14ac:dyDescent="0.25">
      <c r="A4595" s="75">
        <v>31121901</v>
      </c>
      <c r="B4595" s="76" t="s">
        <v>15097</v>
      </c>
    </row>
    <row r="4596" spans="1:2" x14ac:dyDescent="0.25">
      <c r="A4596" s="75">
        <v>31121902</v>
      </c>
      <c r="B4596" s="76" t="s">
        <v>4904</v>
      </c>
    </row>
    <row r="4597" spans="1:2" x14ac:dyDescent="0.25">
      <c r="A4597" s="75">
        <v>31121903</v>
      </c>
      <c r="B4597" s="76" t="s">
        <v>19187</v>
      </c>
    </row>
    <row r="4598" spans="1:2" x14ac:dyDescent="0.25">
      <c r="A4598" s="75">
        <v>31121904</v>
      </c>
      <c r="B4598" s="76" t="s">
        <v>18897</v>
      </c>
    </row>
    <row r="4599" spans="1:2" x14ac:dyDescent="0.25">
      <c r="A4599" s="75">
        <v>31121905</v>
      </c>
      <c r="B4599" s="76" t="s">
        <v>11907</v>
      </c>
    </row>
    <row r="4600" spans="1:2" x14ac:dyDescent="0.25">
      <c r="A4600" s="75">
        <v>31121906</v>
      </c>
      <c r="B4600" s="76" t="s">
        <v>2679</v>
      </c>
    </row>
    <row r="4601" spans="1:2" x14ac:dyDescent="0.25">
      <c r="A4601" s="75">
        <v>31121907</v>
      </c>
      <c r="B4601" s="76" t="s">
        <v>12416</v>
      </c>
    </row>
    <row r="4602" spans="1:2" x14ac:dyDescent="0.25">
      <c r="A4602" s="75">
        <v>31121908</v>
      </c>
      <c r="B4602" s="76" t="s">
        <v>17616</v>
      </c>
    </row>
    <row r="4603" spans="1:2" x14ac:dyDescent="0.25">
      <c r="A4603" s="75">
        <v>31121909</v>
      </c>
      <c r="B4603" s="76" t="s">
        <v>16402</v>
      </c>
    </row>
    <row r="4604" spans="1:2" x14ac:dyDescent="0.25">
      <c r="A4604" s="75">
        <v>31121910</v>
      </c>
      <c r="B4604" s="76" t="s">
        <v>16024</v>
      </c>
    </row>
    <row r="4605" spans="1:2" x14ac:dyDescent="0.25">
      <c r="A4605" s="75">
        <v>31121911</v>
      </c>
      <c r="B4605" s="76" t="s">
        <v>7819</v>
      </c>
    </row>
    <row r="4606" spans="1:2" x14ac:dyDescent="0.25">
      <c r="A4606" s="75">
        <v>31121912</v>
      </c>
      <c r="B4606" s="76" t="s">
        <v>14025</v>
      </c>
    </row>
    <row r="4607" spans="1:2" x14ac:dyDescent="0.25">
      <c r="A4607" s="75">
        <v>31121913</v>
      </c>
      <c r="B4607" s="76" t="s">
        <v>3061</v>
      </c>
    </row>
    <row r="4608" spans="1:2" x14ac:dyDescent="0.25">
      <c r="A4608" s="75">
        <v>31121914</v>
      </c>
      <c r="B4608" s="76" t="s">
        <v>1107</v>
      </c>
    </row>
    <row r="4609" spans="1:2" x14ac:dyDescent="0.25">
      <c r="A4609" s="75">
        <v>31121915</v>
      </c>
      <c r="B4609" s="76" t="s">
        <v>6257</v>
      </c>
    </row>
    <row r="4610" spans="1:2" x14ac:dyDescent="0.25">
      <c r="A4610" s="75">
        <v>31121916</v>
      </c>
      <c r="B4610" s="76" t="s">
        <v>1726</v>
      </c>
    </row>
    <row r="4611" spans="1:2" x14ac:dyDescent="0.25">
      <c r="A4611" s="75">
        <v>31121917</v>
      </c>
      <c r="B4611" s="76" t="s">
        <v>3321</v>
      </c>
    </row>
    <row r="4612" spans="1:2" x14ac:dyDescent="0.25">
      <c r="A4612" s="75">
        <v>31121918</v>
      </c>
      <c r="B4612" s="76" t="s">
        <v>6274</v>
      </c>
    </row>
    <row r="4613" spans="1:2" x14ac:dyDescent="0.25">
      <c r="A4613" s="75">
        <v>31121919</v>
      </c>
      <c r="B4613" s="76" t="s">
        <v>1785</v>
      </c>
    </row>
    <row r="4614" spans="1:2" x14ac:dyDescent="0.25">
      <c r="A4614" s="75">
        <v>31131501</v>
      </c>
      <c r="B4614" s="76" t="s">
        <v>13564</v>
      </c>
    </row>
    <row r="4615" spans="1:2" x14ac:dyDescent="0.25">
      <c r="A4615" s="75">
        <v>31131502</v>
      </c>
      <c r="B4615" s="76" t="s">
        <v>556</v>
      </c>
    </row>
    <row r="4616" spans="1:2" x14ac:dyDescent="0.25">
      <c r="A4616" s="75">
        <v>31131503</v>
      </c>
      <c r="B4616" s="76" t="s">
        <v>15727</v>
      </c>
    </row>
    <row r="4617" spans="1:2" x14ac:dyDescent="0.25">
      <c r="A4617" s="75">
        <v>31131504</v>
      </c>
      <c r="B4617" s="76" t="s">
        <v>13552</v>
      </c>
    </row>
    <row r="4618" spans="1:2" x14ac:dyDescent="0.25">
      <c r="A4618" s="75">
        <v>31131505</v>
      </c>
      <c r="B4618" s="76" t="s">
        <v>3160</v>
      </c>
    </row>
    <row r="4619" spans="1:2" x14ac:dyDescent="0.25">
      <c r="A4619" s="75">
        <v>31131506</v>
      </c>
      <c r="B4619" s="76" t="s">
        <v>747</v>
      </c>
    </row>
    <row r="4620" spans="1:2" x14ac:dyDescent="0.25">
      <c r="A4620" s="75">
        <v>31131507</v>
      </c>
      <c r="B4620" s="76" t="s">
        <v>7838</v>
      </c>
    </row>
    <row r="4621" spans="1:2" x14ac:dyDescent="0.25">
      <c r="A4621" s="75">
        <v>31131508</v>
      </c>
      <c r="B4621" s="76" t="s">
        <v>12067</v>
      </c>
    </row>
    <row r="4622" spans="1:2" x14ac:dyDescent="0.25">
      <c r="A4622" s="75">
        <v>31131509</v>
      </c>
      <c r="B4622" s="76" t="s">
        <v>2497</v>
      </c>
    </row>
    <row r="4623" spans="1:2" x14ac:dyDescent="0.25">
      <c r="A4623" s="75">
        <v>31131510</v>
      </c>
      <c r="B4623" s="76" t="s">
        <v>1613</v>
      </c>
    </row>
    <row r="4624" spans="1:2" x14ac:dyDescent="0.25">
      <c r="A4624" s="75">
        <v>31131511</v>
      </c>
      <c r="B4624" s="76" t="s">
        <v>16669</v>
      </c>
    </row>
    <row r="4625" spans="1:2" x14ac:dyDescent="0.25">
      <c r="A4625" s="75">
        <v>31131512</v>
      </c>
      <c r="B4625" s="76" t="s">
        <v>9118</v>
      </c>
    </row>
    <row r="4626" spans="1:2" x14ac:dyDescent="0.25">
      <c r="A4626" s="75">
        <v>31131513</v>
      </c>
      <c r="B4626" s="76" t="s">
        <v>10000</v>
      </c>
    </row>
    <row r="4627" spans="1:2" x14ac:dyDescent="0.25">
      <c r="A4627" s="75">
        <v>31131514</v>
      </c>
      <c r="B4627" s="76" t="s">
        <v>2537</v>
      </c>
    </row>
    <row r="4628" spans="1:2" x14ac:dyDescent="0.25">
      <c r="A4628" s="75">
        <v>31131515</v>
      </c>
      <c r="B4628" s="76" t="s">
        <v>8021</v>
      </c>
    </row>
    <row r="4629" spans="1:2" x14ac:dyDescent="0.25">
      <c r="A4629" s="75">
        <v>31131516</v>
      </c>
      <c r="B4629" s="76" t="s">
        <v>15018</v>
      </c>
    </row>
    <row r="4630" spans="1:2" x14ac:dyDescent="0.25">
      <c r="A4630" s="75">
        <v>31131601</v>
      </c>
      <c r="B4630" s="76" t="s">
        <v>18817</v>
      </c>
    </row>
    <row r="4631" spans="1:2" x14ac:dyDescent="0.25">
      <c r="A4631" s="75">
        <v>31131602</v>
      </c>
      <c r="B4631" s="76" t="s">
        <v>10372</v>
      </c>
    </row>
    <row r="4632" spans="1:2" x14ac:dyDescent="0.25">
      <c r="A4632" s="75">
        <v>31131603</v>
      </c>
      <c r="B4632" s="76" t="s">
        <v>16604</v>
      </c>
    </row>
    <row r="4633" spans="1:2" x14ac:dyDescent="0.25">
      <c r="A4633" s="75">
        <v>31131604</v>
      </c>
      <c r="B4633" s="76" t="s">
        <v>10343</v>
      </c>
    </row>
    <row r="4634" spans="1:2" x14ac:dyDescent="0.25">
      <c r="A4634" s="75">
        <v>31131605</v>
      </c>
      <c r="B4634" s="76" t="s">
        <v>12289</v>
      </c>
    </row>
    <row r="4635" spans="1:2" x14ac:dyDescent="0.25">
      <c r="A4635" s="75">
        <v>31131606</v>
      </c>
      <c r="B4635" s="76" t="s">
        <v>18676</v>
      </c>
    </row>
    <row r="4636" spans="1:2" x14ac:dyDescent="0.25">
      <c r="A4636" s="75">
        <v>31131607</v>
      </c>
      <c r="B4636" s="76" t="s">
        <v>8348</v>
      </c>
    </row>
    <row r="4637" spans="1:2" x14ac:dyDescent="0.25">
      <c r="A4637" s="75">
        <v>31131608</v>
      </c>
      <c r="B4637" s="76" t="s">
        <v>7246</v>
      </c>
    </row>
    <row r="4638" spans="1:2" x14ac:dyDescent="0.25">
      <c r="A4638" s="75">
        <v>31131609</v>
      </c>
      <c r="B4638" s="76" t="s">
        <v>14349</v>
      </c>
    </row>
    <row r="4639" spans="1:2" x14ac:dyDescent="0.25">
      <c r="A4639" s="75">
        <v>31131610</v>
      </c>
      <c r="B4639" s="76" t="s">
        <v>15583</v>
      </c>
    </row>
    <row r="4640" spans="1:2" x14ac:dyDescent="0.25">
      <c r="A4640" s="75">
        <v>31131611</v>
      </c>
      <c r="B4640" s="76" t="s">
        <v>8695</v>
      </c>
    </row>
    <row r="4641" spans="1:2" x14ac:dyDescent="0.25">
      <c r="A4641" s="75">
        <v>31131612</v>
      </c>
      <c r="B4641" s="76" t="s">
        <v>17980</v>
      </c>
    </row>
    <row r="4642" spans="1:2" x14ac:dyDescent="0.25">
      <c r="A4642" s="75">
        <v>31131613</v>
      </c>
      <c r="B4642" s="76" t="s">
        <v>14449</v>
      </c>
    </row>
    <row r="4643" spans="1:2" x14ac:dyDescent="0.25">
      <c r="A4643" s="75">
        <v>31131614</v>
      </c>
      <c r="B4643" s="76" t="s">
        <v>13065</v>
      </c>
    </row>
    <row r="4644" spans="1:2" x14ac:dyDescent="0.25">
      <c r="A4644" s="75">
        <v>31131615</v>
      </c>
      <c r="B4644" s="76" t="s">
        <v>3924</v>
      </c>
    </row>
    <row r="4645" spans="1:2" x14ac:dyDescent="0.25">
      <c r="A4645" s="75">
        <v>31131616</v>
      </c>
      <c r="B4645" s="76" t="s">
        <v>12163</v>
      </c>
    </row>
    <row r="4646" spans="1:2" x14ac:dyDescent="0.25">
      <c r="A4646" s="75">
        <v>31131701</v>
      </c>
      <c r="B4646" s="76" t="s">
        <v>19271</v>
      </c>
    </row>
    <row r="4647" spans="1:2" x14ac:dyDescent="0.25">
      <c r="A4647" s="75">
        <v>31131702</v>
      </c>
      <c r="B4647" s="76" t="s">
        <v>17707</v>
      </c>
    </row>
    <row r="4648" spans="1:2" x14ac:dyDescent="0.25">
      <c r="A4648" s="75">
        <v>31131703</v>
      </c>
      <c r="B4648" s="76" t="s">
        <v>18198</v>
      </c>
    </row>
    <row r="4649" spans="1:2" x14ac:dyDescent="0.25">
      <c r="A4649" s="75">
        <v>31131704</v>
      </c>
      <c r="B4649" s="76" t="s">
        <v>6995</v>
      </c>
    </row>
    <row r="4650" spans="1:2" x14ac:dyDescent="0.25">
      <c r="A4650" s="75">
        <v>31131705</v>
      </c>
      <c r="B4650" s="76" t="s">
        <v>16052</v>
      </c>
    </row>
    <row r="4651" spans="1:2" x14ac:dyDescent="0.25">
      <c r="A4651" s="75">
        <v>31131706</v>
      </c>
      <c r="B4651" s="76" t="s">
        <v>11896</v>
      </c>
    </row>
    <row r="4652" spans="1:2" x14ac:dyDescent="0.25">
      <c r="A4652" s="75">
        <v>31131707</v>
      </c>
      <c r="B4652" s="76" t="s">
        <v>3158</v>
      </c>
    </row>
    <row r="4653" spans="1:2" x14ac:dyDescent="0.25">
      <c r="A4653" s="75">
        <v>31131708</v>
      </c>
      <c r="B4653" s="76" t="s">
        <v>3181</v>
      </c>
    </row>
    <row r="4654" spans="1:2" x14ac:dyDescent="0.25">
      <c r="A4654" s="75">
        <v>31131709</v>
      </c>
      <c r="B4654" s="76" t="s">
        <v>5819</v>
      </c>
    </row>
    <row r="4655" spans="1:2" x14ac:dyDescent="0.25">
      <c r="A4655" s="75">
        <v>31131710</v>
      </c>
      <c r="B4655" s="76" t="s">
        <v>7106</v>
      </c>
    </row>
    <row r="4656" spans="1:2" x14ac:dyDescent="0.25">
      <c r="A4656" s="75">
        <v>31131711</v>
      </c>
      <c r="B4656" s="76" t="s">
        <v>9330</v>
      </c>
    </row>
    <row r="4657" spans="1:2" x14ac:dyDescent="0.25">
      <c r="A4657" s="75">
        <v>31131712</v>
      </c>
      <c r="B4657" s="76" t="s">
        <v>6602</v>
      </c>
    </row>
    <row r="4658" spans="1:2" x14ac:dyDescent="0.25">
      <c r="A4658" s="75">
        <v>31131713</v>
      </c>
      <c r="B4658" s="76" t="s">
        <v>8416</v>
      </c>
    </row>
    <row r="4659" spans="1:2" x14ac:dyDescent="0.25">
      <c r="A4659" s="75">
        <v>31131714</v>
      </c>
      <c r="B4659" s="76" t="s">
        <v>13023</v>
      </c>
    </row>
    <row r="4660" spans="1:2" x14ac:dyDescent="0.25">
      <c r="A4660" s="75">
        <v>31131715</v>
      </c>
      <c r="B4660" s="76" t="s">
        <v>2277</v>
      </c>
    </row>
    <row r="4661" spans="1:2" x14ac:dyDescent="0.25">
      <c r="A4661" s="75">
        <v>31131716</v>
      </c>
      <c r="B4661" s="76" t="s">
        <v>11441</v>
      </c>
    </row>
    <row r="4662" spans="1:2" x14ac:dyDescent="0.25">
      <c r="A4662" s="75">
        <v>31131801</v>
      </c>
      <c r="B4662" s="76" t="s">
        <v>16798</v>
      </c>
    </row>
    <row r="4663" spans="1:2" x14ac:dyDescent="0.25">
      <c r="A4663" s="75">
        <v>31131802</v>
      </c>
      <c r="B4663" s="76" t="s">
        <v>15517</v>
      </c>
    </row>
    <row r="4664" spans="1:2" x14ac:dyDescent="0.25">
      <c r="A4664" s="75">
        <v>31131803</v>
      </c>
      <c r="B4664" s="76" t="s">
        <v>6354</v>
      </c>
    </row>
    <row r="4665" spans="1:2" x14ac:dyDescent="0.25">
      <c r="A4665" s="75">
        <v>31131804</v>
      </c>
      <c r="B4665" s="76" t="s">
        <v>9716</v>
      </c>
    </row>
    <row r="4666" spans="1:2" x14ac:dyDescent="0.25">
      <c r="A4666" s="75">
        <v>31131805</v>
      </c>
      <c r="B4666" s="76" t="s">
        <v>2166</v>
      </c>
    </row>
    <row r="4667" spans="1:2" x14ac:dyDescent="0.25">
      <c r="A4667" s="75">
        <v>31131806</v>
      </c>
      <c r="B4667" s="76" t="s">
        <v>11371</v>
      </c>
    </row>
    <row r="4668" spans="1:2" x14ac:dyDescent="0.25">
      <c r="A4668" s="75">
        <v>31131807</v>
      </c>
      <c r="B4668" s="76" t="s">
        <v>19804</v>
      </c>
    </row>
    <row r="4669" spans="1:2" x14ac:dyDescent="0.25">
      <c r="A4669" s="75">
        <v>31131808</v>
      </c>
      <c r="B4669" s="76" t="s">
        <v>6905</v>
      </c>
    </row>
    <row r="4670" spans="1:2" x14ac:dyDescent="0.25">
      <c r="A4670" s="75">
        <v>31131809</v>
      </c>
      <c r="B4670" s="76" t="s">
        <v>687</v>
      </c>
    </row>
    <row r="4671" spans="1:2" x14ac:dyDescent="0.25">
      <c r="A4671" s="75">
        <v>31131810</v>
      </c>
      <c r="B4671" s="76" t="s">
        <v>2090</v>
      </c>
    </row>
    <row r="4672" spans="1:2" x14ac:dyDescent="0.25">
      <c r="A4672" s="75">
        <v>31131811</v>
      </c>
      <c r="B4672" s="76" t="s">
        <v>6730</v>
      </c>
    </row>
    <row r="4673" spans="1:2" x14ac:dyDescent="0.25">
      <c r="A4673" s="75">
        <v>31131812</v>
      </c>
      <c r="B4673" s="76" t="s">
        <v>18367</v>
      </c>
    </row>
    <row r="4674" spans="1:2" x14ac:dyDescent="0.25">
      <c r="A4674" s="75">
        <v>31131813</v>
      </c>
      <c r="B4674" s="76" t="s">
        <v>4611</v>
      </c>
    </row>
    <row r="4675" spans="1:2" x14ac:dyDescent="0.25">
      <c r="A4675" s="75">
        <v>31131814</v>
      </c>
      <c r="B4675" s="76" t="s">
        <v>10124</v>
      </c>
    </row>
    <row r="4676" spans="1:2" x14ac:dyDescent="0.25">
      <c r="A4676" s="75">
        <v>31131815</v>
      </c>
      <c r="B4676" s="76" t="s">
        <v>2434</v>
      </c>
    </row>
    <row r="4677" spans="1:2" x14ac:dyDescent="0.25">
      <c r="A4677" s="75">
        <v>31131816</v>
      </c>
      <c r="B4677" s="76" t="s">
        <v>2999</v>
      </c>
    </row>
    <row r="4678" spans="1:2" x14ac:dyDescent="0.25">
      <c r="A4678" s="75">
        <v>31131817</v>
      </c>
      <c r="B4678" s="76" t="s">
        <v>18697</v>
      </c>
    </row>
    <row r="4679" spans="1:2" x14ac:dyDescent="0.25">
      <c r="A4679" s="75">
        <v>31131818</v>
      </c>
      <c r="B4679" s="76" t="s">
        <v>12352</v>
      </c>
    </row>
    <row r="4680" spans="1:2" x14ac:dyDescent="0.25">
      <c r="A4680" s="75">
        <v>31131901</v>
      </c>
      <c r="B4680" s="76" t="s">
        <v>6534</v>
      </c>
    </row>
    <row r="4681" spans="1:2" x14ac:dyDescent="0.25">
      <c r="A4681" s="75">
        <v>31131902</v>
      </c>
      <c r="B4681" s="76" t="s">
        <v>3019</v>
      </c>
    </row>
    <row r="4682" spans="1:2" x14ac:dyDescent="0.25">
      <c r="A4682" s="75">
        <v>31131903</v>
      </c>
      <c r="B4682" s="76" t="s">
        <v>6751</v>
      </c>
    </row>
    <row r="4683" spans="1:2" x14ac:dyDescent="0.25">
      <c r="A4683" s="75">
        <v>31131904</v>
      </c>
      <c r="B4683" s="76" t="s">
        <v>11168</v>
      </c>
    </row>
    <row r="4684" spans="1:2" x14ac:dyDescent="0.25">
      <c r="A4684" s="75">
        <v>31131905</v>
      </c>
      <c r="B4684" s="76" t="s">
        <v>19150</v>
      </c>
    </row>
    <row r="4685" spans="1:2" x14ac:dyDescent="0.25">
      <c r="A4685" s="75">
        <v>31131906</v>
      </c>
      <c r="B4685" s="76" t="s">
        <v>4451</v>
      </c>
    </row>
    <row r="4686" spans="1:2" x14ac:dyDescent="0.25">
      <c r="A4686" s="75">
        <v>31131907</v>
      </c>
      <c r="B4686" s="76" t="s">
        <v>6859</v>
      </c>
    </row>
    <row r="4687" spans="1:2" x14ac:dyDescent="0.25">
      <c r="A4687" s="75">
        <v>31131908</v>
      </c>
      <c r="B4687" s="76" t="s">
        <v>3286</v>
      </c>
    </row>
    <row r="4688" spans="1:2" x14ac:dyDescent="0.25">
      <c r="A4688" s="75">
        <v>31131909</v>
      </c>
      <c r="B4688" s="76" t="s">
        <v>6611</v>
      </c>
    </row>
    <row r="4689" spans="1:2" x14ac:dyDescent="0.25">
      <c r="A4689" s="75">
        <v>31131910</v>
      </c>
      <c r="B4689" s="76" t="s">
        <v>18334</v>
      </c>
    </row>
    <row r="4690" spans="1:2" x14ac:dyDescent="0.25">
      <c r="A4690" s="75">
        <v>31131911</v>
      </c>
      <c r="B4690" s="76" t="s">
        <v>10589</v>
      </c>
    </row>
    <row r="4691" spans="1:2" x14ac:dyDescent="0.25">
      <c r="A4691" s="75">
        <v>31131912</v>
      </c>
      <c r="B4691" s="76" t="s">
        <v>12279</v>
      </c>
    </row>
    <row r="4692" spans="1:2" x14ac:dyDescent="0.25">
      <c r="A4692" s="75">
        <v>31131913</v>
      </c>
      <c r="B4692" s="76" t="s">
        <v>6992</v>
      </c>
    </row>
    <row r="4693" spans="1:2" x14ac:dyDescent="0.25">
      <c r="A4693" s="75">
        <v>31131914</v>
      </c>
      <c r="B4693" s="76" t="s">
        <v>13477</v>
      </c>
    </row>
    <row r="4694" spans="1:2" x14ac:dyDescent="0.25">
      <c r="A4694" s="75">
        <v>31131915</v>
      </c>
      <c r="B4694" s="76" t="s">
        <v>6932</v>
      </c>
    </row>
    <row r="4695" spans="1:2" x14ac:dyDescent="0.25">
      <c r="A4695" s="75">
        <v>31131916</v>
      </c>
      <c r="B4695" s="76" t="s">
        <v>17667</v>
      </c>
    </row>
    <row r="4696" spans="1:2" x14ac:dyDescent="0.25">
      <c r="A4696" s="75">
        <v>31132001</v>
      </c>
      <c r="B4696" s="76" t="s">
        <v>1173</v>
      </c>
    </row>
    <row r="4697" spans="1:2" x14ac:dyDescent="0.25">
      <c r="A4697" s="75">
        <v>31132002</v>
      </c>
      <c r="B4697" s="76" t="s">
        <v>15760</v>
      </c>
    </row>
    <row r="4698" spans="1:2" x14ac:dyDescent="0.25">
      <c r="A4698" s="75">
        <v>31141501</v>
      </c>
      <c r="B4698" s="76" t="s">
        <v>6351</v>
      </c>
    </row>
    <row r="4699" spans="1:2" x14ac:dyDescent="0.25">
      <c r="A4699" s="75">
        <v>31141502</v>
      </c>
      <c r="B4699" s="76" t="s">
        <v>11498</v>
      </c>
    </row>
    <row r="4700" spans="1:2" x14ac:dyDescent="0.25">
      <c r="A4700" s="75">
        <v>31141503</v>
      </c>
      <c r="B4700" s="76" t="s">
        <v>14001</v>
      </c>
    </row>
    <row r="4701" spans="1:2" x14ac:dyDescent="0.25">
      <c r="A4701" s="75">
        <v>31141601</v>
      </c>
      <c r="B4701" s="76" t="s">
        <v>19713</v>
      </c>
    </row>
    <row r="4702" spans="1:2" x14ac:dyDescent="0.25">
      <c r="A4702" s="75">
        <v>31141602</v>
      </c>
      <c r="B4702" s="76" t="s">
        <v>10215</v>
      </c>
    </row>
    <row r="4703" spans="1:2" x14ac:dyDescent="0.25">
      <c r="A4703" s="75">
        <v>31141603</v>
      </c>
      <c r="B4703" s="76" t="s">
        <v>986</v>
      </c>
    </row>
    <row r="4704" spans="1:2" x14ac:dyDescent="0.25">
      <c r="A4704" s="75">
        <v>31141701</v>
      </c>
      <c r="B4704" s="76" t="s">
        <v>9196</v>
      </c>
    </row>
    <row r="4705" spans="1:2" x14ac:dyDescent="0.25">
      <c r="A4705" s="75">
        <v>31141702</v>
      </c>
      <c r="B4705" s="76" t="s">
        <v>12190</v>
      </c>
    </row>
    <row r="4706" spans="1:2" x14ac:dyDescent="0.25">
      <c r="A4706" s="75">
        <v>31141801</v>
      </c>
      <c r="B4706" s="76" t="s">
        <v>15005</v>
      </c>
    </row>
    <row r="4707" spans="1:2" x14ac:dyDescent="0.25">
      <c r="A4707" s="75">
        <v>31141802</v>
      </c>
      <c r="B4707" s="76" t="s">
        <v>13335</v>
      </c>
    </row>
    <row r="4708" spans="1:2" x14ac:dyDescent="0.25">
      <c r="A4708" s="75">
        <v>31151501</v>
      </c>
      <c r="B4708" s="76" t="s">
        <v>12760</v>
      </c>
    </row>
    <row r="4709" spans="1:2" x14ac:dyDescent="0.25">
      <c r="A4709" s="75">
        <v>31151502</v>
      </c>
      <c r="B4709" s="76" t="s">
        <v>269</v>
      </c>
    </row>
    <row r="4710" spans="1:2" x14ac:dyDescent="0.25">
      <c r="A4710" s="75">
        <v>31151503</v>
      </c>
      <c r="B4710" s="76" t="s">
        <v>6843</v>
      </c>
    </row>
    <row r="4711" spans="1:2" x14ac:dyDescent="0.25">
      <c r="A4711" s="75">
        <v>31151504</v>
      </c>
      <c r="B4711" s="76" t="s">
        <v>2079</v>
      </c>
    </row>
    <row r="4712" spans="1:2" x14ac:dyDescent="0.25">
      <c r="A4712" s="75">
        <v>31151505</v>
      </c>
      <c r="B4712" s="76" t="s">
        <v>9117</v>
      </c>
    </row>
    <row r="4713" spans="1:2" x14ac:dyDescent="0.25">
      <c r="A4713" s="75">
        <v>31151506</v>
      </c>
      <c r="B4713" s="76" t="s">
        <v>14125</v>
      </c>
    </row>
    <row r="4714" spans="1:2" x14ac:dyDescent="0.25">
      <c r="A4714" s="75">
        <v>31151507</v>
      </c>
      <c r="B4714" s="76" t="s">
        <v>18499</v>
      </c>
    </row>
    <row r="4715" spans="1:2" x14ac:dyDescent="0.25">
      <c r="A4715" s="75">
        <v>31151508</v>
      </c>
      <c r="B4715" s="76" t="s">
        <v>6425</v>
      </c>
    </row>
    <row r="4716" spans="1:2" x14ac:dyDescent="0.25">
      <c r="A4716" s="75">
        <v>31151509</v>
      </c>
      <c r="B4716" s="76" t="s">
        <v>13966</v>
      </c>
    </row>
    <row r="4717" spans="1:2" x14ac:dyDescent="0.25">
      <c r="A4717" s="75">
        <v>31151601</v>
      </c>
      <c r="B4717" s="76" t="s">
        <v>2419</v>
      </c>
    </row>
    <row r="4718" spans="1:2" x14ac:dyDescent="0.25">
      <c r="A4718" s="75">
        <v>31151603</v>
      </c>
      <c r="B4718" s="76" t="s">
        <v>665</v>
      </c>
    </row>
    <row r="4719" spans="1:2" x14ac:dyDescent="0.25">
      <c r="A4719" s="75">
        <v>31151604</v>
      </c>
      <c r="B4719" s="76" t="s">
        <v>1388</v>
      </c>
    </row>
    <row r="4720" spans="1:2" x14ac:dyDescent="0.25">
      <c r="A4720" s="75">
        <v>31151605</v>
      </c>
      <c r="B4720" s="76" t="s">
        <v>14552</v>
      </c>
    </row>
    <row r="4721" spans="1:2" x14ac:dyDescent="0.25">
      <c r="A4721" s="75">
        <v>31151606</v>
      </c>
      <c r="B4721" s="76" t="s">
        <v>15536</v>
      </c>
    </row>
    <row r="4722" spans="1:2" x14ac:dyDescent="0.25">
      <c r="A4722" s="75">
        <v>31151607</v>
      </c>
      <c r="B4722" s="76" t="s">
        <v>12981</v>
      </c>
    </row>
    <row r="4723" spans="1:2" x14ac:dyDescent="0.25">
      <c r="A4723" s="75">
        <v>31151608</v>
      </c>
      <c r="B4723" s="76" t="s">
        <v>9984</v>
      </c>
    </row>
    <row r="4724" spans="1:2" x14ac:dyDescent="0.25">
      <c r="A4724" s="75">
        <v>31151609</v>
      </c>
      <c r="B4724" s="76" t="s">
        <v>14205</v>
      </c>
    </row>
    <row r="4725" spans="1:2" x14ac:dyDescent="0.25">
      <c r="A4725" s="75">
        <v>31151702</v>
      </c>
      <c r="B4725" s="76" t="s">
        <v>10813</v>
      </c>
    </row>
    <row r="4726" spans="1:2" x14ac:dyDescent="0.25">
      <c r="A4726" s="75">
        <v>31151703</v>
      </c>
      <c r="B4726" s="76" t="s">
        <v>9270</v>
      </c>
    </row>
    <row r="4727" spans="1:2" x14ac:dyDescent="0.25">
      <c r="A4727" s="75">
        <v>31151704</v>
      </c>
      <c r="B4727" s="76" t="s">
        <v>11584</v>
      </c>
    </row>
    <row r="4728" spans="1:2" x14ac:dyDescent="0.25">
      <c r="A4728" s="75">
        <v>31151705</v>
      </c>
      <c r="B4728" s="76" t="s">
        <v>19386</v>
      </c>
    </row>
    <row r="4729" spans="1:2" x14ac:dyDescent="0.25">
      <c r="A4729" s="75">
        <v>31151706</v>
      </c>
      <c r="B4729" s="76" t="s">
        <v>6364</v>
      </c>
    </row>
    <row r="4730" spans="1:2" x14ac:dyDescent="0.25">
      <c r="A4730" s="75">
        <v>31151707</v>
      </c>
      <c r="B4730" s="76" t="s">
        <v>9793</v>
      </c>
    </row>
    <row r="4731" spans="1:2" x14ac:dyDescent="0.25">
      <c r="A4731" s="75">
        <v>31151803</v>
      </c>
      <c r="B4731" s="76" t="s">
        <v>8279</v>
      </c>
    </row>
    <row r="4732" spans="1:2" x14ac:dyDescent="0.25">
      <c r="A4732" s="75">
        <v>31151804</v>
      </c>
      <c r="B4732" s="76" t="s">
        <v>17285</v>
      </c>
    </row>
    <row r="4733" spans="1:2" x14ac:dyDescent="0.25">
      <c r="A4733" s="75">
        <v>31151901</v>
      </c>
      <c r="B4733" s="76" t="s">
        <v>4465</v>
      </c>
    </row>
    <row r="4734" spans="1:2" x14ac:dyDescent="0.25">
      <c r="A4734" s="75">
        <v>31151902</v>
      </c>
      <c r="B4734" s="76" t="s">
        <v>14105</v>
      </c>
    </row>
    <row r="4735" spans="1:2" x14ac:dyDescent="0.25">
      <c r="A4735" s="75">
        <v>31151903</v>
      </c>
      <c r="B4735" s="76" t="s">
        <v>17000</v>
      </c>
    </row>
    <row r="4736" spans="1:2" x14ac:dyDescent="0.25">
      <c r="A4736" s="75">
        <v>31151904</v>
      </c>
      <c r="B4736" s="76" t="s">
        <v>2945</v>
      </c>
    </row>
    <row r="4737" spans="1:2" x14ac:dyDescent="0.25">
      <c r="A4737" s="75">
        <v>31151905</v>
      </c>
      <c r="B4737" s="76" t="s">
        <v>4869</v>
      </c>
    </row>
    <row r="4738" spans="1:2" x14ac:dyDescent="0.25">
      <c r="A4738" s="75">
        <v>31152001</v>
      </c>
      <c r="B4738" s="76" t="s">
        <v>9053</v>
      </c>
    </row>
    <row r="4739" spans="1:2" x14ac:dyDescent="0.25">
      <c r="A4739" s="75">
        <v>31152002</v>
      </c>
      <c r="B4739" s="76" t="s">
        <v>927</v>
      </c>
    </row>
    <row r="4740" spans="1:2" x14ac:dyDescent="0.25">
      <c r="A4740" s="75">
        <v>31161501</v>
      </c>
      <c r="B4740" s="76" t="s">
        <v>17546</v>
      </c>
    </row>
    <row r="4741" spans="1:2" x14ac:dyDescent="0.25">
      <c r="A4741" s="75">
        <v>31161502</v>
      </c>
      <c r="B4741" s="76" t="s">
        <v>18136</v>
      </c>
    </row>
    <row r="4742" spans="1:2" x14ac:dyDescent="0.25">
      <c r="A4742" s="75">
        <v>31161503</v>
      </c>
      <c r="B4742" s="76" t="s">
        <v>8621</v>
      </c>
    </row>
    <row r="4743" spans="1:2" x14ac:dyDescent="0.25">
      <c r="A4743" s="75">
        <v>31161504</v>
      </c>
      <c r="B4743" s="76" t="s">
        <v>2139</v>
      </c>
    </row>
    <row r="4744" spans="1:2" x14ac:dyDescent="0.25">
      <c r="A4744" s="75">
        <v>31161505</v>
      </c>
      <c r="B4744" s="76" t="s">
        <v>16293</v>
      </c>
    </row>
    <row r="4745" spans="1:2" x14ac:dyDescent="0.25">
      <c r="A4745" s="75">
        <v>31161506</v>
      </c>
      <c r="B4745" s="76" t="s">
        <v>7872</v>
      </c>
    </row>
    <row r="4746" spans="1:2" x14ac:dyDescent="0.25">
      <c r="A4746" s="75">
        <v>31161507</v>
      </c>
      <c r="B4746" s="76" t="s">
        <v>7004</v>
      </c>
    </row>
    <row r="4747" spans="1:2" x14ac:dyDescent="0.25">
      <c r="A4747" s="75">
        <v>31161508</v>
      </c>
      <c r="B4747" s="76" t="s">
        <v>14700</v>
      </c>
    </row>
    <row r="4748" spans="1:2" x14ac:dyDescent="0.25">
      <c r="A4748" s="75">
        <v>31161509</v>
      </c>
      <c r="B4748" s="76" t="s">
        <v>18253</v>
      </c>
    </row>
    <row r="4749" spans="1:2" x14ac:dyDescent="0.25">
      <c r="A4749" s="75">
        <v>31161510</v>
      </c>
      <c r="B4749" s="76" t="s">
        <v>15128</v>
      </c>
    </row>
    <row r="4750" spans="1:2" x14ac:dyDescent="0.25">
      <c r="A4750" s="75">
        <v>31161511</v>
      </c>
      <c r="B4750" s="76" t="s">
        <v>4934</v>
      </c>
    </row>
    <row r="4751" spans="1:2" x14ac:dyDescent="0.25">
      <c r="A4751" s="75">
        <v>31161512</v>
      </c>
      <c r="B4751" s="76" t="s">
        <v>14393</v>
      </c>
    </row>
    <row r="4752" spans="1:2" x14ac:dyDescent="0.25">
      <c r="A4752" s="75">
        <v>31161513</v>
      </c>
      <c r="B4752" s="76" t="s">
        <v>15970</v>
      </c>
    </row>
    <row r="4753" spans="1:2" x14ac:dyDescent="0.25">
      <c r="A4753" s="75">
        <v>31161514</v>
      </c>
      <c r="B4753" s="76" t="s">
        <v>3866</v>
      </c>
    </row>
    <row r="4754" spans="1:2" x14ac:dyDescent="0.25">
      <c r="A4754" s="75">
        <v>31161516</v>
      </c>
      <c r="B4754" s="76" t="s">
        <v>1139</v>
      </c>
    </row>
    <row r="4755" spans="1:2" x14ac:dyDescent="0.25">
      <c r="A4755" s="75">
        <v>31161517</v>
      </c>
      <c r="B4755" s="76" t="s">
        <v>3054</v>
      </c>
    </row>
    <row r="4756" spans="1:2" x14ac:dyDescent="0.25">
      <c r="A4756" s="75">
        <v>31161518</v>
      </c>
      <c r="B4756" s="76" t="s">
        <v>9041</v>
      </c>
    </row>
    <row r="4757" spans="1:2" x14ac:dyDescent="0.25">
      <c r="A4757" s="75">
        <v>31161601</v>
      </c>
      <c r="B4757" s="76" t="s">
        <v>3407</v>
      </c>
    </row>
    <row r="4758" spans="1:2" x14ac:dyDescent="0.25">
      <c r="A4758" s="75">
        <v>31161602</v>
      </c>
      <c r="B4758" s="76" t="s">
        <v>13156</v>
      </c>
    </row>
    <row r="4759" spans="1:2" x14ac:dyDescent="0.25">
      <c r="A4759" s="75">
        <v>31161603</v>
      </c>
      <c r="B4759" s="76" t="s">
        <v>950</v>
      </c>
    </row>
    <row r="4760" spans="1:2" x14ac:dyDescent="0.25">
      <c r="A4760" s="75">
        <v>31161604</v>
      </c>
      <c r="B4760" s="76" t="s">
        <v>10636</v>
      </c>
    </row>
    <row r="4761" spans="1:2" x14ac:dyDescent="0.25">
      <c r="A4761" s="75">
        <v>31161605</v>
      </c>
      <c r="B4761" s="76" t="s">
        <v>7108</v>
      </c>
    </row>
    <row r="4762" spans="1:2" x14ac:dyDescent="0.25">
      <c r="A4762" s="75">
        <v>31161606</v>
      </c>
      <c r="B4762" s="76" t="s">
        <v>1161</v>
      </c>
    </row>
    <row r="4763" spans="1:2" x14ac:dyDescent="0.25">
      <c r="A4763" s="75">
        <v>31161607</v>
      </c>
      <c r="B4763" s="76" t="s">
        <v>10238</v>
      </c>
    </row>
    <row r="4764" spans="1:2" x14ac:dyDescent="0.25">
      <c r="A4764" s="75">
        <v>31161608</v>
      </c>
      <c r="B4764" s="76" t="s">
        <v>3077</v>
      </c>
    </row>
    <row r="4765" spans="1:2" x14ac:dyDescent="0.25">
      <c r="A4765" s="75">
        <v>31161609</v>
      </c>
      <c r="B4765" s="76" t="s">
        <v>3259</v>
      </c>
    </row>
    <row r="4766" spans="1:2" x14ac:dyDescent="0.25">
      <c r="A4766" s="75">
        <v>31161610</v>
      </c>
      <c r="B4766" s="76" t="s">
        <v>13613</v>
      </c>
    </row>
    <row r="4767" spans="1:2" x14ac:dyDescent="0.25">
      <c r="A4767" s="75">
        <v>31161611</v>
      </c>
      <c r="B4767" s="76" t="s">
        <v>7552</v>
      </c>
    </row>
    <row r="4768" spans="1:2" x14ac:dyDescent="0.25">
      <c r="A4768" s="75">
        <v>31161612</v>
      </c>
      <c r="B4768" s="76" t="s">
        <v>6100</v>
      </c>
    </row>
    <row r="4769" spans="1:2" x14ac:dyDescent="0.25">
      <c r="A4769" s="75">
        <v>31161613</v>
      </c>
      <c r="B4769" s="76" t="s">
        <v>7058</v>
      </c>
    </row>
    <row r="4770" spans="1:2" x14ac:dyDescent="0.25">
      <c r="A4770" s="75">
        <v>31161614</v>
      </c>
      <c r="B4770" s="76" t="s">
        <v>4631</v>
      </c>
    </row>
    <row r="4771" spans="1:2" x14ac:dyDescent="0.25">
      <c r="A4771" s="75">
        <v>31161616</v>
      </c>
      <c r="B4771" s="76" t="s">
        <v>6622</v>
      </c>
    </row>
    <row r="4772" spans="1:2" x14ac:dyDescent="0.25">
      <c r="A4772" s="75">
        <v>31161617</v>
      </c>
      <c r="B4772" s="76" t="s">
        <v>17467</v>
      </c>
    </row>
    <row r="4773" spans="1:2" x14ac:dyDescent="0.25">
      <c r="A4773" s="75">
        <v>31161618</v>
      </c>
      <c r="B4773" s="76" t="s">
        <v>6546</v>
      </c>
    </row>
    <row r="4774" spans="1:2" x14ac:dyDescent="0.25">
      <c r="A4774" s="75">
        <v>31161619</v>
      </c>
      <c r="B4774" s="76" t="s">
        <v>17579</v>
      </c>
    </row>
    <row r="4775" spans="1:2" x14ac:dyDescent="0.25">
      <c r="A4775" s="75">
        <v>31161620</v>
      </c>
      <c r="B4775" s="76" t="s">
        <v>712</v>
      </c>
    </row>
    <row r="4776" spans="1:2" x14ac:dyDescent="0.25">
      <c r="A4776" s="75">
        <v>31161621</v>
      </c>
      <c r="B4776" s="76" t="s">
        <v>3873</v>
      </c>
    </row>
    <row r="4777" spans="1:2" x14ac:dyDescent="0.25">
      <c r="A4777" s="75">
        <v>31161701</v>
      </c>
      <c r="B4777" s="76" t="s">
        <v>2452</v>
      </c>
    </row>
    <row r="4778" spans="1:2" x14ac:dyDescent="0.25">
      <c r="A4778" s="75">
        <v>31161702</v>
      </c>
      <c r="B4778" s="76" t="s">
        <v>5991</v>
      </c>
    </row>
    <row r="4779" spans="1:2" x14ac:dyDescent="0.25">
      <c r="A4779" s="75">
        <v>31161703</v>
      </c>
      <c r="B4779" s="76" t="s">
        <v>877</v>
      </c>
    </row>
    <row r="4780" spans="1:2" x14ac:dyDescent="0.25">
      <c r="A4780" s="75">
        <v>31161704</v>
      </c>
      <c r="B4780" s="76" t="s">
        <v>13443</v>
      </c>
    </row>
    <row r="4781" spans="1:2" x14ac:dyDescent="0.25">
      <c r="A4781" s="75">
        <v>31161705</v>
      </c>
      <c r="B4781" s="76" t="s">
        <v>7574</v>
      </c>
    </row>
    <row r="4782" spans="1:2" x14ac:dyDescent="0.25">
      <c r="A4782" s="75">
        <v>31161706</v>
      </c>
      <c r="B4782" s="76" t="s">
        <v>17833</v>
      </c>
    </row>
    <row r="4783" spans="1:2" x14ac:dyDescent="0.25">
      <c r="A4783" s="75">
        <v>31161707</v>
      </c>
      <c r="B4783" s="76" t="s">
        <v>5050</v>
      </c>
    </row>
    <row r="4784" spans="1:2" x14ac:dyDescent="0.25">
      <c r="A4784" s="75">
        <v>31161708</v>
      </c>
      <c r="B4784" s="76" t="s">
        <v>20049</v>
      </c>
    </row>
    <row r="4785" spans="1:2" x14ac:dyDescent="0.25">
      <c r="A4785" s="75">
        <v>31161709</v>
      </c>
      <c r="B4785" s="76" t="s">
        <v>167</v>
      </c>
    </row>
    <row r="4786" spans="1:2" x14ac:dyDescent="0.25">
      <c r="A4786" s="75">
        <v>31161710</v>
      </c>
      <c r="B4786" s="76" t="s">
        <v>15135</v>
      </c>
    </row>
    <row r="4787" spans="1:2" x14ac:dyDescent="0.25">
      <c r="A4787" s="75">
        <v>31161711</v>
      </c>
      <c r="B4787" s="76" t="s">
        <v>17097</v>
      </c>
    </row>
    <row r="4788" spans="1:2" x14ac:dyDescent="0.25">
      <c r="A4788" s="75">
        <v>31161712</v>
      </c>
      <c r="B4788" s="76" t="s">
        <v>3536</v>
      </c>
    </row>
    <row r="4789" spans="1:2" x14ac:dyDescent="0.25">
      <c r="A4789" s="75">
        <v>31161713</v>
      </c>
      <c r="B4789" s="76" t="s">
        <v>15436</v>
      </c>
    </row>
    <row r="4790" spans="1:2" x14ac:dyDescent="0.25">
      <c r="A4790" s="75">
        <v>31161714</v>
      </c>
      <c r="B4790" s="76" t="s">
        <v>4955</v>
      </c>
    </row>
    <row r="4791" spans="1:2" x14ac:dyDescent="0.25">
      <c r="A4791" s="75">
        <v>31161716</v>
      </c>
      <c r="B4791" s="76" t="s">
        <v>10688</v>
      </c>
    </row>
    <row r="4792" spans="1:2" x14ac:dyDescent="0.25">
      <c r="A4792" s="75">
        <v>31161717</v>
      </c>
      <c r="B4792" s="76" t="s">
        <v>8149</v>
      </c>
    </row>
    <row r="4793" spans="1:2" x14ac:dyDescent="0.25">
      <c r="A4793" s="75">
        <v>31161718</v>
      </c>
      <c r="B4793" s="76" t="s">
        <v>5214</v>
      </c>
    </row>
    <row r="4794" spans="1:2" x14ac:dyDescent="0.25">
      <c r="A4794" s="75">
        <v>31161719</v>
      </c>
      <c r="B4794" s="76" t="s">
        <v>9371</v>
      </c>
    </row>
    <row r="4795" spans="1:2" x14ac:dyDescent="0.25">
      <c r="A4795" s="75">
        <v>31161720</v>
      </c>
      <c r="B4795" s="76" t="s">
        <v>8979</v>
      </c>
    </row>
    <row r="4796" spans="1:2" x14ac:dyDescent="0.25">
      <c r="A4796" s="75">
        <v>31161721</v>
      </c>
      <c r="B4796" s="76" t="s">
        <v>1852</v>
      </c>
    </row>
    <row r="4797" spans="1:2" x14ac:dyDescent="0.25">
      <c r="A4797" s="75">
        <v>31161722</v>
      </c>
      <c r="B4797" s="76" t="s">
        <v>14709</v>
      </c>
    </row>
    <row r="4798" spans="1:2" x14ac:dyDescent="0.25">
      <c r="A4798" s="75">
        <v>31161723</v>
      </c>
      <c r="B4798" s="76" t="s">
        <v>19669</v>
      </c>
    </row>
    <row r="4799" spans="1:2" x14ac:dyDescent="0.25">
      <c r="A4799" s="75">
        <v>31161724</v>
      </c>
      <c r="B4799" s="76" t="s">
        <v>1675</v>
      </c>
    </row>
    <row r="4800" spans="1:2" x14ac:dyDescent="0.25">
      <c r="A4800" s="75">
        <v>31161725</v>
      </c>
      <c r="B4800" s="76" t="s">
        <v>3566</v>
      </c>
    </row>
    <row r="4801" spans="1:2" x14ac:dyDescent="0.25">
      <c r="A4801" s="75">
        <v>31161726</v>
      </c>
      <c r="B4801" s="76" t="s">
        <v>3525</v>
      </c>
    </row>
    <row r="4802" spans="1:2" x14ac:dyDescent="0.25">
      <c r="A4802" s="75">
        <v>31161727</v>
      </c>
      <c r="B4802" s="76" t="s">
        <v>5357</v>
      </c>
    </row>
    <row r="4803" spans="1:2" x14ac:dyDescent="0.25">
      <c r="A4803" s="75">
        <v>31161728</v>
      </c>
      <c r="B4803" s="76" t="s">
        <v>15829</v>
      </c>
    </row>
    <row r="4804" spans="1:2" x14ac:dyDescent="0.25">
      <c r="A4804" s="75">
        <v>31161729</v>
      </c>
      <c r="B4804" s="76" t="s">
        <v>13897</v>
      </c>
    </row>
    <row r="4805" spans="1:2" x14ac:dyDescent="0.25">
      <c r="A4805" s="75">
        <v>31161730</v>
      </c>
      <c r="B4805" s="76" t="s">
        <v>15322</v>
      </c>
    </row>
    <row r="4806" spans="1:2" x14ac:dyDescent="0.25">
      <c r="A4806" s="75">
        <v>31161731</v>
      </c>
      <c r="B4806" s="76" t="s">
        <v>6436</v>
      </c>
    </row>
    <row r="4807" spans="1:2" x14ac:dyDescent="0.25">
      <c r="A4807" s="75">
        <v>31161801</v>
      </c>
      <c r="B4807" s="76" t="s">
        <v>3392</v>
      </c>
    </row>
    <row r="4808" spans="1:2" x14ac:dyDescent="0.25">
      <c r="A4808" s="75">
        <v>31161802</v>
      </c>
      <c r="B4808" s="76" t="s">
        <v>9500</v>
      </c>
    </row>
    <row r="4809" spans="1:2" x14ac:dyDescent="0.25">
      <c r="A4809" s="75">
        <v>31161803</v>
      </c>
      <c r="B4809" s="76" t="s">
        <v>17426</v>
      </c>
    </row>
    <row r="4810" spans="1:2" x14ac:dyDescent="0.25">
      <c r="A4810" s="75">
        <v>31161804</v>
      </c>
      <c r="B4810" s="76" t="s">
        <v>2872</v>
      </c>
    </row>
    <row r="4811" spans="1:2" x14ac:dyDescent="0.25">
      <c r="A4811" s="75">
        <v>31161805</v>
      </c>
      <c r="B4811" s="76" t="s">
        <v>5466</v>
      </c>
    </row>
    <row r="4812" spans="1:2" x14ac:dyDescent="0.25">
      <c r="A4812" s="75">
        <v>31161806</v>
      </c>
      <c r="B4812" s="76" t="s">
        <v>830</v>
      </c>
    </row>
    <row r="4813" spans="1:2" x14ac:dyDescent="0.25">
      <c r="A4813" s="75">
        <v>31161807</v>
      </c>
      <c r="B4813" s="76" t="s">
        <v>14051</v>
      </c>
    </row>
    <row r="4814" spans="1:2" x14ac:dyDescent="0.25">
      <c r="A4814" s="75">
        <v>31161808</v>
      </c>
      <c r="B4814" s="76" t="s">
        <v>13425</v>
      </c>
    </row>
    <row r="4815" spans="1:2" x14ac:dyDescent="0.25">
      <c r="A4815" s="75">
        <v>31161809</v>
      </c>
      <c r="B4815" s="76" t="s">
        <v>11072</v>
      </c>
    </row>
    <row r="4816" spans="1:2" x14ac:dyDescent="0.25">
      <c r="A4816" s="75">
        <v>31161810</v>
      </c>
      <c r="B4816" s="76" t="s">
        <v>1463</v>
      </c>
    </row>
    <row r="4817" spans="1:2" x14ac:dyDescent="0.25">
      <c r="A4817" s="75">
        <v>31161811</v>
      </c>
      <c r="B4817" s="76" t="s">
        <v>3787</v>
      </c>
    </row>
    <row r="4818" spans="1:2" x14ac:dyDescent="0.25">
      <c r="A4818" s="75">
        <v>31161812</v>
      </c>
      <c r="B4818" s="76" t="s">
        <v>2416</v>
      </c>
    </row>
    <row r="4819" spans="1:2" x14ac:dyDescent="0.25">
      <c r="A4819" s="75">
        <v>31161813</v>
      </c>
      <c r="B4819" s="76" t="s">
        <v>1137</v>
      </c>
    </row>
    <row r="4820" spans="1:2" x14ac:dyDescent="0.25">
      <c r="A4820" s="75">
        <v>31161814</v>
      </c>
      <c r="B4820" s="76" t="s">
        <v>7986</v>
      </c>
    </row>
    <row r="4821" spans="1:2" x14ac:dyDescent="0.25">
      <c r="A4821" s="75">
        <v>31161815</v>
      </c>
      <c r="B4821" s="76" t="s">
        <v>7241</v>
      </c>
    </row>
    <row r="4822" spans="1:2" x14ac:dyDescent="0.25">
      <c r="A4822" s="75">
        <v>31161816</v>
      </c>
      <c r="B4822" s="76" t="s">
        <v>8306</v>
      </c>
    </row>
    <row r="4823" spans="1:2" x14ac:dyDescent="0.25">
      <c r="A4823" s="75">
        <v>31161817</v>
      </c>
      <c r="B4823" s="76" t="s">
        <v>16628</v>
      </c>
    </row>
    <row r="4824" spans="1:2" x14ac:dyDescent="0.25">
      <c r="A4824" s="75">
        <v>31161818</v>
      </c>
      <c r="B4824" s="76" t="s">
        <v>7874</v>
      </c>
    </row>
    <row r="4825" spans="1:2" x14ac:dyDescent="0.25">
      <c r="A4825" s="75">
        <v>31161819</v>
      </c>
      <c r="B4825" s="76" t="s">
        <v>19242</v>
      </c>
    </row>
    <row r="4826" spans="1:2" x14ac:dyDescent="0.25">
      <c r="A4826" s="75">
        <v>31161820</v>
      </c>
      <c r="B4826" s="76" t="s">
        <v>7460</v>
      </c>
    </row>
    <row r="4827" spans="1:2" x14ac:dyDescent="0.25">
      <c r="A4827" s="75">
        <v>31161901</v>
      </c>
      <c r="B4827" s="76" t="s">
        <v>4238</v>
      </c>
    </row>
    <row r="4828" spans="1:2" x14ac:dyDescent="0.25">
      <c r="A4828" s="75">
        <v>31161902</v>
      </c>
      <c r="B4828" s="76" t="s">
        <v>15697</v>
      </c>
    </row>
    <row r="4829" spans="1:2" x14ac:dyDescent="0.25">
      <c r="A4829" s="75">
        <v>31161903</v>
      </c>
      <c r="B4829" s="76" t="s">
        <v>7075</v>
      </c>
    </row>
    <row r="4830" spans="1:2" x14ac:dyDescent="0.25">
      <c r="A4830" s="75">
        <v>31161904</v>
      </c>
      <c r="B4830" s="76" t="s">
        <v>8940</v>
      </c>
    </row>
    <row r="4831" spans="1:2" x14ac:dyDescent="0.25">
      <c r="A4831" s="75">
        <v>31161905</v>
      </c>
      <c r="B4831" s="76" t="s">
        <v>13475</v>
      </c>
    </row>
    <row r="4832" spans="1:2" x14ac:dyDescent="0.25">
      <c r="A4832" s="75">
        <v>31161906</v>
      </c>
      <c r="B4832" s="76" t="s">
        <v>15631</v>
      </c>
    </row>
    <row r="4833" spans="1:2" x14ac:dyDescent="0.25">
      <c r="A4833" s="75">
        <v>31161907</v>
      </c>
      <c r="B4833" s="76" t="s">
        <v>2082</v>
      </c>
    </row>
    <row r="4834" spans="1:2" x14ac:dyDescent="0.25">
      <c r="A4834" s="75">
        <v>31161908</v>
      </c>
      <c r="B4834" s="76" t="s">
        <v>6147</v>
      </c>
    </row>
    <row r="4835" spans="1:2" x14ac:dyDescent="0.25">
      <c r="A4835" s="75">
        <v>31162001</v>
      </c>
      <c r="B4835" s="76" t="s">
        <v>16082</v>
      </c>
    </row>
    <row r="4836" spans="1:2" x14ac:dyDescent="0.25">
      <c r="A4836" s="75">
        <v>31162002</v>
      </c>
      <c r="B4836" s="76" t="s">
        <v>16235</v>
      </c>
    </row>
    <row r="4837" spans="1:2" x14ac:dyDescent="0.25">
      <c r="A4837" s="75">
        <v>31162003</v>
      </c>
      <c r="B4837" s="76" t="s">
        <v>12498</v>
      </c>
    </row>
    <row r="4838" spans="1:2" x14ac:dyDescent="0.25">
      <c r="A4838" s="75">
        <v>31162004</v>
      </c>
      <c r="B4838" s="76" t="s">
        <v>15271</v>
      </c>
    </row>
    <row r="4839" spans="1:2" x14ac:dyDescent="0.25">
      <c r="A4839" s="75">
        <v>31162005</v>
      </c>
      <c r="B4839" s="76" t="s">
        <v>12462</v>
      </c>
    </row>
    <row r="4840" spans="1:2" x14ac:dyDescent="0.25">
      <c r="A4840" s="75">
        <v>31162006</v>
      </c>
      <c r="B4840" s="76" t="s">
        <v>7931</v>
      </c>
    </row>
    <row r="4841" spans="1:2" x14ac:dyDescent="0.25">
      <c r="A4841" s="75">
        <v>31162007</v>
      </c>
      <c r="B4841" s="76" t="s">
        <v>1649</v>
      </c>
    </row>
    <row r="4842" spans="1:2" x14ac:dyDescent="0.25">
      <c r="A4842" s="75">
        <v>31162008</v>
      </c>
      <c r="B4842" s="76" t="s">
        <v>10038</v>
      </c>
    </row>
    <row r="4843" spans="1:2" x14ac:dyDescent="0.25">
      <c r="A4843" s="75">
        <v>31162101</v>
      </c>
      <c r="B4843" s="76" t="s">
        <v>7984</v>
      </c>
    </row>
    <row r="4844" spans="1:2" x14ac:dyDescent="0.25">
      <c r="A4844" s="75">
        <v>31162102</v>
      </c>
      <c r="B4844" s="76" t="s">
        <v>5322</v>
      </c>
    </row>
    <row r="4845" spans="1:2" x14ac:dyDescent="0.25">
      <c r="A4845" s="75">
        <v>31162103</v>
      </c>
      <c r="B4845" s="76" t="s">
        <v>9654</v>
      </c>
    </row>
    <row r="4846" spans="1:2" x14ac:dyDescent="0.25">
      <c r="A4846" s="75">
        <v>31162104</v>
      </c>
      <c r="B4846" s="76" t="s">
        <v>10980</v>
      </c>
    </row>
    <row r="4847" spans="1:2" x14ac:dyDescent="0.25">
      <c r="A4847" s="75">
        <v>31162105</v>
      </c>
      <c r="B4847" s="76" t="s">
        <v>15575</v>
      </c>
    </row>
    <row r="4848" spans="1:2" x14ac:dyDescent="0.25">
      <c r="A4848" s="75">
        <v>31162106</v>
      </c>
      <c r="B4848" s="76" t="s">
        <v>13011</v>
      </c>
    </row>
    <row r="4849" spans="1:2" x14ac:dyDescent="0.25">
      <c r="A4849" s="75">
        <v>31162107</v>
      </c>
      <c r="B4849" s="76" t="s">
        <v>3241</v>
      </c>
    </row>
    <row r="4850" spans="1:2" x14ac:dyDescent="0.25">
      <c r="A4850" s="75">
        <v>31162108</v>
      </c>
      <c r="B4850" s="76" t="s">
        <v>18283</v>
      </c>
    </row>
    <row r="4851" spans="1:2" x14ac:dyDescent="0.25">
      <c r="A4851" s="75">
        <v>31162201</v>
      </c>
      <c r="B4851" s="76" t="s">
        <v>5696</v>
      </c>
    </row>
    <row r="4852" spans="1:2" x14ac:dyDescent="0.25">
      <c r="A4852" s="75">
        <v>31162202</v>
      </c>
      <c r="B4852" s="76" t="s">
        <v>11511</v>
      </c>
    </row>
    <row r="4853" spans="1:2" x14ac:dyDescent="0.25">
      <c r="A4853" s="75">
        <v>31162203</v>
      </c>
      <c r="B4853" s="76" t="s">
        <v>13986</v>
      </c>
    </row>
    <row r="4854" spans="1:2" x14ac:dyDescent="0.25">
      <c r="A4854" s="75">
        <v>31162204</v>
      </c>
      <c r="B4854" s="76" t="s">
        <v>13835</v>
      </c>
    </row>
    <row r="4855" spans="1:2" x14ac:dyDescent="0.25">
      <c r="A4855" s="75">
        <v>31162205</v>
      </c>
      <c r="B4855" s="76" t="s">
        <v>11153</v>
      </c>
    </row>
    <row r="4856" spans="1:2" x14ac:dyDescent="0.25">
      <c r="A4856" s="75">
        <v>31162206</v>
      </c>
      <c r="B4856" s="76" t="s">
        <v>18505</v>
      </c>
    </row>
    <row r="4857" spans="1:2" x14ac:dyDescent="0.25">
      <c r="A4857" s="75">
        <v>31162207</v>
      </c>
      <c r="B4857" s="76" t="s">
        <v>2565</v>
      </c>
    </row>
    <row r="4858" spans="1:2" x14ac:dyDescent="0.25">
      <c r="A4858" s="75">
        <v>31162208</v>
      </c>
      <c r="B4858" s="76" t="s">
        <v>17687</v>
      </c>
    </row>
    <row r="4859" spans="1:2" x14ac:dyDescent="0.25">
      <c r="A4859" s="75">
        <v>31162209</v>
      </c>
      <c r="B4859" s="76" t="s">
        <v>17498</v>
      </c>
    </row>
    <row r="4860" spans="1:2" x14ac:dyDescent="0.25">
      <c r="A4860" s="75">
        <v>31162210</v>
      </c>
      <c r="B4860" s="76" t="s">
        <v>3329</v>
      </c>
    </row>
    <row r="4861" spans="1:2" x14ac:dyDescent="0.25">
      <c r="A4861" s="75">
        <v>31162301</v>
      </c>
      <c r="B4861" s="76" t="s">
        <v>10198</v>
      </c>
    </row>
    <row r="4862" spans="1:2" x14ac:dyDescent="0.25">
      <c r="A4862" s="75">
        <v>31162303</v>
      </c>
      <c r="B4862" s="76" t="s">
        <v>13297</v>
      </c>
    </row>
    <row r="4863" spans="1:2" x14ac:dyDescent="0.25">
      <c r="A4863" s="75">
        <v>31162304</v>
      </c>
      <c r="B4863" s="76" t="s">
        <v>12304</v>
      </c>
    </row>
    <row r="4864" spans="1:2" x14ac:dyDescent="0.25">
      <c r="A4864" s="75">
        <v>31162305</v>
      </c>
      <c r="B4864" s="76" t="s">
        <v>11177</v>
      </c>
    </row>
    <row r="4865" spans="1:2" x14ac:dyDescent="0.25">
      <c r="A4865" s="75">
        <v>31162306</v>
      </c>
      <c r="B4865" s="76" t="s">
        <v>12716</v>
      </c>
    </row>
    <row r="4866" spans="1:2" x14ac:dyDescent="0.25">
      <c r="A4866" s="75">
        <v>31162307</v>
      </c>
      <c r="B4866" s="76" t="s">
        <v>11779</v>
      </c>
    </row>
    <row r="4867" spans="1:2" x14ac:dyDescent="0.25">
      <c r="A4867" s="75">
        <v>31162308</v>
      </c>
      <c r="B4867" s="76" t="s">
        <v>8449</v>
      </c>
    </row>
    <row r="4868" spans="1:2" x14ac:dyDescent="0.25">
      <c r="A4868" s="75">
        <v>31162309</v>
      </c>
      <c r="B4868" s="76" t="s">
        <v>7319</v>
      </c>
    </row>
    <row r="4869" spans="1:2" x14ac:dyDescent="0.25">
      <c r="A4869" s="75">
        <v>31162310</v>
      </c>
      <c r="B4869" s="76" t="s">
        <v>8410</v>
      </c>
    </row>
    <row r="4870" spans="1:2" x14ac:dyDescent="0.25">
      <c r="A4870" s="75">
        <v>31162311</v>
      </c>
      <c r="B4870" s="76" t="s">
        <v>1457</v>
      </c>
    </row>
    <row r="4871" spans="1:2" x14ac:dyDescent="0.25">
      <c r="A4871" s="75">
        <v>31162312</v>
      </c>
      <c r="B4871" s="76" t="s">
        <v>10746</v>
      </c>
    </row>
    <row r="4872" spans="1:2" x14ac:dyDescent="0.25">
      <c r="A4872" s="75">
        <v>31162313</v>
      </c>
      <c r="B4872" s="76" t="s">
        <v>1640</v>
      </c>
    </row>
    <row r="4873" spans="1:2" x14ac:dyDescent="0.25">
      <c r="A4873" s="75">
        <v>31162401</v>
      </c>
      <c r="B4873" s="76" t="s">
        <v>14845</v>
      </c>
    </row>
    <row r="4874" spans="1:2" x14ac:dyDescent="0.25">
      <c r="A4874" s="75">
        <v>31162402</v>
      </c>
      <c r="B4874" s="76" t="s">
        <v>10098</v>
      </c>
    </row>
    <row r="4875" spans="1:2" x14ac:dyDescent="0.25">
      <c r="A4875" s="75">
        <v>31162403</v>
      </c>
      <c r="B4875" s="76" t="s">
        <v>4476</v>
      </c>
    </row>
    <row r="4876" spans="1:2" x14ac:dyDescent="0.25">
      <c r="A4876" s="75">
        <v>31162404</v>
      </c>
      <c r="B4876" s="76" t="s">
        <v>14071</v>
      </c>
    </row>
    <row r="4877" spans="1:2" x14ac:dyDescent="0.25">
      <c r="A4877" s="75">
        <v>31162405</v>
      </c>
      <c r="B4877" s="76" t="s">
        <v>6753</v>
      </c>
    </row>
    <row r="4878" spans="1:2" x14ac:dyDescent="0.25">
      <c r="A4878" s="75">
        <v>31162406</v>
      </c>
      <c r="B4878" s="76" t="s">
        <v>8911</v>
      </c>
    </row>
    <row r="4879" spans="1:2" x14ac:dyDescent="0.25">
      <c r="A4879" s="75">
        <v>31162407</v>
      </c>
      <c r="B4879" s="76" t="s">
        <v>17783</v>
      </c>
    </row>
    <row r="4880" spans="1:2" x14ac:dyDescent="0.25">
      <c r="A4880" s="75">
        <v>31162409</v>
      </c>
      <c r="B4880" s="76" t="s">
        <v>186</v>
      </c>
    </row>
    <row r="4881" spans="1:2" x14ac:dyDescent="0.25">
      <c r="A4881" s="75">
        <v>31162410</v>
      </c>
      <c r="B4881" s="76" t="s">
        <v>12628</v>
      </c>
    </row>
    <row r="4882" spans="1:2" x14ac:dyDescent="0.25">
      <c r="A4882" s="75">
        <v>31162411</v>
      </c>
      <c r="B4882" s="76" t="s">
        <v>1826</v>
      </c>
    </row>
    <row r="4883" spans="1:2" x14ac:dyDescent="0.25">
      <c r="A4883" s="75">
        <v>31162412</v>
      </c>
      <c r="B4883" s="76" t="s">
        <v>9262</v>
      </c>
    </row>
    <row r="4884" spans="1:2" x14ac:dyDescent="0.25">
      <c r="A4884" s="75">
        <v>31162413</v>
      </c>
      <c r="B4884" s="76" t="s">
        <v>2775</v>
      </c>
    </row>
    <row r="4885" spans="1:2" x14ac:dyDescent="0.25">
      <c r="A4885" s="75">
        <v>31162414</v>
      </c>
      <c r="B4885" s="76" t="s">
        <v>14368</v>
      </c>
    </row>
    <row r="4886" spans="1:2" x14ac:dyDescent="0.25">
      <c r="A4886" s="75">
        <v>31162415</v>
      </c>
      <c r="B4886" s="76" t="s">
        <v>9815</v>
      </c>
    </row>
    <row r="4887" spans="1:2" x14ac:dyDescent="0.25">
      <c r="A4887" s="75">
        <v>31162416</v>
      </c>
      <c r="B4887" s="76" t="s">
        <v>10928</v>
      </c>
    </row>
    <row r="4888" spans="1:2" x14ac:dyDescent="0.25">
      <c r="A4888" s="75">
        <v>31162417</v>
      </c>
      <c r="B4888" s="76" t="s">
        <v>11146</v>
      </c>
    </row>
    <row r="4889" spans="1:2" x14ac:dyDescent="0.25">
      <c r="A4889" s="75">
        <v>31162418</v>
      </c>
      <c r="B4889" s="76" t="s">
        <v>5610</v>
      </c>
    </row>
    <row r="4890" spans="1:2" x14ac:dyDescent="0.25">
      <c r="A4890" s="75">
        <v>31162501</v>
      </c>
      <c r="B4890" s="76" t="s">
        <v>10186</v>
      </c>
    </row>
    <row r="4891" spans="1:2" x14ac:dyDescent="0.25">
      <c r="A4891" s="75">
        <v>31162502</v>
      </c>
      <c r="B4891" s="76" t="s">
        <v>2852</v>
      </c>
    </row>
    <row r="4892" spans="1:2" x14ac:dyDescent="0.25">
      <c r="A4892" s="75">
        <v>31162503</v>
      </c>
      <c r="B4892" s="76" t="s">
        <v>5608</v>
      </c>
    </row>
    <row r="4893" spans="1:2" x14ac:dyDescent="0.25">
      <c r="A4893" s="75">
        <v>31162504</v>
      </c>
      <c r="B4893" s="76" t="s">
        <v>10739</v>
      </c>
    </row>
    <row r="4894" spans="1:2" x14ac:dyDescent="0.25">
      <c r="A4894" s="75">
        <v>31162505</v>
      </c>
      <c r="B4894" s="76" t="s">
        <v>3085</v>
      </c>
    </row>
    <row r="4895" spans="1:2" x14ac:dyDescent="0.25">
      <c r="A4895" s="75">
        <v>31162506</v>
      </c>
      <c r="B4895" s="76" t="s">
        <v>6406</v>
      </c>
    </row>
    <row r="4896" spans="1:2" x14ac:dyDescent="0.25">
      <c r="A4896" s="75">
        <v>31162507</v>
      </c>
      <c r="B4896" s="76" t="s">
        <v>16179</v>
      </c>
    </row>
    <row r="4897" spans="1:2" x14ac:dyDescent="0.25">
      <c r="A4897" s="75">
        <v>31162601</v>
      </c>
      <c r="B4897" s="76" t="s">
        <v>837</v>
      </c>
    </row>
    <row r="4898" spans="1:2" x14ac:dyDescent="0.25">
      <c r="A4898" s="75">
        <v>31162602</v>
      </c>
      <c r="B4898" s="76" t="s">
        <v>8820</v>
      </c>
    </row>
    <row r="4899" spans="1:2" x14ac:dyDescent="0.25">
      <c r="A4899" s="75">
        <v>31162603</v>
      </c>
      <c r="B4899" s="76" t="s">
        <v>9963</v>
      </c>
    </row>
    <row r="4900" spans="1:2" x14ac:dyDescent="0.25">
      <c r="A4900" s="75">
        <v>31162604</v>
      </c>
      <c r="B4900" s="76" t="s">
        <v>8882</v>
      </c>
    </row>
    <row r="4901" spans="1:2" x14ac:dyDescent="0.25">
      <c r="A4901" s="75">
        <v>31162605</v>
      </c>
      <c r="B4901" s="76" t="s">
        <v>5296</v>
      </c>
    </row>
    <row r="4902" spans="1:2" x14ac:dyDescent="0.25">
      <c r="A4902" s="75">
        <v>31162606</v>
      </c>
      <c r="B4902" s="76" t="s">
        <v>13755</v>
      </c>
    </row>
    <row r="4903" spans="1:2" x14ac:dyDescent="0.25">
      <c r="A4903" s="75">
        <v>31162607</v>
      </c>
      <c r="B4903" s="76" t="s">
        <v>8720</v>
      </c>
    </row>
    <row r="4904" spans="1:2" x14ac:dyDescent="0.25">
      <c r="A4904" s="75">
        <v>31162608</v>
      </c>
      <c r="B4904" s="76" t="s">
        <v>15960</v>
      </c>
    </row>
    <row r="4905" spans="1:2" x14ac:dyDescent="0.25">
      <c r="A4905" s="75">
        <v>31162609</v>
      </c>
      <c r="B4905" s="76" t="s">
        <v>4287</v>
      </c>
    </row>
    <row r="4906" spans="1:2" x14ac:dyDescent="0.25">
      <c r="A4906" s="75">
        <v>31162610</v>
      </c>
      <c r="B4906" s="76" t="s">
        <v>5433</v>
      </c>
    </row>
    <row r="4907" spans="1:2" x14ac:dyDescent="0.25">
      <c r="A4907" s="75">
        <v>31162611</v>
      </c>
      <c r="B4907" s="76" t="s">
        <v>11366</v>
      </c>
    </row>
    <row r="4908" spans="1:2" x14ac:dyDescent="0.25">
      <c r="A4908" s="75">
        <v>31162701</v>
      </c>
      <c r="B4908" s="76" t="s">
        <v>11453</v>
      </c>
    </row>
    <row r="4909" spans="1:2" x14ac:dyDescent="0.25">
      <c r="A4909" s="75">
        <v>31162702</v>
      </c>
      <c r="B4909" s="76" t="s">
        <v>16568</v>
      </c>
    </row>
    <row r="4910" spans="1:2" x14ac:dyDescent="0.25">
      <c r="A4910" s="75">
        <v>31162703</v>
      </c>
      <c r="B4910" s="76" t="s">
        <v>2345</v>
      </c>
    </row>
    <row r="4911" spans="1:2" x14ac:dyDescent="0.25">
      <c r="A4911" s="75">
        <v>31162704</v>
      </c>
      <c r="B4911" s="76" t="s">
        <v>11341</v>
      </c>
    </row>
    <row r="4912" spans="1:2" x14ac:dyDescent="0.25">
      <c r="A4912" s="75">
        <v>31162801</v>
      </c>
      <c r="B4912" s="76" t="s">
        <v>18325</v>
      </c>
    </row>
    <row r="4913" spans="1:2" x14ac:dyDescent="0.25">
      <c r="A4913" s="75">
        <v>31162802</v>
      </c>
      <c r="B4913" s="76" t="s">
        <v>14483</v>
      </c>
    </row>
    <row r="4914" spans="1:2" x14ac:dyDescent="0.25">
      <c r="A4914" s="75">
        <v>31162803</v>
      </c>
      <c r="B4914" s="76" t="s">
        <v>12699</v>
      </c>
    </row>
    <row r="4915" spans="1:2" x14ac:dyDescent="0.25">
      <c r="A4915" s="75">
        <v>31162804</v>
      </c>
      <c r="B4915" s="76" t="s">
        <v>8311</v>
      </c>
    </row>
    <row r="4916" spans="1:2" x14ac:dyDescent="0.25">
      <c r="A4916" s="75">
        <v>31162805</v>
      </c>
      <c r="B4916" s="76" t="s">
        <v>16548</v>
      </c>
    </row>
    <row r="4917" spans="1:2" x14ac:dyDescent="0.25">
      <c r="A4917" s="75">
        <v>31162806</v>
      </c>
      <c r="B4917" s="76" t="s">
        <v>16302</v>
      </c>
    </row>
    <row r="4918" spans="1:2" x14ac:dyDescent="0.25">
      <c r="A4918" s="75">
        <v>31162807</v>
      </c>
      <c r="B4918" s="76" t="s">
        <v>4519</v>
      </c>
    </row>
    <row r="4919" spans="1:2" x14ac:dyDescent="0.25">
      <c r="A4919" s="75">
        <v>31162808</v>
      </c>
      <c r="B4919" s="76" t="s">
        <v>3264</v>
      </c>
    </row>
    <row r="4920" spans="1:2" x14ac:dyDescent="0.25">
      <c r="A4920" s="75">
        <v>31162809</v>
      </c>
      <c r="B4920" s="76" t="s">
        <v>1925</v>
      </c>
    </row>
    <row r="4921" spans="1:2" x14ac:dyDescent="0.25">
      <c r="A4921" s="75">
        <v>31162810</v>
      </c>
      <c r="B4921" s="76" t="s">
        <v>17692</v>
      </c>
    </row>
    <row r="4922" spans="1:2" x14ac:dyDescent="0.25">
      <c r="A4922" s="75">
        <v>31162811</v>
      </c>
      <c r="B4922" s="76" t="s">
        <v>18814</v>
      </c>
    </row>
    <row r="4923" spans="1:2" x14ac:dyDescent="0.25">
      <c r="A4923" s="75">
        <v>31162901</v>
      </c>
      <c r="B4923" s="76" t="s">
        <v>4523</v>
      </c>
    </row>
    <row r="4924" spans="1:2" x14ac:dyDescent="0.25">
      <c r="A4924" s="75">
        <v>31162902</v>
      </c>
      <c r="B4924" s="76" t="s">
        <v>8751</v>
      </c>
    </row>
    <row r="4925" spans="1:2" x14ac:dyDescent="0.25">
      <c r="A4925" s="75">
        <v>31162903</v>
      </c>
      <c r="B4925" s="76" t="s">
        <v>10322</v>
      </c>
    </row>
    <row r="4926" spans="1:2" x14ac:dyDescent="0.25">
      <c r="A4926" s="75">
        <v>31162904</v>
      </c>
      <c r="B4926" s="76" t="s">
        <v>14489</v>
      </c>
    </row>
    <row r="4927" spans="1:2" x14ac:dyDescent="0.25">
      <c r="A4927" s="75">
        <v>31162905</v>
      </c>
      <c r="B4927" s="76" t="s">
        <v>4063</v>
      </c>
    </row>
    <row r="4928" spans="1:2" x14ac:dyDescent="0.25">
      <c r="A4928" s="75">
        <v>31162906</v>
      </c>
      <c r="B4928" s="76" t="s">
        <v>5177</v>
      </c>
    </row>
    <row r="4929" spans="1:2" x14ac:dyDescent="0.25">
      <c r="A4929" s="75">
        <v>31163001</v>
      </c>
      <c r="B4929" s="76" t="s">
        <v>7098</v>
      </c>
    </row>
    <row r="4930" spans="1:2" x14ac:dyDescent="0.25">
      <c r="A4930" s="75">
        <v>31163002</v>
      </c>
      <c r="B4930" s="76" t="s">
        <v>11162</v>
      </c>
    </row>
    <row r="4931" spans="1:2" x14ac:dyDescent="0.25">
      <c r="A4931" s="75">
        <v>31163003</v>
      </c>
      <c r="B4931" s="76" t="s">
        <v>10751</v>
      </c>
    </row>
    <row r="4932" spans="1:2" x14ac:dyDescent="0.25">
      <c r="A4932" s="75">
        <v>31163004</v>
      </c>
      <c r="B4932" s="76" t="s">
        <v>17402</v>
      </c>
    </row>
    <row r="4933" spans="1:2" x14ac:dyDescent="0.25">
      <c r="A4933" s="75">
        <v>31163005</v>
      </c>
      <c r="B4933" s="76" t="s">
        <v>9860</v>
      </c>
    </row>
    <row r="4934" spans="1:2" x14ac:dyDescent="0.25">
      <c r="A4934" s="75">
        <v>31163101</v>
      </c>
      <c r="B4934" s="76" t="s">
        <v>16805</v>
      </c>
    </row>
    <row r="4935" spans="1:2" x14ac:dyDescent="0.25">
      <c r="A4935" s="75">
        <v>31163102</v>
      </c>
      <c r="B4935" s="76" t="s">
        <v>5658</v>
      </c>
    </row>
    <row r="4936" spans="1:2" x14ac:dyDescent="0.25">
      <c r="A4936" s="75">
        <v>31163103</v>
      </c>
      <c r="B4936" s="76" t="s">
        <v>14418</v>
      </c>
    </row>
    <row r="4937" spans="1:2" x14ac:dyDescent="0.25">
      <c r="A4937" s="75">
        <v>31163201</v>
      </c>
      <c r="B4937" s="76" t="s">
        <v>7641</v>
      </c>
    </row>
    <row r="4938" spans="1:2" x14ac:dyDescent="0.25">
      <c r="A4938" s="75">
        <v>31163202</v>
      </c>
      <c r="B4938" s="76" t="s">
        <v>8123</v>
      </c>
    </row>
    <row r="4939" spans="1:2" x14ac:dyDescent="0.25">
      <c r="A4939" s="75">
        <v>31163203</v>
      </c>
      <c r="B4939" s="76" t="s">
        <v>17085</v>
      </c>
    </row>
    <row r="4940" spans="1:2" x14ac:dyDescent="0.25">
      <c r="A4940" s="75">
        <v>31163204</v>
      </c>
      <c r="B4940" s="76" t="s">
        <v>186</v>
      </c>
    </row>
    <row r="4941" spans="1:2" x14ac:dyDescent="0.25">
      <c r="A4941" s="75">
        <v>31163205</v>
      </c>
      <c r="B4941" s="76" t="s">
        <v>13376</v>
      </c>
    </row>
    <row r="4942" spans="1:2" x14ac:dyDescent="0.25">
      <c r="A4942" s="75">
        <v>31163207</v>
      </c>
      <c r="B4942" s="76" t="s">
        <v>16061</v>
      </c>
    </row>
    <row r="4943" spans="1:2" x14ac:dyDescent="0.25">
      <c r="A4943" s="75">
        <v>31163208</v>
      </c>
      <c r="B4943" s="76" t="s">
        <v>17217</v>
      </c>
    </row>
    <row r="4944" spans="1:2" x14ac:dyDescent="0.25">
      <c r="A4944" s="75">
        <v>31163209</v>
      </c>
      <c r="B4944" s="76" t="s">
        <v>16794</v>
      </c>
    </row>
    <row r="4945" spans="1:2" x14ac:dyDescent="0.25">
      <c r="A4945" s="75">
        <v>31163210</v>
      </c>
      <c r="B4945" s="76" t="s">
        <v>3703</v>
      </c>
    </row>
    <row r="4946" spans="1:2" x14ac:dyDescent="0.25">
      <c r="A4946" s="75">
        <v>31163211</v>
      </c>
      <c r="B4946" s="76" t="s">
        <v>10212</v>
      </c>
    </row>
    <row r="4947" spans="1:2" x14ac:dyDescent="0.25">
      <c r="A4947" s="75">
        <v>31163212</v>
      </c>
      <c r="B4947" s="76" t="s">
        <v>1473</v>
      </c>
    </row>
    <row r="4948" spans="1:2" x14ac:dyDescent="0.25">
      <c r="A4948" s="75">
        <v>31163213</v>
      </c>
      <c r="B4948" s="76" t="s">
        <v>7547</v>
      </c>
    </row>
    <row r="4949" spans="1:2" x14ac:dyDescent="0.25">
      <c r="A4949" s="75">
        <v>31163214</v>
      </c>
      <c r="B4949" s="76" t="s">
        <v>5859</v>
      </c>
    </row>
    <row r="4950" spans="1:2" x14ac:dyDescent="0.25">
      <c r="A4950" s="75">
        <v>31163215</v>
      </c>
      <c r="B4950" s="76" t="s">
        <v>12628</v>
      </c>
    </row>
    <row r="4951" spans="1:2" x14ac:dyDescent="0.25">
      <c r="A4951" s="75">
        <v>31163301</v>
      </c>
      <c r="B4951" s="76" t="s">
        <v>7149</v>
      </c>
    </row>
    <row r="4952" spans="1:2" x14ac:dyDescent="0.25">
      <c r="A4952" s="75">
        <v>31171501</v>
      </c>
      <c r="B4952" s="76" t="s">
        <v>15675</v>
      </c>
    </row>
    <row r="4953" spans="1:2" x14ac:dyDescent="0.25">
      <c r="A4953" s="75">
        <v>31171502</v>
      </c>
      <c r="B4953" s="76" t="s">
        <v>3720</v>
      </c>
    </row>
    <row r="4954" spans="1:2" x14ac:dyDescent="0.25">
      <c r="A4954" s="75">
        <v>31171503</v>
      </c>
      <c r="B4954" s="76" t="s">
        <v>4248</v>
      </c>
    </row>
    <row r="4955" spans="1:2" x14ac:dyDescent="0.25">
      <c r="A4955" s="75">
        <v>31171504</v>
      </c>
      <c r="B4955" s="76" t="s">
        <v>1418</v>
      </c>
    </row>
    <row r="4956" spans="1:2" x14ac:dyDescent="0.25">
      <c r="A4956" s="75">
        <v>31171505</v>
      </c>
      <c r="B4956" s="76" t="s">
        <v>1578</v>
      </c>
    </row>
    <row r="4957" spans="1:2" x14ac:dyDescent="0.25">
      <c r="A4957" s="75">
        <v>31171506</v>
      </c>
      <c r="B4957" s="76" t="s">
        <v>19005</v>
      </c>
    </row>
    <row r="4958" spans="1:2" x14ac:dyDescent="0.25">
      <c r="A4958" s="75">
        <v>31171507</v>
      </c>
      <c r="B4958" s="76" t="s">
        <v>9992</v>
      </c>
    </row>
    <row r="4959" spans="1:2" x14ac:dyDescent="0.25">
      <c r="A4959" s="75">
        <v>31171508</v>
      </c>
      <c r="B4959" s="76" t="s">
        <v>12570</v>
      </c>
    </row>
    <row r="4960" spans="1:2" x14ac:dyDescent="0.25">
      <c r="A4960" s="75">
        <v>31171509</v>
      </c>
      <c r="B4960" s="76" t="s">
        <v>4600</v>
      </c>
    </row>
    <row r="4961" spans="1:2" x14ac:dyDescent="0.25">
      <c r="A4961" s="75">
        <v>31171510</v>
      </c>
      <c r="B4961" s="76" t="s">
        <v>8402</v>
      </c>
    </row>
    <row r="4962" spans="1:2" x14ac:dyDescent="0.25">
      <c r="A4962" s="75">
        <v>31171511</v>
      </c>
      <c r="B4962" s="76" t="s">
        <v>12500</v>
      </c>
    </row>
    <row r="4963" spans="1:2" x14ac:dyDescent="0.25">
      <c r="A4963" s="75">
        <v>31171512</v>
      </c>
      <c r="B4963" s="76" t="s">
        <v>2078</v>
      </c>
    </row>
    <row r="4964" spans="1:2" x14ac:dyDescent="0.25">
      <c r="A4964" s="75">
        <v>31171513</v>
      </c>
      <c r="B4964" s="76" t="s">
        <v>9585</v>
      </c>
    </row>
    <row r="4965" spans="1:2" x14ac:dyDescent="0.25">
      <c r="A4965" s="75">
        <v>31171515</v>
      </c>
      <c r="B4965" s="76" t="s">
        <v>5122</v>
      </c>
    </row>
    <row r="4966" spans="1:2" x14ac:dyDescent="0.25">
      <c r="A4966" s="75">
        <v>31171516</v>
      </c>
      <c r="B4966" s="76" t="s">
        <v>2788</v>
      </c>
    </row>
    <row r="4967" spans="1:2" x14ac:dyDescent="0.25">
      <c r="A4967" s="75">
        <v>31171518</v>
      </c>
      <c r="B4967" s="76" t="s">
        <v>12228</v>
      </c>
    </row>
    <row r="4968" spans="1:2" x14ac:dyDescent="0.25">
      <c r="A4968" s="75">
        <v>31171519</v>
      </c>
      <c r="B4968" s="76" t="s">
        <v>3588</v>
      </c>
    </row>
    <row r="4969" spans="1:2" x14ac:dyDescent="0.25">
      <c r="A4969" s="75">
        <v>31171520</v>
      </c>
      <c r="B4969" s="76" t="s">
        <v>14124</v>
      </c>
    </row>
    <row r="4970" spans="1:2" x14ac:dyDescent="0.25">
      <c r="A4970" s="75">
        <v>31171521</v>
      </c>
      <c r="B4970" s="76" t="s">
        <v>18664</v>
      </c>
    </row>
    <row r="4971" spans="1:2" x14ac:dyDescent="0.25">
      <c r="A4971" s="75">
        <v>31171522</v>
      </c>
      <c r="B4971" s="76" t="s">
        <v>19440</v>
      </c>
    </row>
    <row r="4972" spans="1:2" x14ac:dyDescent="0.25">
      <c r="A4972" s="75">
        <v>31171523</v>
      </c>
      <c r="B4972" s="76" t="s">
        <v>7958</v>
      </c>
    </row>
    <row r="4973" spans="1:2" x14ac:dyDescent="0.25">
      <c r="A4973" s="75">
        <v>31171524</v>
      </c>
      <c r="B4973" s="76" t="s">
        <v>18468</v>
      </c>
    </row>
    <row r="4974" spans="1:2" x14ac:dyDescent="0.25">
      <c r="A4974" s="75">
        <v>31171525</v>
      </c>
      <c r="B4974" s="76" t="s">
        <v>9242</v>
      </c>
    </row>
    <row r="4975" spans="1:2" x14ac:dyDescent="0.25">
      <c r="A4975" s="75">
        <v>31171526</v>
      </c>
      <c r="B4975" s="76" t="s">
        <v>12006</v>
      </c>
    </row>
    <row r="4976" spans="1:2" x14ac:dyDescent="0.25">
      <c r="A4976" s="75">
        <v>31171527</v>
      </c>
      <c r="B4976" s="76" t="s">
        <v>10721</v>
      </c>
    </row>
    <row r="4977" spans="1:2" x14ac:dyDescent="0.25">
      <c r="A4977" s="75">
        <v>31171528</v>
      </c>
      <c r="B4977" s="76" t="s">
        <v>755</v>
      </c>
    </row>
    <row r="4978" spans="1:2" x14ac:dyDescent="0.25">
      <c r="A4978" s="75">
        <v>31171529</v>
      </c>
      <c r="B4978" s="76" t="s">
        <v>19485</v>
      </c>
    </row>
    <row r="4979" spans="1:2" x14ac:dyDescent="0.25">
      <c r="A4979" s="75">
        <v>31171603</v>
      </c>
      <c r="B4979" s="76" t="s">
        <v>3190</v>
      </c>
    </row>
    <row r="4980" spans="1:2" x14ac:dyDescent="0.25">
      <c r="A4980" s="75">
        <v>31171604</v>
      </c>
      <c r="B4980" s="76" t="s">
        <v>7438</v>
      </c>
    </row>
    <row r="4981" spans="1:2" x14ac:dyDescent="0.25">
      <c r="A4981" s="75">
        <v>31171605</v>
      </c>
      <c r="B4981" s="76" t="s">
        <v>10295</v>
      </c>
    </row>
    <row r="4982" spans="1:2" x14ac:dyDescent="0.25">
      <c r="A4982" s="75">
        <v>31171606</v>
      </c>
      <c r="B4982" s="76" t="s">
        <v>10342</v>
      </c>
    </row>
    <row r="4983" spans="1:2" x14ac:dyDescent="0.25">
      <c r="A4983" s="75">
        <v>31171704</v>
      </c>
      <c r="B4983" s="76" t="s">
        <v>3118</v>
      </c>
    </row>
    <row r="4984" spans="1:2" x14ac:dyDescent="0.25">
      <c r="A4984" s="75">
        <v>31171706</v>
      </c>
      <c r="B4984" s="76" t="s">
        <v>18970</v>
      </c>
    </row>
    <row r="4985" spans="1:2" x14ac:dyDescent="0.25">
      <c r="A4985" s="75">
        <v>31171707</v>
      </c>
      <c r="B4985" s="76" t="s">
        <v>11455</v>
      </c>
    </row>
    <row r="4986" spans="1:2" x14ac:dyDescent="0.25">
      <c r="A4986" s="75">
        <v>31171708</v>
      </c>
      <c r="B4986" s="76" t="s">
        <v>8378</v>
      </c>
    </row>
    <row r="4987" spans="1:2" x14ac:dyDescent="0.25">
      <c r="A4987" s="75">
        <v>31171709</v>
      </c>
      <c r="B4987" s="76" t="s">
        <v>18238</v>
      </c>
    </row>
    <row r="4988" spans="1:2" x14ac:dyDescent="0.25">
      <c r="A4988" s="75">
        <v>31171710</v>
      </c>
      <c r="B4988" s="76" t="s">
        <v>5540</v>
      </c>
    </row>
    <row r="4989" spans="1:2" x14ac:dyDescent="0.25">
      <c r="A4989" s="75">
        <v>31171711</v>
      </c>
      <c r="B4989" s="76" t="s">
        <v>14402</v>
      </c>
    </row>
    <row r="4990" spans="1:2" x14ac:dyDescent="0.25">
      <c r="A4990" s="75">
        <v>31171712</v>
      </c>
      <c r="B4990" s="76" t="s">
        <v>161</v>
      </c>
    </row>
    <row r="4991" spans="1:2" x14ac:dyDescent="0.25">
      <c r="A4991" s="75">
        <v>31171713</v>
      </c>
      <c r="B4991" s="76" t="s">
        <v>18189</v>
      </c>
    </row>
    <row r="4992" spans="1:2" x14ac:dyDescent="0.25">
      <c r="A4992" s="75">
        <v>31171714</v>
      </c>
      <c r="B4992" s="76" t="s">
        <v>14302</v>
      </c>
    </row>
    <row r="4993" spans="1:2" x14ac:dyDescent="0.25">
      <c r="A4993" s="75">
        <v>31171801</v>
      </c>
      <c r="B4993" s="76" t="s">
        <v>16270</v>
      </c>
    </row>
    <row r="4994" spans="1:2" x14ac:dyDescent="0.25">
      <c r="A4994" s="75">
        <v>31171802</v>
      </c>
      <c r="B4994" s="76" t="s">
        <v>995</v>
      </c>
    </row>
    <row r="4995" spans="1:2" x14ac:dyDescent="0.25">
      <c r="A4995" s="75">
        <v>31171803</v>
      </c>
      <c r="B4995" s="76" t="s">
        <v>15941</v>
      </c>
    </row>
    <row r="4996" spans="1:2" x14ac:dyDescent="0.25">
      <c r="A4996" s="75">
        <v>31171804</v>
      </c>
      <c r="B4996" s="76" t="s">
        <v>1422</v>
      </c>
    </row>
    <row r="4997" spans="1:2" x14ac:dyDescent="0.25">
      <c r="A4997" s="75">
        <v>31171805</v>
      </c>
      <c r="B4997" s="76" t="s">
        <v>6323</v>
      </c>
    </row>
    <row r="4998" spans="1:2" x14ac:dyDescent="0.25">
      <c r="A4998" s="75">
        <v>31171806</v>
      </c>
      <c r="B4998" s="76" t="s">
        <v>10312</v>
      </c>
    </row>
    <row r="4999" spans="1:2" x14ac:dyDescent="0.25">
      <c r="A4999" s="75">
        <v>31171901</v>
      </c>
      <c r="B4999" s="76" t="s">
        <v>13765</v>
      </c>
    </row>
    <row r="5000" spans="1:2" x14ac:dyDescent="0.25">
      <c r="A5000" s="75">
        <v>31181501</v>
      </c>
      <c r="B5000" s="76" t="s">
        <v>16773</v>
      </c>
    </row>
    <row r="5001" spans="1:2" x14ac:dyDescent="0.25">
      <c r="A5001" s="75">
        <v>31181502</v>
      </c>
      <c r="B5001" s="76" t="s">
        <v>19743</v>
      </c>
    </row>
    <row r="5002" spans="1:2" x14ac:dyDescent="0.25">
      <c r="A5002" s="75">
        <v>31181503</v>
      </c>
      <c r="B5002" s="76" t="s">
        <v>13399</v>
      </c>
    </row>
    <row r="5003" spans="1:2" x14ac:dyDescent="0.25">
      <c r="A5003" s="75">
        <v>31181504</v>
      </c>
      <c r="B5003" s="76" t="s">
        <v>12138</v>
      </c>
    </row>
    <row r="5004" spans="1:2" x14ac:dyDescent="0.25">
      <c r="A5004" s="75">
        <v>31181505</v>
      </c>
      <c r="B5004" s="76" t="s">
        <v>7697</v>
      </c>
    </row>
    <row r="5005" spans="1:2" x14ac:dyDescent="0.25">
      <c r="A5005" s="75">
        <v>31181506</v>
      </c>
      <c r="B5005" s="76" t="s">
        <v>8591</v>
      </c>
    </row>
    <row r="5006" spans="1:2" x14ac:dyDescent="0.25">
      <c r="A5006" s="75">
        <v>31181507</v>
      </c>
      <c r="B5006" s="76" t="s">
        <v>5443</v>
      </c>
    </row>
    <row r="5007" spans="1:2" x14ac:dyDescent="0.25">
      <c r="A5007" s="75">
        <v>31181508</v>
      </c>
      <c r="B5007" s="76" t="s">
        <v>14178</v>
      </c>
    </row>
    <row r="5008" spans="1:2" x14ac:dyDescent="0.25">
      <c r="A5008" s="75">
        <v>31181509</v>
      </c>
      <c r="B5008" s="76" t="s">
        <v>19371</v>
      </c>
    </row>
    <row r="5009" spans="1:2" x14ac:dyDescent="0.25">
      <c r="A5009" s="75">
        <v>31181510</v>
      </c>
      <c r="B5009" s="76" t="s">
        <v>10761</v>
      </c>
    </row>
    <row r="5010" spans="1:2" x14ac:dyDescent="0.25">
      <c r="A5010" s="75">
        <v>31181511</v>
      </c>
      <c r="B5010" s="76" t="s">
        <v>18714</v>
      </c>
    </row>
    <row r="5011" spans="1:2" x14ac:dyDescent="0.25">
      <c r="A5011" s="75">
        <v>31181512</v>
      </c>
      <c r="B5011" s="76" t="s">
        <v>7965</v>
      </c>
    </row>
    <row r="5012" spans="1:2" x14ac:dyDescent="0.25">
      <c r="A5012" s="75">
        <v>31181601</v>
      </c>
      <c r="B5012" s="76" t="s">
        <v>3756</v>
      </c>
    </row>
    <row r="5013" spans="1:2" x14ac:dyDescent="0.25">
      <c r="A5013" s="75">
        <v>31181602</v>
      </c>
      <c r="B5013" s="76" t="s">
        <v>10156</v>
      </c>
    </row>
    <row r="5014" spans="1:2" x14ac:dyDescent="0.25">
      <c r="A5014" s="75">
        <v>31181603</v>
      </c>
      <c r="B5014" s="76" t="s">
        <v>11293</v>
      </c>
    </row>
    <row r="5015" spans="1:2" x14ac:dyDescent="0.25">
      <c r="A5015" s="75">
        <v>31181604</v>
      </c>
      <c r="B5015" s="76" t="s">
        <v>9320</v>
      </c>
    </row>
    <row r="5016" spans="1:2" x14ac:dyDescent="0.25">
      <c r="A5016" s="75">
        <v>31181605</v>
      </c>
      <c r="B5016" s="76" t="s">
        <v>11743</v>
      </c>
    </row>
    <row r="5017" spans="1:2" x14ac:dyDescent="0.25">
      <c r="A5017" s="75">
        <v>31181606</v>
      </c>
      <c r="B5017" s="76" t="s">
        <v>8287</v>
      </c>
    </row>
    <row r="5018" spans="1:2" x14ac:dyDescent="0.25">
      <c r="A5018" s="75">
        <v>31181607</v>
      </c>
      <c r="B5018" s="76" t="s">
        <v>113</v>
      </c>
    </row>
    <row r="5019" spans="1:2" x14ac:dyDescent="0.25">
      <c r="A5019" s="75">
        <v>31181701</v>
      </c>
      <c r="B5019" s="76" t="s">
        <v>19905</v>
      </c>
    </row>
    <row r="5020" spans="1:2" x14ac:dyDescent="0.25">
      <c r="A5020" s="75">
        <v>31181702</v>
      </c>
      <c r="B5020" s="76" t="s">
        <v>1855</v>
      </c>
    </row>
    <row r="5021" spans="1:2" x14ac:dyDescent="0.25">
      <c r="A5021" s="75">
        <v>31181703</v>
      </c>
      <c r="B5021" s="76" t="s">
        <v>17541</v>
      </c>
    </row>
    <row r="5022" spans="1:2" x14ac:dyDescent="0.25">
      <c r="A5022" s="75">
        <v>31191501</v>
      </c>
      <c r="B5022" s="76" t="s">
        <v>9893</v>
      </c>
    </row>
    <row r="5023" spans="1:2" x14ac:dyDescent="0.25">
      <c r="A5023" s="75">
        <v>31191502</v>
      </c>
      <c r="B5023" s="76" t="s">
        <v>8531</v>
      </c>
    </row>
    <row r="5024" spans="1:2" x14ac:dyDescent="0.25">
      <c r="A5024" s="75">
        <v>31191504</v>
      </c>
      <c r="B5024" s="76" t="s">
        <v>17970</v>
      </c>
    </row>
    <row r="5025" spans="1:2" x14ac:dyDescent="0.25">
      <c r="A5025" s="75">
        <v>31191505</v>
      </c>
      <c r="B5025" s="76" t="s">
        <v>2850</v>
      </c>
    </row>
    <row r="5026" spans="1:2" x14ac:dyDescent="0.25">
      <c r="A5026" s="75">
        <v>31191506</v>
      </c>
      <c r="B5026" s="76" t="s">
        <v>547</v>
      </c>
    </row>
    <row r="5027" spans="1:2" x14ac:dyDescent="0.25">
      <c r="A5027" s="75">
        <v>31191507</v>
      </c>
      <c r="B5027" s="76" t="s">
        <v>19141</v>
      </c>
    </row>
    <row r="5028" spans="1:2" x14ac:dyDescent="0.25">
      <c r="A5028" s="75">
        <v>31191508</v>
      </c>
      <c r="B5028" s="76" t="s">
        <v>3609</v>
      </c>
    </row>
    <row r="5029" spans="1:2" x14ac:dyDescent="0.25">
      <c r="A5029" s="75">
        <v>31191509</v>
      </c>
      <c r="B5029" s="76" t="s">
        <v>16595</v>
      </c>
    </row>
    <row r="5030" spans="1:2" x14ac:dyDescent="0.25">
      <c r="A5030" s="75">
        <v>31191510</v>
      </c>
      <c r="B5030" s="76" t="s">
        <v>16219</v>
      </c>
    </row>
    <row r="5031" spans="1:2" x14ac:dyDescent="0.25">
      <c r="A5031" s="75">
        <v>31191511</v>
      </c>
      <c r="B5031" s="76" t="s">
        <v>14493</v>
      </c>
    </row>
    <row r="5032" spans="1:2" x14ac:dyDescent="0.25">
      <c r="A5032" s="75">
        <v>31191512</v>
      </c>
      <c r="B5032" s="76" t="s">
        <v>4923</v>
      </c>
    </row>
    <row r="5033" spans="1:2" x14ac:dyDescent="0.25">
      <c r="A5033" s="75">
        <v>31191513</v>
      </c>
      <c r="B5033" s="76" t="s">
        <v>7971</v>
      </c>
    </row>
    <row r="5034" spans="1:2" x14ac:dyDescent="0.25">
      <c r="A5034" s="75">
        <v>31191514</v>
      </c>
      <c r="B5034" s="76" t="s">
        <v>9700</v>
      </c>
    </row>
    <row r="5035" spans="1:2" x14ac:dyDescent="0.25">
      <c r="A5035" s="75">
        <v>31191515</v>
      </c>
      <c r="B5035" s="76" t="s">
        <v>16286</v>
      </c>
    </row>
    <row r="5036" spans="1:2" x14ac:dyDescent="0.25">
      <c r="A5036" s="75">
        <v>31191516</v>
      </c>
      <c r="B5036" s="76" t="s">
        <v>13546</v>
      </c>
    </row>
    <row r="5037" spans="1:2" x14ac:dyDescent="0.25">
      <c r="A5037" s="75">
        <v>31191517</v>
      </c>
      <c r="B5037" s="76" t="s">
        <v>19162</v>
      </c>
    </row>
    <row r="5038" spans="1:2" x14ac:dyDescent="0.25">
      <c r="A5038" s="75">
        <v>31191518</v>
      </c>
      <c r="B5038" s="76" t="s">
        <v>703</v>
      </c>
    </row>
    <row r="5039" spans="1:2" x14ac:dyDescent="0.25">
      <c r="A5039" s="75">
        <v>31191519</v>
      </c>
      <c r="B5039" s="76" t="s">
        <v>3741</v>
      </c>
    </row>
    <row r="5040" spans="1:2" x14ac:dyDescent="0.25">
      <c r="A5040" s="75">
        <v>31191601</v>
      </c>
      <c r="B5040" s="76" t="s">
        <v>16476</v>
      </c>
    </row>
    <row r="5041" spans="1:2" x14ac:dyDescent="0.25">
      <c r="A5041" s="75">
        <v>31191602</v>
      </c>
      <c r="B5041" s="76" t="s">
        <v>880</v>
      </c>
    </row>
    <row r="5042" spans="1:2" x14ac:dyDescent="0.25">
      <c r="A5042" s="75">
        <v>31191603</v>
      </c>
      <c r="B5042" s="76" t="s">
        <v>12549</v>
      </c>
    </row>
    <row r="5043" spans="1:2" x14ac:dyDescent="0.25">
      <c r="A5043" s="75">
        <v>31201501</v>
      </c>
      <c r="B5043" s="76" t="s">
        <v>145</v>
      </c>
    </row>
    <row r="5044" spans="1:2" x14ac:dyDescent="0.25">
      <c r="A5044" s="75">
        <v>31201502</v>
      </c>
      <c r="B5044" s="76" t="s">
        <v>5860</v>
      </c>
    </row>
    <row r="5045" spans="1:2" x14ac:dyDescent="0.25">
      <c r="A5045" s="75">
        <v>31201503</v>
      </c>
      <c r="B5045" s="76" t="s">
        <v>13996</v>
      </c>
    </row>
    <row r="5046" spans="1:2" x14ac:dyDescent="0.25">
      <c r="A5046" s="75">
        <v>31201504</v>
      </c>
      <c r="B5046" s="76" t="s">
        <v>6758</v>
      </c>
    </row>
    <row r="5047" spans="1:2" x14ac:dyDescent="0.25">
      <c r="A5047" s="75">
        <v>31201505</v>
      </c>
      <c r="B5047" s="76" t="s">
        <v>11904</v>
      </c>
    </row>
    <row r="5048" spans="1:2" x14ac:dyDescent="0.25">
      <c r="A5048" s="75">
        <v>31201506</v>
      </c>
      <c r="B5048" s="76" t="s">
        <v>1788</v>
      </c>
    </row>
    <row r="5049" spans="1:2" x14ac:dyDescent="0.25">
      <c r="A5049" s="75">
        <v>31201507</v>
      </c>
      <c r="B5049" s="76" t="s">
        <v>5070</v>
      </c>
    </row>
    <row r="5050" spans="1:2" x14ac:dyDescent="0.25">
      <c r="A5050" s="75">
        <v>31201508</v>
      </c>
      <c r="B5050" s="76" t="s">
        <v>15026</v>
      </c>
    </row>
    <row r="5051" spans="1:2" x14ac:dyDescent="0.25">
      <c r="A5051" s="75">
        <v>31201509</v>
      </c>
      <c r="B5051" s="76" t="s">
        <v>5698</v>
      </c>
    </row>
    <row r="5052" spans="1:2" x14ac:dyDescent="0.25">
      <c r="A5052" s="75">
        <v>31201510</v>
      </c>
      <c r="B5052" s="76" t="s">
        <v>9810</v>
      </c>
    </row>
    <row r="5053" spans="1:2" x14ac:dyDescent="0.25">
      <c r="A5053" s="75">
        <v>31201511</v>
      </c>
      <c r="B5053" s="76" t="s">
        <v>19632</v>
      </c>
    </row>
    <row r="5054" spans="1:2" x14ac:dyDescent="0.25">
      <c r="A5054" s="75">
        <v>31201512</v>
      </c>
      <c r="B5054" s="76" t="s">
        <v>9409</v>
      </c>
    </row>
    <row r="5055" spans="1:2" x14ac:dyDescent="0.25">
      <c r="A5055" s="75">
        <v>31201513</v>
      </c>
      <c r="B5055" s="76" t="s">
        <v>1036</v>
      </c>
    </row>
    <row r="5056" spans="1:2" x14ac:dyDescent="0.25">
      <c r="A5056" s="75">
        <v>31201514</v>
      </c>
      <c r="B5056" s="76" t="s">
        <v>4150</v>
      </c>
    </row>
    <row r="5057" spans="1:2" x14ac:dyDescent="0.25">
      <c r="A5057" s="75">
        <v>31201515</v>
      </c>
      <c r="B5057" s="76" t="s">
        <v>8962</v>
      </c>
    </row>
    <row r="5058" spans="1:2" x14ac:dyDescent="0.25">
      <c r="A5058" s="75">
        <v>31201516</v>
      </c>
      <c r="B5058" s="76" t="s">
        <v>4099</v>
      </c>
    </row>
    <row r="5059" spans="1:2" x14ac:dyDescent="0.25">
      <c r="A5059" s="75">
        <v>31201517</v>
      </c>
      <c r="B5059" s="76" t="s">
        <v>12005</v>
      </c>
    </row>
    <row r="5060" spans="1:2" x14ac:dyDescent="0.25">
      <c r="A5060" s="75">
        <v>31201518</v>
      </c>
      <c r="B5060" s="76" t="s">
        <v>19055</v>
      </c>
    </row>
    <row r="5061" spans="1:2" x14ac:dyDescent="0.25">
      <c r="A5061" s="75">
        <v>31201519</v>
      </c>
      <c r="B5061" s="76" t="s">
        <v>8760</v>
      </c>
    </row>
    <row r="5062" spans="1:2" x14ac:dyDescent="0.25">
      <c r="A5062" s="75">
        <v>31201520</v>
      </c>
      <c r="B5062" s="76" t="s">
        <v>9039</v>
      </c>
    </row>
    <row r="5063" spans="1:2" x14ac:dyDescent="0.25">
      <c r="A5063" s="75">
        <v>31201521</v>
      </c>
      <c r="B5063" s="76" t="s">
        <v>1845</v>
      </c>
    </row>
    <row r="5064" spans="1:2" x14ac:dyDescent="0.25">
      <c r="A5064" s="75">
        <v>31201522</v>
      </c>
      <c r="B5064" s="76" t="s">
        <v>15924</v>
      </c>
    </row>
    <row r="5065" spans="1:2" x14ac:dyDescent="0.25">
      <c r="A5065" s="75">
        <v>31201523</v>
      </c>
      <c r="B5065" s="76" t="s">
        <v>7496</v>
      </c>
    </row>
    <row r="5066" spans="1:2" x14ac:dyDescent="0.25">
      <c r="A5066" s="75">
        <v>31201524</v>
      </c>
      <c r="B5066" s="76" t="s">
        <v>13638</v>
      </c>
    </row>
    <row r="5067" spans="1:2" x14ac:dyDescent="0.25">
      <c r="A5067" s="75">
        <v>31201525</v>
      </c>
      <c r="B5067" s="76" t="s">
        <v>197</v>
      </c>
    </row>
    <row r="5068" spans="1:2" x14ac:dyDescent="0.25">
      <c r="A5068" s="75">
        <v>31201526</v>
      </c>
      <c r="B5068" s="76" t="s">
        <v>18336</v>
      </c>
    </row>
    <row r="5069" spans="1:2" x14ac:dyDescent="0.25">
      <c r="A5069" s="75">
        <v>31201527</v>
      </c>
      <c r="B5069" s="76" t="s">
        <v>10097</v>
      </c>
    </row>
    <row r="5070" spans="1:2" x14ac:dyDescent="0.25">
      <c r="A5070" s="75">
        <v>31201528</v>
      </c>
      <c r="B5070" s="76" t="s">
        <v>5865</v>
      </c>
    </row>
    <row r="5071" spans="1:2" x14ac:dyDescent="0.25">
      <c r="A5071" s="75">
        <v>31201601</v>
      </c>
      <c r="B5071" s="76" t="s">
        <v>1209</v>
      </c>
    </row>
    <row r="5072" spans="1:2" x14ac:dyDescent="0.25">
      <c r="A5072" s="75">
        <v>31201602</v>
      </c>
      <c r="B5072" s="76" t="s">
        <v>2196</v>
      </c>
    </row>
    <row r="5073" spans="1:2" x14ac:dyDescent="0.25">
      <c r="A5073" s="75">
        <v>31201603</v>
      </c>
      <c r="B5073" s="76" t="s">
        <v>5705</v>
      </c>
    </row>
    <row r="5074" spans="1:2" x14ac:dyDescent="0.25">
      <c r="A5074" s="75">
        <v>31201604</v>
      </c>
      <c r="B5074" s="76" t="s">
        <v>1544</v>
      </c>
    </row>
    <row r="5075" spans="1:2" x14ac:dyDescent="0.25">
      <c r="A5075" s="75">
        <v>31201605</v>
      </c>
      <c r="B5075" s="76" t="s">
        <v>19049</v>
      </c>
    </row>
    <row r="5076" spans="1:2" x14ac:dyDescent="0.25">
      <c r="A5076" s="75">
        <v>31201606</v>
      </c>
      <c r="B5076" s="76" t="s">
        <v>3299</v>
      </c>
    </row>
    <row r="5077" spans="1:2" x14ac:dyDescent="0.25">
      <c r="A5077" s="75">
        <v>31201607</v>
      </c>
      <c r="B5077" s="76" t="s">
        <v>19117</v>
      </c>
    </row>
    <row r="5078" spans="1:2" x14ac:dyDescent="0.25">
      <c r="A5078" s="75">
        <v>31201608</v>
      </c>
      <c r="B5078" s="76" t="s">
        <v>266</v>
      </c>
    </row>
    <row r="5079" spans="1:2" x14ac:dyDescent="0.25">
      <c r="A5079" s="75">
        <v>31201609</v>
      </c>
      <c r="B5079" s="76" t="s">
        <v>2691</v>
      </c>
    </row>
    <row r="5080" spans="1:2" x14ac:dyDescent="0.25">
      <c r="A5080" s="75">
        <v>31201610</v>
      </c>
      <c r="B5080" s="76" t="s">
        <v>3592</v>
      </c>
    </row>
    <row r="5081" spans="1:2" x14ac:dyDescent="0.25">
      <c r="A5081" s="75">
        <v>31201611</v>
      </c>
      <c r="B5081" s="76" t="s">
        <v>16442</v>
      </c>
    </row>
    <row r="5082" spans="1:2" x14ac:dyDescent="0.25">
      <c r="A5082" s="75">
        <v>31201612</v>
      </c>
      <c r="B5082" s="76" t="s">
        <v>343</v>
      </c>
    </row>
    <row r="5083" spans="1:2" x14ac:dyDescent="0.25">
      <c r="A5083" s="75">
        <v>31201613</v>
      </c>
      <c r="B5083" s="76" t="s">
        <v>13716</v>
      </c>
    </row>
    <row r="5084" spans="1:2" x14ac:dyDescent="0.25">
      <c r="A5084" s="75">
        <v>31201614</v>
      </c>
      <c r="B5084" s="76" t="s">
        <v>7808</v>
      </c>
    </row>
    <row r="5085" spans="1:2" x14ac:dyDescent="0.25">
      <c r="A5085" s="75">
        <v>31201615</v>
      </c>
      <c r="B5085" s="76" t="s">
        <v>12834</v>
      </c>
    </row>
    <row r="5086" spans="1:2" x14ac:dyDescent="0.25">
      <c r="A5086" s="75">
        <v>31201616</v>
      </c>
      <c r="B5086" s="76" t="s">
        <v>1116</v>
      </c>
    </row>
    <row r="5087" spans="1:2" x14ac:dyDescent="0.25">
      <c r="A5087" s="75">
        <v>31201617</v>
      </c>
      <c r="B5087" s="76" t="s">
        <v>14355</v>
      </c>
    </row>
    <row r="5088" spans="1:2" x14ac:dyDescent="0.25">
      <c r="A5088" s="75">
        <v>31211501</v>
      </c>
      <c r="B5088" s="76" t="s">
        <v>11211</v>
      </c>
    </row>
    <row r="5089" spans="1:2" x14ac:dyDescent="0.25">
      <c r="A5089" s="75">
        <v>31211502</v>
      </c>
      <c r="B5089" s="76" t="s">
        <v>1086</v>
      </c>
    </row>
    <row r="5090" spans="1:2" x14ac:dyDescent="0.25">
      <c r="A5090" s="75">
        <v>31211503</v>
      </c>
      <c r="B5090" s="76" t="s">
        <v>6350</v>
      </c>
    </row>
    <row r="5091" spans="1:2" x14ac:dyDescent="0.25">
      <c r="A5091" s="75">
        <v>31211504</v>
      </c>
      <c r="B5091" s="76" t="s">
        <v>1115</v>
      </c>
    </row>
    <row r="5092" spans="1:2" x14ac:dyDescent="0.25">
      <c r="A5092" s="75">
        <v>31211505</v>
      </c>
      <c r="B5092" s="76" t="s">
        <v>7013</v>
      </c>
    </row>
    <row r="5093" spans="1:2" x14ac:dyDescent="0.25">
      <c r="A5093" s="75">
        <v>31211506</v>
      </c>
      <c r="B5093" s="76" t="s">
        <v>3646</v>
      </c>
    </row>
    <row r="5094" spans="1:2" x14ac:dyDescent="0.25">
      <c r="A5094" s="75">
        <v>31211507</v>
      </c>
      <c r="B5094" s="76" t="s">
        <v>19570</v>
      </c>
    </row>
    <row r="5095" spans="1:2" x14ac:dyDescent="0.25">
      <c r="A5095" s="75">
        <v>31211508</v>
      </c>
      <c r="B5095" s="76" t="s">
        <v>4056</v>
      </c>
    </row>
    <row r="5096" spans="1:2" x14ac:dyDescent="0.25">
      <c r="A5096" s="75">
        <v>31211509</v>
      </c>
      <c r="B5096" s="76" t="s">
        <v>19974</v>
      </c>
    </row>
    <row r="5097" spans="1:2" x14ac:dyDescent="0.25">
      <c r="A5097" s="75">
        <v>31211510</v>
      </c>
      <c r="B5097" s="76" t="s">
        <v>12557</v>
      </c>
    </row>
    <row r="5098" spans="1:2" x14ac:dyDescent="0.25">
      <c r="A5098" s="75">
        <v>31211511</v>
      </c>
      <c r="B5098" s="76" t="s">
        <v>19656</v>
      </c>
    </row>
    <row r="5099" spans="1:2" x14ac:dyDescent="0.25">
      <c r="A5099" s="75">
        <v>31211512</v>
      </c>
      <c r="B5099" s="76" t="s">
        <v>5883</v>
      </c>
    </row>
    <row r="5100" spans="1:2" x14ac:dyDescent="0.25">
      <c r="A5100" s="75">
        <v>31211601</v>
      </c>
      <c r="B5100" s="76" t="s">
        <v>10724</v>
      </c>
    </row>
    <row r="5101" spans="1:2" x14ac:dyDescent="0.25">
      <c r="A5101" s="75">
        <v>31211602</v>
      </c>
      <c r="B5101" s="76" t="s">
        <v>10724</v>
      </c>
    </row>
    <row r="5102" spans="1:2" x14ac:dyDescent="0.25">
      <c r="A5102" s="75">
        <v>31211603</v>
      </c>
      <c r="B5102" s="76" t="s">
        <v>5582</v>
      </c>
    </row>
    <row r="5103" spans="1:2" x14ac:dyDescent="0.25">
      <c r="A5103" s="75">
        <v>31211604</v>
      </c>
      <c r="B5103" s="76" t="s">
        <v>18055</v>
      </c>
    </row>
    <row r="5104" spans="1:2" x14ac:dyDescent="0.25">
      <c r="A5104" s="75">
        <v>31211605</v>
      </c>
      <c r="B5104" s="76" t="s">
        <v>2598</v>
      </c>
    </row>
    <row r="5105" spans="1:2" x14ac:dyDescent="0.25">
      <c r="A5105" s="75">
        <v>31211606</v>
      </c>
      <c r="B5105" s="76" t="s">
        <v>12014</v>
      </c>
    </row>
    <row r="5106" spans="1:2" x14ac:dyDescent="0.25">
      <c r="A5106" s="75">
        <v>31211701</v>
      </c>
      <c r="B5106" s="76" t="s">
        <v>4748</v>
      </c>
    </row>
    <row r="5107" spans="1:2" x14ac:dyDescent="0.25">
      <c r="A5107" s="75">
        <v>31211702</v>
      </c>
      <c r="B5107" s="76" t="s">
        <v>2910</v>
      </c>
    </row>
    <row r="5108" spans="1:2" x14ac:dyDescent="0.25">
      <c r="A5108" s="75">
        <v>31211703</v>
      </c>
      <c r="B5108" s="76" t="s">
        <v>7886</v>
      </c>
    </row>
    <row r="5109" spans="1:2" x14ac:dyDescent="0.25">
      <c r="A5109" s="75">
        <v>31211704</v>
      </c>
      <c r="B5109" s="76" t="s">
        <v>13084</v>
      </c>
    </row>
    <row r="5110" spans="1:2" x14ac:dyDescent="0.25">
      <c r="A5110" s="75">
        <v>31211705</v>
      </c>
      <c r="B5110" s="76" t="s">
        <v>16136</v>
      </c>
    </row>
    <row r="5111" spans="1:2" x14ac:dyDescent="0.25">
      <c r="A5111" s="75">
        <v>31211706</v>
      </c>
      <c r="B5111" s="76" t="s">
        <v>18586</v>
      </c>
    </row>
    <row r="5112" spans="1:2" x14ac:dyDescent="0.25">
      <c r="A5112" s="75">
        <v>31211707</v>
      </c>
      <c r="B5112" s="76" t="s">
        <v>15784</v>
      </c>
    </row>
    <row r="5113" spans="1:2" x14ac:dyDescent="0.25">
      <c r="A5113" s="75">
        <v>31211708</v>
      </c>
      <c r="B5113" s="76" t="s">
        <v>16469</v>
      </c>
    </row>
    <row r="5114" spans="1:2" x14ac:dyDescent="0.25">
      <c r="A5114" s="75">
        <v>31211801</v>
      </c>
      <c r="B5114" s="76" t="s">
        <v>12350</v>
      </c>
    </row>
    <row r="5115" spans="1:2" x14ac:dyDescent="0.25">
      <c r="A5115" s="75">
        <v>31211802</v>
      </c>
      <c r="B5115" s="76" t="s">
        <v>6727</v>
      </c>
    </row>
    <row r="5116" spans="1:2" x14ac:dyDescent="0.25">
      <c r="A5116" s="75">
        <v>31211803</v>
      </c>
      <c r="B5116" s="76" t="s">
        <v>17438</v>
      </c>
    </row>
    <row r="5117" spans="1:2" x14ac:dyDescent="0.25">
      <c r="A5117" s="75">
        <v>31211901</v>
      </c>
      <c r="B5117" s="76" t="s">
        <v>4681</v>
      </c>
    </row>
    <row r="5118" spans="1:2" x14ac:dyDescent="0.25">
      <c r="A5118" s="75">
        <v>31211902</v>
      </c>
      <c r="B5118" s="76" t="s">
        <v>8385</v>
      </c>
    </row>
    <row r="5119" spans="1:2" x14ac:dyDescent="0.25">
      <c r="A5119" s="75">
        <v>31211903</v>
      </c>
      <c r="B5119" s="76" t="s">
        <v>965</v>
      </c>
    </row>
    <row r="5120" spans="1:2" x14ac:dyDescent="0.25">
      <c r="A5120" s="75">
        <v>31211904</v>
      </c>
      <c r="B5120" s="76" t="s">
        <v>12789</v>
      </c>
    </row>
    <row r="5121" spans="1:2" x14ac:dyDescent="0.25">
      <c r="A5121" s="75">
        <v>31211905</v>
      </c>
      <c r="B5121" s="76" t="s">
        <v>17930</v>
      </c>
    </row>
    <row r="5122" spans="1:2" x14ac:dyDescent="0.25">
      <c r="A5122" s="75">
        <v>31211906</v>
      </c>
      <c r="B5122" s="76" t="s">
        <v>12458</v>
      </c>
    </row>
    <row r="5123" spans="1:2" x14ac:dyDescent="0.25">
      <c r="A5123" s="75">
        <v>31211908</v>
      </c>
      <c r="B5123" s="76" t="s">
        <v>6214</v>
      </c>
    </row>
    <row r="5124" spans="1:2" x14ac:dyDescent="0.25">
      <c r="A5124" s="75">
        <v>31211909</v>
      </c>
      <c r="B5124" s="76" t="s">
        <v>17790</v>
      </c>
    </row>
    <row r="5125" spans="1:2" x14ac:dyDescent="0.25">
      <c r="A5125" s="75">
        <v>31211910</v>
      </c>
      <c r="B5125" s="76" t="s">
        <v>13587</v>
      </c>
    </row>
    <row r="5126" spans="1:2" x14ac:dyDescent="0.25">
      <c r="A5126" s="75">
        <v>31211912</v>
      </c>
      <c r="B5126" s="76" t="s">
        <v>1101</v>
      </c>
    </row>
    <row r="5127" spans="1:2" x14ac:dyDescent="0.25">
      <c r="A5127" s="75">
        <v>31211913</v>
      </c>
      <c r="B5127" s="76" t="s">
        <v>7454</v>
      </c>
    </row>
    <row r="5128" spans="1:2" x14ac:dyDescent="0.25">
      <c r="A5128" s="75">
        <v>31211914</v>
      </c>
      <c r="B5128" s="76" t="s">
        <v>9977</v>
      </c>
    </row>
    <row r="5129" spans="1:2" x14ac:dyDescent="0.25">
      <c r="A5129" s="75">
        <v>31211915</v>
      </c>
      <c r="B5129" s="76" t="s">
        <v>11349</v>
      </c>
    </row>
    <row r="5130" spans="1:2" x14ac:dyDescent="0.25">
      <c r="A5130" s="75">
        <v>31211916</v>
      </c>
      <c r="B5130" s="76" t="s">
        <v>5490</v>
      </c>
    </row>
    <row r="5131" spans="1:2" x14ac:dyDescent="0.25">
      <c r="A5131" s="75">
        <v>31211917</v>
      </c>
      <c r="B5131" s="76" t="s">
        <v>3853</v>
      </c>
    </row>
    <row r="5132" spans="1:2" x14ac:dyDescent="0.25">
      <c r="A5132" s="75">
        <v>31221601</v>
      </c>
      <c r="B5132" s="76" t="s">
        <v>7069</v>
      </c>
    </row>
    <row r="5133" spans="1:2" x14ac:dyDescent="0.25">
      <c r="A5133" s="75">
        <v>31221602</v>
      </c>
      <c r="B5133" s="76" t="s">
        <v>10366</v>
      </c>
    </row>
    <row r="5134" spans="1:2" x14ac:dyDescent="0.25">
      <c r="A5134" s="75">
        <v>31221603</v>
      </c>
      <c r="B5134" s="76" t="s">
        <v>18086</v>
      </c>
    </row>
    <row r="5135" spans="1:2" x14ac:dyDescent="0.25">
      <c r="A5135" s="75">
        <v>31231101</v>
      </c>
      <c r="B5135" s="76" t="s">
        <v>924</v>
      </c>
    </row>
    <row r="5136" spans="1:2" x14ac:dyDescent="0.25">
      <c r="A5136" s="75">
        <v>31231102</v>
      </c>
      <c r="B5136" s="76" t="s">
        <v>17978</v>
      </c>
    </row>
    <row r="5137" spans="1:2" x14ac:dyDescent="0.25">
      <c r="A5137" s="75">
        <v>31231103</v>
      </c>
      <c r="B5137" s="76" t="s">
        <v>5562</v>
      </c>
    </row>
    <row r="5138" spans="1:2" x14ac:dyDescent="0.25">
      <c r="A5138" s="75">
        <v>31231104</v>
      </c>
      <c r="B5138" s="76" t="s">
        <v>12656</v>
      </c>
    </row>
    <row r="5139" spans="1:2" x14ac:dyDescent="0.25">
      <c r="A5139" s="75">
        <v>31231105</v>
      </c>
      <c r="B5139" s="76" t="s">
        <v>4332</v>
      </c>
    </row>
    <row r="5140" spans="1:2" x14ac:dyDescent="0.25">
      <c r="A5140" s="75">
        <v>31231106</v>
      </c>
      <c r="B5140" s="76" t="s">
        <v>168</v>
      </c>
    </row>
    <row r="5141" spans="1:2" x14ac:dyDescent="0.25">
      <c r="A5141" s="75">
        <v>31231107</v>
      </c>
      <c r="B5141" s="76" t="s">
        <v>1423</v>
      </c>
    </row>
    <row r="5142" spans="1:2" x14ac:dyDescent="0.25">
      <c r="A5142" s="75">
        <v>31231108</v>
      </c>
      <c r="B5142" s="76" t="s">
        <v>8593</v>
      </c>
    </row>
    <row r="5143" spans="1:2" x14ac:dyDescent="0.25">
      <c r="A5143" s="75">
        <v>31231109</v>
      </c>
      <c r="B5143" s="76" t="s">
        <v>8127</v>
      </c>
    </row>
    <row r="5144" spans="1:2" x14ac:dyDescent="0.25">
      <c r="A5144" s="75">
        <v>31231110</v>
      </c>
      <c r="B5144" s="76" t="s">
        <v>952</v>
      </c>
    </row>
    <row r="5145" spans="1:2" x14ac:dyDescent="0.25">
      <c r="A5145" s="75">
        <v>31231111</v>
      </c>
      <c r="B5145" s="76" t="s">
        <v>17364</v>
      </c>
    </row>
    <row r="5146" spans="1:2" x14ac:dyDescent="0.25">
      <c r="A5146" s="75">
        <v>31231112</v>
      </c>
      <c r="B5146" s="76" t="s">
        <v>8502</v>
      </c>
    </row>
    <row r="5147" spans="1:2" x14ac:dyDescent="0.25">
      <c r="A5147" s="75">
        <v>31231113</v>
      </c>
      <c r="B5147" s="76" t="s">
        <v>12356</v>
      </c>
    </row>
    <row r="5148" spans="1:2" x14ac:dyDescent="0.25">
      <c r="A5148" s="75">
        <v>31231114</v>
      </c>
      <c r="B5148" s="76" t="s">
        <v>8041</v>
      </c>
    </row>
    <row r="5149" spans="1:2" x14ac:dyDescent="0.25">
      <c r="A5149" s="75">
        <v>31231115</v>
      </c>
      <c r="B5149" s="76" t="s">
        <v>6281</v>
      </c>
    </row>
    <row r="5150" spans="1:2" x14ac:dyDescent="0.25">
      <c r="A5150" s="75">
        <v>31231116</v>
      </c>
      <c r="B5150" s="76" t="s">
        <v>6720</v>
      </c>
    </row>
    <row r="5151" spans="1:2" x14ac:dyDescent="0.25">
      <c r="A5151" s="75">
        <v>31231117</v>
      </c>
      <c r="B5151" s="76" t="s">
        <v>15956</v>
      </c>
    </row>
    <row r="5152" spans="1:2" x14ac:dyDescent="0.25">
      <c r="A5152" s="75">
        <v>31231118</v>
      </c>
      <c r="B5152" s="76" t="s">
        <v>543</v>
      </c>
    </row>
    <row r="5153" spans="1:2" x14ac:dyDescent="0.25">
      <c r="A5153" s="75">
        <v>31231119</v>
      </c>
      <c r="B5153" s="76" t="s">
        <v>15949</v>
      </c>
    </row>
    <row r="5154" spans="1:2" x14ac:dyDescent="0.25">
      <c r="A5154" s="75">
        <v>31231201</v>
      </c>
      <c r="B5154" s="76" t="s">
        <v>3753</v>
      </c>
    </row>
    <row r="5155" spans="1:2" x14ac:dyDescent="0.25">
      <c r="A5155" s="75">
        <v>31231202</v>
      </c>
      <c r="B5155" s="76" t="s">
        <v>7257</v>
      </c>
    </row>
    <row r="5156" spans="1:2" x14ac:dyDescent="0.25">
      <c r="A5156" s="75">
        <v>31231203</v>
      </c>
      <c r="B5156" s="76" t="s">
        <v>12951</v>
      </c>
    </row>
    <row r="5157" spans="1:2" x14ac:dyDescent="0.25">
      <c r="A5157" s="75">
        <v>31231204</v>
      </c>
      <c r="B5157" s="76" t="s">
        <v>4234</v>
      </c>
    </row>
    <row r="5158" spans="1:2" x14ac:dyDescent="0.25">
      <c r="A5158" s="75">
        <v>31231205</v>
      </c>
      <c r="B5158" s="76" t="s">
        <v>13508</v>
      </c>
    </row>
    <row r="5159" spans="1:2" x14ac:dyDescent="0.25">
      <c r="A5159" s="75">
        <v>31231206</v>
      </c>
      <c r="B5159" s="76" t="s">
        <v>4058</v>
      </c>
    </row>
    <row r="5160" spans="1:2" x14ac:dyDescent="0.25">
      <c r="A5160" s="75">
        <v>31231207</v>
      </c>
      <c r="B5160" s="76" t="s">
        <v>65</v>
      </c>
    </row>
    <row r="5161" spans="1:2" x14ac:dyDescent="0.25">
      <c r="A5161" s="75">
        <v>31231208</v>
      </c>
      <c r="B5161" s="76" t="s">
        <v>17902</v>
      </c>
    </row>
    <row r="5162" spans="1:2" x14ac:dyDescent="0.25">
      <c r="A5162" s="75">
        <v>31231209</v>
      </c>
      <c r="B5162" s="76" t="s">
        <v>8025</v>
      </c>
    </row>
    <row r="5163" spans="1:2" x14ac:dyDescent="0.25">
      <c r="A5163" s="75">
        <v>31231210</v>
      </c>
      <c r="B5163" s="76" t="s">
        <v>12148</v>
      </c>
    </row>
    <row r="5164" spans="1:2" x14ac:dyDescent="0.25">
      <c r="A5164" s="75">
        <v>31231211</v>
      </c>
      <c r="B5164" s="76" t="s">
        <v>9660</v>
      </c>
    </row>
    <row r="5165" spans="1:2" x14ac:dyDescent="0.25">
      <c r="A5165" s="75">
        <v>31231212</v>
      </c>
      <c r="B5165" s="76" t="s">
        <v>4468</v>
      </c>
    </row>
    <row r="5166" spans="1:2" x14ac:dyDescent="0.25">
      <c r="A5166" s="75">
        <v>31231213</v>
      </c>
      <c r="B5166" s="76" t="s">
        <v>18180</v>
      </c>
    </row>
    <row r="5167" spans="1:2" x14ac:dyDescent="0.25">
      <c r="A5167" s="75">
        <v>31231214</v>
      </c>
      <c r="B5167" s="76" t="s">
        <v>1183</v>
      </c>
    </row>
    <row r="5168" spans="1:2" x14ac:dyDescent="0.25">
      <c r="A5168" s="75">
        <v>31231215</v>
      </c>
      <c r="B5168" s="76" t="s">
        <v>764</v>
      </c>
    </row>
    <row r="5169" spans="1:2" x14ac:dyDescent="0.25">
      <c r="A5169" s="75">
        <v>31231216</v>
      </c>
      <c r="B5169" s="76" t="s">
        <v>6587</v>
      </c>
    </row>
    <row r="5170" spans="1:2" x14ac:dyDescent="0.25">
      <c r="A5170" s="75">
        <v>31231217</v>
      </c>
      <c r="B5170" s="76" t="s">
        <v>11988</v>
      </c>
    </row>
    <row r="5171" spans="1:2" x14ac:dyDescent="0.25">
      <c r="A5171" s="75">
        <v>31231218</v>
      </c>
      <c r="B5171" s="76" t="s">
        <v>19446</v>
      </c>
    </row>
    <row r="5172" spans="1:2" x14ac:dyDescent="0.25">
      <c r="A5172" s="75">
        <v>31231219</v>
      </c>
      <c r="B5172" s="76" t="s">
        <v>8276</v>
      </c>
    </row>
    <row r="5173" spans="1:2" x14ac:dyDescent="0.25">
      <c r="A5173" s="75">
        <v>31231301</v>
      </c>
      <c r="B5173" s="76" t="s">
        <v>4135</v>
      </c>
    </row>
    <row r="5174" spans="1:2" x14ac:dyDescent="0.25">
      <c r="A5174" s="75">
        <v>31231302</v>
      </c>
      <c r="B5174" s="76" t="s">
        <v>14003</v>
      </c>
    </row>
    <row r="5175" spans="1:2" x14ac:dyDescent="0.25">
      <c r="A5175" s="75">
        <v>31231303</v>
      </c>
      <c r="B5175" s="76" t="s">
        <v>9835</v>
      </c>
    </row>
    <row r="5176" spans="1:2" x14ac:dyDescent="0.25">
      <c r="A5176" s="75">
        <v>31231304</v>
      </c>
      <c r="B5176" s="76" t="s">
        <v>1885</v>
      </c>
    </row>
    <row r="5177" spans="1:2" x14ac:dyDescent="0.25">
      <c r="A5177" s="75">
        <v>31231305</v>
      </c>
      <c r="B5177" s="76" t="s">
        <v>15537</v>
      </c>
    </row>
    <row r="5178" spans="1:2" x14ac:dyDescent="0.25">
      <c r="A5178" s="75">
        <v>31231306</v>
      </c>
      <c r="B5178" s="76" t="s">
        <v>2897</v>
      </c>
    </row>
    <row r="5179" spans="1:2" x14ac:dyDescent="0.25">
      <c r="A5179" s="75">
        <v>31231307</v>
      </c>
      <c r="B5179" s="76" t="s">
        <v>1951</v>
      </c>
    </row>
    <row r="5180" spans="1:2" x14ac:dyDescent="0.25">
      <c r="A5180" s="75">
        <v>31231308</v>
      </c>
      <c r="B5180" s="76" t="s">
        <v>19209</v>
      </c>
    </row>
    <row r="5181" spans="1:2" x14ac:dyDescent="0.25">
      <c r="A5181" s="75">
        <v>31231309</v>
      </c>
      <c r="B5181" s="76" t="s">
        <v>5460</v>
      </c>
    </row>
    <row r="5182" spans="1:2" x14ac:dyDescent="0.25">
      <c r="A5182" s="75">
        <v>31231310</v>
      </c>
      <c r="B5182" s="76" t="s">
        <v>357</v>
      </c>
    </row>
    <row r="5183" spans="1:2" x14ac:dyDescent="0.25">
      <c r="A5183" s="75">
        <v>31231311</v>
      </c>
      <c r="B5183" s="76" t="s">
        <v>5080</v>
      </c>
    </row>
    <row r="5184" spans="1:2" x14ac:dyDescent="0.25">
      <c r="A5184" s="75">
        <v>31231312</v>
      </c>
      <c r="B5184" s="76" t="s">
        <v>20047</v>
      </c>
    </row>
    <row r="5185" spans="1:2" x14ac:dyDescent="0.25">
      <c r="A5185" s="75">
        <v>31231313</v>
      </c>
      <c r="B5185" s="76" t="s">
        <v>15100</v>
      </c>
    </row>
    <row r="5186" spans="1:2" x14ac:dyDescent="0.25">
      <c r="A5186" s="75">
        <v>31231314</v>
      </c>
      <c r="B5186" s="76" t="s">
        <v>18428</v>
      </c>
    </row>
    <row r="5187" spans="1:2" x14ac:dyDescent="0.25">
      <c r="A5187" s="75">
        <v>31231315</v>
      </c>
      <c r="B5187" s="76" t="s">
        <v>5777</v>
      </c>
    </row>
    <row r="5188" spans="1:2" x14ac:dyDescent="0.25">
      <c r="A5188" s="75">
        <v>31231316</v>
      </c>
      <c r="B5188" s="76" t="s">
        <v>6710</v>
      </c>
    </row>
    <row r="5189" spans="1:2" x14ac:dyDescent="0.25">
      <c r="A5189" s="75">
        <v>31231317</v>
      </c>
      <c r="B5189" s="76" t="s">
        <v>17145</v>
      </c>
    </row>
    <row r="5190" spans="1:2" x14ac:dyDescent="0.25">
      <c r="A5190" s="75">
        <v>31231318</v>
      </c>
      <c r="B5190" s="76" t="s">
        <v>10976</v>
      </c>
    </row>
    <row r="5191" spans="1:2" x14ac:dyDescent="0.25">
      <c r="A5191" s="75">
        <v>31231319</v>
      </c>
      <c r="B5191" s="76" t="s">
        <v>3134</v>
      </c>
    </row>
    <row r="5192" spans="1:2" x14ac:dyDescent="0.25">
      <c r="A5192" s="75">
        <v>31231320</v>
      </c>
      <c r="B5192" s="76" t="s">
        <v>8323</v>
      </c>
    </row>
    <row r="5193" spans="1:2" x14ac:dyDescent="0.25">
      <c r="A5193" s="75">
        <v>31231321</v>
      </c>
      <c r="B5193" s="76" t="s">
        <v>7761</v>
      </c>
    </row>
    <row r="5194" spans="1:2" x14ac:dyDescent="0.25">
      <c r="A5194" s="75">
        <v>31231401</v>
      </c>
      <c r="B5194" s="76" t="s">
        <v>4963</v>
      </c>
    </row>
    <row r="5195" spans="1:2" x14ac:dyDescent="0.25">
      <c r="A5195" s="75">
        <v>31231402</v>
      </c>
      <c r="B5195" s="76" t="s">
        <v>16832</v>
      </c>
    </row>
    <row r="5196" spans="1:2" x14ac:dyDescent="0.25">
      <c r="A5196" s="75">
        <v>31231403</v>
      </c>
      <c r="B5196" s="76" t="s">
        <v>4508</v>
      </c>
    </row>
    <row r="5197" spans="1:2" x14ac:dyDescent="0.25">
      <c r="A5197" s="75">
        <v>31231404</v>
      </c>
      <c r="B5197" s="76" t="s">
        <v>6040</v>
      </c>
    </row>
    <row r="5198" spans="1:2" x14ac:dyDescent="0.25">
      <c r="A5198" s="75">
        <v>31231405</v>
      </c>
      <c r="B5198" s="76" t="s">
        <v>12888</v>
      </c>
    </row>
    <row r="5199" spans="1:2" x14ac:dyDescent="0.25">
      <c r="A5199" s="75">
        <v>31241501</v>
      </c>
      <c r="B5199" s="76" t="s">
        <v>8884</v>
      </c>
    </row>
    <row r="5200" spans="1:2" x14ac:dyDescent="0.25">
      <c r="A5200" s="75">
        <v>31241502</v>
      </c>
      <c r="B5200" s="76" t="s">
        <v>60</v>
      </c>
    </row>
    <row r="5201" spans="1:2" x14ac:dyDescent="0.25">
      <c r="A5201" s="75">
        <v>31241601</v>
      </c>
      <c r="B5201" s="76" t="s">
        <v>17432</v>
      </c>
    </row>
    <row r="5202" spans="1:2" x14ac:dyDescent="0.25">
      <c r="A5202" s="75">
        <v>31241602</v>
      </c>
      <c r="B5202" s="76" t="s">
        <v>10274</v>
      </c>
    </row>
    <row r="5203" spans="1:2" x14ac:dyDescent="0.25">
      <c r="A5203" s="75">
        <v>31241603</v>
      </c>
      <c r="B5203" s="76" t="s">
        <v>238</v>
      </c>
    </row>
    <row r="5204" spans="1:2" x14ac:dyDescent="0.25">
      <c r="A5204" s="75">
        <v>31241604</v>
      </c>
      <c r="B5204" s="76" t="s">
        <v>14409</v>
      </c>
    </row>
    <row r="5205" spans="1:2" x14ac:dyDescent="0.25">
      <c r="A5205" s="75">
        <v>31241605</v>
      </c>
      <c r="B5205" s="76" t="s">
        <v>9943</v>
      </c>
    </row>
    <row r="5206" spans="1:2" x14ac:dyDescent="0.25">
      <c r="A5206" s="75">
        <v>31241606</v>
      </c>
      <c r="B5206" s="76" t="s">
        <v>9593</v>
      </c>
    </row>
    <row r="5207" spans="1:2" x14ac:dyDescent="0.25">
      <c r="A5207" s="75">
        <v>31241607</v>
      </c>
      <c r="B5207" s="76" t="s">
        <v>13532</v>
      </c>
    </row>
    <row r="5208" spans="1:2" x14ac:dyDescent="0.25">
      <c r="A5208" s="75">
        <v>31241608</v>
      </c>
      <c r="B5208" s="76" t="s">
        <v>14461</v>
      </c>
    </row>
    <row r="5209" spans="1:2" x14ac:dyDescent="0.25">
      <c r="A5209" s="75">
        <v>31241609</v>
      </c>
      <c r="B5209" s="76" t="s">
        <v>17224</v>
      </c>
    </row>
    <row r="5210" spans="1:2" x14ac:dyDescent="0.25">
      <c r="A5210" s="75">
        <v>31241610</v>
      </c>
      <c r="B5210" s="76" t="s">
        <v>384</v>
      </c>
    </row>
    <row r="5211" spans="1:2" x14ac:dyDescent="0.25">
      <c r="A5211" s="75">
        <v>31241701</v>
      </c>
      <c r="B5211" s="76" t="s">
        <v>7154</v>
      </c>
    </row>
    <row r="5212" spans="1:2" x14ac:dyDescent="0.25">
      <c r="A5212" s="75">
        <v>31241702</v>
      </c>
      <c r="B5212" s="76" t="s">
        <v>5339</v>
      </c>
    </row>
    <row r="5213" spans="1:2" x14ac:dyDescent="0.25">
      <c r="A5213" s="75">
        <v>31241703</v>
      </c>
      <c r="B5213" s="76" t="s">
        <v>8913</v>
      </c>
    </row>
    <row r="5214" spans="1:2" x14ac:dyDescent="0.25">
      <c r="A5214" s="75">
        <v>31241704</v>
      </c>
      <c r="B5214" s="76" t="s">
        <v>8093</v>
      </c>
    </row>
    <row r="5215" spans="1:2" x14ac:dyDescent="0.25">
      <c r="A5215" s="75">
        <v>31241705</v>
      </c>
      <c r="B5215" s="76" t="s">
        <v>12187</v>
      </c>
    </row>
    <row r="5216" spans="1:2" x14ac:dyDescent="0.25">
      <c r="A5216" s="75">
        <v>31241801</v>
      </c>
      <c r="B5216" s="76" t="s">
        <v>7036</v>
      </c>
    </row>
    <row r="5217" spans="1:2" x14ac:dyDescent="0.25">
      <c r="A5217" s="75">
        <v>31241802</v>
      </c>
      <c r="B5217" s="76" t="s">
        <v>18020</v>
      </c>
    </row>
    <row r="5218" spans="1:2" x14ac:dyDescent="0.25">
      <c r="A5218" s="75">
        <v>31241803</v>
      </c>
      <c r="B5218" s="76" t="s">
        <v>18171</v>
      </c>
    </row>
    <row r="5219" spans="1:2" x14ac:dyDescent="0.25">
      <c r="A5219" s="75">
        <v>31241804</v>
      </c>
      <c r="B5219" s="76" t="s">
        <v>10406</v>
      </c>
    </row>
    <row r="5220" spans="1:2" x14ac:dyDescent="0.25">
      <c r="A5220" s="75">
        <v>31241805</v>
      </c>
      <c r="B5220" s="76" t="s">
        <v>10279</v>
      </c>
    </row>
    <row r="5221" spans="1:2" x14ac:dyDescent="0.25">
      <c r="A5221" s="75">
        <v>31241806</v>
      </c>
      <c r="B5221" s="76" t="s">
        <v>12567</v>
      </c>
    </row>
    <row r="5222" spans="1:2" x14ac:dyDescent="0.25">
      <c r="A5222" s="75">
        <v>31241807</v>
      </c>
      <c r="B5222" s="76" t="s">
        <v>14894</v>
      </c>
    </row>
    <row r="5223" spans="1:2" x14ac:dyDescent="0.25">
      <c r="A5223" s="75">
        <v>31241901</v>
      </c>
      <c r="B5223" s="76" t="s">
        <v>17577</v>
      </c>
    </row>
    <row r="5224" spans="1:2" x14ac:dyDescent="0.25">
      <c r="A5224" s="75">
        <v>31241902</v>
      </c>
      <c r="B5224" s="76" t="s">
        <v>8570</v>
      </c>
    </row>
    <row r="5225" spans="1:2" x14ac:dyDescent="0.25">
      <c r="A5225" s="75">
        <v>31241903</v>
      </c>
      <c r="B5225" s="76" t="s">
        <v>9103</v>
      </c>
    </row>
    <row r="5226" spans="1:2" x14ac:dyDescent="0.25">
      <c r="A5226" s="75">
        <v>31241904</v>
      </c>
      <c r="B5226" s="76" t="s">
        <v>3879</v>
      </c>
    </row>
    <row r="5227" spans="1:2" x14ac:dyDescent="0.25">
      <c r="A5227" s="75">
        <v>31241905</v>
      </c>
      <c r="B5227" s="76" t="s">
        <v>10025</v>
      </c>
    </row>
    <row r="5228" spans="1:2" x14ac:dyDescent="0.25">
      <c r="A5228" s="75">
        <v>31241906</v>
      </c>
      <c r="B5228" s="76" t="s">
        <v>13043</v>
      </c>
    </row>
    <row r="5229" spans="1:2" x14ac:dyDescent="0.25">
      <c r="A5229" s="75">
        <v>31241907</v>
      </c>
      <c r="B5229" s="76" t="s">
        <v>1827</v>
      </c>
    </row>
    <row r="5230" spans="1:2" x14ac:dyDescent="0.25">
      <c r="A5230" s="75">
        <v>31241908</v>
      </c>
      <c r="B5230" s="76" t="s">
        <v>13783</v>
      </c>
    </row>
    <row r="5231" spans="1:2" x14ac:dyDescent="0.25">
      <c r="A5231" s="75">
        <v>31242001</v>
      </c>
      <c r="B5231" s="76" t="s">
        <v>4925</v>
      </c>
    </row>
    <row r="5232" spans="1:2" x14ac:dyDescent="0.25">
      <c r="A5232" s="75">
        <v>31242002</v>
      </c>
      <c r="B5232" s="76" t="s">
        <v>13103</v>
      </c>
    </row>
    <row r="5233" spans="1:2" x14ac:dyDescent="0.25">
      <c r="A5233" s="75">
        <v>31242003</v>
      </c>
      <c r="B5233" s="76" t="s">
        <v>19665</v>
      </c>
    </row>
    <row r="5234" spans="1:2" x14ac:dyDescent="0.25">
      <c r="A5234" s="75">
        <v>31242101</v>
      </c>
      <c r="B5234" s="76" t="s">
        <v>7150</v>
      </c>
    </row>
    <row r="5235" spans="1:2" x14ac:dyDescent="0.25">
      <c r="A5235" s="75">
        <v>31242103</v>
      </c>
      <c r="B5235" s="76" t="s">
        <v>14424</v>
      </c>
    </row>
    <row r="5236" spans="1:2" x14ac:dyDescent="0.25">
      <c r="A5236" s="75">
        <v>31242104</v>
      </c>
      <c r="B5236" s="76" t="s">
        <v>3196</v>
      </c>
    </row>
    <row r="5237" spans="1:2" x14ac:dyDescent="0.25">
      <c r="A5237" s="75">
        <v>31242105</v>
      </c>
      <c r="B5237" s="76" t="s">
        <v>13923</v>
      </c>
    </row>
    <row r="5238" spans="1:2" x14ac:dyDescent="0.25">
      <c r="A5238" s="75">
        <v>31242106</v>
      </c>
      <c r="B5238" s="76" t="s">
        <v>220</v>
      </c>
    </row>
    <row r="5239" spans="1:2" x14ac:dyDescent="0.25">
      <c r="A5239" s="75">
        <v>31242201</v>
      </c>
      <c r="B5239" s="76" t="s">
        <v>6063</v>
      </c>
    </row>
    <row r="5240" spans="1:2" x14ac:dyDescent="0.25">
      <c r="A5240" s="75">
        <v>31242202</v>
      </c>
      <c r="B5240" s="76" t="s">
        <v>6813</v>
      </c>
    </row>
    <row r="5241" spans="1:2" x14ac:dyDescent="0.25">
      <c r="A5241" s="75">
        <v>31242203</v>
      </c>
      <c r="B5241" s="76" t="s">
        <v>12320</v>
      </c>
    </row>
    <row r="5242" spans="1:2" x14ac:dyDescent="0.25">
      <c r="A5242" s="75">
        <v>31242204</v>
      </c>
      <c r="B5242" s="76" t="s">
        <v>247</v>
      </c>
    </row>
    <row r="5243" spans="1:2" x14ac:dyDescent="0.25">
      <c r="A5243" s="75">
        <v>31242205</v>
      </c>
      <c r="B5243" s="76" t="s">
        <v>12857</v>
      </c>
    </row>
    <row r="5244" spans="1:2" x14ac:dyDescent="0.25">
      <c r="A5244" s="75">
        <v>31242206</v>
      </c>
      <c r="B5244" s="76" t="s">
        <v>19884</v>
      </c>
    </row>
    <row r="5245" spans="1:2" x14ac:dyDescent="0.25">
      <c r="A5245" s="75">
        <v>31242207</v>
      </c>
      <c r="B5245" s="76" t="s">
        <v>5161</v>
      </c>
    </row>
    <row r="5246" spans="1:2" x14ac:dyDescent="0.25">
      <c r="A5246" s="75">
        <v>31242208</v>
      </c>
      <c r="B5246" s="76" t="s">
        <v>18709</v>
      </c>
    </row>
    <row r="5247" spans="1:2" x14ac:dyDescent="0.25">
      <c r="A5247" s="75">
        <v>31251501</v>
      </c>
      <c r="B5247" s="76" t="s">
        <v>2875</v>
      </c>
    </row>
    <row r="5248" spans="1:2" x14ac:dyDescent="0.25">
      <c r="A5248" s="75">
        <v>31251502</v>
      </c>
      <c r="B5248" s="76" t="s">
        <v>19560</v>
      </c>
    </row>
    <row r="5249" spans="1:2" x14ac:dyDescent="0.25">
      <c r="A5249" s="75">
        <v>31251503</v>
      </c>
      <c r="B5249" s="76" t="s">
        <v>8696</v>
      </c>
    </row>
    <row r="5250" spans="1:2" x14ac:dyDescent="0.25">
      <c r="A5250" s="75">
        <v>31251504</v>
      </c>
      <c r="B5250" s="76" t="s">
        <v>9855</v>
      </c>
    </row>
    <row r="5251" spans="1:2" x14ac:dyDescent="0.25">
      <c r="A5251" s="75">
        <v>31251505</v>
      </c>
      <c r="B5251" s="76" t="s">
        <v>5084</v>
      </c>
    </row>
    <row r="5252" spans="1:2" x14ac:dyDescent="0.25">
      <c r="A5252" s="75">
        <v>31251506</v>
      </c>
      <c r="B5252" s="76" t="s">
        <v>18613</v>
      </c>
    </row>
    <row r="5253" spans="1:2" x14ac:dyDescent="0.25">
      <c r="A5253" s="75">
        <v>31251507</v>
      </c>
      <c r="B5253" s="76" t="s">
        <v>17125</v>
      </c>
    </row>
    <row r="5254" spans="1:2" x14ac:dyDescent="0.25">
      <c r="A5254" s="75">
        <v>31251508</v>
      </c>
      <c r="B5254" s="76" t="s">
        <v>8260</v>
      </c>
    </row>
    <row r="5255" spans="1:2" x14ac:dyDescent="0.25">
      <c r="A5255" s="75">
        <v>31251509</v>
      </c>
      <c r="B5255" s="76" t="s">
        <v>88</v>
      </c>
    </row>
    <row r="5256" spans="1:2" x14ac:dyDescent="0.25">
      <c r="A5256" s="75">
        <v>31251510</v>
      </c>
      <c r="B5256" s="76" t="s">
        <v>14653</v>
      </c>
    </row>
    <row r="5257" spans="1:2" x14ac:dyDescent="0.25">
      <c r="A5257" s="75">
        <v>31251511</v>
      </c>
      <c r="B5257" s="76" t="s">
        <v>16956</v>
      </c>
    </row>
    <row r="5258" spans="1:2" x14ac:dyDescent="0.25">
      <c r="A5258" s="75">
        <v>31251601</v>
      </c>
      <c r="B5258" s="76" t="s">
        <v>15932</v>
      </c>
    </row>
    <row r="5259" spans="1:2" x14ac:dyDescent="0.25">
      <c r="A5259" s="75">
        <v>31261501</v>
      </c>
      <c r="B5259" s="76" t="s">
        <v>8652</v>
      </c>
    </row>
    <row r="5260" spans="1:2" x14ac:dyDescent="0.25">
      <c r="A5260" s="75">
        <v>31261502</v>
      </c>
      <c r="B5260" s="76" t="s">
        <v>17225</v>
      </c>
    </row>
    <row r="5261" spans="1:2" x14ac:dyDescent="0.25">
      <c r="A5261" s="75">
        <v>31261503</v>
      </c>
      <c r="B5261" s="76" t="s">
        <v>13511</v>
      </c>
    </row>
    <row r="5262" spans="1:2" x14ac:dyDescent="0.25">
      <c r="A5262" s="75">
        <v>31261504</v>
      </c>
      <c r="B5262" s="76" t="s">
        <v>15830</v>
      </c>
    </row>
    <row r="5263" spans="1:2" x14ac:dyDescent="0.25">
      <c r="A5263" s="75">
        <v>31261505</v>
      </c>
      <c r="B5263" s="76" t="s">
        <v>1833</v>
      </c>
    </row>
    <row r="5264" spans="1:2" x14ac:dyDescent="0.25">
      <c r="A5264" s="75">
        <v>31261601</v>
      </c>
      <c r="B5264" s="76" t="s">
        <v>19946</v>
      </c>
    </row>
    <row r="5265" spans="1:2" x14ac:dyDescent="0.25">
      <c r="A5265" s="75">
        <v>31261602</v>
      </c>
      <c r="B5265" s="76" t="s">
        <v>726</v>
      </c>
    </row>
    <row r="5266" spans="1:2" x14ac:dyDescent="0.25">
      <c r="A5266" s="75">
        <v>31261603</v>
      </c>
      <c r="B5266" s="76" t="s">
        <v>9401</v>
      </c>
    </row>
    <row r="5267" spans="1:2" x14ac:dyDescent="0.25">
      <c r="A5267" s="75">
        <v>31261701</v>
      </c>
      <c r="B5267" s="76" t="s">
        <v>2489</v>
      </c>
    </row>
    <row r="5268" spans="1:2" x14ac:dyDescent="0.25">
      <c r="A5268" s="75">
        <v>31261702</v>
      </c>
      <c r="B5268" s="76" t="s">
        <v>9533</v>
      </c>
    </row>
    <row r="5269" spans="1:2" x14ac:dyDescent="0.25">
      <c r="A5269" s="75">
        <v>31261703</v>
      </c>
      <c r="B5269" s="76" t="s">
        <v>14250</v>
      </c>
    </row>
    <row r="5270" spans="1:2" x14ac:dyDescent="0.25">
      <c r="A5270" s="75">
        <v>31261704</v>
      </c>
      <c r="B5270" s="76" t="s">
        <v>9144</v>
      </c>
    </row>
    <row r="5271" spans="1:2" x14ac:dyDescent="0.25">
      <c r="A5271" s="75">
        <v>31271601</v>
      </c>
      <c r="B5271" s="76" t="s">
        <v>16459</v>
      </c>
    </row>
    <row r="5272" spans="1:2" x14ac:dyDescent="0.25">
      <c r="A5272" s="75">
        <v>31271602</v>
      </c>
      <c r="B5272" s="76" t="s">
        <v>13191</v>
      </c>
    </row>
    <row r="5273" spans="1:2" x14ac:dyDescent="0.25">
      <c r="A5273" s="75">
        <v>31281502</v>
      </c>
      <c r="B5273" s="76" t="s">
        <v>15241</v>
      </c>
    </row>
    <row r="5274" spans="1:2" x14ac:dyDescent="0.25">
      <c r="A5274" s="75">
        <v>31281503</v>
      </c>
      <c r="B5274" s="76" t="s">
        <v>10530</v>
      </c>
    </row>
    <row r="5275" spans="1:2" x14ac:dyDescent="0.25">
      <c r="A5275" s="75">
        <v>31281504</v>
      </c>
      <c r="B5275" s="76" t="s">
        <v>19720</v>
      </c>
    </row>
    <row r="5276" spans="1:2" x14ac:dyDescent="0.25">
      <c r="A5276" s="75">
        <v>31281505</v>
      </c>
      <c r="B5276" s="76" t="s">
        <v>9841</v>
      </c>
    </row>
    <row r="5277" spans="1:2" x14ac:dyDescent="0.25">
      <c r="A5277" s="75">
        <v>31281506</v>
      </c>
      <c r="B5277" s="76" t="s">
        <v>3205</v>
      </c>
    </row>
    <row r="5278" spans="1:2" x14ac:dyDescent="0.25">
      <c r="A5278" s="75">
        <v>31281507</v>
      </c>
      <c r="B5278" s="76" t="s">
        <v>1287</v>
      </c>
    </row>
    <row r="5279" spans="1:2" x14ac:dyDescent="0.25">
      <c r="A5279" s="75">
        <v>31281508</v>
      </c>
      <c r="B5279" s="76" t="s">
        <v>10822</v>
      </c>
    </row>
    <row r="5280" spans="1:2" x14ac:dyDescent="0.25">
      <c r="A5280" s="75">
        <v>31281509</v>
      </c>
      <c r="B5280" s="76" t="s">
        <v>6976</v>
      </c>
    </row>
    <row r="5281" spans="1:2" x14ac:dyDescent="0.25">
      <c r="A5281" s="75">
        <v>31281510</v>
      </c>
      <c r="B5281" s="76" t="s">
        <v>6437</v>
      </c>
    </row>
    <row r="5282" spans="1:2" x14ac:dyDescent="0.25">
      <c r="A5282" s="75">
        <v>31281511</v>
      </c>
      <c r="B5282" s="76" t="s">
        <v>7887</v>
      </c>
    </row>
    <row r="5283" spans="1:2" x14ac:dyDescent="0.25">
      <c r="A5283" s="75">
        <v>31281512</v>
      </c>
      <c r="B5283" s="76" t="s">
        <v>13440</v>
      </c>
    </row>
    <row r="5284" spans="1:2" x14ac:dyDescent="0.25">
      <c r="A5284" s="75">
        <v>31281513</v>
      </c>
      <c r="B5284" s="76" t="s">
        <v>16139</v>
      </c>
    </row>
    <row r="5285" spans="1:2" x14ac:dyDescent="0.25">
      <c r="A5285" s="75">
        <v>31281514</v>
      </c>
      <c r="B5285" s="76" t="s">
        <v>12099</v>
      </c>
    </row>
    <row r="5286" spans="1:2" x14ac:dyDescent="0.25">
      <c r="A5286" s="75">
        <v>31281515</v>
      </c>
      <c r="B5286" s="76" t="s">
        <v>396</v>
      </c>
    </row>
    <row r="5287" spans="1:2" x14ac:dyDescent="0.25">
      <c r="A5287" s="75">
        <v>31281516</v>
      </c>
      <c r="B5287" s="76" t="s">
        <v>9556</v>
      </c>
    </row>
    <row r="5288" spans="1:2" x14ac:dyDescent="0.25">
      <c r="A5288" s="75">
        <v>31281517</v>
      </c>
      <c r="B5288" s="76" t="s">
        <v>3947</v>
      </c>
    </row>
    <row r="5289" spans="1:2" x14ac:dyDescent="0.25">
      <c r="A5289" s="75">
        <v>31281518</v>
      </c>
      <c r="B5289" s="76" t="s">
        <v>5816</v>
      </c>
    </row>
    <row r="5290" spans="1:2" x14ac:dyDescent="0.25">
      <c r="A5290" s="75">
        <v>31281519</v>
      </c>
      <c r="B5290" s="76" t="s">
        <v>14888</v>
      </c>
    </row>
    <row r="5291" spans="1:2" x14ac:dyDescent="0.25">
      <c r="A5291" s="75">
        <v>31281520</v>
      </c>
      <c r="B5291" s="76" t="s">
        <v>16573</v>
      </c>
    </row>
    <row r="5292" spans="1:2" x14ac:dyDescent="0.25">
      <c r="A5292" s="75">
        <v>31281521</v>
      </c>
      <c r="B5292" s="76" t="s">
        <v>11304</v>
      </c>
    </row>
    <row r="5293" spans="1:2" x14ac:dyDescent="0.25">
      <c r="A5293" s="75">
        <v>31281701</v>
      </c>
      <c r="B5293" s="76" t="s">
        <v>14342</v>
      </c>
    </row>
    <row r="5294" spans="1:2" x14ac:dyDescent="0.25">
      <c r="A5294" s="75">
        <v>31281801</v>
      </c>
      <c r="B5294" s="76" t="s">
        <v>7801</v>
      </c>
    </row>
    <row r="5295" spans="1:2" x14ac:dyDescent="0.25">
      <c r="A5295" s="75">
        <v>31281802</v>
      </c>
      <c r="B5295" s="76" t="s">
        <v>13859</v>
      </c>
    </row>
    <row r="5296" spans="1:2" x14ac:dyDescent="0.25">
      <c r="A5296" s="75">
        <v>31281803</v>
      </c>
      <c r="B5296" s="76" t="s">
        <v>5949</v>
      </c>
    </row>
    <row r="5297" spans="1:2" x14ac:dyDescent="0.25">
      <c r="A5297" s="75">
        <v>31281804</v>
      </c>
      <c r="B5297" s="76" t="s">
        <v>11949</v>
      </c>
    </row>
    <row r="5298" spans="1:2" x14ac:dyDescent="0.25">
      <c r="A5298" s="75">
        <v>31281805</v>
      </c>
      <c r="B5298" s="76" t="s">
        <v>6390</v>
      </c>
    </row>
    <row r="5299" spans="1:2" x14ac:dyDescent="0.25">
      <c r="A5299" s="75">
        <v>31281806</v>
      </c>
      <c r="B5299" s="76" t="s">
        <v>7975</v>
      </c>
    </row>
    <row r="5300" spans="1:2" x14ac:dyDescent="0.25">
      <c r="A5300" s="75">
        <v>31281807</v>
      </c>
      <c r="B5300" s="76" t="s">
        <v>2405</v>
      </c>
    </row>
    <row r="5301" spans="1:2" x14ac:dyDescent="0.25">
      <c r="A5301" s="75">
        <v>31281808</v>
      </c>
      <c r="B5301" s="76" t="s">
        <v>6513</v>
      </c>
    </row>
    <row r="5302" spans="1:2" x14ac:dyDescent="0.25">
      <c r="A5302" s="75">
        <v>31281809</v>
      </c>
      <c r="B5302" s="76" t="s">
        <v>2298</v>
      </c>
    </row>
    <row r="5303" spans="1:2" x14ac:dyDescent="0.25">
      <c r="A5303" s="75">
        <v>31281810</v>
      </c>
      <c r="B5303" s="76" t="s">
        <v>7127</v>
      </c>
    </row>
    <row r="5304" spans="1:2" x14ac:dyDescent="0.25">
      <c r="A5304" s="75">
        <v>31281811</v>
      </c>
      <c r="B5304" s="76" t="s">
        <v>17113</v>
      </c>
    </row>
    <row r="5305" spans="1:2" x14ac:dyDescent="0.25">
      <c r="A5305" s="75">
        <v>31281812</v>
      </c>
      <c r="B5305" s="76" t="s">
        <v>5448</v>
      </c>
    </row>
    <row r="5306" spans="1:2" x14ac:dyDescent="0.25">
      <c r="A5306" s="75">
        <v>31281813</v>
      </c>
      <c r="B5306" s="76" t="s">
        <v>4735</v>
      </c>
    </row>
    <row r="5307" spans="1:2" x14ac:dyDescent="0.25">
      <c r="A5307" s="75">
        <v>31281814</v>
      </c>
      <c r="B5307" s="76" t="s">
        <v>19102</v>
      </c>
    </row>
    <row r="5308" spans="1:2" x14ac:dyDescent="0.25">
      <c r="A5308" s="75">
        <v>31281815</v>
      </c>
      <c r="B5308" s="76" t="s">
        <v>5852</v>
      </c>
    </row>
    <row r="5309" spans="1:2" x14ac:dyDescent="0.25">
      <c r="A5309" s="75">
        <v>31281816</v>
      </c>
      <c r="B5309" s="76" t="s">
        <v>16762</v>
      </c>
    </row>
    <row r="5310" spans="1:2" x14ac:dyDescent="0.25">
      <c r="A5310" s="75">
        <v>31281817</v>
      </c>
      <c r="B5310" s="76" t="s">
        <v>10938</v>
      </c>
    </row>
    <row r="5311" spans="1:2" x14ac:dyDescent="0.25">
      <c r="A5311" s="75">
        <v>31281818</v>
      </c>
      <c r="B5311" s="76" t="s">
        <v>13507</v>
      </c>
    </row>
    <row r="5312" spans="1:2" x14ac:dyDescent="0.25">
      <c r="A5312" s="75">
        <v>31281819</v>
      </c>
      <c r="B5312" s="76" t="s">
        <v>4553</v>
      </c>
    </row>
    <row r="5313" spans="1:2" x14ac:dyDescent="0.25">
      <c r="A5313" s="75">
        <v>31281901</v>
      </c>
      <c r="B5313" s="76" t="s">
        <v>15531</v>
      </c>
    </row>
    <row r="5314" spans="1:2" x14ac:dyDescent="0.25">
      <c r="A5314" s="75">
        <v>31281902</v>
      </c>
      <c r="B5314" s="76" t="s">
        <v>1093</v>
      </c>
    </row>
    <row r="5315" spans="1:2" x14ac:dyDescent="0.25">
      <c r="A5315" s="75">
        <v>31281903</v>
      </c>
      <c r="B5315" s="76" t="s">
        <v>13226</v>
      </c>
    </row>
    <row r="5316" spans="1:2" x14ac:dyDescent="0.25">
      <c r="A5316" s="75">
        <v>31281904</v>
      </c>
      <c r="B5316" s="76" t="s">
        <v>8131</v>
      </c>
    </row>
    <row r="5317" spans="1:2" x14ac:dyDescent="0.25">
      <c r="A5317" s="75">
        <v>31281905</v>
      </c>
      <c r="B5317" s="76" t="s">
        <v>18797</v>
      </c>
    </row>
    <row r="5318" spans="1:2" x14ac:dyDescent="0.25">
      <c r="A5318" s="75">
        <v>31281906</v>
      </c>
      <c r="B5318" s="76" t="s">
        <v>17383</v>
      </c>
    </row>
    <row r="5319" spans="1:2" x14ac:dyDescent="0.25">
      <c r="A5319" s="75">
        <v>31281907</v>
      </c>
      <c r="B5319" s="76" t="s">
        <v>5204</v>
      </c>
    </row>
    <row r="5320" spans="1:2" x14ac:dyDescent="0.25">
      <c r="A5320" s="75">
        <v>31281908</v>
      </c>
      <c r="B5320" s="76" t="s">
        <v>12798</v>
      </c>
    </row>
    <row r="5321" spans="1:2" x14ac:dyDescent="0.25">
      <c r="A5321" s="75">
        <v>31281909</v>
      </c>
      <c r="B5321" s="76" t="s">
        <v>12687</v>
      </c>
    </row>
    <row r="5322" spans="1:2" x14ac:dyDescent="0.25">
      <c r="A5322" s="75">
        <v>31281910</v>
      </c>
      <c r="B5322" s="76" t="s">
        <v>18000</v>
      </c>
    </row>
    <row r="5323" spans="1:2" x14ac:dyDescent="0.25">
      <c r="A5323" s="75">
        <v>31281911</v>
      </c>
      <c r="B5323" s="76" t="s">
        <v>13154</v>
      </c>
    </row>
    <row r="5324" spans="1:2" x14ac:dyDescent="0.25">
      <c r="A5324" s="75">
        <v>31281912</v>
      </c>
      <c r="B5324" s="76" t="s">
        <v>4271</v>
      </c>
    </row>
    <row r="5325" spans="1:2" x14ac:dyDescent="0.25">
      <c r="A5325" s="75">
        <v>31281913</v>
      </c>
      <c r="B5325" s="76" t="s">
        <v>16138</v>
      </c>
    </row>
    <row r="5326" spans="1:2" x14ac:dyDescent="0.25">
      <c r="A5326" s="75">
        <v>31281914</v>
      </c>
      <c r="B5326" s="76" t="s">
        <v>16273</v>
      </c>
    </row>
    <row r="5327" spans="1:2" x14ac:dyDescent="0.25">
      <c r="A5327" s="75">
        <v>31281915</v>
      </c>
      <c r="B5327" s="76" t="s">
        <v>1112</v>
      </c>
    </row>
    <row r="5328" spans="1:2" x14ac:dyDescent="0.25">
      <c r="A5328" s="75">
        <v>31281916</v>
      </c>
      <c r="B5328" s="76" t="s">
        <v>9205</v>
      </c>
    </row>
    <row r="5329" spans="1:2" x14ac:dyDescent="0.25">
      <c r="A5329" s="75">
        <v>31281917</v>
      </c>
      <c r="B5329" s="76" t="s">
        <v>7430</v>
      </c>
    </row>
    <row r="5330" spans="1:2" x14ac:dyDescent="0.25">
      <c r="A5330" s="75">
        <v>31281918</v>
      </c>
      <c r="B5330" s="76" t="s">
        <v>1723</v>
      </c>
    </row>
    <row r="5331" spans="1:2" x14ac:dyDescent="0.25">
      <c r="A5331" s="75">
        <v>31281919</v>
      </c>
      <c r="B5331" s="76" t="s">
        <v>4567</v>
      </c>
    </row>
    <row r="5332" spans="1:2" x14ac:dyDescent="0.25">
      <c r="A5332" s="75">
        <v>31282001</v>
      </c>
      <c r="B5332" s="76" t="s">
        <v>951</v>
      </c>
    </row>
    <row r="5333" spans="1:2" x14ac:dyDescent="0.25">
      <c r="A5333" s="75">
        <v>31282002</v>
      </c>
      <c r="B5333" s="76" t="s">
        <v>11028</v>
      </c>
    </row>
    <row r="5334" spans="1:2" x14ac:dyDescent="0.25">
      <c r="A5334" s="75">
        <v>31282003</v>
      </c>
      <c r="B5334" s="76" t="s">
        <v>15738</v>
      </c>
    </row>
    <row r="5335" spans="1:2" x14ac:dyDescent="0.25">
      <c r="A5335" s="75">
        <v>31282004</v>
      </c>
      <c r="B5335" s="76" t="s">
        <v>7111</v>
      </c>
    </row>
    <row r="5336" spans="1:2" x14ac:dyDescent="0.25">
      <c r="A5336" s="75">
        <v>31282005</v>
      </c>
      <c r="B5336" s="76" t="s">
        <v>14127</v>
      </c>
    </row>
    <row r="5337" spans="1:2" x14ac:dyDescent="0.25">
      <c r="A5337" s="75">
        <v>31282006</v>
      </c>
      <c r="B5337" s="76" t="s">
        <v>17906</v>
      </c>
    </row>
    <row r="5338" spans="1:2" x14ac:dyDescent="0.25">
      <c r="A5338" s="75">
        <v>31282007</v>
      </c>
      <c r="B5338" s="76" t="s">
        <v>7189</v>
      </c>
    </row>
    <row r="5339" spans="1:2" x14ac:dyDescent="0.25">
      <c r="A5339" s="75">
        <v>31282008</v>
      </c>
      <c r="B5339" s="76" t="s">
        <v>3951</v>
      </c>
    </row>
    <row r="5340" spans="1:2" x14ac:dyDescent="0.25">
      <c r="A5340" s="75">
        <v>31282009</v>
      </c>
      <c r="B5340" s="76" t="s">
        <v>11258</v>
      </c>
    </row>
    <row r="5341" spans="1:2" x14ac:dyDescent="0.25">
      <c r="A5341" s="75">
        <v>31282010</v>
      </c>
      <c r="B5341" s="76" t="s">
        <v>18849</v>
      </c>
    </row>
    <row r="5342" spans="1:2" x14ac:dyDescent="0.25">
      <c r="A5342" s="75">
        <v>31282011</v>
      </c>
      <c r="B5342" s="76" t="s">
        <v>11343</v>
      </c>
    </row>
    <row r="5343" spans="1:2" x14ac:dyDescent="0.25">
      <c r="A5343" s="75">
        <v>31282012</v>
      </c>
      <c r="B5343" s="76" t="s">
        <v>11955</v>
      </c>
    </row>
    <row r="5344" spans="1:2" x14ac:dyDescent="0.25">
      <c r="A5344" s="75">
        <v>31282013</v>
      </c>
      <c r="B5344" s="76" t="s">
        <v>7128</v>
      </c>
    </row>
    <row r="5345" spans="1:2" x14ac:dyDescent="0.25">
      <c r="A5345" s="75">
        <v>31282014</v>
      </c>
      <c r="B5345" s="76" t="s">
        <v>39</v>
      </c>
    </row>
    <row r="5346" spans="1:2" x14ac:dyDescent="0.25">
      <c r="A5346" s="75">
        <v>31282015</v>
      </c>
      <c r="B5346" s="76" t="s">
        <v>652</v>
      </c>
    </row>
    <row r="5347" spans="1:2" x14ac:dyDescent="0.25">
      <c r="A5347" s="75">
        <v>31282016</v>
      </c>
      <c r="B5347" s="76" t="s">
        <v>7366</v>
      </c>
    </row>
    <row r="5348" spans="1:2" x14ac:dyDescent="0.25">
      <c r="A5348" s="75">
        <v>31282017</v>
      </c>
      <c r="B5348" s="76" t="s">
        <v>19964</v>
      </c>
    </row>
    <row r="5349" spans="1:2" x14ac:dyDescent="0.25">
      <c r="A5349" s="75">
        <v>31282018</v>
      </c>
      <c r="B5349" s="76" t="s">
        <v>1120</v>
      </c>
    </row>
    <row r="5350" spans="1:2" x14ac:dyDescent="0.25">
      <c r="A5350" s="75">
        <v>31282019</v>
      </c>
      <c r="B5350" s="76" t="s">
        <v>11174</v>
      </c>
    </row>
    <row r="5351" spans="1:2" x14ac:dyDescent="0.25">
      <c r="A5351" s="75">
        <v>31282101</v>
      </c>
      <c r="B5351" s="76" t="s">
        <v>4374</v>
      </c>
    </row>
    <row r="5352" spans="1:2" x14ac:dyDescent="0.25">
      <c r="A5352" s="75">
        <v>31282102</v>
      </c>
      <c r="B5352" s="76" t="s">
        <v>17706</v>
      </c>
    </row>
    <row r="5353" spans="1:2" x14ac:dyDescent="0.25">
      <c r="A5353" s="75">
        <v>31282103</v>
      </c>
      <c r="B5353" s="76" t="s">
        <v>9730</v>
      </c>
    </row>
    <row r="5354" spans="1:2" x14ac:dyDescent="0.25">
      <c r="A5354" s="75">
        <v>31282104</v>
      </c>
      <c r="B5354" s="76" t="s">
        <v>1233</v>
      </c>
    </row>
    <row r="5355" spans="1:2" x14ac:dyDescent="0.25">
      <c r="A5355" s="75">
        <v>31282105</v>
      </c>
      <c r="B5355" s="76" t="s">
        <v>6664</v>
      </c>
    </row>
    <row r="5356" spans="1:2" x14ac:dyDescent="0.25">
      <c r="A5356" s="75">
        <v>31282106</v>
      </c>
      <c r="B5356" s="76" t="s">
        <v>2552</v>
      </c>
    </row>
    <row r="5357" spans="1:2" x14ac:dyDescent="0.25">
      <c r="A5357" s="75">
        <v>31282107</v>
      </c>
      <c r="B5357" s="76" t="s">
        <v>10610</v>
      </c>
    </row>
    <row r="5358" spans="1:2" x14ac:dyDescent="0.25">
      <c r="A5358" s="75">
        <v>31282108</v>
      </c>
      <c r="B5358" s="76" t="s">
        <v>10329</v>
      </c>
    </row>
    <row r="5359" spans="1:2" x14ac:dyDescent="0.25">
      <c r="A5359" s="75">
        <v>31282109</v>
      </c>
      <c r="B5359" s="76" t="s">
        <v>6303</v>
      </c>
    </row>
    <row r="5360" spans="1:2" x14ac:dyDescent="0.25">
      <c r="A5360" s="75">
        <v>31282110</v>
      </c>
      <c r="B5360" s="76" t="s">
        <v>18206</v>
      </c>
    </row>
    <row r="5361" spans="1:2" x14ac:dyDescent="0.25">
      <c r="A5361" s="75">
        <v>31282111</v>
      </c>
      <c r="B5361" s="76" t="s">
        <v>5221</v>
      </c>
    </row>
    <row r="5362" spans="1:2" x14ac:dyDescent="0.25">
      <c r="A5362" s="75">
        <v>31282112</v>
      </c>
      <c r="B5362" s="76" t="s">
        <v>15706</v>
      </c>
    </row>
    <row r="5363" spans="1:2" x14ac:dyDescent="0.25">
      <c r="A5363" s="75">
        <v>31282113</v>
      </c>
      <c r="B5363" s="76" t="s">
        <v>8116</v>
      </c>
    </row>
    <row r="5364" spans="1:2" x14ac:dyDescent="0.25">
      <c r="A5364" s="75">
        <v>31282114</v>
      </c>
      <c r="B5364" s="76" t="s">
        <v>19672</v>
      </c>
    </row>
    <row r="5365" spans="1:2" x14ac:dyDescent="0.25">
      <c r="A5365" s="75">
        <v>31282115</v>
      </c>
      <c r="B5365" s="76" t="s">
        <v>14444</v>
      </c>
    </row>
    <row r="5366" spans="1:2" x14ac:dyDescent="0.25">
      <c r="A5366" s="75">
        <v>31282116</v>
      </c>
      <c r="B5366" s="76" t="s">
        <v>14198</v>
      </c>
    </row>
    <row r="5367" spans="1:2" x14ac:dyDescent="0.25">
      <c r="A5367" s="75">
        <v>31282117</v>
      </c>
      <c r="B5367" s="76" t="s">
        <v>4447</v>
      </c>
    </row>
    <row r="5368" spans="1:2" x14ac:dyDescent="0.25">
      <c r="A5368" s="75">
        <v>31282118</v>
      </c>
      <c r="B5368" s="76" t="s">
        <v>11686</v>
      </c>
    </row>
    <row r="5369" spans="1:2" x14ac:dyDescent="0.25">
      <c r="A5369" s="75">
        <v>31282119</v>
      </c>
      <c r="B5369" s="76" t="s">
        <v>431</v>
      </c>
    </row>
    <row r="5370" spans="1:2" x14ac:dyDescent="0.25">
      <c r="A5370" s="75">
        <v>31282201</v>
      </c>
      <c r="B5370" s="76" t="s">
        <v>18421</v>
      </c>
    </row>
    <row r="5371" spans="1:2" x14ac:dyDescent="0.25">
      <c r="A5371" s="75">
        <v>31282202</v>
      </c>
      <c r="B5371" s="76" t="s">
        <v>3631</v>
      </c>
    </row>
    <row r="5372" spans="1:2" x14ac:dyDescent="0.25">
      <c r="A5372" s="75">
        <v>31282203</v>
      </c>
      <c r="B5372" s="76" t="s">
        <v>17371</v>
      </c>
    </row>
    <row r="5373" spans="1:2" x14ac:dyDescent="0.25">
      <c r="A5373" s="75">
        <v>31282204</v>
      </c>
      <c r="B5373" s="76" t="s">
        <v>3152</v>
      </c>
    </row>
    <row r="5374" spans="1:2" x14ac:dyDescent="0.25">
      <c r="A5374" s="75">
        <v>31282205</v>
      </c>
      <c r="B5374" s="76" t="s">
        <v>7707</v>
      </c>
    </row>
    <row r="5375" spans="1:2" x14ac:dyDescent="0.25">
      <c r="A5375" s="75">
        <v>31282206</v>
      </c>
      <c r="B5375" s="76" t="s">
        <v>2224</v>
      </c>
    </row>
    <row r="5376" spans="1:2" x14ac:dyDescent="0.25">
      <c r="A5376" s="75">
        <v>31282207</v>
      </c>
      <c r="B5376" s="76" t="s">
        <v>16489</v>
      </c>
    </row>
    <row r="5377" spans="1:2" x14ac:dyDescent="0.25">
      <c r="A5377" s="75">
        <v>31282208</v>
      </c>
      <c r="B5377" s="76" t="s">
        <v>17736</v>
      </c>
    </row>
    <row r="5378" spans="1:2" x14ac:dyDescent="0.25">
      <c r="A5378" s="75">
        <v>31282209</v>
      </c>
      <c r="B5378" s="76" t="s">
        <v>9711</v>
      </c>
    </row>
    <row r="5379" spans="1:2" x14ac:dyDescent="0.25">
      <c r="A5379" s="75">
        <v>31282210</v>
      </c>
      <c r="B5379" s="76" t="s">
        <v>6169</v>
      </c>
    </row>
    <row r="5380" spans="1:2" x14ac:dyDescent="0.25">
      <c r="A5380" s="75">
        <v>31282211</v>
      </c>
      <c r="B5380" s="76" t="s">
        <v>4585</v>
      </c>
    </row>
    <row r="5381" spans="1:2" x14ac:dyDescent="0.25">
      <c r="A5381" s="75">
        <v>31282212</v>
      </c>
      <c r="B5381" s="76" t="s">
        <v>13979</v>
      </c>
    </row>
    <row r="5382" spans="1:2" x14ac:dyDescent="0.25">
      <c r="A5382" s="75">
        <v>31282213</v>
      </c>
      <c r="B5382" s="76" t="s">
        <v>8692</v>
      </c>
    </row>
    <row r="5383" spans="1:2" x14ac:dyDescent="0.25">
      <c r="A5383" s="75">
        <v>31282214</v>
      </c>
      <c r="B5383" s="76" t="s">
        <v>13593</v>
      </c>
    </row>
    <row r="5384" spans="1:2" x14ac:dyDescent="0.25">
      <c r="A5384" s="75">
        <v>31282215</v>
      </c>
      <c r="B5384" s="76" t="s">
        <v>251</v>
      </c>
    </row>
    <row r="5385" spans="1:2" x14ac:dyDescent="0.25">
      <c r="A5385" s="75">
        <v>31282216</v>
      </c>
      <c r="B5385" s="76" t="s">
        <v>8270</v>
      </c>
    </row>
    <row r="5386" spans="1:2" x14ac:dyDescent="0.25">
      <c r="A5386" s="75">
        <v>31282217</v>
      </c>
      <c r="B5386" s="76" t="s">
        <v>19056</v>
      </c>
    </row>
    <row r="5387" spans="1:2" x14ac:dyDescent="0.25">
      <c r="A5387" s="75">
        <v>31282218</v>
      </c>
      <c r="B5387" s="76" t="s">
        <v>3244</v>
      </c>
    </row>
    <row r="5388" spans="1:2" x14ac:dyDescent="0.25">
      <c r="A5388" s="75">
        <v>31282219</v>
      </c>
      <c r="B5388" s="76" t="s">
        <v>13687</v>
      </c>
    </row>
    <row r="5389" spans="1:2" x14ac:dyDescent="0.25">
      <c r="A5389" s="75">
        <v>31282301</v>
      </c>
      <c r="B5389" s="76" t="s">
        <v>13306</v>
      </c>
    </row>
    <row r="5390" spans="1:2" x14ac:dyDescent="0.25">
      <c r="A5390" s="75">
        <v>31282302</v>
      </c>
      <c r="B5390" s="76" t="s">
        <v>5431</v>
      </c>
    </row>
    <row r="5391" spans="1:2" x14ac:dyDescent="0.25">
      <c r="A5391" s="75">
        <v>31282303</v>
      </c>
      <c r="B5391" s="76" t="s">
        <v>7893</v>
      </c>
    </row>
    <row r="5392" spans="1:2" x14ac:dyDescent="0.25">
      <c r="A5392" s="75">
        <v>31282304</v>
      </c>
      <c r="B5392" s="76" t="s">
        <v>8868</v>
      </c>
    </row>
    <row r="5393" spans="1:2" x14ac:dyDescent="0.25">
      <c r="A5393" s="75">
        <v>31282305</v>
      </c>
      <c r="B5393" s="76" t="s">
        <v>16428</v>
      </c>
    </row>
    <row r="5394" spans="1:2" x14ac:dyDescent="0.25">
      <c r="A5394" s="75">
        <v>31282306</v>
      </c>
      <c r="B5394" s="76" t="s">
        <v>16917</v>
      </c>
    </row>
    <row r="5395" spans="1:2" x14ac:dyDescent="0.25">
      <c r="A5395" s="75">
        <v>31282307</v>
      </c>
      <c r="B5395" s="76" t="s">
        <v>9208</v>
      </c>
    </row>
    <row r="5396" spans="1:2" x14ac:dyDescent="0.25">
      <c r="A5396" s="75">
        <v>31282308</v>
      </c>
      <c r="B5396" s="76" t="s">
        <v>9224</v>
      </c>
    </row>
    <row r="5397" spans="1:2" x14ac:dyDescent="0.25">
      <c r="A5397" s="75">
        <v>31282309</v>
      </c>
      <c r="B5397" s="76" t="s">
        <v>6769</v>
      </c>
    </row>
    <row r="5398" spans="1:2" x14ac:dyDescent="0.25">
      <c r="A5398" s="75">
        <v>31282310</v>
      </c>
      <c r="B5398" s="76" t="s">
        <v>7644</v>
      </c>
    </row>
    <row r="5399" spans="1:2" x14ac:dyDescent="0.25">
      <c r="A5399" s="75">
        <v>31282311</v>
      </c>
      <c r="B5399" s="76" t="s">
        <v>9456</v>
      </c>
    </row>
    <row r="5400" spans="1:2" x14ac:dyDescent="0.25">
      <c r="A5400" s="75">
        <v>31282312</v>
      </c>
      <c r="B5400" s="76" t="s">
        <v>12677</v>
      </c>
    </row>
    <row r="5401" spans="1:2" x14ac:dyDescent="0.25">
      <c r="A5401" s="75">
        <v>31282313</v>
      </c>
      <c r="B5401" s="76" t="s">
        <v>17305</v>
      </c>
    </row>
    <row r="5402" spans="1:2" x14ac:dyDescent="0.25">
      <c r="A5402" s="75">
        <v>31282314</v>
      </c>
      <c r="B5402" s="76" t="s">
        <v>11314</v>
      </c>
    </row>
    <row r="5403" spans="1:2" x14ac:dyDescent="0.25">
      <c r="A5403" s="75">
        <v>31282315</v>
      </c>
      <c r="B5403" s="76" t="s">
        <v>7523</v>
      </c>
    </row>
    <row r="5404" spans="1:2" x14ac:dyDescent="0.25">
      <c r="A5404" s="75">
        <v>31282316</v>
      </c>
      <c r="B5404" s="76" t="s">
        <v>6831</v>
      </c>
    </row>
    <row r="5405" spans="1:2" x14ac:dyDescent="0.25">
      <c r="A5405" s="75">
        <v>31282317</v>
      </c>
      <c r="B5405" s="76" t="s">
        <v>5483</v>
      </c>
    </row>
    <row r="5406" spans="1:2" x14ac:dyDescent="0.25">
      <c r="A5406" s="75">
        <v>31282318</v>
      </c>
      <c r="B5406" s="76" t="s">
        <v>212</v>
      </c>
    </row>
    <row r="5407" spans="1:2" x14ac:dyDescent="0.25">
      <c r="A5407" s="75">
        <v>31282319</v>
      </c>
      <c r="B5407" s="76" t="s">
        <v>8779</v>
      </c>
    </row>
    <row r="5408" spans="1:2" x14ac:dyDescent="0.25">
      <c r="A5408" s="75">
        <v>31282401</v>
      </c>
      <c r="B5408" s="76" t="s">
        <v>8008</v>
      </c>
    </row>
    <row r="5409" spans="1:2" x14ac:dyDescent="0.25">
      <c r="A5409" s="75">
        <v>31282402</v>
      </c>
      <c r="B5409" s="76" t="s">
        <v>16256</v>
      </c>
    </row>
    <row r="5410" spans="1:2" x14ac:dyDescent="0.25">
      <c r="A5410" s="75">
        <v>31282403</v>
      </c>
      <c r="B5410" s="76" t="s">
        <v>14428</v>
      </c>
    </row>
    <row r="5411" spans="1:2" x14ac:dyDescent="0.25">
      <c r="A5411" s="75">
        <v>31282404</v>
      </c>
      <c r="B5411" s="76" t="s">
        <v>16558</v>
      </c>
    </row>
    <row r="5412" spans="1:2" x14ac:dyDescent="0.25">
      <c r="A5412" s="75">
        <v>31282405</v>
      </c>
      <c r="B5412" s="76" t="s">
        <v>4619</v>
      </c>
    </row>
    <row r="5413" spans="1:2" x14ac:dyDescent="0.25">
      <c r="A5413" s="75">
        <v>31282406</v>
      </c>
      <c r="B5413" s="76" t="s">
        <v>12318</v>
      </c>
    </row>
    <row r="5414" spans="1:2" x14ac:dyDescent="0.25">
      <c r="A5414" s="75">
        <v>31282407</v>
      </c>
      <c r="B5414" s="76" t="s">
        <v>17882</v>
      </c>
    </row>
    <row r="5415" spans="1:2" x14ac:dyDescent="0.25">
      <c r="A5415" s="75">
        <v>31282408</v>
      </c>
      <c r="B5415" s="76" t="s">
        <v>7750</v>
      </c>
    </row>
    <row r="5416" spans="1:2" x14ac:dyDescent="0.25">
      <c r="A5416" s="75">
        <v>31282409</v>
      </c>
      <c r="B5416" s="76" t="s">
        <v>6646</v>
      </c>
    </row>
    <row r="5417" spans="1:2" x14ac:dyDescent="0.25">
      <c r="A5417" s="75">
        <v>31282410</v>
      </c>
      <c r="B5417" s="76" t="s">
        <v>631</v>
      </c>
    </row>
    <row r="5418" spans="1:2" x14ac:dyDescent="0.25">
      <c r="A5418" s="75">
        <v>31282411</v>
      </c>
      <c r="B5418" s="76" t="s">
        <v>1013</v>
      </c>
    </row>
    <row r="5419" spans="1:2" x14ac:dyDescent="0.25">
      <c r="A5419" s="75">
        <v>31282412</v>
      </c>
      <c r="B5419" s="76" t="s">
        <v>10567</v>
      </c>
    </row>
    <row r="5420" spans="1:2" x14ac:dyDescent="0.25">
      <c r="A5420" s="75">
        <v>31282413</v>
      </c>
      <c r="B5420" s="76" t="s">
        <v>13194</v>
      </c>
    </row>
    <row r="5421" spans="1:2" x14ac:dyDescent="0.25">
      <c r="A5421" s="75">
        <v>31282414</v>
      </c>
      <c r="B5421" s="76" t="s">
        <v>16655</v>
      </c>
    </row>
    <row r="5422" spans="1:2" x14ac:dyDescent="0.25">
      <c r="A5422" s="75">
        <v>31282415</v>
      </c>
      <c r="B5422" s="76" t="s">
        <v>16660</v>
      </c>
    </row>
    <row r="5423" spans="1:2" x14ac:dyDescent="0.25">
      <c r="A5423" s="75">
        <v>31282416</v>
      </c>
      <c r="B5423" s="76" t="s">
        <v>8300</v>
      </c>
    </row>
    <row r="5424" spans="1:2" x14ac:dyDescent="0.25">
      <c r="A5424" s="75">
        <v>31282417</v>
      </c>
      <c r="B5424" s="76" t="s">
        <v>4373</v>
      </c>
    </row>
    <row r="5425" spans="1:2" x14ac:dyDescent="0.25">
      <c r="A5425" s="75">
        <v>31282418</v>
      </c>
      <c r="B5425" s="76" t="s">
        <v>13874</v>
      </c>
    </row>
    <row r="5426" spans="1:2" x14ac:dyDescent="0.25">
      <c r="A5426" s="75">
        <v>31282419</v>
      </c>
      <c r="B5426" s="76" t="s">
        <v>351</v>
      </c>
    </row>
    <row r="5427" spans="1:2" x14ac:dyDescent="0.25">
      <c r="A5427" s="75">
        <v>31291101</v>
      </c>
      <c r="B5427" s="76" t="s">
        <v>13019</v>
      </c>
    </row>
    <row r="5428" spans="1:2" x14ac:dyDescent="0.25">
      <c r="A5428" s="75">
        <v>31291102</v>
      </c>
      <c r="B5428" s="76" t="s">
        <v>17858</v>
      </c>
    </row>
    <row r="5429" spans="1:2" x14ac:dyDescent="0.25">
      <c r="A5429" s="75">
        <v>31291103</v>
      </c>
      <c r="B5429" s="76" t="s">
        <v>8241</v>
      </c>
    </row>
    <row r="5430" spans="1:2" x14ac:dyDescent="0.25">
      <c r="A5430" s="75">
        <v>31291104</v>
      </c>
      <c r="B5430" s="76" t="s">
        <v>2349</v>
      </c>
    </row>
    <row r="5431" spans="1:2" x14ac:dyDescent="0.25">
      <c r="A5431" s="75">
        <v>31291105</v>
      </c>
      <c r="B5431" s="76" t="s">
        <v>4884</v>
      </c>
    </row>
    <row r="5432" spans="1:2" x14ac:dyDescent="0.25">
      <c r="A5432" s="75">
        <v>31291106</v>
      </c>
      <c r="B5432" s="76" t="s">
        <v>2929</v>
      </c>
    </row>
    <row r="5433" spans="1:2" x14ac:dyDescent="0.25">
      <c r="A5433" s="75">
        <v>31291107</v>
      </c>
      <c r="B5433" s="76" t="s">
        <v>9312</v>
      </c>
    </row>
    <row r="5434" spans="1:2" x14ac:dyDescent="0.25">
      <c r="A5434" s="75">
        <v>31291108</v>
      </c>
      <c r="B5434" s="76" t="s">
        <v>10340</v>
      </c>
    </row>
    <row r="5435" spans="1:2" x14ac:dyDescent="0.25">
      <c r="A5435" s="75">
        <v>31291109</v>
      </c>
      <c r="B5435" s="76" t="s">
        <v>9088</v>
      </c>
    </row>
    <row r="5436" spans="1:2" x14ac:dyDescent="0.25">
      <c r="A5436" s="75">
        <v>31291110</v>
      </c>
      <c r="B5436" s="76" t="s">
        <v>6160</v>
      </c>
    </row>
    <row r="5437" spans="1:2" x14ac:dyDescent="0.25">
      <c r="A5437" s="75">
        <v>31291111</v>
      </c>
      <c r="B5437" s="76" t="s">
        <v>12276</v>
      </c>
    </row>
    <row r="5438" spans="1:2" x14ac:dyDescent="0.25">
      <c r="A5438" s="75">
        <v>31291112</v>
      </c>
      <c r="B5438" s="76" t="s">
        <v>16484</v>
      </c>
    </row>
    <row r="5439" spans="1:2" x14ac:dyDescent="0.25">
      <c r="A5439" s="75">
        <v>31291113</v>
      </c>
      <c r="B5439" s="76" t="s">
        <v>7027</v>
      </c>
    </row>
    <row r="5440" spans="1:2" x14ac:dyDescent="0.25">
      <c r="A5440" s="75">
        <v>31291114</v>
      </c>
      <c r="B5440" s="76" t="s">
        <v>19927</v>
      </c>
    </row>
    <row r="5441" spans="1:2" x14ac:dyDescent="0.25">
      <c r="A5441" s="75">
        <v>31291115</v>
      </c>
      <c r="B5441" s="76" t="s">
        <v>18266</v>
      </c>
    </row>
    <row r="5442" spans="1:2" x14ac:dyDescent="0.25">
      <c r="A5442" s="75">
        <v>31291116</v>
      </c>
      <c r="B5442" s="76" t="s">
        <v>9658</v>
      </c>
    </row>
    <row r="5443" spans="1:2" x14ac:dyDescent="0.25">
      <c r="A5443" s="75">
        <v>31291117</v>
      </c>
      <c r="B5443" s="76" t="s">
        <v>11559</v>
      </c>
    </row>
    <row r="5444" spans="1:2" x14ac:dyDescent="0.25">
      <c r="A5444" s="75">
        <v>31291118</v>
      </c>
      <c r="B5444" s="76" t="s">
        <v>1147</v>
      </c>
    </row>
    <row r="5445" spans="1:2" x14ac:dyDescent="0.25">
      <c r="A5445" s="75">
        <v>31291119</v>
      </c>
      <c r="B5445" s="76" t="s">
        <v>6628</v>
      </c>
    </row>
    <row r="5446" spans="1:2" x14ac:dyDescent="0.25">
      <c r="A5446" s="75">
        <v>31291120</v>
      </c>
      <c r="B5446" s="76" t="s">
        <v>13172</v>
      </c>
    </row>
    <row r="5447" spans="1:2" x14ac:dyDescent="0.25">
      <c r="A5447" s="75">
        <v>31291201</v>
      </c>
      <c r="B5447" s="76" t="s">
        <v>12150</v>
      </c>
    </row>
    <row r="5448" spans="1:2" x14ac:dyDescent="0.25">
      <c r="A5448" s="75">
        <v>31291202</v>
      </c>
      <c r="B5448" s="76" t="s">
        <v>6977</v>
      </c>
    </row>
    <row r="5449" spans="1:2" x14ac:dyDescent="0.25">
      <c r="A5449" s="75">
        <v>31291203</v>
      </c>
      <c r="B5449" s="76" t="s">
        <v>1872</v>
      </c>
    </row>
    <row r="5450" spans="1:2" x14ac:dyDescent="0.25">
      <c r="A5450" s="75">
        <v>31291204</v>
      </c>
      <c r="B5450" s="76" t="s">
        <v>5531</v>
      </c>
    </row>
    <row r="5451" spans="1:2" x14ac:dyDescent="0.25">
      <c r="A5451" s="75">
        <v>31291205</v>
      </c>
      <c r="B5451" s="76" t="s">
        <v>15892</v>
      </c>
    </row>
    <row r="5452" spans="1:2" x14ac:dyDescent="0.25">
      <c r="A5452" s="75">
        <v>31291206</v>
      </c>
      <c r="B5452" s="76" t="s">
        <v>14257</v>
      </c>
    </row>
    <row r="5453" spans="1:2" x14ac:dyDescent="0.25">
      <c r="A5453" s="75">
        <v>31291207</v>
      </c>
      <c r="B5453" s="76" t="s">
        <v>7812</v>
      </c>
    </row>
    <row r="5454" spans="1:2" x14ac:dyDescent="0.25">
      <c r="A5454" s="75">
        <v>31291208</v>
      </c>
      <c r="B5454" s="76" t="s">
        <v>10695</v>
      </c>
    </row>
    <row r="5455" spans="1:2" x14ac:dyDescent="0.25">
      <c r="A5455" s="75">
        <v>31291209</v>
      </c>
      <c r="B5455" s="76" t="s">
        <v>8366</v>
      </c>
    </row>
    <row r="5456" spans="1:2" x14ac:dyDescent="0.25">
      <c r="A5456" s="75">
        <v>31291210</v>
      </c>
      <c r="B5456" s="76" t="s">
        <v>13682</v>
      </c>
    </row>
    <row r="5457" spans="1:2" x14ac:dyDescent="0.25">
      <c r="A5457" s="75">
        <v>31291211</v>
      </c>
      <c r="B5457" s="76" t="s">
        <v>3065</v>
      </c>
    </row>
    <row r="5458" spans="1:2" x14ac:dyDescent="0.25">
      <c r="A5458" s="75">
        <v>31291212</v>
      </c>
      <c r="B5458" s="76" t="s">
        <v>11354</v>
      </c>
    </row>
    <row r="5459" spans="1:2" x14ac:dyDescent="0.25">
      <c r="A5459" s="75">
        <v>31291213</v>
      </c>
      <c r="B5459" s="76" t="s">
        <v>5502</v>
      </c>
    </row>
    <row r="5460" spans="1:2" x14ac:dyDescent="0.25">
      <c r="A5460" s="75">
        <v>31291214</v>
      </c>
      <c r="B5460" s="76" t="s">
        <v>1244</v>
      </c>
    </row>
    <row r="5461" spans="1:2" x14ac:dyDescent="0.25">
      <c r="A5461" s="75">
        <v>31291215</v>
      </c>
      <c r="B5461" s="76" t="s">
        <v>7160</v>
      </c>
    </row>
    <row r="5462" spans="1:2" x14ac:dyDescent="0.25">
      <c r="A5462" s="75">
        <v>31291216</v>
      </c>
      <c r="B5462" s="76" t="s">
        <v>10622</v>
      </c>
    </row>
    <row r="5463" spans="1:2" x14ac:dyDescent="0.25">
      <c r="A5463" s="75">
        <v>31291217</v>
      </c>
      <c r="B5463" s="76" t="s">
        <v>12048</v>
      </c>
    </row>
    <row r="5464" spans="1:2" x14ac:dyDescent="0.25">
      <c r="A5464" s="75">
        <v>31291218</v>
      </c>
      <c r="B5464" s="76" t="s">
        <v>629</v>
      </c>
    </row>
    <row r="5465" spans="1:2" x14ac:dyDescent="0.25">
      <c r="A5465" s="75">
        <v>31291219</v>
      </c>
      <c r="B5465" s="76" t="s">
        <v>4651</v>
      </c>
    </row>
    <row r="5466" spans="1:2" x14ac:dyDescent="0.25">
      <c r="A5466" s="75">
        <v>31291220</v>
      </c>
      <c r="B5466" s="76" t="s">
        <v>8473</v>
      </c>
    </row>
    <row r="5467" spans="1:2" x14ac:dyDescent="0.25">
      <c r="A5467" s="75">
        <v>31291301</v>
      </c>
      <c r="B5467" s="76" t="s">
        <v>16011</v>
      </c>
    </row>
    <row r="5468" spans="1:2" x14ac:dyDescent="0.25">
      <c r="A5468" s="75">
        <v>31291302</v>
      </c>
      <c r="B5468" s="76" t="s">
        <v>17762</v>
      </c>
    </row>
    <row r="5469" spans="1:2" x14ac:dyDescent="0.25">
      <c r="A5469" s="75">
        <v>31291303</v>
      </c>
      <c r="B5469" s="76" t="s">
        <v>6961</v>
      </c>
    </row>
    <row r="5470" spans="1:2" x14ac:dyDescent="0.25">
      <c r="A5470" s="75">
        <v>31291304</v>
      </c>
      <c r="B5470" s="76" t="s">
        <v>17160</v>
      </c>
    </row>
    <row r="5471" spans="1:2" x14ac:dyDescent="0.25">
      <c r="A5471" s="75">
        <v>31291305</v>
      </c>
      <c r="B5471" s="76" t="s">
        <v>10227</v>
      </c>
    </row>
    <row r="5472" spans="1:2" x14ac:dyDescent="0.25">
      <c r="A5472" s="75">
        <v>31291306</v>
      </c>
      <c r="B5472" s="76" t="s">
        <v>11019</v>
      </c>
    </row>
    <row r="5473" spans="1:2" x14ac:dyDescent="0.25">
      <c r="A5473" s="75">
        <v>31291307</v>
      </c>
      <c r="B5473" s="76" t="s">
        <v>11698</v>
      </c>
    </row>
    <row r="5474" spans="1:2" x14ac:dyDescent="0.25">
      <c r="A5474" s="75">
        <v>31291308</v>
      </c>
      <c r="B5474" s="76" t="s">
        <v>13265</v>
      </c>
    </row>
    <row r="5475" spans="1:2" x14ac:dyDescent="0.25">
      <c r="A5475" s="75">
        <v>31291309</v>
      </c>
      <c r="B5475" s="76" t="s">
        <v>630</v>
      </c>
    </row>
    <row r="5476" spans="1:2" x14ac:dyDescent="0.25">
      <c r="A5476" s="75">
        <v>31291310</v>
      </c>
      <c r="B5476" s="76" t="s">
        <v>12859</v>
      </c>
    </row>
    <row r="5477" spans="1:2" x14ac:dyDescent="0.25">
      <c r="A5477" s="75">
        <v>31291311</v>
      </c>
      <c r="B5477" s="76" t="s">
        <v>6770</v>
      </c>
    </row>
    <row r="5478" spans="1:2" x14ac:dyDescent="0.25">
      <c r="A5478" s="75">
        <v>31291312</v>
      </c>
      <c r="B5478" s="76" t="s">
        <v>11515</v>
      </c>
    </row>
    <row r="5479" spans="1:2" x14ac:dyDescent="0.25">
      <c r="A5479" s="75">
        <v>31291313</v>
      </c>
      <c r="B5479" s="76" t="s">
        <v>20056</v>
      </c>
    </row>
    <row r="5480" spans="1:2" x14ac:dyDescent="0.25">
      <c r="A5480" s="75">
        <v>31291314</v>
      </c>
      <c r="B5480" s="76" t="s">
        <v>19548</v>
      </c>
    </row>
    <row r="5481" spans="1:2" x14ac:dyDescent="0.25">
      <c r="A5481" s="75">
        <v>31291315</v>
      </c>
      <c r="B5481" s="76" t="s">
        <v>12516</v>
      </c>
    </row>
    <row r="5482" spans="1:2" x14ac:dyDescent="0.25">
      <c r="A5482" s="75">
        <v>31291316</v>
      </c>
      <c r="B5482" s="76" t="s">
        <v>18263</v>
      </c>
    </row>
    <row r="5483" spans="1:2" x14ac:dyDescent="0.25">
      <c r="A5483" s="75">
        <v>31291317</v>
      </c>
      <c r="B5483" s="76" t="s">
        <v>1061</v>
      </c>
    </row>
    <row r="5484" spans="1:2" x14ac:dyDescent="0.25">
      <c r="A5484" s="75">
        <v>31291318</v>
      </c>
      <c r="B5484" s="76" t="s">
        <v>7828</v>
      </c>
    </row>
    <row r="5485" spans="1:2" x14ac:dyDescent="0.25">
      <c r="A5485" s="75">
        <v>31291319</v>
      </c>
      <c r="B5485" s="76" t="s">
        <v>12700</v>
      </c>
    </row>
    <row r="5486" spans="1:2" x14ac:dyDescent="0.25">
      <c r="A5486" s="75">
        <v>31291320</v>
      </c>
      <c r="B5486" s="76" t="s">
        <v>15623</v>
      </c>
    </row>
    <row r="5487" spans="1:2" x14ac:dyDescent="0.25">
      <c r="A5487" s="75">
        <v>31291401</v>
      </c>
      <c r="B5487" s="76" t="s">
        <v>11869</v>
      </c>
    </row>
    <row r="5488" spans="1:2" x14ac:dyDescent="0.25">
      <c r="A5488" s="75">
        <v>31291402</v>
      </c>
      <c r="B5488" s="76" t="s">
        <v>16096</v>
      </c>
    </row>
    <row r="5489" spans="1:2" x14ac:dyDescent="0.25">
      <c r="A5489" s="75">
        <v>31291403</v>
      </c>
      <c r="B5489" s="76" t="s">
        <v>12390</v>
      </c>
    </row>
    <row r="5490" spans="1:2" x14ac:dyDescent="0.25">
      <c r="A5490" s="75">
        <v>31291404</v>
      </c>
      <c r="B5490" s="76" t="s">
        <v>14235</v>
      </c>
    </row>
    <row r="5491" spans="1:2" x14ac:dyDescent="0.25">
      <c r="A5491" s="75">
        <v>31291405</v>
      </c>
      <c r="B5491" s="76" t="s">
        <v>11951</v>
      </c>
    </row>
    <row r="5492" spans="1:2" x14ac:dyDescent="0.25">
      <c r="A5492" s="75">
        <v>31291406</v>
      </c>
      <c r="B5492" s="76" t="s">
        <v>6427</v>
      </c>
    </row>
    <row r="5493" spans="1:2" x14ac:dyDescent="0.25">
      <c r="A5493" s="75">
        <v>31291407</v>
      </c>
      <c r="B5493" s="76" t="s">
        <v>19822</v>
      </c>
    </row>
    <row r="5494" spans="1:2" x14ac:dyDescent="0.25">
      <c r="A5494" s="75">
        <v>31291408</v>
      </c>
      <c r="B5494" s="76" t="s">
        <v>4647</v>
      </c>
    </row>
    <row r="5495" spans="1:2" x14ac:dyDescent="0.25">
      <c r="A5495" s="75">
        <v>31291409</v>
      </c>
      <c r="B5495" s="76" t="s">
        <v>4549</v>
      </c>
    </row>
    <row r="5496" spans="1:2" x14ac:dyDescent="0.25">
      <c r="A5496" s="75">
        <v>31291410</v>
      </c>
      <c r="B5496" s="76" t="s">
        <v>2366</v>
      </c>
    </row>
    <row r="5497" spans="1:2" x14ac:dyDescent="0.25">
      <c r="A5497" s="75">
        <v>31291411</v>
      </c>
      <c r="B5497" s="76" t="s">
        <v>18017</v>
      </c>
    </row>
    <row r="5498" spans="1:2" x14ac:dyDescent="0.25">
      <c r="A5498" s="75">
        <v>31291412</v>
      </c>
      <c r="B5498" s="76" t="s">
        <v>11785</v>
      </c>
    </row>
    <row r="5499" spans="1:2" x14ac:dyDescent="0.25">
      <c r="A5499" s="75">
        <v>31291413</v>
      </c>
      <c r="B5499" s="76" t="s">
        <v>8351</v>
      </c>
    </row>
    <row r="5500" spans="1:2" x14ac:dyDescent="0.25">
      <c r="A5500" s="75">
        <v>31291414</v>
      </c>
      <c r="B5500" s="76" t="s">
        <v>1866</v>
      </c>
    </row>
    <row r="5501" spans="1:2" x14ac:dyDescent="0.25">
      <c r="A5501" s="75">
        <v>31291415</v>
      </c>
      <c r="B5501" s="76" t="s">
        <v>1837</v>
      </c>
    </row>
    <row r="5502" spans="1:2" x14ac:dyDescent="0.25">
      <c r="A5502" s="75">
        <v>31291416</v>
      </c>
      <c r="B5502" s="76" t="s">
        <v>1413</v>
      </c>
    </row>
    <row r="5503" spans="1:2" x14ac:dyDescent="0.25">
      <c r="A5503" s="75">
        <v>31291417</v>
      </c>
      <c r="B5503" s="76" t="s">
        <v>11748</v>
      </c>
    </row>
    <row r="5504" spans="1:2" x14ac:dyDescent="0.25">
      <c r="A5504" s="75">
        <v>31291418</v>
      </c>
      <c r="B5504" s="76" t="s">
        <v>17032</v>
      </c>
    </row>
    <row r="5505" spans="1:2" x14ac:dyDescent="0.25">
      <c r="A5505" s="75">
        <v>31291419</v>
      </c>
      <c r="B5505" s="76" t="s">
        <v>19264</v>
      </c>
    </row>
    <row r="5506" spans="1:2" x14ac:dyDescent="0.25">
      <c r="A5506" s="75">
        <v>31291420</v>
      </c>
      <c r="B5506" s="76" t="s">
        <v>13433</v>
      </c>
    </row>
    <row r="5507" spans="1:2" x14ac:dyDescent="0.25">
      <c r="A5507" s="75">
        <v>31301101</v>
      </c>
      <c r="B5507" s="76" t="s">
        <v>84</v>
      </c>
    </row>
    <row r="5508" spans="1:2" x14ac:dyDescent="0.25">
      <c r="A5508" s="75">
        <v>31301102</v>
      </c>
      <c r="B5508" s="76" t="s">
        <v>10948</v>
      </c>
    </row>
    <row r="5509" spans="1:2" x14ac:dyDescent="0.25">
      <c r="A5509" s="75">
        <v>31301103</v>
      </c>
      <c r="B5509" s="76" t="s">
        <v>16771</v>
      </c>
    </row>
    <row r="5510" spans="1:2" x14ac:dyDescent="0.25">
      <c r="A5510" s="75">
        <v>31301104</v>
      </c>
      <c r="B5510" s="76" t="s">
        <v>16074</v>
      </c>
    </row>
    <row r="5511" spans="1:2" x14ac:dyDescent="0.25">
      <c r="A5511" s="75">
        <v>31301105</v>
      </c>
      <c r="B5511" s="76" t="s">
        <v>17991</v>
      </c>
    </row>
    <row r="5512" spans="1:2" x14ac:dyDescent="0.25">
      <c r="A5512" s="75">
        <v>31301106</v>
      </c>
      <c r="B5512" s="76" t="s">
        <v>2184</v>
      </c>
    </row>
    <row r="5513" spans="1:2" x14ac:dyDescent="0.25">
      <c r="A5513" s="75">
        <v>31301107</v>
      </c>
      <c r="B5513" s="76" t="s">
        <v>15914</v>
      </c>
    </row>
    <row r="5514" spans="1:2" x14ac:dyDescent="0.25">
      <c r="A5514" s="75">
        <v>31301108</v>
      </c>
      <c r="B5514" s="76" t="s">
        <v>742</v>
      </c>
    </row>
    <row r="5515" spans="1:2" x14ac:dyDescent="0.25">
      <c r="A5515" s="75">
        <v>31301109</v>
      </c>
      <c r="B5515" s="76" t="s">
        <v>8259</v>
      </c>
    </row>
    <row r="5516" spans="1:2" x14ac:dyDescent="0.25">
      <c r="A5516" s="75">
        <v>31301110</v>
      </c>
      <c r="B5516" s="76" t="s">
        <v>6168</v>
      </c>
    </row>
    <row r="5517" spans="1:2" x14ac:dyDescent="0.25">
      <c r="A5517" s="75">
        <v>31301111</v>
      </c>
      <c r="B5517" s="76" t="s">
        <v>11856</v>
      </c>
    </row>
    <row r="5518" spans="1:2" x14ac:dyDescent="0.25">
      <c r="A5518" s="75">
        <v>31301112</v>
      </c>
      <c r="B5518" s="76" t="s">
        <v>8694</v>
      </c>
    </row>
    <row r="5519" spans="1:2" x14ac:dyDescent="0.25">
      <c r="A5519" s="75">
        <v>31301113</v>
      </c>
      <c r="B5519" s="76" t="s">
        <v>7130</v>
      </c>
    </row>
    <row r="5520" spans="1:2" x14ac:dyDescent="0.25">
      <c r="A5520" s="75">
        <v>31301114</v>
      </c>
      <c r="B5520" s="76" t="s">
        <v>1032</v>
      </c>
    </row>
    <row r="5521" spans="1:2" x14ac:dyDescent="0.25">
      <c r="A5521" s="75">
        <v>31301115</v>
      </c>
      <c r="B5521" s="76" t="s">
        <v>7255</v>
      </c>
    </row>
    <row r="5522" spans="1:2" x14ac:dyDescent="0.25">
      <c r="A5522" s="75">
        <v>31301116</v>
      </c>
      <c r="B5522" s="76" t="s">
        <v>14322</v>
      </c>
    </row>
    <row r="5523" spans="1:2" x14ac:dyDescent="0.25">
      <c r="A5523" s="75">
        <v>31301117</v>
      </c>
      <c r="B5523" s="76" t="s">
        <v>13257</v>
      </c>
    </row>
    <row r="5524" spans="1:2" x14ac:dyDescent="0.25">
      <c r="A5524" s="75">
        <v>31301118</v>
      </c>
      <c r="B5524" s="76" t="s">
        <v>8130</v>
      </c>
    </row>
    <row r="5525" spans="1:2" x14ac:dyDescent="0.25">
      <c r="A5525" s="75">
        <v>31301119</v>
      </c>
      <c r="B5525" s="76" t="s">
        <v>18109</v>
      </c>
    </row>
    <row r="5526" spans="1:2" x14ac:dyDescent="0.25">
      <c r="A5526" s="75">
        <v>31301201</v>
      </c>
      <c r="B5526" s="76" t="s">
        <v>814</v>
      </c>
    </row>
    <row r="5527" spans="1:2" x14ac:dyDescent="0.25">
      <c r="A5527" s="75">
        <v>31301202</v>
      </c>
      <c r="B5527" s="76" t="s">
        <v>16394</v>
      </c>
    </row>
    <row r="5528" spans="1:2" x14ac:dyDescent="0.25">
      <c r="A5528" s="75">
        <v>31301203</v>
      </c>
      <c r="B5528" s="76" t="s">
        <v>15448</v>
      </c>
    </row>
    <row r="5529" spans="1:2" x14ac:dyDescent="0.25">
      <c r="A5529" s="75">
        <v>31301204</v>
      </c>
      <c r="B5529" s="76" t="s">
        <v>2844</v>
      </c>
    </row>
    <row r="5530" spans="1:2" x14ac:dyDescent="0.25">
      <c r="A5530" s="75">
        <v>31301205</v>
      </c>
      <c r="B5530" s="76" t="s">
        <v>6089</v>
      </c>
    </row>
    <row r="5531" spans="1:2" x14ac:dyDescent="0.25">
      <c r="A5531" s="75">
        <v>31301206</v>
      </c>
      <c r="B5531" s="76" t="s">
        <v>1834</v>
      </c>
    </row>
    <row r="5532" spans="1:2" x14ac:dyDescent="0.25">
      <c r="A5532" s="75">
        <v>31301207</v>
      </c>
      <c r="B5532" s="76" t="s">
        <v>10440</v>
      </c>
    </row>
    <row r="5533" spans="1:2" x14ac:dyDescent="0.25">
      <c r="A5533" s="75">
        <v>31301208</v>
      </c>
      <c r="B5533" s="76" t="s">
        <v>17094</v>
      </c>
    </row>
    <row r="5534" spans="1:2" x14ac:dyDescent="0.25">
      <c r="A5534" s="75">
        <v>31301209</v>
      </c>
      <c r="B5534" s="76" t="s">
        <v>5326</v>
      </c>
    </row>
    <row r="5535" spans="1:2" x14ac:dyDescent="0.25">
      <c r="A5535" s="75">
        <v>31301210</v>
      </c>
      <c r="B5535" s="76" t="s">
        <v>17928</v>
      </c>
    </row>
    <row r="5536" spans="1:2" x14ac:dyDescent="0.25">
      <c r="A5536" s="75">
        <v>31301211</v>
      </c>
      <c r="B5536" s="76" t="s">
        <v>13843</v>
      </c>
    </row>
    <row r="5537" spans="1:2" x14ac:dyDescent="0.25">
      <c r="A5537" s="75">
        <v>31301212</v>
      </c>
      <c r="B5537" s="76" t="s">
        <v>10919</v>
      </c>
    </row>
    <row r="5538" spans="1:2" x14ac:dyDescent="0.25">
      <c r="A5538" s="75">
        <v>31301213</v>
      </c>
      <c r="B5538" s="76" t="s">
        <v>5423</v>
      </c>
    </row>
    <row r="5539" spans="1:2" x14ac:dyDescent="0.25">
      <c r="A5539" s="75">
        <v>31301214</v>
      </c>
      <c r="B5539" s="76" t="s">
        <v>9470</v>
      </c>
    </row>
    <row r="5540" spans="1:2" x14ac:dyDescent="0.25">
      <c r="A5540" s="75">
        <v>31301215</v>
      </c>
      <c r="B5540" s="76" t="s">
        <v>1742</v>
      </c>
    </row>
    <row r="5541" spans="1:2" x14ac:dyDescent="0.25">
      <c r="A5541" s="75">
        <v>31301216</v>
      </c>
      <c r="B5541" s="76" t="s">
        <v>14856</v>
      </c>
    </row>
    <row r="5542" spans="1:2" x14ac:dyDescent="0.25">
      <c r="A5542" s="75">
        <v>31301217</v>
      </c>
      <c r="B5542" s="76" t="s">
        <v>6631</v>
      </c>
    </row>
    <row r="5543" spans="1:2" x14ac:dyDescent="0.25">
      <c r="A5543" s="75">
        <v>31301218</v>
      </c>
      <c r="B5543" s="76" t="s">
        <v>9899</v>
      </c>
    </row>
    <row r="5544" spans="1:2" x14ac:dyDescent="0.25">
      <c r="A5544" s="75">
        <v>31301219</v>
      </c>
      <c r="B5544" s="76" t="s">
        <v>4528</v>
      </c>
    </row>
    <row r="5545" spans="1:2" x14ac:dyDescent="0.25">
      <c r="A5545" s="75">
        <v>31301301</v>
      </c>
      <c r="B5545" s="76" t="s">
        <v>3836</v>
      </c>
    </row>
    <row r="5546" spans="1:2" x14ac:dyDescent="0.25">
      <c r="A5546" s="75">
        <v>31301302</v>
      </c>
      <c r="B5546" s="76" t="s">
        <v>1695</v>
      </c>
    </row>
    <row r="5547" spans="1:2" x14ac:dyDescent="0.25">
      <c r="A5547" s="75">
        <v>31301303</v>
      </c>
      <c r="B5547" s="76" t="s">
        <v>1467</v>
      </c>
    </row>
    <row r="5548" spans="1:2" x14ac:dyDescent="0.25">
      <c r="A5548" s="75">
        <v>31301304</v>
      </c>
      <c r="B5548" s="76" t="s">
        <v>12359</v>
      </c>
    </row>
    <row r="5549" spans="1:2" x14ac:dyDescent="0.25">
      <c r="A5549" s="75">
        <v>31301305</v>
      </c>
      <c r="B5549" s="76" t="s">
        <v>331</v>
      </c>
    </row>
    <row r="5550" spans="1:2" x14ac:dyDescent="0.25">
      <c r="A5550" s="75">
        <v>31301306</v>
      </c>
      <c r="B5550" s="76" t="s">
        <v>18825</v>
      </c>
    </row>
    <row r="5551" spans="1:2" x14ac:dyDescent="0.25">
      <c r="A5551" s="75">
        <v>31301307</v>
      </c>
      <c r="B5551" s="76" t="s">
        <v>6897</v>
      </c>
    </row>
    <row r="5552" spans="1:2" x14ac:dyDescent="0.25">
      <c r="A5552" s="75">
        <v>31301308</v>
      </c>
      <c r="B5552" s="76" t="s">
        <v>5700</v>
      </c>
    </row>
    <row r="5553" spans="1:2" x14ac:dyDescent="0.25">
      <c r="A5553" s="75">
        <v>31301309</v>
      </c>
      <c r="B5553" s="76" t="s">
        <v>4176</v>
      </c>
    </row>
    <row r="5554" spans="1:2" x14ac:dyDescent="0.25">
      <c r="A5554" s="75">
        <v>31301310</v>
      </c>
      <c r="B5554" s="76" t="s">
        <v>7221</v>
      </c>
    </row>
    <row r="5555" spans="1:2" x14ac:dyDescent="0.25">
      <c r="A5555" s="75">
        <v>31301311</v>
      </c>
      <c r="B5555" s="76" t="s">
        <v>10526</v>
      </c>
    </row>
    <row r="5556" spans="1:2" x14ac:dyDescent="0.25">
      <c r="A5556" s="75">
        <v>31301312</v>
      </c>
      <c r="B5556" s="76" t="s">
        <v>1665</v>
      </c>
    </row>
    <row r="5557" spans="1:2" x14ac:dyDescent="0.25">
      <c r="A5557" s="75">
        <v>31301313</v>
      </c>
      <c r="B5557" s="76" t="s">
        <v>13099</v>
      </c>
    </row>
    <row r="5558" spans="1:2" x14ac:dyDescent="0.25">
      <c r="A5558" s="75">
        <v>31301314</v>
      </c>
      <c r="B5558" s="76" t="s">
        <v>3288</v>
      </c>
    </row>
    <row r="5559" spans="1:2" x14ac:dyDescent="0.25">
      <c r="A5559" s="75">
        <v>31301315</v>
      </c>
      <c r="B5559" s="76" t="s">
        <v>4809</v>
      </c>
    </row>
    <row r="5560" spans="1:2" x14ac:dyDescent="0.25">
      <c r="A5560" s="75">
        <v>31301316</v>
      </c>
      <c r="B5560" s="76" t="s">
        <v>17580</v>
      </c>
    </row>
    <row r="5561" spans="1:2" x14ac:dyDescent="0.25">
      <c r="A5561" s="75">
        <v>31301317</v>
      </c>
      <c r="B5561" s="76" t="s">
        <v>5616</v>
      </c>
    </row>
    <row r="5562" spans="1:2" x14ac:dyDescent="0.25">
      <c r="A5562" s="75">
        <v>31301318</v>
      </c>
      <c r="B5562" s="76" t="s">
        <v>2736</v>
      </c>
    </row>
    <row r="5563" spans="1:2" x14ac:dyDescent="0.25">
      <c r="A5563" s="75">
        <v>31301319</v>
      </c>
      <c r="B5563" s="76" t="s">
        <v>5774</v>
      </c>
    </row>
    <row r="5564" spans="1:2" x14ac:dyDescent="0.25">
      <c r="A5564" s="75">
        <v>31301401</v>
      </c>
      <c r="B5564" s="76" t="s">
        <v>14331</v>
      </c>
    </row>
    <row r="5565" spans="1:2" x14ac:dyDescent="0.25">
      <c r="A5565" s="75">
        <v>31301402</v>
      </c>
      <c r="B5565" s="76" t="s">
        <v>12820</v>
      </c>
    </row>
    <row r="5566" spans="1:2" x14ac:dyDescent="0.25">
      <c r="A5566" s="75">
        <v>31301403</v>
      </c>
      <c r="B5566" s="76" t="s">
        <v>18498</v>
      </c>
    </row>
    <row r="5567" spans="1:2" x14ac:dyDescent="0.25">
      <c r="A5567" s="75">
        <v>31301404</v>
      </c>
      <c r="B5567" s="76" t="s">
        <v>16005</v>
      </c>
    </row>
    <row r="5568" spans="1:2" x14ac:dyDescent="0.25">
      <c r="A5568" s="75">
        <v>31301405</v>
      </c>
      <c r="B5568" s="76" t="s">
        <v>15408</v>
      </c>
    </row>
    <row r="5569" spans="1:2" x14ac:dyDescent="0.25">
      <c r="A5569" s="75">
        <v>31301406</v>
      </c>
      <c r="B5569" s="76" t="s">
        <v>4712</v>
      </c>
    </row>
    <row r="5570" spans="1:2" x14ac:dyDescent="0.25">
      <c r="A5570" s="75">
        <v>31301407</v>
      </c>
      <c r="B5570" s="76" t="s">
        <v>12722</v>
      </c>
    </row>
    <row r="5571" spans="1:2" x14ac:dyDescent="0.25">
      <c r="A5571" s="75">
        <v>31301408</v>
      </c>
      <c r="B5571" s="76" t="s">
        <v>12506</v>
      </c>
    </row>
    <row r="5572" spans="1:2" x14ac:dyDescent="0.25">
      <c r="A5572" s="75">
        <v>31301409</v>
      </c>
      <c r="B5572" s="76" t="s">
        <v>4126</v>
      </c>
    </row>
    <row r="5573" spans="1:2" x14ac:dyDescent="0.25">
      <c r="A5573" s="75">
        <v>31301410</v>
      </c>
      <c r="B5573" s="76" t="s">
        <v>19877</v>
      </c>
    </row>
    <row r="5574" spans="1:2" x14ac:dyDescent="0.25">
      <c r="A5574" s="75">
        <v>31301411</v>
      </c>
      <c r="B5574" s="76" t="s">
        <v>7642</v>
      </c>
    </row>
    <row r="5575" spans="1:2" x14ac:dyDescent="0.25">
      <c r="A5575" s="75">
        <v>31301412</v>
      </c>
      <c r="B5575" s="76" t="s">
        <v>9182</v>
      </c>
    </row>
    <row r="5576" spans="1:2" x14ac:dyDescent="0.25">
      <c r="A5576" s="75">
        <v>31301413</v>
      </c>
      <c r="B5576" s="76" t="s">
        <v>2010</v>
      </c>
    </row>
    <row r="5577" spans="1:2" x14ac:dyDescent="0.25">
      <c r="A5577" s="75">
        <v>31301414</v>
      </c>
      <c r="B5577" s="76" t="s">
        <v>8409</v>
      </c>
    </row>
    <row r="5578" spans="1:2" x14ac:dyDescent="0.25">
      <c r="A5578" s="75">
        <v>31301415</v>
      </c>
      <c r="B5578" s="76" t="s">
        <v>4778</v>
      </c>
    </row>
    <row r="5579" spans="1:2" x14ac:dyDescent="0.25">
      <c r="A5579" s="75">
        <v>31301416</v>
      </c>
      <c r="B5579" s="76" t="s">
        <v>5088</v>
      </c>
    </row>
    <row r="5580" spans="1:2" x14ac:dyDescent="0.25">
      <c r="A5580" s="75">
        <v>31301417</v>
      </c>
      <c r="B5580" s="76" t="s">
        <v>16847</v>
      </c>
    </row>
    <row r="5581" spans="1:2" x14ac:dyDescent="0.25">
      <c r="A5581" s="75">
        <v>31301418</v>
      </c>
      <c r="B5581" s="76" t="s">
        <v>10239</v>
      </c>
    </row>
    <row r="5582" spans="1:2" x14ac:dyDescent="0.25">
      <c r="A5582" s="75">
        <v>31301419</v>
      </c>
      <c r="B5582" s="76" t="s">
        <v>19374</v>
      </c>
    </row>
    <row r="5583" spans="1:2" x14ac:dyDescent="0.25">
      <c r="A5583" s="75">
        <v>31301501</v>
      </c>
      <c r="B5583" s="76" t="s">
        <v>1603</v>
      </c>
    </row>
    <row r="5584" spans="1:2" x14ac:dyDescent="0.25">
      <c r="A5584" s="75">
        <v>31301502</v>
      </c>
      <c r="B5584" s="76" t="s">
        <v>18434</v>
      </c>
    </row>
    <row r="5585" spans="1:2" x14ac:dyDescent="0.25">
      <c r="A5585" s="75">
        <v>31301503</v>
      </c>
      <c r="B5585" s="76" t="s">
        <v>2621</v>
      </c>
    </row>
    <row r="5586" spans="1:2" x14ac:dyDescent="0.25">
      <c r="A5586" s="75">
        <v>31301504</v>
      </c>
      <c r="B5586" s="76" t="s">
        <v>12162</v>
      </c>
    </row>
    <row r="5587" spans="1:2" x14ac:dyDescent="0.25">
      <c r="A5587" s="75">
        <v>31301505</v>
      </c>
      <c r="B5587" s="76" t="s">
        <v>15402</v>
      </c>
    </row>
    <row r="5588" spans="1:2" x14ac:dyDescent="0.25">
      <c r="A5588" s="75">
        <v>31301506</v>
      </c>
      <c r="B5588" s="76" t="s">
        <v>10411</v>
      </c>
    </row>
    <row r="5589" spans="1:2" x14ac:dyDescent="0.25">
      <c r="A5589" s="75">
        <v>31301507</v>
      </c>
      <c r="B5589" s="76" t="s">
        <v>4769</v>
      </c>
    </row>
    <row r="5590" spans="1:2" x14ac:dyDescent="0.25">
      <c r="A5590" s="75">
        <v>31301508</v>
      </c>
      <c r="B5590" s="76" t="s">
        <v>20062</v>
      </c>
    </row>
    <row r="5591" spans="1:2" x14ac:dyDescent="0.25">
      <c r="A5591" s="75">
        <v>31301509</v>
      </c>
      <c r="B5591" s="76" t="s">
        <v>12573</v>
      </c>
    </row>
    <row r="5592" spans="1:2" x14ac:dyDescent="0.25">
      <c r="A5592" s="75">
        <v>31301510</v>
      </c>
      <c r="B5592" s="76" t="s">
        <v>5886</v>
      </c>
    </row>
    <row r="5593" spans="1:2" x14ac:dyDescent="0.25">
      <c r="A5593" s="75">
        <v>31301511</v>
      </c>
      <c r="B5593" s="76" t="s">
        <v>13955</v>
      </c>
    </row>
    <row r="5594" spans="1:2" x14ac:dyDescent="0.25">
      <c r="A5594" s="75">
        <v>31301512</v>
      </c>
      <c r="B5594" s="76" t="s">
        <v>14599</v>
      </c>
    </row>
    <row r="5595" spans="1:2" x14ac:dyDescent="0.25">
      <c r="A5595" s="75">
        <v>31301513</v>
      </c>
      <c r="B5595" s="76" t="s">
        <v>11654</v>
      </c>
    </row>
    <row r="5596" spans="1:2" x14ac:dyDescent="0.25">
      <c r="A5596" s="75">
        <v>31301514</v>
      </c>
      <c r="B5596" s="76" t="s">
        <v>4686</v>
      </c>
    </row>
    <row r="5597" spans="1:2" x14ac:dyDescent="0.25">
      <c r="A5597" s="75">
        <v>31301515</v>
      </c>
      <c r="B5597" s="76" t="s">
        <v>17933</v>
      </c>
    </row>
    <row r="5598" spans="1:2" x14ac:dyDescent="0.25">
      <c r="A5598" s="75">
        <v>31301516</v>
      </c>
      <c r="B5598" s="76" t="s">
        <v>16378</v>
      </c>
    </row>
    <row r="5599" spans="1:2" x14ac:dyDescent="0.25">
      <c r="A5599" s="75">
        <v>31301517</v>
      </c>
      <c r="B5599" s="76" t="s">
        <v>11582</v>
      </c>
    </row>
    <row r="5600" spans="1:2" x14ac:dyDescent="0.25">
      <c r="A5600" s="75">
        <v>31301518</v>
      </c>
      <c r="B5600" s="76" t="s">
        <v>4510</v>
      </c>
    </row>
    <row r="5601" spans="1:2" x14ac:dyDescent="0.25">
      <c r="A5601" s="75">
        <v>31301519</v>
      </c>
      <c r="B5601" s="76" t="s">
        <v>13066</v>
      </c>
    </row>
    <row r="5602" spans="1:2" x14ac:dyDescent="0.25">
      <c r="A5602" s="75">
        <v>31311101</v>
      </c>
      <c r="B5602" s="76" t="s">
        <v>11719</v>
      </c>
    </row>
    <row r="5603" spans="1:2" x14ac:dyDescent="0.25">
      <c r="A5603" s="75">
        <v>31311102</v>
      </c>
      <c r="B5603" s="76" t="s">
        <v>89</v>
      </c>
    </row>
    <row r="5604" spans="1:2" x14ac:dyDescent="0.25">
      <c r="A5604" s="75">
        <v>31311103</v>
      </c>
      <c r="B5604" s="76" t="s">
        <v>18659</v>
      </c>
    </row>
    <row r="5605" spans="1:2" x14ac:dyDescent="0.25">
      <c r="A5605" s="75">
        <v>31311104</v>
      </c>
      <c r="B5605" s="76" t="s">
        <v>4539</v>
      </c>
    </row>
    <row r="5606" spans="1:2" x14ac:dyDescent="0.25">
      <c r="A5606" s="75">
        <v>31311105</v>
      </c>
      <c r="B5606" s="76" t="s">
        <v>11973</v>
      </c>
    </row>
    <row r="5607" spans="1:2" x14ac:dyDescent="0.25">
      <c r="A5607" s="75">
        <v>31311106</v>
      </c>
      <c r="B5607" s="76" t="s">
        <v>1472</v>
      </c>
    </row>
    <row r="5608" spans="1:2" x14ac:dyDescent="0.25">
      <c r="A5608" s="75">
        <v>31311109</v>
      </c>
      <c r="B5608" s="76" t="s">
        <v>6110</v>
      </c>
    </row>
    <row r="5609" spans="1:2" x14ac:dyDescent="0.25">
      <c r="A5609" s="75">
        <v>31311110</v>
      </c>
      <c r="B5609" s="76" t="s">
        <v>14126</v>
      </c>
    </row>
    <row r="5610" spans="1:2" x14ac:dyDescent="0.25">
      <c r="A5610" s="75">
        <v>31311111</v>
      </c>
      <c r="B5610" s="76" t="s">
        <v>12204</v>
      </c>
    </row>
    <row r="5611" spans="1:2" x14ac:dyDescent="0.25">
      <c r="A5611" s="75">
        <v>31311112</v>
      </c>
      <c r="B5611" s="76" t="s">
        <v>8729</v>
      </c>
    </row>
    <row r="5612" spans="1:2" x14ac:dyDescent="0.25">
      <c r="A5612" s="75">
        <v>31311113</v>
      </c>
      <c r="B5612" s="76" t="s">
        <v>5260</v>
      </c>
    </row>
    <row r="5613" spans="1:2" x14ac:dyDescent="0.25">
      <c r="A5613" s="75">
        <v>31311201</v>
      </c>
      <c r="B5613" s="76" t="s">
        <v>6985</v>
      </c>
    </row>
    <row r="5614" spans="1:2" x14ac:dyDescent="0.25">
      <c r="A5614" s="75">
        <v>31311202</v>
      </c>
      <c r="B5614" s="76" t="s">
        <v>12407</v>
      </c>
    </row>
    <row r="5615" spans="1:2" x14ac:dyDescent="0.25">
      <c r="A5615" s="75">
        <v>31311203</v>
      </c>
      <c r="B5615" s="76" t="s">
        <v>5937</v>
      </c>
    </row>
    <row r="5616" spans="1:2" x14ac:dyDescent="0.25">
      <c r="A5616" s="75">
        <v>31311204</v>
      </c>
      <c r="B5616" s="76" t="s">
        <v>2926</v>
      </c>
    </row>
    <row r="5617" spans="1:2" x14ac:dyDescent="0.25">
      <c r="A5617" s="75">
        <v>31311205</v>
      </c>
      <c r="B5617" s="76" t="s">
        <v>1935</v>
      </c>
    </row>
    <row r="5618" spans="1:2" x14ac:dyDescent="0.25">
      <c r="A5618" s="75">
        <v>31311206</v>
      </c>
      <c r="B5618" s="76" t="s">
        <v>16457</v>
      </c>
    </row>
    <row r="5619" spans="1:2" x14ac:dyDescent="0.25">
      <c r="A5619" s="75">
        <v>31311209</v>
      </c>
      <c r="B5619" s="76" t="s">
        <v>7604</v>
      </c>
    </row>
    <row r="5620" spans="1:2" x14ac:dyDescent="0.25">
      <c r="A5620" s="75">
        <v>31311210</v>
      </c>
      <c r="B5620" s="76" t="s">
        <v>9077</v>
      </c>
    </row>
    <row r="5621" spans="1:2" x14ac:dyDescent="0.25">
      <c r="A5621" s="75">
        <v>31311211</v>
      </c>
      <c r="B5621" s="76" t="s">
        <v>13098</v>
      </c>
    </row>
    <row r="5622" spans="1:2" x14ac:dyDescent="0.25">
      <c r="A5622" s="75">
        <v>31311212</v>
      </c>
      <c r="B5622" s="76" t="s">
        <v>5499</v>
      </c>
    </row>
    <row r="5623" spans="1:2" x14ac:dyDescent="0.25">
      <c r="A5623" s="75">
        <v>31311213</v>
      </c>
      <c r="B5623" s="76" t="s">
        <v>15392</v>
      </c>
    </row>
    <row r="5624" spans="1:2" x14ac:dyDescent="0.25">
      <c r="A5624" s="75">
        <v>31311301</v>
      </c>
      <c r="B5624" s="76" t="s">
        <v>16610</v>
      </c>
    </row>
    <row r="5625" spans="1:2" x14ac:dyDescent="0.25">
      <c r="A5625" s="75">
        <v>31311302</v>
      </c>
      <c r="B5625" s="76" t="s">
        <v>3357</v>
      </c>
    </row>
    <row r="5626" spans="1:2" x14ac:dyDescent="0.25">
      <c r="A5626" s="75">
        <v>31311303</v>
      </c>
      <c r="B5626" s="76" t="s">
        <v>12493</v>
      </c>
    </row>
    <row r="5627" spans="1:2" x14ac:dyDescent="0.25">
      <c r="A5627" s="75">
        <v>31311304</v>
      </c>
      <c r="B5627" s="76" t="s">
        <v>870</v>
      </c>
    </row>
    <row r="5628" spans="1:2" x14ac:dyDescent="0.25">
      <c r="A5628" s="75">
        <v>31311305</v>
      </c>
      <c r="B5628" s="76" t="s">
        <v>902</v>
      </c>
    </row>
    <row r="5629" spans="1:2" x14ac:dyDescent="0.25">
      <c r="A5629" s="75">
        <v>31311306</v>
      </c>
      <c r="B5629" s="76" t="s">
        <v>9622</v>
      </c>
    </row>
    <row r="5630" spans="1:2" x14ac:dyDescent="0.25">
      <c r="A5630" s="75">
        <v>31311309</v>
      </c>
      <c r="B5630" s="76" t="s">
        <v>1604</v>
      </c>
    </row>
    <row r="5631" spans="1:2" x14ac:dyDescent="0.25">
      <c r="A5631" s="75">
        <v>31311310</v>
      </c>
      <c r="B5631" s="76" t="s">
        <v>12007</v>
      </c>
    </row>
    <row r="5632" spans="1:2" x14ac:dyDescent="0.25">
      <c r="A5632" s="75">
        <v>31311311</v>
      </c>
      <c r="B5632" s="76" t="s">
        <v>10807</v>
      </c>
    </row>
    <row r="5633" spans="1:2" x14ac:dyDescent="0.25">
      <c r="A5633" s="75">
        <v>31311312</v>
      </c>
      <c r="B5633" s="76" t="s">
        <v>7089</v>
      </c>
    </row>
    <row r="5634" spans="1:2" x14ac:dyDescent="0.25">
      <c r="A5634" s="75">
        <v>31311313</v>
      </c>
      <c r="B5634" s="76" t="s">
        <v>4858</v>
      </c>
    </row>
    <row r="5635" spans="1:2" x14ac:dyDescent="0.25">
      <c r="A5635" s="75">
        <v>31311401</v>
      </c>
      <c r="B5635" s="76" t="s">
        <v>19240</v>
      </c>
    </row>
    <row r="5636" spans="1:2" x14ac:dyDescent="0.25">
      <c r="A5636" s="75">
        <v>31311402</v>
      </c>
      <c r="B5636" s="76" t="s">
        <v>3119</v>
      </c>
    </row>
    <row r="5637" spans="1:2" x14ac:dyDescent="0.25">
      <c r="A5637" s="75">
        <v>31311403</v>
      </c>
      <c r="B5637" s="76" t="s">
        <v>12034</v>
      </c>
    </row>
    <row r="5638" spans="1:2" x14ac:dyDescent="0.25">
      <c r="A5638" s="75">
        <v>31311404</v>
      </c>
      <c r="B5638" s="76" t="s">
        <v>10812</v>
      </c>
    </row>
    <row r="5639" spans="1:2" x14ac:dyDescent="0.25">
      <c r="A5639" s="75">
        <v>31311405</v>
      </c>
      <c r="B5639" s="76" t="s">
        <v>10425</v>
      </c>
    </row>
    <row r="5640" spans="1:2" x14ac:dyDescent="0.25">
      <c r="A5640" s="75">
        <v>31311406</v>
      </c>
      <c r="B5640" s="76" t="s">
        <v>7933</v>
      </c>
    </row>
    <row r="5641" spans="1:2" x14ac:dyDescent="0.25">
      <c r="A5641" s="75">
        <v>31311409</v>
      </c>
      <c r="B5641" s="76" t="s">
        <v>8190</v>
      </c>
    </row>
    <row r="5642" spans="1:2" x14ac:dyDescent="0.25">
      <c r="A5642" s="75">
        <v>31311410</v>
      </c>
      <c r="B5642" s="76" t="s">
        <v>11116</v>
      </c>
    </row>
    <row r="5643" spans="1:2" x14ac:dyDescent="0.25">
      <c r="A5643" s="75">
        <v>31311411</v>
      </c>
      <c r="B5643" s="76" t="s">
        <v>19915</v>
      </c>
    </row>
    <row r="5644" spans="1:2" x14ac:dyDescent="0.25">
      <c r="A5644" s="75">
        <v>31311412</v>
      </c>
      <c r="B5644" s="76" t="s">
        <v>16693</v>
      </c>
    </row>
    <row r="5645" spans="1:2" x14ac:dyDescent="0.25">
      <c r="A5645" s="75">
        <v>31311413</v>
      </c>
      <c r="B5645" s="76" t="s">
        <v>463</v>
      </c>
    </row>
    <row r="5646" spans="1:2" x14ac:dyDescent="0.25">
      <c r="A5646" s="75">
        <v>31311501</v>
      </c>
      <c r="B5646" s="76" t="s">
        <v>1043</v>
      </c>
    </row>
    <row r="5647" spans="1:2" x14ac:dyDescent="0.25">
      <c r="A5647" s="75">
        <v>31311502</v>
      </c>
      <c r="B5647" s="76" t="s">
        <v>406</v>
      </c>
    </row>
    <row r="5648" spans="1:2" x14ac:dyDescent="0.25">
      <c r="A5648" s="75">
        <v>31311503</v>
      </c>
      <c r="B5648" s="76" t="s">
        <v>10438</v>
      </c>
    </row>
    <row r="5649" spans="1:2" x14ac:dyDescent="0.25">
      <c r="A5649" s="75">
        <v>31311504</v>
      </c>
      <c r="B5649" s="76" t="s">
        <v>17607</v>
      </c>
    </row>
    <row r="5650" spans="1:2" x14ac:dyDescent="0.25">
      <c r="A5650" s="75">
        <v>31311505</v>
      </c>
      <c r="B5650" s="76" t="s">
        <v>4268</v>
      </c>
    </row>
    <row r="5651" spans="1:2" x14ac:dyDescent="0.25">
      <c r="A5651" s="75">
        <v>31311506</v>
      </c>
      <c r="B5651" s="76" t="s">
        <v>11538</v>
      </c>
    </row>
    <row r="5652" spans="1:2" x14ac:dyDescent="0.25">
      <c r="A5652" s="75">
        <v>31311509</v>
      </c>
      <c r="B5652" s="76" t="s">
        <v>9736</v>
      </c>
    </row>
    <row r="5653" spans="1:2" x14ac:dyDescent="0.25">
      <c r="A5653" s="75">
        <v>31311510</v>
      </c>
      <c r="B5653" s="76" t="s">
        <v>184</v>
      </c>
    </row>
    <row r="5654" spans="1:2" x14ac:dyDescent="0.25">
      <c r="A5654" s="75">
        <v>31311511</v>
      </c>
      <c r="B5654" s="76" t="s">
        <v>9165</v>
      </c>
    </row>
    <row r="5655" spans="1:2" x14ac:dyDescent="0.25">
      <c r="A5655" s="75">
        <v>31311512</v>
      </c>
      <c r="B5655" s="76" t="s">
        <v>13974</v>
      </c>
    </row>
    <row r="5656" spans="1:2" x14ac:dyDescent="0.25">
      <c r="A5656" s="75">
        <v>31311513</v>
      </c>
      <c r="B5656" s="76" t="s">
        <v>533</v>
      </c>
    </row>
    <row r="5657" spans="1:2" x14ac:dyDescent="0.25">
      <c r="A5657" s="75">
        <v>31311601</v>
      </c>
      <c r="B5657" s="76" t="s">
        <v>14973</v>
      </c>
    </row>
    <row r="5658" spans="1:2" x14ac:dyDescent="0.25">
      <c r="A5658" s="75">
        <v>31311602</v>
      </c>
      <c r="B5658" s="76" t="s">
        <v>7754</v>
      </c>
    </row>
    <row r="5659" spans="1:2" x14ac:dyDescent="0.25">
      <c r="A5659" s="75">
        <v>31311603</v>
      </c>
      <c r="B5659" s="76" t="s">
        <v>17411</v>
      </c>
    </row>
    <row r="5660" spans="1:2" x14ac:dyDescent="0.25">
      <c r="A5660" s="75">
        <v>31311604</v>
      </c>
      <c r="B5660" s="76" t="s">
        <v>6170</v>
      </c>
    </row>
    <row r="5661" spans="1:2" x14ac:dyDescent="0.25">
      <c r="A5661" s="75">
        <v>31311605</v>
      </c>
      <c r="B5661" s="76" t="s">
        <v>4652</v>
      </c>
    </row>
    <row r="5662" spans="1:2" x14ac:dyDescent="0.25">
      <c r="A5662" s="75">
        <v>31311606</v>
      </c>
      <c r="B5662" s="76" t="s">
        <v>9003</v>
      </c>
    </row>
    <row r="5663" spans="1:2" x14ac:dyDescent="0.25">
      <c r="A5663" s="75">
        <v>31311609</v>
      </c>
      <c r="B5663" s="76" t="s">
        <v>11432</v>
      </c>
    </row>
    <row r="5664" spans="1:2" x14ac:dyDescent="0.25">
      <c r="A5664" s="75">
        <v>31311610</v>
      </c>
      <c r="B5664" s="76" t="s">
        <v>11051</v>
      </c>
    </row>
    <row r="5665" spans="1:2" x14ac:dyDescent="0.25">
      <c r="A5665" s="75">
        <v>31311611</v>
      </c>
      <c r="B5665" s="76" t="s">
        <v>19501</v>
      </c>
    </row>
    <row r="5666" spans="1:2" x14ac:dyDescent="0.25">
      <c r="A5666" s="75">
        <v>31311612</v>
      </c>
      <c r="B5666" s="76" t="s">
        <v>12839</v>
      </c>
    </row>
    <row r="5667" spans="1:2" x14ac:dyDescent="0.25">
      <c r="A5667" s="75">
        <v>31311613</v>
      </c>
      <c r="B5667" s="76" t="s">
        <v>10407</v>
      </c>
    </row>
    <row r="5668" spans="1:2" x14ac:dyDescent="0.25">
      <c r="A5668" s="75">
        <v>31311701</v>
      </c>
      <c r="B5668" s="76" t="s">
        <v>11755</v>
      </c>
    </row>
    <row r="5669" spans="1:2" x14ac:dyDescent="0.25">
      <c r="A5669" s="75">
        <v>31311702</v>
      </c>
      <c r="B5669" s="76" t="s">
        <v>2785</v>
      </c>
    </row>
    <row r="5670" spans="1:2" x14ac:dyDescent="0.25">
      <c r="A5670" s="75">
        <v>31311703</v>
      </c>
      <c r="B5670" s="76" t="s">
        <v>1254</v>
      </c>
    </row>
    <row r="5671" spans="1:2" x14ac:dyDescent="0.25">
      <c r="A5671" s="75">
        <v>31311704</v>
      </c>
      <c r="B5671" s="76" t="s">
        <v>13652</v>
      </c>
    </row>
    <row r="5672" spans="1:2" x14ac:dyDescent="0.25">
      <c r="A5672" s="75">
        <v>31311705</v>
      </c>
      <c r="B5672" s="76" t="s">
        <v>8285</v>
      </c>
    </row>
    <row r="5673" spans="1:2" x14ac:dyDescent="0.25">
      <c r="A5673" s="75">
        <v>31311706</v>
      </c>
      <c r="B5673" s="76" t="s">
        <v>17621</v>
      </c>
    </row>
    <row r="5674" spans="1:2" x14ac:dyDescent="0.25">
      <c r="A5674" s="75">
        <v>31311709</v>
      </c>
      <c r="B5674" s="76" t="s">
        <v>13722</v>
      </c>
    </row>
    <row r="5675" spans="1:2" x14ac:dyDescent="0.25">
      <c r="A5675" s="75">
        <v>31311710</v>
      </c>
      <c r="B5675" s="76" t="s">
        <v>5652</v>
      </c>
    </row>
    <row r="5676" spans="1:2" x14ac:dyDescent="0.25">
      <c r="A5676" s="75">
        <v>31311711</v>
      </c>
      <c r="B5676" s="76" t="s">
        <v>5668</v>
      </c>
    </row>
    <row r="5677" spans="1:2" x14ac:dyDescent="0.25">
      <c r="A5677" s="75">
        <v>31311712</v>
      </c>
      <c r="B5677" s="76" t="s">
        <v>9130</v>
      </c>
    </row>
    <row r="5678" spans="1:2" x14ac:dyDescent="0.25">
      <c r="A5678" s="75">
        <v>31311713</v>
      </c>
      <c r="B5678" s="76" t="s">
        <v>9353</v>
      </c>
    </row>
    <row r="5679" spans="1:2" x14ac:dyDescent="0.25">
      <c r="A5679" s="75">
        <v>31321101</v>
      </c>
      <c r="B5679" s="76" t="s">
        <v>7172</v>
      </c>
    </row>
    <row r="5680" spans="1:2" x14ac:dyDescent="0.25">
      <c r="A5680" s="75">
        <v>31321102</v>
      </c>
      <c r="B5680" s="76" t="s">
        <v>4171</v>
      </c>
    </row>
    <row r="5681" spans="1:2" x14ac:dyDescent="0.25">
      <c r="A5681" s="75">
        <v>31321103</v>
      </c>
      <c r="B5681" s="76" t="s">
        <v>16151</v>
      </c>
    </row>
    <row r="5682" spans="1:2" x14ac:dyDescent="0.25">
      <c r="A5682" s="75">
        <v>31321104</v>
      </c>
      <c r="B5682" s="76" t="s">
        <v>6927</v>
      </c>
    </row>
    <row r="5683" spans="1:2" x14ac:dyDescent="0.25">
      <c r="A5683" s="75">
        <v>31321105</v>
      </c>
      <c r="B5683" s="76" t="s">
        <v>10651</v>
      </c>
    </row>
    <row r="5684" spans="1:2" x14ac:dyDescent="0.25">
      <c r="A5684" s="75">
        <v>31321106</v>
      </c>
      <c r="B5684" s="76" t="s">
        <v>939</v>
      </c>
    </row>
    <row r="5685" spans="1:2" x14ac:dyDescent="0.25">
      <c r="A5685" s="75">
        <v>31321109</v>
      </c>
      <c r="B5685" s="76" t="s">
        <v>3499</v>
      </c>
    </row>
    <row r="5686" spans="1:2" x14ac:dyDescent="0.25">
      <c r="A5686" s="75">
        <v>31321110</v>
      </c>
      <c r="B5686" s="76" t="s">
        <v>8873</v>
      </c>
    </row>
    <row r="5687" spans="1:2" x14ac:dyDescent="0.25">
      <c r="A5687" s="75">
        <v>31321111</v>
      </c>
      <c r="B5687" s="76" t="s">
        <v>18637</v>
      </c>
    </row>
    <row r="5688" spans="1:2" x14ac:dyDescent="0.25">
      <c r="A5688" s="75">
        <v>31321112</v>
      </c>
      <c r="B5688" s="76" t="s">
        <v>7425</v>
      </c>
    </row>
    <row r="5689" spans="1:2" x14ac:dyDescent="0.25">
      <c r="A5689" s="75">
        <v>31321113</v>
      </c>
      <c r="B5689" s="76" t="s">
        <v>14494</v>
      </c>
    </row>
    <row r="5690" spans="1:2" x14ac:dyDescent="0.25">
      <c r="A5690" s="75">
        <v>31321201</v>
      </c>
      <c r="B5690" s="76" t="s">
        <v>2538</v>
      </c>
    </row>
    <row r="5691" spans="1:2" x14ac:dyDescent="0.25">
      <c r="A5691" s="75">
        <v>31321202</v>
      </c>
      <c r="B5691" s="76" t="s">
        <v>8200</v>
      </c>
    </row>
    <row r="5692" spans="1:2" x14ac:dyDescent="0.25">
      <c r="A5692" s="75">
        <v>31321203</v>
      </c>
      <c r="B5692" s="76" t="s">
        <v>7338</v>
      </c>
    </row>
    <row r="5693" spans="1:2" x14ac:dyDescent="0.25">
      <c r="A5693" s="75">
        <v>31321204</v>
      </c>
      <c r="B5693" s="76" t="s">
        <v>18392</v>
      </c>
    </row>
    <row r="5694" spans="1:2" x14ac:dyDescent="0.25">
      <c r="A5694" s="75">
        <v>31321205</v>
      </c>
      <c r="B5694" s="76" t="s">
        <v>15439</v>
      </c>
    </row>
    <row r="5695" spans="1:2" x14ac:dyDescent="0.25">
      <c r="A5695" s="75">
        <v>31321206</v>
      </c>
      <c r="B5695" s="76" t="s">
        <v>13119</v>
      </c>
    </row>
    <row r="5696" spans="1:2" x14ac:dyDescent="0.25">
      <c r="A5696" s="75">
        <v>31321209</v>
      </c>
      <c r="B5696" s="76" t="s">
        <v>557</v>
      </c>
    </row>
    <row r="5697" spans="1:2" x14ac:dyDescent="0.25">
      <c r="A5697" s="75">
        <v>31321210</v>
      </c>
      <c r="B5697" s="76" t="s">
        <v>3996</v>
      </c>
    </row>
    <row r="5698" spans="1:2" x14ac:dyDescent="0.25">
      <c r="A5698" s="75">
        <v>31321211</v>
      </c>
      <c r="B5698" s="76" t="s">
        <v>5978</v>
      </c>
    </row>
    <row r="5699" spans="1:2" x14ac:dyDescent="0.25">
      <c r="A5699" s="75">
        <v>31321212</v>
      </c>
      <c r="B5699" s="76" t="s">
        <v>13777</v>
      </c>
    </row>
    <row r="5700" spans="1:2" x14ac:dyDescent="0.25">
      <c r="A5700" s="75">
        <v>31321213</v>
      </c>
      <c r="B5700" s="76" t="s">
        <v>1029</v>
      </c>
    </row>
    <row r="5701" spans="1:2" x14ac:dyDescent="0.25">
      <c r="A5701" s="75">
        <v>31321301</v>
      </c>
      <c r="B5701" s="76" t="s">
        <v>6569</v>
      </c>
    </row>
    <row r="5702" spans="1:2" x14ac:dyDescent="0.25">
      <c r="A5702" s="75">
        <v>31321302</v>
      </c>
      <c r="B5702" s="76" t="s">
        <v>1703</v>
      </c>
    </row>
    <row r="5703" spans="1:2" x14ac:dyDescent="0.25">
      <c r="A5703" s="75">
        <v>31321303</v>
      </c>
      <c r="B5703" s="76" t="s">
        <v>12848</v>
      </c>
    </row>
    <row r="5704" spans="1:2" x14ac:dyDescent="0.25">
      <c r="A5704" s="75">
        <v>31321304</v>
      </c>
      <c r="B5704" s="76" t="s">
        <v>9517</v>
      </c>
    </row>
    <row r="5705" spans="1:2" x14ac:dyDescent="0.25">
      <c r="A5705" s="75">
        <v>31321305</v>
      </c>
      <c r="B5705" s="76" t="s">
        <v>17759</v>
      </c>
    </row>
    <row r="5706" spans="1:2" x14ac:dyDescent="0.25">
      <c r="A5706" s="75">
        <v>31321306</v>
      </c>
      <c r="B5706" s="76" t="s">
        <v>6144</v>
      </c>
    </row>
    <row r="5707" spans="1:2" x14ac:dyDescent="0.25">
      <c r="A5707" s="75">
        <v>31321309</v>
      </c>
      <c r="B5707" s="76" t="s">
        <v>9085</v>
      </c>
    </row>
    <row r="5708" spans="1:2" x14ac:dyDescent="0.25">
      <c r="A5708" s="75">
        <v>31321310</v>
      </c>
      <c r="B5708" s="76" t="s">
        <v>4843</v>
      </c>
    </row>
    <row r="5709" spans="1:2" x14ac:dyDescent="0.25">
      <c r="A5709" s="75">
        <v>31321311</v>
      </c>
      <c r="B5709" s="76" t="s">
        <v>20017</v>
      </c>
    </row>
    <row r="5710" spans="1:2" x14ac:dyDescent="0.25">
      <c r="A5710" s="75">
        <v>31321312</v>
      </c>
      <c r="B5710" s="76" t="s">
        <v>11757</v>
      </c>
    </row>
    <row r="5711" spans="1:2" x14ac:dyDescent="0.25">
      <c r="A5711" s="75">
        <v>31321313</v>
      </c>
      <c r="B5711" s="76" t="s">
        <v>9082</v>
      </c>
    </row>
    <row r="5712" spans="1:2" x14ac:dyDescent="0.25">
      <c r="A5712" s="75">
        <v>31321401</v>
      </c>
      <c r="B5712" s="76" t="s">
        <v>20031</v>
      </c>
    </row>
    <row r="5713" spans="1:2" x14ac:dyDescent="0.25">
      <c r="A5713" s="75">
        <v>31321402</v>
      </c>
      <c r="B5713" s="76" t="s">
        <v>17475</v>
      </c>
    </row>
    <row r="5714" spans="1:2" x14ac:dyDescent="0.25">
      <c r="A5714" s="75">
        <v>31321403</v>
      </c>
      <c r="B5714" s="76" t="s">
        <v>6016</v>
      </c>
    </row>
    <row r="5715" spans="1:2" x14ac:dyDescent="0.25">
      <c r="A5715" s="75">
        <v>31321404</v>
      </c>
      <c r="B5715" s="76" t="s">
        <v>3198</v>
      </c>
    </row>
    <row r="5716" spans="1:2" x14ac:dyDescent="0.25">
      <c r="A5716" s="75">
        <v>31321405</v>
      </c>
      <c r="B5716" s="76" t="s">
        <v>11553</v>
      </c>
    </row>
    <row r="5717" spans="1:2" x14ac:dyDescent="0.25">
      <c r="A5717" s="75">
        <v>31321406</v>
      </c>
      <c r="B5717" s="76" t="s">
        <v>18385</v>
      </c>
    </row>
    <row r="5718" spans="1:2" x14ac:dyDescent="0.25">
      <c r="A5718" s="75">
        <v>31321409</v>
      </c>
      <c r="B5718" s="76" t="s">
        <v>850</v>
      </c>
    </row>
    <row r="5719" spans="1:2" x14ac:dyDescent="0.25">
      <c r="A5719" s="75">
        <v>31321410</v>
      </c>
      <c r="B5719" s="76" t="s">
        <v>2505</v>
      </c>
    </row>
    <row r="5720" spans="1:2" x14ac:dyDescent="0.25">
      <c r="A5720" s="75">
        <v>31321411</v>
      </c>
      <c r="B5720" s="76" t="s">
        <v>19844</v>
      </c>
    </row>
    <row r="5721" spans="1:2" x14ac:dyDescent="0.25">
      <c r="A5721" s="75">
        <v>31321412</v>
      </c>
      <c r="B5721" s="76" t="s">
        <v>6270</v>
      </c>
    </row>
    <row r="5722" spans="1:2" x14ac:dyDescent="0.25">
      <c r="A5722" s="75">
        <v>31321413</v>
      </c>
      <c r="B5722" s="76" t="s">
        <v>8833</v>
      </c>
    </row>
    <row r="5723" spans="1:2" x14ac:dyDescent="0.25">
      <c r="A5723" s="75">
        <v>31321501</v>
      </c>
      <c r="B5723" s="76" t="s">
        <v>13468</v>
      </c>
    </row>
    <row r="5724" spans="1:2" x14ac:dyDescent="0.25">
      <c r="A5724" s="75">
        <v>31321502</v>
      </c>
      <c r="B5724" s="76" t="s">
        <v>2383</v>
      </c>
    </row>
    <row r="5725" spans="1:2" x14ac:dyDescent="0.25">
      <c r="A5725" s="75">
        <v>31321503</v>
      </c>
      <c r="B5725" s="76" t="s">
        <v>10901</v>
      </c>
    </row>
    <row r="5726" spans="1:2" x14ac:dyDescent="0.25">
      <c r="A5726" s="75">
        <v>31321504</v>
      </c>
      <c r="B5726" s="76" t="s">
        <v>12193</v>
      </c>
    </row>
    <row r="5727" spans="1:2" x14ac:dyDescent="0.25">
      <c r="A5727" s="75">
        <v>31321505</v>
      </c>
      <c r="B5727" s="76" t="s">
        <v>5245</v>
      </c>
    </row>
    <row r="5728" spans="1:2" x14ac:dyDescent="0.25">
      <c r="A5728" s="75">
        <v>31321506</v>
      </c>
      <c r="B5728" s="76" t="s">
        <v>1708</v>
      </c>
    </row>
    <row r="5729" spans="1:2" x14ac:dyDescent="0.25">
      <c r="A5729" s="75">
        <v>31321509</v>
      </c>
      <c r="B5729" s="76" t="s">
        <v>3009</v>
      </c>
    </row>
    <row r="5730" spans="1:2" x14ac:dyDescent="0.25">
      <c r="A5730" s="75">
        <v>31321510</v>
      </c>
      <c r="B5730" s="76" t="s">
        <v>15712</v>
      </c>
    </row>
    <row r="5731" spans="1:2" x14ac:dyDescent="0.25">
      <c r="A5731" s="75">
        <v>31321511</v>
      </c>
      <c r="B5731" s="76" t="s">
        <v>19963</v>
      </c>
    </row>
    <row r="5732" spans="1:2" x14ac:dyDescent="0.25">
      <c r="A5732" s="75">
        <v>31321512</v>
      </c>
      <c r="B5732" s="76" t="s">
        <v>10283</v>
      </c>
    </row>
    <row r="5733" spans="1:2" x14ac:dyDescent="0.25">
      <c r="A5733" s="75">
        <v>31321513</v>
      </c>
      <c r="B5733" s="76" t="s">
        <v>10210</v>
      </c>
    </row>
    <row r="5734" spans="1:2" x14ac:dyDescent="0.25">
      <c r="A5734" s="75">
        <v>31321601</v>
      </c>
      <c r="B5734" s="76" t="s">
        <v>18838</v>
      </c>
    </row>
    <row r="5735" spans="1:2" x14ac:dyDescent="0.25">
      <c r="A5735" s="75">
        <v>31321602</v>
      </c>
      <c r="B5735" s="76" t="s">
        <v>1772</v>
      </c>
    </row>
    <row r="5736" spans="1:2" x14ac:dyDescent="0.25">
      <c r="A5736" s="75">
        <v>31321603</v>
      </c>
      <c r="B5736" s="76" t="s">
        <v>1125</v>
      </c>
    </row>
    <row r="5737" spans="1:2" x14ac:dyDescent="0.25">
      <c r="A5737" s="75">
        <v>31321604</v>
      </c>
      <c r="B5737" s="76" t="s">
        <v>14326</v>
      </c>
    </row>
    <row r="5738" spans="1:2" x14ac:dyDescent="0.25">
      <c r="A5738" s="75">
        <v>31321605</v>
      </c>
      <c r="B5738" s="76" t="s">
        <v>12762</v>
      </c>
    </row>
    <row r="5739" spans="1:2" x14ac:dyDescent="0.25">
      <c r="A5739" s="75">
        <v>31321606</v>
      </c>
      <c r="B5739" s="76" t="s">
        <v>508</v>
      </c>
    </row>
    <row r="5740" spans="1:2" x14ac:dyDescent="0.25">
      <c r="A5740" s="75">
        <v>31321609</v>
      </c>
      <c r="B5740" s="76" t="s">
        <v>8026</v>
      </c>
    </row>
    <row r="5741" spans="1:2" x14ac:dyDescent="0.25">
      <c r="A5741" s="75">
        <v>31321610</v>
      </c>
      <c r="B5741" s="76" t="s">
        <v>11224</v>
      </c>
    </row>
    <row r="5742" spans="1:2" x14ac:dyDescent="0.25">
      <c r="A5742" s="75">
        <v>31321611</v>
      </c>
      <c r="B5742" s="76" t="s">
        <v>5863</v>
      </c>
    </row>
    <row r="5743" spans="1:2" x14ac:dyDescent="0.25">
      <c r="A5743" s="75">
        <v>31321612</v>
      </c>
      <c r="B5743" s="76" t="s">
        <v>17864</v>
      </c>
    </row>
    <row r="5744" spans="1:2" x14ac:dyDescent="0.25">
      <c r="A5744" s="75">
        <v>31321613</v>
      </c>
      <c r="B5744" s="76" t="s">
        <v>9176</v>
      </c>
    </row>
    <row r="5745" spans="1:2" x14ac:dyDescent="0.25">
      <c r="A5745" s="75">
        <v>31321701</v>
      </c>
      <c r="B5745" s="76" t="s">
        <v>6025</v>
      </c>
    </row>
    <row r="5746" spans="1:2" x14ac:dyDescent="0.25">
      <c r="A5746" s="75">
        <v>31321702</v>
      </c>
      <c r="B5746" s="76" t="s">
        <v>3257</v>
      </c>
    </row>
    <row r="5747" spans="1:2" x14ac:dyDescent="0.25">
      <c r="A5747" s="75">
        <v>31321703</v>
      </c>
      <c r="B5747" s="76" t="s">
        <v>11312</v>
      </c>
    </row>
    <row r="5748" spans="1:2" x14ac:dyDescent="0.25">
      <c r="A5748" s="75">
        <v>31321704</v>
      </c>
      <c r="B5748" s="76" t="s">
        <v>12816</v>
      </c>
    </row>
    <row r="5749" spans="1:2" x14ac:dyDescent="0.25">
      <c r="A5749" s="75">
        <v>31321705</v>
      </c>
      <c r="B5749" s="76" t="s">
        <v>9035</v>
      </c>
    </row>
    <row r="5750" spans="1:2" x14ac:dyDescent="0.25">
      <c r="A5750" s="75">
        <v>31321706</v>
      </c>
      <c r="B5750" s="76" t="s">
        <v>11844</v>
      </c>
    </row>
    <row r="5751" spans="1:2" x14ac:dyDescent="0.25">
      <c r="A5751" s="75">
        <v>31321709</v>
      </c>
      <c r="B5751" s="76" t="s">
        <v>11108</v>
      </c>
    </row>
    <row r="5752" spans="1:2" x14ac:dyDescent="0.25">
      <c r="A5752" s="75">
        <v>31321710</v>
      </c>
      <c r="B5752" s="76" t="s">
        <v>14147</v>
      </c>
    </row>
    <row r="5753" spans="1:2" x14ac:dyDescent="0.25">
      <c r="A5753" s="75">
        <v>31321711</v>
      </c>
      <c r="B5753" s="76" t="s">
        <v>5141</v>
      </c>
    </row>
    <row r="5754" spans="1:2" x14ac:dyDescent="0.25">
      <c r="A5754" s="75">
        <v>31321712</v>
      </c>
      <c r="B5754" s="76" t="s">
        <v>13034</v>
      </c>
    </row>
    <row r="5755" spans="1:2" x14ac:dyDescent="0.25">
      <c r="A5755" s="75">
        <v>31321713</v>
      </c>
      <c r="B5755" s="76" t="s">
        <v>14767</v>
      </c>
    </row>
    <row r="5756" spans="1:2" x14ac:dyDescent="0.25">
      <c r="A5756" s="75">
        <v>31331101</v>
      </c>
      <c r="B5756" s="76" t="s">
        <v>9566</v>
      </c>
    </row>
    <row r="5757" spans="1:2" x14ac:dyDescent="0.25">
      <c r="A5757" s="75">
        <v>31331102</v>
      </c>
      <c r="B5757" s="76" t="s">
        <v>10359</v>
      </c>
    </row>
    <row r="5758" spans="1:2" x14ac:dyDescent="0.25">
      <c r="A5758" s="75">
        <v>31331103</v>
      </c>
      <c r="B5758" s="76" t="s">
        <v>4568</v>
      </c>
    </row>
    <row r="5759" spans="1:2" x14ac:dyDescent="0.25">
      <c r="A5759" s="75">
        <v>31331104</v>
      </c>
      <c r="B5759" s="76" t="s">
        <v>1429</v>
      </c>
    </row>
    <row r="5760" spans="1:2" x14ac:dyDescent="0.25">
      <c r="A5760" s="75">
        <v>31331105</v>
      </c>
      <c r="B5760" s="76" t="s">
        <v>18380</v>
      </c>
    </row>
    <row r="5761" spans="1:2" x14ac:dyDescent="0.25">
      <c r="A5761" s="75">
        <v>31331106</v>
      </c>
      <c r="B5761" s="76" t="s">
        <v>15107</v>
      </c>
    </row>
    <row r="5762" spans="1:2" x14ac:dyDescent="0.25">
      <c r="A5762" s="75">
        <v>31331109</v>
      </c>
      <c r="B5762" s="76" t="s">
        <v>9218</v>
      </c>
    </row>
    <row r="5763" spans="1:2" x14ac:dyDescent="0.25">
      <c r="A5763" s="75">
        <v>31331110</v>
      </c>
      <c r="B5763" s="76" t="s">
        <v>4818</v>
      </c>
    </row>
    <row r="5764" spans="1:2" x14ac:dyDescent="0.25">
      <c r="A5764" s="75">
        <v>31331111</v>
      </c>
      <c r="B5764" s="76" t="s">
        <v>15842</v>
      </c>
    </row>
    <row r="5765" spans="1:2" x14ac:dyDescent="0.25">
      <c r="A5765" s="75">
        <v>31331112</v>
      </c>
      <c r="B5765" s="76" t="s">
        <v>903</v>
      </c>
    </row>
    <row r="5766" spans="1:2" x14ac:dyDescent="0.25">
      <c r="A5766" s="75">
        <v>31331113</v>
      </c>
      <c r="B5766" s="76" t="s">
        <v>5048</v>
      </c>
    </row>
    <row r="5767" spans="1:2" x14ac:dyDescent="0.25">
      <c r="A5767" s="75">
        <v>31331201</v>
      </c>
      <c r="B5767" s="76" t="s">
        <v>16777</v>
      </c>
    </row>
    <row r="5768" spans="1:2" x14ac:dyDescent="0.25">
      <c r="A5768" s="75">
        <v>31331202</v>
      </c>
      <c r="B5768" s="76" t="s">
        <v>6349</v>
      </c>
    </row>
    <row r="5769" spans="1:2" x14ac:dyDescent="0.25">
      <c r="A5769" s="75">
        <v>31331203</v>
      </c>
      <c r="B5769" s="76" t="s">
        <v>4847</v>
      </c>
    </row>
    <row r="5770" spans="1:2" x14ac:dyDescent="0.25">
      <c r="A5770" s="75">
        <v>31331204</v>
      </c>
      <c r="B5770" s="76" t="s">
        <v>4824</v>
      </c>
    </row>
    <row r="5771" spans="1:2" x14ac:dyDescent="0.25">
      <c r="A5771" s="75">
        <v>31331205</v>
      </c>
      <c r="B5771" s="76" t="s">
        <v>18028</v>
      </c>
    </row>
    <row r="5772" spans="1:2" x14ac:dyDescent="0.25">
      <c r="A5772" s="75">
        <v>31331206</v>
      </c>
      <c r="B5772" s="76" t="s">
        <v>4720</v>
      </c>
    </row>
    <row r="5773" spans="1:2" x14ac:dyDescent="0.25">
      <c r="A5773" s="75">
        <v>31331209</v>
      </c>
      <c r="B5773" s="76" t="s">
        <v>5153</v>
      </c>
    </row>
    <row r="5774" spans="1:2" x14ac:dyDescent="0.25">
      <c r="A5774" s="75">
        <v>31331210</v>
      </c>
      <c r="B5774" s="76" t="s">
        <v>2376</v>
      </c>
    </row>
    <row r="5775" spans="1:2" x14ac:dyDescent="0.25">
      <c r="A5775" s="75">
        <v>31331211</v>
      </c>
      <c r="B5775" s="76" t="s">
        <v>11192</v>
      </c>
    </row>
    <row r="5776" spans="1:2" x14ac:dyDescent="0.25">
      <c r="A5776" s="75">
        <v>31331212</v>
      </c>
      <c r="B5776" s="76" t="s">
        <v>13261</v>
      </c>
    </row>
    <row r="5777" spans="1:2" x14ac:dyDescent="0.25">
      <c r="A5777" s="75">
        <v>31331213</v>
      </c>
      <c r="B5777" s="76" t="s">
        <v>8456</v>
      </c>
    </row>
    <row r="5778" spans="1:2" x14ac:dyDescent="0.25">
      <c r="A5778" s="75">
        <v>31331301</v>
      </c>
      <c r="B5778" s="76" t="s">
        <v>8095</v>
      </c>
    </row>
    <row r="5779" spans="1:2" x14ac:dyDescent="0.25">
      <c r="A5779" s="75">
        <v>31331302</v>
      </c>
      <c r="B5779" s="76" t="s">
        <v>1502</v>
      </c>
    </row>
    <row r="5780" spans="1:2" x14ac:dyDescent="0.25">
      <c r="A5780" s="75">
        <v>31331303</v>
      </c>
      <c r="B5780" s="76" t="s">
        <v>3251</v>
      </c>
    </row>
    <row r="5781" spans="1:2" x14ac:dyDescent="0.25">
      <c r="A5781" s="75">
        <v>31331304</v>
      </c>
      <c r="B5781" s="76" t="s">
        <v>16843</v>
      </c>
    </row>
    <row r="5782" spans="1:2" x14ac:dyDescent="0.25">
      <c r="A5782" s="75">
        <v>31331305</v>
      </c>
      <c r="B5782" s="76" t="s">
        <v>9671</v>
      </c>
    </row>
    <row r="5783" spans="1:2" x14ac:dyDescent="0.25">
      <c r="A5783" s="75">
        <v>31331306</v>
      </c>
      <c r="B5783" s="76" t="s">
        <v>11938</v>
      </c>
    </row>
    <row r="5784" spans="1:2" x14ac:dyDescent="0.25">
      <c r="A5784" s="75">
        <v>31331309</v>
      </c>
      <c r="B5784" s="76" t="s">
        <v>11813</v>
      </c>
    </row>
    <row r="5785" spans="1:2" x14ac:dyDescent="0.25">
      <c r="A5785" s="75">
        <v>31331310</v>
      </c>
      <c r="B5785" s="76" t="s">
        <v>10064</v>
      </c>
    </row>
    <row r="5786" spans="1:2" x14ac:dyDescent="0.25">
      <c r="A5786" s="75">
        <v>31331311</v>
      </c>
      <c r="B5786" s="76" t="s">
        <v>6074</v>
      </c>
    </row>
    <row r="5787" spans="1:2" x14ac:dyDescent="0.25">
      <c r="A5787" s="75">
        <v>31331312</v>
      </c>
      <c r="B5787" s="76" t="s">
        <v>7898</v>
      </c>
    </row>
    <row r="5788" spans="1:2" x14ac:dyDescent="0.25">
      <c r="A5788" s="75">
        <v>31331313</v>
      </c>
      <c r="B5788" s="76" t="s">
        <v>3964</v>
      </c>
    </row>
    <row r="5789" spans="1:2" x14ac:dyDescent="0.25">
      <c r="A5789" s="75">
        <v>31331401</v>
      </c>
      <c r="B5789" s="76" t="s">
        <v>16946</v>
      </c>
    </row>
    <row r="5790" spans="1:2" x14ac:dyDescent="0.25">
      <c r="A5790" s="75">
        <v>31331402</v>
      </c>
      <c r="B5790" s="76" t="s">
        <v>5919</v>
      </c>
    </row>
    <row r="5791" spans="1:2" x14ac:dyDescent="0.25">
      <c r="A5791" s="75">
        <v>31331403</v>
      </c>
      <c r="B5791" s="76" t="s">
        <v>11121</v>
      </c>
    </row>
    <row r="5792" spans="1:2" x14ac:dyDescent="0.25">
      <c r="A5792" s="75">
        <v>31331404</v>
      </c>
      <c r="B5792" s="76" t="s">
        <v>3284</v>
      </c>
    </row>
    <row r="5793" spans="1:2" x14ac:dyDescent="0.25">
      <c r="A5793" s="75">
        <v>31331405</v>
      </c>
      <c r="B5793" s="76" t="s">
        <v>13161</v>
      </c>
    </row>
    <row r="5794" spans="1:2" x14ac:dyDescent="0.25">
      <c r="A5794" s="75">
        <v>31331406</v>
      </c>
      <c r="B5794" s="76" t="s">
        <v>14866</v>
      </c>
    </row>
    <row r="5795" spans="1:2" x14ac:dyDescent="0.25">
      <c r="A5795" s="75">
        <v>31331409</v>
      </c>
      <c r="B5795" s="76" t="s">
        <v>16891</v>
      </c>
    </row>
    <row r="5796" spans="1:2" x14ac:dyDescent="0.25">
      <c r="A5796" s="75">
        <v>31331410</v>
      </c>
      <c r="B5796" s="76" t="s">
        <v>17073</v>
      </c>
    </row>
    <row r="5797" spans="1:2" x14ac:dyDescent="0.25">
      <c r="A5797" s="75">
        <v>31331411</v>
      </c>
      <c r="B5797" s="76" t="s">
        <v>12728</v>
      </c>
    </row>
    <row r="5798" spans="1:2" x14ac:dyDescent="0.25">
      <c r="A5798" s="75">
        <v>31331412</v>
      </c>
      <c r="B5798" s="76" t="s">
        <v>2696</v>
      </c>
    </row>
    <row r="5799" spans="1:2" x14ac:dyDescent="0.25">
      <c r="A5799" s="75">
        <v>31331413</v>
      </c>
      <c r="B5799" s="76" t="s">
        <v>5813</v>
      </c>
    </row>
    <row r="5800" spans="1:2" x14ac:dyDescent="0.25">
      <c r="A5800" s="75">
        <v>31331501</v>
      </c>
      <c r="B5800" s="76" t="s">
        <v>9869</v>
      </c>
    </row>
    <row r="5801" spans="1:2" x14ac:dyDescent="0.25">
      <c r="A5801" s="75">
        <v>31331502</v>
      </c>
      <c r="B5801" s="76" t="s">
        <v>9624</v>
      </c>
    </row>
    <row r="5802" spans="1:2" x14ac:dyDescent="0.25">
      <c r="A5802" s="75">
        <v>31331503</v>
      </c>
      <c r="B5802" s="76" t="s">
        <v>12230</v>
      </c>
    </row>
    <row r="5803" spans="1:2" x14ac:dyDescent="0.25">
      <c r="A5803" s="75">
        <v>31331504</v>
      </c>
      <c r="B5803" s="76" t="s">
        <v>8613</v>
      </c>
    </row>
    <row r="5804" spans="1:2" x14ac:dyDescent="0.25">
      <c r="A5804" s="75">
        <v>31331505</v>
      </c>
      <c r="B5804" s="76" t="s">
        <v>2097</v>
      </c>
    </row>
    <row r="5805" spans="1:2" x14ac:dyDescent="0.25">
      <c r="A5805" s="75">
        <v>31331506</v>
      </c>
      <c r="B5805" s="76" t="s">
        <v>9131</v>
      </c>
    </row>
    <row r="5806" spans="1:2" x14ac:dyDescent="0.25">
      <c r="A5806" s="75">
        <v>31331509</v>
      </c>
      <c r="B5806" s="76" t="s">
        <v>9146</v>
      </c>
    </row>
    <row r="5807" spans="1:2" x14ac:dyDescent="0.25">
      <c r="A5807" s="75">
        <v>31331510</v>
      </c>
      <c r="B5807" s="76" t="s">
        <v>7619</v>
      </c>
    </row>
    <row r="5808" spans="1:2" x14ac:dyDescent="0.25">
      <c r="A5808" s="75">
        <v>31331511</v>
      </c>
      <c r="B5808" s="76" t="s">
        <v>14508</v>
      </c>
    </row>
    <row r="5809" spans="1:2" x14ac:dyDescent="0.25">
      <c r="A5809" s="75">
        <v>31331512</v>
      </c>
      <c r="B5809" s="76" t="s">
        <v>9258</v>
      </c>
    </row>
    <row r="5810" spans="1:2" x14ac:dyDescent="0.25">
      <c r="A5810" s="75">
        <v>31331513</v>
      </c>
      <c r="B5810" s="76" t="s">
        <v>10945</v>
      </c>
    </row>
    <row r="5811" spans="1:2" x14ac:dyDescent="0.25">
      <c r="A5811" s="75">
        <v>31331601</v>
      </c>
      <c r="B5811" s="76" t="s">
        <v>13778</v>
      </c>
    </row>
    <row r="5812" spans="1:2" x14ac:dyDescent="0.25">
      <c r="A5812" s="75">
        <v>31331602</v>
      </c>
      <c r="B5812" s="76" t="s">
        <v>12905</v>
      </c>
    </row>
    <row r="5813" spans="1:2" x14ac:dyDescent="0.25">
      <c r="A5813" s="75">
        <v>31331603</v>
      </c>
      <c r="B5813" s="76" t="s">
        <v>9134</v>
      </c>
    </row>
    <row r="5814" spans="1:2" x14ac:dyDescent="0.25">
      <c r="A5814" s="75">
        <v>31331604</v>
      </c>
      <c r="B5814" s="76" t="s">
        <v>12310</v>
      </c>
    </row>
    <row r="5815" spans="1:2" x14ac:dyDescent="0.25">
      <c r="A5815" s="75">
        <v>31331605</v>
      </c>
      <c r="B5815" s="76" t="s">
        <v>5011</v>
      </c>
    </row>
    <row r="5816" spans="1:2" x14ac:dyDescent="0.25">
      <c r="A5816" s="75">
        <v>31331606</v>
      </c>
      <c r="B5816" s="76" t="s">
        <v>2411</v>
      </c>
    </row>
    <row r="5817" spans="1:2" x14ac:dyDescent="0.25">
      <c r="A5817" s="75">
        <v>31331609</v>
      </c>
      <c r="B5817" s="76" t="s">
        <v>9973</v>
      </c>
    </row>
    <row r="5818" spans="1:2" x14ac:dyDescent="0.25">
      <c r="A5818" s="75">
        <v>31331610</v>
      </c>
      <c r="B5818" s="76" t="s">
        <v>5399</v>
      </c>
    </row>
    <row r="5819" spans="1:2" x14ac:dyDescent="0.25">
      <c r="A5819" s="75">
        <v>31331611</v>
      </c>
      <c r="B5819" s="76" t="s">
        <v>10933</v>
      </c>
    </row>
    <row r="5820" spans="1:2" x14ac:dyDescent="0.25">
      <c r="A5820" s="75">
        <v>31331612</v>
      </c>
      <c r="B5820" s="76" t="s">
        <v>4556</v>
      </c>
    </row>
    <row r="5821" spans="1:2" x14ac:dyDescent="0.25">
      <c r="A5821" s="75">
        <v>31331613</v>
      </c>
      <c r="B5821" s="76" t="s">
        <v>147</v>
      </c>
    </row>
    <row r="5822" spans="1:2" x14ac:dyDescent="0.25">
      <c r="A5822" s="75">
        <v>31331701</v>
      </c>
      <c r="B5822" s="76" t="s">
        <v>7554</v>
      </c>
    </row>
    <row r="5823" spans="1:2" x14ac:dyDescent="0.25">
      <c r="A5823" s="75">
        <v>31331702</v>
      </c>
      <c r="B5823" s="76" t="s">
        <v>6482</v>
      </c>
    </row>
    <row r="5824" spans="1:2" x14ac:dyDescent="0.25">
      <c r="A5824" s="75">
        <v>31331703</v>
      </c>
      <c r="B5824" s="76" t="s">
        <v>12459</v>
      </c>
    </row>
    <row r="5825" spans="1:2" x14ac:dyDescent="0.25">
      <c r="A5825" s="75">
        <v>31331704</v>
      </c>
      <c r="B5825" s="76" t="s">
        <v>16989</v>
      </c>
    </row>
    <row r="5826" spans="1:2" x14ac:dyDescent="0.25">
      <c r="A5826" s="75">
        <v>31331705</v>
      </c>
      <c r="B5826" s="76" t="s">
        <v>10536</v>
      </c>
    </row>
    <row r="5827" spans="1:2" x14ac:dyDescent="0.25">
      <c r="A5827" s="75">
        <v>31331706</v>
      </c>
      <c r="B5827" s="76" t="s">
        <v>8718</v>
      </c>
    </row>
    <row r="5828" spans="1:2" x14ac:dyDescent="0.25">
      <c r="A5828" s="75">
        <v>31331709</v>
      </c>
      <c r="B5828" s="76" t="s">
        <v>9516</v>
      </c>
    </row>
    <row r="5829" spans="1:2" x14ac:dyDescent="0.25">
      <c r="A5829" s="75">
        <v>31331710</v>
      </c>
      <c r="B5829" s="76" t="s">
        <v>17950</v>
      </c>
    </row>
    <row r="5830" spans="1:2" x14ac:dyDescent="0.25">
      <c r="A5830" s="75">
        <v>31331711</v>
      </c>
      <c r="B5830" s="76" t="s">
        <v>6325</v>
      </c>
    </row>
    <row r="5831" spans="1:2" x14ac:dyDescent="0.25">
      <c r="A5831" s="75">
        <v>31331712</v>
      </c>
      <c r="B5831" s="76" t="s">
        <v>11068</v>
      </c>
    </row>
    <row r="5832" spans="1:2" x14ac:dyDescent="0.25">
      <c r="A5832" s="75">
        <v>31331713</v>
      </c>
      <c r="B5832" s="76" t="s">
        <v>9877</v>
      </c>
    </row>
    <row r="5833" spans="1:2" x14ac:dyDescent="0.25">
      <c r="A5833" s="75">
        <v>31341101</v>
      </c>
      <c r="B5833" s="76" t="s">
        <v>17318</v>
      </c>
    </row>
    <row r="5834" spans="1:2" x14ac:dyDescent="0.25">
      <c r="A5834" s="75">
        <v>31341102</v>
      </c>
      <c r="B5834" s="76" t="s">
        <v>1586</v>
      </c>
    </row>
    <row r="5835" spans="1:2" x14ac:dyDescent="0.25">
      <c r="A5835" s="75">
        <v>31341103</v>
      </c>
      <c r="B5835" s="76" t="s">
        <v>15221</v>
      </c>
    </row>
    <row r="5836" spans="1:2" x14ac:dyDescent="0.25">
      <c r="A5836" s="75">
        <v>31341104</v>
      </c>
      <c r="B5836" s="76" t="s">
        <v>1171</v>
      </c>
    </row>
    <row r="5837" spans="1:2" x14ac:dyDescent="0.25">
      <c r="A5837" s="75">
        <v>31341105</v>
      </c>
      <c r="B5837" s="76" t="s">
        <v>2593</v>
      </c>
    </row>
    <row r="5838" spans="1:2" x14ac:dyDescent="0.25">
      <c r="A5838" s="75">
        <v>31341106</v>
      </c>
      <c r="B5838" s="76" t="s">
        <v>10504</v>
      </c>
    </row>
    <row r="5839" spans="1:2" x14ac:dyDescent="0.25">
      <c r="A5839" s="75">
        <v>31341109</v>
      </c>
      <c r="B5839" s="76" t="s">
        <v>5098</v>
      </c>
    </row>
    <row r="5840" spans="1:2" x14ac:dyDescent="0.25">
      <c r="A5840" s="75">
        <v>31341110</v>
      </c>
      <c r="B5840" s="76" t="s">
        <v>9630</v>
      </c>
    </row>
    <row r="5841" spans="1:2" x14ac:dyDescent="0.25">
      <c r="A5841" s="75">
        <v>31341111</v>
      </c>
      <c r="B5841" s="76" t="s">
        <v>16298</v>
      </c>
    </row>
    <row r="5842" spans="1:2" x14ac:dyDescent="0.25">
      <c r="A5842" s="75">
        <v>31341112</v>
      </c>
      <c r="B5842" s="76" t="s">
        <v>7704</v>
      </c>
    </row>
    <row r="5843" spans="1:2" x14ac:dyDescent="0.25">
      <c r="A5843" s="75">
        <v>31341113</v>
      </c>
      <c r="B5843" s="76" t="s">
        <v>5276</v>
      </c>
    </row>
    <row r="5844" spans="1:2" x14ac:dyDescent="0.25">
      <c r="A5844" s="75">
        <v>31341201</v>
      </c>
      <c r="B5844" s="76" t="s">
        <v>5517</v>
      </c>
    </row>
    <row r="5845" spans="1:2" x14ac:dyDescent="0.25">
      <c r="A5845" s="75">
        <v>31341202</v>
      </c>
      <c r="B5845" s="76" t="s">
        <v>13881</v>
      </c>
    </row>
    <row r="5846" spans="1:2" x14ac:dyDescent="0.25">
      <c r="A5846" s="75">
        <v>31341203</v>
      </c>
      <c r="B5846" s="76" t="s">
        <v>10449</v>
      </c>
    </row>
    <row r="5847" spans="1:2" x14ac:dyDescent="0.25">
      <c r="A5847" s="75">
        <v>31341204</v>
      </c>
      <c r="B5847" s="76" t="s">
        <v>8229</v>
      </c>
    </row>
    <row r="5848" spans="1:2" x14ac:dyDescent="0.25">
      <c r="A5848" s="75">
        <v>31341205</v>
      </c>
      <c r="B5848" s="76" t="s">
        <v>12494</v>
      </c>
    </row>
    <row r="5849" spans="1:2" x14ac:dyDescent="0.25">
      <c r="A5849" s="75">
        <v>31341206</v>
      </c>
      <c r="B5849" s="76" t="s">
        <v>4609</v>
      </c>
    </row>
    <row r="5850" spans="1:2" x14ac:dyDescent="0.25">
      <c r="A5850" s="75">
        <v>31341209</v>
      </c>
      <c r="B5850" s="76" t="s">
        <v>18023</v>
      </c>
    </row>
    <row r="5851" spans="1:2" x14ac:dyDescent="0.25">
      <c r="A5851" s="75">
        <v>31341210</v>
      </c>
      <c r="B5851" s="76" t="s">
        <v>11137</v>
      </c>
    </row>
    <row r="5852" spans="1:2" x14ac:dyDescent="0.25">
      <c r="A5852" s="75">
        <v>31341211</v>
      </c>
      <c r="B5852" s="76" t="s">
        <v>5281</v>
      </c>
    </row>
    <row r="5853" spans="1:2" x14ac:dyDescent="0.25">
      <c r="A5853" s="75">
        <v>31341212</v>
      </c>
      <c r="B5853" s="76" t="s">
        <v>5372</v>
      </c>
    </row>
    <row r="5854" spans="1:2" x14ac:dyDescent="0.25">
      <c r="A5854" s="75">
        <v>31341213</v>
      </c>
      <c r="B5854" s="76" t="s">
        <v>10887</v>
      </c>
    </row>
    <row r="5855" spans="1:2" x14ac:dyDescent="0.25">
      <c r="A5855" s="75">
        <v>31341301</v>
      </c>
      <c r="B5855" s="76" t="s">
        <v>18430</v>
      </c>
    </row>
    <row r="5856" spans="1:2" x14ac:dyDescent="0.25">
      <c r="A5856" s="75">
        <v>31341302</v>
      </c>
      <c r="B5856" s="76" t="s">
        <v>448</v>
      </c>
    </row>
    <row r="5857" spans="1:2" x14ac:dyDescent="0.25">
      <c r="A5857" s="75">
        <v>31341303</v>
      </c>
      <c r="B5857" s="76" t="s">
        <v>16356</v>
      </c>
    </row>
    <row r="5858" spans="1:2" x14ac:dyDescent="0.25">
      <c r="A5858" s="75">
        <v>31341304</v>
      </c>
      <c r="B5858" s="76" t="s">
        <v>8335</v>
      </c>
    </row>
    <row r="5859" spans="1:2" x14ac:dyDescent="0.25">
      <c r="A5859" s="75">
        <v>31341305</v>
      </c>
      <c r="B5859" s="76" t="s">
        <v>19797</v>
      </c>
    </row>
    <row r="5860" spans="1:2" x14ac:dyDescent="0.25">
      <c r="A5860" s="75">
        <v>31341306</v>
      </c>
      <c r="B5860" s="76" t="s">
        <v>3795</v>
      </c>
    </row>
    <row r="5861" spans="1:2" x14ac:dyDescent="0.25">
      <c r="A5861" s="75">
        <v>31341309</v>
      </c>
      <c r="B5861" s="76" t="s">
        <v>5170</v>
      </c>
    </row>
    <row r="5862" spans="1:2" x14ac:dyDescent="0.25">
      <c r="A5862" s="75">
        <v>31341310</v>
      </c>
      <c r="B5862" s="76" t="s">
        <v>11221</v>
      </c>
    </row>
    <row r="5863" spans="1:2" x14ac:dyDescent="0.25">
      <c r="A5863" s="75">
        <v>31341311</v>
      </c>
      <c r="B5863" s="76" t="s">
        <v>2218</v>
      </c>
    </row>
    <row r="5864" spans="1:2" x14ac:dyDescent="0.25">
      <c r="A5864" s="75">
        <v>31341312</v>
      </c>
      <c r="B5864" s="76" t="s">
        <v>11276</v>
      </c>
    </row>
    <row r="5865" spans="1:2" x14ac:dyDescent="0.25">
      <c r="A5865" s="75">
        <v>31341313</v>
      </c>
      <c r="B5865" s="76" t="s">
        <v>13295</v>
      </c>
    </row>
    <row r="5866" spans="1:2" x14ac:dyDescent="0.25">
      <c r="A5866" s="75">
        <v>31341401</v>
      </c>
      <c r="B5866" s="76" t="s">
        <v>7479</v>
      </c>
    </row>
    <row r="5867" spans="1:2" x14ac:dyDescent="0.25">
      <c r="A5867" s="75">
        <v>31341402</v>
      </c>
      <c r="B5867" s="76" t="s">
        <v>7113</v>
      </c>
    </row>
    <row r="5868" spans="1:2" x14ac:dyDescent="0.25">
      <c r="A5868" s="75">
        <v>31341403</v>
      </c>
      <c r="B5868" s="76" t="s">
        <v>19454</v>
      </c>
    </row>
    <row r="5869" spans="1:2" x14ac:dyDescent="0.25">
      <c r="A5869" s="75">
        <v>31341404</v>
      </c>
      <c r="B5869" s="76" t="s">
        <v>16340</v>
      </c>
    </row>
    <row r="5870" spans="1:2" x14ac:dyDescent="0.25">
      <c r="A5870" s="75">
        <v>31341405</v>
      </c>
      <c r="B5870" s="76" t="s">
        <v>17958</v>
      </c>
    </row>
    <row r="5871" spans="1:2" x14ac:dyDescent="0.25">
      <c r="A5871" s="75">
        <v>31341406</v>
      </c>
      <c r="B5871" s="76" t="s">
        <v>7076</v>
      </c>
    </row>
    <row r="5872" spans="1:2" x14ac:dyDescent="0.25">
      <c r="A5872" s="75">
        <v>31341409</v>
      </c>
      <c r="B5872" s="76" t="s">
        <v>8676</v>
      </c>
    </row>
    <row r="5873" spans="1:2" x14ac:dyDescent="0.25">
      <c r="A5873" s="75">
        <v>31341410</v>
      </c>
      <c r="B5873" s="76" t="s">
        <v>6225</v>
      </c>
    </row>
    <row r="5874" spans="1:2" x14ac:dyDescent="0.25">
      <c r="A5874" s="75">
        <v>31341411</v>
      </c>
      <c r="B5874" s="76" t="s">
        <v>16163</v>
      </c>
    </row>
    <row r="5875" spans="1:2" x14ac:dyDescent="0.25">
      <c r="A5875" s="75">
        <v>31341412</v>
      </c>
      <c r="B5875" s="76" t="s">
        <v>8329</v>
      </c>
    </row>
    <row r="5876" spans="1:2" x14ac:dyDescent="0.25">
      <c r="A5876" s="75">
        <v>31341413</v>
      </c>
      <c r="B5876" s="76" t="s">
        <v>8504</v>
      </c>
    </row>
    <row r="5877" spans="1:2" x14ac:dyDescent="0.25">
      <c r="A5877" s="75">
        <v>31341501</v>
      </c>
      <c r="B5877" s="76" t="s">
        <v>1072</v>
      </c>
    </row>
    <row r="5878" spans="1:2" x14ac:dyDescent="0.25">
      <c r="A5878" s="75">
        <v>31341502</v>
      </c>
      <c r="B5878" s="76" t="s">
        <v>7053</v>
      </c>
    </row>
    <row r="5879" spans="1:2" x14ac:dyDescent="0.25">
      <c r="A5879" s="75">
        <v>31341503</v>
      </c>
      <c r="B5879" s="76" t="s">
        <v>8145</v>
      </c>
    </row>
    <row r="5880" spans="1:2" x14ac:dyDescent="0.25">
      <c r="A5880" s="75">
        <v>31341504</v>
      </c>
      <c r="B5880" s="76" t="s">
        <v>1670</v>
      </c>
    </row>
    <row r="5881" spans="1:2" x14ac:dyDescent="0.25">
      <c r="A5881" s="75">
        <v>31341505</v>
      </c>
      <c r="B5881" s="76" t="s">
        <v>18723</v>
      </c>
    </row>
    <row r="5882" spans="1:2" x14ac:dyDescent="0.25">
      <c r="A5882" s="75">
        <v>31341506</v>
      </c>
      <c r="B5882" s="76" t="s">
        <v>12821</v>
      </c>
    </row>
    <row r="5883" spans="1:2" x14ac:dyDescent="0.25">
      <c r="A5883" s="75">
        <v>31341509</v>
      </c>
      <c r="B5883" s="76" t="s">
        <v>828</v>
      </c>
    </row>
    <row r="5884" spans="1:2" x14ac:dyDescent="0.25">
      <c r="A5884" s="75">
        <v>31341510</v>
      </c>
      <c r="B5884" s="76" t="s">
        <v>2698</v>
      </c>
    </row>
    <row r="5885" spans="1:2" x14ac:dyDescent="0.25">
      <c r="A5885" s="75">
        <v>31341511</v>
      </c>
      <c r="B5885" s="76" t="s">
        <v>12881</v>
      </c>
    </row>
    <row r="5886" spans="1:2" x14ac:dyDescent="0.25">
      <c r="A5886" s="75">
        <v>31341512</v>
      </c>
      <c r="B5886" s="76" t="s">
        <v>19668</v>
      </c>
    </row>
    <row r="5887" spans="1:2" x14ac:dyDescent="0.25">
      <c r="A5887" s="75">
        <v>31341513</v>
      </c>
      <c r="B5887" s="76" t="s">
        <v>7422</v>
      </c>
    </row>
    <row r="5888" spans="1:2" x14ac:dyDescent="0.25">
      <c r="A5888" s="75">
        <v>31341601</v>
      </c>
      <c r="B5888" s="76" t="s">
        <v>10978</v>
      </c>
    </row>
    <row r="5889" spans="1:2" x14ac:dyDescent="0.25">
      <c r="A5889" s="75">
        <v>31341602</v>
      </c>
      <c r="B5889" s="76" t="s">
        <v>13146</v>
      </c>
    </row>
    <row r="5890" spans="1:2" x14ac:dyDescent="0.25">
      <c r="A5890" s="75">
        <v>31341603</v>
      </c>
      <c r="B5890" s="76" t="s">
        <v>3794</v>
      </c>
    </row>
    <row r="5891" spans="1:2" x14ac:dyDescent="0.25">
      <c r="A5891" s="75">
        <v>31341604</v>
      </c>
      <c r="B5891" s="76" t="s">
        <v>107</v>
      </c>
    </row>
    <row r="5892" spans="1:2" x14ac:dyDescent="0.25">
      <c r="A5892" s="75">
        <v>31341605</v>
      </c>
      <c r="B5892" s="76" t="s">
        <v>14577</v>
      </c>
    </row>
    <row r="5893" spans="1:2" x14ac:dyDescent="0.25">
      <c r="A5893" s="75">
        <v>31341606</v>
      </c>
      <c r="B5893" s="76" t="s">
        <v>8658</v>
      </c>
    </row>
    <row r="5894" spans="1:2" x14ac:dyDescent="0.25">
      <c r="A5894" s="75">
        <v>31341609</v>
      </c>
      <c r="B5894" s="76" t="s">
        <v>18884</v>
      </c>
    </row>
    <row r="5895" spans="1:2" x14ac:dyDescent="0.25">
      <c r="A5895" s="75">
        <v>31341610</v>
      </c>
      <c r="B5895" s="76" t="s">
        <v>9715</v>
      </c>
    </row>
    <row r="5896" spans="1:2" x14ac:dyDescent="0.25">
      <c r="A5896" s="75">
        <v>31341611</v>
      </c>
      <c r="B5896" s="76" t="s">
        <v>10492</v>
      </c>
    </row>
    <row r="5897" spans="1:2" x14ac:dyDescent="0.25">
      <c r="A5897" s="75">
        <v>31341612</v>
      </c>
      <c r="B5897" s="76" t="s">
        <v>7061</v>
      </c>
    </row>
    <row r="5898" spans="1:2" x14ac:dyDescent="0.25">
      <c r="A5898" s="75">
        <v>31341613</v>
      </c>
      <c r="B5898" s="76" t="s">
        <v>1217</v>
      </c>
    </row>
    <row r="5899" spans="1:2" x14ac:dyDescent="0.25">
      <c r="A5899" s="75">
        <v>31341701</v>
      </c>
      <c r="B5899" s="76" t="s">
        <v>1142</v>
      </c>
    </row>
    <row r="5900" spans="1:2" x14ac:dyDescent="0.25">
      <c r="A5900" s="75">
        <v>31341702</v>
      </c>
      <c r="B5900" s="76" t="s">
        <v>12364</v>
      </c>
    </row>
    <row r="5901" spans="1:2" x14ac:dyDescent="0.25">
      <c r="A5901" s="75">
        <v>31341703</v>
      </c>
      <c r="B5901" s="76" t="s">
        <v>7390</v>
      </c>
    </row>
    <row r="5902" spans="1:2" x14ac:dyDescent="0.25">
      <c r="A5902" s="75">
        <v>31341704</v>
      </c>
      <c r="B5902" s="76" t="s">
        <v>1718</v>
      </c>
    </row>
    <row r="5903" spans="1:2" x14ac:dyDescent="0.25">
      <c r="A5903" s="75">
        <v>31341705</v>
      </c>
      <c r="B5903" s="76" t="s">
        <v>606</v>
      </c>
    </row>
    <row r="5904" spans="1:2" x14ac:dyDescent="0.25">
      <c r="A5904" s="75">
        <v>31341706</v>
      </c>
      <c r="B5904" s="76" t="s">
        <v>12024</v>
      </c>
    </row>
    <row r="5905" spans="1:2" x14ac:dyDescent="0.25">
      <c r="A5905" s="75">
        <v>31341709</v>
      </c>
      <c r="B5905" s="76" t="s">
        <v>12161</v>
      </c>
    </row>
    <row r="5906" spans="1:2" x14ac:dyDescent="0.25">
      <c r="A5906" s="75">
        <v>31341710</v>
      </c>
      <c r="B5906" s="76" t="s">
        <v>12912</v>
      </c>
    </row>
    <row r="5907" spans="1:2" x14ac:dyDescent="0.25">
      <c r="A5907" s="75">
        <v>31341711</v>
      </c>
      <c r="B5907" s="76" t="s">
        <v>9001</v>
      </c>
    </row>
    <row r="5908" spans="1:2" x14ac:dyDescent="0.25">
      <c r="A5908" s="75">
        <v>31341712</v>
      </c>
      <c r="B5908" s="76" t="s">
        <v>13524</v>
      </c>
    </row>
    <row r="5909" spans="1:2" x14ac:dyDescent="0.25">
      <c r="A5909" s="75">
        <v>31341713</v>
      </c>
      <c r="B5909" s="76" t="s">
        <v>8211</v>
      </c>
    </row>
    <row r="5910" spans="1:2" x14ac:dyDescent="0.25">
      <c r="A5910" s="75">
        <v>31351101</v>
      </c>
      <c r="B5910" s="76" t="s">
        <v>7357</v>
      </c>
    </row>
    <row r="5911" spans="1:2" x14ac:dyDescent="0.25">
      <c r="A5911" s="75">
        <v>31351102</v>
      </c>
      <c r="B5911" s="76" t="s">
        <v>9292</v>
      </c>
    </row>
    <row r="5912" spans="1:2" x14ac:dyDescent="0.25">
      <c r="A5912" s="75">
        <v>31351103</v>
      </c>
      <c r="B5912" s="76" t="s">
        <v>14795</v>
      </c>
    </row>
    <row r="5913" spans="1:2" x14ac:dyDescent="0.25">
      <c r="A5913" s="75">
        <v>31351104</v>
      </c>
      <c r="B5913" s="76" t="s">
        <v>6579</v>
      </c>
    </row>
    <row r="5914" spans="1:2" x14ac:dyDescent="0.25">
      <c r="A5914" s="75">
        <v>31351105</v>
      </c>
      <c r="B5914" s="76" t="s">
        <v>10670</v>
      </c>
    </row>
    <row r="5915" spans="1:2" x14ac:dyDescent="0.25">
      <c r="A5915" s="75">
        <v>31351106</v>
      </c>
      <c r="B5915" s="76" t="s">
        <v>5730</v>
      </c>
    </row>
    <row r="5916" spans="1:2" x14ac:dyDescent="0.25">
      <c r="A5916" s="75">
        <v>31351109</v>
      </c>
      <c r="B5916" s="76" t="s">
        <v>8496</v>
      </c>
    </row>
    <row r="5917" spans="1:2" x14ac:dyDescent="0.25">
      <c r="A5917" s="75">
        <v>31351110</v>
      </c>
      <c r="B5917" s="76" t="s">
        <v>2194</v>
      </c>
    </row>
    <row r="5918" spans="1:2" x14ac:dyDescent="0.25">
      <c r="A5918" s="75">
        <v>31351111</v>
      </c>
      <c r="B5918" s="76" t="s">
        <v>15022</v>
      </c>
    </row>
    <row r="5919" spans="1:2" x14ac:dyDescent="0.25">
      <c r="A5919" s="75">
        <v>31351112</v>
      </c>
      <c r="B5919" s="76" t="s">
        <v>10619</v>
      </c>
    </row>
    <row r="5920" spans="1:2" x14ac:dyDescent="0.25">
      <c r="A5920" s="75">
        <v>31351113</v>
      </c>
      <c r="B5920" s="76" t="s">
        <v>13045</v>
      </c>
    </row>
    <row r="5921" spans="1:2" x14ac:dyDescent="0.25">
      <c r="A5921" s="75">
        <v>31351201</v>
      </c>
      <c r="B5921" s="76" t="s">
        <v>7276</v>
      </c>
    </row>
    <row r="5922" spans="1:2" x14ac:dyDescent="0.25">
      <c r="A5922" s="75">
        <v>31351202</v>
      </c>
      <c r="B5922" s="76" t="s">
        <v>9792</v>
      </c>
    </row>
    <row r="5923" spans="1:2" x14ac:dyDescent="0.25">
      <c r="A5923" s="75">
        <v>31351203</v>
      </c>
      <c r="B5923" s="76" t="s">
        <v>13847</v>
      </c>
    </row>
    <row r="5924" spans="1:2" x14ac:dyDescent="0.25">
      <c r="A5924" s="75">
        <v>31351204</v>
      </c>
      <c r="B5924" s="76" t="s">
        <v>10947</v>
      </c>
    </row>
    <row r="5925" spans="1:2" x14ac:dyDescent="0.25">
      <c r="A5925" s="75">
        <v>31351205</v>
      </c>
      <c r="B5925" s="76" t="s">
        <v>10512</v>
      </c>
    </row>
    <row r="5926" spans="1:2" x14ac:dyDescent="0.25">
      <c r="A5926" s="75">
        <v>31351206</v>
      </c>
      <c r="B5926" s="76" t="s">
        <v>8897</v>
      </c>
    </row>
    <row r="5927" spans="1:2" x14ac:dyDescent="0.25">
      <c r="A5927" s="75">
        <v>31351209</v>
      </c>
      <c r="B5927" s="76" t="s">
        <v>9834</v>
      </c>
    </row>
    <row r="5928" spans="1:2" x14ac:dyDescent="0.25">
      <c r="A5928" s="75">
        <v>31351210</v>
      </c>
      <c r="B5928" s="76" t="s">
        <v>10321</v>
      </c>
    </row>
    <row r="5929" spans="1:2" x14ac:dyDescent="0.25">
      <c r="A5929" s="75">
        <v>31351211</v>
      </c>
      <c r="B5929" s="76" t="s">
        <v>2036</v>
      </c>
    </row>
    <row r="5930" spans="1:2" x14ac:dyDescent="0.25">
      <c r="A5930" s="75">
        <v>31351212</v>
      </c>
      <c r="B5930" s="76" t="s">
        <v>13282</v>
      </c>
    </row>
    <row r="5931" spans="1:2" x14ac:dyDescent="0.25">
      <c r="A5931" s="75">
        <v>31351213</v>
      </c>
      <c r="B5931" s="76" t="s">
        <v>3462</v>
      </c>
    </row>
    <row r="5932" spans="1:2" x14ac:dyDescent="0.25">
      <c r="A5932" s="75">
        <v>31351301</v>
      </c>
      <c r="B5932" s="76" t="s">
        <v>2110</v>
      </c>
    </row>
    <row r="5933" spans="1:2" x14ac:dyDescent="0.25">
      <c r="A5933" s="75">
        <v>31351302</v>
      </c>
      <c r="B5933" s="76" t="s">
        <v>6570</v>
      </c>
    </row>
    <row r="5934" spans="1:2" x14ac:dyDescent="0.25">
      <c r="A5934" s="75">
        <v>31351303</v>
      </c>
      <c r="B5934" s="76" t="s">
        <v>8152</v>
      </c>
    </row>
    <row r="5935" spans="1:2" x14ac:dyDescent="0.25">
      <c r="A5935" s="75">
        <v>31351304</v>
      </c>
      <c r="B5935" s="76" t="s">
        <v>12009</v>
      </c>
    </row>
    <row r="5936" spans="1:2" x14ac:dyDescent="0.25">
      <c r="A5936" s="75">
        <v>31351305</v>
      </c>
      <c r="B5936" s="76" t="s">
        <v>7605</v>
      </c>
    </row>
    <row r="5937" spans="1:2" x14ac:dyDescent="0.25">
      <c r="A5937" s="75">
        <v>31351306</v>
      </c>
      <c r="B5937" s="76" t="s">
        <v>16253</v>
      </c>
    </row>
    <row r="5938" spans="1:2" x14ac:dyDescent="0.25">
      <c r="A5938" s="75">
        <v>31351309</v>
      </c>
      <c r="B5938" s="76" t="s">
        <v>16264</v>
      </c>
    </row>
    <row r="5939" spans="1:2" x14ac:dyDescent="0.25">
      <c r="A5939" s="75">
        <v>31351310</v>
      </c>
      <c r="B5939" s="76" t="s">
        <v>10207</v>
      </c>
    </row>
    <row r="5940" spans="1:2" x14ac:dyDescent="0.25">
      <c r="A5940" s="75">
        <v>31351311</v>
      </c>
      <c r="B5940" s="76" t="s">
        <v>9968</v>
      </c>
    </row>
    <row r="5941" spans="1:2" x14ac:dyDescent="0.25">
      <c r="A5941" s="75">
        <v>31351312</v>
      </c>
      <c r="B5941" s="76" t="s">
        <v>11657</v>
      </c>
    </row>
    <row r="5942" spans="1:2" x14ac:dyDescent="0.25">
      <c r="A5942" s="75">
        <v>31351313</v>
      </c>
      <c r="B5942" s="76" t="s">
        <v>12889</v>
      </c>
    </row>
    <row r="5943" spans="1:2" x14ac:dyDescent="0.25">
      <c r="A5943" s="75">
        <v>31351401</v>
      </c>
      <c r="B5943" s="76" t="s">
        <v>12944</v>
      </c>
    </row>
    <row r="5944" spans="1:2" x14ac:dyDescent="0.25">
      <c r="A5944" s="75">
        <v>31351402</v>
      </c>
      <c r="B5944" s="76" t="s">
        <v>7520</v>
      </c>
    </row>
    <row r="5945" spans="1:2" x14ac:dyDescent="0.25">
      <c r="A5945" s="75">
        <v>31351403</v>
      </c>
      <c r="B5945" s="76" t="s">
        <v>11556</v>
      </c>
    </row>
    <row r="5946" spans="1:2" x14ac:dyDescent="0.25">
      <c r="A5946" s="75">
        <v>31351404</v>
      </c>
      <c r="B5946" s="76" t="s">
        <v>13076</v>
      </c>
    </row>
    <row r="5947" spans="1:2" x14ac:dyDescent="0.25">
      <c r="A5947" s="75">
        <v>31351405</v>
      </c>
      <c r="B5947" s="76" t="s">
        <v>11780</v>
      </c>
    </row>
    <row r="5948" spans="1:2" x14ac:dyDescent="0.25">
      <c r="A5948" s="75">
        <v>31351406</v>
      </c>
      <c r="B5948" s="76" t="s">
        <v>2709</v>
      </c>
    </row>
    <row r="5949" spans="1:2" x14ac:dyDescent="0.25">
      <c r="A5949" s="75">
        <v>31351409</v>
      </c>
      <c r="B5949" s="76" t="s">
        <v>16866</v>
      </c>
    </row>
    <row r="5950" spans="1:2" x14ac:dyDescent="0.25">
      <c r="A5950" s="75">
        <v>31351410</v>
      </c>
      <c r="B5950" s="76" t="s">
        <v>990</v>
      </c>
    </row>
    <row r="5951" spans="1:2" x14ac:dyDescent="0.25">
      <c r="A5951" s="75">
        <v>31351411</v>
      </c>
      <c r="B5951" s="76" t="s">
        <v>9904</v>
      </c>
    </row>
    <row r="5952" spans="1:2" x14ac:dyDescent="0.25">
      <c r="A5952" s="75">
        <v>31351412</v>
      </c>
      <c r="B5952" s="76" t="s">
        <v>8559</v>
      </c>
    </row>
    <row r="5953" spans="1:2" x14ac:dyDescent="0.25">
      <c r="A5953" s="75">
        <v>31351413</v>
      </c>
      <c r="B5953" s="76" t="s">
        <v>19973</v>
      </c>
    </row>
    <row r="5954" spans="1:2" x14ac:dyDescent="0.25">
      <c r="A5954" s="75">
        <v>31351501</v>
      </c>
      <c r="B5954" s="76" t="s">
        <v>11588</v>
      </c>
    </row>
    <row r="5955" spans="1:2" x14ac:dyDescent="0.25">
      <c r="A5955" s="75">
        <v>31351502</v>
      </c>
      <c r="B5955" s="76" t="s">
        <v>3433</v>
      </c>
    </row>
    <row r="5956" spans="1:2" x14ac:dyDescent="0.25">
      <c r="A5956" s="75">
        <v>31351503</v>
      </c>
      <c r="B5956" s="76" t="s">
        <v>10402</v>
      </c>
    </row>
    <row r="5957" spans="1:2" x14ac:dyDescent="0.25">
      <c r="A5957" s="75">
        <v>31351504</v>
      </c>
      <c r="B5957" s="76" t="s">
        <v>759</v>
      </c>
    </row>
    <row r="5958" spans="1:2" x14ac:dyDescent="0.25">
      <c r="A5958" s="75">
        <v>31351505</v>
      </c>
      <c r="B5958" s="76" t="s">
        <v>8519</v>
      </c>
    </row>
    <row r="5959" spans="1:2" x14ac:dyDescent="0.25">
      <c r="A5959" s="75">
        <v>31351506</v>
      </c>
      <c r="B5959" s="76" t="s">
        <v>16291</v>
      </c>
    </row>
    <row r="5960" spans="1:2" x14ac:dyDescent="0.25">
      <c r="A5960" s="75">
        <v>31351509</v>
      </c>
      <c r="B5960" s="76" t="s">
        <v>7085</v>
      </c>
    </row>
    <row r="5961" spans="1:2" x14ac:dyDescent="0.25">
      <c r="A5961" s="75">
        <v>31351510</v>
      </c>
      <c r="B5961" s="76" t="s">
        <v>15539</v>
      </c>
    </row>
    <row r="5962" spans="1:2" x14ac:dyDescent="0.25">
      <c r="A5962" s="75">
        <v>31351511</v>
      </c>
      <c r="B5962" s="76" t="s">
        <v>1272</v>
      </c>
    </row>
    <row r="5963" spans="1:2" x14ac:dyDescent="0.25">
      <c r="A5963" s="75">
        <v>31351512</v>
      </c>
      <c r="B5963" s="76" t="s">
        <v>13321</v>
      </c>
    </row>
    <row r="5964" spans="1:2" x14ac:dyDescent="0.25">
      <c r="A5964" s="75">
        <v>31351513</v>
      </c>
      <c r="B5964" s="76" t="s">
        <v>5253</v>
      </c>
    </row>
    <row r="5965" spans="1:2" x14ac:dyDescent="0.25">
      <c r="A5965" s="75">
        <v>31351601</v>
      </c>
      <c r="B5965" s="76" t="s">
        <v>6050</v>
      </c>
    </row>
    <row r="5966" spans="1:2" x14ac:dyDescent="0.25">
      <c r="A5966" s="75">
        <v>31351602</v>
      </c>
      <c r="B5966" s="76" t="s">
        <v>5486</v>
      </c>
    </row>
    <row r="5967" spans="1:2" x14ac:dyDescent="0.25">
      <c r="A5967" s="75">
        <v>31351603</v>
      </c>
      <c r="B5967" s="76" t="s">
        <v>17264</v>
      </c>
    </row>
    <row r="5968" spans="1:2" x14ac:dyDescent="0.25">
      <c r="A5968" s="75">
        <v>31351604</v>
      </c>
      <c r="B5968" s="76" t="s">
        <v>3532</v>
      </c>
    </row>
    <row r="5969" spans="1:2" x14ac:dyDescent="0.25">
      <c r="A5969" s="75">
        <v>31351605</v>
      </c>
      <c r="B5969" s="76" t="s">
        <v>19714</v>
      </c>
    </row>
    <row r="5970" spans="1:2" x14ac:dyDescent="0.25">
      <c r="A5970" s="75">
        <v>31351606</v>
      </c>
      <c r="B5970" s="76" t="s">
        <v>1110</v>
      </c>
    </row>
    <row r="5971" spans="1:2" x14ac:dyDescent="0.25">
      <c r="A5971" s="75">
        <v>31351609</v>
      </c>
      <c r="B5971" s="76" t="s">
        <v>17158</v>
      </c>
    </row>
    <row r="5972" spans="1:2" x14ac:dyDescent="0.25">
      <c r="A5972" s="75">
        <v>31351610</v>
      </c>
      <c r="B5972" s="76" t="s">
        <v>10897</v>
      </c>
    </row>
    <row r="5973" spans="1:2" x14ac:dyDescent="0.25">
      <c r="A5973" s="75">
        <v>31351611</v>
      </c>
      <c r="B5973" s="76" t="s">
        <v>2032</v>
      </c>
    </row>
    <row r="5974" spans="1:2" x14ac:dyDescent="0.25">
      <c r="A5974" s="75">
        <v>31351612</v>
      </c>
      <c r="B5974" s="76" t="s">
        <v>17314</v>
      </c>
    </row>
    <row r="5975" spans="1:2" x14ac:dyDescent="0.25">
      <c r="A5975" s="75">
        <v>31351613</v>
      </c>
      <c r="B5975" s="76" t="s">
        <v>2447</v>
      </c>
    </row>
    <row r="5976" spans="1:2" x14ac:dyDescent="0.25">
      <c r="A5976" s="75">
        <v>31351701</v>
      </c>
      <c r="B5976" s="76" t="s">
        <v>5841</v>
      </c>
    </row>
    <row r="5977" spans="1:2" x14ac:dyDescent="0.25">
      <c r="A5977" s="75">
        <v>31351702</v>
      </c>
      <c r="B5977" s="76" t="s">
        <v>16007</v>
      </c>
    </row>
    <row r="5978" spans="1:2" x14ac:dyDescent="0.25">
      <c r="A5978" s="75">
        <v>31351703</v>
      </c>
      <c r="B5978" s="76" t="s">
        <v>17647</v>
      </c>
    </row>
    <row r="5979" spans="1:2" x14ac:dyDescent="0.25">
      <c r="A5979" s="75">
        <v>31351704</v>
      </c>
      <c r="B5979" s="76" t="s">
        <v>20033</v>
      </c>
    </row>
    <row r="5980" spans="1:2" x14ac:dyDescent="0.25">
      <c r="A5980" s="75">
        <v>31351705</v>
      </c>
      <c r="B5980" s="76" t="s">
        <v>8639</v>
      </c>
    </row>
    <row r="5981" spans="1:2" x14ac:dyDescent="0.25">
      <c r="A5981" s="75">
        <v>31351706</v>
      </c>
      <c r="B5981" s="76" t="s">
        <v>12776</v>
      </c>
    </row>
    <row r="5982" spans="1:2" x14ac:dyDescent="0.25">
      <c r="A5982" s="75">
        <v>31351709</v>
      </c>
      <c r="B5982" s="76" t="s">
        <v>2314</v>
      </c>
    </row>
    <row r="5983" spans="1:2" x14ac:dyDescent="0.25">
      <c r="A5983" s="75">
        <v>31351710</v>
      </c>
      <c r="B5983" s="76" t="s">
        <v>5926</v>
      </c>
    </row>
    <row r="5984" spans="1:2" x14ac:dyDescent="0.25">
      <c r="A5984" s="75">
        <v>31351711</v>
      </c>
      <c r="B5984" s="76" t="s">
        <v>12145</v>
      </c>
    </row>
    <row r="5985" spans="1:2" x14ac:dyDescent="0.25">
      <c r="A5985" s="75">
        <v>31351712</v>
      </c>
      <c r="B5985" s="76" t="s">
        <v>19437</v>
      </c>
    </row>
    <row r="5986" spans="1:2" x14ac:dyDescent="0.25">
      <c r="A5986" s="75">
        <v>31351713</v>
      </c>
      <c r="B5986" s="76" t="s">
        <v>2102</v>
      </c>
    </row>
    <row r="5987" spans="1:2" x14ac:dyDescent="0.25">
      <c r="A5987" s="75">
        <v>31361101</v>
      </c>
      <c r="B5987" s="76" t="s">
        <v>1702</v>
      </c>
    </row>
    <row r="5988" spans="1:2" x14ac:dyDescent="0.25">
      <c r="A5988" s="75">
        <v>31361102</v>
      </c>
      <c r="B5988" s="76" t="s">
        <v>8774</v>
      </c>
    </row>
    <row r="5989" spans="1:2" x14ac:dyDescent="0.25">
      <c r="A5989" s="75">
        <v>31361103</v>
      </c>
      <c r="B5989" s="76" t="s">
        <v>18842</v>
      </c>
    </row>
    <row r="5990" spans="1:2" x14ac:dyDescent="0.25">
      <c r="A5990" s="75">
        <v>31361104</v>
      </c>
      <c r="B5990" s="76" t="s">
        <v>9611</v>
      </c>
    </row>
    <row r="5991" spans="1:2" x14ac:dyDescent="0.25">
      <c r="A5991" s="75">
        <v>31361105</v>
      </c>
      <c r="B5991" s="76" t="s">
        <v>6299</v>
      </c>
    </row>
    <row r="5992" spans="1:2" x14ac:dyDescent="0.25">
      <c r="A5992" s="75">
        <v>31361106</v>
      </c>
      <c r="B5992" s="76" t="s">
        <v>19532</v>
      </c>
    </row>
    <row r="5993" spans="1:2" x14ac:dyDescent="0.25">
      <c r="A5993" s="75">
        <v>31361109</v>
      </c>
      <c r="B5993" s="76" t="s">
        <v>10095</v>
      </c>
    </row>
    <row r="5994" spans="1:2" x14ac:dyDescent="0.25">
      <c r="A5994" s="75">
        <v>31361110</v>
      </c>
      <c r="B5994" s="76" t="s">
        <v>9384</v>
      </c>
    </row>
    <row r="5995" spans="1:2" x14ac:dyDescent="0.25">
      <c r="A5995" s="75">
        <v>31361111</v>
      </c>
      <c r="B5995" s="76" t="s">
        <v>2692</v>
      </c>
    </row>
    <row r="5996" spans="1:2" x14ac:dyDescent="0.25">
      <c r="A5996" s="75">
        <v>31361112</v>
      </c>
      <c r="B5996" s="76" t="s">
        <v>16201</v>
      </c>
    </row>
    <row r="5997" spans="1:2" x14ac:dyDescent="0.25">
      <c r="A5997" s="75">
        <v>31361113</v>
      </c>
      <c r="B5997" s="76" t="s">
        <v>9751</v>
      </c>
    </row>
    <row r="5998" spans="1:2" x14ac:dyDescent="0.25">
      <c r="A5998" s="75">
        <v>31361201</v>
      </c>
      <c r="B5998" s="76" t="s">
        <v>7295</v>
      </c>
    </row>
    <row r="5999" spans="1:2" x14ac:dyDescent="0.25">
      <c r="A5999" s="75">
        <v>31361202</v>
      </c>
      <c r="B5999" s="76" t="s">
        <v>19065</v>
      </c>
    </row>
    <row r="6000" spans="1:2" x14ac:dyDescent="0.25">
      <c r="A6000" s="75">
        <v>31361203</v>
      </c>
      <c r="B6000" s="76" t="s">
        <v>1301</v>
      </c>
    </row>
    <row r="6001" spans="1:2" x14ac:dyDescent="0.25">
      <c r="A6001" s="75">
        <v>31361204</v>
      </c>
      <c r="B6001" s="76" t="s">
        <v>18104</v>
      </c>
    </row>
    <row r="6002" spans="1:2" x14ac:dyDescent="0.25">
      <c r="A6002" s="75">
        <v>31361205</v>
      </c>
      <c r="B6002" s="76" t="s">
        <v>7218</v>
      </c>
    </row>
    <row r="6003" spans="1:2" x14ac:dyDescent="0.25">
      <c r="A6003" s="75">
        <v>31361206</v>
      </c>
      <c r="B6003" s="76" t="s">
        <v>19864</v>
      </c>
    </row>
    <row r="6004" spans="1:2" x14ac:dyDescent="0.25">
      <c r="A6004" s="75">
        <v>31361209</v>
      </c>
      <c r="B6004" s="76" t="s">
        <v>12508</v>
      </c>
    </row>
    <row r="6005" spans="1:2" x14ac:dyDescent="0.25">
      <c r="A6005" s="75">
        <v>31361210</v>
      </c>
      <c r="B6005" s="76" t="s">
        <v>19128</v>
      </c>
    </row>
    <row r="6006" spans="1:2" x14ac:dyDescent="0.25">
      <c r="A6006" s="75">
        <v>31361211</v>
      </c>
      <c r="B6006" s="76" t="s">
        <v>3846</v>
      </c>
    </row>
    <row r="6007" spans="1:2" x14ac:dyDescent="0.25">
      <c r="A6007" s="75">
        <v>31361212</v>
      </c>
      <c r="B6007" s="76" t="s">
        <v>11176</v>
      </c>
    </row>
    <row r="6008" spans="1:2" x14ac:dyDescent="0.25">
      <c r="A6008" s="75">
        <v>31361213</v>
      </c>
      <c r="B6008" s="76" t="s">
        <v>11496</v>
      </c>
    </row>
    <row r="6009" spans="1:2" x14ac:dyDescent="0.25">
      <c r="A6009" s="75">
        <v>31361301</v>
      </c>
      <c r="B6009" s="76" t="s">
        <v>5839</v>
      </c>
    </row>
    <row r="6010" spans="1:2" x14ac:dyDescent="0.25">
      <c r="A6010" s="75">
        <v>31361302</v>
      </c>
      <c r="B6010" s="76" t="s">
        <v>10696</v>
      </c>
    </row>
    <row r="6011" spans="1:2" x14ac:dyDescent="0.25">
      <c r="A6011" s="75">
        <v>31361303</v>
      </c>
      <c r="B6011" s="76" t="s">
        <v>12926</v>
      </c>
    </row>
    <row r="6012" spans="1:2" x14ac:dyDescent="0.25">
      <c r="A6012" s="75">
        <v>31361304</v>
      </c>
      <c r="B6012" s="76" t="s">
        <v>1470</v>
      </c>
    </row>
    <row r="6013" spans="1:2" x14ac:dyDescent="0.25">
      <c r="A6013" s="75">
        <v>31361305</v>
      </c>
      <c r="B6013" s="76" t="s">
        <v>9115</v>
      </c>
    </row>
    <row r="6014" spans="1:2" x14ac:dyDescent="0.25">
      <c r="A6014" s="75">
        <v>31361306</v>
      </c>
      <c r="B6014" s="76" t="s">
        <v>10661</v>
      </c>
    </row>
    <row r="6015" spans="1:2" x14ac:dyDescent="0.25">
      <c r="A6015" s="75">
        <v>31361309</v>
      </c>
      <c r="B6015" s="76" t="s">
        <v>13586</v>
      </c>
    </row>
    <row r="6016" spans="1:2" x14ac:dyDescent="0.25">
      <c r="A6016" s="75">
        <v>31361310</v>
      </c>
      <c r="B6016" s="76" t="s">
        <v>9121</v>
      </c>
    </row>
    <row r="6017" spans="1:2" x14ac:dyDescent="0.25">
      <c r="A6017" s="75">
        <v>31361311</v>
      </c>
      <c r="B6017" s="76" t="s">
        <v>14294</v>
      </c>
    </row>
    <row r="6018" spans="1:2" x14ac:dyDescent="0.25">
      <c r="A6018" s="75">
        <v>31361312</v>
      </c>
      <c r="B6018" s="76" t="s">
        <v>14118</v>
      </c>
    </row>
    <row r="6019" spans="1:2" x14ac:dyDescent="0.25">
      <c r="A6019" s="75">
        <v>31361313</v>
      </c>
      <c r="B6019" s="76" t="s">
        <v>9646</v>
      </c>
    </row>
    <row r="6020" spans="1:2" x14ac:dyDescent="0.25">
      <c r="A6020" s="75">
        <v>31361401</v>
      </c>
      <c r="B6020" s="76" t="s">
        <v>13038</v>
      </c>
    </row>
    <row r="6021" spans="1:2" x14ac:dyDescent="0.25">
      <c r="A6021" s="75">
        <v>31361402</v>
      </c>
      <c r="B6021" s="76" t="s">
        <v>19514</v>
      </c>
    </row>
    <row r="6022" spans="1:2" x14ac:dyDescent="0.25">
      <c r="A6022" s="75">
        <v>31361403</v>
      </c>
      <c r="B6022" s="76" t="s">
        <v>17212</v>
      </c>
    </row>
    <row r="6023" spans="1:2" x14ac:dyDescent="0.25">
      <c r="A6023" s="75">
        <v>31361404</v>
      </c>
      <c r="B6023" s="76" t="s">
        <v>11362</v>
      </c>
    </row>
    <row r="6024" spans="1:2" x14ac:dyDescent="0.25">
      <c r="A6024" s="75">
        <v>31361405</v>
      </c>
      <c r="B6024" s="76" t="s">
        <v>12476</v>
      </c>
    </row>
    <row r="6025" spans="1:2" x14ac:dyDescent="0.25">
      <c r="A6025" s="75">
        <v>31361406</v>
      </c>
      <c r="B6025" s="76" t="s">
        <v>8790</v>
      </c>
    </row>
    <row r="6026" spans="1:2" x14ac:dyDescent="0.25">
      <c r="A6026" s="75">
        <v>31361409</v>
      </c>
      <c r="B6026" s="76" t="s">
        <v>17070</v>
      </c>
    </row>
    <row r="6027" spans="1:2" x14ac:dyDescent="0.25">
      <c r="A6027" s="75">
        <v>31361410</v>
      </c>
      <c r="B6027" s="76" t="s">
        <v>5974</v>
      </c>
    </row>
    <row r="6028" spans="1:2" x14ac:dyDescent="0.25">
      <c r="A6028" s="75">
        <v>31361411</v>
      </c>
      <c r="B6028" s="76" t="s">
        <v>10940</v>
      </c>
    </row>
    <row r="6029" spans="1:2" x14ac:dyDescent="0.25">
      <c r="A6029" s="75">
        <v>31361412</v>
      </c>
      <c r="B6029" s="76" t="s">
        <v>5426</v>
      </c>
    </row>
    <row r="6030" spans="1:2" x14ac:dyDescent="0.25">
      <c r="A6030" s="75">
        <v>31361413</v>
      </c>
      <c r="B6030" s="76" t="s">
        <v>5269</v>
      </c>
    </row>
    <row r="6031" spans="1:2" x14ac:dyDescent="0.25">
      <c r="A6031" s="75">
        <v>31361501</v>
      </c>
      <c r="B6031" s="76" t="s">
        <v>17511</v>
      </c>
    </row>
    <row r="6032" spans="1:2" x14ac:dyDescent="0.25">
      <c r="A6032" s="75">
        <v>31361502</v>
      </c>
      <c r="B6032" s="76" t="s">
        <v>18894</v>
      </c>
    </row>
    <row r="6033" spans="1:2" x14ac:dyDescent="0.25">
      <c r="A6033" s="75">
        <v>31361503</v>
      </c>
      <c r="B6033" s="76" t="s">
        <v>12440</v>
      </c>
    </row>
    <row r="6034" spans="1:2" x14ac:dyDescent="0.25">
      <c r="A6034" s="75">
        <v>31361504</v>
      </c>
      <c r="B6034" s="76" t="s">
        <v>14652</v>
      </c>
    </row>
    <row r="6035" spans="1:2" x14ac:dyDescent="0.25">
      <c r="A6035" s="75">
        <v>31361505</v>
      </c>
      <c r="B6035" s="76" t="s">
        <v>2427</v>
      </c>
    </row>
    <row r="6036" spans="1:2" x14ac:dyDescent="0.25">
      <c r="A6036" s="75">
        <v>31361506</v>
      </c>
      <c r="B6036" s="76" t="s">
        <v>7822</v>
      </c>
    </row>
    <row r="6037" spans="1:2" x14ac:dyDescent="0.25">
      <c r="A6037" s="75">
        <v>31361509</v>
      </c>
      <c r="B6037" s="76" t="s">
        <v>15577</v>
      </c>
    </row>
    <row r="6038" spans="1:2" x14ac:dyDescent="0.25">
      <c r="A6038" s="75">
        <v>31361510</v>
      </c>
      <c r="B6038" s="76" t="s">
        <v>12964</v>
      </c>
    </row>
    <row r="6039" spans="1:2" x14ac:dyDescent="0.25">
      <c r="A6039" s="75">
        <v>31361511</v>
      </c>
      <c r="B6039" s="76" t="s">
        <v>1656</v>
      </c>
    </row>
    <row r="6040" spans="1:2" x14ac:dyDescent="0.25">
      <c r="A6040" s="75">
        <v>31361512</v>
      </c>
      <c r="B6040" s="76" t="s">
        <v>9413</v>
      </c>
    </row>
    <row r="6041" spans="1:2" x14ac:dyDescent="0.25">
      <c r="A6041" s="75">
        <v>31361513</v>
      </c>
      <c r="B6041" s="76" t="s">
        <v>11447</v>
      </c>
    </row>
    <row r="6042" spans="1:2" x14ac:dyDescent="0.25">
      <c r="A6042" s="75">
        <v>31361601</v>
      </c>
      <c r="B6042" s="76" t="s">
        <v>10825</v>
      </c>
    </row>
    <row r="6043" spans="1:2" x14ac:dyDescent="0.25">
      <c r="A6043" s="75">
        <v>31361602</v>
      </c>
      <c r="B6043" s="76" t="s">
        <v>8616</v>
      </c>
    </row>
    <row r="6044" spans="1:2" x14ac:dyDescent="0.25">
      <c r="A6044" s="75">
        <v>31361603</v>
      </c>
      <c r="B6044" s="76" t="s">
        <v>14108</v>
      </c>
    </row>
    <row r="6045" spans="1:2" x14ac:dyDescent="0.25">
      <c r="A6045" s="75">
        <v>31361604</v>
      </c>
      <c r="B6045" s="76" t="s">
        <v>3016</v>
      </c>
    </row>
    <row r="6046" spans="1:2" x14ac:dyDescent="0.25">
      <c r="A6046" s="75">
        <v>31361605</v>
      </c>
      <c r="B6046" s="76" t="s">
        <v>19925</v>
      </c>
    </row>
    <row r="6047" spans="1:2" x14ac:dyDescent="0.25">
      <c r="A6047" s="75">
        <v>31361606</v>
      </c>
      <c r="B6047" s="76" t="s">
        <v>13192</v>
      </c>
    </row>
    <row r="6048" spans="1:2" x14ac:dyDescent="0.25">
      <c r="A6048" s="75">
        <v>31361609</v>
      </c>
      <c r="B6048" s="76" t="s">
        <v>6889</v>
      </c>
    </row>
    <row r="6049" spans="1:2" x14ac:dyDescent="0.25">
      <c r="A6049" s="75">
        <v>31361610</v>
      </c>
      <c r="B6049" s="76" t="s">
        <v>13489</v>
      </c>
    </row>
    <row r="6050" spans="1:2" x14ac:dyDescent="0.25">
      <c r="A6050" s="75">
        <v>31361611</v>
      </c>
      <c r="B6050" s="76" t="s">
        <v>955</v>
      </c>
    </row>
    <row r="6051" spans="1:2" x14ac:dyDescent="0.25">
      <c r="A6051" s="75">
        <v>31361612</v>
      </c>
      <c r="B6051" s="76" t="s">
        <v>9056</v>
      </c>
    </row>
    <row r="6052" spans="1:2" x14ac:dyDescent="0.25">
      <c r="A6052" s="75">
        <v>31361613</v>
      </c>
      <c r="B6052" s="76" t="s">
        <v>3219</v>
      </c>
    </row>
    <row r="6053" spans="1:2" x14ac:dyDescent="0.25">
      <c r="A6053" s="75">
        <v>31361701</v>
      </c>
      <c r="B6053" s="76" t="s">
        <v>5553</v>
      </c>
    </row>
    <row r="6054" spans="1:2" x14ac:dyDescent="0.25">
      <c r="A6054" s="75">
        <v>31361702</v>
      </c>
      <c r="B6054" s="76" t="s">
        <v>5192</v>
      </c>
    </row>
    <row r="6055" spans="1:2" x14ac:dyDescent="0.25">
      <c r="A6055" s="75">
        <v>31361703</v>
      </c>
      <c r="B6055" s="76" t="s">
        <v>6301</v>
      </c>
    </row>
    <row r="6056" spans="1:2" x14ac:dyDescent="0.25">
      <c r="A6056" s="75">
        <v>31361704</v>
      </c>
      <c r="B6056" s="76" t="s">
        <v>9492</v>
      </c>
    </row>
    <row r="6057" spans="1:2" x14ac:dyDescent="0.25">
      <c r="A6057" s="75">
        <v>31361705</v>
      </c>
      <c r="B6057" s="76" t="s">
        <v>286</v>
      </c>
    </row>
    <row r="6058" spans="1:2" x14ac:dyDescent="0.25">
      <c r="A6058" s="75">
        <v>31361706</v>
      </c>
      <c r="B6058" s="76" t="s">
        <v>9123</v>
      </c>
    </row>
    <row r="6059" spans="1:2" x14ac:dyDescent="0.25">
      <c r="A6059" s="75">
        <v>31361709</v>
      </c>
      <c r="B6059" s="76" t="s">
        <v>15491</v>
      </c>
    </row>
    <row r="6060" spans="1:2" x14ac:dyDescent="0.25">
      <c r="A6060" s="75">
        <v>31361710</v>
      </c>
      <c r="B6060" s="76" t="s">
        <v>6867</v>
      </c>
    </row>
    <row r="6061" spans="1:2" x14ac:dyDescent="0.25">
      <c r="A6061" s="75">
        <v>31361711</v>
      </c>
      <c r="B6061" s="76" t="s">
        <v>2673</v>
      </c>
    </row>
    <row r="6062" spans="1:2" x14ac:dyDescent="0.25">
      <c r="A6062" s="75">
        <v>31361712</v>
      </c>
      <c r="B6062" s="76" t="s">
        <v>9175</v>
      </c>
    </row>
    <row r="6063" spans="1:2" x14ac:dyDescent="0.25">
      <c r="A6063" s="75">
        <v>31361713</v>
      </c>
      <c r="B6063" s="76" t="s">
        <v>13618</v>
      </c>
    </row>
    <row r="6064" spans="1:2" x14ac:dyDescent="0.25">
      <c r="A6064" s="75">
        <v>31371001</v>
      </c>
      <c r="B6064" s="76" t="s">
        <v>9232</v>
      </c>
    </row>
    <row r="6065" spans="1:2" x14ac:dyDescent="0.25">
      <c r="A6065" s="75">
        <v>31371002</v>
      </c>
      <c r="B6065" s="76" t="s">
        <v>14190</v>
      </c>
    </row>
    <row r="6066" spans="1:2" x14ac:dyDescent="0.25">
      <c r="A6066" s="75">
        <v>31371003</v>
      </c>
      <c r="B6066" s="76" t="s">
        <v>9271</v>
      </c>
    </row>
    <row r="6067" spans="1:2" x14ac:dyDescent="0.25">
      <c r="A6067" s="75">
        <v>31371101</v>
      </c>
      <c r="B6067" s="76" t="s">
        <v>3530</v>
      </c>
    </row>
    <row r="6068" spans="1:2" x14ac:dyDescent="0.25">
      <c r="A6068" s="75">
        <v>31371102</v>
      </c>
      <c r="B6068" s="76" t="s">
        <v>541</v>
      </c>
    </row>
    <row r="6069" spans="1:2" x14ac:dyDescent="0.25">
      <c r="A6069" s="75">
        <v>31371103</v>
      </c>
      <c r="B6069" s="76" t="s">
        <v>3977</v>
      </c>
    </row>
    <row r="6070" spans="1:2" x14ac:dyDescent="0.25">
      <c r="A6070" s="75">
        <v>31371104</v>
      </c>
      <c r="B6070" s="76" t="s">
        <v>14796</v>
      </c>
    </row>
    <row r="6071" spans="1:2" x14ac:dyDescent="0.25">
      <c r="A6071" s="75">
        <v>31371105</v>
      </c>
      <c r="B6071" s="76" t="s">
        <v>15843</v>
      </c>
    </row>
    <row r="6072" spans="1:2" x14ac:dyDescent="0.25">
      <c r="A6072" s="75">
        <v>31371106</v>
      </c>
      <c r="B6072" s="76" t="s">
        <v>16678</v>
      </c>
    </row>
    <row r="6073" spans="1:2" x14ac:dyDescent="0.25">
      <c r="A6073" s="75">
        <v>31371107</v>
      </c>
      <c r="B6073" s="76" t="s">
        <v>17229</v>
      </c>
    </row>
    <row r="6074" spans="1:2" x14ac:dyDescent="0.25">
      <c r="A6074" s="75">
        <v>31371201</v>
      </c>
      <c r="B6074" s="76" t="s">
        <v>18625</v>
      </c>
    </row>
    <row r="6075" spans="1:2" x14ac:dyDescent="0.25">
      <c r="A6075" s="75">
        <v>31371202</v>
      </c>
      <c r="B6075" s="76" t="s">
        <v>3529</v>
      </c>
    </row>
    <row r="6076" spans="1:2" x14ac:dyDescent="0.25">
      <c r="A6076" s="75">
        <v>31371203</v>
      </c>
      <c r="B6076" s="76" t="s">
        <v>9046</v>
      </c>
    </row>
    <row r="6077" spans="1:2" x14ac:dyDescent="0.25">
      <c r="A6077" s="75">
        <v>31371204</v>
      </c>
      <c r="B6077" s="76" t="s">
        <v>18232</v>
      </c>
    </row>
    <row r="6078" spans="1:2" x14ac:dyDescent="0.25">
      <c r="A6078" s="75">
        <v>31371205</v>
      </c>
      <c r="B6078" s="76" t="s">
        <v>10068</v>
      </c>
    </row>
    <row r="6079" spans="1:2" x14ac:dyDescent="0.25">
      <c r="A6079" s="75">
        <v>31371206</v>
      </c>
      <c r="B6079" s="76" t="s">
        <v>12245</v>
      </c>
    </row>
    <row r="6080" spans="1:2" x14ac:dyDescent="0.25">
      <c r="A6080" s="75">
        <v>31371207</v>
      </c>
      <c r="B6080" s="76" t="s">
        <v>12198</v>
      </c>
    </row>
    <row r="6081" spans="1:2" x14ac:dyDescent="0.25">
      <c r="A6081" s="75">
        <v>31371208</v>
      </c>
      <c r="B6081" s="76" t="s">
        <v>19571</v>
      </c>
    </row>
    <row r="6082" spans="1:2" x14ac:dyDescent="0.25">
      <c r="A6082" s="75">
        <v>31371209</v>
      </c>
      <c r="B6082" s="76" t="s">
        <v>17552</v>
      </c>
    </row>
    <row r="6083" spans="1:2" x14ac:dyDescent="0.25">
      <c r="A6083" s="75">
        <v>31371301</v>
      </c>
      <c r="B6083" s="76" t="s">
        <v>1499</v>
      </c>
    </row>
    <row r="6084" spans="1:2" x14ac:dyDescent="0.25">
      <c r="A6084" s="75">
        <v>31371302</v>
      </c>
      <c r="B6084" s="76" t="s">
        <v>8261</v>
      </c>
    </row>
    <row r="6085" spans="1:2" x14ac:dyDescent="0.25">
      <c r="A6085" s="75">
        <v>31371401</v>
      </c>
      <c r="B6085" s="76" t="s">
        <v>7407</v>
      </c>
    </row>
    <row r="6086" spans="1:2" x14ac:dyDescent="0.25">
      <c r="A6086" s="75">
        <v>31381001</v>
      </c>
      <c r="B6086" s="76" t="s">
        <v>18412</v>
      </c>
    </row>
    <row r="6087" spans="1:2" x14ac:dyDescent="0.25">
      <c r="A6087" s="75">
        <v>31381002</v>
      </c>
      <c r="B6087" s="76" t="s">
        <v>19278</v>
      </c>
    </row>
    <row r="6088" spans="1:2" x14ac:dyDescent="0.25">
      <c r="A6088" s="75">
        <v>31381003</v>
      </c>
      <c r="B6088" s="76" t="s">
        <v>2296</v>
      </c>
    </row>
    <row r="6089" spans="1:2" x14ac:dyDescent="0.25">
      <c r="A6089" s="75">
        <v>31381004</v>
      </c>
      <c r="B6089" s="76" t="s">
        <v>1581</v>
      </c>
    </row>
    <row r="6090" spans="1:2" x14ac:dyDescent="0.25">
      <c r="A6090" s="75">
        <v>31381005</v>
      </c>
      <c r="B6090" s="76" t="s">
        <v>16537</v>
      </c>
    </row>
    <row r="6091" spans="1:2" x14ac:dyDescent="0.25">
      <c r="A6091" s="75">
        <v>32101502</v>
      </c>
      <c r="B6091" s="76" t="s">
        <v>7673</v>
      </c>
    </row>
    <row r="6092" spans="1:2" x14ac:dyDescent="0.25">
      <c r="A6092" s="75">
        <v>32101503</v>
      </c>
      <c r="B6092" s="76" t="s">
        <v>159</v>
      </c>
    </row>
    <row r="6093" spans="1:2" x14ac:dyDescent="0.25">
      <c r="A6093" s="75">
        <v>32101504</v>
      </c>
      <c r="B6093" s="76" t="s">
        <v>19281</v>
      </c>
    </row>
    <row r="6094" spans="1:2" x14ac:dyDescent="0.25">
      <c r="A6094" s="75">
        <v>32101505</v>
      </c>
      <c r="B6094" s="76" t="s">
        <v>7568</v>
      </c>
    </row>
    <row r="6095" spans="1:2" x14ac:dyDescent="0.25">
      <c r="A6095" s="75">
        <v>32101506</v>
      </c>
      <c r="B6095" s="76" t="s">
        <v>4887</v>
      </c>
    </row>
    <row r="6096" spans="1:2" x14ac:dyDescent="0.25">
      <c r="A6096" s="75">
        <v>32101507</v>
      </c>
      <c r="B6096" s="76" t="s">
        <v>9709</v>
      </c>
    </row>
    <row r="6097" spans="1:2" x14ac:dyDescent="0.25">
      <c r="A6097" s="75">
        <v>32101508</v>
      </c>
      <c r="B6097" s="76" t="s">
        <v>9288</v>
      </c>
    </row>
    <row r="6098" spans="1:2" x14ac:dyDescent="0.25">
      <c r="A6098" s="75">
        <v>32101509</v>
      </c>
      <c r="B6098" s="76" t="s">
        <v>19029</v>
      </c>
    </row>
    <row r="6099" spans="1:2" x14ac:dyDescent="0.25">
      <c r="A6099" s="75">
        <v>32101510</v>
      </c>
      <c r="B6099" s="76" t="s">
        <v>15453</v>
      </c>
    </row>
    <row r="6100" spans="1:2" x14ac:dyDescent="0.25">
      <c r="A6100" s="75">
        <v>32101512</v>
      </c>
      <c r="B6100" s="76" t="s">
        <v>15591</v>
      </c>
    </row>
    <row r="6101" spans="1:2" x14ac:dyDescent="0.25">
      <c r="A6101" s="75">
        <v>32101513</v>
      </c>
      <c r="B6101" s="76" t="s">
        <v>12327</v>
      </c>
    </row>
    <row r="6102" spans="1:2" x14ac:dyDescent="0.25">
      <c r="A6102" s="75">
        <v>32101514</v>
      </c>
      <c r="B6102" s="76" t="s">
        <v>598</v>
      </c>
    </row>
    <row r="6103" spans="1:2" x14ac:dyDescent="0.25">
      <c r="A6103" s="75">
        <v>32101515</v>
      </c>
      <c r="B6103" s="76" t="s">
        <v>19999</v>
      </c>
    </row>
    <row r="6104" spans="1:2" x14ac:dyDescent="0.25">
      <c r="A6104" s="75">
        <v>32101516</v>
      </c>
      <c r="B6104" s="76" t="s">
        <v>5629</v>
      </c>
    </row>
    <row r="6105" spans="1:2" x14ac:dyDescent="0.25">
      <c r="A6105" s="75">
        <v>32101517</v>
      </c>
      <c r="B6105" s="76" t="s">
        <v>4591</v>
      </c>
    </row>
    <row r="6106" spans="1:2" x14ac:dyDescent="0.25">
      <c r="A6106" s="75">
        <v>32101518</v>
      </c>
      <c r="B6106" s="76" t="s">
        <v>16247</v>
      </c>
    </row>
    <row r="6107" spans="1:2" x14ac:dyDescent="0.25">
      <c r="A6107" s="75">
        <v>32101519</v>
      </c>
      <c r="B6107" s="76" t="s">
        <v>32</v>
      </c>
    </row>
    <row r="6108" spans="1:2" x14ac:dyDescent="0.25">
      <c r="A6108" s="75">
        <v>32101520</v>
      </c>
      <c r="B6108" s="76" t="s">
        <v>17378</v>
      </c>
    </row>
    <row r="6109" spans="1:2" x14ac:dyDescent="0.25">
      <c r="A6109" s="75">
        <v>32101521</v>
      </c>
      <c r="B6109" s="76" t="s">
        <v>14042</v>
      </c>
    </row>
    <row r="6110" spans="1:2" x14ac:dyDescent="0.25">
      <c r="A6110" s="75">
        <v>32101522</v>
      </c>
      <c r="B6110" s="76" t="s">
        <v>6721</v>
      </c>
    </row>
    <row r="6111" spans="1:2" x14ac:dyDescent="0.25">
      <c r="A6111" s="75">
        <v>32101523</v>
      </c>
      <c r="B6111" s="76" t="s">
        <v>5203</v>
      </c>
    </row>
    <row r="6112" spans="1:2" x14ac:dyDescent="0.25">
      <c r="A6112" s="75">
        <v>32101524</v>
      </c>
      <c r="B6112" s="76" t="s">
        <v>6902</v>
      </c>
    </row>
    <row r="6113" spans="1:2" x14ac:dyDescent="0.25">
      <c r="A6113" s="75">
        <v>32101525</v>
      </c>
      <c r="B6113" s="76" t="s">
        <v>10708</v>
      </c>
    </row>
    <row r="6114" spans="1:2" x14ac:dyDescent="0.25">
      <c r="A6114" s="75">
        <v>32101526</v>
      </c>
      <c r="B6114" s="76" t="s">
        <v>12761</v>
      </c>
    </row>
    <row r="6115" spans="1:2" x14ac:dyDescent="0.25">
      <c r="A6115" s="75">
        <v>32101527</v>
      </c>
      <c r="B6115" s="76" t="s">
        <v>6838</v>
      </c>
    </row>
    <row r="6116" spans="1:2" x14ac:dyDescent="0.25">
      <c r="A6116" s="75">
        <v>32101528</v>
      </c>
      <c r="B6116" s="76" t="s">
        <v>18940</v>
      </c>
    </row>
    <row r="6117" spans="1:2" x14ac:dyDescent="0.25">
      <c r="A6117" s="75">
        <v>32101601</v>
      </c>
      <c r="B6117" s="76" t="s">
        <v>12849</v>
      </c>
    </row>
    <row r="6118" spans="1:2" x14ac:dyDescent="0.25">
      <c r="A6118" s="75">
        <v>32101602</v>
      </c>
      <c r="B6118" s="76" t="s">
        <v>6560</v>
      </c>
    </row>
    <row r="6119" spans="1:2" x14ac:dyDescent="0.25">
      <c r="A6119" s="75">
        <v>32101603</v>
      </c>
      <c r="B6119" s="76" t="s">
        <v>2401</v>
      </c>
    </row>
    <row r="6120" spans="1:2" x14ac:dyDescent="0.25">
      <c r="A6120" s="75">
        <v>32101604</v>
      </c>
      <c r="B6120" s="76" t="s">
        <v>16465</v>
      </c>
    </row>
    <row r="6121" spans="1:2" x14ac:dyDescent="0.25">
      <c r="A6121" s="75">
        <v>32101605</v>
      </c>
      <c r="B6121" s="76" t="s">
        <v>6952</v>
      </c>
    </row>
    <row r="6122" spans="1:2" x14ac:dyDescent="0.25">
      <c r="A6122" s="75">
        <v>32101606</v>
      </c>
      <c r="B6122" s="76" t="s">
        <v>11450</v>
      </c>
    </row>
    <row r="6123" spans="1:2" x14ac:dyDescent="0.25">
      <c r="A6123" s="75">
        <v>32101607</v>
      </c>
      <c r="B6123" s="76" t="s">
        <v>13397</v>
      </c>
    </row>
    <row r="6124" spans="1:2" x14ac:dyDescent="0.25">
      <c r="A6124" s="75">
        <v>32101608</v>
      </c>
      <c r="B6124" s="76" t="s">
        <v>8735</v>
      </c>
    </row>
    <row r="6125" spans="1:2" x14ac:dyDescent="0.25">
      <c r="A6125" s="75">
        <v>32101609</v>
      </c>
      <c r="B6125" s="76" t="s">
        <v>2354</v>
      </c>
    </row>
    <row r="6126" spans="1:2" x14ac:dyDescent="0.25">
      <c r="A6126" s="75">
        <v>32101611</v>
      </c>
      <c r="B6126" s="76" t="s">
        <v>6725</v>
      </c>
    </row>
    <row r="6127" spans="1:2" x14ac:dyDescent="0.25">
      <c r="A6127" s="75">
        <v>32101612</v>
      </c>
      <c r="B6127" s="76" t="s">
        <v>5676</v>
      </c>
    </row>
    <row r="6128" spans="1:2" x14ac:dyDescent="0.25">
      <c r="A6128" s="75">
        <v>32101613</v>
      </c>
      <c r="B6128" s="76" t="s">
        <v>18903</v>
      </c>
    </row>
    <row r="6129" spans="1:2" x14ac:dyDescent="0.25">
      <c r="A6129" s="75">
        <v>32101614</v>
      </c>
      <c r="B6129" s="76" t="s">
        <v>18951</v>
      </c>
    </row>
    <row r="6130" spans="1:2" x14ac:dyDescent="0.25">
      <c r="A6130" s="75">
        <v>32101615</v>
      </c>
      <c r="B6130" s="76" t="s">
        <v>4356</v>
      </c>
    </row>
    <row r="6131" spans="1:2" x14ac:dyDescent="0.25">
      <c r="A6131" s="75">
        <v>32101616</v>
      </c>
      <c r="B6131" s="76" t="s">
        <v>6986</v>
      </c>
    </row>
    <row r="6132" spans="1:2" x14ac:dyDescent="0.25">
      <c r="A6132" s="75">
        <v>32101617</v>
      </c>
      <c r="B6132" s="76" t="s">
        <v>13086</v>
      </c>
    </row>
    <row r="6133" spans="1:2" x14ac:dyDescent="0.25">
      <c r="A6133" s="75">
        <v>32101618</v>
      </c>
      <c r="B6133" s="76" t="s">
        <v>10716</v>
      </c>
    </row>
    <row r="6134" spans="1:2" x14ac:dyDescent="0.25">
      <c r="A6134" s="75">
        <v>32101619</v>
      </c>
      <c r="B6134" s="76" t="s">
        <v>2772</v>
      </c>
    </row>
    <row r="6135" spans="1:2" x14ac:dyDescent="0.25">
      <c r="A6135" s="75">
        <v>32101620</v>
      </c>
      <c r="B6135" s="76" t="s">
        <v>18144</v>
      </c>
    </row>
    <row r="6136" spans="1:2" x14ac:dyDescent="0.25">
      <c r="A6136" s="75">
        <v>32101621</v>
      </c>
      <c r="B6136" s="76" t="s">
        <v>648</v>
      </c>
    </row>
    <row r="6137" spans="1:2" x14ac:dyDescent="0.25">
      <c r="A6137" s="75">
        <v>32101622</v>
      </c>
      <c r="B6137" s="76" t="s">
        <v>9048</v>
      </c>
    </row>
    <row r="6138" spans="1:2" x14ac:dyDescent="0.25">
      <c r="A6138" s="75">
        <v>32101623</v>
      </c>
      <c r="B6138" s="76" t="s">
        <v>5371</v>
      </c>
    </row>
    <row r="6139" spans="1:2" x14ac:dyDescent="0.25">
      <c r="A6139" s="75">
        <v>32101624</v>
      </c>
      <c r="B6139" s="76" t="s">
        <v>19050</v>
      </c>
    </row>
    <row r="6140" spans="1:2" x14ac:dyDescent="0.25">
      <c r="A6140" s="75">
        <v>32101625</v>
      </c>
      <c r="B6140" s="76" t="s">
        <v>2249</v>
      </c>
    </row>
    <row r="6141" spans="1:2" x14ac:dyDescent="0.25">
      <c r="A6141" s="75">
        <v>32101626</v>
      </c>
      <c r="B6141" s="76" t="s">
        <v>10983</v>
      </c>
    </row>
    <row r="6142" spans="1:2" x14ac:dyDescent="0.25">
      <c r="A6142" s="75">
        <v>32101627</v>
      </c>
      <c r="B6142" s="76" t="s">
        <v>12425</v>
      </c>
    </row>
    <row r="6143" spans="1:2" x14ac:dyDescent="0.25">
      <c r="A6143" s="75">
        <v>32101628</v>
      </c>
      <c r="B6143" s="76" t="s">
        <v>4779</v>
      </c>
    </row>
    <row r="6144" spans="1:2" x14ac:dyDescent="0.25">
      <c r="A6144" s="75">
        <v>32101629</v>
      </c>
      <c r="B6144" s="76" t="s">
        <v>10432</v>
      </c>
    </row>
    <row r="6145" spans="1:2" x14ac:dyDescent="0.25">
      <c r="A6145" s="75">
        <v>32101630</v>
      </c>
      <c r="B6145" s="76" t="s">
        <v>73</v>
      </c>
    </row>
    <row r="6146" spans="1:2" x14ac:dyDescent="0.25">
      <c r="A6146" s="75">
        <v>32101631</v>
      </c>
      <c r="B6146" s="76" t="s">
        <v>691</v>
      </c>
    </row>
    <row r="6147" spans="1:2" x14ac:dyDescent="0.25">
      <c r="A6147" s="75">
        <v>32101632</v>
      </c>
      <c r="B6147" s="76" t="s">
        <v>5160</v>
      </c>
    </row>
    <row r="6148" spans="1:2" x14ac:dyDescent="0.25">
      <c r="A6148" s="75">
        <v>32101633</v>
      </c>
      <c r="B6148" s="76" t="s">
        <v>1927</v>
      </c>
    </row>
    <row r="6149" spans="1:2" x14ac:dyDescent="0.25">
      <c r="A6149" s="75">
        <v>32101634</v>
      </c>
      <c r="B6149" s="76" t="s">
        <v>2619</v>
      </c>
    </row>
    <row r="6150" spans="1:2" x14ac:dyDescent="0.25">
      <c r="A6150" s="75">
        <v>32101635</v>
      </c>
      <c r="B6150" s="76" t="s">
        <v>8623</v>
      </c>
    </row>
    <row r="6151" spans="1:2" x14ac:dyDescent="0.25">
      <c r="A6151" s="75">
        <v>32101636</v>
      </c>
      <c r="B6151" s="76" t="s">
        <v>14399</v>
      </c>
    </row>
    <row r="6152" spans="1:2" x14ac:dyDescent="0.25">
      <c r="A6152" s="75">
        <v>32101637</v>
      </c>
      <c r="B6152" s="76" t="s">
        <v>13430</v>
      </c>
    </row>
    <row r="6153" spans="1:2" x14ac:dyDescent="0.25">
      <c r="A6153" s="75">
        <v>32111501</v>
      </c>
      <c r="B6153" s="76" t="s">
        <v>17610</v>
      </c>
    </row>
    <row r="6154" spans="1:2" x14ac:dyDescent="0.25">
      <c r="A6154" s="75">
        <v>32111502</v>
      </c>
      <c r="B6154" s="76" t="s">
        <v>5955</v>
      </c>
    </row>
    <row r="6155" spans="1:2" x14ac:dyDescent="0.25">
      <c r="A6155" s="75">
        <v>32111503</v>
      </c>
      <c r="B6155" s="76" t="s">
        <v>11209</v>
      </c>
    </row>
    <row r="6156" spans="1:2" x14ac:dyDescent="0.25">
      <c r="A6156" s="75">
        <v>32111504</v>
      </c>
      <c r="B6156" s="76" t="s">
        <v>7792</v>
      </c>
    </row>
    <row r="6157" spans="1:2" x14ac:dyDescent="0.25">
      <c r="A6157" s="75">
        <v>32111505</v>
      </c>
      <c r="B6157" s="76" t="s">
        <v>8266</v>
      </c>
    </row>
    <row r="6158" spans="1:2" x14ac:dyDescent="0.25">
      <c r="A6158" s="75">
        <v>32111506</v>
      </c>
      <c r="B6158" s="76" t="s">
        <v>16923</v>
      </c>
    </row>
    <row r="6159" spans="1:2" x14ac:dyDescent="0.25">
      <c r="A6159" s="75">
        <v>32111507</v>
      </c>
      <c r="B6159" s="76" t="s">
        <v>10815</v>
      </c>
    </row>
    <row r="6160" spans="1:2" x14ac:dyDescent="0.25">
      <c r="A6160" s="75">
        <v>32111508</v>
      </c>
      <c r="B6160" s="76" t="s">
        <v>11727</v>
      </c>
    </row>
    <row r="6161" spans="1:2" x14ac:dyDescent="0.25">
      <c r="A6161" s="75">
        <v>32111509</v>
      </c>
      <c r="B6161" s="76" t="s">
        <v>19229</v>
      </c>
    </row>
    <row r="6162" spans="1:2" x14ac:dyDescent="0.25">
      <c r="A6162" s="75">
        <v>32111510</v>
      </c>
      <c r="B6162" s="76" t="s">
        <v>10054</v>
      </c>
    </row>
    <row r="6163" spans="1:2" x14ac:dyDescent="0.25">
      <c r="A6163" s="75">
        <v>32111511</v>
      </c>
      <c r="B6163" s="76" t="s">
        <v>10400</v>
      </c>
    </row>
    <row r="6164" spans="1:2" x14ac:dyDescent="0.25">
      <c r="A6164" s="75">
        <v>32111512</v>
      </c>
      <c r="B6164" s="76" t="s">
        <v>5914</v>
      </c>
    </row>
    <row r="6165" spans="1:2" x14ac:dyDescent="0.25">
      <c r="A6165" s="75">
        <v>32111601</v>
      </c>
      <c r="B6165" s="76" t="s">
        <v>599</v>
      </c>
    </row>
    <row r="6166" spans="1:2" x14ac:dyDescent="0.25">
      <c r="A6166" s="75">
        <v>32111602</v>
      </c>
      <c r="B6166" s="76" t="s">
        <v>17428</v>
      </c>
    </row>
    <row r="6167" spans="1:2" x14ac:dyDescent="0.25">
      <c r="A6167" s="75">
        <v>32111603</v>
      </c>
      <c r="B6167" s="76" t="s">
        <v>10143</v>
      </c>
    </row>
    <row r="6168" spans="1:2" x14ac:dyDescent="0.25">
      <c r="A6168" s="75">
        <v>32111604</v>
      </c>
      <c r="B6168" s="76" t="s">
        <v>19616</v>
      </c>
    </row>
    <row r="6169" spans="1:2" x14ac:dyDescent="0.25">
      <c r="A6169" s="75">
        <v>32111607</v>
      </c>
      <c r="B6169" s="76" t="s">
        <v>15173</v>
      </c>
    </row>
    <row r="6170" spans="1:2" x14ac:dyDescent="0.25">
      <c r="A6170" s="75">
        <v>32111608</v>
      </c>
      <c r="B6170" s="76" t="s">
        <v>5749</v>
      </c>
    </row>
    <row r="6171" spans="1:2" x14ac:dyDescent="0.25">
      <c r="A6171" s="75">
        <v>32111609</v>
      </c>
      <c r="B6171" s="76" t="s">
        <v>4679</v>
      </c>
    </row>
    <row r="6172" spans="1:2" x14ac:dyDescent="0.25">
      <c r="A6172" s="75">
        <v>32111610</v>
      </c>
      <c r="B6172" s="76" t="s">
        <v>3882</v>
      </c>
    </row>
    <row r="6173" spans="1:2" x14ac:dyDescent="0.25">
      <c r="A6173" s="75">
        <v>32111611</v>
      </c>
      <c r="B6173" s="76" t="s">
        <v>15963</v>
      </c>
    </row>
    <row r="6174" spans="1:2" x14ac:dyDescent="0.25">
      <c r="A6174" s="75">
        <v>32111701</v>
      </c>
      <c r="B6174" s="76" t="s">
        <v>17166</v>
      </c>
    </row>
    <row r="6175" spans="1:2" x14ac:dyDescent="0.25">
      <c r="A6175" s="75">
        <v>32111702</v>
      </c>
      <c r="B6175" s="76" t="s">
        <v>16501</v>
      </c>
    </row>
    <row r="6176" spans="1:2" x14ac:dyDescent="0.25">
      <c r="A6176" s="75">
        <v>32111703</v>
      </c>
      <c r="B6176" s="76" t="s">
        <v>1683</v>
      </c>
    </row>
    <row r="6177" spans="1:2" x14ac:dyDescent="0.25">
      <c r="A6177" s="75">
        <v>32111704</v>
      </c>
      <c r="B6177" s="76" t="s">
        <v>3322</v>
      </c>
    </row>
    <row r="6178" spans="1:2" x14ac:dyDescent="0.25">
      <c r="A6178" s="75">
        <v>32111705</v>
      </c>
      <c r="B6178" s="76" t="s">
        <v>11251</v>
      </c>
    </row>
    <row r="6179" spans="1:2" x14ac:dyDescent="0.25">
      <c r="A6179" s="75">
        <v>32111706</v>
      </c>
      <c r="B6179" s="76" t="s">
        <v>3097</v>
      </c>
    </row>
    <row r="6180" spans="1:2" x14ac:dyDescent="0.25">
      <c r="A6180" s="75">
        <v>32121501</v>
      </c>
      <c r="B6180" s="76" t="s">
        <v>16117</v>
      </c>
    </row>
    <row r="6181" spans="1:2" x14ac:dyDescent="0.25">
      <c r="A6181" s="75">
        <v>32121502</v>
      </c>
      <c r="B6181" s="76" t="s">
        <v>3279</v>
      </c>
    </row>
    <row r="6182" spans="1:2" x14ac:dyDescent="0.25">
      <c r="A6182" s="75">
        <v>32121503</v>
      </c>
      <c r="B6182" s="76" t="s">
        <v>17472</v>
      </c>
    </row>
    <row r="6183" spans="1:2" x14ac:dyDescent="0.25">
      <c r="A6183" s="75">
        <v>32121504</v>
      </c>
      <c r="B6183" s="76" t="s">
        <v>587</v>
      </c>
    </row>
    <row r="6184" spans="1:2" x14ac:dyDescent="0.25">
      <c r="A6184" s="75">
        <v>32121602</v>
      </c>
      <c r="B6184" s="76" t="s">
        <v>8548</v>
      </c>
    </row>
    <row r="6185" spans="1:2" x14ac:dyDescent="0.25">
      <c r="A6185" s="75">
        <v>32121603</v>
      </c>
      <c r="B6185" s="76" t="s">
        <v>6777</v>
      </c>
    </row>
    <row r="6186" spans="1:2" x14ac:dyDescent="0.25">
      <c r="A6186" s="75">
        <v>32121607</v>
      </c>
      <c r="B6186" s="76" t="s">
        <v>5343</v>
      </c>
    </row>
    <row r="6187" spans="1:2" x14ac:dyDescent="0.25">
      <c r="A6187" s="75">
        <v>32121609</v>
      </c>
      <c r="B6187" s="76" t="s">
        <v>4391</v>
      </c>
    </row>
    <row r="6188" spans="1:2" x14ac:dyDescent="0.25">
      <c r="A6188" s="75">
        <v>32121701</v>
      </c>
      <c r="B6188" s="76" t="s">
        <v>16907</v>
      </c>
    </row>
    <row r="6189" spans="1:2" x14ac:dyDescent="0.25">
      <c r="A6189" s="75">
        <v>32121702</v>
      </c>
      <c r="B6189" s="76" t="s">
        <v>6532</v>
      </c>
    </row>
    <row r="6190" spans="1:2" x14ac:dyDescent="0.25">
      <c r="A6190" s="75">
        <v>32121703</v>
      </c>
      <c r="B6190" s="76" t="s">
        <v>3842</v>
      </c>
    </row>
    <row r="6191" spans="1:2" x14ac:dyDescent="0.25">
      <c r="A6191" s="75">
        <v>32121704</v>
      </c>
      <c r="B6191" s="76" t="s">
        <v>9338</v>
      </c>
    </row>
    <row r="6192" spans="1:2" x14ac:dyDescent="0.25">
      <c r="A6192" s="75">
        <v>32121705</v>
      </c>
      <c r="B6192" s="76" t="s">
        <v>19865</v>
      </c>
    </row>
    <row r="6193" spans="1:2" x14ac:dyDescent="0.25">
      <c r="A6193" s="75">
        <v>32121706</v>
      </c>
      <c r="B6193" s="76" t="s">
        <v>2938</v>
      </c>
    </row>
    <row r="6194" spans="1:2" x14ac:dyDescent="0.25">
      <c r="A6194" s="75">
        <v>32131001</v>
      </c>
      <c r="B6194" s="76" t="s">
        <v>18932</v>
      </c>
    </row>
    <row r="6195" spans="1:2" x14ac:dyDescent="0.25">
      <c r="A6195" s="75">
        <v>32131002</v>
      </c>
      <c r="B6195" s="76" t="s">
        <v>1331</v>
      </c>
    </row>
    <row r="6196" spans="1:2" x14ac:dyDescent="0.25">
      <c r="A6196" s="75">
        <v>32131003</v>
      </c>
      <c r="B6196" s="76" t="s">
        <v>15659</v>
      </c>
    </row>
    <row r="6197" spans="1:2" x14ac:dyDescent="0.25">
      <c r="A6197" s="75">
        <v>32131005</v>
      </c>
      <c r="B6197" s="76" t="s">
        <v>10549</v>
      </c>
    </row>
    <row r="6198" spans="1:2" x14ac:dyDescent="0.25">
      <c r="A6198" s="75">
        <v>32131006</v>
      </c>
      <c r="B6198" s="76" t="s">
        <v>9373</v>
      </c>
    </row>
    <row r="6199" spans="1:2" x14ac:dyDescent="0.25">
      <c r="A6199" s="75">
        <v>32131007</v>
      </c>
      <c r="B6199" s="76" t="s">
        <v>16981</v>
      </c>
    </row>
    <row r="6200" spans="1:2" x14ac:dyDescent="0.25">
      <c r="A6200" s="75">
        <v>32131008</v>
      </c>
      <c r="B6200" s="76" t="s">
        <v>3269</v>
      </c>
    </row>
    <row r="6201" spans="1:2" x14ac:dyDescent="0.25">
      <c r="A6201" s="75">
        <v>32131009</v>
      </c>
      <c r="B6201" s="76" t="s">
        <v>12955</v>
      </c>
    </row>
    <row r="6202" spans="1:2" x14ac:dyDescent="0.25">
      <c r="A6202" s="75">
        <v>32131010</v>
      </c>
      <c r="B6202" s="76" t="s">
        <v>620</v>
      </c>
    </row>
    <row r="6203" spans="1:2" x14ac:dyDescent="0.25">
      <c r="A6203" s="75">
        <v>32131011</v>
      </c>
      <c r="B6203" s="76" t="s">
        <v>13179</v>
      </c>
    </row>
    <row r="6204" spans="1:2" x14ac:dyDescent="0.25">
      <c r="A6204" s="75">
        <v>32131012</v>
      </c>
      <c r="B6204" s="76" t="s">
        <v>1223</v>
      </c>
    </row>
    <row r="6205" spans="1:2" x14ac:dyDescent="0.25">
      <c r="A6205" s="75">
        <v>32141001</v>
      </c>
      <c r="B6205" s="76" t="s">
        <v>13436</v>
      </c>
    </row>
    <row r="6206" spans="1:2" x14ac:dyDescent="0.25">
      <c r="A6206" s="75">
        <v>32141002</v>
      </c>
      <c r="B6206" s="76" t="s">
        <v>10676</v>
      </c>
    </row>
    <row r="6207" spans="1:2" x14ac:dyDescent="0.25">
      <c r="A6207" s="75">
        <v>32141003</v>
      </c>
      <c r="B6207" s="76" t="s">
        <v>5167</v>
      </c>
    </row>
    <row r="6208" spans="1:2" x14ac:dyDescent="0.25">
      <c r="A6208" s="75">
        <v>32141004</v>
      </c>
      <c r="B6208" s="76" t="s">
        <v>11913</v>
      </c>
    </row>
    <row r="6209" spans="1:2" x14ac:dyDescent="0.25">
      <c r="A6209" s="75">
        <v>32141005</v>
      </c>
      <c r="B6209" s="76" t="s">
        <v>6384</v>
      </c>
    </row>
    <row r="6210" spans="1:2" x14ac:dyDescent="0.25">
      <c r="A6210" s="75">
        <v>32141006</v>
      </c>
      <c r="B6210" s="76" t="s">
        <v>7961</v>
      </c>
    </row>
    <row r="6211" spans="1:2" x14ac:dyDescent="0.25">
      <c r="A6211" s="75">
        <v>32141007</v>
      </c>
      <c r="B6211" s="76" t="s">
        <v>2959</v>
      </c>
    </row>
    <row r="6212" spans="1:2" x14ac:dyDescent="0.25">
      <c r="A6212" s="75">
        <v>32141008</v>
      </c>
      <c r="B6212" s="76" t="s">
        <v>15137</v>
      </c>
    </row>
    <row r="6213" spans="1:2" x14ac:dyDescent="0.25">
      <c r="A6213" s="75">
        <v>32141009</v>
      </c>
      <c r="B6213" s="76" t="s">
        <v>9250</v>
      </c>
    </row>
    <row r="6214" spans="1:2" x14ac:dyDescent="0.25">
      <c r="A6214" s="75">
        <v>32141010</v>
      </c>
      <c r="B6214" s="76" t="s">
        <v>6267</v>
      </c>
    </row>
    <row r="6215" spans="1:2" x14ac:dyDescent="0.25">
      <c r="A6215" s="75">
        <v>32141011</v>
      </c>
      <c r="B6215" s="76" t="s">
        <v>913</v>
      </c>
    </row>
    <row r="6216" spans="1:2" x14ac:dyDescent="0.25">
      <c r="A6216" s="75">
        <v>32141012</v>
      </c>
      <c r="B6216" s="76" t="s">
        <v>15854</v>
      </c>
    </row>
    <row r="6217" spans="1:2" x14ac:dyDescent="0.25">
      <c r="A6217" s="75">
        <v>32141013</v>
      </c>
      <c r="B6217" s="76" t="s">
        <v>18220</v>
      </c>
    </row>
    <row r="6218" spans="1:2" x14ac:dyDescent="0.25">
      <c r="A6218" s="75">
        <v>32141014</v>
      </c>
      <c r="B6218" s="76" t="s">
        <v>18569</v>
      </c>
    </row>
    <row r="6219" spans="1:2" x14ac:dyDescent="0.25">
      <c r="A6219" s="75">
        <v>32141015</v>
      </c>
      <c r="B6219" s="76" t="s">
        <v>3925</v>
      </c>
    </row>
    <row r="6220" spans="1:2" x14ac:dyDescent="0.25">
      <c r="A6220" s="75">
        <v>32141016</v>
      </c>
      <c r="B6220" s="76" t="s">
        <v>19423</v>
      </c>
    </row>
    <row r="6221" spans="1:2" x14ac:dyDescent="0.25">
      <c r="A6221" s="75">
        <v>32141101</v>
      </c>
      <c r="B6221" s="76" t="s">
        <v>1387</v>
      </c>
    </row>
    <row r="6222" spans="1:2" x14ac:dyDescent="0.25">
      <c r="A6222" s="75">
        <v>32141102</v>
      </c>
      <c r="B6222" s="76" t="s">
        <v>1904</v>
      </c>
    </row>
    <row r="6223" spans="1:2" x14ac:dyDescent="0.25">
      <c r="A6223" s="75">
        <v>32141103</v>
      </c>
      <c r="B6223" s="76" t="s">
        <v>7088</v>
      </c>
    </row>
    <row r="6224" spans="1:2" x14ac:dyDescent="0.25">
      <c r="A6224" s="75">
        <v>32141104</v>
      </c>
      <c r="B6224" s="76" t="s">
        <v>11352</v>
      </c>
    </row>
    <row r="6225" spans="1:2" x14ac:dyDescent="0.25">
      <c r="A6225" s="75">
        <v>32141105</v>
      </c>
      <c r="B6225" s="76" t="s">
        <v>17053</v>
      </c>
    </row>
    <row r="6226" spans="1:2" x14ac:dyDescent="0.25">
      <c r="A6226" s="75">
        <v>32141106</v>
      </c>
      <c r="B6226" s="76" t="s">
        <v>19798</v>
      </c>
    </row>
    <row r="6227" spans="1:2" x14ac:dyDescent="0.25">
      <c r="A6227" s="75">
        <v>32141107</v>
      </c>
      <c r="B6227" s="76" t="s">
        <v>3017</v>
      </c>
    </row>
    <row r="6228" spans="1:2" x14ac:dyDescent="0.25">
      <c r="A6228" s="75">
        <v>32141108</v>
      </c>
      <c r="B6228" s="76" t="s">
        <v>12547</v>
      </c>
    </row>
    <row r="6229" spans="1:2" x14ac:dyDescent="0.25">
      <c r="A6229" s="75">
        <v>32141109</v>
      </c>
      <c r="B6229" s="76" t="s">
        <v>3356</v>
      </c>
    </row>
    <row r="6230" spans="1:2" x14ac:dyDescent="0.25">
      <c r="A6230" s="75">
        <v>39101601</v>
      </c>
      <c r="B6230" s="76" t="s">
        <v>12000</v>
      </c>
    </row>
    <row r="6231" spans="1:2" x14ac:dyDescent="0.25">
      <c r="A6231" s="75">
        <v>39101602</v>
      </c>
      <c r="B6231" s="76" t="s">
        <v>7284</v>
      </c>
    </row>
    <row r="6232" spans="1:2" x14ac:dyDescent="0.25">
      <c r="A6232" s="75">
        <v>39101603</v>
      </c>
      <c r="B6232" s="76" t="s">
        <v>15985</v>
      </c>
    </row>
    <row r="6233" spans="1:2" x14ac:dyDescent="0.25">
      <c r="A6233" s="75">
        <v>39101604</v>
      </c>
      <c r="B6233" s="76" t="s">
        <v>17586</v>
      </c>
    </row>
    <row r="6234" spans="1:2" x14ac:dyDescent="0.25">
      <c r="A6234" s="75">
        <v>39101605</v>
      </c>
      <c r="B6234" s="76" t="s">
        <v>12322</v>
      </c>
    </row>
    <row r="6235" spans="1:2" x14ac:dyDescent="0.25">
      <c r="A6235" s="75">
        <v>39101606</v>
      </c>
      <c r="B6235" s="76" t="s">
        <v>3187</v>
      </c>
    </row>
    <row r="6236" spans="1:2" x14ac:dyDescent="0.25">
      <c r="A6236" s="75">
        <v>39101608</v>
      </c>
      <c r="B6236" s="76" t="s">
        <v>14027</v>
      </c>
    </row>
    <row r="6237" spans="1:2" x14ac:dyDescent="0.25">
      <c r="A6237" s="75">
        <v>39101609</v>
      </c>
      <c r="B6237" s="76" t="s">
        <v>4410</v>
      </c>
    </row>
    <row r="6238" spans="1:2" x14ac:dyDescent="0.25">
      <c r="A6238" s="75">
        <v>39101610</v>
      </c>
      <c r="B6238" s="76" t="s">
        <v>16412</v>
      </c>
    </row>
    <row r="6239" spans="1:2" x14ac:dyDescent="0.25">
      <c r="A6239" s="75">
        <v>39101612</v>
      </c>
      <c r="B6239" s="76" t="s">
        <v>4011</v>
      </c>
    </row>
    <row r="6240" spans="1:2" x14ac:dyDescent="0.25">
      <c r="A6240" s="75">
        <v>39101613</v>
      </c>
      <c r="B6240" s="76" t="s">
        <v>17473</v>
      </c>
    </row>
    <row r="6241" spans="1:2" x14ac:dyDescent="0.25">
      <c r="A6241" s="75">
        <v>39101614</v>
      </c>
      <c r="B6241" s="76" t="s">
        <v>7035</v>
      </c>
    </row>
    <row r="6242" spans="1:2" x14ac:dyDescent="0.25">
      <c r="A6242" s="75">
        <v>39101615</v>
      </c>
      <c r="B6242" s="76" t="s">
        <v>2002</v>
      </c>
    </row>
    <row r="6243" spans="1:2" x14ac:dyDescent="0.25">
      <c r="A6243" s="75">
        <v>39101616</v>
      </c>
      <c r="B6243" s="76" t="s">
        <v>8173</v>
      </c>
    </row>
    <row r="6244" spans="1:2" x14ac:dyDescent="0.25">
      <c r="A6244" s="75">
        <v>39101617</v>
      </c>
      <c r="B6244" s="76" t="s">
        <v>6263</v>
      </c>
    </row>
    <row r="6245" spans="1:2" x14ac:dyDescent="0.25">
      <c r="A6245" s="75">
        <v>39101618</v>
      </c>
      <c r="B6245" s="76" t="s">
        <v>10261</v>
      </c>
    </row>
    <row r="6246" spans="1:2" x14ac:dyDescent="0.25">
      <c r="A6246" s="75">
        <v>39101701</v>
      </c>
      <c r="B6246" s="76" t="s">
        <v>13492</v>
      </c>
    </row>
    <row r="6247" spans="1:2" x14ac:dyDescent="0.25">
      <c r="A6247" s="75">
        <v>39101801</v>
      </c>
      <c r="B6247" s="76" t="s">
        <v>4850</v>
      </c>
    </row>
    <row r="6248" spans="1:2" x14ac:dyDescent="0.25">
      <c r="A6248" s="75">
        <v>39111501</v>
      </c>
      <c r="B6248" s="76" t="s">
        <v>19434</v>
      </c>
    </row>
    <row r="6249" spans="1:2" x14ac:dyDescent="0.25">
      <c r="A6249" s="75">
        <v>39111503</v>
      </c>
      <c r="B6249" s="76" t="s">
        <v>14719</v>
      </c>
    </row>
    <row r="6250" spans="1:2" x14ac:dyDescent="0.25">
      <c r="A6250" s="75">
        <v>39111504</v>
      </c>
      <c r="B6250" s="76" t="s">
        <v>9599</v>
      </c>
    </row>
    <row r="6251" spans="1:2" x14ac:dyDescent="0.25">
      <c r="A6251" s="75">
        <v>39111505</v>
      </c>
      <c r="B6251" s="76" t="s">
        <v>18935</v>
      </c>
    </row>
    <row r="6252" spans="1:2" x14ac:dyDescent="0.25">
      <c r="A6252" s="75">
        <v>39111506</v>
      </c>
      <c r="B6252" s="76" t="s">
        <v>4520</v>
      </c>
    </row>
    <row r="6253" spans="1:2" x14ac:dyDescent="0.25">
      <c r="A6253" s="75">
        <v>39111507</v>
      </c>
      <c r="B6253" s="76" t="s">
        <v>977</v>
      </c>
    </row>
    <row r="6254" spans="1:2" x14ac:dyDescent="0.25">
      <c r="A6254" s="75">
        <v>39111508</v>
      </c>
      <c r="B6254" s="76" t="s">
        <v>8024</v>
      </c>
    </row>
    <row r="6255" spans="1:2" x14ac:dyDescent="0.25">
      <c r="A6255" s="75">
        <v>39111509</v>
      </c>
      <c r="B6255" s="76" t="s">
        <v>16870</v>
      </c>
    </row>
    <row r="6256" spans="1:2" x14ac:dyDescent="0.25">
      <c r="A6256" s="75">
        <v>39111510</v>
      </c>
      <c r="B6256" s="76" t="s">
        <v>5377</v>
      </c>
    </row>
    <row r="6257" spans="1:2" x14ac:dyDescent="0.25">
      <c r="A6257" s="75">
        <v>39111512</v>
      </c>
      <c r="B6257" s="76" t="s">
        <v>9124</v>
      </c>
    </row>
    <row r="6258" spans="1:2" x14ac:dyDescent="0.25">
      <c r="A6258" s="75">
        <v>39111513</v>
      </c>
      <c r="B6258" s="76" t="s">
        <v>15660</v>
      </c>
    </row>
    <row r="6259" spans="1:2" x14ac:dyDescent="0.25">
      <c r="A6259" s="75">
        <v>39111514</v>
      </c>
      <c r="B6259" s="76" t="s">
        <v>6773</v>
      </c>
    </row>
    <row r="6260" spans="1:2" x14ac:dyDescent="0.25">
      <c r="A6260" s="75">
        <v>39111515</v>
      </c>
      <c r="B6260" s="76" t="s">
        <v>5226</v>
      </c>
    </row>
    <row r="6261" spans="1:2" x14ac:dyDescent="0.25">
      <c r="A6261" s="75">
        <v>39111516</v>
      </c>
      <c r="B6261" s="76" t="s">
        <v>17439</v>
      </c>
    </row>
    <row r="6262" spans="1:2" x14ac:dyDescent="0.25">
      <c r="A6262" s="75">
        <v>39111517</v>
      </c>
      <c r="B6262" s="76" t="s">
        <v>2087</v>
      </c>
    </row>
    <row r="6263" spans="1:2" x14ac:dyDescent="0.25">
      <c r="A6263" s="75">
        <v>39111518</v>
      </c>
      <c r="B6263" s="76" t="s">
        <v>17853</v>
      </c>
    </row>
    <row r="6264" spans="1:2" x14ac:dyDescent="0.25">
      <c r="A6264" s="75">
        <v>39111519</v>
      </c>
      <c r="B6264" s="76" t="s">
        <v>17057</v>
      </c>
    </row>
    <row r="6265" spans="1:2" x14ac:dyDescent="0.25">
      <c r="A6265" s="75">
        <v>39111520</v>
      </c>
      <c r="B6265" s="76" t="s">
        <v>716</v>
      </c>
    </row>
    <row r="6266" spans="1:2" x14ac:dyDescent="0.25">
      <c r="A6266" s="75">
        <v>39111521</v>
      </c>
      <c r="B6266" s="76" t="s">
        <v>1012</v>
      </c>
    </row>
    <row r="6267" spans="1:2" x14ac:dyDescent="0.25">
      <c r="A6267" s="75">
        <v>39111603</v>
      </c>
      <c r="B6267" s="76" t="s">
        <v>19361</v>
      </c>
    </row>
    <row r="6268" spans="1:2" x14ac:dyDescent="0.25">
      <c r="A6268" s="75">
        <v>39111605</v>
      </c>
      <c r="B6268" s="76" t="s">
        <v>6515</v>
      </c>
    </row>
    <row r="6269" spans="1:2" x14ac:dyDescent="0.25">
      <c r="A6269" s="75">
        <v>39111606</v>
      </c>
      <c r="B6269" s="76" t="s">
        <v>12288</v>
      </c>
    </row>
    <row r="6270" spans="1:2" x14ac:dyDescent="0.25">
      <c r="A6270" s="75">
        <v>39111608</v>
      </c>
      <c r="B6270" s="76" t="s">
        <v>10658</v>
      </c>
    </row>
    <row r="6271" spans="1:2" x14ac:dyDescent="0.25">
      <c r="A6271" s="75">
        <v>39111609</v>
      </c>
      <c r="B6271" s="76" t="s">
        <v>17051</v>
      </c>
    </row>
    <row r="6272" spans="1:2" x14ac:dyDescent="0.25">
      <c r="A6272" s="75">
        <v>39111702</v>
      </c>
      <c r="B6272" s="76" t="s">
        <v>6895</v>
      </c>
    </row>
    <row r="6273" spans="1:2" x14ac:dyDescent="0.25">
      <c r="A6273" s="75">
        <v>39111703</v>
      </c>
      <c r="B6273" s="76" t="s">
        <v>1031</v>
      </c>
    </row>
    <row r="6274" spans="1:2" x14ac:dyDescent="0.25">
      <c r="A6274" s="75">
        <v>39111704</v>
      </c>
      <c r="B6274" s="76" t="s">
        <v>13600</v>
      </c>
    </row>
    <row r="6275" spans="1:2" x14ac:dyDescent="0.25">
      <c r="A6275" s="75">
        <v>39111705</v>
      </c>
      <c r="B6275" s="76" t="s">
        <v>9478</v>
      </c>
    </row>
    <row r="6276" spans="1:2" x14ac:dyDescent="0.25">
      <c r="A6276" s="75">
        <v>39111706</v>
      </c>
      <c r="B6276" s="76" t="s">
        <v>18639</v>
      </c>
    </row>
    <row r="6277" spans="1:2" x14ac:dyDescent="0.25">
      <c r="A6277" s="75">
        <v>39111801</v>
      </c>
      <c r="B6277" s="76" t="s">
        <v>668</v>
      </c>
    </row>
    <row r="6278" spans="1:2" x14ac:dyDescent="0.25">
      <c r="A6278" s="75">
        <v>39111802</v>
      </c>
      <c r="B6278" s="76" t="s">
        <v>19099</v>
      </c>
    </row>
    <row r="6279" spans="1:2" x14ac:dyDescent="0.25">
      <c r="A6279" s="75">
        <v>39111803</v>
      </c>
      <c r="B6279" s="76" t="s">
        <v>17284</v>
      </c>
    </row>
    <row r="6280" spans="1:2" x14ac:dyDescent="0.25">
      <c r="A6280" s="75">
        <v>39111804</v>
      </c>
      <c r="B6280" s="76" t="s">
        <v>4463</v>
      </c>
    </row>
    <row r="6281" spans="1:2" x14ac:dyDescent="0.25">
      <c r="A6281" s="75">
        <v>39111806</v>
      </c>
      <c r="B6281" s="76" t="s">
        <v>10973</v>
      </c>
    </row>
    <row r="6282" spans="1:2" x14ac:dyDescent="0.25">
      <c r="A6282" s="75">
        <v>39111808</v>
      </c>
      <c r="B6282" s="76" t="s">
        <v>69</v>
      </c>
    </row>
    <row r="6283" spans="1:2" x14ac:dyDescent="0.25">
      <c r="A6283" s="75">
        <v>39111809</v>
      </c>
      <c r="B6283" s="76" t="s">
        <v>19326</v>
      </c>
    </row>
    <row r="6284" spans="1:2" x14ac:dyDescent="0.25">
      <c r="A6284" s="75">
        <v>39111810</v>
      </c>
      <c r="B6284" s="76" t="s">
        <v>18949</v>
      </c>
    </row>
    <row r="6285" spans="1:2" x14ac:dyDescent="0.25">
      <c r="A6285" s="75">
        <v>39111811</v>
      </c>
      <c r="B6285" s="76" t="s">
        <v>9896</v>
      </c>
    </row>
    <row r="6286" spans="1:2" x14ac:dyDescent="0.25">
      <c r="A6286" s="75">
        <v>39111812</v>
      </c>
      <c r="B6286" s="76" t="s">
        <v>6814</v>
      </c>
    </row>
    <row r="6287" spans="1:2" x14ac:dyDescent="0.25">
      <c r="A6287" s="75">
        <v>39111813</v>
      </c>
      <c r="B6287" s="76" t="s">
        <v>7585</v>
      </c>
    </row>
    <row r="6288" spans="1:2" x14ac:dyDescent="0.25">
      <c r="A6288" s="75">
        <v>39111901</v>
      </c>
      <c r="B6288" s="76" t="s">
        <v>5328</v>
      </c>
    </row>
    <row r="6289" spans="1:2" x14ac:dyDescent="0.25">
      <c r="A6289" s="75">
        <v>39111902</v>
      </c>
      <c r="B6289" s="76" t="s">
        <v>17035</v>
      </c>
    </row>
    <row r="6290" spans="1:2" x14ac:dyDescent="0.25">
      <c r="A6290" s="75">
        <v>39112001</v>
      </c>
      <c r="B6290" s="76" t="s">
        <v>11278</v>
      </c>
    </row>
    <row r="6291" spans="1:2" x14ac:dyDescent="0.25">
      <c r="A6291" s="75">
        <v>39112002</v>
      </c>
      <c r="B6291" s="76" t="s">
        <v>17481</v>
      </c>
    </row>
    <row r="6292" spans="1:2" x14ac:dyDescent="0.25">
      <c r="A6292" s="75">
        <v>39112003</v>
      </c>
      <c r="B6292" s="76" t="s">
        <v>15678</v>
      </c>
    </row>
    <row r="6293" spans="1:2" x14ac:dyDescent="0.25">
      <c r="A6293" s="75">
        <v>39121001</v>
      </c>
      <c r="B6293" s="76" t="s">
        <v>9187</v>
      </c>
    </row>
    <row r="6294" spans="1:2" x14ac:dyDescent="0.25">
      <c r="A6294" s="75">
        <v>39121002</v>
      </c>
      <c r="B6294" s="76" t="s">
        <v>15872</v>
      </c>
    </row>
    <row r="6295" spans="1:2" x14ac:dyDescent="0.25">
      <c r="A6295" s="75">
        <v>39121003</v>
      </c>
      <c r="B6295" s="76" t="s">
        <v>2916</v>
      </c>
    </row>
    <row r="6296" spans="1:2" x14ac:dyDescent="0.25">
      <c r="A6296" s="75">
        <v>39121004</v>
      </c>
      <c r="B6296" s="76" t="s">
        <v>102</v>
      </c>
    </row>
    <row r="6297" spans="1:2" x14ac:dyDescent="0.25">
      <c r="A6297" s="75">
        <v>39121006</v>
      </c>
      <c r="B6297" s="76" t="s">
        <v>17562</v>
      </c>
    </row>
    <row r="6298" spans="1:2" x14ac:dyDescent="0.25">
      <c r="A6298" s="75">
        <v>39121007</v>
      </c>
      <c r="B6298" s="76" t="s">
        <v>10605</v>
      </c>
    </row>
    <row r="6299" spans="1:2" x14ac:dyDescent="0.25">
      <c r="A6299" s="75">
        <v>39121008</v>
      </c>
      <c r="B6299" s="76" t="s">
        <v>16909</v>
      </c>
    </row>
    <row r="6300" spans="1:2" x14ac:dyDescent="0.25">
      <c r="A6300" s="75">
        <v>39121009</v>
      </c>
      <c r="B6300" s="76" t="s">
        <v>13609</v>
      </c>
    </row>
    <row r="6301" spans="1:2" x14ac:dyDescent="0.25">
      <c r="A6301" s="75">
        <v>39121010</v>
      </c>
      <c r="B6301" s="76" t="s">
        <v>2821</v>
      </c>
    </row>
    <row r="6302" spans="1:2" x14ac:dyDescent="0.25">
      <c r="A6302" s="75">
        <v>39121011</v>
      </c>
      <c r="B6302" s="76" t="s">
        <v>9629</v>
      </c>
    </row>
    <row r="6303" spans="1:2" x14ac:dyDescent="0.25">
      <c r="A6303" s="75">
        <v>39121012</v>
      </c>
      <c r="B6303" s="76" t="s">
        <v>16972</v>
      </c>
    </row>
    <row r="6304" spans="1:2" x14ac:dyDescent="0.25">
      <c r="A6304" s="75">
        <v>39121013</v>
      </c>
      <c r="B6304" s="76" t="s">
        <v>2309</v>
      </c>
    </row>
    <row r="6305" spans="1:2" x14ac:dyDescent="0.25">
      <c r="A6305" s="75">
        <v>39121014</v>
      </c>
      <c r="B6305" s="76" t="s">
        <v>12213</v>
      </c>
    </row>
    <row r="6306" spans="1:2" x14ac:dyDescent="0.25">
      <c r="A6306" s="75">
        <v>39121015</v>
      </c>
      <c r="B6306" s="76" t="s">
        <v>7491</v>
      </c>
    </row>
    <row r="6307" spans="1:2" x14ac:dyDescent="0.25">
      <c r="A6307" s="75">
        <v>39121016</v>
      </c>
      <c r="B6307" s="76" t="s">
        <v>2847</v>
      </c>
    </row>
    <row r="6308" spans="1:2" x14ac:dyDescent="0.25">
      <c r="A6308" s="75">
        <v>39121017</v>
      </c>
      <c r="B6308" s="76" t="s">
        <v>18805</v>
      </c>
    </row>
    <row r="6309" spans="1:2" x14ac:dyDescent="0.25">
      <c r="A6309" s="75">
        <v>39121018</v>
      </c>
      <c r="B6309" s="76" t="s">
        <v>11143</v>
      </c>
    </row>
    <row r="6310" spans="1:2" x14ac:dyDescent="0.25">
      <c r="A6310" s="75">
        <v>39121019</v>
      </c>
      <c r="B6310" s="76" t="s">
        <v>12623</v>
      </c>
    </row>
    <row r="6311" spans="1:2" x14ac:dyDescent="0.25">
      <c r="A6311" s="75">
        <v>39121020</v>
      </c>
      <c r="B6311" s="76" t="s">
        <v>1094</v>
      </c>
    </row>
    <row r="6312" spans="1:2" x14ac:dyDescent="0.25">
      <c r="A6312" s="75">
        <v>39121101</v>
      </c>
      <c r="B6312" s="76" t="s">
        <v>3884</v>
      </c>
    </row>
    <row r="6313" spans="1:2" x14ac:dyDescent="0.25">
      <c r="A6313" s="75">
        <v>39121102</v>
      </c>
      <c r="B6313" s="76" t="s">
        <v>10644</v>
      </c>
    </row>
    <row r="6314" spans="1:2" x14ac:dyDescent="0.25">
      <c r="A6314" s="75">
        <v>39121103</v>
      </c>
      <c r="B6314" s="76" t="s">
        <v>3510</v>
      </c>
    </row>
    <row r="6315" spans="1:2" x14ac:dyDescent="0.25">
      <c r="A6315" s="75">
        <v>39121104</v>
      </c>
      <c r="B6315" s="76" t="s">
        <v>18316</v>
      </c>
    </row>
    <row r="6316" spans="1:2" x14ac:dyDescent="0.25">
      <c r="A6316" s="75">
        <v>39121105</v>
      </c>
      <c r="B6316" s="76" t="s">
        <v>14296</v>
      </c>
    </row>
    <row r="6317" spans="1:2" x14ac:dyDescent="0.25">
      <c r="A6317" s="75">
        <v>39121106</v>
      </c>
      <c r="B6317" s="76" t="s">
        <v>10745</v>
      </c>
    </row>
    <row r="6318" spans="1:2" x14ac:dyDescent="0.25">
      <c r="A6318" s="75">
        <v>39121107</v>
      </c>
      <c r="B6318" s="76" t="s">
        <v>2219</v>
      </c>
    </row>
    <row r="6319" spans="1:2" x14ac:dyDescent="0.25">
      <c r="A6319" s="75">
        <v>39121108</v>
      </c>
      <c r="B6319" s="76" t="s">
        <v>14610</v>
      </c>
    </row>
    <row r="6320" spans="1:2" x14ac:dyDescent="0.25">
      <c r="A6320" s="75">
        <v>39121109</v>
      </c>
      <c r="B6320" s="76" t="s">
        <v>18192</v>
      </c>
    </row>
    <row r="6321" spans="1:2" x14ac:dyDescent="0.25">
      <c r="A6321" s="75">
        <v>39121201</v>
      </c>
      <c r="B6321" s="76" t="s">
        <v>9290</v>
      </c>
    </row>
    <row r="6322" spans="1:2" x14ac:dyDescent="0.25">
      <c r="A6322" s="75">
        <v>39121202</v>
      </c>
      <c r="B6322" s="76" t="s">
        <v>3627</v>
      </c>
    </row>
    <row r="6323" spans="1:2" x14ac:dyDescent="0.25">
      <c r="A6323" s="75">
        <v>39121203</v>
      </c>
      <c r="B6323" s="76" t="s">
        <v>19339</v>
      </c>
    </row>
    <row r="6324" spans="1:2" x14ac:dyDescent="0.25">
      <c r="A6324" s="75">
        <v>39121204</v>
      </c>
      <c r="B6324" s="76" t="s">
        <v>12216</v>
      </c>
    </row>
    <row r="6325" spans="1:2" x14ac:dyDescent="0.25">
      <c r="A6325" s="75">
        <v>39121205</v>
      </c>
      <c r="B6325" s="76" t="s">
        <v>8880</v>
      </c>
    </row>
    <row r="6326" spans="1:2" x14ac:dyDescent="0.25">
      <c r="A6326" s="75">
        <v>39121206</v>
      </c>
      <c r="B6326" s="76" t="s">
        <v>13550</v>
      </c>
    </row>
    <row r="6327" spans="1:2" x14ac:dyDescent="0.25">
      <c r="A6327" s="75">
        <v>39121207</v>
      </c>
      <c r="B6327" s="76" t="s">
        <v>7758</v>
      </c>
    </row>
    <row r="6328" spans="1:2" x14ac:dyDescent="0.25">
      <c r="A6328" s="75">
        <v>39121301</v>
      </c>
      <c r="B6328" s="76" t="s">
        <v>94</v>
      </c>
    </row>
    <row r="6329" spans="1:2" x14ac:dyDescent="0.25">
      <c r="A6329" s="75">
        <v>39121302</v>
      </c>
      <c r="B6329" s="76" t="s">
        <v>10324</v>
      </c>
    </row>
    <row r="6330" spans="1:2" x14ac:dyDescent="0.25">
      <c r="A6330" s="75">
        <v>39121303</v>
      </c>
      <c r="B6330" s="76" t="s">
        <v>9132</v>
      </c>
    </row>
    <row r="6331" spans="1:2" x14ac:dyDescent="0.25">
      <c r="A6331" s="75">
        <v>39121304</v>
      </c>
      <c r="B6331" s="76" t="s">
        <v>4372</v>
      </c>
    </row>
    <row r="6332" spans="1:2" x14ac:dyDescent="0.25">
      <c r="A6332" s="75">
        <v>39121305</v>
      </c>
      <c r="B6332" s="76" t="s">
        <v>17121</v>
      </c>
    </row>
    <row r="6333" spans="1:2" x14ac:dyDescent="0.25">
      <c r="A6333" s="75">
        <v>39121306</v>
      </c>
      <c r="B6333" s="76" t="s">
        <v>16300</v>
      </c>
    </row>
    <row r="6334" spans="1:2" x14ac:dyDescent="0.25">
      <c r="A6334" s="75">
        <v>39121307</v>
      </c>
      <c r="B6334" s="76" t="s">
        <v>19277</v>
      </c>
    </row>
    <row r="6335" spans="1:2" x14ac:dyDescent="0.25">
      <c r="A6335" s="75">
        <v>39121308</v>
      </c>
      <c r="B6335" s="76" t="s">
        <v>17220</v>
      </c>
    </row>
    <row r="6336" spans="1:2" x14ac:dyDescent="0.25">
      <c r="A6336" s="75">
        <v>39121309</v>
      </c>
      <c r="B6336" s="76" t="s">
        <v>5784</v>
      </c>
    </row>
    <row r="6337" spans="1:2" x14ac:dyDescent="0.25">
      <c r="A6337" s="75">
        <v>39121310</v>
      </c>
      <c r="B6337" s="76" t="s">
        <v>9227</v>
      </c>
    </row>
    <row r="6338" spans="1:2" x14ac:dyDescent="0.25">
      <c r="A6338" s="75">
        <v>39121311</v>
      </c>
      <c r="B6338" s="76" t="s">
        <v>16292</v>
      </c>
    </row>
    <row r="6339" spans="1:2" x14ac:dyDescent="0.25">
      <c r="A6339" s="75">
        <v>39121312</v>
      </c>
      <c r="B6339" s="76" t="s">
        <v>3822</v>
      </c>
    </row>
    <row r="6340" spans="1:2" x14ac:dyDescent="0.25">
      <c r="A6340" s="75">
        <v>39121313</v>
      </c>
      <c r="B6340" s="76" t="s">
        <v>5674</v>
      </c>
    </row>
    <row r="6341" spans="1:2" x14ac:dyDescent="0.25">
      <c r="A6341" s="75">
        <v>39121402</v>
      </c>
      <c r="B6341" s="76" t="s">
        <v>13383</v>
      </c>
    </row>
    <row r="6342" spans="1:2" x14ac:dyDescent="0.25">
      <c r="A6342" s="75">
        <v>39121403</v>
      </c>
      <c r="B6342" s="76" t="s">
        <v>15382</v>
      </c>
    </row>
    <row r="6343" spans="1:2" x14ac:dyDescent="0.25">
      <c r="A6343" s="75">
        <v>39121404</v>
      </c>
      <c r="B6343" s="76" t="s">
        <v>9212</v>
      </c>
    </row>
    <row r="6344" spans="1:2" x14ac:dyDescent="0.25">
      <c r="A6344" s="75">
        <v>39121405</v>
      </c>
      <c r="B6344" s="76" t="s">
        <v>7909</v>
      </c>
    </row>
    <row r="6345" spans="1:2" x14ac:dyDescent="0.25">
      <c r="A6345" s="75">
        <v>39121406</v>
      </c>
      <c r="B6345" s="76" t="s">
        <v>3991</v>
      </c>
    </row>
    <row r="6346" spans="1:2" x14ac:dyDescent="0.25">
      <c r="A6346" s="75">
        <v>39121407</v>
      </c>
      <c r="B6346" s="76" t="s">
        <v>7325</v>
      </c>
    </row>
    <row r="6347" spans="1:2" x14ac:dyDescent="0.25">
      <c r="A6347" s="75">
        <v>39121408</v>
      </c>
      <c r="B6347" s="76" t="s">
        <v>10974</v>
      </c>
    </row>
    <row r="6348" spans="1:2" x14ac:dyDescent="0.25">
      <c r="A6348" s="75">
        <v>39121409</v>
      </c>
      <c r="B6348" s="76" t="s">
        <v>2496</v>
      </c>
    </row>
    <row r="6349" spans="1:2" x14ac:dyDescent="0.25">
      <c r="A6349" s="75">
        <v>39121410</v>
      </c>
      <c r="B6349" s="76" t="s">
        <v>9442</v>
      </c>
    </row>
    <row r="6350" spans="1:2" x14ac:dyDescent="0.25">
      <c r="A6350" s="75">
        <v>39121411</v>
      </c>
      <c r="B6350" s="76" t="s">
        <v>10734</v>
      </c>
    </row>
    <row r="6351" spans="1:2" x14ac:dyDescent="0.25">
      <c r="A6351" s="75">
        <v>39121412</v>
      </c>
      <c r="B6351" s="76" t="s">
        <v>14589</v>
      </c>
    </row>
    <row r="6352" spans="1:2" x14ac:dyDescent="0.25">
      <c r="A6352" s="75">
        <v>39121413</v>
      </c>
      <c r="B6352" s="76" t="s">
        <v>19825</v>
      </c>
    </row>
    <row r="6353" spans="1:2" x14ac:dyDescent="0.25">
      <c r="A6353" s="75">
        <v>39121414</v>
      </c>
      <c r="B6353" s="76" t="s">
        <v>7915</v>
      </c>
    </row>
    <row r="6354" spans="1:2" x14ac:dyDescent="0.25">
      <c r="A6354" s="75">
        <v>39121415</v>
      </c>
      <c r="B6354" s="76" t="s">
        <v>2941</v>
      </c>
    </row>
    <row r="6355" spans="1:2" x14ac:dyDescent="0.25">
      <c r="A6355" s="75">
        <v>39121416</v>
      </c>
      <c r="B6355" s="76" t="s">
        <v>4140</v>
      </c>
    </row>
    <row r="6356" spans="1:2" x14ac:dyDescent="0.25">
      <c r="A6356" s="75">
        <v>39121419</v>
      </c>
      <c r="B6356" s="76" t="s">
        <v>9013</v>
      </c>
    </row>
    <row r="6357" spans="1:2" x14ac:dyDescent="0.25">
      <c r="A6357" s="75">
        <v>39121420</v>
      </c>
      <c r="B6357" s="76" t="s">
        <v>506</v>
      </c>
    </row>
    <row r="6358" spans="1:2" x14ac:dyDescent="0.25">
      <c r="A6358" s="75">
        <v>39121421</v>
      </c>
      <c r="B6358" s="76" t="s">
        <v>12691</v>
      </c>
    </row>
    <row r="6359" spans="1:2" x14ac:dyDescent="0.25">
      <c r="A6359" s="75">
        <v>39121422</v>
      </c>
      <c r="B6359" s="76" t="s">
        <v>5532</v>
      </c>
    </row>
    <row r="6360" spans="1:2" x14ac:dyDescent="0.25">
      <c r="A6360" s="75">
        <v>39121423</v>
      </c>
      <c r="B6360" s="76" t="s">
        <v>16968</v>
      </c>
    </row>
    <row r="6361" spans="1:2" x14ac:dyDescent="0.25">
      <c r="A6361" s="75">
        <v>39121424</v>
      </c>
      <c r="B6361" s="76" t="s">
        <v>16478</v>
      </c>
    </row>
    <row r="6362" spans="1:2" x14ac:dyDescent="0.25">
      <c r="A6362" s="75">
        <v>39121425</v>
      </c>
      <c r="B6362" s="76" t="s">
        <v>9613</v>
      </c>
    </row>
    <row r="6363" spans="1:2" x14ac:dyDescent="0.25">
      <c r="A6363" s="75">
        <v>39121426</v>
      </c>
      <c r="B6363" s="76" t="s">
        <v>6150</v>
      </c>
    </row>
    <row r="6364" spans="1:2" x14ac:dyDescent="0.25">
      <c r="A6364" s="75">
        <v>39121427</v>
      </c>
      <c r="B6364" s="76" t="s">
        <v>761</v>
      </c>
    </row>
    <row r="6365" spans="1:2" x14ac:dyDescent="0.25">
      <c r="A6365" s="75">
        <v>39121428</v>
      </c>
      <c r="B6365" s="76" t="s">
        <v>11090</v>
      </c>
    </row>
    <row r="6366" spans="1:2" x14ac:dyDescent="0.25">
      <c r="A6366" s="75">
        <v>39121429</v>
      </c>
      <c r="B6366" s="76" t="s">
        <v>16094</v>
      </c>
    </row>
    <row r="6367" spans="1:2" x14ac:dyDescent="0.25">
      <c r="A6367" s="75">
        <v>39121430</v>
      </c>
      <c r="B6367" s="76" t="s">
        <v>2387</v>
      </c>
    </row>
    <row r="6368" spans="1:2" x14ac:dyDescent="0.25">
      <c r="A6368" s="75">
        <v>39121431</v>
      </c>
      <c r="B6368" s="76" t="s">
        <v>1176</v>
      </c>
    </row>
    <row r="6369" spans="1:2" x14ac:dyDescent="0.25">
      <c r="A6369" s="75">
        <v>39121432</v>
      </c>
      <c r="B6369" s="76" t="s">
        <v>2604</v>
      </c>
    </row>
    <row r="6370" spans="1:2" x14ac:dyDescent="0.25">
      <c r="A6370" s="75">
        <v>39121433</v>
      </c>
      <c r="B6370" s="76" t="s">
        <v>3819</v>
      </c>
    </row>
    <row r="6371" spans="1:2" x14ac:dyDescent="0.25">
      <c r="A6371" s="75">
        <v>39121434</v>
      </c>
      <c r="B6371" s="76" t="s">
        <v>11760</v>
      </c>
    </row>
    <row r="6372" spans="1:2" x14ac:dyDescent="0.25">
      <c r="A6372" s="75">
        <v>39121435</v>
      </c>
      <c r="B6372" s="76" t="s">
        <v>11874</v>
      </c>
    </row>
    <row r="6373" spans="1:2" x14ac:dyDescent="0.25">
      <c r="A6373" s="75">
        <v>39121436</v>
      </c>
      <c r="B6373" s="76" t="s">
        <v>3798</v>
      </c>
    </row>
    <row r="6374" spans="1:2" x14ac:dyDescent="0.25">
      <c r="A6374" s="75">
        <v>39121437</v>
      </c>
      <c r="B6374" s="76" t="s">
        <v>943</v>
      </c>
    </row>
    <row r="6375" spans="1:2" x14ac:dyDescent="0.25">
      <c r="A6375" s="75">
        <v>39121501</v>
      </c>
      <c r="B6375" s="76" t="s">
        <v>2253</v>
      </c>
    </row>
    <row r="6376" spans="1:2" x14ac:dyDescent="0.25">
      <c r="A6376" s="75">
        <v>39121502</v>
      </c>
      <c r="B6376" s="76" t="s">
        <v>10088</v>
      </c>
    </row>
    <row r="6377" spans="1:2" x14ac:dyDescent="0.25">
      <c r="A6377" s="75">
        <v>39121503</v>
      </c>
      <c r="B6377" s="76" t="s">
        <v>14097</v>
      </c>
    </row>
    <row r="6378" spans="1:2" x14ac:dyDescent="0.25">
      <c r="A6378" s="75">
        <v>39121504</v>
      </c>
      <c r="B6378" s="76" t="s">
        <v>10229</v>
      </c>
    </row>
    <row r="6379" spans="1:2" x14ac:dyDescent="0.25">
      <c r="A6379" s="75">
        <v>39121505</v>
      </c>
      <c r="B6379" s="76" t="s">
        <v>10796</v>
      </c>
    </row>
    <row r="6380" spans="1:2" x14ac:dyDescent="0.25">
      <c r="A6380" s="75">
        <v>39121506</v>
      </c>
      <c r="B6380" s="76" t="s">
        <v>12560</v>
      </c>
    </row>
    <row r="6381" spans="1:2" x14ac:dyDescent="0.25">
      <c r="A6381" s="75">
        <v>39121507</v>
      </c>
      <c r="B6381" s="76" t="s">
        <v>5489</v>
      </c>
    </row>
    <row r="6382" spans="1:2" x14ac:dyDescent="0.25">
      <c r="A6382" s="75">
        <v>39121508</v>
      </c>
      <c r="B6382" s="76" t="s">
        <v>4068</v>
      </c>
    </row>
    <row r="6383" spans="1:2" x14ac:dyDescent="0.25">
      <c r="A6383" s="75">
        <v>39121509</v>
      </c>
      <c r="B6383" s="76" t="s">
        <v>8619</v>
      </c>
    </row>
    <row r="6384" spans="1:2" x14ac:dyDescent="0.25">
      <c r="A6384" s="75">
        <v>39121510</v>
      </c>
      <c r="B6384" s="76" t="s">
        <v>18012</v>
      </c>
    </row>
    <row r="6385" spans="1:2" x14ac:dyDescent="0.25">
      <c r="A6385" s="75">
        <v>39121511</v>
      </c>
      <c r="B6385" s="76" t="s">
        <v>13267</v>
      </c>
    </row>
    <row r="6386" spans="1:2" x14ac:dyDescent="0.25">
      <c r="A6386" s="75">
        <v>39121512</v>
      </c>
      <c r="B6386" s="76" t="s">
        <v>18475</v>
      </c>
    </row>
    <row r="6387" spans="1:2" x14ac:dyDescent="0.25">
      <c r="A6387" s="75">
        <v>39121513</v>
      </c>
      <c r="B6387" s="76" t="s">
        <v>3254</v>
      </c>
    </row>
    <row r="6388" spans="1:2" x14ac:dyDescent="0.25">
      <c r="A6388" s="75">
        <v>39121514</v>
      </c>
      <c r="B6388" s="76" t="s">
        <v>17788</v>
      </c>
    </row>
    <row r="6389" spans="1:2" x14ac:dyDescent="0.25">
      <c r="A6389" s="75">
        <v>39121515</v>
      </c>
      <c r="B6389" s="76" t="s">
        <v>16115</v>
      </c>
    </row>
    <row r="6390" spans="1:2" x14ac:dyDescent="0.25">
      <c r="A6390" s="75">
        <v>39121516</v>
      </c>
      <c r="B6390" s="76" t="s">
        <v>7045</v>
      </c>
    </row>
    <row r="6391" spans="1:2" x14ac:dyDescent="0.25">
      <c r="A6391" s="75">
        <v>39121517</v>
      </c>
      <c r="B6391" s="76" t="s">
        <v>4188</v>
      </c>
    </row>
    <row r="6392" spans="1:2" x14ac:dyDescent="0.25">
      <c r="A6392" s="75">
        <v>39121518</v>
      </c>
      <c r="B6392" s="76" t="s">
        <v>16768</v>
      </c>
    </row>
    <row r="6393" spans="1:2" x14ac:dyDescent="0.25">
      <c r="A6393" s="75">
        <v>39121519</v>
      </c>
      <c r="B6393" s="76" t="s">
        <v>19275</v>
      </c>
    </row>
    <row r="6394" spans="1:2" x14ac:dyDescent="0.25">
      <c r="A6394" s="75">
        <v>39121520</v>
      </c>
      <c r="B6394" s="76" t="s">
        <v>18809</v>
      </c>
    </row>
    <row r="6395" spans="1:2" x14ac:dyDescent="0.25">
      <c r="A6395" s="75">
        <v>39121521</v>
      </c>
      <c r="B6395" s="76" t="s">
        <v>7993</v>
      </c>
    </row>
    <row r="6396" spans="1:2" x14ac:dyDescent="0.25">
      <c r="A6396" s="75">
        <v>39121522</v>
      </c>
      <c r="B6396" s="76" t="s">
        <v>6304</v>
      </c>
    </row>
    <row r="6397" spans="1:2" x14ac:dyDescent="0.25">
      <c r="A6397" s="75">
        <v>39121523</v>
      </c>
      <c r="B6397" s="76" t="s">
        <v>3248</v>
      </c>
    </row>
    <row r="6398" spans="1:2" x14ac:dyDescent="0.25">
      <c r="A6398" s="75">
        <v>39121524</v>
      </c>
      <c r="B6398" s="76" t="s">
        <v>521</v>
      </c>
    </row>
    <row r="6399" spans="1:2" x14ac:dyDescent="0.25">
      <c r="A6399" s="75">
        <v>39121525</v>
      </c>
      <c r="B6399" s="76" t="s">
        <v>18170</v>
      </c>
    </row>
    <row r="6400" spans="1:2" x14ac:dyDescent="0.25">
      <c r="A6400" s="75">
        <v>39121527</v>
      </c>
      <c r="B6400" s="76" t="s">
        <v>13696</v>
      </c>
    </row>
    <row r="6401" spans="1:2" x14ac:dyDescent="0.25">
      <c r="A6401" s="75">
        <v>39121528</v>
      </c>
      <c r="B6401" s="76" t="s">
        <v>7508</v>
      </c>
    </row>
    <row r="6402" spans="1:2" x14ac:dyDescent="0.25">
      <c r="A6402" s="75">
        <v>39121529</v>
      </c>
      <c r="B6402" s="76" t="s">
        <v>7914</v>
      </c>
    </row>
    <row r="6403" spans="1:2" x14ac:dyDescent="0.25">
      <c r="A6403" s="75">
        <v>39121531</v>
      </c>
      <c r="B6403" s="76" t="s">
        <v>18911</v>
      </c>
    </row>
    <row r="6404" spans="1:2" x14ac:dyDescent="0.25">
      <c r="A6404" s="75">
        <v>39121532</v>
      </c>
      <c r="B6404" s="76" t="s">
        <v>967</v>
      </c>
    </row>
    <row r="6405" spans="1:2" x14ac:dyDescent="0.25">
      <c r="A6405" s="75">
        <v>39121533</v>
      </c>
      <c r="B6405" s="76" t="s">
        <v>19064</v>
      </c>
    </row>
    <row r="6406" spans="1:2" x14ac:dyDescent="0.25">
      <c r="A6406" s="75">
        <v>39121534</v>
      </c>
      <c r="B6406" s="76" t="s">
        <v>19395</v>
      </c>
    </row>
    <row r="6407" spans="1:2" x14ac:dyDescent="0.25">
      <c r="A6407" s="75">
        <v>39121535</v>
      </c>
      <c r="B6407" s="76" t="s">
        <v>6861</v>
      </c>
    </row>
    <row r="6408" spans="1:2" x14ac:dyDescent="0.25">
      <c r="A6408" s="75">
        <v>39121536</v>
      </c>
      <c r="B6408" s="76" t="s">
        <v>1738</v>
      </c>
    </row>
    <row r="6409" spans="1:2" x14ac:dyDescent="0.25">
      <c r="A6409" s="75">
        <v>39121537</v>
      </c>
      <c r="B6409" s="76" t="s">
        <v>5479</v>
      </c>
    </row>
    <row r="6410" spans="1:2" x14ac:dyDescent="0.25">
      <c r="A6410" s="75">
        <v>39121538</v>
      </c>
      <c r="B6410" s="76" t="s">
        <v>4285</v>
      </c>
    </row>
    <row r="6411" spans="1:2" x14ac:dyDescent="0.25">
      <c r="A6411" s="75">
        <v>39121539</v>
      </c>
      <c r="B6411" s="76" t="s">
        <v>2513</v>
      </c>
    </row>
    <row r="6412" spans="1:2" x14ac:dyDescent="0.25">
      <c r="A6412" s="75">
        <v>39121540</v>
      </c>
      <c r="B6412" s="76" t="s">
        <v>10192</v>
      </c>
    </row>
    <row r="6413" spans="1:2" x14ac:dyDescent="0.25">
      <c r="A6413" s="75">
        <v>39121541</v>
      </c>
      <c r="B6413" s="76" t="s">
        <v>15270</v>
      </c>
    </row>
    <row r="6414" spans="1:2" x14ac:dyDescent="0.25">
      <c r="A6414" s="75">
        <v>39121542</v>
      </c>
      <c r="B6414" s="76" t="s">
        <v>7141</v>
      </c>
    </row>
    <row r="6415" spans="1:2" x14ac:dyDescent="0.25">
      <c r="A6415" s="75">
        <v>39121543</v>
      </c>
      <c r="B6415" s="76" t="s">
        <v>5308</v>
      </c>
    </row>
    <row r="6416" spans="1:2" x14ac:dyDescent="0.25">
      <c r="A6416" s="75">
        <v>39121544</v>
      </c>
      <c r="B6416" s="76" t="s">
        <v>18500</v>
      </c>
    </row>
    <row r="6417" spans="1:2" x14ac:dyDescent="0.25">
      <c r="A6417" s="75">
        <v>39121545</v>
      </c>
      <c r="B6417" s="76" t="s">
        <v>7786</v>
      </c>
    </row>
    <row r="6418" spans="1:2" x14ac:dyDescent="0.25">
      <c r="A6418" s="75">
        <v>39121546</v>
      </c>
      <c r="B6418" s="76" t="s">
        <v>12710</v>
      </c>
    </row>
    <row r="6419" spans="1:2" x14ac:dyDescent="0.25">
      <c r="A6419" s="75">
        <v>39121547</v>
      </c>
      <c r="B6419" s="76" t="s">
        <v>19980</v>
      </c>
    </row>
    <row r="6420" spans="1:2" x14ac:dyDescent="0.25">
      <c r="A6420" s="75">
        <v>39121548</v>
      </c>
      <c r="B6420" s="76" t="s">
        <v>3289</v>
      </c>
    </row>
    <row r="6421" spans="1:2" x14ac:dyDescent="0.25">
      <c r="A6421" s="75">
        <v>39121549</v>
      </c>
      <c r="B6421" s="76" t="s">
        <v>9188</v>
      </c>
    </row>
    <row r="6422" spans="1:2" x14ac:dyDescent="0.25">
      <c r="A6422" s="75">
        <v>39121550</v>
      </c>
      <c r="B6422" s="76" t="s">
        <v>4796</v>
      </c>
    </row>
    <row r="6423" spans="1:2" x14ac:dyDescent="0.25">
      <c r="A6423" s="75">
        <v>39121551</v>
      </c>
      <c r="B6423" s="76" t="s">
        <v>14500</v>
      </c>
    </row>
    <row r="6424" spans="1:2" x14ac:dyDescent="0.25">
      <c r="A6424" s="75">
        <v>39121601</v>
      </c>
      <c r="B6424" s="76" t="s">
        <v>8756</v>
      </c>
    </row>
    <row r="6425" spans="1:2" x14ac:dyDescent="0.25">
      <c r="A6425" s="75">
        <v>39121602</v>
      </c>
      <c r="B6425" s="76" t="s">
        <v>663</v>
      </c>
    </row>
    <row r="6426" spans="1:2" x14ac:dyDescent="0.25">
      <c r="A6426" s="75">
        <v>39121603</v>
      </c>
      <c r="B6426" s="76" t="s">
        <v>7114</v>
      </c>
    </row>
    <row r="6427" spans="1:2" x14ac:dyDescent="0.25">
      <c r="A6427" s="75">
        <v>39121604</v>
      </c>
      <c r="B6427" s="76" t="s">
        <v>18318</v>
      </c>
    </row>
    <row r="6428" spans="1:2" x14ac:dyDescent="0.25">
      <c r="A6428" s="75">
        <v>39121605</v>
      </c>
      <c r="B6428" s="76" t="s">
        <v>15777</v>
      </c>
    </row>
    <row r="6429" spans="1:2" x14ac:dyDescent="0.25">
      <c r="A6429" s="75">
        <v>39121606</v>
      </c>
      <c r="B6429" s="76" t="s">
        <v>18688</v>
      </c>
    </row>
    <row r="6430" spans="1:2" x14ac:dyDescent="0.25">
      <c r="A6430" s="75">
        <v>39121607</v>
      </c>
      <c r="B6430" s="76" t="s">
        <v>10414</v>
      </c>
    </row>
    <row r="6431" spans="1:2" x14ac:dyDescent="0.25">
      <c r="A6431" s="75">
        <v>39121608</v>
      </c>
      <c r="B6431" s="76" t="s">
        <v>2331</v>
      </c>
    </row>
    <row r="6432" spans="1:2" x14ac:dyDescent="0.25">
      <c r="A6432" s="75">
        <v>39121609</v>
      </c>
      <c r="B6432" s="76" t="s">
        <v>16410</v>
      </c>
    </row>
    <row r="6433" spans="1:2" x14ac:dyDescent="0.25">
      <c r="A6433" s="75">
        <v>39121610</v>
      </c>
      <c r="B6433" s="76" t="s">
        <v>7876</v>
      </c>
    </row>
    <row r="6434" spans="1:2" x14ac:dyDescent="0.25">
      <c r="A6434" s="75">
        <v>39121611</v>
      </c>
      <c r="B6434" s="76" t="s">
        <v>2252</v>
      </c>
    </row>
    <row r="6435" spans="1:2" x14ac:dyDescent="0.25">
      <c r="A6435" s="75">
        <v>39121612</v>
      </c>
      <c r="B6435" s="76" t="s">
        <v>7268</v>
      </c>
    </row>
    <row r="6436" spans="1:2" x14ac:dyDescent="0.25">
      <c r="A6436" s="75">
        <v>39121613</v>
      </c>
      <c r="B6436" s="76" t="s">
        <v>8050</v>
      </c>
    </row>
    <row r="6437" spans="1:2" x14ac:dyDescent="0.25">
      <c r="A6437" s="75">
        <v>39121614</v>
      </c>
      <c r="B6437" s="76" t="s">
        <v>10232</v>
      </c>
    </row>
    <row r="6438" spans="1:2" x14ac:dyDescent="0.25">
      <c r="A6438" s="75">
        <v>39121615</v>
      </c>
      <c r="B6438" s="76" t="s">
        <v>9950</v>
      </c>
    </row>
    <row r="6439" spans="1:2" x14ac:dyDescent="0.25">
      <c r="A6439" s="75">
        <v>39121616</v>
      </c>
      <c r="B6439" s="76" t="s">
        <v>136</v>
      </c>
    </row>
    <row r="6440" spans="1:2" x14ac:dyDescent="0.25">
      <c r="A6440" s="75">
        <v>39121617</v>
      </c>
      <c r="B6440" s="76" t="s">
        <v>8765</v>
      </c>
    </row>
    <row r="6441" spans="1:2" x14ac:dyDescent="0.25">
      <c r="A6441" s="75">
        <v>39121618</v>
      </c>
      <c r="B6441" s="76" t="s">
        <v>9837</v>
      </c>
    </row>
    <row r="6442" spans="1:2" x14ac:dyDescent="0.25">
      <c r="A6442" s="75">
        <v>39121619</v>
      </c>
      <c r="B6442" s="76" t="s">
        <v>9881</v>
      </c>
    </row>
    <row r="6443" spans="1:2" x14ac:dyDescent="0.25">
      <c r="A6443" s="75">
        <v>39121701</v>
      </c>
      <c r="B6443" s="76" t="s">
        <v>11397</v>
      </c>
    </row>
    <row r="6444" spans="1:2" x14ac:dyDescent="0.25">
      <c r="A6444" s="75">
        <v>39121702</v>
      </c>
      <c r="B6444" s="76" t="s">
        <v>510</v>
      </c>
    </row>
    <row r="6445" spans="1:2" x14ac:dyDescent="0.25">
      <c r="A6445" s="75">
        <v>39121703</v>
      </c>
      <c r="B6445" s="76" t="s">
        <v>15978</v>
      </c>
    </row>
    <row r="6446" spans="1:2" x14ac:dyDescent="0.25">
      <c r="A6446" s="75">
        <v>39121704</v>
      </c>
      <c r="B6446" s="76" t="s">
        <v>5380</v>
      </c>
    </row>
    <row r="6447" spans="1:2" x14ac:dyDescent="0.25">
      <c r="A6447" s="75">
        <v>39121705</v>
      </c>
      <c r="B6447" s="76" t="s">
        <v>11570</v>
      </c>
    </row>
    <row r="6448" spans="1:2" x14ac:dyDescent="0.25">
      <c r="A6448" s="75">
        <v>39121706</v>
      </c>
      <c r="B6448" s="76" t="s">
        <v>8218</v>
      </c>
    </row>
    <row r="6449" spans="1:2" x14ac:dyDescent="0.25">
      <c r="A6449" s="75">
        <v>39121707</v>
      </c>
      <c r="B6449" s="76" t="s">
        <v>3263</v>
      </c>
    </row>
    <row r="6450" spans="1:2" x14ac:dyDescent="0.25">
      <c r="A6450" s="75">
        <v>39121708</v>
      </c>
      <c r="B6450" s="76" t="s">
        <v>19892</v>
      </c>
    </row>
    <row r="6451" spans="1:2" x14ac:dyDescent="0.25">
      <c r="A6451" s="75">
        <v>39121709</v>
      </c>
      <c r="B6451" s="76" t="s">
        <v>13493</v>
      </c>
    </row>
    <row r="6452" spans="1:2" x14ac:dyDescent="0.25">
      <c r="A6452" s="75">
        <v>39121710</v>
      </c>
      <c r="B6452" s="76" t="s">
        <v>430</v>
      </c>
    </row>
    <row r="6453" spans="1:2" x14ac:dyDescent="0.25">
      <c r="A6453" s="75">
        <v>39121711</v>
      </c>
      <c r="B6453" s="76" t="s">
        <v>14283</v>
      </c>
    </row>
    <row r="6454" spans="1:2" x14ac:dyDescent="0.25">
      <c r="A6454" s="75">
        <v>39121712</v>
      </c>
      <c r="B6454" s="76" t="s">
        <v>17115</v>
      </c>
    </row>
    <row r="6455" spans="1:2" x14ac:dyDescent="0.25">
      <c r="A6455" s="75">
        <v>39121713</v>
      </c>
      <c r="B6455" s="76" t="s">
        <v>819</v>
      </c>
    </row>
    <row r="6456" spans="1:2" x14ac:dyDescent="0.25">
      <c r="A6456" s="75">
        <v>39121714</v>
      </c>
      <c r="B6456" s="76" t="s">
        <v>1776</v>
      </c>
    </row>
    <row r="6457" spans="1:2" x14ac:dyDescent="0.25">
      <c r="A6457" s="75">
        <v>39121715</v>
      </c>
      <c r="B6457" s="76" t="s">
        <v>8543</v>
      </c>
    </row>
    <row r="6458" spans="1:2" x14ac:dyDescent="0.25">
      <c r="A6458" s="75">
        <v>39121716</v>
      </c>
      <c r="B6458" s="76" t="s">
        <v>6077</v>
      </c>
    </row>
    <row r="6459" spans="1:2" x14ac:dyDescent="0.25">
      <c r="A6459" s="75">
        <v>39121717</v>
      </c>
      <c r="B6459" s="76" t="s">
        <v>18829</v>
      </c>
    </row>
    <row r="6460" spans="1:2" x14ac:dyDescent="0.25">
      <c r="A6460" s="75">
        <v>39121718</v>
      </c>
      <c r="B6460" s="76" t="s">
        <v>17659</v>
      </c>
    </row>
    <row r="6461" spans="1:2" x14ac:dyDescent="0.25">
      <c r="A6461" s="75">
        <v>39121719</v>
      </c>
      <c r="B6461" s="76" t="s">
        <v>17153</v>
      </c>
    </row>
    <row r="6462" spans="1:2" x14ac:dyDescent="0.25">
      <c r="A6462" s="75">
        <v>39121720</v>
      </c>
      <c r="B6462" s="76" t="s">
        <v>2285</v>
      </c>
    </row>
    <row r="6463" spans="1:2" x14ac:dyDescent="0.25">
      <c r="A6463" s="75">
        <v>39121721</v>
      </c>
      <c r="B6463" s="76" t="s">
        <v>15105</v>
      </c>
    </row>
    <row r="6464" spans="1:2" x14ac:dyDescent="0.25">
      <c r="A6464" s="75">
        <v>40101501</v>
      </c>
      <c r="B6464" s="76" t="s">
        <v>13617</v>
      </c>
    </row>
    <row r="6465" spans="1:2" x14ac:dyDescent="0.25">
      <c r="A6465" s="75">
        <v>40101502</v>
      </c>
      <c r="B6465" s="76" t="s">
        <v>18656</v>
      </c>
    </row>
    <row r="6466" spans="1:2" x14ac:dyDescent="0.25">
      <c r="A6466" s="75">
        <v>40101503</v>
      </c>
      <c r="B6466" s="76" t="s">
        <v>15233</v>
      </c>
    </row>
    <row r="6467" spans="1:2" x14ac:dyDescent="0.25">
      <c r="A6467" s="75">
        <v>40101504</v>
      </c>
      <c r="B6467" s="76" t="s">
        <v>5481</v>
      </c>
    </row>
    <row r="6468" spans="1:2" x14ac:dyDescent="0.25">
      <c r="A6468" s="75">
        <v>40101505</v>
      </c>
      <c r="B6468" s="76" t="s">
        <v>19758</v>
      </c>
    </row>
    <row r="6469" spans="1:2" x14ac:dyDescent="0.25">
      <c r="A6469" s="75">
        <v>40101506</v>
      </c>
      <c r="B6469" s="76" t="s">
        <v>15496</v>
      </c>
    </row>
    <row r="6470" spans="1:2" x14ac:dyDescent="0.25">
      <c r="A6470" s="75">
        <v>40101601</v>
      </c>
      <c r="B6470" s="76" t="s">
        <v>8232</v>
      </c>
    </row>
    <row r="6471" spans="1:2" x14ac:dyDescent="0.25">
      <c r="A6471" s="75">
        <v>40101602</v>
      </c>
      <c r="B6471" s="76" t="s">
        <v>8153</v>
      </c>
    </row>
    <row r="6472" spans="1:2" x14ac:dyDescent="0.25">
      <c r="A6472" s="75">
        <v>40101603</v>
      </c>
      <c r="B6472" s="76" t="s">
        <v>10629</v>
      </c>
    </row>
    <row r="6473" spans="1:2" x14ac:dyDescent="0.25">
      <c r="A6473" s="75">
        <v>40101604</v>
      </c>
      <c r="B6473" s="76" t="s">
        <v>14667</v>
      </c>
    </row>
    <row r="6474" spans="1:2" x14ac:dyDescent="0.25">
      <c r="A6474" s="75">
        <v>40101605</v>
      </c>
      <c r="B6474" s="76" t="s">
        <v>11164</v>
      </c>
    </row>
    <row r="6475" spans="1:2" x14ac:dyDescent="0.25">
      <c r="A6475" s="75">
        <v>40101701</v>
      </c>
      <c r="B6475" s="76" t="s">
        <v>1519</v>
      </c>
    </row>
    <row r="6476" spans="1:2" x14ac:dyDescent="0.25">
      <c r="A6476" s="75">
        <v>40101702</v>
      </c>
      <c r="B6476" s="76" t="s">
        <v>5651</v>
      </c>
    </row>
    <row r="6477" spans="1:2" x14ac:dyDescent="0.25">
      <c r="A6477" s="75">
        <v>40101703</v>
      </c>
      <c r="B6477" s="76" t="s">
        <v>5897</v>
      </c>
    </row>
    <row r="6478" spans="1:2" x14ac:dyDescent="0.25">
      <c r="A6478" s="75">
        <v>40101704</v>
      </c>
      <c r="B6478" s="76" t="s">
        <v>17876</v>
      </c>
    </row>
    <row r="6479" spans="1:2" x14ac:dyDescent="0.25">
      <c r="A6479" s="75">
        <v>40101705</v>
      </c>
      <c r="B6479" s="76" t="s">
        <v>9377</v>
      </c>
    </row>
    <row r="6480" spans="1:2" x14ac:dyDescent="0.25">
      <c r="A6480" s="75">
        <v>40101706</v>
      </c>
      <c r="B6480" s="76" t="s">
        <v>15938</v>
      </c>
    </row>
    <row r="6481" spans="1:2" x14ac:dyDescent="0.25">
      <c r="A6481" s="75">
        <v>40101707</v>
      </c>
      <c r="B6481" s="76" t="s">
        <v>8134</v>
      </c>
    </row>
    <row r="6482" spans="1:2" x14ac:dyDescent="0.25">
      <c r="A6482" s="75">
        <v>40101801</v>
      </c>
      <c r="B6482" s="76" t="s">
        <v>18323</v>
      </c>
    </row>
    <row r="6483" spans="1:2" x14ac:dyDescent="0.25">
      <c r="A6483" s="75">
        <v>40101802</v>
      </c>
      <c r="B6483" s="76" t="s">
        <v>9911</v>
      </c>
    </row>
    <row r="6484" spans="1:2" x14ac:dyDescent="0.25">
      <c r="A6484" s="75">
        <v>40101803</v>
      </c>
      <c r="B6484" s="76" t="s">
        <v>8020</v>
      </c>
    </row>
    <row r="6485" spans="1:2" x14ac:dyDescent="0.25">
      <c r="A6485" s="75">
        <v>40101805</v>
      </c>
      <c r="B6485" s="76" t="s">
        <v>15930</v>
      </c>
    </row>
    <row r="6486" spans="1:2" x14ac:dyDescent="0.25">
      <c r="A6486" s="75">
        <v>40101806</v>
      </c>
      <c r="B6486" s="76" t="s">
        <v>19749</v>
      </c>
    </row>
    <row r="6487" spans="1:2" x14ac:dyDescent="0.25">
      <c r="A6487" s="75">
        <v>40101807</v>
      </c>
      <c r="B6487" s="76" t="s">
        <v>9670</v>
      </c>
    </row>
    <row r="6488" spans="1:2" x14ac:dyDescent="0.25">
      <c r="A6488" s="75">
        <v>40101808</v>
      </c>
      <c r="B6488" s="76" t="s">
        <v>5752</v>
      </c>
    </row>
    <row r="6489" spans="1:2" x14ac:dyDescent="0.25">
      <c r="A6489" s="75">
        <v>40101809</v>
      </c>
      <c r="B6489" s="76" t="s">
        <v>13318</v>
      </c>
    </row>
    <row r="6490" spans="1:2" x14ac:dyDescent="0.25">
      <c r="A6490" s="75">
        <v>40101810</v>
      </c>
      <c r="B6490" s="76" t="s">
        <v>18730</v>
      </c>
    </row>
    <row r="6491" spans="1:2" x14ac:dyDescent="0.25">
      <c r="A6491" s="75">
        <v>40101811</v>
      </c>
      <c r="B6491" s="76" t="s">
        <v>18610</v>
      </c>
    </row>
    <row r="6492" spans="1:2" x14ac:dyDescent="0.25">
      <c r="A6492" s="75">
        <v>40101812</v>
      </c>
      <c r="B6492" s="76" t="s">
        <v>8768</v>
      </c>
    </row>
    <row r="6493" spans="1:2" x14ac:dyDescent="0.25">
      <c r="A6493" s="75">
        <v>40101813</v>
      </c>
      <c r="B6493" s="76" t="s">
        <v>15933</v>
      </c>
    </row>
    <row r="6494" spans="1:2" x14ac:dyDescent="0.25">
      <c r="A6494" s="75">
        <v>40101814</v>
      </c>
      <c r="B6494" s="76" t="s">
        <v>8947</v>
      </c>
    </row>
    <row r="6495" spans="1:2" x14ac:dyDescent="0.25">
      <c r="A6495" s="75">
        <v>40101815</v>
      </c>
      <c r="B6495" s="76" t="s">
        <v>7248</v>
      </c>
    </row>
    <row r="6496" spans="1:2" x14ac:dyDescent="0.25">
      <c r="A6496" s="75">
        <v>40101816</v>
      </c>
      <c r="B6496" s="76" t="s">
        <v>8709</v>
      </c>
    </row>
    <row r="6497" spans="1:2" x14ac:dyDescent="0.25">
      <c r="A6497" s="75">
        <v>40101817</v>
      </c>
      <c r="B6497" s="76" t="s">
        <v>9797</v>
      </c>
    </row>
    <row r="6498" spans="1:2" x14ac:dyDescent="0.25">
      <c r="A6498" s="75">
        <v>40101818</v>
      </c>
      <c r="B6498" s="76" t="s">
        <v>9806</v>
      </c>
    </row>
    <row r="6499" spans="1:2" x14ac:dyDescent="0.25">
      <c r="A6499" s="75">
        <v>40101819</v>
      </c>
      <c r="B6499" s="76" t="s">
        <v>11197</v>
      </c>
    </row>
    <row r="6500" spans="1:2" x14ac:dyDescent="0.25">
      <c r="A6500" s="75">
        <v>40101820</v>
      </c>
      <c r="B6500" s="76" t="s">
        <v>8768</v>
      </c>
    </row>
    <row r="6501" spans="1:2" x14ac:dyDescent="0.25">
      <c r="A6501" s="75">
        <v>40101821</v>
      </c>
      <c r="B6501" s="76" t="s">
        <v>851</v>
      </c>
    </row>
    <row r="6502" spans="1:2" x14ac:dyDescent="0.25">
      <c r="A6502" s="75">
        <v>40101822</v>
      </c>
      <c r="B6502" s="76" t="s">
        <v>14261</v>
      </c>
    </row>
    <row r="6503" spans="1:2" x14ac:dyDescent="0.25">
      <c r="A6503" s="75">
        <v>40101823</v>
      </c>
      <c r="B6503" s="76" t="s">
        <v>16287</v>
      </c>
    </row>
    <row r="6504" spans="1:2" x14ac:dyDescent="0.25">
      <c r="A6504" s="75">
        <v>40101824</v>
      </c>
      <c r="B6504" s="76" t="s">
        <v>14196</v>
      </c>
    </row>
    <row r="6505" spans="1:2" x14ac:dyDescent="0.25">
      <c r="A6505" s="75">
        <v>40101825</v>
      </c>
      <c r="B6505" s="76" t="s">
        <v>5817</v>
      </c>
    </row>
    <row r="6506" spans="1:2" x14ac:dyDescent="0.25">
      <c r="A6506" s="75">
        <v>40101826</v>
      </c>
      <c r="B6506" s="76" t="s">
        <v>12895</v>
      </c>
    </row>
    <row r="6507" spans="1:2" x14ac:dyDescent="0.25">
      <c r="A6507" s="75">
        <v>40101827</v>
      </c>
      <c r="B6507" s="76" t="s">
        <v>2677</v>
      </c>
    </row>
    <row r="6508" spans="1:2" x14ac:dyDescent="0.25">
      <c r="A6508" s="75">
        <v>40101828</v>
      </c>
      <c r="B6508" s="76" t="s">
        <v>15338</v>
      </c>
    </row>
    <row r="6509" spans="1:2" x14ac:dyDescent="0.25">
      <c r="A6509" s="75">
        <v>40101829</v>
      </c>
      <c r="B6509" s="76" t="s">
        <v>8983</v>
      </c>
    </row>
    <row r="6510" spans="1:2" x14ac:dyDescent="0.25">
      <c r="A6510" s="75">
        <v>40101830</v>
      </c>
      <c r="B6510" s="76" t="s">
        <v>9379</v>
      </c>
    </row>
    <row r="6511" spans="1:2" x14ac:dyDescent="0.25">
      <c r="A6511" s="75">
        <v>40101831</v>
      </c>
      <c r="B6511" s="76" t="s">
        <v>451</v>
      </c>
    </row>
    <row r="6512" spans="1:2" x14ac:dyDescent="0.25">
      <c r="A6512" s="75">
        <v>40101832</v>
      </c>
      <c r="B6512" s="76" t="s">
        <v>7094</v>
      </c>
    </row>
    <row r="6513" spans="1:2" x14ac:dyDescent="0.25">
      <c r="A6513" s="75">
        <v>40101833</v>
      </c>
      <c r="B6513" s="76" t="s">
        <v>15746</v>
      </c>
    </row>
    <row r="6514" spans="1:2" x14ac:dyDescent="0.25">
      <c r="A6514" s="75">
        <v>40101834</v>
      </c>
      <c r="B6514" s="76" t="s">
        <v>5381</v>
      </c>
    </row>
    <row r="6515" spans="1:2" x14ac:dyDescent="0.25">
      <c r="A6515" s="75">
        <v>40101901</v>
      </c>
      <c r="B6515" s="76" t="s">
        <v>704</v>
      </c>
    </row>
    <row r="6516" spans="1:2" x14ac:dyDescent="0.25">
      <c r="A6516" s="75">
        <v>40101902</v>
      </c>
      <c r="B6516" s="76" t="s">
        <v>12894</v>
      </c>
    </row>
    <row r="6517" spans="1:2" x14ac:dyDescent="0.25">
      <c r="A6517" s="75">
        <v>40101903</v>
      </c>
      <c r="B6517" s="76" t="s">
        <v>10630</v>
      </c>
    </row>
    <row r="6518" spans="1:2" x14ac:dyDescent="0.25">
      <c r="A6518" s="75">
        <v>40102001</v>
      </c>
      <c r="B6518" s="76" t="s">
        <v>12328</v>
      </c>
    </row>
    <row r="6519" spans="1:2" x14ac:dyDescent="0.25">
      <c r="A6519" s="75">
        <v>40102002</v>
      </c>
      <c r="B6519" s="76" t="s">
        <v>10899</v>
      </c>
    </row>
    <row r="6520" spans="1:2" x14ac:dyDescent="0.25">
      <c r="A6520" s="75">
        <v>40102003</v>
      </c>
      <c r="B6520" s="76" t="s">
        <v>3497</v>
      </c>
    </row>
    <row r="6521" spans="1:2" x14ac:dyDescent="0.25">
      <c r="A6521" s="75">
        <v>40102004</v>
      </c>
      <c r="B6521" s="76" t="s">
        <v>8665</v>
      </c>
    </row>
    <row r="6522" spans="1:2" x14ac:dyDescent="0.25">
      <c r="A6522" s="75">
        <v>40102005</v>
      </c>
      <c r="B6522" s="76" t="s">
        <v>10415</v>
      </c>
    </row>
    <row r="6523" spans="1:2" x14ac:dyDescent="0.25">
      <c r="A6523" s="75">
        <v>40141602</v>
      </c>
      <c r="B6523" s="76" t="s">
        <v>3814</v>
      </c>
    </row>
    <row r="6524" spans="1:2" x14ac:dyDescent="0.25">
      <c r="A6524" s="75">
        <v>40141603</v>
      </c>
      <c r="B6524" s="76" t="s">
        <v>13437</v>
      </c>
    </row>
    <row r="6525" spans="1:2" x14ac:dyDescent="0.25">
      <c r="A6525" s="75">
        <v>40141604</v>
      </c>
      <c r="B6525" s="76" t="s">
        <v>1486</v>
      </c>
    </row>
    <row r="6526" spans="1:2" x14ac:dyDescent="0.25">
      <c r="A6526" s="75">
        <v>40141605</v>
      </c>
      <c r="B6526" s="76" t="s">
        <v>8231</v>
      </c>
    </row>
    <row r="6527" spans="1:2" x14ac:dyDescent="0.25">
      <c r="A6527" s="75">
        <v>40141606</v>
      </c>
      <c r="B6527" s="76" t="s">
        <v>17854</v>
      </c>
    </row>
    <row r="6528" spans="1:2" x14ac:dyDescent="0.25">
      <c r="A6528" s="75">
        <v>40141607</v>
      </c>
      <c r="B6528" s="76" t="s">
        <v>10792</v>
      </c>
    </row>
    <row r="6529" spans="1:2" x14ac:dyDescent="0.25">
      <c r="A6529" s="75">
        <v>40141608</v>
      </c>
      <c r="B6529" s="76" t="s">
        <v>14243</v>
      </c>
    </row>
    <row r="6530" spans="1:2" x14ac:dyDescent="0.25">
      <c r="A6530" s="75">
        <v>40141609</v>
      </c>
      <c r="B6530" s="76" t="s">
        <v>2190</v>
      </c>
    </row>
    <row r="6531" spans="1:2" x14ac:dyDescent="0.25">
      <c r="A6531" s="75">
        <v>40141610</v>
      </c>
      <c r="B6531" s="76" t="s">
        <v>15296</v>
      </c>
    </row>
    <row r="6532" spans="1:2" x14ac:dyDescent="0.25">
      <c r="A6532" s="75">
        <v>40141611</v>
      </c>
      <c r="B6532" s="76" t="s">
        <v>19467</v>
      </c>
    </row>
    <row r="6533" spans="1:2" x14ac:dyDescent="0.25">
      <c r="A6533" s="75">
        <v>40141612</v>
      </c>
      <c r="B6533" s="76" t="s">
        <v>4589</v>
      </c>
    </row>
    <row r="6534" spans="1:2" x14ac:dyDescent="0.25">
      <c r="A6534" s="75">
        <v>40141613</v>
      </c>
      <c r="B6534" s="76" t="s">
        <v>15089</v>
      </c>
    </row>
    <row r="6535" spans="1:2" x14ac:dyDescent="0.25">
      <c r="A6535" s="75">
        <v>40141615</v>
      </c>
      <c r="B6535" s="76" t="s">
        <v>19178</v>
      </c>
    </row>
    <row r="6536" spans="1:2" x14ac:dyDescent="0.25">
      <c r="A6536" s="75">
        <v>40141616</v>
      </c>
      <c r="B6536" s="76" t="s">
        <v>7264</v>
      </c>
    </row>
    <row r="6537" spans="1:2" x14ac:dyDescent="0.25">
      <c r="A6537" s="75">
        <v>40141617</v>
      </c>
      <c r="B6537" s="76" t="s">
        <v>1097</v>
      </c>
    </row>
    <row r="6538" spans="1:2" x14ac:dyDescent="0.25">
      <c r="A6538" s="75">
        <v>40141618</v>
      </c>
      <c r="B6538" s="76" t="s">
        <v>10484</v>
      </c>
    </row>
    <row r="6539" spans="1:2" x14ac:dyDescent="0.25">
      <c r="A6539" s="75">
        <v>40141619</v>
      </c>
      <c r="B6539" s="76" t="s">
        <v>1506</v>
      </c>
    </row>
    <row r="6540" spans="1:2" x14ac:dyDescent="0.25">
      <c r="A6540" s="75">
        <v>40141620</v>
      </c>
      <c r="B6540" s="76" t="s">
        <v>3584</v>
      </c>
    </row>
    <row r="6541" spans="1:2" x14ac:dyDescent="0.25">
      <c r="A6541" s="75">
        <v>40141621</v>
      </c>
      <c r="B6541" s="76" t="s">
        <v>12070</v>
      </c>
    </row>
    <row r="6542" spans="1:2" x14ac:dyDescent="0.25">
      <c r="A6542" s="75">
        <v>40141622</v>
      </c>
      <c r="B6542" s="76" t="s">
        <v>8461</v>
      </c>
    </row>
    <row r="6543" spans="1:2" x14ac:dyDescent="0.25">
      <c r="A6543" s="75">
        <v>40141623</v>
      </c>
      <c r="B6543" s="76" t="s">
        <v>15553</v>
      </c>
    </row>
    <row r="6544" spans="1:2" x14ac:dyDescent="0.25">
      <c r="A6544" s="75">
        <v>40141624</v>
      </c>
      <c r="B6544" s="76" t="s">
        <v>833</v>
      </c>
    </row>
    <row r="6545" spans="1:2" x14ac:dyDescent="0.25">
      <c r="A6545" s="75">
        <v>40141625</v>
      </c>
      <c r="B6545" s="76" t="s">
        <v>492</v>
      </c>
    </row>
    <row r="6546" spans="1:2" x14ac:dyDescent="0.25">
      <c r="A6546" s="75">
        <v>40141626</v>
      </c>
      <c r="B6546" s="76" t="s">
        <v>5340</v>
      </c>
    </row>
    <row r="6547" spans="1:2" x14ac:dyDescent="0.25">
      <c r="A6547" s="75">
        <v>40141627</v>
      </c>
      <c r="B6547" s="76" t="s">
        <v>12943</v>
      </c>
    </row>
    <row r="6548" spans="1:2" x14ac:dyDescent="0.25">
      <c r="A6548" s="75">
        <v>40141628</v>
      </c>
      <c r="B6548" s="76" t="s">
        <v>15795</v>
      </c>
    </row>
    <row r="6549" spans="1:2" x14ac:dyDescent="0.25">
      <c r="A6549" s="75">
        <v>40141629</v>
      </c>
      <c r="B6549" s="76" t="s">
        <v>11220</v>
      </c>
    </row>
    <row r="6550" spans="1:2" x14ac:dyDescent="0.25">
      <c r="A6550" s="75">
        <v>40141630</v>
      </c>
      <c r="B6550" s="76" t="s">
        <v>8769</v>
      </c>
    </row>
    <row r="6551" spans="1:2" x14ac:dyDescent="0.25">
      <c r="A6551" s="75">
        <v>40141631</v>
      </c>
      <c r="B6551" s="76" t="s">
        <v>5596</v>
      </c>
    </row>
    <row r="6552" spans="1:2" x14ac:dyDescent="0.25">
      <c r="A6552" s="75">
        <v>40141632</v>
      </c>
      <c r="B6552" s="76" t="s">
        <v>15881</v>
      </c>
    </row>
    <row r="6553" spans="1:2" x14ac:dyDescent="0.25">
      <c r="A6553" s="75">
        <v>40141633</v>
      </c>
      <c r="B6553" s="76" t="s">
        <v>20042</v>
      </c>
    </row>
    <row r="6554" spans="1:2" x14ac:dyDescent="0.25">
      <c r="A6554" s="75">
        <v>40141634</v>
      </c>
      <c r="B6554" s="76" t="s">
        <v>3634</v>
      </c>
    </row>
    <row r="6555" spans="1:2" x14ac:dyDescent="0.25">
      <c r="A6555" s="75">
        <v>40141635</v>
      </c>
      <c r="B6555" s="76" t="s">
        <v>4106</v>
      </c>
    </row>
    <row r="6556" spans="1:2" x14ac:dyDescent="0.25">
      <c r="A6556" s="75">
        <v>40141636</v>
      </c>
      <c r="B6556" s="76" t="s">
        <v>19004</v>
      </c>
    </row>
    <row r="6557" spans="1:2" x14ac:dyDescent="0.25">
      <c r="A6557" s="75">
        <v>40141637</v>
      </c>
      <c r="B6557" s="76" t="s">
        <v>14953</v>
      </c>
    </row>
    <row r="6558" spans="1:2" x14ac:dyDescent="0.25">
      <c r="A6558" s="75">
        <v>40141638</v>
      </c>
      <c r="B6558" s="76" t="s">
        <v>17419</v>
      </c>
    </row>
    <row r="6559" spans="1:2" x14ac:dyDescent="0.25">
      <c r="A6559" s="75">
        <v>40141701</v>
      </c>
      <c r="B6559" s="76" t="s">
        <v>4292</v>
      </c>
    </row>
    <row r="6560" spans="1:2" x14ac:dyDescent="0.25">
      <c r="A6560" s="75">
        <v>40141702</v>
      </c>
      <c r="B6560" s="76" t="s">
        <v>6140</v>
      </c>
    </row>
    <row r="6561" spans="1:2" x14ac:dyDescent="0.25">
      <c r="A6561" s="75">
        <v>40141703</v>
      </c>
      <c r="B6561" s="76" t="s">
        <v>1216</v>
      </c>
    </row>
    <row r="6562" spans="1:2" x14ac:dyDescent="0.25">
      <c r="A6562" s="75">
        <v>40141704</v>
      </c>
      <c r="B6562" s="76" t="s">
        <v>9944</v>
      </c>
    </row>
    <row r="6563" spans="1:2" x14ac:dyDescent="0.25">
      <c r="A6563" s="75">
        <v>40141705</v>
      </c>
      <c r="B6563" s="76" t="s">
        <v>13248</v>
      </c>
    </row>
    <row r="6564" spans="1:2" x14ac:dyDescent="0.25">
      <c r="A6564" s="75">
        <v>40141716</v>
      </c>
      <c r="B6564" s="76" t="s">
        <v>6854</v>
      </c>
    </row>
    <row r="6565" spans="1:2" x14ac:dyDescent="0.25">
      <c r="A6565" s="75">
        <v>40141719</v>
      </c>
      <c r="B6565" s="76" t="s">
        <v>4210</v>
      </c>
    </row>
    <row r="6566" spans="1:2" x14ac:dyDescent="0.25">
      <c r="A6566" s="75">
        <v>40141720</v>
      </c>
      <c r="B6566" s="76" t="s">
        <v>13624</v>
      </c>
    </row>
    <row r="6567" spans="1:2" x14ac:dyDescent="0.25">
      <c r="A6567" s="75">
        <v>40141725</v>
      </c>
      <c r="B6567" s="76" t="s">
        <v>16328</v>
      </c>
    </row>
    <row r="6568" spans="1:2" x14ac:dyDescent="0.25">
      <c r="A6568" s="75">
        <v>40141726</v>
      </c>
      <c r="B6568" s="76" t="s">
        <v>18591</v>
      </c>
    </row>
    <row r="6569" spans="1:2" x14ac:dyDescent="0.25">
      <c r="A6569" s="75">
        <v>40141727</v>
      </c>
      <c r="B6569" s="76" t="s">
        <v>19882</v>
      </c>
    </row>
    <row r="6570" spans="1:2" x14ac:dyDescent="0.25">
      <c r="A6570" s="75">
        <v>40141731</v>
      </c>
      <c r="B6570" s="76" t="s">
        <v>1625</v>
      </c>
    </row>
    <row r="6571" spans="1:2" x14ac:dyDescent="0.25">
      <c r="A6571" s="75">
        <v>40141732</v>
      </c>
      <c r="B6571" s="76" t="s">
        <v>15314</v>
      </c>
    </row>
    <row r="6572" spans="1:2" x14ac:dyDescent="0.25">
      <c r="A6572" s="75">
        <v>40141734</v>
      </c>
      <c r="B6572" s="76" t="s">
        <v>10977</v>
      </c>
    </row>
    <row r="6573" spans="1:2" x14ac:dyDescent="0.25">
      <c r="A6573" s="75">
        <v>40141735</v>
      </c>
      <c r="B6573" s="76" t="s">
        <v>6880</v>
      </c>
    </row>
    <row r="6574" spans="1:2" x14ac:dyDescent="0.25">
      <c r="A6574" s="75">
        <v>40141736</v>
      </c>
      <c r="B6574" s="76" t="s">
        <v>3050</v>
      </c>
    </row>
    <row r="6575" spans="1:2" x14ac:dyDescent="0.25">
      <c r="A6575" s="75">
        <v>40141737</v>
      </c>
      <c r="B6575" s="76" t="s">
        <v>10869</v>
      </c>
    </row>
    <row r="6576" spans="1:2" x14ac:dyDescent="0.25">
      <c r="A6576" s="75">
        <v>40141738</v>
      </c>
      <c r="B6576" s="76" t="s">
        <v>1632</v>
      </c>
    </row>
    <row r="6577" spans="1:2" x14ac:dyDescent="0.25">
      <c r="A6577" s="75">
        <v>40141739</v>
      </c>
      <c r="B6577" s="76" t="s">
        <v>16854</v>
      </c>
    </row>
    <row r="6578" spans="1:2" x14ac:dyDescent="0.25">
      <c r="A6578" s="75">
        <v>40141740</v>
      </c>
      <c r="B6578" s="76" t="s">
        <v>13450</v>
      </c>
    </row>
    <row r="6579" spans="1:2" x14ac:dyDescent="0.25">
      <c r="A6579" s="75">
        <v>40141741</v>
      </c>
      <c r="B6579" s="76" t="s">
        <v>1863</v>
      </c>
    </row>
    <row r="6580" spans="1:2" x14ac:dyDescent="0.25">
      <c r="A6580" s="75">
        <v>40141742</v>
      </c>
      <c r="B6580" s="76" t="s">
        <v>12069</v>
      </c>
    </row>
    <row r="6581" spans="1:2" x14ac:dyDescent="0.25">
      <c r="A6581" s="75">
        <v>40141743</v>
      </c>
      <c r="B6581" s="76" t="s">
        <v>15870</v>
      </c>
    </row>
    <row r="6582" spans="1:2" x14ac:dyDescent="0.25">
      <c r="A6582" s="75">
        <v>40141744</v>
      </c>
      <c r="B6582" s="76" t="s">
        <v>14560</v>
      </c>
    </row>
    <row r="6583" spans="1:2" x14ac:dyDescent="0.25">
      <c r="A6583" s="75">
        <v>40141745</v>
      </c>
      <c r="B6583" s="76" t="s">
        <v>7310</v>
      </c>
    </row>
    <row r="6584" spans="1:2" x14ac:dyDescent="0.25">
      <c r="A6584" s="75">
        <v>40141746</v>
      </c>
      <c r="B6584" s="76" t="s">
        <v>18854</v>
      </c>
    </row>
    <row r="6585" spans="1:2" x14ac:dyDescent="0.25">
      <c r="A6585" s="75">
        <v>40141901</v>
      </c>
      <c r="B6585" s="76" t="s">
        <v>7891</v>
      </c>
    </row>
    <row r="6586" spans="1:2" x14ac:dyDescent="0.25">
      <c r="A6586" s="75">
        <v>40141902</v>
      </c>
      <c r="B6586" s="76" t="s">
        <v>8350</v>
      </c>
    </row>
    <row r="6587" spans="1:2" x14ac:dyDescent="0.25">
      <c r="A6587" s="75">
        <v>40141903</v>
      </c>
      <c r="B6587" s="76" t="s">
        <v>13419</v>
      </c>
    </row>
    <row r="6588" spans="1:2" x14ac:dyDescent="0.25">
      <c r="A6588" s="75">
        <v>40141904</v>
      </c>
      <c r="B6588" s="76" t="s">
        <v>6265</v>
      </c>
    </row>
    <row r="6589" spans="1:2" x14ac:dyDescent="0.25">
      <c r="A6589" s="75">
        <v>40141905</v>
      </c>
      <c r="B6589" s="76" t="s">
        <v>3454</v>
      </c>
    </row>
    <row r="6590" spans="1:2" x14ac:dyDescent="0.25">
      <c r="A6590" s="75">
        <v>40141906</v>
      </c>
      <c r="B6590" s="76" t="s">
        <v>15950</v>
      </c>
    </row>
    <row r="6591" spans="1:2" x14ac:dyDescent="0.25">
      <c r="A6591" s="75">
        <v>40141907</v>
      </c>
      <c r="B6591" s="76" t="s">
        <v>15950</v>
      </c>
    </row>
    <row r="6592" spans="1:2" x14ac:dyDescent="0.25">
      <c r="A6592" s="75">
        <v>40141908</v>
      </c>
      <c r="B6592" s="76" t="s">
        <v>15288</v>
      </c>
    </row>
    <row r="6593" spans="1:2" x14ac:dyDescent="0.25">
      <c r="A6593" s="75">
        <v>40141909</v>
      </c>
      <c r="B6593" s="76" t="s">
        <v>10773</v>
      </c>
    </row>
    <row r="6594" spans="1:2" x14ac:dyDescent="0.25">
      <c r="A6594" s="75">
        <v>40141910</v>
      </c>
      <c r="B6594" s="76" t="s">
        <v>5729</v>
      </c>
    </row>
    <row r="6595" spans="1:2" x14ac:dyDescent="0.25">
      <c r="A6595" s="75">
        <v>40141911</v>
      </c>
      <c r="B6595" s="76" t="s">
        <v>16668</v>
      </c>
    </row>
    <row r="6596" spans="1:2" x14ac:dyDescent="0.25">
      <c r="A6596" s="75">
        <v>40141912</v>
      </c>
      <c r="B6596" s="76" t="s">
        <v>15560</v>
      </c>
    </row>
    <row r="6597" spans="1:2" x14ac:dyDescent="0.25">
      <c r="A6597" s="75">
        <v>40141913</v>
      </c>
      <c r="B6597" s="76" t="s">
        <v>13083</v>
      </c>
    </row>
    <row r="6598" spans="1:2" x14ac:dyDescent="0.25">
      <c r="A6598" s="75">
        <v>40141914</v>
      </c>
      <c r="B6598" s="76" t="s">
        <v>1050</v>
      </c>
    </row>
    <row r="6599" spans="1:2" x14ac:dyDescent="0.25">
      <c r="A6599" s="75">
        <v>40141915</v>
      </c>
      <c r="B6599" s="76" t="s">
        <v>16296</v>
      </c>
    </row>
    <row r="6600" spans="1:2" x14ac:dyDescent="0.25">
      <c r="A6600" s="75">
        <v>40141916</v>
      </c>
      <c r="B6600" s="76" t="s">
        <v>15856</v>
      </c>
    </row>
    <row r="6601" spans="1:2" x14ac:dyDescent="0.25">
      <c r="A6601" s="75">
        <v>40141917</v>
      </c>
      <c r="B6601" s="76" t="s">
        <v>7353</v>
      </c>
    </row>
    <row r="6602" spans="1:2" x14ac:dyDescent="0.25">
      <c r="A6602" s="75">
        <v>40141918</v>
      </c>
      <c r="B6602" s="76" t="s">
        <v>9537</v>
      </c>
    </row>
    <row r="6603" spans="1:2" x14ac:dyDescent="0.25">
      <c r="A6603" s="75">
        <v>40141919</v>
      </c>
      <c r="B6603" s="76" t="s">
        <v>3638</v>
      </c>
    </row>
    <row r="6604" spans="1:2" x14ac:dyDescent="0.25">
      <c r="A6604" s="75">
        <v>40141920</v>
      </c>
      <c r="B6604" s="76" t="s">
        <v>18655</v>
      </c>
    </row>
    <row r="6605" spans="1:2" x14ac:dyDescent="0.25">
      <c r="A6605" s="75">
        <v>40141921</v>
      </c>
      <c r="B6605" s="76" t="s">
        <v>13612</v>
      </c>
    </row>
    <row r="6606" spans="1:2" x14ac:dyDescent="0.25">
      <c r="A6606" s="75">
        <v>40141922</v>
      </c>
      <c r="B6606" s="76" t="s">
        <v>2029</v>
      </c>
    </row>
    <row r="6607" spans="1:2" x14ac:dyDescent="0.25">
      <c r="A6607" s="75">
        <v>40142001</v>
      </c>
      <c r="B6607" s="76" t="s">
        <v>3868</v>
      </c>
    </row>
    <row r="6608" spans="1:2" x14ac:dyDescent="0.25">
      <c r="A6608" s="75">
        <v>40142002</v>
      </c>
      <c r="B6608" s="76" t="s">
        <v>3639</v>
      </c>
    </row>
    <row r="6609" spans="1:2" x14ac:dyDescent="0.25">
      <c r="A6609" s="75">
        <v>40142003</v>
      </c>
      <c r="B6609" s="76" t="s">
        <v>7115</v>
      </c>
    </row>
    <row r="6610" spans="1:2" x14ac:dyDescent="0.25">
      <c r="A6610" s="75">
        <v>40142004</v>
      </c>
      <c r="B6610" s="76" t="s">
        <v>6357</v>
      </c>
    </row>
    <row r="6611" spans="1:2" x14ac:dyDescent="0.25">
      <c r="A6611" s="75">
        <v>40142005</v>
      </c>
      <c r="B6611" s="76" t="s">
        <v>11317</v>
      </c>
    </row>
    <row r="6612" spans="1:2" x14ac:dyDescent="0.25">
      <c r="A6612" s="75">
        <v>40142006</v>
      </c>
      <c r="B6612" s="76" t="s">
        <v>13589</v>
      </c>
    </row>
    <row r="6613" spans="1:2" x14ac:dyDescent="0.25">
      <c r="A6613" s="75">
        <v>40142007</v>
      </c>
      <c r="B6613" s="76" t="s">
        <v>10548</v>
      </c>
    </row>
    <row r="6614" spans="1:2" x14ac:dyDescent="0.25">
      <c r="A6614" s="75">
        <v>40142008</v>
      </c>
      <c r="B6614" s="76" t="s">
        <v>1416</v>
      </c>
    </row>
    <row r="6615" spans="1:2" x14ac:dyDescent="0.25">
      <c r="A6615" s="75">
        <v>40142009</v>
      </c>
      <c r="B6615" s="76" t="s">
        <v>9155</v>
      </c>
    </row>
    <row r="6616" spans="1:2" x14ac:dyDescent="0.25">
      <c r="A6616" s="75">
        <v>40142010</v>
      </c>
      <c r="B6616" s="76" t="s">
        <v>14598</v>
      </c>
    </row>
    <row r="6617" spans="1:2" x14ac:dyDescent="0.25">
      <c r="A6617" s="75">
        <v>40142101</v>
      </c>
      <c r="B6617" s="76" t="s">
        <v>16818</v>
      </c>
    </row>
    <row r="6618" spans="1:2" x14ac:dyDescent="0.25">
      <c r="A6618" s="75">
        <v>40142102</v>
      </c>
      <c r="B6618" s="76" t="s">
        <v>9145</v>
      </c>
    </row>
    <row r="6619" spans="1:2" x14ac:dyDescent="0.25">
      <c r="A6619" s="75">
        <v>40142103</v>
      </c>
      <c r="B6619" s="76" t="s">
        <v>11849</v>
      </c>
    </row>
    <row r="6620" spans="1:2" x14ac:dyDescent="0.25">
      <c r="A6620" s="75">
        <v>40142104</v>
      </c>
      <c r="B6620" s="76" t="s">
        <v>13571</v>
      </c>
    </row>
    <row r="6621" spans="1:2" x14ac:dyDescent="0.25">
      <c r="A6621" s="75">
        <v>40142105</v>
      </c>
      <c r="B6621" s="76" t="s">
        <v>4135</v>
      </c>
    </row>
    <row r="6622" spans="1:2" x14ac:dyDescent="0.25">
      <c r="A6622" s="75">
        <v>40142106</v>
      </c>
      <c r="B6622" s="76" t="s">
        <v>10976</v>
      </c>
    </row>
    <row r="6623" spans="1:2" x14ac:dyDescent="0.25">
      <c r="A6623" s="75">
        <v>40142107</v>
      </c>
      <c r="B6623" s="76" t="s">
        <v>2897</v>
      </c>
    </row>
    <row r="6624" spans="1:2" x14ac:dyDescent="0.25">
      <c r="A6624" s="75">
        <v>40142108</v>
      </c>
      <c r="B6624" s="76" t="s">
        <v>19209</v>
      </c>
    </row>
    <row r="6625" spans="1:2" x14ac:dyDescent="0.25">
      <c r="A6625" s="75">
        <v>40142109</v>
      </c>
      <c r="B6625" s="76" t="s">
        <v>10631</v>
      </c>
    </row>
    <row r="6626" spans="1:2" x14ac:dyDescent="0.25">
      <c r="A6626" s="75">
        <v>40142110</v>
      </c>
      <c r="B6626" s="76" t="s">
        <v>14003</v>
      </c>
    </row>
    <row r="6627" spans="1:2" x14ac:dyDescent="0.25">
      <c r="A6627" s="75">
        <v>40142111</v>
      </c>
      <c r="B6627" s="76" t="s">
        <v>10810</v>
      </c>
    </row>
    <row r="6628" spans="1:2" x14ac:dyDescent="0.25">
      <c r="A6628" s="75">
        <v>40142112</v>
      </c>
      <c r="B6628" s="76" t="s">
        <v>1951</v>
      </c>
    </row>
    <row r="6629" spans="1:2" x14ac:dyDescent="0.25">
      <c r="A6629" s="75">
        <v>40142113</v>
      </c>
      <c r="B6629" s="76" t="s">
        <v>1885</v>
      </c>
    </row>
    <row r="6630" spans="1:2" x14ac:dyDescent="0.25">
      <c r="A6630" s="75">
        <v>40142114</v>
      </c>
      <c r="B6630" s="76" t="s">
        <v>16086</v>
      </c>
    </row>
    <row r="6631" spans="1:2" x14ac:dyDescent="0.25">
      <c r="A6631" s="75">
        <v>40142115</v>
      </c>
      <c r="B6631" s="76" t="s">
        <v>15100</v>
      </c>
    </row>
    <row r="6632" spans="1:2" x14ac:dyDescent="0.25">
      <c r="A6632" s="75">
        <v>40142116</v>
      </c>
      <c r="B6632" s="76" t="s">
        <v>18428</v>
      </c>
    </row>
    <row r="6633" spans="1:2" x14ac:dyDescent="0.25">
      <c r="A6633" s="75">
        <v>40142117</v>
      </c>
      <c r="B6633" s="76" t="s">
        <v>3134</v>
      </c>
    </row>
    <row r="6634" spans="1:2" x14ac:dyDescent="0.25">
      <c r="A6634" s="75">
        <v>40142118</v>
      </c>
      <c r="B6634" s="76" t="s">
        <v>6433</v>
      </c>
    </row>
    <row r="6635" spans="1:2" x14ac:dyDescent="0.25">
      <c r="A6635" s="75">
        <v>40142119</v>
      </c>
      <c r="B6635" s="76" t="s">
        <v>9835</v>
      </c>
    </row>
    <row r="6636" spans="1:2" x14ac:dyDescent="0.25">
      <c r="A6636" s="75">
        <v>40142120</v>
      </c>
      <c r="B6636" s="76" t="s">
        <v>9021</v>
      </c>
    </row>
    <row r="6637" spans="1:2" x14ac:dyDescent="0.25">
      <c r="A6637" s="75">
        <v>40142121</v>
      </c>
      <c r="B6637" s="76" t="s">
        <v>9864</v>
      </c>
    </row>
    <row r="6638" spans="1:2" x14ac:dyDescent="0.25">
      <c r="A6638" s="75">
        <v>40142122</v>
      </c>
      <c r="B6638" s="76" t="s">
        <v>530</v>
      </c>
    </row>
    <row r="6639" spans="1:2" x14ac:dyDescent="0.25">
      <c r="A6639" s="75">
        <v>40142201</v>
      </c>
      <c r="B6639" s="76" t="s">
        <v>2511</v>
      </c>
    </row>
    <row r="6640" spans="1:2" x14ac:dyDescent="0.25">
      <c r="A6640" s="75">
        <v>40142202</v>
      </c>
      <c r="B6640" s="76" t="s">
        <v>17</v>
      </c>
    </row>
    <row r="6641" spans="1:2" x14ac:dyDescent="0.25">
      <c r="A6641" s="75">
        <v>40142203</v>
      </c>
      <c r="B6641" s="76" t="s">
        <v>10245</v>
      </c>
    </row>
    <row r="6642" spans="1:2" x14ac:dyDescent="0.25">
      <c r="A6642" s="75">
        <v>40142301</v>
      </c>
      <c r="B6642" s="76" t="s">
        <v>6</v>
      </c>
    </row>
    <row r="6643" spans="1:2" x14ac:dyDescent="0.25">
      <c r="A6643" s="75">
        <v>40142302</v>
      </c>
      <c r="B6643" s="76" t="s">
        <v>14115</v>
      </c>
    </row>
    <row r="6644" spans="1:2" x14ac:dyDescent="0.25">
      <c r="A6644" s="75">
        <v>40142303</v>
      </c>
      <c r="B6644" s="76" t="s">
        <v>15971</v>
      </c>
    </row>
    <row r="6645" spans="1:2" x14ac:dyDescent="0.25">
      <c r="A6645" s="75">
        <v>40142304</v>
      </c>
      <c r="B6645" s="76" t="s">
        <v>2684</v>
      </c>
    </row>
    <row r="6646" spans="1:2" x14ac:dyDescent="0.25">
      <c r="A6646" s="75">
        <v>40142305</v>
      </c>
      <c r="B6646" s="76" t="s">
        <v>11839</v>
      </c>
    </row>
    <row r="6647" spans="1:2" x14ac:dyDescent="0.25">
      <c r="A6647" s="75">
        <v>40142306</v>
      </c>
      <c r="B6647" s="76" t="s">
        <v>17311</v>
      </c>
    </row>
    <row r="6648" spans="1:2" x14ac:dyDescent="0.25">
      <c r="A6648" s="75">
        <v>40142307</v>
      </c>
      <c r="B6648" s="76" t="s">
        <v>12647</v>
      </c>
    </row>
    <row r="6649" spans="1:2" x14ac:dyDescent="0.25">
      <c r="A6649" s="75">
        <v>40142308</v>
      </c>
      <c r="B6649" s="76" t="s">
        <v>550</v>
      </c>
    </row>
    <row r="6650" spans="1:2" x14ac:dyDescent="0.25">
      <c r="A6650" s="75">
        <v>40142309</v>
      </c>
      <c r="B6650" s="76" t="s">
        <v>18878</v>
      </c>
    </row>
    <row r="6651" spans="1:2" x14ac:dyDescent="0.25">
      <c r="A6651" s="75">
        <v>40142310</v>
      </c>
      <c r="B6651" s="76" t="s">
        <v>11378</v>
      </c>
    </row>
    <row r="6652" spans="1:2" x14ac:dyDescent="0.25">
      <c r="A6652" s="75">
        <v>40142311</v>
      </c>
      <c r="B6652" s="76" t="s">
        <v>8780</v>
      </c>
    </row>
    <row r="6653" spans="1:2" x14ac:dyDescent="0.25">
      <c r="A6653" s="75">
        <v>40142312</v>
      </c>
      <c r="B6653" s="76" t="s">
        <v>17319</v>
      </c>
    </row>
    <row r="6654" spans="1:2" x14ac:dyDescent="0.25">
      <c r="A6654" s="75">
        <v>40142313</v>
      </c>
      <c r="B6654" s="76" t="s">
        <v>10719</v>
      </c>
    </row>
    <row r="6655" spans="1:2" x14ac:dyDescent="0.25">
      <c r="A6655" s="75">
        <v>40142314</v>
      </c>
      <c r="B6655" s="76" t="s">
        <v>15346</v>
      </c>
    </row>
    <row r="6656" spans="1:2" x14ac:dyDescent="0.25">
      <c r="A6656" s="75">
        <v>40142315</v>
      </c>
      <c r="B6656" s="76" t="s">
        <v>9499</v>
      </c>
    </row>
    <row r="6657" spans="1:2" x14ac:dyDescent="0.25">
      <c r="A6657" s="75">
        <v>40142316</v>
      </c>
      <c r="B6657" s="76" t="s">
        <v>10783</v>
      </c>
    </row>
    <row r="6658" spans="1:2" x14ac:dyDescent="0.25">
      <c r="A6658" s="75">
        <v>40142317</v>
      </c>
      <c r="B6658" s="76" t="s">
        <v>17169</v>
      </c>
    </row>
    <row r="6659" spans="1:2" x14ac:dyDescent="0.25">
      <c r="A6659" s="75">
        <v>40142318</v>
      </c>
      <c r="B6659" s="76" t="s">
        <v>16221</v>
      </c>
    </row>
    <row r="6660" spans="1:2" x14ac:dyDescent="0.25">
      <c r="A6660" s="75">
        <v>40142319</v>
      </c>
      <c r="B6660" s="76" t="s">
        <v>2684</v>
      </c>
    </row>
    <row r="6661" spans="1:2" x14ac:dyDescent="0.25">
      <c r="A6661" s="75">
        <v>40142320</v>
      </c>
      <c r="B6661" s="76" t="s">
        <v>12372</v>
      </c>
    </row>
    <row r="6662" spans="1:2" x14ac:dyDescent="0.25">
      <c r="A6662" s="75">
        <v>40142321</v>
      </c>
      <c r="B6662" s="76" t="s">
        <v>10758</v>
      </c>
    </row>
    <row r="6663" spans="1:2" x14ac:dyDescent="0.25">
      <c r="A6663" s="75">
        <v>40142322</v>
      </c>
      <c r="B6663" s="76" t="s">
        <v>311</v>
      </c>
    </row>
    <row r="6664" spans="1:2" x14ac:dyDescent="0.25">
      <c r="A6664" s="75">
        <v>40142323</v>
      </c>
      <c r="B6664" s="76" t="s">
        <v>18041</v>
      </c>
    </row>
    <row r="6665" spans="1:2" x14ac:dyDescent="0.25">
      <c r="A6665" s="75">
        <v>40142324</v>
      </c>
      <c r="B6665" s="76" t="s">
        <v>3792</v>
      </c>
    </row>
    <row r="6666" spans="1:2" x14ac:dyDescent="0.25">
      <c r="A6666" s="75">
        <v>40142325</v>
      </c>
      <c r="B6666" s="76" t="s">
        <v>14112</v>
      </c>
    </row>
    <row r="6667" spans="1:2" x14ac:dyDescent="0.25">
      <c r="A6667" s="75">
        <v>40142326</v>
      </c>
      <c r="B6667" s="76" t="s">
        <v>16615</v>
      </c>
    </row>
    <row r="6668" spans="1:2" x14ac:dyDescent="0.25">
      <c r="A6668" s="75">
        <v>40142327</v>
      </c>
      <c r="B6668" s="76" t="s">
        <v>8973</v>
      </c>
    </row>
    <row r="6669" spans="1:2" x14ac:dyDescent="0.25">
      <c r="A6669" s="75">
        <v>40142401</v>
      </c>
      <c r="B6669" s="76" t="s">
        <v>6461</v>
      </c>
    </row>
    <row r="6670" spans="1:2" x14ac:dyDescent="0.25">
      <c r="A6670" s="75">
        <v>40142402</v>
      </c>
      <c r="B6670" s="76" t="s">
        <v>9354</v>
      </c>
    </row>
    <row r="6671" spans="1:2" x14ac:dyDescent="0.25">
      <c r="A6671" s="75">
        <v>40142403</v>
      </c>
      <c r="B6671" s="76" t="s">
        <v>18947</v>
      </c>
    </row>
    <row r="6672" spans="1:2" x14ac:dyDescent="0.25">
      <c r="A6672" s="75">
        <v>40142404</v>
      </c>
      <c r="B6672" s="76" t="s">
        <v>14155</v>
      </c>
    </row>
    <row r="6673" spans="1:2" x14ac:dyDescent="0.25">
      <c r="A6673" s="75">
        <v>40142405</v>
      </c>
      <c r="B6673" s="76" t="s">
        <v>19383</v>
      </c>
    </row>
    <row r="6674" spans="1:2" x14ac:dyDescent="0.25">
      <c r="A6674" s="75">
        <v>40142406</v>
      </c>
      <c r="B6674" s="76" t="s">
        <v>1667</v>
      </c>
    </row>
    <row r="6675" spans="1:2" x14ac:dyDescent="0.25">
      <c r="A6675" s="75">
        <v>40142407</v>
      </c>
      <c r="B6675" s="76" t="s">
        <v>6832</v>
      </c>
    </row>
    <row r="6676" spans="1:2" x14ac:dyDescent="0.25">
      <c r="A6676" s="75">
        <v>40142408</v>
      </c>
      <c r="B6676" s="76" t="s">
        <v>834</v>
      </c>
    </row>
    <row r="6677" spans="1:2" x14ac:dyDescent="0.25">
      <c r="A6677" s="75">
        <v>40142409</v>
      </c>
      <c r="B6677" s="76" t="s">
        <v>3900</v>
      </c>
    </row>
    <row r="6678" spans="1:2" x14ac:dyDescent="0.25">
      <c r="A6678" s="75">
        <v>40142410</v>
      </c>
      <c r="B6678" s="76" t="s">
        <v>820</v>
      </c>
    </row>
    <row r="6679" spans="1:2" x14ac:dyDescent="0.25">
      <c r="A6679" s="75">
        <v>40142411</v>
      </c>
      <c r="B6679" s="76" t="s">
        <v>573</v>
      </c>
    </row>
    <row r="6680" spans="1:2" x14ac:dyDescent="0.25">
      <c r="A6680" s="75">
        <v>40142412</v>
      </c>
      <c r="B6680" s="76" t="s">
        <v>13263</v>
      </c>
    </row>
    <row r="6681" spans="1:2" x14ac:dyDescent="0.25">
      <c r="A6681" s="75">
        <v>40142413</v>
      </c>
      <c r="B6681" s="76" t="s">
        <v>12900</v>
      </c>
    </row>
    <row r="6682" spans="1:2" x14ac:dyDescent="0.25">
      <c r="A6682" s="75">
        <v>40142414</v>
      </c>
      <c r="B6682" s="76" t="s">
        <v>11493</v>
      </c>
    </row>
    <row r="6683" spans="1:2" x14ac:dyDescent="0.25">
      <c r="A6683" s="75">
        <v>40142501</v>
      </c>
      <c r="B6683" s="76" t="s">
        <v>8618</v>
      </c>
    </row>
    <row r="6684" spans="1:2" x14ac:dyDescent="0.25">
      <c r="A6684" s="75">
        <v>40142502</v>
      </c>
      <c r="B6684" s="76" t="s">
        <v>15070</v>
      </c>
    </row>
    <row r="6685" spans="1:2" x14ac:dyDescent="0.25">
      <c r="A6685" s="75">
        <v>40142503</v>
      </c>
      <c r="B6685" s="76" t="s">
        <v>10805</v>
      </c>
    </row>
    <row r="6686" spans="1:2" x14ac:dyDescent="0.25">
      <c r="A6686" s="75">
        <v>40142504</v>
      </c>
      <c r="B6686" s="76" t="s">
        <v>11377</v>
      </c>
    </row>
    <row r="6687" spans="1:2" x14ac:dyDescent="0.25">
      <c r="A6687" s="75">
        <v>40142604</v>
      </c>
      <c r="B6687" s="76" t="s">
        <v>9784</v>
      </c>
    </row>
    <row r="6688" spans="1:2" x14ac:dyDescent="0.25">
      <c r="A6688" s="75">
        <v>40142605</v>
      </c>
      <c r="B6688" s="76" t="s">
        <v>17932</v>
      </c>
    </row>
    <row r="6689" spans="1:2" x14ac:dyDescent="0.25">
      <c r="A6689" s="75">
        <v>40142606</v>
      </c>
      <c r="B6689" s="76" t="s">
        <v>10118</v>
      </c>
    </row>
    <row r="6690" spans="1:2" x14ac:dyDescent="0.25">
      <c r="A6690" s="75">
        <v>40142607</v>
      </c>
      <c r="B6690" s="76" t="s">
        <v>17602</v>
      </c>
    </row>
    <row r="6691" spans="1:2" x14ac:dyDescent="0.25">
      <c r="A6691" s="75">
        <v>40142608</v>
      </c>
      <c r="B6691" s="76" t="s">
        <v>19110</v>
      </c>
    </row>
    <row r="6692" spans="1:2" x14ac:dyDescent="0.25">
      <c r="A6692" s="75">
        <v>40142609</v>
      </c>
      <c r="B6692" s="76" t="s">
        <v>14885</v>
      </c>
    </row>
    <row r="6693" spans="1:2" x14ac:dyDescent="0.25">
      <c r="A6693" s="75">
        <v>40142610</v>
      </c>
      <c r="B6693" s="76" t="s">
        <v>6855</v>
      </c>
    </row>
    <row r="6694" spans="1:2" x14ac:dyDescent="0.25">
      <c r="A6694" s="75">
        <v>40142611</v>
      </c>
      <c r="B6694" s="76" t="s">
        <v>17171</v>
      </c>
    </row>
    <row r="6695" spans="1:2" x14ac:dyDescent="0.25">
      <c r="A6695" s="75">
        <v>40142612</v>
      </c>
      <c r="B6695" s="76" t="s">
        <v>11691</v>
      </c>
    </row>
    <row r="6696" spans="1:2" x14ac:dyDescent="0.25">
      <c r="A6696" s="75">
        <v>40142613</v>
      </c>
      <c r="B6696" s="76" t="s">
        <v>12098</v>
      </c>
    </row>
    <row r="6697" spans="1:2" x14ac:dyDescent="0.25">
      <c r="A6697" s="75">
        <v>40142614</v>
      </c>
      <c r="B6697" s="76" t="s">
        <v>3341</v>
      </c>
    </row>
    <row r="6698" spans="1:2" x14ac:dyDescent="0.25">
      <c r="A6698" s="75">
        <v>40142615</v>
      </c>
      <c r="B6698" s="76" t="s">
        <v>5251</v>
      </c>
    </row>
    <row r="6699" spans="1:2" x14ac:dyDescent="0.25">
      <c r="A6699" s="75">
        <v>40151501</v>
      </c>
      <c r="B6699" s="76" t="s">
        <v>5099</v>
      </c>
    </row>
    <row r="6700" spans="1:2" x14ac:dyDescent="0.25">
      <c r="A6700" s="75">
        <v>40151502</v>
      </c>
      <c r="B6700" s="76" t="s">
        <v>3800</v>
      </c>
    </row>
    <row r="6701" spans="1:2" x14ac:dyDescent="0.25">
      <c r="A6701" s="75">
        <v>40151503</v>
      </c>
      <c r="B6701" s="76" t="s">
        <v>4215</v>
      </c>
    </row>
    <row r="6702" spans="1:2" x14ac:dyDescent="0.25">
      <c r="A6702" s="75">
        <v>40151504</v>
      </c>
      <c r="B6702" s="76" t="s">
        <v>5202</v>
      </c>
    </row>
    <row r="6703" spans="1:2" x14ac:dyDescent="0.25">
      <c r="A6703" s="75">
        <v>40151505</v>
      </c>
      <c r="B6703" s="76" t="s">
        <v>8250</v>
      </c>
    </row>
    <row r="6704" spans="1:2" x14ac:dyDescent="0.25">
      <c r="A6704" s="75">
        <v>40151506</v>
      </c>
      <c r="B6704" s="76" t="s">
        <v>14359</v>
      </c>
    </row>
    <row r="6705" spans="1:2" x14ac:dyDescent="0.25">
      <c r="A6705" s="75">
        <v>40151507</v>
      </c>
      <c r="B6705" s="76" t="s">
        <v>10058</v>
      </c>
    </row>
    <row r="6706" spans="1:2" x14ac:dyDescent="0.25">
      <c r="A6706" s="75">
        <v>40151508</v>
      </c>
      <c r="B6706" s="76" t="s">
        <v>17250</v>
      </c>
    </row>
    <row r="6707" spans="1:2" x14ac:dyDescent="0.25">
      <c r="A6707" s="75">
        <v>40151509</v>
      </c>
      <c r="B6707" s="76" t="s">
        <v>11339</v>
      </c>
    </row>
    <row r="6708" spans="1:2" x14ac:dyDescent="0.25">
      <c r="A6708" s="75">
        <v>40151510</v>
      </c>
      <c r="B6708" s="76" t="s">
        <v>18830</v>
      </c>
    </row>
    <row r="6709" spans="1:2" x14ac:dyDescent="0.25">
      <c r="A6709" s="75">
        <v>40151511</v>
      </c>
      <c r="B6709" s="76" t="s">
        <v>11984</v>
      </c>
    </row>
    <row r="6710" spans="1:2" x14ac:dyDescent="0.25">
      <c r="A6710" s="75">
        <v>40151512</v>
      </c>
      <c r="B6710" s="76" t="s">
        <v>4367</v>
      </c>
    </row>
    <row r="6711" spans="1:2" x14ac:dyDescent="0.25">
      <c r="A6711" s="75">
        <v>40151513</v>
      </c>
      <c r="B6711" s="76" t="s">
        <v>17714</v>
      </c>
    </row>
    <row r="6712" spans="1:2" x14ac:dyDescent="0.25">
      <c r="A6712" s="75">
        <v>40151514</v>
      </c>
      <c r="B6712" s="76" t="s">
        <v>7434</v>
      </c>
    </row>
    <row r="6713" spans="1:2" x14ac:dyDescent="0.25">
      <c r="A6713" s="75">
        <v>40151515</v>
      </c>
      <c r="B6713" s="76" t="s">
        <v>3467</v>
      </c>
    </row>
    <row r="6714" spans="1:2" x14ac:dyDescent="0.25">
      <c r="A6714" s="75">
        <v>40151516</v>
      </c>
      <c r="B6714" s="76" t="s">
        <v>10611</v>
      </c>
    </row>
    <row r="6715" spans="1:2" x14ac:dyDescent="0.25">
      <c r="A6715" s="75">
        <v>40151517</v>
      </c>
      <c r="B6715" s="76" t="s">
        <v>14472</v>
      </c>
    </row>
    <row r="6716" spans="1:2" x14ac:dyDescent="0.25">
      <c r="A6716" s="75">
        <v>40151518</v>
      </c>
      <c r="B6716" s="76" t="s">
        <v>19014</v>
      </c>
    </row>
    <row r="6717" spans="1:2" x14ac:dyDescent="0.25">
      <c r="A6717" s="75">
        <v>40151519</v>
      </c>
      <c r="B6717" s="76" t="s">
        <v>15495</v>
      </c>
    </row>
    <row r="6718" spans="1:2" x14ac:dyDescent="0.25">
      <c r="A6718" s="75">
        <v>40151520</v>
      </c>
      <c r="B6718" s="76" t="s">
        <v>17802</v>
      </c>
    </row>
    <row r="6719" spans="1:2" x14ac:dyDescent="0.25">
      <c r="A6719" s="75">
        <v>40151521</v>
      </c>
      <c r="B6719" s="76" t="s">
        <v>19298</v>
      </c>
    </row>
    <row r="6720" spans="1:2" x14ac:dyDescent="0.25">
      <c r="A6720" s="75">
        <v>40151522</v>
      </c>
      <c r="B6720" s="76" t="s">
        <v>12211</v>
      </c>
    </row>
    <row r="6721" spans="1:2" x14ac:dyDescent="0.25">
      <c r="A6721" s="75">
        <v>40151523</v>
      </c>
      <c r="B6721" s="76" t="s">
        <v>3983</v>
      </c>
    </row>
    <row r="6722" spans="1:2" x14ac:dyDescent="0.25">
      <c r="A6722" s="75">
        <v>40151524</v>
      </c>
      <c r="B6722" s="76" t="s">
        <v>7379</v>
      </c>
    </row>
    <row r="6723" spans="1:2" x14ac:dyDescent="0.25">
      <c r="A6723" s="75">
        <v>40151525</v>
      </c>
      <c r="B6723" s="76" t="s">
        <v>13797</v>
      </c>
    </row>
    <row r="6724" spans="1:2" x14ac:dyDescent="0.25">
      <c r="A6724" s="75">
        <v>40151526</v>
      </c>
      <c r="B6724" s="76" t="s">
        <v>16887</v>
      </c>
    </row>
    <row r="6725" spans="1:2" x14ac:dyDescent="0.25">
      <c r="A6725" s="75">
        <v>40151527</v>
      </c>
      <c r="B6725" s="76" t="s">
        <v>3906</v>
      </c>
    </row>
    <row r="6726" spans="1:2" x14ac:dyDescent="0.25">
      <c r="A6726" s="75">
        <v>40151528</v>
      </c>
      <c r="B6726" s="76" t="s">
        <v>14093</v>
      </c>
    </row>
    <row r="6727" spans="1:2" x14ac:dyDescent="0.25">
      <c r="A6727" s="75">
        <v>40151529</v>
      </c>
      <c r="B6727" s="76" t="s">
        <v>1064</v>
      </c>
    </row>
    <row r="6728" spans="1:2" x14ac:dyDescent="0.25">
      <c r="A6728" s="75">
        <v>40151530</v>
      </c>
      <c r="B6728" s="76" t="s">
        <v>19409</v>
      </c>
    </row>
    <row r="6729" spans="1:2" x14ac:dyDescent="0.25">
      <c r="A6729" s="75">
        <v>40151531</v>
      </c>
      <c r="B6729" s="76" t="s">
        <v>4460</v>
      </c>
    </row>
    <row r="6730" spans="1:2" x14ac:dyDescent="0.25">
      <c r="A6730" s="75">
        <v>40151532</v>
      </c>
      <c r="B6730" s="76" t="s">
        <v>9988</v>
      </c>
    </row>
    <row r="6731" spans="1:2" x14ac:dyDescent="0.25">
      <c r="A6731" s="75">
        <v>40151533</v>
      </c>
      <c r="B6731" s="76" t="s">
        <v>14172</v>
      </c>
    </row>
    <row r="6732" spans="1:2" x14ac:dyDescent="0.25">
      <c r="A6732" s="75">
        <v>40151534</v>
      </c>
      <c r="B6732" s="76" t="s">
        <v>16767</v>
      </c>
    </row>
    <row r="6733" spans="1:2" x14ac:dyDescent="0.25">
      <c r="A6733" s="75">
        <v>40151546</v>
      </c>
      <c r="B6733" s="76" t="s">
        <v>10703</v>
      </c>
    </row>
    <row r="6734" spans="1:2" x14ac:dyDescent="0.25">
      <c r="A6734" s="75">
        <v>40151547</v>
      </c>
      <c r="B6734" s="76" t="s">
        <v>10268</v>
      </c>
    </row>
    <row r="6735" spans="1:2" x14ac:dyDescent="0.25">
      <c r="A6735" s="75">
        <v>40151548</v>
      </c>
      <c r="B6735" s="76" t="s">
        <v>11860</v>
      </c>
    </row>
    <row r="6736" spans="1:2" x14ac:dyDescent="0.25">
      <c r="A6736" s="75">
        <v>40151549</v>
      </c>
      <c r="B6736" s="76" t="s">
        <v>19390</v>
      </c>
    </row>
    <row r="6737" spans="1:2" x14ac:dyDescent="0.25">
      <c r="A6737" s="75">
        <v>40151550</v>
      </c>
      <c r="B6737" s="76" t="s">
        <v>4605</v>
      </c>
    </row>
    <row r="6738" spans="1:2" x14ac:dyDescent="0.25">
      <c r="A6738" s="75">
        <v>40151551</v>
      </c>
      <c r="B6738" s="76" t="s">
        <v>3733</v>
      </c>
    </row>
    <row r="6739" spans="1:2" x14ac:dyDescent="0.25">
      <c r="A6739" s="75">
        <v>40151552</v>
      </c>
      <c r="B6739" s="76" t="s">
        <v>14210</v>
      </c>
    </row>
    <row r="6740" spans="1:2" x14ac:dyDescent="0.25">
      <c r="A6740" s="75">
        <v>40151553</v>
      </c>
      <c r="B6740" s="76" t="s">
        <v>16089</v>
      </c>
    </row>
    <row r="6741" spans="1:2" x14ac:dyDescent="0.25">
      <c r="A6741" s="75">
        <v>40151554</v>
      </c>
      <c r="B6741" s="76" t="s">
        <v>201</v>
      </c>
    </row>
    <row r="6742" spans="1:2" x14ac:dyDescent="0.25">
      <c r="A6742" s="75">
        <v>40151555</v>
      </c>
      <c r="B6742" s="76" t="s">
        <v>16421</v>
      </c>
    </row>
    <row r="6743" spans="1:2" x14ac:dyDescent="0.25">
      <c r="A6743" s="75">
        <v>40151556</v>
      </c>
      <c r="B6743" s="76" t="s">
        <v>3519</v>
      </c>
    </row>
    <row r="6744" spans="1:2" x14ac:dyDescent="0.25">
      <c r="A6744" s="75">
        <v>40151557</v>
      </c>
      <c r="B6744" s="76" t="s">
        <v>10348</v>
      </c>
    </row>
    <row r="6745" spans="1:2" x14ac:dyDescent="0.25">
      <c r="A6745" s="75">
        <v>40151558</v>
      </c>
      <c r="B6745" s="76" t="s">
        <v>11789</v>
      </c>
    </row>
    <row r="6746" spans="1:2" x14ac:dyDescent="0.25">
      <c r="A6746" s="75">
        <v>40151559</v>
      </c>
      <c r="B6746" s="76" t="s">
        <v>686</v>
      </c>
    </row>
    <row r="6747" spans="1:2" x14ac:dyDescent="0.25">
      <c r="A6747" s="75">
        <v>40151560</v>
      </c>
      <c r="B6747" s="76" t="s">
        <v>13721</v>
      </c>
    </row>
    <row r="6748" spans="1:2" x14ac:dyDescent="0.25">
      <c r="A6748" s="75">
        <v>40151561</v>
      </c>
      <c r="B6748" s="76" t="s">
        <v>4920</v>
      </c>
    </row>
    <row r="6749" spans="1:2" x14ac:dyDescent="0.25">
      <c r="A6749" s="75">
        <v>40151562</v>
      </c>
      <c r="B6749" s="76" t="s">
        <v>5976</v>
      </c>
    </row>
    <row r="6750" spans="1:2" x14ac:dyDescent="0.25">
      <c r="A6750" s="75">
        <v>40151563</v>
      </c>
      <c r="B6750" s="76" t="s">
        <v>9829</v>
      </c>
    </row>
    <row r="6751" spans="1:2" x14ac:dyDescent="0.25">
      <c r="A6751" s="75">
        <v>40151564</v>
      </c>
      <c r="B6751" s="76" t="s">
        <v>1403</v>
      </c>
    </row>
    <row r="6752" spans="1:2" x14ac:dyDescent="0.25">
      <c r="A6752" s="75">
        <v>40151601</v>
      </c>
      <c r="B6752" s="76" t="s">
        <v>9596</v>
      </c>
    </row>
    <row r="6753" spans="1:2" x14ac:dyDescent="0.25">
      <c r="A6753" s="75">
        <v>40151602</v>
      </c>
      <c r="B6753" s="76" t="s">
        <v>2620</v>
      </c>
    </row>
    <row r="6754" spans="1:2" x14ac:dyDescent="0.25">
      <c r="A6754" s="75">
        <v>40151603</v>
      </c>
      <c r="B6754" s="76" t="s">
        <v>17626</v>
      </c>
    </row>
    <row r="6755" spans="1:2" x14ac:dyDescent="0.25">
      <c r="A6755" s="75">
        <v>40151604</v>
      </c>
      <c r="B6755" s="76" t="s">
        <v>12217</v>
      </c>
    </row>
    <row r="6756" spans="1:2" x14ac:dyDescent="0.25">
      <c r="A6756" s="75">
        <v>40151605</v>
      </c>
      <c r="B6756" s="76" t="s">
        <v>3708</v>
      </c>
    </row>
    <row r="6757" spans="1:2" x14ac:dyDescent="0.25">
      <c r="A6757" s="75">
        <v>40151606</v>
      </c>
      <c r="B6757" s="76" t="s">
        <v>13819</v>
      </c>
    </row>
    <row r="6758" spans="1:2" x14ac:dyDescent="0.25">
      <c r="A6758" s="75">
        <v>40151607</v>
      </c>
      <c r="B6758" s="76" t="s">
        <v>1440</v>
      </c>
    </row>
    <row r="6759" spans="1:2" x14ac:dyDescent="0.25">
      <c r="A6759" s="75">
        <v>40151608</v>
      </c>
      <c r="B6759" s="76" t="s">
        <v>2874</v>
      </c>
    </row>
    <row r="6760" spans="1:2" x14ac:dyDescent="0.25">
      <c r="A6760" s="75">
        <v>40151609</v>
      </c>
      <c r="B6760" s="76" t="s">
        <v>13495</v>
      </c>
    </row>
    <row r="6761" spans="1:2" x14ac:dyDescent="0.25">
      <c r="A6761" s="75">
        <v>40151610</v>
      </c>
      <c r="B6761" s="76" t="s">
        <v>2263</v>
      </c>
    </row>
    <row r="6762" spans="1:2" x14ac:dyDescent="0.25">
      <c r="A6762" s="75">
        <v>40151611</v>
      </c>
      <c r="B6762" s="76" t="s">
        <v>3364</v>
      </c>
    </row>
    <row r="6763" spans="1:2" x14ac:dyDescent="0.25">
      <c r="A6763" s="75">
        <v>40151612</v>
      </c>
      <c r="B6763" s="76" t="s">
        <v>17536</v>
      </c>
    </row>
    <row r="6764" spans="1:2" x14ac:dyDescent="0.25">
      <c r="A6764" s="75">
        <v>40151613</v>
      </c>
      <c r="B6764" s="76" t="s">
        <v>3184</v>
      </c>
    </row>
    <row r="6765" spans="1:2" x14ac:dyDescent="0.25">
      <c r="A6765" s="75">
        <v>40151614</v>
      </c>
      <c r="B6765" s="76" t="s">
        <v>1235</v>
      </c>
    </row>
    <row r="6766" spans="1:2" x14ac:dyDescent="0.25">
      <c r="A6766" s="75">
        <v>40151615</v>
      </c>
      <c r="B6766" s="76" t="s">
        <v>6185</v>
      </c>
    </row>
    <row r="6767" spans="1:2" x14ac:dyDescent="0.25">
      <c r="A6767" s="75">
        <v>40151616</v>
      </c>
      <c r="B6767" s="76" t="s">
        <v>10490</v>
      </c>
    </row>
    <row r="6768" spans="1:2" x14ac:dyDescent="0.25">
      <c r="A6768" s="75">
        <v>40151701</v>
      </c>
      <c r="B6768" s="76" t="s">
        <v>4163</v>
      </c>
    </row>
    <row r="6769" spans="1:2" x14ac:dyDescent="0.25">
      <c r="A6769" s="75">
        <v>40151712</v>
      </c>
      <c r="B6769" s="76" t="s">
        <v>13388</v>
      </c>
    </row>
    <row r="6770" spans="1:2" x14ac:dyDescent="0.25">
      <c r="A6770" s="75">
        <v>40151713</v>
      </c>
      <c r="B6770" s="76" t="s">
        <v>8819</v>
      </c>
    </row>
    <row r="6771" spans="1:2" x14ac:dyDescent="0.25">
      <c r="A6771" s="75">
        <v>40151714</v>
      </c>
      <c r="B6771" s="76" t="s">
        <v>6487</v>
      </c>
    </row>
    <row r="6772" spans="1:2" x14ac:dyDescent="0.25">
      <c r="A6772" s="75">
        <v>40151715</v>
      </c>
      <c r="B6772" s="76" t="s">
        <v>11518</v>
      </c>
    </row>
    <row r="6773" spans="1:2" x14ac:dyDescent="0.25">
      <c r="A6773" s="75">
        <v>40151716</v>
      </c>
      <c r="B6773" s="76" t="s">
        <v>4419</v>
      </c>
    </row>
    <row r="6774" spans="1:2" x14ac:dyDescent="0.25">
      <c r="A6774" s="75">
        <v>40151717</v>
      </c>
      <c r="B6774" s="76" t="s">
        <v>5734</v>
      </c>
    </row>
    <row r="6775" spans="1:2" x14ac:dyDescent="0.25">
      <c r="A6775" s="75">
        <v>40151718</v>
      </c>
      <c r="B6775" s="76" t="s">
        <v>6382</v>
      </c>
    </row>
    <row r="6776" spans="1:2" x14ac:dyDescent="0.25">
      <c r="A6776" s="75">
        <v>40151719</v>
      </c>
      <c r="B6776" s="76" t="s">
        <v>10900</v>
      </c>
    </row>
    <row r="6777" spans="1:2" x14ac:dyDescent="0.25">
      <c r="A6777" s="75">
        <v>40151720</v>
      </c>
      <c r="B6777" s="76" t="s">
        <v>9573</v>
      </c>
    </row>
    <row r="6778" spans="1:2" x14ac:dyDescent="0.25">
      <c r="A6778" s="75">
        <v>40151721</v>
      </c>
      <c r="B6778" s="76" t="s">
        <v>11537</v>
      </c>
    </row>
    <row r="6779" spans="1:2" x14ac:dyDescent="0.25">
      <c r="A6779" s="75">
        <v>40151722</v>
      </c>
      <c r="B6779" s="76" t="s">
        <v>5821</v>
      </c>
    </row>
    <row r="6780" spans="1:2" x14ac:dyDescent="0.25">
      <c r="A6780" s="75">
        <v>40151723</v>
      </c>
      <c r="B6780" s="76" t="s">
        <v>18217</v>
      </c>
    </row>
    <row r="6781" spans="1:2" x14ac:dyDescent="0.25">
      <c r="A6781" s="75">
        <v>40151724</v>
      </c>
      <c r="B6781" s="76" t="s">
        <v>5928</v>
      </c>
    </row>
    <row r="6782" spans="1:2" x14ac:dyDescent="0.25">
      <c r="A6782" s="75">
        <v>40151725</v>
      </c>
      <c r="B6782" s="76" t="s">
        <v>5686</v>
      </c>
    </row>
    <row r="6783" spans="1:2" x14ac:dyDescent="0.25">
      <c r="A6783" s="75">
        <v>40151726</v>
      </c>
      <c r="B6783" s="76" t="s">
        <v>209</v>
      </c>
    </row>
    <row r="6784" spans="1:2" x14ac:dyDescent="0.25">
      <c r="A6784" s="75">
        <v>40151727</v>
      </c>
      <c r="B6784" s="76" t="s">
        <v>1228</v>
      </c>
    </row>
    <row r="6785" spans="1:2" x14ac:dyDescent="0.25">
      <c r="A6785" s="75">
        <v>40151728</v>
      </c>
      <c r="B6785" s="76" t="s">
        <v>7203</v>
      </c>
    </row>
    <row r="6786" spans="1:2" x14ac:dyDescent="0.25">
      <c r="A6786" s="75">
        <v>40161501</v>
      </c>
      <c r="B6786" s="76" t="s">
        <v>10361</v>
      </c>
    </row>
    <row r="6787" spans="1:2" x14ac:dyDescent="0.25">
      <c r="A6787" s="75">
        <v>40161502</v>
      </c>
      <c r="B6787" s="76" t="s">
        <v>9838</v>
      </c>
    </row>
    <row r="6788" spans="1:2" x14ac:dyDescent="0.25">
      <c r="A6788" s="75">
        <v>40161503</v>
      </c>
      <c r="B6788" s="76" t="s">
        <v>16718</v>
      </c>
    </row>
    <row r="6789" spans="1:2" x14ac:dyDescent="0.25">
      <c r="A6789" s="75">
        <v>40161504</v>
      </c>
      <c r="B6789" s="76" t="s">
        <v>2225</v>
      </c>
    </row>
    <row r="6790" spans="1:2" x14ac:dyDescent="0.25">
      <c r="A6790" s="75">
        <v>40161505</v>
      </c>
      <c r="B6790" s="76" t="s">
        <v>13876</v>
      </c>
    </row>
    <row r="6791" spans="1:2" x14ac:dyDescent="0.25">
      <c r="A6791" s="75">
        <v>40161506</v>
      </c>
      <c r="B6791" s="76" t="s">
        <v>9251</v>
      </c>
    </row>
    <row r="6792" spans="1:2" x14ac:dyDescent="0.25">
      <c r="A6792" s="75">
        <v>40161507</v>
      </c>
      <c r="B6792" s="76" t="s">
        <v>12491</v>
      </c>
    </row>
    <row r="6793" spans="1:2" x14ac:dyDescent="0.25">
      <c r="A6793" s="75">
        <v>40161508</v>
      </c>
      <c r="B6793" s="76" t="s">
        <v>18968</v>
      </c>
    </row>
    <row r="6794" spans="1:2" x14ac:dyDescent="0.25">
      <c r="A6794" s="75">
        <v>40161509</v>
      </c>
      <c r="B6794" s="76" t="s">
        <v>7052</v>
      </c>
    </row>
    <row r="6795" spans="1:2" x14ac:dyDescent="0.25">
      <c r="A6795" s="75">
        <v>40161511</v>
      </c>
      <c r="B6795" s="76" t="s">
        <v>11088</v>
      </c>
    </row>
    <row r="6796" spans="1:2" x14ac:dyDescent="0.25">
      <c r="A6796" s="75">
        <v>40161512</v>
      </c>
      <c r="B6796" s="76" t="s">
        <v>4794</v>
      </c>
    </row>
    <row r="6797" spans="1:2" x14ac:dyDescent="0.25">
      <c r="A6797" s="75">
        <v>40161513</v>
      </c>
      <c r="B6797" s="76" t="s">
        <v>1328</v>
      </c>
    </row>
    <row r="6798" spans="1:2" x14ac:dyDescent="0.25">
      <c r="A6798" s="75">
        <v>40161514</v>
      </c>
      <c r="B6798" s="76" t="s">
        <v>9305</v>
      </c>
    </row>
    <row r="6799" spans="1:2" x14ac:dyDescent="0.25">
      <c r="A6799" s="75">
        <v>40161515</v>
      </c>
      <c r="B6799" s="76" t="s">
        <v>11336</v>
      </c>
    </row>
    <row r="6800" spans="1:2" x14ac:dyDescent="0.25">
      <c r="A6800" s="75">
        <v>40161516</v>
      </c>
      <c r="B6800" s="76" t="s">
        <v>15910</v>
      </c>
    </row>
    <row r="6801" spans="1:2" x14ac:dyDescent="0.25">
      <c r="A6801" s="75">
        <v>40161517</v>
      </c>
      <c r="B6801" s="76" t="s">
        <v>3957</v>
      </c>
    </row>
    <row r="6802" spans="1:2" x14ac:dyDescent="0.25">
      <c r="A6802" s="75">
        <v>40161518</v>
      </c>
      <c r="B6802" s="76" t="s">
        <v>10074</v>
      </c>
    </row>
    <row r="6803" spans="1:2" x14ac:dyDescent="0.25">
      <c r="A6803" s="75">
        <v>40161519</v>
      </c>
      <c r="B6803" s="76" t="s">
        <v>8087</v>
      </c>
    </row>
    <row r="6804" spans="1:2" x14ac:dyDescent="0.25">
      <c r="A6804" s="75">
        <v>40161520</v>
      </c>
      <c r="B6804" s="76" t="s">
        <v>7910</v>
      </c>
    </row>
    <row r="6805" spans="1:2" x14ac:dyDescent="0.25">
      <c r="A6805" s="75">
        <v>40161521</v>
      </c>
      <c r="B6805" s="76" t="s">
        <v>14019</v>
      </c>
    </row>
    <row r="6806" spans="1:2" x14ac:dyDescent="0.25">
      <c r="A6806" s="75">
        <v>40161522</v>
      </c>
      <c r="B6806" s="76" t="s">
        <v>17537</v>
      </c>
    </row>
    <row r="6807" spans="1:2" x14ac:dyDescent="0.25">
      <c r="A6807" s="75">
        <v>40161524</v>
      </c>
      <c r="B6807" s="76" t="s">
        <v>4763</v>
      </c>
    </row>
    <row r="6808" spans="1:2" x14ac:dyDescent="0.25">
      <c r="A6808" s="75">
        <v>40161525</v>
      </c>
      <c r="B6808" s="76" t="s">
        <v>33</v>
      </c>
    </row>
    <row r="6809" spans="1:2" x14ac:dyDescent="0.25">
      <c r="A6809" s="75">
        <v>40161526</v>
      </c>
      <c r="B6809" s="76" t="s">
        <v>6156</v>
      </c>
    </row>
    <row r="6810" spans="1:2" x14ac:dyDescent="0.25">
      <c r="A6810" s="75">
        <v>40161527</v>
      </c>
      <c r="B6810" s="76" t="s">
        <v>1932</v>
      </c>
    </row>
    <row r="6811" spans="1:2" x14ac:dyDescent="0.25">
      <c r="A6811" s="75">
        <v>40161601</v>
      </c>
      <c r="B6811" s="76" t="s">
        <v>12983</v>
      </c>
    </row>
    <row r="6812" spans="1:2" x14ac:dyDescent="0.25">
      <c r="A6812" s="75">
        <v>40161602</v>
      </c>
      <c r="B6812" s="76" t="s">
        <v>8406</v>
      </c>
    </row>
    <row r="6813" spans="1:2" x14ac:dyDescent="0.25">
      <c r="A6813" s="75">
        <v>40161701</v>
      </c>
      <c r="B6813" s="76" t="s">
        <v>19159</v>
      </c>
    </row>
    <row r="6814" spans="1:2" x14ac:dyDescent="0.25">
      <c r="A6814" s="75">
        <v>40161702</v>
      </c>
      <c r="B6814" s="76" t="s">
        <v>651</v>
      </c>
    </row>
    <row r="6815" spans="1:2" x14ac:dyDescent="0.25">
      <c r="A6815" s="75">
        <v>40161703</v>
      </c>
      <c r="B6815" s="76" t="s">
        <v>16523</v>
      </c>
    </row>
    <row r="6816" spans="1:2" x14ac:dyDescent="0.25">
      <c r="A6816" s="75">
        <v>40161704</v>
      </c>
      <c r="B6816" s="76" t="s">
        <v>14252</v>
      </c>
    </row>
    <row r="6817" spans="1:2" x14ac:dyDescent="0.25">
      <c r="A6817" s="75">
        <v>40161801</v>
      </c>
      <c r="B6817" s="76" t="s">
        <v>7070</v>
      </c>
    </row>
    <row r="6818" spans="1:2" x14ac:dyDescent="0.25">
      <c r="A6818" s="75">
        <v>40161802</v>
      </c>
      <c r="B6818" s="76" t="s">
        <v>16796</v>
      </c>
    </row>
    <row r="6819" spans="1:2" x14ac:dyDescent="0.25">
      <c r="A6819" s="75">
        <v>40161803</v>
      </c>
      <c r="B6819" s="76" t="s">
        <v>12394</v>
      </c>
    </row>
    <row r="6820" spans="1:2" x14ac:dyDescent="0.25">
      <c r="A6820" s="75">
        <v>40161804</v>
      </c>
      <c r="B6820" s="76" t="s">
        <v>8821</v>
      </c>
    </row>
    <row r="6821" spans="1:2" x14ac:dyDescent="0.25">
      <c r="A6821" s="75">
        <v>40161805</v>
      </c>
      <c r="B6821" s="76" t="s">
        <v>5217</v>
      </c>
    </row>
    <row r="6822" spans="1:2" x14ac:dyDescent="0.25">
      <c r="A6822" s="75">
        <v>40161806</v>
      </c>
      <c r="B6822" s="76" t="s">
        <v>17186</v>
      </c>
    </row>
    <row r="6823" spans="1:2" x14ac:dyDescent="0.25">
      <c r="A6823" s="75">
        <v>41101502</v>
      </c>
      <c r="B6823" s="76" t="s">
        <v>9742</v>
      </c>
    </row>
    <row r="6824" spans="1:2" x14ac:dyDescent="0.25">
      <c r="A6824" s="75">
        <v>41101503</v>
      </c>
      <c r="B6824" s="76" t="s">
        <v>15034</v>
      </c>
    </row>
    <row r="6825" spans="1:2" x14ac:dyDescent="0.25">
      <c r="A6825" s="75">
        <v>41101504</v>
      </c>
      <c r="B6825" s="76" t="s">
        <v>6217</v>
      </c>
    </row>
    <row r="6826" spans="1:2" x14ac:dyDescent="0.25">
      <c r="A6826" s="75">
        <v>41101505</v>
      </c>
      <c r="B6826" s="76" t="s">
        <v>10767</v>
      </c>
    </row>
    <row r="6827" spans="1:2" x14ac:dyDescent="0.25">
      <c r="A6827" s="75">
        <v>41101515</v>
      </c>
      <c r="B6827" s="76" t="s">
        <v>10543</v>
      </c>
    </row>
    <row r="6828" spans="1:2" x14ac:dyDescent="0.25">
      <c r="A6828" s="75">
        <v>41101516</v>
      </c>
      <c r="B6828" s="76" t="s">
        <v>5289</v>
      </c>
    </row>
    <row r="6829" spans="1:2" x14ac:dyDescent="0.25">
      <c r="A6829" s="75">
        <v>41101518</v>
      </c>
      <c r="B6829" s="76" t="s">
        <v>9746</v>
      </c>
    </row>
    <row r="6830" spans="1:2" x14ac:dyDescent="0.25">
      <c r="A6830" s="75">
        <v>41101701</v>
      </c>
      <c r="B6830" s="76" t="s">
        <v>17568</v>
      </c>
    </row>
    <row r="6831" spans="1:2" x14ac:dyDescent="0.25">
      <c r="A6831" s="75">
        <v>41101702</v>
      </c>
      <c r="B6831" s="76" t="s">
        <v>12146</v>
      </c>
    </row>
    <row r="6832" spans="1:2" x14ac:dyDescent="0.25">
      <c r="A6832" s="75">
        <v>41101703</v>
      </c>
      <c r="B6832" s="76" t="s">
        <v>7970</v>
      </c>
    </row>
    <row r="6833" spans="1:2" x14ac:dyDescent="0.25">
      <c r="A6833" s="75">
        <v>41101705</v>
      </c>
      <c r="B6833" s="76" t="s">
        <v>17679</v>
      </c>
    </row>
    <row r="6834" spans="1:2" x14ac:dyDescent="0.25">
      <c r="A6834" s="75">
        <v>41101706</v>
      </c>
      <c r="B6834" s="76" t="s">
        <v>17395</v>
      </c>
    </row>
    <row r="6835" spans="1:2" x14ac:dyDescent="0.25">
      <c r="A6835" s="75">
        <v>41101707</v>
      </c>
      <c r="B6835" s="76" t="s">
        <v>3423</v>
      </c>
    </row>
    <row r="6836" spans="1:2" x14ac:dyDescent="0.25">
      <c r="A6836" s="75">
        <v>41101801</v>
      </c>
      <c r="B6836" s="76" t="s">
        <v>11342</v>
      </c>
    </row>
    <row r="6837" spans="1:2" x14ac:dyDescent="0.25">
      <c r="A6837" s="75">
        <v>41101802</v>
      </c>
      <c r="B6837" s="76" t="s">
        <v>10738</v>
      </c>
    </row>
    <row r="6838" spans="1:2" x14ac:dyDescent="0.25">
      <c r="A6838" s="75">
        <v>41101803</v>
      </c>
      <c r="B6838" s="76" t="s">
        <v>12061</v>
      </c>
    </row>
    <row r="6839" spans="1:2" x14ac:dyDescent="0.25">
      <c r="A6839" s="75">
        <v>41101804</v>
      </c>
      <c r="B6839" s="76" t="s">
        <v>6599</v>
      </c>
    </row>
    <row r="6840" spans="1:2" x14ac:dyDescent="0.25">
      <c r="A6840" s="75">
        <v>41101805</v>
      </c>
      <c r="B6840" s="76" t="s">
        <v>10803</v>
      </c>
    </row>
    <row r="6841" spans="1:2" x14ac:dyDescent="0.25">
      <c r="A6841" s="75">
        <v>41101806</v>
      </c>
      <c r="B6841" s="76" t="s">
        <v>770</v>
      </c>
    </row>
    <row r="6842" spans="1:2" x14ac:dyDescent="0.25">
      <c r="A6842" s="75">
        <v>41101807</v>
      </c>
      <c r="B6842" s="76" t="s">
        <v>9786</v>
      </c>
    </row>
    <row r="6843" spans="1:2" x14ac:dyDescent="0.25">
      <c r="A6843" s="75">
        <v>41101808</v>
      </c>
      <c r="B6843" s="76" t="s">
        <v>7517</v>
      </c>
    </row>
    <row r="6844" spans="1:2" x14ac:dyDescent="0.25">
      <c r="A6844" s="75">
        <v>41101809</v>
      </c>
      <c r="B6844" s="76" t="s">
        <v>1466</v>
      </c>
    </row>
    <row r="6845" spans="1:2" x14ac:dyDescent="0.25">
      <c r="A6845" s="75">
        <v>41101810</v>
      </c>
      <c r="B6845" s="76" t="s">
        <v>7957</v>
      </c>
    </row>
    <row r="6846" spans="1:2" x14ac:dyDescent="0.25">
      <c r="A6846" s="75">
        <v>41101901</v>
      </c>
      <c r="B6846" s="76" t="s">
        <v>18008</v>
      </c>
    </row>
    <row r="6847" spans="1:2" x14ac:dyDescent="0.25">
      <c r="A6847" s="75">
        <v>41101902</v>
      </c>
      <c r="B6847" s="76" t="s">
        <v>11729</v>
      </c>
    </row>
    <row r="6848" spans="1:2" x14ac:dyDescent="0.25">
      <c r="A6848" s="75">
        <v>41101903</v>
      </c>
      <c r="B6848" s="76" t="s">
        <v>17555</v>
      </c>
    </row>
    <row r="6849" spans="1:2" x14ac:dyDescent="0.25">
      <c r="A6849" s="75">
        <v>41102401</v>
      </c>
      <c r="B6849" s="76" t="s">
        <v>5113</v>
      </c>
    </row>
    <row r="6850" spans="1:2" x14ac:dyDescent="0.25">
      <c r="A6850" s="75">
        <v>41102402</v>
      </c>
      <c r="B6850" s="76" t="s">
        <v>15598</v>
      </c>
    </row>
    <row r="6851" spans="1:2" x14ac:dyDescent="0.25">
      <c r="A6851" s="75">
        <v>41102403</v>
      </c>
      <c r="B6851" s="76" t="s">
        <v>864</v>
      </c>
    </row>
    <row r="6852" spans="1:2" x14ac:dyDescent="0.25">
      <c r="A6852" s="75">
        <v>41102404</v>
      </c>
      <c r="B6852" s="76" t="s">
        <v>17867</v>
      </c>
    </row>
    <row r="6853" spans="1:2" x14ac:dyDescent="0.25">
      <c r="A6853" s="75">
        <v>41102405</v>
      </c>
      <c r="B6853" s="76" t="s">
        <v>11833</v>
      </c>
    </row>
    <row r="6854" spans="1:2" x14ac:dyDescent="0.25">
      <c r="A6854" s="75">
        <v>41102406</v>
      </c>
      <c r="B6854" s="76" t="s">
        <v>18010</v>
      </c>
    </row>
    <row r="6855" spans="1:2" x14ac:dyDescent="0.25">
      <c r="A6855" s="75">
        <v>41102407</v>
      </c>
      <c r="B6855" s="76" t="s">
        <v>19290</v>
      </c>
    </row>
    <row r="6856" spans="1:2" x14ac:dyDescent="0.25">
      <c r="A6856" s="75">
        <v>41102410</v>
      </c>
      <c r="B6856" s="76" t="s">
        <v>10994</v>
      </c>
    </row>
    <row r="6857" spans="1:2" x14ac:dyDescent="0.25">
      <c r="A6857" s="75">
        <v>41102412</v>
      </c>
      <c r="B6857" s="76" t="s">
        <v>14325</v>
      </c>
    </row>
    <row r="6858" spans="1:2" x14ac:dyDescent="0.25">
      <c r="A6858" s="75">
        <v>41102421</v>
      </c>
      <c r="B6858" s="76" t="s">
        <v>13899</v>
      </c>
    </row>
    <row r="6859" spans="1:2" x14ac:dyDescent="0.25">
      <c r="A6859" s="75">
        <v>41102422</v>
      </c>
      <c r="B6859" s="76" t="s">
        <v>5742</v>
      </c>
    </row>
    <row r="6860" spans="1:2" x14ac:dyDescent="0.25">
      <c r="A6860" s="75">
        <v>41102423</v>
      </c>
      <c r="B6860" s="76" t="s">
        <v>17277</v>
      </c>
    </row>
    <row r="6861" spans="1:2" x14ac:dyDescent="0.25">
      <c r="A6861" s="75">
        <v>41102424</v>
      </c>
      <c r="B6861" s="76" t="s">
        <v>4785</v>
      </c>
    </row>
    <row r="6862" spans="1:2" x14ac:dyDescent="0.25">
      <c r="A6862" s="75">
        <v>41102425</v>
      </c>
      <c r="B6862" s="76" t="s">
        <v>9311</v>
      </c>
    </row>
    <row r="6863" spans="1:2" x14ac:dyDescent="0.25">
      <c r="A6863" s="75">
        <v>41102426</v>
      </c>
      <c r="B6863" s="76" t="s">
        <v>2221</v>
      </c>
    </row>
    <row r="6864" spans="1:2" x14ac:dyDescent="0.25">
      <c r="A6864" s="75">
        <v>41102501</v>
      </c>
      <c r="B6864" s="76" t="s">
        <v>6522</v>
      </c>
    </row>
    <row r="6865" spans="1:2" x14ac:dyDescent="0.25">
      <c r="A6865" s="75">
        <v>41102502</v>
      </c>
      <c r="B6865" s="76" t="s">
        <v>13851</v>
      </c>
    </row>
    <row r="6866" spans="1:2" x14ac:dyDescent="0.25">
      <c r="A6866" s="75">
        <v>41102503</v>
      </c>
      <c r="B6866" s="76" t="s">
        <v>3762</v>
      </c>
    </row>
    <row r="6867" spans="1:2" x14ac:dyDescent="0.25">
      <c r="A6867" s="75">
        <v>41102504</v>
      </c>
      <c r="B6867" s="76" t="s">
        <v>5475</v>
      </c>
    </row>
    <row r="6868" spans="1:2" x14ac:dyDescent="0.25">
      <c r="A6868" s="75">
        <v>41102505</v>
      </c>
      <c r="B6868" s="76" t="s">
        <v>14957</v>
      </c>
    </row>
    <row r="6869" spans="1:2" x14ac:dyDescent="0.25">
      <c r="A6869" s="75">
        <v>41102506</v>
      </c>
      <c r="B6869" s="76" t="s">
        <v>9341</v>
      </c>
    </row>
    <row r="6870" spans="1:2" x14ac:dyDescent="0.25">
      <c r="A6870" s="75">
        <v>41102507</v>
      </c>
      <c r="B6870" s="76" t="s">
        <v>443</v>
      </c>
    </row>
    <row r="6871" spans="1:2" x14ac:dyDescent="0.25">
      <c r="A6871" s="75">
        <v>41102508</v>
      </c>
      <c r="B6871" s="76" t="s">
        <v>2809</v>
      </c>
    </row>
    <row r="6872" spans="1:2" x14ac:dyDescent="0.25">
      <c r="A6872" s="75">
        <v>41102509</v>
      </c>
      <c r="B6872" s="76" t="s">
        <v>15766</v>
      </c>
    </row>
    <row r="6873" spans="1:2" x14ac:dyDescent="0.25">
      <c r="A6873" s="75">
        <v>41102510</v>
      </c>
      <c r="B6873" s="76" t="s">
        <v>7409</v>
      </c>
    </row>
    <row r="6874" spans="1:2" x14ac:dyDescent="0.25">
      <c r="A6874" s="75">
        <v>41102511</v>
      </c>
      <c r="B6874" s="76" t="s">
        <v>13235</v>
      </c>
    </row>
    <row r="6875" spans="1:2" x14ac:dyDescent="0.25">
      <c r="A6875" s="75">
        <v>41102512</v>
      </c>
      <c r="B6875" s="76" t="s">
        <v>3331</v>
      </c>
    </row>
    <row r="6876" spans="1:2" x14ac:dyDescent="0.25">
      <c r="A6876" s="75">
        <v>41102513</v>
      </c>
      <c r="B6876" s="76" t="s">
        <v>13162</v>
      </c>
    </row>
    <row r="6877" spans="1:2" x14ac:dyDescent="0.25">
      <c r="A6877" s="75">
        <v>41102601</v>
      </c>
      <c r="B6877" s="76" t="s">
        <v>10271</v>
      </c>
    </row>
    <row r="6878" spans="1:2" x14ac:dyDescent="0.25">
      <c r="A6878" s="75">
        <v>41102602</v>
      </c>
      <c r="B6878" s="76" t="s">
        <v>17879</v>
      </c>
    </row>
    <row r="6879" spans="1:2" x14ac:dyDescent="0.25">
      <c r="A6879" s="75">
        <v>41102603</v>
      </c>
      <c r="B6879" s="76" t="s">
        <v>13715</v>
      </c>
    </row>
    <row r="6880" spans="1:2" x14ac:dyDescent="0.25">
      <c r="A6880" s="75">
        <v>41102604</v>
      </c>
      <c r="B6880" s="76" t="s">
        <v>13654</v>
      </c>
    </row>
    <row r="6881" spans="1:2" x14ac:dyDescent="0.25">
      <c r="A6881" s="75">
        <v>41102605</v>
      </c>
      <c r="B6881" s="76" t="s">
        <v>10325</v>
      </c>
    </row>
    <row r="6882" spans="1:2" x14ac:dyDescent="0.25">
      <c r="A6882" s="75">
        <v>41102606</v>
      </c>
      <c r="B6882" s="76" t="s">
        <v>4213</v>
      </c>
    </row>
    <row r="6883" spans="1:2" x14ac:dyDescent="0.25">
      <c r="A6883" s="75">
        <v>41102607</v>
      </c>
      <c r="B6883" s="76" t="s">
        <v>17396</v>
      </c>
    </row>
    <row r="6884" spans="1:2" x14ac:dyDescent="0.25">
      <c r="A6884" s="75">
        <v>41102608</v>
      </c>
      <c r="B6884" s="76" t="s">
        <v>8330</v>
      </c>
    </row>
    <row r="6885" spans="1:2" x14ac:dyDescent="0.25">
      <c r="A6885" s="75">
        <v>41102701</v>
      </c>
      <c r="B6885" s="76" t="s">
        <v>8930</v>
      </c>
    </row>
    <row r="6886" spans="1:2" x14ac:dyDescent="0.25">
      <c r="A6886" s="75">
        <v>41102702</v>
      </c>
      <c r="B6886" s="76" t="s">
        <v>11374</v>
      </c>
    </row>
    <row r="6887" spans="1:2" x14ac:dyDescent="0.25">
      <c r="A6887" s="75">
        <v>41102703</v>
      </c>
      <c r="B6887" s="76" t="s">
        <v>12433</v>
      </c>
    </row>
    <row r="6888" spans="1:2" x14ac:dyDescent="0.25">
      <c r="A6888" s="75">
        <v>41102704</v>
      </c>
      <c r="B6888" s="76" t="s">
        <v>15163</v>
      </c>
    </row>
    <row r="6889" spans="1:2" x14ac:dyDescent="0.25">
      <c r="A6889" s="75">
        <v>41102705</v>
      </c>
      <c r="B6889" s="76" t="s">
        <v>6972</v>
      </c>
    </row>
    <row r="6890" spans="1:2" x14ac:dyDescent="0.25">
      <c r="A6890" s="75">
        <v>41102706</v>
      </c>
      <c r="B6890" s="76" t="s">
        <v>6595</v>
      </c>
    </row>
    <row r="6891" spans="1:2" x14ac:dyDescent="0.25">
      <c r="A6891" s="75">
        <v>41102901</v>
      </c>
      <c r="B6891" s="76" t="s">
        <v>17639</v>
      </c>
    </row>
    <row r="6892" spans="1:2" x14ac:dyDescent="0.25">
      <c r="A6892" s="75">
        <v>41102902</v>
      </c>
      <c r="B6892" s="76" t="s">
        <v>12104</v>
      </c>
    </row>
    <row r="6893" spans="1:2" x14ac:dyDescent="0.25">
      <c r="A6893" s="75">
        <v>41102903</v>
      </c>
      <c r="B6893" s="76" t="s">
        <v>13882</v>
      </c>
    </row>
    <row r="6894" spans="1:2" x14ac:dyDescent="0.25">
      <c r="A6894" s="75">
        <v>41102904</v>
      </c>
      <c r="B6894" s="76" t="s">
        <v>519</v>
      </c>
    </row>
    <row r="6895" spans="1:2" x14ac:dyDescent="0.25">
      <c r="A6895" s="75">
        <v>41102905</v>
      </c>
      <c r="B6895" s="76" t="s">
        <v>11700</v>
      </c>
    </row>
    <row r="6896" spans="1:2" x14ac:dyDescent="0.25">
      <c r="A6896" s="75">
        <v>41102909</v>
      </c>
      <c r="B6896" s="76" t="s">
        <v>10904</v>
      </c>
    </row>
    <row r="6897" spans="1:2" x14ac:dyDescent="0.25">
      <c r="A6897" s="75">
        <v>41102910</v>
      </c>
      <c r="B6897" s="76" t="s">
        <v>4294</v>
      </c>
    </row>
    <row r="6898" spans="1:2" x14ac:dyDescent="0.25">
      <c r="A6898" s="75">
        <v>41102911</v>
      </c>
      <c r="B6898" s="76" t="s">
        <v>18871</v>
      </c>
    </row>
    <row r="6899" spans="1:2" x14ac:dyDescent="0.25">
      <c r="A6899" s="75">
        <v>41102912</v>
      </c>
      <c r="B6899" s="76" t="s">
        <v>12810</v>
      </c>
    </row>
    <row r="6900" spans="1:2" x14ac:dyDescent="0.25">
      <c r="A6900" s="75">
        <v>41102913</v>
      </c>
      <c r="B6900" s="76" t="s">
        <v>2215</v>
      </c>
    </row>
    <row r="6901" spans="1:2" x14ac:dyDescent="0.25">
      <c r="A6901" s="75">
        <v>41102914</v>
      </c>
      <c r="B6901" s="76" t="s">
        <v>9449</v>
      </c>
    </row>
    <row r="6902" spans="1:2" x14ac:dyDescent="0.25">
      <c r="A6902" s="75">
        <v>41102915</v>
      </c>
      <c r="B6902" s="76" t="s">
        <v>15866</v>
      </c>
    </row>
    <row r="6903" spans="1:2" x14ac:dyDescent="0.25">
      <c r="A6903" s="75">
        <v>41102916</v>
      </c>
      <c r="B6903" s="76" t="s">
        <v>684</v>
      </c>
    </row>
    <row r="6904" spans="1:2" x14ac:dyDescent="0.25">
      <c r="A6904" s="75">
        <v>41102917</v>
      </c>
      <c r="B6904" s="76" t="s">
        <v>7954</v>
      </c>
    </row>
    <row r="6905" spans="1:2" x14ac:dyDescent="0.25">
      <c r="A6905" s="75">
        <v>41102918</v>
      </c>
      <c r="B6905" s="76" t="s">
        <v>18351</v>
      </c>
    </row>
    <row r="6906" spans="1:2" x14ac:dyDescent="0.25">
      <c r="A6906" s="75">
        <v>41102919</v>
      </c>
      <c r="B6906" s="76" t="s">
        <v>239</v>
      </c>
    </row>
    <row r="6907" spans="1:2" x14ac:dyDescent="0.25">
      <c r="A6907" s="75">
        <v>41102920</v>
      </c>
      <c r="B6907" s="76" t="s">
        <v>4467</v>
      </c>
    </row>
    <row r="6908" spans="1:2" x14ac:dyDescent="0.25">
      <c r="A6908" s="75">
        <v>41102921</v>
      </c>
      <c r="B6908" s="76" t="s">
        <v>18588</v>
      </c>
    </row>
    <row r="6909" spans="1:2" x14ac:dyDescent="0.25">
      <c r="A6909" s="75">
        <v>41102922</v>
      </c>
      <c r="B6909" s="76" t="s">
        <v>8282</v>
      </c>
    </row>
    <row r="6910" spans="1:2" x14ac:dyDescent="0.25">
      <c r="A6910" s="75">
        <v>41103001</v>
      </c>
      <c r="B6910" s="76" t="s">
        <v>13838</v>
      </c>
    </row>
    <row r="6911" spans="1:2" x14ac:dyDescent="0.25">
      <c r="A6911" s="75">
        <v>41103003</v>
      </c>
      <c r="B6911" s="76" t="s">
        <v>18582</v>
      </c>
    </row>
    <row r="6912" spans="1:2" x14ac:dyDescent="0.25">
      <c r="A6912" s="75">
        <v>41103004</v>
      </c>
      <c r="B6912" s="76" t="s">
        <v>7304</v>
      </c>
    </row>
    <row r="6913" spans="1:2" x14ac:dyDescent="0.25">
      <c r="A6913" s="75">
        <v>41103005</v>
      </c>
      <c r="B6913" s="76" t="s">
        <v>2099</v>
      </c>
    </row>
    <row r="6914" spans="1:2" x14ac:dyDescent="0.25">
      <c r="A6914" s="75">
        <v>41103006</v>
      </c>
      <c r="B6914" s="76" t="s">
        <v>11852</v>
      </c>
    </row>
    <row r="6915" spans="1:2" x14ac:dyDescent="0.25">
      <c r="A6915" s="75">
        <v>41103007</v>
      </c>
      <c r="B6915" s="76" t="s">
        <v>17903</v>
      </c>
    </row>
    <row r="6916" spans="1:2" x14ac:dyDescent="0.25">
      <c r="A6916" s="75">
        <v>41103008</v>
      </c>
      <c r="B6916" s="76" t="s">
        <v>1357</v>
      </c>
    </row>
    <row r="6917" spans="1:2" x14ac:dyDescent="0.25">
      <c r="A6917" s="75">
        <v>41103010</v>
      </c>
      <c r="B6917" s="76" t="s">
        <v>9604</v>
      </c>
    </row>
    <row r="6918" spans="1:2" x14ac:dyDescent="0.25">
      <c r="A6918" s="75">
        <v>41103011</v>
      </c>
      <c r="B6918" s="76" t="s">
        <v>7006</v>
      </c>
    </row>
    <row r="6919" spans="1:2" x14ac:dyDescent="0.25">
      <c r="A6919" s="75">
        <v>41103012</v>
      </c>
      <c r="B6919" s="76" t="s">
        <v>8557</v>
      </c>
    </row>
    <row r="6920" spans="1:2" x14ac:dyDescent="0.25">
      <c r="A6920" s="75">
        <v>41103013</v>
      </c>
      <c r="B6920" s="76" t="s">
        <v>7313</v>
      </c>
    </row>
    <row r="6921" spans="1:2" x14ac:dyDescent="0.25">
      <c r="A6921" s="75">
        <v>41103014</v>
      </c>
      <c r="B6921" s="76" t="s">
        <v>15902</v>
      </c>
    </row>
    <row r="6922" spans="1:2" x14ac:dyDescent="0.25">
      <c r="A6922" s="75">
        <v>41103015</v>
      </c>
      <c r="B6922" s="76" t="s">
        <v>5362</v>
      </c>
    </row>
    <row r="6923" spans="1:2" x14ac:dyDescent="0.25">
      <c r="A6923" s="75">
        <v>41103017</v>
      </c>
      <c r="B6923" s="76" t="s">
        <v>4094</v>
      </c>
    </row>
    <row r="6924" spans="1:2" x14ac:dyDescent="0.25">
      <c r="A6924" s="75">
        <v>41103019</v>
      </c>
      <c r="B6924" s="76" t="s">
        <v>2481</v>
      </c>
    </row>
    <row r="6925" spans="1:2" x14ac:dyDescent="0.25">
      <c r="A6925" s="75">
        <v>41103020</v>
      </c>
      <c r="B6925" s="76" t="s">
        <v>963</v>
      </c>
    </row>
    <row r="6926" spans="1:2" x14ac:dyDescent="0.25">
      <c r="A6926" s="75">
        <v>41103021</v>
      </c>
      <c r="B6926" s="76" t="s">
        <v>17338</v>
      </c>
    </row>
    <row r="6927" spans="1:2" x14ac:dyDescent="0.25">
      <c r="A6927" s="75">
        <v>41103022</v>
      </c>
      <c r="B6927" s="76" t="s">
        <v>10195</v>
      </c>
    </row>
    <row r="6928" spans="1:2" x14ac:dyDescent="0.25">
      <c r="A6928" s="75">
        <v>41103023</v>
      </c>
      <c r="B6928" s="76" t="s">
        <v>6343</v>
      </c>
    </row>
    <row r="6929" spans="1:2" x14ac:dyDescent="0.25">
      <c r="A6929" s="75">
        <v>41103024</v>
      </c>
      <c r="B6929" s="76" t="s">
        <v>3860</v>
      </c>
    </row>
    <row r="6930" spans="1:2" x14ac:dyDescent="0.25">
      <c r="A6930" s="75">
        <v>41103025</v>
      </c>
      <c r="B6930" s="76" t="s">
        <v>333</v>
      </c>
    </row>
    <row r="6931" spans="1:2" x14ac:dyDescent="0.25">
      <c r="A6931" s="75">
        <v>41103201</v>
      </c>
      <c r="B6931" s="76" t="s">
        <v>8117</v>
      </c>
    </row>
    <row r="6932" spans="1:2" x14ac:dyDescent="0.25">
      <c r="A6932" s="75">
        <v>41103202</v>
      </c>
      <c r="B6932" s="76" t="s">
        <v>11876</v>
      </c>
    </row>
    <row r="6933" spans="1:2" x14ac:dyDescent="0.25">
      <c r="A6933" s="75">
        <v>41103203</v>
      </c>
      <c r="B6933" s="76" t="s">
        <v>14316</v>
      </c>
    </row>
    <row r="6934" spans="1:2" x14ac:dyDescent="0.25">
      <c r="A6934" s="75">
        <v>41103205</v>
      </c>
      <c r="B6934" s="76" t="s">
        <v>4004</v>
      </c>
    </row>
    <row r="6935" spans="1:2" x14ac:dyDescent="0.25">
      <c r="A6935" s="75">
        <v>41103206</v>
      </c>
      <c r="B6935" s="76" t="s">
        <v>6875</v>
      </c>
    </row>
    <row r="6936" spans="1:2" x14ac:dyDescent="0.25">
      <c r="A6936" s="75">
        <v>41103207</v>
      </c>
      <c r="B6936" s="76" t="s">
        <v>16125</v>
      </c>
    </row>
    <row r="6937" spans="1:2" x14ac:dyDescent="0.25">
      <c r="A6937" s="75">
        <v>41103208</v>
      </c>
      <c r="B6937" s="76" t="s">
        <v>13373</v>
      </c>
    </row>
    <row r="6938" spans="1:2" x14ac:dyDescent="0.25">
      <c r="A6938" s="75">
        <v>41103209</v>
      </c>
      <c r="B6938" s="76" t="s">
        <v>17103</v>
      </c>
    </row>
    <row r="6939" spans="1:2" x14ac:dyDescent="0.25">
      <c r="A6939" s="75">
        <v>41103210</v>
      </c>
      <c r="B6939" s="76" t="s">
        <v>1372</v>
      </c>
    </row>
    <row r="6940" spans="1:2" x14ac:dyDescent="0.25">
      <c r="A6940" s="75">
        <v>41103301</v>
      </c>
      <c r="B6940" s="76" t="s">
        <v>17146</v>
      </c>
    </row>
    <row r="6941" spans="1:2" x14ac:dyDescent="0.25">
      <c r="A6941" s="75">
        <v>41103302</v>
      </c>
      <c r="B6941" s="76" t="s">
        <v>6917</v>
      </c>
    </row>
    <row r="6942" spans="1:2" x14ac:dyDescent="0.25">
      <c r="A6942" s="75">
        <v>41103303</v>
      </c>
      <c r="B6942" s="76" t="s">
        <v>15164</v>
      </c>
    </row>
    <row r="6943" spans="1:2" x14ac:dyDescent="0.25">
      <c r="A6943" s="75">
        <v>41103305</v>
      </c>
      <c r="B6943" s="76" t="s">
        <v>15328</v>
      </c>
    </row>
    <row r="6944" spans="1:2" x14ac:dyDescent="0.25">
      <c r="A6944" s="75">
        <v>41103306</v>
      </c>
      <c r="B6944" s="76" t="s">
        <v>13506</v>
      </c>
    </row>
    <row r="6945" spans="1:2" x14ac:dyDescent="0.25">
      <c r="A6945" s="75">
        <v>41103307</v>
      </c>
      <c r="B6945" s="76" t="s">
        <v>1145</v>
      </c>
    </row>
    <row r="6946" spans="1:2" x14ac:dyDescent="0.25">
      <c r="A6946" s="75">
        <v>41103308</v>
      </c>
      <c r="B6946" s="76" t="s">
        <v>9216</v>
      </c>
    </row>
    <row r="6947" spans="1:2" x14ac:dyDescent="0.25">
      <c r="A6947" s="75">
        <v>41103309</v>
      </c>
      <c r="B6947" s="76" t="s">
        <v>7396</v>
      </c>
    </row>
    <row r="6948" spans="1:2" x14ac:dyDescent="0.25">
      <c r="A6948" s="75">
        <v>41103310</v>
      </c>
      <c r="B6948" s="76" t="s">
        <v>17196</v>
      </c>
    </row>
    <row r="6949" spans="1:2" x14ac:dyDescent="0.25">
      <c r="A6949" s="75">
        <v>41103311</v>
      </c>
      <c r="B6949" s="76" t="s">
        <v>17009</v>
      </c>
    </row>
    <row r="6950" spans="1:2" x14ac:dyDescent="0.25">
      <c r="A6950" s="75">
        <v>41103312</v>
      </c>
      <c r="B6950" s="76" t="s">
        <v>12073</v>
      </c>
    </row>
    <row r="6951" spans="1:2" x14ac:dyDescent="0.25">
      <c r="A6951" s="75">
        <v>41103313</v>
      </c>
      <c r="B6951" s="76" t="s">
        <v>18003</v>
      </c>
    </row>
    <row r="6952" spans="1:2" x14ac:dyDescent="0.25">
      <c r="A6952" s="75">
        <v>41103314</v>
      </c>
      <c r="B6952" s="76" t="s">
        <v>19182</v>
      </c>
    </row>
    <row r="6953" spans="1:2" x14ac:dyDescent="0.25">
      <c r="A6953" s="75">
        <v>41103315</v>
      </c>
      <c r="B6953" s="76" t="s">
        <v>16190</v>
      </c>
    </row>
    <row r="6954" spans="1:2" x14ac:dyDescent="0.25">
      <c r="A6954" s="75">
        <v>41103316</v>
      </c>
      <c r="B6954" s="76" t="s">
        <v>14053</v>
      </c>
    </row>
    <row r="6955" spans="1:2" x14ac:dyDescent="0.25">
      <c r="A6955" s="75">
        <v>41103317</v>
      </c>
      <c r="B6955" s="76" t="s">
        <v>15422</v>
      </c>
    </row>
    <row r="6956" spans="1:2" x14ac:dyDescent="0.25">
      <c r="A6956" s="75">
        <v>41103318</v>
      </c>
      <c r="B6956" s="76" t="s">
        <v>13806</v>
      </c>
    </row>
    <row r="6957" spans="1:2" x14ac:dyDescent="0.25">
      <c r="A6957" s="75">
        <v>41103401</v>
      </c>
      <c r="B6957" s="76" t="s">
        <v>12813</v>
      </c>
    </row>
    <row r="6958" spans="1:2" x14ac:dyDescent="0.25">
      <c r="A6958" s="75">
        <v>41103403</v>
      </c>
      <c r="B6958" s="76" t="s">
        <v>14597</v>
      </c>
    </row>
    <row r="6959" spans="1:2" x14ac:dyDescent="0.25">
      <c r="A6959" s="75">
        <v>41103406</v>
      </c>
      <c r="B6959" s="76" t="s">
        <v>14945</v>
      </c>
    </row>
    <row r="6960" spans="1:2" x14ac:dyDescent="0.25">
      <c r="A6960" s="75">
        <v>41103407</v>
      </c>
      <c r="B6960" s="76" t="s">
        <v>8537</v>
      </c>
    </row>
    <row r="6961" spans="1:2" x14ac:dyDescent="0.25">
      <c r="A6961" s="75">
        <v>41103408</v>
      </c>
      <c r="B6961" s="76" t="s">
        <v>5941</v>
      </c>
    </row>
    <row r="6962" spans="1:2" x14ac:dyDescent="0.25">
      <c r="A6962" s="75">
        <v>41103409</v>
      </c>
      <c r="B6962" s="76" t="s">
        <v>3315</v>
      </c>
    </row>
    <row r="6963" spans="1:2" x14ac:dyDescent="0.25">
      <c r="A6963" s="75">
        <v>41103410</v>
      </c>
      <c r="B6963" s="76" t="s">
        <v>8851</v>
      </c>
    </row>
    <row r="6964" spans="1:2" x14ac:dyDescent="0.25">
      <c r="A6964" s="75">
        <v>41103411</v>
      </c>
      <c r="B6964" s="76" t="s">
        <v>4846</v>
      </c>
    </row>
    <row r="6965" spans="1:2" x14ac:dyDescent="0.25">
      <c r="A6965" s="75">
        <v>41103412</v>
      </c>
      <c r="B6965" s="76" t="s">
        <v>9773</v>
      </c>
    </row>
    <row r="6966" spans="1:2" x14ac:dyDescent="0.25">
      <c r="A6966" s="75">
        <v>41103413</v>
      </c>
      <c r="B6966" s="76" t="s">
        <v>14188</v>
      </c>
    </row>
    <row r="6967" spans="1:2" x14ac:dyDescent="0.25">
      <c r="A6967" s="75">
        <v>41103414</v>
      </c>
      <c r="B6967" s="76" t="s">
        <v>19553</v>
      </c>
    </row>
    <row r="6968" spans="1:2" x14ac:dyDescent="0.25">
      <c r="A6968" s="75">
        <v>41103415</v>
      </c>
      <c r="B6968" s="76" t="s">
        <v>222</v>
      </c>
    </row>
    <row r="6969" spans="1:2" x14ac:dyDescent="0.25">
      <c r="A6969" s="75">
        <v>41103501</v>
      </c>
      <c r="B6969" s="76" t="s">
        <v>9832</v>
      </c>
    </row>
    <row r="6970" spans="1:2" x14ac:dyDescent="0.25">
      <c r="A6970" s="75">
        <v>41103502</v>
      </c>
      <c r="B6970" s="76" t="s">
        <v>5876</v>
      </c>
    </row>
    <row r="6971" spans="1:2" x14ac:dyDescent="0.25">
      <c r="A6971" s="75">
        <v>41103504</v>
      </c>
      <c r="B6971" s="76" t="s">
        <v>6061</v>
      </c>
    </row>
    <row r="6972" spans="1:2" x14ac:dyDescent="0.25">
      <c r="A6972" s="75">
        <v>41103506</v>
      </c>
      <c r="B6972" s="76" t="s">
        <v>8185</v>
      </c>
    </row>
    <row r="6973" spans="1:2" x14ac:dyDescent="0.25">
      <c r="A6973" s="75">
        <v>41103507</v>
      </c>
      <c r="B6973" s="76" t="s">
        <v>3542</v>
      </c>
    </row>
    <row r="6974" spans="1:2" x14ac:dyDescent="0.25">
      <c r="A6974" s="75">
        <v>41103508</v>
      </c>
      <c r="B6974" s="76" t="s">
        <v>9443</v>
      </c>
    </row>
    <row r="6975" spans="1:2" x14ac:dyDescent="0.25">
      <c r="A6975" s="75">
        <v>41103509</v>
      </c>
      <c r="B6975" s="76" t="s">
        <v>17711</v>
      </c>
    </row>
    <row r="6976" spans="1:2" x14ac:dyDescent="0.25">
      <c r="A6976" s="75">
        <v>41103510</v>
      </c>
      <c r="B6976" s="76" t="s">
        <v>2408</v>
      </c>
    </row>
    <row r="6977" spans="1:2" x14ac:dyDescent="0.25">
      <c r="A6977" s="75">
        <v>41103511</v>
      </c>
      <c r="B6977" s="76" t="s">
        <v>8995</v>
      </c>
    </row>
    <row r="6978" spans="1:2" x14ac:dyDescent="0.25">
      <c r="A6978" s="75">
        <v>41103512</v>
      </c>
      <c r="B6978" s="76" t="s">
        <v>18042</v>
      </c>
    </row>
    <row r="6979" spans="1:2" x14ac:dyDescent="0.25">
      <c r="A6979" s="75">
        <v>41103513</v>
      </c>
      <c r="B6979" s="76" t="s">
        <v>6818</v>
      </c>
    </row>
    <row r="6980" spans="1:2" x14ac:dyDescent="0.25">
      <c r="A6980" s="75">
        <v>41103701</v>
      </c>
      <c r="B6980" s="76" t="s">
        <v>18313</v>
      </c>
    </row>
    <row r="6981" spans="1:2" x14ac:dyDescent="0.25">
      <c r="A6981" s="75">
        <v>41103702</v>
      </c>
      <c r="B6981" s="76" t="s">
        <v>12984</v>
      </c>
    </row>
    <row r="6982" spans="1:2" x14ac:dyDescent="0.25">
      <c r="A6982" s="75">
        <v>41103703</v>
      </c>
      <c r="B6982" s="76" t="s">
        <v>5766</v>
      </c>
    </row>
    <row r="6983" spans="1:2" x14ac:dyDescent="0.25">
      <c r="A6983" s="75">
        <v>41103704</v>
      </c>
      <c r="B6983" s="76" t="s">
        <v>11402</v>
      </c>
    </row>
    <row r="6984" spans="1:2" x14ac:dyDescent="0.25">
      <c r="A6984" s="75">
        <v>41103705</v>
      </c>
      <c r="B6984" s="76" t="s">
        <v>4383</v>
      </c>
    </row>
    <row r="6985" spans="1:2" x14ac:dyDescent="0.25">
      <c r="A6985" s="75">
        <v>41103706</v>
      </c>
      <c r="B6985" s="76" t="s">
        <v>12678</v>
      </c>
    </row>
    <row r="6986" spans="1:2" x14ac:dyDescent="0.25">
      <c r="A6986" s="75">
        <v>41103707</v>
      </c>
      <c r="B6986" s="76" t="s">
        <v>3013</v>
      </c>
    </row>
    <row r="6987" spans="1:2" x14ac:dyDescent="0.25">
      <c r="A6987" s="75">
        <v>41103708</v>
      </c>
      <c r="B6987" s="76" t="s">
        <v>270</v>
      </c>
    </row>
    <row r="6988" spans="1:2" x14ac:dyDescent="0.25">
      <c r="A6988" s="75">
        <v>41103709</v>
      </c>
      <c r="B6988" s="76" t="s">
        <v>13308</v>
      </c>
    </row>
    <row r="6989" spans="1:2" x14ac:dyDescent="0.25">
      <c r="A6989" s="75">
        <v>41103710</v>
      </c>
      <c r="B6989" s="76" t="s">
        <v>4506</v>
      </c>
    </row>
    <row r="6990" spans="1:2" x14ac:dyDescent="0.25">
      <c r="A6990" s="75">
        <v>41103711</v>
      </c>
      <c r="B6990" s="76" t="s">
        <v>4745</v>
      </c>
    </row>
    <row r="6991" spans="1:2" x14ac:dyDescent="0.25">
      <c r="A6991" s="75">
        <v>41103712</v>
      </c>
      <c r="B6991" s="76" t="s">
        <v>9846</v>
      </c>
    </row>
    <row r="6992" spans="1:2" x14ac:dyDescent="0.25">
      <c r="A6992" s="75">
        <v>41103713</v>
      </c>
      <c r="B6992" s="76" t="s">
        <v>18049</v>
      </c>
    </row>
    <row r="6993" spans="1:2" x14ac:dyDescent="0.25">
      <c r="A6993" s="75">
        <v>41103714</v>
      </c>
      <c r="B6993" s="76" t="s">
        <v>9407</v>
      </c>
    </row>
    <row r="6994" spans="1:2" x14ac:dyDescent="0.25">
      <c r="A6994" s="75">
        <v>41103715</v>
      </c>
      <c r="B6994" s="76" t="s">
        <v>10121</v>
      </c>
    </row>
    <row r="6995" spans="1:2" x14ac:dyDescent="0.25">
      <c r="A6995" s="75">
        <v>41103801</v>
      </c>
      <c r="B6995" s="76" t="s">
        <v>11909</v>
      </c>
    </row>
    <row r="6996" spans="1:2" x14ac:dyDescent="0.25">
      <c r="A6996" s="75">
        <v>41103802</v>
      </c>
      <c r="B6996" s="76" t="s">
        <v>1767</v>
      </c>
    </row>
    <row r="6997" spans="1:2" x14ac:dyDescent="0.25">
      <c r="A6997" s="75">
        <v>41103803</v>
      </c>
      <c r="B6997" s="76" t="s">
        <v>9209</v>
      </c>
    </row>
    <row r="6998" spans="1:2" x14ac:dyDescent="0.25">
      <c r="A6998" s="75">
        <v>41103804</v>
      </c>
      <c r="B6998" s="76" t="s">
        <v>6612</v>
      </c>
    </row>
    <row r="6999" spans="1:2" x14ac:dyDescent="0.25">
      <c r="A6999" s="75">
        <v>41103805</v>
      </c>
      <c r="B6999" s="76" t="s">
        <v>14741</v>
      </c>
    </row>
    <row r="7000" spans="1:2" x14ac:dyDescent="0.25">
      <c r="A7000" s="75">
        <v>41103806</v>
      </c>
      <c r="B7000" s="76" t="s">
        <v>4034</v>
      </c>
    </row>
    <row r="7001" spans="1:2" x14ac:dyDescent="0.25">
      <c r="A7001" s="75">
        <v>41103807</v>
      </c>
      <c r="B7001" s="76" t="s">
        <v>5128</v>
      </c>
    </row>
    <row r="7002" spans="1:2" x14ac:dyDescent="0.25">
      <c r="A7002" s="75">
        <v>41103808</v>
      </c>
      <c r="B7002" s="76" t="s">
        <v>8018</v>
      </c>
    </row>
    <row r="7003" spans="1:2" x14ac:dyDescent="0.25">
      <c r="A7003" s="75">
        <v>41103809</v>
      </c>
      <c r="B7003" s="76" t="s">
        <v>9502</v>
      </c>
    </row>
    <row r="7004" spans="1:2" x14ac:dyDescent="0.25">
      <c r="A7004" s="75">
        <v>41103810</v>
      </c>
      <c r="B7004" s="76" t="s">
        <v>8401</v>
      </c>
    </row>
    <row r="7005" spans="1:2" x14ac:dyDescent="0.25">
      <c r="A7005" s="75">
        <v>41103811</v>
      </c>
      <c r="B7005" s="76" t="s">
        <v>7579</v>
      </c>
    </row>
    <row r="7006" spans="1:2" x14ac:dyDescent="0.25">
      <c r="A7006" s="75">
        <v>41103812</v>
      </c>
      <c r="B7006" s="76" t="s">
        <v>5074</v>
      </c>
    </row>
    <row r="7007" spans="1:2" x14ac:dyDescent="0.25">
      <c r="A7007" s="75">
        <v>41103813</v>
      </c>
      <c r="B7007" s="76" t="s">
        <v>19641</v>
      </c>
    </row>
    <row r="7008" spans="1:2" x14ac:dyDescent="0.25">
      <c r="A7008" s="75">
        <v>41103814</v>
      </c>
      <c r="B7008" s="76" t="s">
        <v>13472</v>
      </c>
    </row>
    <row r="7009" spans="1:2" x14ac:dyDescent="0.25">
      <c r="A7009" s="75">
        <v>41103815</v>
      </c>
      <c r="B7009" s="76" t="s">
        <v>16807</v>
      </c>
    </row>
    <row r="7010" spans="1:2" x14ac:dyDescent="0.25">
      <c r="A7010" s="75">
        <v>41103816</v>
      </c>
      <c r="B7010" s="76" t="s">
        <v>13270</v>
      </c>
    </row>
    <row r="7011" spans="1:2" x14ac:dyDescent="0.25">
      <c r="A7011" s="75">
        <v>41103901</v>
      </c>
      <c r="B7011" s="76" t="s">
        <v>3916</v>
      </c>
    </row>
    <row r="7012" spans="1:2" x14ac:dyDescent="0.25">
      <c r="A7012" s="75">
        <v>41103902</v>
      </c>
      <c r="B7012" s="76" t="s">
        <v>575</v>
      </c>
    </row>
    <row r="7013" spans="1:2" x14ac:dyDescent="0.25">
      <c r="A7013" s="75">
        <v>41103903</v>
      </c>
      <c r="B7013" s="76" t="s">
        <v>1523</v>
      </c>
    </row>
    <row r="7014" spans="1:2" x14ac:dyDescent="0.25">
      <c r="A7014" s="75">
        <v>41103904</v>
      </c>
      <c r="B7014" s="76" t="s">
        <v>4024</v>
      </c>
    </row>
    <row r="7015" spans="1:2" x14ac:dyDescent="0.25">
      <c r="A7015" s="75">
        <v>41103905</v>
      </c>
      <c r="B7015" s="76" t="s">
        <v>11697</v>
      </c>
    </row>
    <row r="7016" spans="1:2" x14ac:dyDescent="0.25">
      <c r="A7016" s="75">
        <v>41103906</v>
      </c>
      <c r="B7016" s="76" t="s">
        <v>4235</v>
      </c>
    </row>
    <row r="7017" spans="1:2" x14ac:dyDescent="0.25">
      <c r="A7017" s="75">
        <v>41103907</v>
      </c>
      <c r="B7017" s="76" t="s">
        <v>9524</v>
      </c>
    </row>
    <row r="7018" spans="1:2" x14ac:dyDescent="0.25">
      <c r="A7018" s="75">
        <v>41103908</v>
      </c>
      <c r="B7018" s="76" t="s">
        <v>18511</v>
      </c>
    </row>
    <row r="7019" spans="1:2" x14ac:dyDescent="0.25">
      <c r="A7019" s="75">
        <v>41103909</v>
      </c>
      <c r="B7019" s="76" t="s">
        <v>3313</v>
      </c>
    </row>
    <row r="7020" spans="1:2" x14ac:dyDescent="0.25">
      <c r="A7020" s="75">
        <v>41103910</v>
      </c>
      <c r="B7020" s="76" t="s">
        <v>11389</v>
      </c>
    </row>
    <row r="7021" spans="1:2" x14ac:dyDescent="0.25">
      <c r="A7021" s="75">
        <v>41103911</v>
      </c>
      <c r="B7021" s="76" t="s">
        <v>6642</v>
      </c>
    </row>
    <row r="7022" spans="1:2" x14ac:dyDescent="0.25">
      <c r="A7022" s="75">
        <v>41103912</v>
      </c>
      <c r="B7022" s="76" t="s">
        <v>10257</v>
      </c>
    </row>
    <row r="7023" spans="1:2" x14ac:dyDescent="0.25">
      <c r="A7023" s="75">
        <v>41103913</v>
      </c>
      <c r="B7023" s="76" t="s">
        <v>5992</v>
      </c>
    </row>
    <row r="7024" spans="1:2" x14ac:dyDescent="0.25">
      <c r="A7024" s="75">
        <v>41104001</v>
      </c>
      <c r="B7024" s="76" t="s">
        <v>14492</v>
      </c>
    </row>
    <row r="7025" spans="1:2" x14ac:dyDescent="0.25">
      <c r="A7025" s="75">
        <v>41104002</v>
      </c>
      <c r="B7025" s="76" t="s">
        <v>4713</v>
      </c>
    </row>
    <row r="7026" spans="1:2" x14ac:dyDescent="0.25">
      <c r="A7026" s="75">
        <v>41104003</v>
      </c>
      <c r="B7026" s="76" t="s">
        <v>11720</v>
      </c>
    </row>
    <row r="7027" spans="1:2" x14ac:dyDescent="0.25">
      <c r="A7027" s="75">
        <v>41104004</v>
      </c>
      <c r="B7027" s="76" t="s">
        <v>5374</v>
      </c>
    </row>
    <row r="7028" spans="1:2" x14ac:dyDescent="0.25">
      <c r="A7028" s="75">
        <v>41104005</v>
      </c>
      <c r="B7028" s="76" t="s">
        <v>8662</v>
      </c>
    </row>
    <row r="7029" spans="1:2" x14ac:dyDescent="0.25">
      <c r="A7029" s="75">
        <v>41104006</v>
      </c>
      <c r="B7029" s="76" t="s">
        <v>3252</v>
      </c>
    </row>
    <row r="7030" spans="1:2" x14ac:dyDescent="0.25">
      <c r="A7030" s="75">
        <v>41104007</v>
      </c>
      <c r="B7030" s="76" t="s">
        <v>5909</v>
      </c>
    </row>
    <row r="7031" spans="1:2" x14ac:dyDescent="0.25">
      <c r="A7031" s="75">
        <v>41104008</v>
      </c>
      <c r="B7031" s="76" t="s">
        <v>15584</v>
      </c>
    </row>
    <row r="7032" spans="1:2" x14ac:dyDescent="0.25">
      <c r="A7032" s="75">
        <v>41104009</v>
      </c>
      <c r="B7032" s="76" t="s">
        <v>19348</v>
      </c>
    </row>
    <row r="7033" spans="1:2" x14ac:dyDescent="0.25">
      <c r="A7033" s="75">
        <v>41104010</v>
      </c>
      <c r="B7033" s="76" t="s">
        <v>2738</v>
      </c>
    </row>
    <row r="7034" spans="1:2" x14ac:dyDescent="0.25">
      <c r="A7034" s="75">
        <v>41104011</v>
      </c>
      <c r="B7034" s="76" t="s">
        <v>5120</v>
      </c>
    </row>
    <row r="7035" spans="1:2" x14ac:dyDescent="0.25">
      <c r="A7035" s="75">
        <v>41104012</v>
      </c>
      <c r="B7035" s="76" t="s">
        <v>9874</v>
      </c>
    </row>
    <row r="7036" spans="1:2" x14ac:dyDescent="0.25">
      <c r="A7036" s="75">
        <v>41104013</v>
      </c>
      <c r="B7036" s="76" t="s">
        <v>14036</v>
      </c>
    </row>
    <row r="7037" spans="1:2" x14ac:dyDescent="0.25">
      <c r="A7037" s="75">
        <v>41104014</v>
      </c>
      <c r="B7037" s="76" t="s">
        <v>6248</v>
      </c>
    </row>
    <row r="7038" spans="1:2" x14ac:dyDescent="0.25">
      <c r="A7038" s="75">
        <v>41104015</v>
      </c>
      <c r="B7038" s="76" t="s">
        <v>1692</v>
      </c>
    </row>
    <row r="7039" spans="1:2" x14ac:dyDescent="0.25">
      <c r="A7039" s="75">
        <v>41104016</v>
      </c>
      <c r="B7039" s="76" t="s">
        <v>10623</v>
      </c>
    </row>
    <row r="7040" spans="1:2" x14ac:dyDescent="0.25">
      <c r="A7040" s="75">
        <v>41104017</v>
      </c>
      <c r="B7040" s="76" t="s">
        <v>3189</v>
      </c>
    </row>
    <row r="7041" spans="1:2" x14ac:dyDescent="0.25">
      <c r="A7041" s="75">
        <v>41104018</v>
      </c>
      <c r="B7041" s="76" t="s">
        <v>10903</v>
      </c>
    </row>
    <row r="7042" spans="1:2" x14ac:dyDescent="0.25">
      <c r="A7042" s="75">
        <v>41104019</v>
      </c>
      <c r="B7042" s="76" t="s">
        <v>9200</v>
      </c>
    </row>
    <row r="7043" spans="1:2" x14ac:dyDescent="0.25">
      <c r="A7043" s="75">
        <v>41104020</v>
      </c>
      <c r="B7043" s="76" t="s">
        <v>12854</v>
      </c>
    </row>
    <row r="7044" spans="1:2" x14ac:dyDescent="0.25">
      <c r="A7044" s="75">
        <v>41104101</v>
      </c>
      <c r="B7044" s="76" t="s">
        <v>1968</v>
      </c>
    </row>
    <row r="7045" spans="1:2" x14ac:dyDescent="0.25">
      <c r="A7045" s="75">
        <v>41104102</v>
      </c>
      <c r="B7045" s="76" t="s">
        <v>17756</v>
      </c>
    </row>
    <row r="7046" spans="1:2" x14ac:dyDescent="0.25">
      <c r="A7046" s="75">
        <v>41104103</v>
      </c>
      <c r="B7046" s="76" t="s">
        <v>3293</v>
      </c>
    </row>
    <row r="7047" spans="1:2" x14ac:dyDescent="0.25">
      <c r="A7047" s="75">
        <v>41104104</v>
      </c>
      <c r="B7047" s="76" t="s">
        <v>7706</v>
      </c>
    </row>
    <row r="7048" spans="1:2" x14ac:dyDescent="0.25">
      <c r="A7048" s="75">
        <v>41104105</v>
      </c>
      <c r="B7048" s="76" t="s">
        <v>10913</v>
      </c>
    </row>
    <row r="7049" spans="1:2" x14ac:dyDescent="0.25">
      <c r="A7049" s="75">
        <v>41104106</v>
      </c>
      <c r="B7049" s="76" t="s">
        <v>11837</v>
      </c>
    </row>
    <row r="7050" spans="1:2" x14ac:dyDescent="0.25">
      <c r="A7050" s="75">
        <v>41104107</v>
      </c>
      <c r="B7050" s="76" t="s">
        <v>16343</v>
      </c>
    </row>
    <row r="7051" spans="1:2" x14ac:dyDescent="0.25">
      <c r="A7051" s="75">
        <v>41104108</v>
      </c>
      <c r="B7051" s="76" t="s">
        <v>5295</v>
      </c>
    </row>
    <row r="7052" spans="1:2" x14ac:dyDescent="0.25">
      <c r="A7052" s="75">
        <v>41104109</v>
      </c>
      <c r="B7052" s="76" t="s">
        <v>1942</v>
      </c>
    </row>
    <row r="7053" spans="1:2" x14ac:dyDescent="0.25">
      <c r="A7053" s="75">
        <v>41104110</v>
      </c>
      <c r="B7053" s="76" t="s">
        <v>17628</v>
      </c>
    </row>
    <row r="7054" spans="1:2" x14ac:dyDescent="0.25">
      <c r="A7054" s="75">
        <v>41104111</v>
      </c>
      <c r="B7054" s="76" t="s">
        <v>6228</v>
      </c>
    </row>
    <row r="7055" spans="1:2" x14ac:dyDescent="0.25">
      <c r="A7055" s="75">
        <v>41104112</v>
      </c>
      <c r="B7055" s="76" t="s">
        <v>15345</v>
      </c>
    </row>
    <row r="7056" spans="1:2" x14ac:dyDescent="0.25">
      <c r="A7056" s="75">
        <v>41104114</v>
      </c>
      <c r="B7056" s="76" t="s">
        <v>268</v>
      </c>
    </row>
    <row r="7057" spans="1:2" x14ac:dyDescent="0.25">
      <c r="A7057" s="75">
        <v>41104115</v>
      </c>
      <c r="B7057" s="76" t="s">
        <v>18249</v>
      </c>
    </row>
    <row r="7058" spans="1:2" x14ac:dyDescent="0.25">
      <c r="A7058" s="75">
        <v>41104116</v>
      </c>
      <c r="B7058" s="76" t="s">
        <v>7341</v>
      </c>
    </row>
    <row r="7059" spans="1:2" x14ac:dyDescent="0.25">
      <c r="A7059" s="75">
        <v>41104117</v>
      </c>
      <c r="B7059" s="76" t="s">
        <v>4415</v>
      </c>
    </row>
    <row r="7060" spans="1:2" x14ac:dyDescent="0.25">
      <c r="A7060" s="75">
        <v>41104118</v>
      </c>
      <c r="B7060" s="76" t="s">
        <v>15642</v>
      </c>
    </row>
    <row r="7061" spans="1:2" x14ac:dyDescent="0.25">
      <c r="A7061" s="75">
        <v>41104119</v>
      </c>
      <c r="B7061" s="76" t="s">
        <v>9020</v>
      </c>
    </row>
    <row r="7062" spans="1:2" x14ac:dyDescent="0.25">
      <c r="A7062" s="75">
        <v>41104120</v>
      </c>
      <c r="B7062" s="76" t="s">
        <v>18962</v>
      </c>
    </row>
    <row r="7063" spans="1:2" x14ac:dyDescent="0.25">
      <c r="A7063" s="75">
        <v>41104121</v>
      </c>
      <c r="B7063" s="76" t="s">
        <v>9940</v>
      </c>
    </row>
    <row r="7064" spans="1:2" x14ac:dyDescent="0.25">
      <c r="A7064" s="75">
        <v>41104122</v>
      </c>
      <c r="B7064" s="76" t="s">
        <v>6340</v>
      </c>
    </row>
    <row r="7065" spans="1:2" x14ac:dyDescent="0.25">
      <c r="A7065" s="75">
        <v>41104123</v>
      </c>
      <c r="B7065" s="76" t="s">
        <v>19436</v>
      </c>
    </row>
    <row r="7066" spans="1:2" x14ac:dyDescent="0.25">
      <c r="A7066" s="75">
        <v>41104124</v>
      </c>
      <c r="B7066" s="76" t="s">
        <v>6624</v>
      </c>
    </row>
    <row r="7067" spans="1:2" x14ac:dyDescent="0.25">
      <c r="A7067" s="75">
        <v>41104201</v>
      </c>
      <c r="B7067" s="76" t="s">
        <v>1445</v>
      </c>
    </row>
    <row r="7068" spans="1:2" x14ac:dyDescent="0.25">
      <c r="A7068" s="75">
        <v>41104202</v>
      </c>
      <c r="B7068" s="76" t="s">
        <v>16085</v>
      </c>
    </row>
    <row r="7069" spans="1:2" x14ac:dyDescent="0.25">
      <c r="A7069" s="75">
        <v>41104203</v>
      </c>
      <c r="B7069" s="76" t="s">
        <v>559</v>
      </c>
    </row>
    <row r="7070" spans="1:2" x14ac:dyDescent="0.25">
      <c r="A7070" s="75">
        <v>41104204</v>
      </c>
      <c r="B7070" s="76" t="s">
        <v>738</v>
      </c>
    </row>
    <row r="7071" spans="1:2" x14ac:dyDescent="0.25">
      <c r="A7071" s="75">
        <v>41104205</v>
      </c>
      <c r="B7071" s="76" t="s">
        <v>18474</v>
      </c>
    </row>
    <row r="7072" spans="1:2" x14ac:dyDescent="0.25">
      <c r="A7072" s="75">
        <v>41104206</v>
      </c>
      <c r="B7072" s="76" t="s">
        <v>16841</v>
      </c>
    </row>
    <row r="7073" spans="1:2" x14ac:dyDescent="0.25">
      <c r="A7073" s="75">
        <v>41104207</v>
      </c>
      <c r="B7073" s="76" t="s">
        <v>2030</v>
      </c>
    </row>
    <row r="7074" spans="1:2" x14ac:dyDescent="0.25">
      <c r="A7074" s="75">
        <v>41104208</v>
      </c>
      <c r="B7074" s="76" t="s">
        <v>3928</v>
      </c>
    </row>
    <row r="7075" spans="1:2" x14ac:dyDescent="0.25">
      <c r="A7075" s="75">
        <v>41104209</v>
      </c>
      <c r="B7075" s="76" t="s">
        <v>2976</v>
      </c>
    </row>
    <row r="7076" spans="1:2" x14ac:dyDescent="0.25">
      <c r="A7076" s="75">
        <v>41104210</v>
      </c>
      <c r="B7076" s="76" t="s">
        <v>3103</v>
      </c>
    </row>
    <row r="7077" spans="1:2" x14ac:dyDescent="0.25">
      <c r="A7077" s="75">
        <v>41104211</v>
      </c>
      <c r="B7077" s="76" t="s">
        <v>4538</v>
      </c>
    </row>
    <row r="7078" spans="1:2" x14ac:dyDescent="0.25">
      <c r="A7078" s="75">
        <v>41104212</v>
      </c>
      <c r="B7078" s="76" t="s">
        <v>3531</v>
      </c>
    </row>
    <row r="7079" spans="1:2" x14ac:dyDescent="0.25">
      <c r="A7079" s="75">
        <v>41104301</v>
      </c>
      <c r="B7079" s="76" t="s">
        <v>7046</v>
      </c>
    </row>
    <row r="7080" spans="1:2" x14ac:dyDescent="0.25">
      <c r="A7080" s="75">
        <v>41104302</v>
      </c>
      <c r="B7080" s="76" t="s">
        <v>11783</v>
      </c>
    </row>
    <row r="7081" spans="1:2" x14ac:dyDescent="0.25">
      <c r="A7081" s="75">
        <v>41104303</v>
      </c>
      <c r="B7081" s="76" t="s">
        <v>11935</v>
      </c>
    </row>
    <row r="7082" spans="1:2" x14ac:dyDescent="0.25">
      <c r="A7082" s="75">
        <v>41104304</v>
      </c>
      <c r="B7082" s="76" t="s">
        <v>3773</v>
      </c>
    </row>
    <row r="7083" spans="1:2" x14ac:dyDescent="0.25">
      <c r="A7083" s="75">
        <v>41104305</v>
      </c>
      <c r="B7083" s="76" t="s">
        <v>1796</v>
      </c>
    </row>
    <row r="7084" spans="1:2" x14ac:dyDescent="0.25">
      <c r="A7084" s="75">
        <v>41104306</v>
      </c>
      <c r="B7084" s="76" t="s">
        <v>15272</v>
      </c>
    </row>
    <row r="7085" spans="1:2" x14ac:dyDescent="0.25">
      <c r="A7085" s="75">
        <v>41104307</v>
      </c>
      <c r="B7085" s="76" t="s">
        <v>1323</v>
      </c>
    </row>
    <row r="7086" spans="1:2" x14ac:dyDescent="0.25">
      <c r="A7086" s="75">
        <v>41104308</v>
      </c>
      <c r="B7086" s="76" t="s">
        <v>18872</v>
      </c>
    </row>
    <row r="7087" spans="1:2" x14ac:dyDescent="0.25">
      <c r="A7087" s="75">
        <v>41104401</v>
      </c>
      <c r="B7087" s="76" t="s">
        <v>4144</v>
      </c>
    </row>
    <row r="7088" spans="1:2" x14ac:dyDescent="0.25">
      <c r="A7088" s="75">
        <v>41104402</v>
      </c>
      <c r="B7088" s="76" t="s">
        <v>17705</v>
      </c>
    </row>
    <row r="7089" spans="1:2" x14ac:dyDescent="0.25">
      <c r="A7089" s="75">
        <v>41104403</v>
      </c>
      <c r="B7089" s="76" t="s">
        <v>14466</v>
      </c>
    </row>
    <row r="7090" spans="1:2" x14ac:dyDescent="0.25">
      <c r="A7090" s="75">
        <v>41104404</v>
      </c>
      <c r="B7090" s="76" t="s">
        <v>10594</v>
      </c>
    </row>
    <row r="7091" spans="1:2" x14ac:dyDescent="0.25">
      <c r="A7091" s="75">
        <v>41104405</v>
      </c>
      <c r="B7091" s="76" t="s">
        <v>7158</v>
      </c>
    </row>
    <row r="7092" spans="1:2" x14ac:dyDescent="0.25">
      <c r="A7092" s="75">
        <v>41104406</v>
      </c>
      <c r="B7092" s="76" t="s">
        <v>18472</v>
      </c>
    </row>
    <row r="7093" spans="1:2" x14ac:dyDescent="0.25">
      <c r="A7093" s="75">
        <v>41104407</v>
      </c>
      <c r="B7093" s="76" t="s">
        <v>18321</v>
      </c>
    </row>
    <row r="7094" spans="1:2" x14ac:dyDescent="0.25">
      <c r="A7094" s="75">
        <v>41104408</v>
      </c>
      <c r="B7094" s="76" t="s">
        <v>4997</v>
      </c>
    </row>
    <row r="7095" spans="1:2" x14ac:dyDescent="0.25">
      <c r="A7095" s="75">
        <v>41104409</v>
      </c>
      <c r="B7095" s="76" t="s">
        <v>6808</v>
      </c>
    </row>
    <row r="7096" spans="1:2" x14ac:dyDescent="0.25">
      <c r="A7096" s="75">
        <v>41104410</v>
      </c>
      <c r="B7096" s="76" t="s">
        <v>12465</v>
      </c>
    </row>
    <row r="7097" spans="1:2" x14ac:dyDescent="0.25">
      <c r="A7097" s="75">
        <v>41104411</v>
      </c>
      <c r="B7097" s="76" t="s">
        <v>15139</v>
      </c>
    </row>
    <row r="7098" spans="1:2" x14ac:dyDescent="0.25">
      <c r="A7098" s="75">
        <v>41104412</v>
      </c>
      <c r="B7098" s="76" t="s">
        <v>12013</v>
      </c>
    </row>
    <row r="7099" spans="1:2" x14ac:dyDescent="0.25">
      <c r="A7099" s="75">
        <v>41104413</v>
      </c>
      <c r="B7099" s="76" t="s">
        <v>741</v>
      </c>
    </row>
    <row r="7100" spans="1:2" x14ac:dyDescent="0.25">
      <c r="A7100" s="75">
        <v>41104414</v>
      </c>
      <c r="B7100" s="76" t="s">
        <v>3298</v>
      </c>
    </row>
    <row r="7101" spans="1:2" x14ac:dyDescent="0.25">
      <c r="A7101" s="75">
        <v>41104415</v>
      </c>
      <c r="B7101" s="76" t="s">
        <v>5119</v>
      </c>
    </row>
    <row r="7102" spans="1:2" x14ac:dyDescent="0.25">
      <c r="A7102" s="75">
        <v>41104416</v>
      </c>
      <c r="B7102" s="76" t="s">
        <v>2208</v>
      </c>
    </row>
    <row r="7103" spans="1:2" x14ac:dyDescent="0.25">
      <c r="A7103" s="75">
        <v>41104417</v>
      </c>
      <c r="B7103" s="76" t="s">
        <v>3042</v>
      </c>
    </row>
    <row r="7104" spans="1:2" x14ac:dyDescent="0.25">
      <c r="A7104" s="75">
        <v>41104418</v>
      </c>
      <c r="B7104" s="76" t="s">
        <v>11064</v>
      </c>
    </row>
    <row r="7105" spans="1:2" x14ac:dyDescent="0.25">
      <c r="A7105" s="75">
        <v>41104419</v>
      </c>
      <c r="B7105" s="76" t="s">
        <v>9653</v>
      </c>
    </row>
    <row r="7106" spans="1:2" x14ac:dyDescent="0.25">
      <c r="A7106" s="75">
        <v>41104420</v>
      </c>
      <c r="B7106" s="76" t="s">
        <v>5826</v>
      </c>
    </row>
    <row r="7107" spans="1:2" x14ac:dyDescent="0.25">
      <c r="A7107" s="75">
        <v>41104421</v>
      </c>
      <c r="B7107" s="76" t="s">
        <v>9</v>
      </c>
    </row>
    <row r="7108" spans="1:2" x14ac:dyDescent="0.25">
      <c r="A7108" s="75">
        <v>41104422</v>
      </c>
      <c r="B7108" s="76" t="s">
        <v>15419</v>
      </c>
    </row>
    <row r="7109" spans="1:2" x14ac:dyDescent="0.25">
      <c r="A7109" s="75">
        <v>41104423</v>
      </c>
      <c r="B7109" s="76" t="s">
        <v>9420</v>
      </c>
    </row>
    <row r="7110" spans="1:2" x14ac:dyDescent="0.25">
      <c r="A7110" s="75">
        <v>41104424</v>
      </c>
      <c r="B7110" s="76" t="s">
        <v>2865</v>
      </c>
    </row>
    <row r="7111" spans="1:2" x14ac:dyDescent="0.25">
      <c r="A7111" s="75">
        <v>41104501</v>
      </c>
      <c r="B7111" s="76" t="s">
        <v>4057</v>
      </c>
    </row>
    <row r="7112" spans="1:2" x14ac:dyDescent="0.25">
      <c r="A7112" s="75">
        <v>41104502</v>
      </c>
      <c r="B7112" s="76" t="s">
        <v>1253</v>
      </c>
    </row>
    <row r="7113" spans="1:2" x14ac:dyDescent="0.25">
      <c r="A7113" s="75">
        <v>41104503</v>
      </c>
      <c r="B7113" s="76" t="s">
        <v>16820</v>
      </c>
    </row>
    <row r="7114" spans="1:2" x14ac:dyDescent="0.25">
      <c r="A7114" s="75">
        <v>41104504</v>
      </c>
      <c r="B7114" s="76" t="s">
        <v>18304</v>
      </c>
    </row>
    <row r="7115" spans="1:2" x14ac:dyDescent="0.25">
      <c r="A7115" s="75">
        <v>41104505</v>
      </c>
      <c r="B7115" s="76" t="s">
        <v>4115</v>
      </c>
    </row>
    <row r="7116" spans="1:2" x14ac:dyDescent="0.25">
      <c r="A7116" s="75">
        <v>41104506</v>
      </c>
      <c r="B7116" s="76" t="s">
        <v>8553</v>
      </c>
    </row>
    <row r="7117" spans="1:2" x14ac:dyDescent="0.25">
      <c r="A7117" s="75">
        <v>41104507</v>
      </c>
      <c r="B7117" s="76" t="s">
        <v>7019</v>
      </c>
    </row>
    <row r="7118" spans="1:2" x14ac:dyDescent="0.25">
      <c r="A7118" s="75">
        <v>41104508</v>
      </c>
      <c r="B7118" s="76" t="s">
        <v>10965</v>
      </c>
    </row>
    <row r="7119" spans="1:2" x14ac:dyDescent="0.25">
      <c r="A7119" s="75">
        <v>41104509</v>
      </c>
      <c r="B7119" s="76" t="s">
        <v>11564</v>
      </c>
    </row>
    <row r="7120" spans="1:2" x14ac:dyDescent="0.25">
      <c r="A7120" s="75">
        <v>41104510</v>
      </c>
      <c r="B7120" s="76" t="s">
        <v>5000</v>
      </c>
    </row>
    <row r="7121" spans="1:2" x14ac:dyDescent="0.25">
      <c r="A7121" s="75">
        <v>41104511</v>
      </c>
      <c r="B7121" s="76" t="s">
        <v>14600</v>
      </c>
    </row>
    <row r="7122" spans="1:2" x14ac:dyDescent="0.25">
      <c r="A7122" s="75">
        <v>41104512</v>
      </c>
      <c r="B7122" s="76" t="s">
        <v>790</v>
      </c>
    </row>
    <row r="7123" spans="1:2" x14ac:dyDescent="0.25">
      <c r="A7123" s="75">
        <v>41104601</v>
      </c>
      <c r="B7123" s="76" t="s">
        <v>2721</v>
      </c>
    </row>
    <row r="7124" spans="1:2" x14ac:dyDescent="0.25">
      <c r="A7124" s="75">
        <v>41104602</v>
      </c>
      <c r="B7124" s="76" t="s">
        <v>13348</v>
      </c>
    </row>
    <row r="7125" spans="1:2" x14ac:dyDescent="0.25">
      <c r="A7125" s="75">
        <v>41104603</v>
      </c>
      <c r="B7125" s="76" t="s">
        <v>4359</v>
      </c>
    </row>
    <row r="7126" spans="1:2" x14ac:dyDescent="0.25">
      <c r="A7126" s="75">
        <v>41104604</v>
      </c>
      <c r="B7126" s="76" t="s">
        <v>3153</v>
      </c>
    </row>
    <row r="7127" spans="1:2" x14ac:dyDescent="0.25">
      <c r="A7127" s="75">
        <v>41104605</v>
      </c>
      <c r="B7127" s="76" t="s">
        <v>8605</v>
      </c>
    </row>
    <row r="7128" spans="1:2" x14ac:dyDescent="0.25">
      <c r="A7128" s="75">
        <v>41104606</v>
      </c>
      <c r="B7128" s="76" t="s">
        <v>8372</v>
      </c>
    </row>
    <row r="7129" spans="1:2" x14ac:dyDescent="0.25">
      <c r="A7129" s="75">
        <v>41104607</v>
      </c>
      <c r="B7129" s="76" t="s">
        <v>1334</v>
      </c>
    </row>
    <row r="7130" spans="1:2" x14ac:dyDescent="0.25">
      <c r="A7130" s="75">
        <v>41104608</v>
      </c>
      <c r="B7130" s="76" t="s">
        <v>18480</v>
      </c>
    </row>
    <row r="7131" spans="1:2" x14ac:dyDescent="0.25">
      <c r="A7131" s="75">
        <v>41104609</v>
      </c>
      <c r="B7131" s="76" t="s">
        <v>15562</v>
      </c>
    </row>
    <row r="7132" spans="1:2" x14ac:dyDescent="0.25">
      <c r="A7132" s="75">
        <v>41104610</v>
      </c>
      <c r="B7132" s="76" t="s">
        <v>2839</v>
      </c>
    </row>
    <row r="7133" spans="1:2" x14ac:dyDescent="0.25">
      <c r="A7133" s="75">
        <v>41104611</v>
      </c>
      <c r="B7133" s="76" t="s">
        <v>9685</v>
      </c>
    </row>
    <row r="7134" spans="1:2" x14ac:dyDescent="0.25">
      <c r="A7134" s="75">
        <v>41104612</v>
      </c>
      <c r="B7134" s="76" t="s">
        <v>17193</v>
      </c>
    </row>
    <row r="7135" spans="1:2" x14ac:dyDescent="0.25">
      <c r="A7135" s="75">
        <v>41104701</v>
      </c>
      <c r="B7135" s="76" t="s">
        <v>15915</v>
      </c>
    </row>
    <row r="7136" spans="1:2" x14ac:dyDescent="0.25">
      <c r="A7136" s="75">
        <v>41104702</v>
      </c>
      <c r="B7136" s="76" t="s">
        <v>16398</v>
      </c>
    </row>
    <row r="7137" spans="1:2" x14ac:dyDescent="0.25">
      <c r="A7137" s="75">
        <v>41104703</v>
      </c>
      <c r="B7137" s="76" t="s">
        <v>11235</v>
      </c>
    </row>
    <row r="7138" spans="1:2" x14ac:dyDescent="0.25">
      <c r="A7138" s="75">
        <v>41104704</v>
      </c>
      <c r="B7138" s="76" t="s">
        <v>7615</v>
      </c>
    </row>
    <row r="7139" spans="1:2" x14ac:dyDescent="0.25">
      <c r="A7139" s="75">
        <v>41104801</v>
      </c>
      <c r="B7139" s="76" t="s">
        <v>15068</v>
      </c>
    </row>
    <row r="7140" spans="1:2" x14ac:dyDescent="0.25">
      <c r="A7140" s="75">
        <v>41104802</v>
      </c>
      <c r="B7140" s="76" t="s">
        <v>11136</v>
      </c>
    </row>
    <row r="7141" spans="1:2" x14ac:dyDescent="0.25">
      <c r="A7141" s="75">
        <v>41104803</v>
      </c>
      <c r="B7141" s="76" t="s">
        <v>16900</v>
      </c>
    </row>
    <row r="7142" spans="1:2" x14ac:dyDescent="0.25">
      <c r="A7142" s="75">
        <v>41104804</v>
      </c>
      <c r="B7142" s="76" t="s">
        <v>10694</v>
      </c>
    </row>
    <row r="7143" spans="1:2" x14ac:dyDescent="0.25">
      <c r="A7143" s="75">
        <v>41104805</v>
      </c>
      <c r="B7143" s="76" t="s">
        <v>8107</v>
      </c>
    </row>
    <row r="7144" spans="1:2" x14ac:dyDescent="0.25">
      <c r="A7144" s="75">
        <v>41104806</v>
      </c>
      <c r="B7144" s="76" t="s">
        <v>5614</v>
      </c>
    </row>
    <row r="7145" spans="1:2" x14ac:dyDescent="0.25">
      <c r="A7145" s="75">
        <v>41104807</v>
      </c>
      <c r="B7145" s="76" t="s">
        <v>15634</v>
      </c>
    </row>
    <row r="7146" spans="1:2" x14ac:dyDescent="0.25">
      <c r="A7146" s="75">
        <v>41104808</v>
      </c>
      <c r="B7146" s="76" t="s">
        <v>5187</v>
      </c>
    </row>
    <row r="7147" spans="1:2" x14ac:dyDescent="0.25">
      <c r="A7147" s="75">
        <v>41104809</v>
      </c>
      <c r="B7147" s="76" t="s">
        <v>11016</v>
      </c>
    </row>
    <row r="7148" spans="1:2" x14ac:dyDescent="0.25">
      <c r="A7148" s="75">
        <v>41104810</v>
      </c>
      <c r="B7148" s="76" t="s">
        <v>7073</v>
      </c>
    </row>
    <row r="7149" spans="1:2" x14ac:dyDescent="0.25">
      <c r="A7149" s="75">
        <v>41104811</v>
      </c>
      <c r="B7149" s="76" t="s">
        <v>19308</v>
      </c>
    </row>
    <row r="7150" spans="1:2" x14ac:dyDescent="0.25">
      <c r="A7150" s="75">
        <v>41104812</v>
      </c>
      <c r="B7150" s="76" t="s">
        <v>320</v>
      </c>
    </row>
    <row r="7151" spans="1:2" x14ac:dyDescent="0.25">
      <c r="A7151" s="75">
        <v>41104813</v>
      </c>
      <c r="B7151" s="76" t="s">
        <v>19664</v>
      </c>
    </row>
    <row r="7152" spans="1:2" x14ac:dyDescent="0.25">
      <c r="A7152" s="75">
        <v>41104814</v>
      </c>
      <c r="B7152" s="76" t="s">
        <v>3426</v>
      </c>
    </row>
    <row r="7153" spans="1:2" x14ac:dyDescent="0.25">
      <c r="A7153" s="75">
        <v>41104815</v>
      </c>
      <c r="B7153" s="76" t="s">
        <v>1699</v>
      </c>
    </row>
    <row r="7154" spans="1:2" x14ac:dyDescent="0.25">
      <c r="A7154" s="75">
        <v>41104816</v>
      </c>
      <c r="B7154" s="76" t="s">
        <v>4603</v>
      </c>
    </row>
    <row r="7155" spans="1:2" x14ac:dyDescent="0.25">
      <c r="A7155" s="75">
        <v>41104817</v>
      </c>
      <c r="B7155" s="76" t="s">
        <v>5488</v>
      </c>
    </row>
    <row r="7156" spans="1:2" x14ac:dyDescent="0.25">
      <c r="A7156" s="75">
        <v>41104901</v>
      </c>
      <c r="B7156" s="76" t="s">
        <v>5071</v>
      </c>
    </row>
    <row r="7157" spans="1:2" x14ac:dyDescent="0.25">
      <c r="A7157" s="75">
        <v>41104902</v>
      </c>
      <c r="B7157" s="76" t="s">
        <v>5133</v>
      </c>
    </row>
    <row r="7158" spans="1:2" x14ac:dyDescent="0.25">
      <c r="A7158" s="75">
        <v>41104903</v>
      </c>
      <c r="B7158" s="76" t="s">
        <v>16563</v>
      </c>
    </row>
    <row r="7159" spans="1:2" x14ac:dyDescent="0.25">
      <c r="A7159" s="75">
        <v>41104904</v>
      </c>
      <c r="B7159" s="76" t="s">
        <v>2301</v>
      </c>
    </row>
    <row r="7160" spans="1:2" x14ac:dyDescent="0.25">
      <c r="A7160" s="75">
        <v>41104905</v>
      </c>
      <c r="B7160" s="76" t="s">
        <v>14617</v>
      </c>
    </row>
    <row r="7161" spans="1:2" x14ac:dyDescent="0.25">
      <c r="A7161" s="75">
        <v>41104906</v>
      </c>
      <c r="B7161" s="76" t="s">
        <v>19342</v>
      </c>
    </row>
    <row r="7162" spans="1:2" x14ac:dyDescent="0.25">
      <c r="A7162" s="75">
        <v>41104907</v>
      </c>
      <c r="B7162" s="76" t="s">
        <v>17731</v>
      </c>
    </row>
    <row r="7163" spans="1:2" x14ac:dyDescent="0.25">
      <c r="A7163" s="75">
        <v>41104908</v>
      </c>
      <c r="B7163" s="76" t="s">
        <v>12630</v>
      </c>
    </row>
    <row r="7164" spans="1:2" x14ac:dyDescent="0.25">
      <c r="A7164" s="75">
        <v>41104909</v>
      </c>
      <c r="B7164" s="76" t="s">
        <v>4312</v>
      </c>
    </row>
    <row r="7165" spans="1:2" x14ac:dyDescent="0.25">
      <c r="A7165" s="75">
        <v>41104910</v>
      </c>
      <c r="B7165" s="76" t="s">
        <v>3674</v>
      </c>
    </row>
    <row r="7166" spans="1:2" x14ac:dyDescent="0.25">
      <c r="A7166" s="75">
        <v>41104911</v>
      </c>
      <c r="B7166" s="76" t="s">
        <v>16619</v>
      </c>
    </row>
    <row r="7167" spans="1:2" x14ac:dyDescent="0.25">
      <c r="A7167" s="75">
        <v>41104912</v>
      </c>
      <c r="B7167" s="76" t="s">
        <v>12639</v>
      </c>
    </row>
    <row r="7168" spans="1:2" x14ac:dyDescent="0.25">
      <c r="A7168" s="75">
        <v>41104913</v>
      </c>
      <c r="B7168" s="76" t="s">
        <v>2020</v>
      </c>
    </row>
    <row r="7169" spans="1:2" x14ac:dyDescent="0.25">
      <c r="A7169" s="75">
        <v>41104914</v>
      </c>
      <c r="B7169" s="76" t="s">
        <v>2816</v>
      </c>
    </row>
    <row r="7170" spans="1:2" x14ac:dyDescent="0.25">
      <c r="A7170" s="75">
        <v>41104915</v>
      </c>
      <c r="B7170" s="76" t="s">
        <v>2806</v>
      </c>
    </row>
    <row r="7171" spans="1:2" x14ac:dyDescent="0.25">
      <c r="A7171" s="75">
        <v>41104916</v>
      </c>
      <c r="B7171" s="76" t="s">
        <v>10170</v>
      </c>
    </row>
    <row r="7172" spans="1:2" x14ac:dyDescent="0.25">
      <c r="A7172" s="75">
        <v>41104917</v>
      </c>
      <c r="B7172" s="76" t="s">
        <v>10946</v>
      </c>
    </row>
    <row r="7173" spans="1:2" x14ac:dyDescent="0.25">
      <c r="A7173" s="75">
        <v>41104918</v>
      </c>
      <c r="B7173" s="76" t="s">
        <v>17384</v>
      </c>
    </row>
    <row r="7174" spans="1:2" x14ac:dyDescent="0.25">
      <c r="A7174" s="75">
        <v>41104919</v>
      </c>
      <c r="B7174" s="76" t="s">
        <v>9004</v>
      </c>
    </row>
    <row r="7175" spans="1:2" x14ac:dyDescent="0.25">
      <c r="A7175" s="75">
        <v>41104920</v>
      </c>
      <c r="B7175" s="76" t="s">
        <v>6964</v>
      </c>
    </row>
    <row r="7176" spans="1:2" x14ac:dyDescent="0.25">
      <c r="A7176" s="75">
        <v>41104921</v>
      </c>
      <c r="B7176" s="76" t="s">
        <v>8298</v>
      </c>
    </row>
    <row r="7177" spans="1:2" x14ac:dyDescent="0.25">
      <c r="A7177" s="75">
        <v>41104922</v>
      </c>
      <c r="B7177" s="76" t="s">
        <v>4952</v>
      </c>
    </row>
    <row r="7178" spans="1:2" x14ac:dyDescent="0.25">
      <c r="A7178" s="75">
        <v>41104923</v>
      </c>
      <c r="B7178" s="76" t="s">
        <v>8933</v>
      </c>
    </row>
    <row r="7179" spans="1:2" x14ac:dyDescent="0.25">
      <c r="A7179" s="75">
        <v>41104924</v>
      </c>
      <c r="B7179" s="76" t="s">
        <v>6452</v>
      </c>
    </row>
    <row r="7180" spans="1:2" x14ac:dyDescent="0.25">
      <c r="A7180" s="75">
        <v>41104925</v>
      </c>
      <c r="B7180" s="76" t="s">
        <v>6524</v>
      </c>
    </row>
    <row r="7181" spans="1:2" x14ac:dyDescent="0.25">
      <c r="A7181" s="75">
        <v>41104926</v>
      </c>
      <c r="B7181" s="76" t="s">
        <v>12829</v>
      </c>
    </row>
    <row r="7182" spans="1:2" x14ac:dyDescent="0.25">
      <c r="A7182" s="75">
        <v>41104927</v>
      </c>
      <c r="B7182" s="76" t="s">
        <v>13137</v>
      </c>
    </row>
    <row r="7183" spans="1:2" x14ac:dyDescent="0.25">
      <c r="A7183" s="75">
        <v>41104928</v>
      </c>
      <c r="B7183" s="76" t="s">
        <v>10462</v>
      </c>
    </row>
    <row r="7184" spans="1:2" x14ac:dyDescent="0.25">
      <c r="A7184" s="75">
        <v>41104929</v>
      </c>
      <c r="B7184" s="76" t="s">
        <v>436</v>
      </c>
    </row>
    <row r="7185" spans="1:2" x14ac:dyDescent="0.25">
      <c r="A7185" s="75">
        <v>41105001</v>
      </c>
      <c r="B7185" s="76" t="s">
        <v>4350</v>
      </c>
    </row>
    <row r="7186" spans="1:2" x14ac:dyDescent="0.25">
      <c r="A7186" s="75">
        <v>41105002</v>
      </c>
      <c r="B7186" s="76" t="s">
        <v>10067</v>
      </c>
    </row>
    <row r="7187" spans="1:2" x14ac:dyDescent="0.25">
      <c r="A7187" s="75">
        <v>41105003</v>
      </c>
      <c r="B7187" s="76" t="s">
        <v>18224</v>
      </c>
    </row>
    <row r="7188" spans="1:2" x14ac:dyDescent="0.25">
      <c r="A7188" s="75">
        <v>41105101</v>
      </c>
      <c r="B7188" s="76" t="s">
        <v>14216</v>
      </c>
    </row>
    <row r="7189" spans="1:2" x14ac:dyDescent="0.25">
      <c r="A7189" s="75">
        <v>41105102</v>
      </c>
      <c r="B7189" s="76" t="s">
        <v>18033</v>
      </c>
    </row>
    <row r="7190" spans="1:2" x14ac:dyDescent="0.25">
      <c r="A7190" s="75">
        <v>41105103</v>
      </c>
      <c r="B7190" s="76" t="s">
        <v>669</v>
      </c>
    </row>
    <row r="7191" spans="1:2" x14ac:dyDescent="0.25">
      <c r="A7191" s="75">
        <v>41105104</v>
      </c>
      <c r="B7191" s="76" t="s">
        <v>19309</v>
      </c>
    </row>
    <row r="7192" spans="1:2" x14ac:dyDescent="0.25">
      <c r="A7192" s="75">
        <v>41105105</v>
      </c>
      <c r="B7192" s="76" t="s">
        <v>8427</v>
      </c>
    </row>
    <row r="7193" spans="1:2" x14ac:dyDescent="0.25">
      <c r="A7193" s="75">
        <v>41105106</v>
      </c>
      <c r="B7193" s="76" t="s">
        <v>9939</v>
      </c>
    </row>
    <row r="7194" spans="1:2" x14ac:dyDescent="0.25">
      <c r="A7194" s="75">
        <v>41105107</v>
      </c>
      <c r="B7194" s="76" t="s">
        <v>19911</v>
      </c>
    </row>
    <row r="7195" spans="1:2" x14ac:dyDescent="0.25">
      <c r="A7195" s="75">
        <v>41105108</v>
      </c>
      <c r="B7195" s="76" t="s">
        <v>15123</v>
      </c>
    </row>
    <row r="7196" spans="1:2" x14ac:dyDescent="0.25">
      <c r="A7196" s="75">
        <v>41105109</v>
      </c>
      <c r="B7196" s="76" t="s">
        <v>7065</v>
      </c>
    </row>
    <row r="7197" spans="1:2" x14ac:dyDescent="0.25">
      <c r="A7197" s="75">
        <v>41105201</v>
      </c>
      <c r="B7197" s="76" t="s">
        <v>6597</v>
      </c>
    </row>
    <row r="7198" spans="1:2" x14ac:dyDescent="0.25">
      <c r="A7198" s="75">
        <v>41105202</v>
      </c>
      <c r="B7198" s="76" t="s">
        <v>17654</v>
      </c>
    </row>
    <row r="7199" spans="1:2" x14ac:dyDescent="0.25">
      <c r="A7199" s="75">
        <v>41105203</v>
      </c>
      <c r="B7199" s="76" t="s">
        <v>12518</v>
      </c>
    </row>
    <row r="7200" spans="1:2" x14ac:dyDescent="0.25">
      <c r="A7200" s="75">
        <v>41105204</v>
      </c>
      <c r="B7200" s="76" t="s">
        <v>16113</v>
      </c>
    </row>
    <row r="7201" spans="1:2" x14ac:dyDescent="0.25">
      <c r="A7201" s="75">
        <v>41105205</v>
      </c>
      <c r="B7201" s="76" t="s">
        <v>5317</v>
      </c>
    </row>
    <row r="7202" spans="1:2" x14ac:dyDescent="0.25">
      <c r="A7202" s="75">
        <v>41105301</v>
      </c>
      <c r="B7202" s="76" t="s">
        <v>16272</v>
      </c>
    </row>
    <row r="7203" spans="1:2" x14ac:dyDescent="0.25">
      <c r="A7203" s="75">
        <v>41105302</v>
      </c>
      <c r="B7203" s="76" t="s">
        <v>11605</v>
      </c>
    </row>
    <row r="7204" spans="1:2" x14ac:dyDescent="0.25">
      <c r="A7204" s="75">
        <v>41105303</v>
      </c>
      <c r="B7204" s="76" t="s">
        <v>19644</v>
      </c>
    </row>
    <row r="7205" spans="1:2" x14ac:dyDescent="0.25">
      <c r="A7205" s="75">
        <v>41105304</v>
      </c>
      <c r="B7205" s="76" t="s">
        <v>19740</v>
      </c>
    </row>
    <row r="7206" spans="1:2" x14ac:dyDescent="0.25">
      <c r="A7206" s="75">
        <v>41105305</v>
      </c>
      <c r="B7206" s="76" t="s">
        <v>17128</v>
      </c>
    </row>
    <row r="7207" spans="1:2" x14ac:dyDescent="0.25">
      <c r="A7207" s="75">
        <v>41105307</v>
      </c>
      <c r="B7207" s="76" t="s">
        <v>4834</v>
      </c>
    </row>
    <row r="7208" spans="1:2" x14ac:dyDescent="0.25">
      <c r="A7208" s="75">
        <v>41105308</v>
      </c>
      <c r="B7208" s="76" t="s">
        <v>3369</v>
      </c>
    </row>
    <row r="7209" spans="1:2" x14ac:dyDescent="0.25">
      <c r="A7209" s="75">
        <v>41105309</v>
      </c>
      <c r="B7209" s="76" t="s">
        <v>98</v>
      </c>
    </row>
    <row r="7210" spans="1:2" x14ac:dyDescent="0.25">
      <c r="A7210" s="75">
        <v>41105310</v>
      </c>
      <c r="B7210" s="76" t="s">
        <v>6649</v>
      </c>
    </row>
    <row r="7211" spans="1:2" x14ac:dyDescent="0.25">
      <c r="A7211" s="75">
        <v>41105311</v>
      </c>
      <c r="B7211" s="76" t="s">
        <v>18205</v>
      </c>
    </row>
    <row r="7212" spans="1:2" x14ac:dyDescent="0.25">
      <c r="A7212" s="75">
        <v>41105312</v>
      </c>
      <c r="B7212" s="76" t="s">
        <v>15276</v>
      </c>
    </row>
    <row r="7213" spans="1:2" x14ac:dyDescent="0.25">
      <c r="A7213" s="75">
        <v>41105313</v>
      </c>
      <c r="B7213" s="76" t="s">
        <v>13291</v>
      </c>
    </row>
    <row r="7214" spans="1:2" x14ac:dyDescent="0.25">
      <c r="A7214" s="75">
        <v>41105314</v>
      </c>
      <c r="B7214" s="76" t="s">
        <v>2823</v>
      </c>
    </row>
    <row r="7215" spans="1:2" x14ac:dyDescent="0.25">
      <c r="A7215" s="75">
        <v>41105315</v>
      </c>
      <c r="B7215" s="76" t="s">
        <v>19959</v>
      </c>
    </row>
    <row r="7216" spans="1:2" x14ac:dyDescent="0.25">
      <c r="A7216" s="75">
        <v>41105316</v>
      </c>
      <c r="B7216" s="76" t="s">
        <v>9873</v>
      </c>
    </row>
    <row r="7217" spans="1:2" x14ac:dyDescent="0.25">
      <c r="A7217" s="75">
        <v>41105317</v>
      </c>
      <c r="B7217" s="76" t="s">
        <v>16218</v>
      </c>
    </row>
    <row r="7218" spans="1:2" x14ac:dyDescent="0.25">
      <c r="A7218" s="75">
        <v>41105318</v>
      </c>
      <c r="B7218" s="76" t="s">
        <v>6876</v>
      </c>
    </row>
    <row r="7219" spans="1:2" x14ac:dyDescent="0.25">
      <c r="A7219" s="75">
        <v>41105319</v>
      </c>
      <c r="B7219" s="76" t="s">
        <v>14603</v>
      </c>
    </row>
    <row r="7220" spans="1:2" x14ac:dyDescent="0.25">
      <c r="A7220" s="75">
        <v>41105320</v>
      </c>
      <c r="B7220" s="76" t="s">
        <v>14896</v>
      </c>
    </row>
    <row r="7221" spans="1:2" x14ac:dyDescent="0.25">
      <c r="A7221" s="75">
        <v>41105321</v>
      </c>
      <c r="B7221" s="76" t="s">
        <v>18159</v>
      </c>
    </row>
    <row r="7222" spans="1:2" x14ac:dyDescent="0.25">
      <c r="A7222" s="75">
        <v>41105322</v>
      </c>
      <c r="B7222" s="76" t="s">
        <v>16422</v>
      </c>
    </row>
    <row r="7223" spans="1:2" x14ac:dyDescent="0.25">
      <c r="A7223" s="75">
        <v>41105323</v>
      </c>
      <c r="B7223" s="76" t="s">
        <v>4440</v>
      </c>
    </row>
    <row r="7224" spans="1:2" x14ac:dyDescent="0.25">
      <c r="A7224" s="75">
        <v>41105324</v>
      </c>
      <c r="B7224" s="76" t="s">
        <v>17197</v>
      </c>
    </row>
    <row r="7225" spans="1:2" x14ac:dyDescent="0.25">
      <c r="A7225" s="75">
        <v>41105325</v>
      </c>
      <c r="B7225" s="76" t="s">
        <v>17401</v>
      </c>
    </row>
    <row r="7226" spans="1:2" x14ac:dyDescent="0.25">
      <c r="A7226" s="75">
        <v>41105326</v>
      </c>
      <c r="B7226" s="76" t="s">
        <v>4598</v>
      </c>
    </row>
    <row r="7227" spans="1:2" x14ac:dyDescent="0.25">
      <c r="A7227" s="75">
        <v>41105327</v>
      </c>
      <c r="B7227" s="76" t="s">
        <v>19827</v>
      </c>
    </row>
    <row r="7228" spans="1:2" x14ac:dyDescent="0.25">
      <c r="A7228" s="75">
        <v>41105328</v>
      </c>
      <c r="B7228" s="76" t="s">
        <v>10140</v>
      </c>
    </row>
    <row r="7229" spans="1:2" x14ac:dyDescent="0.25">
      <c r="A7229" s="75">
        <v>41105329</v>
      </c>
      <c r="B7229" s="76" t="s">
        <v>10554</v>
      </c>
    </row>
    <row r="7230" spans="1:2" x14ac:dyDescent="0.25">
      <c r="A7230" s="75">
        <v>41105330</v>
      </c>
      <c r="B7230" s="76" t="s">
        <v>12988</v>
      </c>
    </row>
    <row r="7231" spans="1:2" x14ac:dyDescent="0.25">
      <c r="A7231" s="75">
        <v>41105331</v>
      </c>
      <c r="B7231" s="76" t="s">
        <v>14536</v>
      </c>
    </row>
    <row r="7232" spans="1:2" x14ac:dyDescent="0.25">
      <c r="A7232" s="75">
        <v>41105332</v>
      </c>
      <c r="B7232" s="76" t="s">
        <v>12441</v>
      </c>
    </row>
    <row r="7233" spans="1:2" x14ac:dyDescent="0.25">
      <c r="A7233" s="75">
        <v>41105333</v>
      </c>
      <c r="B7233" s="76" t="s">
        <v>112</v>
      </c>
    </row>
    <row r="7234" spans="1:2" x14ac:dyDescent="0.25">
      <c r="A7234" s="75">
        <v>41105334</v>
      </c>
      <c r="B7234" s="76" t="s">
        <v>12134</v>
      </c>
    </row>
    <row r="7235" spans="1:2" x14ac:dyDescent="0.25">
      <c r="A7235" s="75">
        <v>41105335</v>
      </c>
      <c r="B7235" s="76" t="s">
        <v>4649</v>
      </c>
    </row>
    <row r="7236" spans="1:2" x14ac:dyDescent="0.25">
      <c r="A7236" s="75">
        <v>41105336</v>
      </c>
      <c r="B7236" s="76" t="s">
        <v>11045</v>
      </c>
    </row>
    <row r="7237" spans="1:2" x14ac:dyDescent="0.25">
      <c r="A7237" s="75">
        <v>41105337</v>
      </c>
      <c r="B7237" s="76" t="s">
        <v>12405</v>
      </c>
    </row>
    <row r="7238" spans="1:2" x14ac:dyDescent="0.25">
      <c r="A7238" s="75">
        <v>41105338</v>
      </c>
      <c r="B7238" s="76" t="s">
        <v>5181</v>
      </c>
    </row>
    <row r="7239" spans="1:2" x14ac:dyDescent="0.25">
      <c r="A7239" s="75">
        <v>41105339</v>
      </c>
      <c r="B7239" s="76" t="s">
        <v>3471</v>
      </c>
    </row>
    <row r="7240" spans="1:2" x14ac:dyDescent="0.25">
      <c r="A7240" s="75">
        <v>41105501</v>
      </c>
      <c r="B7240" s="76" t="s">
        <v>12094</v>
      </c>
    </row>
    <row r="7241" spans="1:2" x14ac:dyDescent="0.25">
      <c r="A7241" s="75">
        <v>41105502</v>
      </c>
      <c r="B7241" s="76" t="s">
        <v>19966</v>
      </c>
    </row>
    <row r="7242" spans="1:2" x14ac:dyDescent="0.25">
      <c r="A7242" s="75">
        <v>41105503</v>
      </c>
      <c r="B7242" s="76" t="s">
        <v>831</v>
      </c>
    </row>
    <row r="7243" spans="1:2" x14ac:dyDescent="0.25">
      <c r="A7243" s="75">
        <v>41105504</v>
      </c>
      <c r="B7243" s="76" t="s">
        <v>7862</v>
      </c>
    </row>
    <row r="7244" spans="1:2" x14ac:dyDescent="0.25">
      <c r="A7244" s="75">
        <v>41105505</v>
      </c>
      <c r="B7244" s="76" t="s">
        <v>13316</v>
      </c>
    </row>
    <row r="7245" spans="1:2" x14ac:dyDescent="0.25">
      <c r="A7245" s="75">
        <v>41105506</v>
      </c>
      <c r="B7245" s="76" t="s">
        <v>18945</v>
      </c>
    </row>
    <row r="7246" spans="1:2" x14ac:dyDescent="0.25">
      <c r="A7246" s="75">
        <v>41105507</v>
      </c>
      <c r="B7246" s="76" t="s">
        <v>17769</v>
      </c>
    </row>
    <row r="7247" spans="1:2" x14ac:dyDescent="0.25">
      <c r="A7247" s="75">
        <v>41105508</v>
      </c>
      <c r="B7247" s="76" t="s">
        <v>6180</v>
      </c>
    </row>
    <row r="7248" spans="1:2" x14ac:dyDescent="0.25">
      <c r="A7248" s="75">
        <v>41105509</v>
      </c>
      <c r="B7248" s="76" t="s">
        <v>12177</v>
      </c>
    </row>
    <row r="7249" spans="1:2" x14ac:dyDescent="0.25">
      <c r="A7249" s="75">
        <v>41105510</v>
      </c>
      <c r="B7249" s="76" t="s">
        <v>2573</v>
      </c>
    </row>
    <row r="7250" spans="1:2" x14ac:dyDescent="0.25">
      <c r="A7250" s="75">
        <v>41105511</v>
      </c>
      <c r="B7250" s="76" t="s">
        <v>6362</v>
      </c>
    </row>
    <row r="7251" spans="1:2" x14ac:dyDescent="0.25">
      <c r="A7251" s="75">
        <v>41105512</v>
      </c>
      <c r="B7251" s="76" t="s">
        <v>19058</v>
      </c>
    </row>
    <row r="7252" spans="1:2" x14ac:dyDescent="0.25">
      <c r="A7252" s="75">
        <v>41105513</v>
      </c>
      <c r="B7252" s="76" t="s">
        <v>5216</v>
      </c>
    </row>
    <row r="7253" spans="1:2" x14ac:dyDescent="0.25">
      <c r="A7253" s="75">
        <v>41105514</v>
      </c>
      <c r="B7253" s="76" t="s">
        <v>7463</v>
      </c>
    </row>
    <row r="7254" spans="1:2" x14ac:dyDescent="0.25">
      <c r="A7254" s="75">
        <v>41105515</v>
      </c>
      <c r="B7254" s="76" t="s">
        <v>16160</v>
      </c>
    </row>
    <row r="7255" spans="1:2" x14ac:dyDescent="0.25">
      <c r="A7255" s="75">
        <v>41105516</v>
      </c>
      <c r="B7255" s="76" t="s">
        <v>18527</v>
      </c>
    </row>
    <row r="7256" spans="1:2" x14ac:dyDescent="0.25">
      <c r="A7256" s="75">
        <v>41105517</v>
      </c>
      <c r="B7256" s="76" t="s">
        <v>9623</v>
      </c>
    </row>
    <row r="7257" spans="1:2" x14ac:dyDescent="0.25">
      <c r="A7257" s="75">
        <v>41105518</v>
      </c>
      <c r="B7257" s="76" t="s">
        <v>12865</v>
      </c>
    </row>
    <row r="7258" spans="1:2" x14ac:dyDescent="0.25">
      <c r="A7258" s="75">
        <v>41105519</v>
      </c>
      <c r="B7258" s="76" t="s">
        <v>16452</v>
      </c>
    </row>
    <row r="7259" spans="1:2" x14ac:dyDescent="0.25">
      <c r="A7259" s="75">
        <v>41105520</v>
      </c>
      <c r="B7259" s="76" t="s">
        <v>10818</v>
      </c>
    </row>
    <row r="7260" spans="1:2" x14ac:dyDescent="0.25">
      <c r="A7260" s="75">
        <v>41105601</v>
      </c>
      <c r="B7260" s="76" t="s">
        <v>5158</v>
      </c>
    </row>
    <row r="7261" spans="1:2" x14ac:dyDescent="0.25">
      <c r="A7261" s="75">
        <v>41105701</v>
      </c>
      <c r="B7261" s="76" t="s">
        <v>14260</v>
      </c>
    </row>
    <row r="7262" spans="1:2" x14ac:dyDescent="0.25">
      <c r="A7262" s="75">
        <v>41105801</v>
      </c>
      <c r="B7262" s="76" t="s">
        <v>4577</v>
      </c>
    </row>
    <row r="7263" spans="1:2" x14ac:dyDescent="0.25">
      <c r="A7263" s="75">
        <v>41105802</v>
      </c>
      <c r="B7263" s="76" t="s">
        <v>10452</v>
      </c>
    </row>
    <row r="7264" spans="1:2" x14ac:dyDescent="0.25">
      <c r="A7264" s="75">
        <v>41105803</v>
      </c>
      <c r="B7264" s="76" t="s">
        <v>14174</v>
      </c>
    </row>
    <row r="7265" spans="1:2" x14ac:dyDescent="0.25">
      <c r="A7265" s="75">
        <v>41105804</v>
      </c>
      <c r="B7265" s="76" t="s">
        <v>10119</v>
      </c>
    </row>
    <row r="7266" spans="1:2" x14ac:dyDescent="0.25">
      <c r="A7266" s="75">
        <v>41105901</v>
      </c>
      <c r="B7266" s="76" t="s">
        <v>2168</v>
      </c>
    </row>
    <row r="7267" spans="1:2" x14ac:dyDescent="0.25">
      <c r="A7267" s="75">
        <v>41105902</v>
      </c>
      <c r="B7267" s="76" t="s">
        <v>16974</v>
      </c>
    </row>
    <row r="7268" spans="1:2" x14ac:dyDescent="0.25">
      <c r="A7268" s="75">
        <v>41105903</v>
      </c>
      <c r="B7268" s="76" t="s">
        <v>3470</v>
      </c>
    </row>
    <row r="7269" spans="1:2" x14ac:dyDescent="0.25">
      <c r="A7269" s="75">
        <v>41105904</v>
      </c>
      <c r="B7269" s="76" t="s">
        <v>15610</v>
      </c>
    </row>
    <row r="7270" spans="1:2" x14ac:dyDescent="0.25">
      <c r="A7270" s="75">
        <v>41105905</v>
      </c>
      <c r="B7270" s="76" t="s">
        <v>4806</v>
      </c>
    </row>
    <row r="7271" spans="1:2" x14ac:dyDescent="0.25">
      <c r="A7271" s="75">
        <v>41105906</v>
      </c>
      <c r="B7271" s="76" t="s">
        <v>18317</v>
      </c>
    </row>
    <row r="7272" spans="1:2" x14ac:dyDescent="0.25">
      <c r="A7272" s="75">
        <v>41105907</v>
      </c>
      <c r="B7272" s="76" t="s">
        <v>19026</v>
      </c>
    </row>
    <row r="7273" spans="1:2" x14ac:dyDescent="0.25">
      <c r="A7273" s="75">
        <v>41105908</v>
      </c>
      <c r="B7273" s="76" t="s">
        <v>10260</v>
      </c>
    </row>
    <row r="7274" spans="1:2" x14ac:dyDescent="0.25">
      <c r="A7274" s="75">
        <v>41106001</v>
      </c>
      <c r="B7274" s="76" t="s">
        <v>8058</v>
      </c>
    </row>
    <row r="7275" spans="1:2" x14ac:dyDescent="0.25">
      <c r="A7275" s="75">
        <v>41106002</v>
      </c>
      <c r="B7275" s="76" t="s">
        <v>18148</v>
      </c>
    </row>
    <row r="7276" spans="1:2" x14ac:dyDescent="0.25">
      <c r="A7276" s="75">
        <v>41106003</v>
      </c>
      <c r="B7276" s="76" t="s">
        <v>2019</v>
      </c>
    </row>
    <row r="7277" spans="1:2" x14ac:dyDescent="0.25">
      <c r="A7277" s="75">
        <v>41106004</v>
      </c>
      <c r="B7277" s="76" t="s">
        <v>10935</v>
      </c>
    </row>
    <row r="7278" spans="1:2" x14ac:dyDescent="0.25">
      <c r="A7278" s="75">
        <v>41106005</v>
      </c>
      <c r="B7278" s="76" t="s">
        <v>4918</v>
      </c>
    </row>
    <row r="7279" spans="1:2" x14ac:dyDescent="0.25">
      <c r="A7279" s="75">
        <v>41106006</v>
      </c>
      <c r="B7279" s="76" t="s">
        <v>18669</v>
      </c>
    </row>
    <row r="7280" spans="1:2" x14ac:dyDescent="0.25">
      <c r="A7280" s="75">
        <v>41106101</v>
      </c>
      <c r="B7280" s="76" t="s">
        <v>2338</v>
      </c>
    </row>
    <row r="7281" spans="1:2" x14ac:dyDescent="0.25">
      <c r="A7281" s="75">
        <v>41106102</v>
      </c>
      <c r="B7281" s="76" t="s">
        <v>9169</v>
      </c>
    </row>
    <row r="7282" spans="1:2" x14ac:dyDescent="0.25">
      <c r="A7282" s="75">
        <v>41106103</v>
      </c>
      <c r="B7282" s="76" t="s">
        <v>11255</v>
      </c>
    </row>
    <row r="7283" spans="1:2" x14ac:dyDescent="0.25">
      <c r="A7283" s="75">
        <v>41106104</v>
      </c>
      <c r="B7283" s="76" t="s">
        <v>14693</v>
      </c>
    </row>
    <row r="7284" spans="1:2" x14ac:dyDescent="0.25">
      <c r="A7284" s="75">
        <v>41106201</v>
      </c>
      <c r="B7284" s="76" t="s">
        <v>3816</v>
      </c>
    </row>
    <row r="7285" spans="1:2" x14ac:dyDescent="0.25">
      <c r="A7285" s="75">
        <v>41106202</v>
      </c>
      <c r="B7285" s="76" t="s">
        <v>3268</v>
      </c>
    </row>
    <row r="7286" spans="1:2" x14ac:dyDescent="0.25">
      <c r="A7286" s="75">
        <v>41106203</v>
      </c>
      <c r="B7286" s="76" t="s">
        <v>11058</v>
      </c>
    </row>
    <row r="7287" spans="1:2" x14ac:dyDescent="0.25">
      <c r="A7287" s="75">
        <v>41106204</v>
      </c>
      <c r="B7287" s="76" t="s">
        <v>9529</v>
      </c>
    </row>
    <row r="7288" spans="1:2" x14ac:dyDescent="0.25">
      <c r="A7288" s="75">
        <v>41106205</v>
      </c>
      <c r="B7288" s="76" t="s">
        <v>2430</v>
      </c>
    </row>
    <row r="7289" spans="1:2" x14ac:dyDescent="0.25">
      <c r="A7289" s="75">
        <v>41106206</v>
      </c>
      <c r="B7289" s="76" t="s">
        <v>1534</v>
      </c>
    </row>
    <row r="7290" spans="1:2" x14ac:dyDescent="0.25">
      <c r="A7290" s="75">
        <v>41106207</v>
      </c>
      <c r="B7290" s="76" t="s">
        <v>5604</v>
      </c>
    </row>
    <row r="7291" spans="1:2" x14ac:dyDescent="0.25">
      <c r="A7291" s="75">
        <v>41106208</v>
      </c>
      <c r="B7291" s="76" t="s">
        <v>16090</v>
      </c>
    </row>
    <row r="7292" spans="1:2" x14ac:dyDescent="0.25">
      <c r="A7292" s="75">
        <v>41106209</v>
      </c>
      <c r="B7292" s="76" t="s">
        <v>13101</v>
      </c>
    </row>
    <row r="7293" spans="1:2" x14ac:dyDescent="0.25">
      <c r="A7293" s="75">
        <v>41106210</v>
      </c>
      <c r="B7293" s="76" t="s">
        <v>2212</v>
      </c>
    </row>
    <row r="7294" spans="1:2" x14ac:dyDescent="0.25">
      <c r="A7294" s="75">
        <v>41106211</v>
      </c>
      <c r="B7294" s="76" t="s">
        <v>19555</v>
      </c>
    </row>
    <row r="7295" spans="1:2" x14ac:dyDescent="0.25">
      <c r="A7295" s="75">
        <v>41106212</v>
      </c>
      <c r="B7295" s="76" t="s">
        <v>12402</v>
      </c>
    </row>
    <row r="7296" spans="1:2" x14ac:dyDescent="0.25">
      <c r="A7296" s="75">
        <v>41106213</v>
      </c>
      <c r="B7296" s="76" t="s">
        <v>848</v>
      </c>
    </row>
    <row r="7297" spans="1:2" x14ac:dyDescent="0.25">
      <c r="A7297" s="75">
        <v>41106214</v>
      </c>
      <c r="B7297" s="76" t="s">
        <v>7397</v>
      </c>
    </row>
    <row r="7298" spans="1:2" x14ac:dyDescent="0.25">
      <c r="A7298" s="75">
        <v>41106215</v>
      </c>
      <c r="B7298" s="76" t="s">
        <v>10024</v>
      </c>
    </row>
    <row r="7299" spans="1:2" x14ac:dyDescent="0.25">
      <c r="A7299" s="75">
        <v>41106216</v>
      </c>
      <c r="B7299" s="76" t="s">
        <v>17784</v>
      </c>
    </row>
    <row r="7300" spans="1:2" x14ac:dyDescent="0.25">
      <c r="A7300" s="75">
        <v>41106217</v>
      </c>
      <c r="B7300" s="76" t="s">
        <v>12797</v>
      </c>
    </row>
    <row r="7301" spans="1:2" x14ac:dyDescent="0.25">
      <c r="A7301" s="75">
        <v>41106218</v>
      </c>
      <c r="B7301" s="76" t="s">
        <v>16774</v>
      </c>
    </row>
    <row r="7302" spans="1:2" x14ac:dyDescent="0.25">
      <c r="A7302" s="75">
        <v>41106219</v>
      </c>
      <c r="B7302" s="76" t="s">
        <v>3389</v>
      </c>
    </row>
    <row r="7303" spans="1:2" x14ac:dyDescent="0.25">
      <c r="A7303" s="75">
        <v>41106220</v>
      </c>
      <c r="B7303" s="76" t="s">
        <v>9875</v>
      </c>
    </row>
    <row r="7304" spans="1:2" x14ac:dyDescent="0.25">
      <c r="A7304" s="75">
        <v>41106221</v>
      </c>
      <c r="B7304" s="76" t="s">
        <v>1010</v>
      </c>
    </row>
    <row r="7305" spans="1:2" x14ac:dyDescent="0.25">
      <c r="A7305" s="75">
        <v>41106222</v>
      </c>
      <c r="B7305" s="76" t="s">
        <v>11667</v>
      </c>
    </row>
    <row r="7306" spans="1:2" x14ac:dyDescent="0.25">
      <c r="A7306" s="75">
        <v>41106223</v>
      </c>
      <c r="B7306" s="76" t="s">
        <v>14952</v>
      </c>
    </row>
    <row r="7307" spans="1:2" x14ac:dyDescent="0.25">
      <c r="A7307" s="75">
        <v>41106301</v>
      </c>
      <c r="B7307" s="76" t="s">
        <v>1608</v>
      </c>
    </row>
    <row r="7308" spans="1:2" x14ac:dyDescent="0.25">
      <c r="A7308" s="75">
        <v>41106302</v>
      </c>
      <c r="B7308" s="76" t="s">
        <v>10573</v>
      </c>
    </row>
    <row r="7309" spans="1:2" x14ac:dyDescent="0.25">
      <c r="A7309" s="75">
        <v>41106303</v>
      </c>
      <c r="B7309" s="76" t="s">
        <v>3447</v>
      </c>
    </row>
    <row r="7310" spans="1:2" x14ac:dyDescent="0.25">
      <c r="A7310" s="75">
        <v>41106304</v>
      </c>
      <c r="B7310" s="76" t="s">
        <v>12526</v>
      </c>
    </row>
    <row r="7311" spans="1:2" x14ac:dyDescent="0.25">
      <c r="A7311" s="75">
        <v>41106305</v>
      </c>
      <c r="B7311" s="76" t="s">
        <v>16035</v>
      </c>
    </row>
    <row r="7312" spans="1:2" x14ac:dyDescent="0.25">
      <c r="A7312" s="75">
        <v>41106306</v>
      </c>
      <c r="B7312" s="76" t="s">
        <v>8338</v>
      </c>
    </row>
    <row r="7313" spans="1:2" x14ac:dyDescent="0.25">
      <c r="A7313" s="75">
        <v>41106307</v>
      </c>
      <c r="B7313" s="76" t="s">
        <v>5789</v>
      </c>
    </row>
    <row r="7314" spans="1:2" x14ac:dyDescent="0.25">
      <c r="A7314" s="75">
        <v>41106308</v>
      </c>
      <c r="B7314" s="76" t="s">
        <v>17844</v>
      </c>
    </row>
    <row r="7315" spans="1:2" x14ac:dyDescent="0.25">
      <c r="A7315" s="75">
        <v>41106309</v>
      </c>
      <c r="B7315" s="76" t="s">
        <v>8922</v>
      </c>
    </row>
    <row r="7316" spans="1:2" x14ac:dyDescent="0.25">
      <c r="A7316" s="75">
        <v>41106310</v>
      </c>
      <c r="B7316" s="76" t="s">
        <v>5347</v>
      </c>
    </row>
    <row r="7317" spans="1:2" x14ac:dyDescent="0.25">
      <c r="A7317" s="75">
        <v>41106311</v>
      </c>
      <c r="B7317" s="76" t="s">
        <v>10022</v>
      </c>
    </row>
    <row r="7318" spans="1:2" x14ac:dyDescent="0.25">
      <c r="A7318" s="75">
        <v>41106312</v>
      </c>
      <c r="B7318" s="76" t="s">
        <v>6639</v>
      </c>
    </row>
    <row r="7319" spans="1:2" x14ac:dyDescent="0.25">
      <c r="A7319" s="75">
        <v>41106313</v>
      </c>
      <c r="B7319" s="76" t="s">
        <v>18425</v>
      </c>
    </row>
    <row r="7320" spans="1:2" x14ac:dyDescent="0.25">
      <c r="A7320" s="75">
        <v>41106314</v>
      </c>
      <c r="B7320" s="76" t="s">
        <v>11612</v>
      </c>
    </row>
    <row r="7321" spans="1:2" x14ac:dyDescent="0.25">
      <c r="A7321" s="75">
        <v>41106401</v>
      </c>
      <c r="B7321" s="76" t="s">
        <v>8010</v>
      </c>
    </row>
    <row r="7322" spans="1:2" x14ac:dyDescent="0.25">
      <c r="A7322" s="75">
        <v>41106402</v>
      </c>
      <c r="B7322" s="76" t="s">
        <v>9527</v>
      </c>
    </row>
    <row r="7323" spans="1:2" x14ac:dyDescent="0.25">
      <c r="A7323" s="75">
        <v>41106403</v>
      </c>
      <c r="B7323" s="76" t="s">
        <v>3147</v>
      </c>
    </row>
    <row r="7324" spans="1:2" x14ac:dyDescent="0.25">
      <c r="A7324" s="75">
        <v>41106501</v>
      </c>
      <c r="B7324" s="76" t="s">
        <v>8967</v>
      </c>
    </row>
    <row r="7325" spans="1:2" x14ac:dyDescent="0.25">
      <c r="A7325" s="75">
        <v>41106502</v>
      </c>
      <c r="B7325" s="76" t="s">
        <v>13569</v>
      </c>
    </row>
    <row r="7326" spans="1:2" x14ac:dyDescent="0.25">
      <c r="A7326" s="75">
        <v>41106503</v>
      </c>
      <c r="B7326" s="76" t="s">
        <v>12103</v>
      </c>
    </row>
    <row r="7327" spans="1:2" x14ac:dyDescent="0.25">
      <c r="A7327" s="75">
        <v>41106504</v>
      </c>
      <c r="B7327" s="76" t="s">
        <v>6285</v>
      </c>
    </row>
    <row r="7328" spans="1:2" x14ac:dyDescent="0.25">
      <c r="A7328" s="75">
        <v>41106505</v>
      </c>
      <c r="B7328" s="76" t="s">
        <v>1007</v>
      </c>
    </row>
    <row r="7329" spans="1:2" x14ac:dyDescent="0.25">
      <c r="A7329" s="75">
        <v>41106506</v>
      </c>
      <c r="B7329" s="76" t="s">
        <v>13605</v>
      </c>
    </row>
    <row r="7330" spans="1:2" x14ac:dyDescent="0.25">
      <c r="A7330" s="75">
        <v>41106507</v>
      </c>
      <c r="B7330" s="76" t="s">
        <v>3207</v>
      </c>
    </row>
    <row r="7331" spans="1:2" x14ac:dyDescent="0.25">
      <c r="A7331" s="75">
        <v>41106508</v>
      </c>
      <c r="B7331" s="76" t="s">
        <v>7721</v>
      </c>
    </row>
    <row r="7332" spans="1:2" x14ac:dyDescent="0.25">
      <c r="A7332" s="75">
        <v>41106509</v>
      </c>
      <c r="B7332" s="76" t="s">
        <v>2799</v>
      </c>
    </row>
    <row r="7333" spans="1:2" x14ac:dyDescent="0.25">
      <c r="A7333" s="75">
        <v>41106510</v>
      </c>
      <c r="B7333" s="76" t="s">
        <v>15804</v>
      </c>
    </row>
    <row r="7334" spans="1:2" x14ac:dyDescent="0.25">
      <c r="A7334" s="75">
        <v>41106511</v>
      </c>
      <c r="B7334" s="76" t="s">
        <v>19273</v>
      </c>
    </row>
    <row r="7335" spans="1:2" x14ac:dyDescent="0.25">
      <c r="A7335" s="75">
        <v>41106512</v>
      </c>
      <c r="B7335" s="76" t="s">
        <v>9964</v>
      </c>
    </row>
    <row r="7336" spans="1:2" x14ac:dyDescent="0.25">
      <c r="A7336" s="75">
        <v>41106513</v>
      </c>
      <c r="B7336" s="76" t="s">
        <v>1555</v>
      </c>
    </row>
    <row r="7337" spans="1:2" x14ac:dyDescent="0.25">
      <c r="A7337" s="75">
        <v>41106514</v>
      </c>
      <c r="B7337" s="76" t="s">
        <v>17031</v>
      </c>
    </row>
    <row r="7338" spans="1:2" x14ac:dyDescent="0.25">
      <c r="A7338" s="75">
        <v>41106515</v>
      </c>
      <c r="B7338" s="76" t="s">
        <v>5667</v>
      </c>
    </row>
    <row r="7339" spans="1:2" x14ac:dyDescent="0.25">
      <c r="A7339" s="75">
        <v>41106601</v>
      </c>
      <c r="B7339" s="76" t="s">
        <v>2297</v>
      </c>
    </row>
    <row r="7340" spans="1:2" x14ac:dyDescent="0.25">
      <c r="A7340" s="75">
        <v>41106602</v>
      </c>
      <c r="B7340" s="76" t="s">
        <v>14565</v>
      </c>
    </row>
    <row r="7341" spans="1:2" x14ac:dyDescent="0.25">
      <c r="A7341" s="75">
        <v>41106603</v>
      </c>
      <c r="B7341" s="76" t="s">
        <v>586</v>
      </c>
    </row>
    <row r="7342" spans="1:2" x14ac:dyDescent="0.25">
      <c r="A7342" s="75">
        <v>41106604</v>
      </c>
      <c r="B7342" s="76" t="s">
        <v>6536</v>
      </c>
    </row>
    <row r="7343" spans="1:2" x14ac:dyDescent="0.25">
      <c r="A7343" s="75">
        <v>41106605</v>
      </c>
      <c r="B7343" s="76" t="s">
        <v>9749</v>
      </c>
    </row>
    <row r="7344" spans="1:2" x14ac:dyDescent="0.25">
      <c r="A7344" s="75">
        <v>41106606</v>
      </c>
      <c r="B7344" s="76" t="s">
        <v>3023</v>
      </c>
    </row>
    <row r="7345" spans="1:2" x14ac:dyDescent="0.25">
      <c r="A7345" s="75">
        <v>41106607</v>
      </c>
      <c r="B7345" s="76" t="s">
        <v>19230</v>
      </c>
    </row>
    <row r="7346" spans="1:2" x14ac:dyDescent="0.25">
      <c r="A7346" s="75">
        <v>41106608</v>
      </c>
      <c r="B7346" s="76" t="s">
        <v>709</v>
      </c>
    </row>
    <row r="7347" spans="1:2" x14ac:dyDescent="0.25">
      <c r="A7347" s="75">
        <v>41106609</v>
      </c>
      <c r="B7347" s="76" t="s">
        <v>4433</v>
      </c>
    </row>
    <row r="7348" spans="1:2" x14ac:dyDescent="0.25">
      <c r="A7348" s="75">
        <v>41106610</v>
      </c>
      <c r="B7348" s="76" t="s">
        <v>8310</v>
      </c>
    </row>
    <row r="7349" spans="1:2" x14ac:dyDescent="0.25">
      <c r="A7349" s="75">
        <v>41106611</v>
      </c>
      <c r="B7349" s="76" t="s">
        <v>4730</v>
      </c>
    </row>
    <row r="7350" spans="1:2" x14ac:dyDescent="0.25">
      <c r="A7350" s="75">
        <v>41106612</v>
      </c>
      <c r="B7350" s="76" t="s">
        <v>3895</v>
      </c>
    </row>
    <row r="7351" spans="1:2" x14ac:dyDescent="0.25">
      <c r="A7351" s="75">
        <v>41106613</v>
      </c>
      <c r="B7351" s="76" t="s">
        <v>9315</v>
      </c>
    </row>
    <row r="7352" spans="1:2" x14ac:dyDescent="0.25">
      <c r="A7352" s="75">
        <v>41106614</v>
      </c>
      <c r="B7352" s="76" t="s">
        <v>7503</v>
      </c>
    </row>
    <row r="7353" spans="1:2" x14ac:dyDescent="0.25">
      <c r="A7353" s="75">
        <v>41106615</v>
      </c>
      <c r="B7353" s="76" t="s">
        <v>1631</v>
      </c>
    </row>
    <row r="7354" spans="1:2" x14ac:dyDescent="0.25">
      <c r="A7354" s="75">
        <v>41106616</v>
      </c>
      <c r="B7354" s="76" t="s">
        <v>12051</v>
      </c>
    </row>
    <row r="7355" spans="1:2" x14ac:dyDescent="0.25">
      <c r="A7355" s="75">
        <v>41106617</v>
      </c>
      <c r="B7355" s="76" t="s">
        <v>6057</v>
      </c>
    </row>
    <row r="7356" spans="1:2" x14ac:dyDescent="0.25">
      <c r="A7356" s="75">
        <v>41106618</v>
      </c>
      <c r="B7356" s="76" t="s">
        <v>7555</v>
      </c>
    </row>
    <row r="7357" spans="1:2" x14ac:dyDescent="0.25">
      <c r="A7357" s="75">
        <v>41106619</v>
      </c>
      <c r="B7357" s="76" t="s">
        <v>6937</v>
      </c>
    </row>
    <row r="7358" spans="1:2" x14ac:dyDescent="0.25">
      <c r="A7358" s="75">
        <v>41106620</v>
      </c>
      <c r="B7358" s="76" t="s">
        <v>13470</v>
      </c>
    </row>
    <row r="7359" spans="1:2" x14ac:dyDescent="0.25">
      <c r="A7359" s="75">
        <v>41106621</v>
      </c>
      <c r="B7359" s="76" t="s">
        <v>13142</v>
      </c>
    </row>
    <row r="7360" spans="1:2" x14ac:dyDescent="0.25">
      <c r="A7360" s="75">
        <v>41106622</v>
      </c>
      <c r="B7360" s="76" t="s">
        <v>5779</v>
      </c>
    </row>
    <row r="7361" spans="1:2" x14ac:dyDescent="0.25">
      <c r="A7361" s="75">
        <v>41111501</v>
      </c>
      <c r="B7361" s="76" t="s">
        <v>10316</v>
      </c>
    </row>
    <row r="7362" spans="1:2" x14ac:dyDescent="0.25">
      <c r="A7362" s="75">
        <v>41111502</v>
      </c>
      <c r="B7362" s="76" t="s">
        <v>4648</v>
      </c>
    </row>
    <row r="7363" spans="1:2" x14ac:dyDescent="0.25">
      <c r="A7363" s="75">
        <v>41111503</v>
      </c>
      <c r="B7363" s="76" t="s">
        <v>13035</v>
      </c>
    </row>
    <row r="7364" spans="1:2" x14ac:dyDescent="0.25">
      <c r="A7364" s="75">
        <v>41111504</v>
      </c>
      <c r="B7364" s="76" t="s">
        <v>15826</v>
      </c>
    </row>
    <row r="7365" spans="1:2" x14ac:dyDescent="0.25">
      <c r="A7365" s="75">
        <v>41111505</v>
      </c>
      <c r="B7365" s="76" t="s">
        <v>3783</v>
      </c>
    </row>
    <row r="7366" spans="1:2" x14ac:dyDescent="0.25">
      <c r="A7366" s="75">
        <v>41111506</v>
      </c>
      <c r="B7366" s="76" t="s">
        <v>7432</v>
      </c>
    </row>
    <row r="7367" spans="1:2" x14ac:dyDescent="0.25">
      <c r="A7367" s="75">
        <v>41111507</v>
      </c>
      <c r="B7367" s="76" t="s">
        <v>9180</v>
      </c>
    </row>
    <row r="7368" spans="1:2" x14ac:dyDescent="0.25">
      <c r="A7368" s="75">
        <v>41111508</v>
      </c>
      <c r="B7368" s="76" t="s">
        <v>2561</v>
      </c>
    </row>
    <row r="7369" spans="1:2" x14ac:dyDescent="0.25">
      <c r="A7369" s="75">
        <v>41111509</v>
      </c>
      <c r="B7369" s="76" t="s">
        <v>11098</v>
      </c>
    </row>
    <row r="7370" spans="1:2" x14ac:dyDescent="0.25">
      <c r="A7370" s="75">
        <v>41111510</v>
      </c>
      <c r="B7370" s="76" t="s">
        <v>19547</v>
      </c>
    </row>
    <row r="7371" spans="1:2" x14ac:dyDescent="0.25">
      <c r="A7371" s="75">
        <v>41111511</v>
      </c>
      <c r="B7371" s="76" t="s">
        <v>13828</v>
      </c>
    </row>
    <row r="7372" spans="1:2" x14ac:dyDescent="0.25">
      <c r="A7372" s="75">
        <v>41111512</v>
      </c>
      <c r="B7372" s="76" t="s">
        <v>2943</v>
      </c>
    </row>
    <row r="7373" spans="1:2" x14ac:dyDescent="0.25">
      <c r="A7373" s="75">
        <v>41111513</v>
      </c>
      <c r="B7373" s="76" t="s">
        <v>4760</v>
      </c>
    </row>
    <row r="7374" spans="1:2" x14ac:dyDescent="0.25">
      <c r="A7374" s="75">
        <v>41111515</v>
      </c>
      <c r="B7374" s="76" t="s">
        <v>11653</v>
      </c>
    </row>
    <row r="7375" spans="1:2" x14ac:dyDescent="0.25">
      <c r="A7375" s="75">
        <v>41111516</v>
      </c>
      <c r="B7375" s="76" t="s">
        <v>6434</v>
      </c>
    </row>
    <row r="7376" spans="1:2" x14ac:dyDescent="0.25">
      <c r="A7376" s="75">
        <v>41111517</v>
      </c>
      <c r="B7376" s="76" t="s">
        <v>1509</v>
      </c>
    </row>
    <row r="7377" spans="1:2" x14ac:dyDescent="0.25">
      <c r="A7377" s="75">
        <v>41111601</v>
      </c>
      <c r="B7377" s="76" t="s">
        <v>9265</v>
      </c>
    </row>
    <row r="7378" spans="1:2" x14ac:dyDescent="0.25">
      <c r="A7378" s="75">
        <v>41111602</v>
      </c>
      <c r="B7378" s="76" t="s">
        <v>4169</v>
      </c>
    </row>
    <row r="7379" spans="1:2" x14ac:dyDescent="0.25">
      <c r="A7379" s="75">
        <v>41111603</v>
      </c>
      <c r="B7379" s="76" t="s">
        <v>1916</v>
      </c>
    </row>
    <row r="7380" spans="1:2" x14ac:dyDescent="0.25">
      <c r="A7380" s="75">
        <v>41111604</v>
      </c>
      <c r="B7380" s="76" t="s">
        <v>7234</v>
      </c>
    </row>
    <row r="7381" spans="1:2" x14ac:dyDescent="0.25">
      <c r="A7381" s="75">
        <v>41111605</v>
      </c>
      <c r="B7381" s="76" t="s">
        <v>6743</v>
      </c>
    </row>
    <row r="7382" spans="1:2" x14ac:dyDescent="0.25">
      <c r="A7382" s="75">
        <v>41111606</v>
      </c>
      <c r="B7382" s="76" t="s">
        <v>2459</v>
      </c>
    </row>
    <row r="7383" spans="1:2" x14ac:dyDescent="0.25">
      <c r="A7383" s="75">
        <v>41111607</v>
      </c>
      <c r="B7383" s="76" t="s">
        <v>16193</v>
      </c>
    </row>
    <row r="7384" spans="1:2" x14ac:dyDescent="0.25">
      <c r="A7384" s="75">
        <v>41111613</v>
      </c>
      <c r="B7384" s="76" t="s">
        <v>17342</v>
      </c>
    </row>
    <row r="7385" spans="1:2" x14ac:dyDescent="0.25">
      <c r="A7385" s="75">
        <v>41111614</v>
      </c>
      <c r="B7385" s="76" t="s">
        <v>12188</v>
      </c>
    </row>
    <row r="7386" spans="1:2" x14ac:dyDescent="0.25">
      <c r="A7386" s="75">
        <v>41111615</v>
      </c>
      <c r="B7386" s="76" t="s">
        <v>4732</v>
      </c>
    </row>
    <row r="7387" spans="1:2" x14ac:dyDescent="0.25">
      <c r="A7387" s="75">
        <v>41111616</v>
      </c>
      <c r="B7387" s="76" t="s">
        <v>20032</v>
      </c>
    </row>
    <row r="7388" spans="1:2" x14ac:dyDescent="0.25">
      <c r="A7388" s="75">
        <v>41111617</v>
      </c>
      <c r="B7388" s="76" t="s">
        <v>7516</v>
      </c>
    </row>
    <row r="7389" spans="1:2" x14ac:dyDescent="0.25">
      <c r="A7389" s="75">
        <v>41111618</v>
      </c>
      <c r="B7389" s="76" t="s">
        <v>14887</v>
      </c>
    </row>
    <row r="7390" spans="1:2" x14ac:dyDescent="0.25">
      <c r="A7390" s="75">
        <v>41111619</v>
      </c>
      <c r="B7390" s="76" t="s">
        <v>12721</v>
      </c>
    </row>
    <row r="7391" spans="1:2" x14ac:dyDescent="0.25">
      <c r="A7391" s="75">
        <v>41111620</v>
      </c>
      <c r="B7391" s="76" t="s">
        <v>5810</v>
      </c>
    </row>
    <row r="7392" spans="1:2" x14ac:dyDescent="0.25">
      <c r="A7392" s="75">
        <v>41111621</v>
      </c>
      <c r="B7392" s="76" t="s">
        <v>9360</v>
      </c>
    </row>
    <row r="7393" spans="1:2" x14ac:dyDescent="0.25">
      <c r="A7393" s="75">
        <v>41111622</v>
      </c>
      <c r="B7393" s="76" t="s">
        <v>10814</v>
      </c>
    </row>
    <row r="7394" spans="1:2" x14ac:dyDescent="0.25">
      <c r="A7394" s="75">
        <v>41111623</v>
      </c>
      <c r="B7394" s="76" t="s">
        <v>11295</v>
      </c>
    </row>
    <row r="7395" spans="1:2" x14ac:dyDescent="0.25">
      <c r="A7395" s="75">
        <v>41111701</v>
      </c>
      <c r="B7395" s="76" t="s">
        <v>19421</v>
      </c>
    </row>
    <row r="7396" spans="1:2" x14ac:dyDescent="0.25">
      <c r="A7396" s="75">
        <v>41111702</v>
      </c>
      <c r="B7396" s="76" t="s">
        <v>2293</v>
      </c>
    </row>
    <row r="7397" spans="1:2" x14ac:dyDescent="0.25">
      <c r="A7397" s="75">
        <v>41111703</v>
      </c>
      <c r="B7397" s="76" t="s">
        <v>18058</v>
      </c>
    </row>
    <row r="7398" spans="1:2" x14ac:dyDescent="0.25">
      <c r="A7398" s="75">
        <v>41111704</v>
      </c>
      <c r="B7398" s="76" t="s">
        <v>12011</v>
      </c>
    </row>
    <row r="7399" spans="1:2" x14ac:dyDescent="0.25">
      <c r="A7399" s="75">
        <v>41111705</v>
      </c>
      <c r="B7399" s="76" t="s">
        <v>4049</v>
      </c>
    </row>
    <row r="7400" spans="1:2" x14ac:dyDescent="0.25">
      <c r="A7400" s="75">
        <v>41111706</v>
      </c>
      <c r="B7400" s="76" t="s">
        <v>5386</v>
      </c>
    </row>
    <row r="7401" spans="1:2" x14ac:dyDescent="0.25">
      <c r="A7401" s="75">
        <v>41111707</v>
      </c>
      <c r="B7401" s="76" t="s">
        <v>4710</v>
      </c>
    </row>
    <row r="7402" spans="1:2" x14ac:dyDescent="0.25">
      <c r="A7402" s="75">
        <v>41111708</v>
      </c>
      <c r="B7402" s="76" t="s">
        <v>55</v>
      </c>
    </row>
    <row r="7403" spans="1:2" x14ac:dyDescent="0.25">
      <c r="A7403" s="75">
        <v>41111709</v>
      </c>
      <c r="B7403" s="76" t="s">
        <v>12457</v>
      </c>
    </row>
    <row r="7404" spans="1:2" x14ac:dyDescent="0.25">
      <c r="A7404" s="75">
        <v>41111710</v>
      </c>
      <c r="B7404" s="76" t="s">
        <v>7815</v>
      </c>
    </row>
    <row r="7405" spans="1:2" x14ac:dyDescent="0.25">
      <c r="A7405" s="75">
        <v>41111711</v>
      </c>
      <c r="B7405" s="76" t="s">
        <v>2911</v>
      </c>
    </row>
    <row r="7406" spans="1:2" x14ac:dyDescent="0.25">
      <c r="A7406" s="75">
        <v>41111712</v>
      </c>
      <c r="B7406" s="76" t="s">
        <v>1415</v>
      </c>
    </row>
    <row r="7407" spans="1:2" x14ac:dyDescent="0.25">
      <c r="A7407" s="75">
        <v>41111713</v>
      </c>
      <c r="B7407" s="76" t="s">
        <v>10036</v>
      </c>
    </row>
    <row r="7408" spans="1:2" x14ac:dyDescent="0.25">
      <c r="A7408" s="75">
        <v>41111714</v>
      </c>
      <c r="B7408" s="76" t="s">
        <v>6609</v>
      </c>
    </row>
    <row r="7409" spans="1:2" x14ac:dyDescent="0.25">
      <c r="A7409" s="75">
        <v>41111715</v>
      </c>
      <c r="B7409" s="76" t="s">
        <v>11148</v>
      </c>
    </row>
    <row r="7410" spans="1:2" x14ac:dyDescent="0.25">
      <c r="A7410" s="75">
        <v>41111716</v>
      </c>
      <c r="B7410" s="76" t="s">
        <v>4484</v>
      </c>
    </row>
    <row r="7411" spans="1:2" x14ac:dyDescent="0.25">
      <c r="A7411" s="75">
        <v>41111717</v>
      </c>
      <c r="B7411" s="76" t="s">
        <v>15011</v>
      </c>
    </row>
    <row r="7412" spans="1:2" x14ac:dyDescent="0.25">
      <c r="A7412" s="75">
        <v>41111718</v>
      </c>
      <c r="B7412" s="76" t="s">
        <v>7086</v>
      </c>
    </row>
    <row r="7413" spans="1:2" x14ac:dyDescent="0.25">
      <c r="A7413" s="75">
        <v>41111719</v>
      </c>
      <c r="B7413" s="76" t="s">
        <v>20055</v>
      </c>
    </row>
    <row r="7414" spans="1:2" x14ac:dyDescent="0.25">
      <c r="A7414" s="75">
        <v>41111720</v>
      </c>
      <c r="B7414" s="76" t="s">
        <v>19424</v>
      </c>
    </row>
    <row r="7415" spans="1:2" x14ac:dyDescent="0.25">
      <c r="A7415" s="75">
        <v>41111721</v>
      </c>
      <c r="B7415" s="76" t="s">
        <v>14612</v>
      </c>
    </row>
    <row r="7416" spans="1:2" x14ac:dyDescent="0.25">
      <c r="A7416" s="75">
        <v>41111722</v>
      </c>
      <c r="B7416" s="76" t="s">
        <v>7636</v>
      </c>
    </row>
    <row r="7417" spans="1:2" x14ac:dyDescent="0.25">
      <c r="A7417" s="75">
        <v>41111723</v>
      </c>
      <c r="B7417" s="76" t="s">
        <v>16004</v>
      </c>
    </row>
    <row r="7418" spans="1:2" x14ac:dyDescent="0.25">
      <c r="A7418" s="75">
        <v>41111724</v>
      </c>
      <c r="B7418" s="76" t="s">
        <v>17973</v>
      </c>
    </row>
    <row r="7419" spans="1:2" x14ac:dyDescent="0.25">
      <c r="A7419" s="75">
        <v>41111725</v>
      </c>
      <c r="B7419" s="76" t="s">
        <v>11104</v>
      </c>
    </row>
    <row r="7420" spans="1:2" x14ac:dyDescent="0.25">
      <c r="A7420" s="75">
        <v>41111726</v>
      </c>
      <c r="B7420" s="76" t="s">
        <v>8870</v>
      </c>
    </row>
    <row r="7421" spans="1:2" x14ac:dyDescent="0.25">
      <c r="A7421" s="75">
        <v>41111727</v>
      </c>
      <c r="B7421" s="76" t="s">
        <v>7232</v>
      </c>
    </row>
    <row r="7422" spans="1:2" x14ac:dyDescent="0.25">
      <c r="A7422" s="75">
        <v>41111728</v>
      </c>
      <c r="B7422" s="76" t="s">
        <v>10926</v>
      </c>
    </row>
    <row r="7423" spans="1:2" x14ac:dyDescent="0.25">
      <c r="A7423" s="75">
        <v>41111729</v>
      </c>
      <c r="B7423" s="76" t="s">
        <v>8098</v>
      </c>
    </row>
    <row r="7424" spans="1:2" x14ac:dyDescent="0.25">
      <c r="A7424" s="75">
        <v>41111730</v>
      </c>
      <c r="B7424" s="76" t="s">
        <v>911</v>
      </c>
    </row>
    <row r="7425" spans="1:2" x14ac:dyDescent="0.25">
      <c r="A7425" s="75">
        <v>41111731</v>
      </c>
      <c r="B7425" s="76" t="s">
        <v>19194</v>
      </c>
    </row>
    <row r="7426" spans="1:2" x14ac:dyDescent="0.25">
      <c r="A7426" s="75">
        <v>41111733</v>
      </c>
      <c r="B7426" s="76" t="s">
        <v>17164</v>
      </c>
    </row>
    <row r="7427" spans="1:2" x14ac:dyDescent="0.25">
      <c r="A7427" s="75">
        <v>41111734</v>
      </c>
      <c r="B7427" s="76" t="s">
        <v>17651</v>
      </c>
    </row>
    <row r="7428" spans="1:2" x14ac:dyDescent="0.25">
      <c r="A7428" s="75">
        <v>41111735</v>
      </c>
      <c r="B7428" s="76" t="s">
        <v>4278</v>
      </c>
    </row>
    <row r="7429" spans="1:2" x14ac:dyDescent="0.25">
      <c r="A7429" s="75">
        <v>41111736</v>
      </c>
      <c r="B7429" s="76" t="s">
        <v>67</v>
      </c>
    </row>
    <row r="7430" spans="1:2" x14ac:dyDescent="0.25">
      <c r="A7430" s="75">
        <v>41111737</v>
      </c>
      <c r="B7430" s="76" t="s">
        <v>2336</v>
      </c>
    </row>
    <row r="7431" spans="1:2" x14ac:dyDescent="0.25">
      <c r="A7431" s="75">
        <v>41111738</v>
      </c>
      <c r="B7431" s="76" t="s">
        <v>4232</v>
      </c>
    </row>
    <row r="7432" spans="1:2" x14ac:dyDescent="0.25">
      <c r="A7432" s="75">
        <v>41111739</v>
      </c>
      <c r="B7432" s="76" t="s">
        <v>7132</v>
      </c>
    </row>
    <row r="7433" spans="1:2" x14ac:dyDescent="0.25">
      <c r="A7433" s="75">
        <v>41111801</v>
      </c>
      <c r="B7433" s="76" t="s">
        <v>5456</v>
      </c>
    </row>
    <row r="7434" spans="1:2" x14ac:dyDescent="0.25">
      <c r="A7434" s="75">
        <v>41111802</v>
      </c>
      <c r="B7434" s="76" t="s">
        <v>13424</v>
      </c>
    </row>
    <row r="7435" spans="1:2" x14ac:dyDescent="0.25">
      <c r="A7435" s="75">
        <v>41111803</v>
      </c>
      <c r="B7435" s="76" t="s">
        <v>19375</v>
      </c>
    </row>
    <row r="7436" spans="1:2" x14ac:dyDescent="0.25">
      <c r="A7436" s="75">
        <v>41111804</v>
      </c>
      <c r="B7436" s="76" t="s">
        <v>577</v>
      </c>
    </row>
    <row r="7437" spans="1:2" x14ac:dyDescent="0.25">
      <c r="A7437" s="75">
        <v>41111805</v>
      </c>
      <c r="B7437" s="76" t="s">
        <v>6006</v>
      </c>
    </row>
    <row r="7438" spans="1:2" x14ac:dyDescent="0.25">
      <c r="A7438" s="75">
        <v>41111806</v>
      </c>
      <c r="B7438" s="76" t="s">
        <v>3073</v>
      </c>
    </row>
    <row r="7439" spans="1:2" x14ac:dyDescent="0.25">
      <c r="A7439" s="75">
        <v>41111807</v>
      </c>
      <c r="B7439" s="76" t="s">
        <v>12349</v>
      </c>
    </row>
    <row r="7440" spans="1:2" x14ac:dyDescent="0.25">
      <c r="A7440" s="75">
        <v>41111808</v>
      </c>
      <c r="B7440" s="76" t="s">
        <v>18779</v>
      </c>
    </row>
    <row r="7441" spans="1:2" x14ac:dyDescent="0.25">
      <c r="A7441" s="75">
        <v>41111809</v>
      </c>
      <c r="B7441" s="76" t="s">
        <v>17118</v>
      </c>
    </row>
    <row r="7442" spans="1:2" x14ac:dyDescent="0.25">
      <c r="A7442" s="75">
        <v>41111901</v>
      </c>
      <c r="B7442" s="76" t="s">
        <v>11454</v>
      </c>
    </row>
    <row r="7443" spans="1:2" x14ac:dyDescent="0.25">
      <c r="A7443" s="75">
        <v>41111902</v>
      </c>
      <c r="B7443" s="76" t="s">
        <v>1969</v>
      </c>
    </row>
    <row r="7444" spans="1:2" x14ac:dyDescent="0.25">
      <c r="A7444" s="75">
        <v>41111903</v>
      </c>
      <c r="B7444" s="76" t="s">
        <v>9113</v>
      </c>
    </row>
    <row r="7445" spans="1:2" x14ac:dyDescent="0.25">
      <c r="A7445" s="75">
        <v>41111904</v>
      </c>
      <c r="B7445" s="76" t="s">
        <v>12713</v>
      </c>
    </row>
    <row r="7446" spans="1:2" x14ac:dyDescent="0.25">
      <c r="A7446" s="75">
        <v>41111905</v>
      </c>
      <c r="B7446" s="76" t="s">
        <v>4322</v>
      </c>
    </row>
    <row r="7447" spans="1:2" x14ac:dyDescent="0.25">
      <c r="A7447" s="75">
        <v>41111906</v>
      </c>
      <c r="B7447" s="76" t="s">
        <v>3310</v>
      </c>
    </row>
    <row r="7448" spans="1:2" x14ac:dyDescent="0.25">
      <c r="A7448" s="75">
        <v>41111907</v>
      </c>
      <c r="B7448" s="76" t="s">
        <v>13565</v>
      </c>
    </row>
    <row r="7449" spans="1:2" x14ac:dyDescent="0.25">
      <c r="A7449" s="75">
        <v>41111908</v>
      </c>
      <c r="B7449" s="76" t="s">
        <v>7515</v>
      </c>
    </row>
    <row r="7450" spans="1:2" x14ac:dyDescent="0.25">
      <c r="A7450" s="75">
        <v>41111909</v>
      </c>
      <c r="B7450" s="76" t="s">
        <v>1793</v>
      </c>
    </row>
    <row r="7451" spans="1:2" x14ac:dyDescent="0.25">
      <c r="A7451" s="75">
        <v>41111910</v>
      </c>
      <c r="B7451" s="76" t="s">
        <v>13769</v>
      </c>
    </row>
    <row r="7452" spans="1:2" x14ac:dyDescent="0.25">
      <c r="A7452" s="75">
        <v>41111911</v>
      </c>
      <c r="B7452" s="76" t="s">
        <v>19418</v>
      </c>
    </row>
    <row r="7453" spans="1:2" x14ac:dyDescent="0.25">
      <c r="A7453" s="75">
        <v>41111912</v>
      </c>
      <c r="B7453" s="76" t="s">
        <v>9559</v>
      </c>
    </row>
    <row r="7454" spans="1:2" x14ac:dyDescent="0.25">
      <c r="A7454" s="75">
        <v>41111913</v>
      </c>
      <c r="B7454" s="76" t="s">
        <v>1414</v>
      </c>
    </row>
    <row r="7455" spans="1:2" x14ac:dyDescent="0.25">
      <c r="A7455" s="75">
        <v>41111914</v>
      </c>
      <c r="B7455" s="76" t="s">
        <v>17943</v>
      </c>
    </row>
    <row r="7456" spans="1:2" x14ac:dyDescent="0.25">
      <c r="A7456" s="75">
        <v>41111915</v>
      </c>
      <c r="B7456" s="76" t="s">
        <v>15318</v>
      </c>
    </row>
    <row r="7457" spans="1:2" x14ac:dyDescent="0.25">
      <c r="A7457" s="75">
        <v>41111916</v>
      </c>
      <c r="B7457" s="76" t="s">
        <v>4524</v>
      </c>
    </row>
    <row r="7458" spans="1:2" x14ac:dyDescent="0.25">
      <c r="A7458" s="75">
        <v>41111917</v>
      </c>
      <c r="B7458" s="76" t="s">
        <v>16450</v>
      </c>
    </row>
    <row r="7459" spans="1:2" x14ac:dyDescent="0.25">
      <c r="A7459" s="75">
        <v>41111918</v>
      </c>
      <c r="B7459" s="76" t="s">
        <v>17415</v>
      </c>
    </row>
    <row r="7460" spans="1:2" x14ac:dyDescent="0.25">
      <c r="A7460" s="75">
        <v>41111919</v>
      </c>
      <c r="B7460" s="76" t="s">
        <v>12886</v>
      </c>
    </row>
    <row r="7461" spans="1:2" x14ac:dyDescent="0.25">
      <c r="A7461" s="75">
        <v>41111920</v>
      </c>
      <c r="B7461" s="76" t="s">
        <v>10469</v>
      </c>
    </row>
    <row r="7462" spans="1:2" x14ac:dyDescent="0.25">
      <c r="A7462" s="75">
        <v>41111921</v>
      </c>
      <c r="B7462" s="76" t="s">
        <v>17971</v>
      </c>
    </row>
    <row r="7463" spans="1:2" x14ac:dyDescent="0.25">
      <c r="A7463" s="75">
        <v>41111922</v>
      </c>
      <c r="B7463" s="76" t="s">
        <v>16133</v>
      </c>
    </row>
    <row r="7464" spans="1:2" x14ac:dyDescent="0.25">
      <c r="A7464" s="75">
        <v>41111923</v>
      </c>
      <c r="B7464" s="76" t="s">
        <v>5806</v>
      </c>
    </row>
    <row r="7465" spans="1:2" x14ac:dyDescent="0.25">
      <c r="A7465" s="75">
        <v>41111924</v>
      </c>
      <c r="B7465" s="76" t="s">
        <v>6824</v>
      </c>
    </row>
    <row r="7466" spans="1:2" x14ac:dyDescent="0.25">
      <c r="A7466" s="75">
        <v>41111926</v>
      </c>
      <c r="B7466" s="76" t="s">
        <v>7474</v>
      </c>
    </row>
    <row r="7467" spans="1:2" x14ac:dyDescent="0.25">
      <c r="A7467" s="75">
        <v>41111927</v>
      </c>
      <c r="B7467" s="76" t="s">
        <v>9778</v>
      </c>
    </row>
    <row r="7468" spans="1:2" x14ac:dyDescent="0.25">
      <c r="A7468" s="75">
        <v>41111928</v>
      </c>
      <c r="B7468" s="76" t="s">
        <v>17597</v>
      </c>
    </row>
    <row r="7469" spans="1:2" x14ac:dyDescent="0.25">
      <c r="A7469" s="75">
        <v>41111929</v>
      </c>
      <c r="B7469" s="76" t="s">
        <v>14735</v>
      </c>
    </row>
    <row r="7470" spans="1:2" x14ac:dyDescent="0.25">
      <c r="A7470" s="75">
        <v>41111930</v>
      </c>
      <c r="B7470" s="76" t="s">
        <v>7603</v>
      </c>
    </row>
    <row r="7471" spans="1:2" x14ac:dyDescent="0.25">
      <c r="A7471" s="75">
        <v>41111931</v>
      </c>
      <c r="B7471" s="76" t="s">
        <v>1397</v>
      </c>
    </row>
    <row r="7472" spans="1:2" x14ac:dyDescent="0.25">
      <c r="A7472" s="75">
        <v>41111932</v>
      </c>
      <c r="B7472" s="76" t="s">
        <v>6501</v>
      </c>
    </row>
    <row r="7473" spans="1:2" x14ac:dyDescent="0.25">
      <c r="A7473" s="75">
        <v>41111933</v>
      </c>
      <c r="B7473" s="76" t="s">
        <v>18764</v>
      </c>
    </row>
    <row r="7474" spans="1:2" x14ac:dyDescent="0.25">
      <c r="A7474" s="75">
        <v>41111934</v>
      </c>
      <c r="B7474" s="76" t="s">
        <v>4883</v>
      </c>
    </row>
    <row r="7475" spans="1:2" x14ac:dyDescent="0.25">
      <c r="A7475" s="75">
        <v>41111935</v>
      </c>
      <c r="B7475" s="76" t="s">
        <v>7896</v>
      </c>
    </row>
    <row r="7476" spans="1:2" x14ac:dyDescent="0.25">
      <c r="A7476" s="75">
        <v>41111936</v>
      </c>
      <c r="B7476" s="76" t="s">
        <v>19947</v>
      </c>
    </row>
    <row r="7477" spans="1:2" x14ac:dyDescent="0.25">
      <c r="A7477" s="75">
        <v>41111937</v>
      </c>
      <c r="B7477" s="76" t="s">
        <v>9339</v>
      </c>
    </row>
    <row r="7478" spans="1:2" x14ac:dyDescent="0.25">
      <c r="A7478" s="75">
        <v>41111938</v>
      </c>
      <c r="B7478" s="76" t="s">
        <v>19625</v>
      </c>
    </row>
    <row r="7479" spans="1:2" x14ac:dyDescent="0.25">
      <c r="A7479" s="75">
        <v>41111939</v>
      </c>
      <c r="B7479" s="76" t="s">
        <v>9540</v>
      </c>
    </row>
    <row r="7480" spans="1:2" x14ac:dyDescent="0.25">
      <c r="A7480" s="75">
        <v>41111940</v>
      </c>
      <c r="B7480" s="76" t="s">
        <v>10134</v>
      </c>
    </row>
    <row r="7481" spans="1:2" x14ac:dyDescent="0.25">
      <c r="A7481" s="75">
        <v>41111941</v>
      </c>
      <c r="B7481" s="76" t="s">
        <v>6369</v>
      </c>
    </row>
    <row r="7482" spans="1:2" x14ac:dyDescent="0.25">
      <c r="A7482" s="75">
        <v>41111942</v>
      </c>
      <c r="B7482" s="76" t="s">
        <v>5418</v>
      </c>
    </row>
    <row r="7483" spans="1:2" x14ac:dyDescent="0.25">
      <c r="A7483" s="75">
        <v>41111943</v>
      </c>
      <c r="B7483" s="76" t="s">
        <v>2047</v>
      </c>
    </row>
    <row r="7484" spans="1:2" x14ac:dyDescent="0.25">
      <c r="A7484" s="75">
        <v>41111944</v>
      </c>
      <c r="B7484" s="76" t="s">
        <v>16182</v>
      </c>
    </row>
    <row r="7485" spans="1:2" x14ac:dyDescent="0.25">
      <c r="A7485" s="75">
        <v>41111945</v>
      </c>
      <c r="B7485" s="76" t="s">
        <v>14847</v>
      </c>
    </row>
    <row r="7486" spans="1:2" x14ac:dyDescent="0.25">
      <c r="A7486" s="75">
        <v>41111946</v>
      </c>
      <c r="B7486" s="76" t="s">
        <v>18710</v>
      </c>
    </row>
    <row r="7487" spans="1:2" x14ac:dyDescent="0.25">
      <c r="A7487" s="75">
        <v>41111947</v>
      </c>
      <c r="B7487" s="76" t="s">
        <v>13540</v>
      </c>
    </row>
    <row r="7488" spans="1:2" x14ac:dyDescent="0.25">
      <c r="A7488" s="75">
        <v>41111948</v>
      </c>
      <c r="B7488" s="76" t="s">
        <v>4006</v>
      </c>
    </row>
    <row r="7489" spans="1:2" x14ac:dyDescent="0.25">
      <c r="A7489" s="75">
        <v>41112101</v>
      </c>
      <c r="B7489" s="76" t="s">
        <v>4371</v>
      </c>
    </row>
    <row r="7490" spans="1:2" x14ac:dyDescent="0.25">
      <c r="A7490" s="75">
        <v>41112103</v>
      </c>
      <c r="B7490" s="76" t="s">
        <v>5263</v>
      </c>
    </row>
    <row r="7491" spans="1:2" x14ac:dyDescent="0.25">
      <c r="A7491" s="75">
        <v>41112104</v>
      </c>
      <c r="B7491" s="76" t="s">
        <v>15946</v>
      </c>
    </row>
    <row r="7492" spans="1:2" x14ac:dyDescent="0.25">
      <c r="A7492" s="75">
        <v>41112105</v>
      </c>
      <c r="B7492" s="76" t="s">
        <v>14396</v>
      </c>
    </row>
    <row r="7493" spans="1:2" x14ac:dyDescent="0.25">
      <c r="A7493" s="75">
        <v>41112106</v>
      </c>
      <c r="B7493" s="76" t="s">
        <v>6171</v>
      </c>
    </row>
    <row r="7494" spans="1:2" x14ac:dyDescent="0.25">
      <c r="A7494" s="75">
        <v>41112107</v>
      </c>
      <c r="B7494" s="76" t="s">
        <v>14169</v>
      </c>
    </row>
    <row r="7495" spans="1:2" x14ac:dyDescent="0.25">
      <c r="A7495" s="75">
        <v>41112108</v>
      </c>
      <c r="B7495" s="76" t="s">
        <v>5329</v>
      </c>
    </row>
    <row r="7496" spans="1:2" x14ac:dyDescent="0.25">
      <c r="A7496" s="75">
        <v>41112201</v>
      </c>
      <c r="B7496" s="76" t="s">
        <v>12486</v>
      </c>
    </row>
    <row r="7497" spans="1:2" x14ac:dyDescent="0.25">
      <c r="A7497" s="75">
        <v>41112202</v>
      </c>
      <c r="B7497" s="76" t="s">
        <v>10522</v>
      </c>
    </row>
    <row r="7498" spans="1:2" x14ac:dyDescent="0.25">
      <c r="A7498" s="75">
        <v>41112203</v>
      </c>
      <c r="B7498" s="76" t="s">
        <v>2974</v>
      </c>
    </row>
    <row r="7499" spans="1:2" x14ac:dyDescent="0.25">
      <c r="A7499" s="75">
        <v>41112204</v>
      </c>
      <c r="B7499" s="76" t="s">
        <v>18818</v>
      </c>
    </row>
    <row r="7500" spans="1:2" x14ac:dyDescent="0.25">
      <c r="A7500" s="75">
        <v>41112205</v>
      </c>
      <c r="B7500" s="76" t="s">
        <v>4655</v>
      </c>
    </row>
    <row r="7501" spans="1:2" x14ac:dyDescent="0.25">
      <c r="A7501" s="75">
        <v>41112206</v>
      </c>
      <c r="B7501" s="76" t="s">
        <v>11398</v>
      </c>
    </row>
    <row r="7502" spans="1:2" x14ac:dyDescent="0.25">
      <c r="A7502" s="75">
        <v>41112207</v>
      </c>
      <c r="B7502" s="76" t="s">
        <v>17177</v>
      </c>
    </row>
    <row r="7503" spans="1:2" x14ac:dyDescent="0.25">
      <c r="A7503" s="75">
        <v>41112209</v>
      </c>
      <c r="B7503" s="76" t="s">
        <v>8082</v>
      </c>
    </row>
    <row r="7504" spans="1:2" x14ac:dyDescent="0.25">
      <c r="A7504" s="75">
        <v>41112210</v>
      </c>
      <c r="B7504" s="76" t="s">
        <v>10208</v>
      </c>
    </row>
    <row r="7505" spans="1:2" x14ac:dyDescent="0.25">
      <c r="A7505" s="75">
        <v>41112211</v>
      </c>
      <c r="B7505" s="76" t="s">
        <v>5487</v>
      </c>
    </row>
    <row r="7506" spans="1:2" x14ac:dyDescent="0.25">
      <c r="A7506" s="75">
        <v>41112212</v>
      </c>
      <c r="B7506" s="76" t="s">
        <v>5713</v>
      </c>
    </row>
    <row r="7507" spans="1:2" x14ac:dyDescent="0.25">
      <c r="A7507" s="75">
        <v>41112213</v>
      </c>
      <c r="B7507" s="76" t="s">
        <v>2834</v>
      </c>
    </row>
    <row r="7508" spans="1:2" x14ac:dyDescent="0.25">
      <c r="A7508" s="75">
        <v>41112214</v>
      </c>
      <c r="B7508" s="76" t="s">
        <v>5602</v>
      </c>
    </row>
    <row r="7509" spans="1:2" x14ac:dyDescent="0.25">
      <c r="A7509" s="75">
        <v>41112215</v>
      </c>
      <c r="B7509" s="76" t="s">
        <v>14300</v>
      </c>
    </row>
    <row r="7510" spans="1:2" x14ac:dyDescent="0.25">
      <c r="A7510" s="75">
        <v>41112216</v>
      </c>
      <c r="B7510" s="76" t="s">
        <v>1741</v>
      </c>
    </row>
    <row r="7511" spans="1:2" x14ac:dyDescent="0.25">
      <c r="A7511" s="75">
        <v>41112217</v>
      </c>
      <c r="B7511" s="76" t="s">
        <v>2653</v>
      </c>
    </row>
    <row r="7512" spans="1:2" x14ac:dyDescent="0.25">
      <c r="A7512" s="75">
        <v>41112218</v>
      </c>
      <c r="B7512" s="76" t="s">
        <v>6762</v>
      </c>
    </row>
    <row r="7513" spans="1:2" x14ac:dyDescent="0.25">
      <c r="A7513" s="75">
        <v>41112219</v>
      </c>
      <c r="B7513" s="76" t="s">
        <v>8797</v>
      </c>
    </row>
    <row r="7514" spans="1:2" x14ac:dyDescent="0.25">
      <c r="A7514" s="75">
        <v>41112220</v>
      </c>
      <c r="B7514" s="76" t="s">
        <v>13298</v>
      </c>
    </row>
    <row r="7515" spans="1:2" x14ac:dyDescent="0.25">
      <c r="A7515" s="75">
        <v>41112221</v>
      </c>
      <c r="B7515" s="76" t="s">
        <v>14886</v>
      </c>
    </row>
    <row r="7516" spans="1:2" x14ac:dyDescent="0.25">
      <c r="A7516" s="75">
        <v>41112301</v>
      </c>
      <c r="B7516" s="76" t="s">
        <v>12897</v>
      </c>
    </row>
    <row r="7517" spans="1:2" x14ac:dyDescent="0.25">
      <c r="A7517" s="75">
        <v>41112302</v>
      </c>
      <c r="B7517" s="76" t="s">
        <v>18512</v>
      </c>
    </row>
    <row r="7518" spans="1:2" x14ac:dyDescent="0.25">
      <c r="A7518" s="75">
        <v>41112303</v>
      </c>
      <c r="B7518" s="76" t="s">
        <v>16211</v>
      </c>
    </row>
    <row r="7519" spans="1:2" x14ac:dyDescent="0.25">
      <c r="A7519" s="75">
        <v>41112304</v>
      </c>
      <c r="B7519" s="76" t="s">
        <v>8476</v>
      </c>
    </row>
    <row r="7520" spans="1:2" x14ac:dyDescent="0.25">
      <c r="A7520" s="75">
        <v>41112401</v>
      </c>
      <c r="B7520" s="76" t="s">
        <v>18003</v>
      </c>
    </row>
    <row r="7521" spans="1:2" x14ac:dyDescent="0.25">
      <c r="A7521" s="75">
        <v>41112402</v>
      </c>
      <c r="B7521" s="76" t="s">
        <v>1624</v>
      </c>
    </row>
    <row r="7522" spans="1:2" x14ac:dyDescent="0.25">
      <c r="A7522" s="75">
        <v>41112403</v>
      </c>
      <c r="B7522" s="76" t="s">
        <v>8891</v>
      </c>
    </row>
    <row r="7523" spans="1:2" x14ac:dyDescent="0.25">
      <c r="A7523" s="75">
        <v>41112404</v>
      </c>
      <c r="B7523" s="76" t="s">
        <v>13620</v>
      </c>
    </row>
    <row r="7524" spans="1:2" x14ac:dyDescent="0.25">
      <c r="A7524" s="75">
        <v>41112405</v>
      </c>
      <c r="B7524" s="76" t="s">
        <v>8474</v>
      </c>
    </row>
    <row r="7525" spans="1:2" x14ac:dyDescent="0.25">
      <c r="A7525" s="75">
        <v>41112406</v>
      </c>
      <c r="B7525" s="76" t="s">
        <v>4076</v>
      </c>
    </row>
    <row r="7526" spans="1:2" x14ac:dyDescent="0.25">
      <c r="A7526" s="75">
        <v>41112407</v>
      </c>
      <c r="B7526" s="76" t="s">
        <v>2420</v>
      </c>
    </row>
    <row r="7527" spans="1:2" x14ac:dyDescent="0.25">
      <c r="A7527" s="75">
        <v>41112408</v>
      </c>
      <c r="B7527" s="76" t="s">
        <v>19146</v>
      </c>
    </row>
    <row r="7528" spans="1:2" x14ac:dyDescent="0.25">
      <c r="A7528" s="75">
        <v>41112409</v>
      </c>
      <c r="B7528" s="76" t="s">
        <v>18574</v>
      </c>
    </row>
    <row r="7529" spans="1:2" x14ac:dyDescent="0.25">
      <c r="A7529" s="75">
        <v>41112410</v>
      </c>
      <c r="B7529" s="76" t="s">
        <v>14523</v>
      </c>
    </row>
    <row r="7530" spans="1:2" x14ac:dyDescent="0.25">
      <c r="A7530" s="75">
        <v>41112411</v>
      </c>
      <c r="B7530" s="76" t="s">
        <v>12695</v>
      </c>
    </row>
    <row r="7531" spans="1:2" x14ac:dyDescent="0.25">
      <c r="A7531" s="75">
        <v>41112501</v>
      </c>
      <c r="B7531" s="76" t="s">
        <v>10803</v>
      </c>
    </row>
    <row r="7532" spans="1:2" x14ac:dyDescent="0.25">
      <c r="A7532" s="75">
        <v>41112502</v>
      </c>
      <c r="B7532" s="76" t="s">
        <v>9552</v>
      </c>
    </row>
    <row r="7533" spans="1:2" x14ac:dyDescent="0.25">
      <c r="A7533" s="75">
        <v>41112503</v>
      </c>
      <c r="B7533" s="76" t="s">
        <v>366</v>
      </c>
    </row>
    <row r="7534" spans="1:2" x14ac:dyDescent="0.25">
      <c r="A7534" s="75">
        <v>41112504</v>
      </c>
      <c r="B7534" s="76" t="s">
        <v>1809</v>
      </c>
    </row>
    <row r="7535" spans="1:2" x14ac:dyDescent="0.25">
      <c r="A7535" s="75">
        <v>41112505</v>
      </c>
      <c r="B7535" s="76" t="s">
        <v>19360</v>
      </c>
    </row>
    <row r="7536" spans="1:2" x14ac:dyDescent="0.25">
      <c r="A7536" s="75">
        <v>41112506</v>
      </c>
      <c r="B7536" s="76" t="s">
        <v>284</v>
      </c>
    </row>
    <row r="7537" spans="1:2" x14ac:dyDescent="0.25">
      <c r="A7537" s="75">
        <v>41112508</v>
      </c>
      <c r="B7537" s="76" t="s">
        <v>12968</v>
      </c>
    </row>
    <row r="7538" spans="1:2" x14ac:dyDescent="0.25">
      <c r="A7538" s="75">
        <v>41112509</v>
      </c>
      <c r="B7538" s="76" t="s">
        <v>1348</v>
      </c>
    </row>
    <row r="7539" spans="1:2" x14ac:dyDescent="0.25">
      <c r="A7539" s="75">
        <v>41112510</v>
      </c>
      <c r="B7539" s="76" t="s">
        <v>20026</v>
      </c>
    </row>
    <row r="7540" spans="1:2" x14ac:dyDescent="0.25">
      <c r="A7540" s="75">
        <v>41112511</v>
      </c>
      <c r="B7540" s="76" t="s">
        <v>13417</v>
      </c>
    </row>
    <row r="7541" spans="1:2" x14ac:dyDescent="0.25">
      <c r="A7541" s="75">
        <v>41112512</v>
      </c>
      <c r="B7541" s="76" t="s">
        <v>17244</v>
      </c>
    </row>
    <row r="7542" spans="1:2" x14ac:dyDescent="0.25">
      <c r="A7542" s="75">
        <v>41112513</v>
      </c>
      <c r="B7542" s="76" t="s">
        <v>6780</v>
      </c>
    </row>
    <row r="7543" spans="1:2" x14ac:dyDescent="0.25">
      <c r="A7543" s="75">
        <v>41112514</v>
      </c>
      <c r="B7543" s="76" t="s">
        <v>3657</v>
      </c>
    </row>
    <row r="7544" spans="1:2" x14ac:dyDescent="0.25">
      <c r="A7544" s="75">
        <v>41112516</v>
      </c>
      <c r="B7544" s="76" t="s">
        <v>6865</v>
      </c>
    </row>
    <row r="7545" spans="1:2" x14ac:dyDescent="0.25">
      <c r="A7545" s="75">
        <v>41112601</v>
      </c>
      <c r="B7545" s="76" t="s">
        <v>12742</v>
      </c>
    </row>
    <row r="7546" spans="1:2" x14ac:dyDescent="0.25">
      <c r="A7546" s="75">
        <v>41112602</v>
      </c>
      <c r="B7546" s="76" t="s">
        <v>9446</v>
      </c>
    </row>
    <row r="7547" spans="1:2" x14ac:dyDescent="0.25">
      <c r="A7547" s="75">
        <v>41112701</v>
      </c>
      <c r="B7547" s="76" t="s">
        <v>10857</v>
      </c>
    </row>
    <row r="7548" spans="1:2" x14ac:dyDescent="0.25">
      <c r="A7548" s="75">
        <v>41112702</v>
      </c>
      <c r="B7548" s="76" t="s">
        <v>13020</v>
      </c>
    </row>
    <row r="7549" spans="1:2" x14ac:dyDescent="0.25">
      <c r="A7549" s="75">
        <v>41112704</v>
      </c>
      <c r="B7549" s="76" t="s">
        <v>18173</v>
      </c>
    </row>
    <row r="7550" spans="1:2" x14ac:dyDescent="0.25">
      <c r="A7550" s="75">
        <v>41112801</v>
      </c>
      <c r="B7550" s="76" t="s">
        <v>17129</v>
      </c>
    </row>
    <row r="7551" spans="1:2" x14ac:dyDescent="0.25">
      <c r="A7551" s="75">
        <v>41112802</v>
      </c>
      <c r="B7551" s="76" t="s">
        <v>18199</v>
      </c>
    </row>
    <row r="7552" spans="1:2" x14ac:dyDescent="0.25">
      <c r="A7552" s="75">
        <v>41112803</v>
      </c>
      <c r="B7552" s="76" t="s">
        <v>19680</v>
      </c>
    </row>
    <row r="7553" spans="1:2" x14ac:dyDescent="0.25">
      <c r="A7553" s="75">
        <v>41112901</v>
      </c>
      <c r="B7553" s="76" t="s">
        <v>7394</v>
      </c>
    </row>
    <row r="7554" spans="1:2" x14ac:dyDescent="0.25">
      <c r="A7554" s="75">
        <v>41112902</v>
      </c>
      <c r="B7554" s="76" t="s">
        <v>18577</v>
      </c>
    </row>
    <row r="7555" spans="1:2" x14ac:dyDescent="0.25">
      <c r="A7555" s="75">
        <v>41112903</v>
      </c>
      <c r="B7555" s="76" t="s">
        <v>17870</v>
      </c>
    </row>
    <row r="7556" spans="1:2" x14ac:dyDescent="0.25">
      <c r="A7556" s="75">
        <v>41112904</v>
      </c>
      <c r="B7556" s="76" t="s">
        <v>17452</v>
      </c>
    </row>
    <row r="7557" spans="1:2" x14ac:dyDescent="0.25">
      <c r="A7557" s="75">
        <v>41113001</v>
      </c>
      <c r="B7557" s="76" t="s">
        <v>2270</v>
      </c>
    </row>
    <row r="7558" spans="1:2" x14ac:dyDescent="0.25">
      <c r="A7558" s="75">
        <v>41113002</v>
      </c>
      <c r="B7558" s="76" t="s">
        <v>8617</v>
      </c>
    </row>
    <row r="7559" spans="1:2" x14ac:dyDescent="0.25">
      <c r="A7559" s="75">
        <v>41113003</v>
      </c>
      <c r="B7559" s="76" t="s">
        <v>16967</v>
      </c>
    </row>
    <row r="7560" spans="1:2" x14ac:dyDescent="0.25">
      <c r="A7560" s="75">
        <v>41113004</v>
      </c>
      <c r="B7560" s="76" t="s">
        <v>3302</v>
      </c>
    </row>
    <row r="7561" spans="1:2" x14ac:dyDescent="0.25">
      <c r="A7561" s="75">
        <v>41113005</v>
      </c>
      <c r="B7561" s="76" t="s">
        <v>1770</v>
      </c>
    </row>
    <row r="7562" spans="1:2" x14ac:dyDescent="0.25">
      <c r="A7562" s="75">
        <v>41113006</v>
      </c>
      <c r="B7562" s="76" t="s">
        <v>17730</v>
      </c>
    </row>
    <row r="7563" spans="1:2" x14ac:dyDescent="0.25">
      <c r="A7563" s="75">
        <v>41113007</v>
      </c>
      <c r="B7563" s="76" t="s">
        <v>5580</v>
      </c>
    </row>
    <row r="7564" spans="1:2" x14ac:dyDescent="0.25">
      <c r="A7564" s="75">
        <v>41113008</v>
      </c>
      <c r="B7564" s="76" t="s">
        <v>15656</v>
      </c>
    </row>
    <row r="7565" spans="1:2" x14ac:dyDescent="0.25">
      <c r="A7565" s="75">
        <v>41113009</v>
      </c>
      <c r="B7565" s="76" t="s">
        <v>2261</v>
      </c>
    </row>
    <row r="7566" spans="1:2" x14ac:dyDescent="0.25">
      <c r="A7566" s="75">
        <v>41113010</v>
      </c>
      <c r="B7566" s="76" t="s">
        <v>12293</v>
      </c>
    </row>
    <row r="7567" spans="1:2" x14ac:dyDescent="0.25">
      <c r="A7567" s="75">
        <v>41113023</v>
      </c>
      <c r="B7567" s="76" t="s">
        <v>442</v>
      </c>
    </row>
    <row r="7568" spans="1:2" x14ac:dyDescent="0.25">
      <c r="A7568" s="75">
        <v>41113024</v>
      </c>
      <c r="B7568" s="76" t="s">
        <v>10392</v>
      </c>
    </row>
    <row r="7569" spans="1:2" x14ac:dyDescent="0.25">
      <c r="A7569" s="75">
        <v>41113025</v>
      </c>
      <c r="B7569" s="76" t="s">
        <v>10455</v>
      </c>
    </row>
    <row r="7570" spans="1:2" x14ac:dyDescent="0.25">
      <c r="A7570" s="75">
        <v>41113026</v>
      </c>
      <c r="B7570" s="76" t="s">
        <v>4224</v>
      </c>
    </row>
    <row r="7571" spans="1:2" x14ac:dyDescent="0.25">
      <c r="A7571" s="75">
        <v>41113027</v>
      </c>
      <c r="B7571" s="76" t="s">
        <v>10148</v>
      </c>
    </row>
    <row r="7572" spans="1:2" x14ac:dyDescent="0.25">
      <c r="A7572" s="75">
        <v>41113029</v>
      </c>
      <c r="B7572" s="76" t="s">
        <v>15427</v>
      </c>
    </row>
    <row r="7573" spans="1:2" x14ac:dyDescent="0.25">
      <c r="A7573" s="75">
        <v>41113030</v>
      </c>
      <c r="B7573" s="76" t="s">
        <v>5825</v>
      </c>
    </row>
    <row r="7574" spans="1:2" x14ac:dyDescent="0.25">
      <c r="A7574" s="75">
        <v>41113031</v>
      </c>
      <c r="B7574" s="76" t="s">
        <v>4425</v>
      </c>
    </row>
    <row r="7575" spans="1:2" x14ac:dyDescent="0.25">
      <c r="A7575" s="75">
        <v>41113033</v>
      </c>
      <c r="B7575" s="76" t="s">
        <v>17803</v>
      </c>
    </row>
    <row r="7576" spans="1:2" x14ac:dyDescent="0.25">
      <c r="A7576" s="75">
        <v>41113034</v>
      </c>
      <c r="B7576" s="76" t="s">
        <v>2101</v>
      </c>
    </row>
    <row r="7577" spans="1:2" x14ac:dyDescent="0.25">
      <c r="A7577" s="75">
        <v>41113035</v>
      </c>
      <c r="B7577" s="76" t="s">
        <v>763</v>
      </c>
    </row>
    <row r="7578" spans="1:2" x14ac:dyDescent="0.25">
      <c r="A7578" s="75">
        <v>41113036</v>
      </c>
      <c r="B7578" s="76" t="s">
        <v>8015</v>
      </c>
    </row>
    <row r="7579" spans="1:2" x14ac:dyDescent="0.25">
      <c r="A7579" s="75">
        <v>41113037</v>
      </c>
      <c r="B7579" s="76" t="s">
        <v>15791</v>
      </c>
    </row>
    <row r="7580" spans="1:2" x14ac:dyDescent="0.25">
      <c r="A7580" s="75">
        <v>41113101</v>
      </c>
      <c r="B7580" s="76" t="s">
        <v>8433</v>
      </c>
    </row>
    <row r="7581" spans="1:2" x14ac:dyDescent="0.25">
      <c r="A7581" s="75">
        <v>41113102</v>
      </c>
      <c r="B7581" s="76" t="s">
        <v>386</v>
      </c>
    </row>
    <row r="7582" spans="1:2" x14ac:dyDescent="0.25">
      <c r="A7582" s="75">
        <v>41113103</v>
      </c>
      <c r="B7582" s="76" t="s">
        <v>2187</v>
      </c>
    </row>
    <row r="7583" spans="1:2" x14ac:dyDescent="0.25">
      <c r="A7583" s="75">
        <v>41113104</v>
      </c>
      <c r="B7583" s="76" t="s">
        <v>19638</v>
      </c>
    </row>
    <row r="7584" spans="1:2" x14ac:dyDescent="0.25">
      <c r="A7584" s="75">
        <v>41113105</v>
      </c>
      <c r="B7584" s="76" t="s">
        <v>16275</v>
      </c>
    </row>
    <row r="7585" spans="1:2" x14ac:dyDescent="0.25">
      <c r="A7585" s="75">
        <v>41113106</v>
      </c>
      <c r="B7585" s="76" t="s">
        <v>16824</v>
      </c>
    </row>
    <row r="7586" spans="1:2" x14ac:dyDescent="0.25">
      <c r="A7586" s="75">
        <v>41113107</v>
      </c>
      <c r="B7586" s="76" t="s">
        <v>1060</v>
      </c>
    </row>
    <row r="7587" spans="1:2" x14ac:dyDescent="0.25">
      <c r="A7587" s="75">
        <v>41113108</v>
      </c>
      <c r="B7587" s="76" t="s">
        <v>11733</v>
      </c>
    </row>
    <row r="7588" spans="1:2" x14ac:dyDescent="0.25">
      <c r="A7588" s="75">
        <v>41113109</v>
      </c>
      <c r="B7588" s="76" t="s">
        <v>3761</v>
      </c>
    </row>
    <row r="7589" spans="1:2" x14ac:dyDescent="0.25">
      <c r="A7589" s="75">
        <v>41113110</v>
      </c>
      <c r="B7589" s="76" t="s">
        <v>1022</v>
      </c>
    </row>
    <row r="7590" spans="1:2" x14ac:dyDescent="0.25">
      <c r="A7590" s="75">
        <v>41113111</v>
      </c>
      <c r="B7590" s="76" t="s">
        <v>11178</v>
      </c>
    </row>
    <row r="7591" spans="1:2" x14ac:dyDescent="0.25">
      <c r="A7591" s="75">
        <v>41113112</v>
      </c>
      <c r="B7591" s="76" t="s">
        <v>2444</v>
      </c>
    </row>
    <row r="7592" spans="1:2" x14ac:dyDescent="0.25">
      <c r="A7592" s="75">
        <v>41113113</v>
      </c>
      <c r="B7592" s="76" t="s">
        <v>7712</v>
      </c>
    </row>
    <row r="7593" spans="1:2" x14ac:dyDescent="0.25">
      <c r="A7593" s="75">
        <v>41113114</v>
      </c>
      <c r="B7593" s="76" t="s">
        <v>19181</v>
      </c>
    </row>
    <row r="7594" spans="1:2" x14ac:dyDescent="0.25">
      <c r="A7594" s="75">
        <v>41113115</v>
      </c>
      <c r="B7594" s="76" t="s">
        <v>2963</v>
      </c>
    </row>
    <row r="7595" spans="1:2" x14ac:dyDescent="0.25">
      <c r="A7595" s="75">
        <v>41113116</v>
      </c>
      <c r="B7595" s="76" t="s">
        <v>15150</v>
      </c>
    </row>
    <row r="7596" spans="1:2" x14ac:dyDescent="0.25">
      <c r="A7596" s="75">
        <v>41113117</v>
      </c>
      <c r="B7596" s="76" t="s">
        <v>12855</v>
      </c>
    </row>
    <row r="7597" spans="1:2" x14ac:dyDescent="0.25">
      <c r="A7597" s="75">
        <v>41113118</v>
      </c>
      <c r="B7597" s="76" t="s">
        <v>13334</v>
      </c>
    </row>
    <row r="7598" spans="1:2" x14ac:dyDescent="0.25">
      <c r="A7598" s="75">
        <v>41113119</v>
      </c>
      <c r="B7598" s="76" t="s">
        <v>4604</v>
      </c>
    </row>
    <row r="7599" spans="1:2" x14ac:dyDescent="0.25">
      <c r="A7599" s="75">
        <v>41113301</v>
      </c>
      <c r="B7599" s="76" t="s">
        <v>15373</v>
      </c>
    </row>
    <row r="7600" spans="1:2" x14ac:dyDescent="0.25">
      <c r="A7600" s="75">
        <v>41113302</v>
      </c>
      <c r="B7600" s="76" t="s">
        <v>7640</v>
      </c>
    </row>
    <row r="7601" spans="1:2" x14ac:dyDescent="0.25">
      <c r="A7601" s="75">
        <v>41113304</v>
      </c>
      <c r="B7601" s="76" t="s">
        <v>12376</v>
      </c>
    </row>
    <row r="7602" spans="1:2" x14ac:dyDescent="0.25">
      <c r="A7602" s="75">
        <v>41113305</v>
      </c>
      <c r="B7602" s="76" t="s">
        <v>19142</v>
      </c>
    </row>
    <row r="7603" spans="1:2" x14ac:dyDescent="0.25">
      <c r="A7603" s="75">
        <v>41113306</v>
      </c>
      <c r="B7603" s="76" t="s">
        <v>10344</v>
      </c>
    </row>
    <row r="7604" spans="1:2" x14ac:dyDescent="0.25">
      <c r="A7604" s="75">
        <v>41113308</v>
      </c>
      <c r="B7604" s="76" t="s">
        <v>14937</v>
      </c>
    </row>
    <row r="7605" spans="1:2" x14ac:dyDescent="0.25">
      <c r="A7605" s="75">
        <v>41113309</v>
      </c>
      <c r="B7605" s="76" t="s">
        <v>19090</v>
      </c>
    </row>
    <row r="7606" spans="1:2" x14ac:dyDescent="0.25">
      <c r="A7606" s="75">
        <v>41113310</v>
      </c>
      <c r="B7606" s="76" t="s">
        <v>158</v>
      </c>
    </row>
    <row r="7607" spans="1:2" x14ac:dyDescent="0.25">
      <c r="A7607" s="75">
        <v>41113311</v>
      </c>
      <c r="B7607" s="76" t="s">
        <v>11853</v>
      </c>
    </row>
    <row r="7608" spans="1:2" x14ac:dyDescent="0.25">
      <c r="A7608" s="75">
        <v>41113312</v>
      </c>
      <c r="B7608" s="76" t="s">
        <v>11315</v>
      </c>
    </row>
    <row r="7609" spans="1:2" x14ac:dyDescent="0.25">
      <c r="A7609" s="75">
        <v>41113313</v>
      </c>
      <c r="B7609" s="76" t="s">
        <v>15086</v>
      </c>
    </row>
    <row r="7610" spans="1:2" x14ac:dyDescent="0.25">
      <c r="A7610" s="75">
        <v>41113314</v>
      </c>
      <c r="B7610" s="76" t="s">
        <v>1492</v>
      </c>
    </row>
    <row r="7611" spans="1:2" x14ac:dyDescent="0.25">
      <c r="A7611" s="75">
        <v>41113315</v>
      </c>
      <c r="B7611" s="76" t="s">
        <v>18034</v>
      </c>
    </row>
    <row r="7612" spans="1:2" x14ac:dyDescent="0.25">
      <c r="A7612" s="75">
        <v>41113316</v>
      </c>
      <c r="B7612" s="76" t="s">
        <v>14664</v>
      </c>
    </row>
    <row r="7613" spans="1:2" x14ac:dyDescent="0.25">
      <c r="A7613" s="75">
        <v>41113318</v>
      </c>
      <c r="B7613" s="76" t="s">
        <v>13768</v>
      </c>
    </row>
    <row r="7614" spans="1:2" x14ac:dyDescent="0.25">
      <c r="A7614" s="75">
        <v>41113319</v>
      </c>
      <c r="B7614" s="76" t="s">
        <v>18867</v>
      </c>
    </row>
    <row r="7615" spans="1:2" x14ac:dyDescent="0.25">
      <c r="A7615" s="75">
        <v>41113320</v>
      </c>
      <c r="B7615" s="76" t="s">
        <v>13615</v>
      </c>
    </row>
    <row r="7616" spans="1:2" x14ac:dyDescent="0.25">
      <c r="A7616" s="75">
        <v>41113321</v>
      </c>
      <c r="B7616" s="76" t="s">
        <v>15492</v>
      </c>
    </row>
    <row r="7617" spans="1:2" x14ac:dyDescent="0.25">
      <c r="A7617" s="75">
        <v>41113322</v>
      </c>
      <c r="B7617" s="76" t="s">
        <v>9448</v>
      </c>
    </row>
    <row r="7618" spans="1:2" x14ac:dyDescent="0.25">
      <c r="A7618" s="75">
        <v>41113323</v>
      </c>
      <c r="B7618" s="76" t="s">
        <v>15793</v>
      </c>
    </row>
    <row r="7619" spans="1:2" x14ac:dyDescent="0.25">
      <c r="A7619" s="75">
        <v>41113401</v>
      </c>
      <c r="B7619" s="76" t="s">
        <v>10</v>
      </c>
    </row>
    <row r="7620" spans="1:2" x14ac:dyDescent="0.25">
      <c r="A7620" s="75">
        <v>41113402</v>
      </c>
      <c r="B7620" s="76" t="s">
        <v>16162</v>
      </c>
    </row>
    <row r="7621" spans="1:2" x14ac:dyDescent="0.25">
      <c r="A7621" s="75">
        <v>41113403</v>
      </c>
      <c r="B7621" s="76" t="s">
        <v>7217</v>
      </c>
    </row>
    <row r="7622" spans="1:2" x14ac:dyDescent="0.25">
      <c r="A7622" s="75">
        <v>41113404</v>
      </c>
      <c r="B7622" s="76" t="s">
        <v>7469</v>
      </c>
    </row>
    <row r="7623" spans="1:2" x14ac:dyDescent="0.25">
      <c r="A7623" s="75">
        <v>41113405</v>
      </c>
      <c r="B7623" s="76" t="s">
        <v>14673</v>
      </c>
    </row>
    <row r="7624" spans="1:2" x14ac:dyDescent="0.25">
      <c r="A7624" s="75">
        <v>41113406</v>
      </c>
      <c r="B7624" s="76" t="s">
        <v>5750</v>
      </c>
    </row>
    <row r="7625" spans="1:2" x14ac:dyDescent="0.25">
      <c r="A7625" s="75">
        <v>41113407</v>
      </c>
      <c r="B7625" s="76" t="s">
        <v>11459</v>
      </c>
    </row>
    <row r="7626" spans="1:2" x14ac:dyDescent="0.25">
      <c r="A7626" s="75">
        <v>41113601</v>
      </c>
      <c r="B7626" s="76" t="s">
        <v>19870</v>
      </c>
    </row>
    <row r="7627" spans="1:2" x14ac:dyDescent="0.25">
      <c r="A7627" s="75">
        <v>41113602</v>
      </c>
      <c r="B7627" s="76" t="s">
        <v>1052</v>
      </c>
    </row>
    <row r="7628" spans="1:2" x14ac:dyDescent="0.25">
      <c r="A7628" s="75">
        <v>41113603</v>
      </c>
      <c r="B7628" s="76" t="s">
        <v>12292</v>
      </c>
    </row>
    <row r="7629" spans="1:2" x14ac:dyDescent="0.25">
      <c r="A7629" s="75">
        <v>41113604</v>
      </c>
      <c r="B7629" s="76" t="s">
        <v>9474</v>
      </c>
    </row>
    <row r="7630" spans="1:2" x14ac:dyDescent="0.25">
      <c r="A7630" s="75">
        <v>41113605</v>
      </c>
      <c r="B7630" s="76" t="s">
        <v>369</v>
      </c>
    </row>
    <row r="7631" spans="1:2" x14ac:dyDescent="0.25">
      <c r="A7631" s="75">
        <v>41113606</v>
      </c>
      <c r="B7631" s="76" t="s">
        <v>829</v>
      </c>
    </row>
    <row r="7632" spans="1:2" x14ac:dyDescent="0.25">
      <c r="A7632" s="75">
        <v>41113607</v>
      </c>
      <c r="B7632" s="76" t="s">
        <v>9714</v>
      </c>
    </row>
    <row r="7633" spans="1:2" x14ac:dyDescent="0.25">
      <c r="A7633" s="75">
        <v>41113608</v>
      </c>
      <c r="B7633" s="76" t="s">
        <v>2958</v>
      </c>
    </row>
    <row r="7634" spans="1:2" x14ac:dyDescent="0.25">
      <c r="A7634" s="75">
        <v>41113611</v>
      </c>
      <c r="B7634" s="76" t="s">
        <v>8885</v>
      </c>
    </row>
    <row r="7635" spans="1:2" x14ac:dyDescent="0.25">
      <c r="A7635" s="75">
        <v>41113612</v>
      </c>
      <c r="B7635" s="76" t="s">
        <v>3099</v>
      </c>
    </row>
    <row r="7636" spans="1:2" x14ac:dyDescent="0.25">
      <c r="A7636" s="75">
        <v>41113613</v>
      </c>
      <c r="B7636" s="76" t="s">
        <v>16844</v>
      </c>
    </row>
    <row r="7637" spans="1:2" x14ac:dyDescent="0.25">
      <c r="A7637" s="75">
        <v>41113614</v>
      </c>
      <c r="B7637" s="76" t="s">
        <v>10627</v>
      </c>
    </row>
    <row r="7638" spans="1:2" x14ac:dyDescent="0.25">
      <c r="A7638" s="75">
        <v>41113615</v>
      </c>
      <c r="B7638" s="76" t="s">
        <v>6283</v>
      </c>
    </row>
    <row r="7639" spans="1:2" x14ac:dyDescent="0.25">
      <c r="A7639" s="75">
        <v>41113616</v>
      </c>
      <c r="B7639" s="76" t="s">
        <v>10275</v>
      </c>
    </row>
    <row r="7640" spans="1:2" x14ac:dyDescent="0.25">
      <c r="A7640" s="75">
        <v>41113617</v>
      </c>
      <c r="B7640" s="76" t="s">
        <v>9189</v>
      </c>
    </row>
    <row r="7641" spans="1:2" x14ac:dyDescent="0.25">
      <c r="A7641" s="75">
        <v>41113618</v>
      </c>
      <c r="B7641" s="76" t="s">
        <v>17020</v>
      </c>
    </row>
    <row r="7642" spans="1:2" x14ac:dyDescent="0.25">
      <c r="A7642" s="75">
        <v>41113619</v>
      </c>
      <c r="B7642" s="76" t="s">
        <v>7122</v>
      </c>
    </row>
    <row r="7643" spans="1:2" x14ac:dyDescent="0.25">
      <c r="A7643" s="75">
        <v>41113620</v>
      </c>
      <c r="B7643" s="76" t="s">
        <v>19189</v>
      </c>
    </row>
    <row r="7644" spans="1:2" x14ac:dyDescent="0.25">
      <c r="A7644" s="75">
        <v>41113621</v>
      </c>
      <c r="B7644" s="76" t="s">
        <v>7492</v>
      </c>
    </row>
    <row r="7645" spans="1:2" x14ac:dyDescent="0.25">
      <c r="A7645" s="75">
        <v>41113622</v>
      </c>
      <c r="B7645" s="76" t="s">
        <v>11050</v>
      </c>
    </row>
    <row r="7646" spans="1:2" x14ac:dyDescent="0.25">
      <c r="A7646" s="75">
        <v>41113623</v>
      </c>
      <c r="B7646" s="76" t="s">
        <v>1465</v>
      </c>
    </row>
    <row r="7647" spans="1:2" x14ac:dyDescent="0.25">
      <c r="A7647" s="75">
        <v>41113624</v>
      </c>
      <c r="B7647" s="76" t="s">
        <v>10276</v>
      </c>
    </row>
    <row r="7648" spans="1:2" x14ac:dyDescent="0.25">
      <c r="A7648" s="75">
        <v>41113625</v>
      </c>
      <c r="B7648" s="76" t="s">
        <v>6504</v>
      </c>
    </row>
    <row r="7649" spans="1:2" x14ac:dyDescent="0.25">
      <c r="A7649" s="75">
        <v>41113626</v>
      </c>
      <c r="B7649" s="76" t="s">
        <v>12505</v>
      </c>
    </row>
    <row r="7650" spans="1:2" x14ac:dyDescent="0.25">
      <c r="A7650" s="75">
        <v>41113627</v>
      </c>
      <c r="B7650" s="76" t="s">
        <v>11013</v>
      </c>
    </row>
    <row r="7651" spans="1:2" x14ac:dyDescent="0.25">
      <c r="A7651" s="75">
        <v>41113628</v>
      </c>
      <c r="B7651" s="76" t="s">
        <v>18349</v>
      </c>
    </row>
    <row r="7652" spans="1:2" x14ac:dyDescent="0.25">
      <c r="A7652" s="75">
        <v>41113629</v>
      </c>
      <c r="B7652" s="76" t="s">
        <v>9703</v>
      </c>
    </row>
    <row r="7653" spans="1:2" x14ac:dyDescent="0.25">
      <c r="A7653" s="75">
        <v>41113630</v>
      </c>
      <c r="B7653" s="76" t="s">
        <v>7022</v>
      </c>
    </row>
    <row r="7654" spans="1:2" x14ac:dyDescent="0.25">
      <c r="A7654" s="75">
        <v>41113631</v>
      </c>
      <c r="B7654" s="76" t="s">
        <v>6203</v>
      </c>
    </row>
    <row r="7655" spans="1:2" x14ac:dyDescent="0.25">
      <c r="A7655" s="75">
        <v>41113632</v>
      </c>
      <c r="B7655" s="76" t="s">
        <v>2975</v>
      </c>
    </row>
    <row r="7656" spans="1:2" x14ac:dyDescent="0.25">
      <c r="A7656" s="75">
        <v>41113633</v>
      </c>
      <c r="B7656" s="76" t="s">
        <v>1308</v>
      </c>
    </row>
    <row r="7657" spans="1:2" x14ac:dyDescent="0.25">
      <c r="A7657" s="75">
        <v>41113634</v>
      </c>
      <c r="B7657" s="76" t="s">
        <v>9402</v>
      </c>
    </row>
    <row r="7658" spans="1:2" x14ac:dyDescent="0.25">
      <c r="A7658" s="75">
        <v>41113635</v>
      </c>
      <c r="B7658" s="76" t="s">
        <v>13090</v>
      </c>
    </row>
    <row r="7659" spans="1:2" x14ac:dyDescent="0.25">
      <c r="A7659" s="75">
        <v>41113636</v>
      </c>
      <c r="B7659" s="76" t="s">
        <v>9694</v>
      </c>
    </row>
    <row r="7660" spans="1:2" x14ac:dyDescent="0.25">
      <c r="A7660" s="75">
        <v>41113637</v>
      </c>
      <c r="B7660" s="76" t="s">
        <v>5848</v>
      </c>
    </row>
    <row r="7661" spans="1:2" x14ac:dyDescent="0.25">
      <c r="A7661" s="75">
        <v>41113638</v>
      </c>
      <c r="B7661" s="76" t="s">
        <v>2226</v>
      </c>
    </row>
    <row r="7662" spans="1:2" x14ac:dyDescent="0.25">
      <c r="A7662" s="75">
        <v>41113639</v>
      </c>
      <c r="B7662" s="76" t="s">
        <v>11426</v>
      </c>
    </row>
    <row r="7663" spans="1:2" x14ac:dyDescent="0.25">
      <c r="A7663" s="75">
        <v>41113640</v>
      </c>
      <c r="B7663" s="76" t="s">
        <v>9374</v>
      </c>
    </row>
    <row r="7664" spans="1:2" x14ac:dyDescent="0.25">
      <c r="A7664" s="75">
        <v>41113641</v>
      </c>
      <c r="B7664" s="76" t="s">
        <v>10886</v>
      </c>
    </row>
    <row r="7665" spans="1:2" x14ac:dyDescent="0.25">
      <c r="A7665" s="75">
        <v>41113642</v>
      </c>
      <c r="B7665" s="76" t="s">
        <v>8063</v>
      </c>
    </row>
    <row r="7666" spans="1:2" x14ac:dyDescent="0.25">
      <c r="A7666" s="75">
        <v>41113643</v>
      </c>
      <c r="B7666" s="76" t="s">
        <v>8023</v>
      </c>
    </row>
    <row r="7667" spans="1:2" x14ac:dyDescent="0.25">
      <c r="A7667" s="75">
        <v>41113644</v>
      </c>
      <c r="B7667" s="76" t="s">
        <v>8364</v>
      </c>
    </row>
    <row r="7668" spans="1:2" x14ac:dyDescent="0.25">
      <c r="A7668" s="75">
        <v>41113645</v>
      </c>
      <c r="B7668" s="76" t="s">
        <v>8785</v>
      </c>
    </row>
    <row r="7669" spans="1:2" x14ac:dyDescent="0.25">
      <c r="A7669" s="75">
        <v>41113646</v>
      </c>
      <c r="B7669" s="76" t="s">
        <v>7863</v>
      </c>
    </row>
    <row r="7670" spans="1:2" x14ac:dyDescent="0.25">
      <c r="A7670" s="75">
        <v>41113647</v>
      </c>
      <c r="B7670" s="76" t="s">
        <v>14532</v>
      </c>
    </row>
    <row r="7671" spans="1:2" x14ac:dyDescent="0.25">
      <c r="A7671" s="75">
        <v>41113648</v>
      </c>
      <c r="B7671" s="76" t="s">
        <v>17800</v>
      </c>
    </row>
    <row r="7672" spans="1:2" x14ac:dyDescent="0.25">
      <c r="A7672" s="75">
        <v>41113701</v>
      </c>
      <c r="B7672" s="76" t="s">
        <v>14135</v>
      </c>
    </row>
    <row r="7673" spans="1:2" x14ac:dyDescent="0.25">
      <c r="A7673" s="75">
        <v>41113702</v>
      </c>
      <c r="B7673" s="76" t="s">
        <v>7842</v>
      </c>
    </row>
    <row r="7674" spans="1:2" x14ac:dyDescent="0.25">
      <c r="A7674" s="75">
        <v>41113703</v>
      </c>
      <c r="B7674" s="76" t="s">
        <v>13628</v>
      </c>
    </row>
    <row r="7675" spans="1:2" x14ac:dyDescent="0.25">
      <c r="A7675" s="75">
        <v>41113704</v>
      </c>
      <c r="B7675" s="76" t="s">
        <v>17055</v>
      </c>
    </row>
    <row r="7676" spans="1:2" x14ac:dyDescent="0.25">
      <c r="A7676" s="75">
        <v>41113705</v>
      </c>
      <c r="B7676" s="76" t="s">
        <v>4661</v>
      </c>
    </row>
    <row r="7677" spans="1:2" x14ac:dyDescent="0.25">
      <c r="A7677" s="75">
        <v>41113706</v>
      </c>
      <c r="B7677" s="76" t="s">
        <v>18555</v>
      </c>
    </row>
    <row r="7678" spans="1:2" x14ac:dyDescent="0.25">
      <c r="A7678" s="75">
        <v>41113707</v>
      </c>
      <c r="B7678" s="76" t="s">
        <v>14295</v>
      </c>
    </row>
    <row r="7679" spans="1:2" x14ac:dyDescent="0.25">
      <c r="A7679" s="75">
        <v>41113708</v>
      </c>
      <c r="B7679" s="76" t="s">
        <v>2510</v>
      </c>
    </row>
    <row r="7680" spans="1:2" x14ac:dyDescent="0.25">
      <c r="A7680" s="75">
        <v>41113709</v>
      </c>
      <c r="B7680" s="76" t="s">
        <v>16991</v>
      </c>
    </row>
    <row r="7681" spans="1:2" x14ac:dyDescent="0.25">
      <c r="A7681" s="75">
        <v>41113710</v>
      </c>
      <c r="B7681" s="76" t="s">
        <v>7728</v>
      </c>
    </row>
    <row r="7682" spans="1:2" x14ac:dyDescent="0.25">
      <c r="A7682" s="75">
        <v>41113711</v>
      </c>
      <c r="B7682" s="76" t="s">
        <v>6637</v>
      </c>
    </row>
    <row r="7683" spans="1:2" x14ac:dyDescent="0.25">
      <c r="A7683" s="75">
        <v>41113712</v>
      </c>
      <c r="B7683" s="76" t="s">
        <v>12032</v>
      </c>
    </row>
    <row r="7684" spans="1:2" x14ac:dyDescent="0.25">
      <c r="A7684" s="75">
        <v>41113713</v>
      </c>
      <c r="B7684" s="76" t="s">
        <v>9408</v>
      </c>
    </row>
    <row r="7685" spans="1:2" x14ac:dyDescent="0.25">
      <c r="A7685" s="75">
        <v>41113714</v>
      </c>
      <c r="B7685" s="76" t="s">
        <v>10570</v>
      </c>
    </row>
    <row r="7686" spans="1:2" x14ac:dyDescent="0.25">
      <c r="A7686" s="75">
        <v>41113715</v>
      </c>
      <c r="B7686" s="76" t="s">
        <v>5303</v>
      </c>
    </row>
    <row r="7687" spans="1:2" x14ac:dyDescent="0.25">
      <c r="A7687" s="75">
        <v>41113716</v>
      </c>
      <c r="B7687" s="76" t="s">
        <v>6684</v>
      </c>
    </row>
    <row r="7688" spans="1:2" x14ac:dyDescent="0.25">
      <c r="A7688" s="75">
        <v>41113717</v>
      </c>
      <c r="B7688" s="76" t="s">
        <v>19694</v>
      </c>
    </row>
    <row r="7689" spans="1:2" x14ac:dyDescent="0.25">
      <c r="A7689" s="75">
        <v>41113718</v>
      </c>
      <c r="B7689" s="76" t="s">
        <v>19978</v>
      </c>
    </row>
    <row r="7690" spans="1:2" x14ac:dyDescent="0.25">
      <c r="A7690" s="75">
        <v>41113801</v>
      </c>
      <c r="B7690" s="76" t="s">
        <v>9280</v>
      </c>
    </row>
    <row r="7691" spans="1:2" x14ac:dyDescent="0.25">
      <c r="A7691" s="75">
        <v>41113802</v>
      </c>
      <c r="B7691" s="76" t="s">
        <v>4910</v>
      </c>
    </row>
    <row r="7692" spans="1:2" x14ac:dyDescent="0.25">
      <c r="A7692" s="75">
        <v>41113803</v>
      </c>
      <c r="B7692" s="76" t="s">
        <v>8274</v>
      </c>
    </row>
    <row r="7693" spans="1:2" x14ac:dyDescent="0.25">
      <c r="A7693" s="75">
        <v>41113804</v>
      </c>
      <c r="B7693" s="76" t="s">
        <v>214</v>
      </c>
    </row>
    <row r="7694" spans="1:2" x14ac:dyDescent="0.25">
      <c r="A7694" s="75">
        <v>41113805</v>
      </c>
      <c r="B7694" s="76" t="s">
        <v>8728</v>
      </c>
    </row>
    <row r="7695" spans="1:2" x14ac:dyDescent="0.25">
      <c r="A7695" s="75">
        <v>41113806</v>
      </c>
      <c r="B7695" s="76" t="s">
        <v>4560</v>
      </c>
    </row>
    <row r="7696" spans="1:2" x14ac:dyDescent="0.25">
      <c r="A7696" s="75">
        <v>41113807</v>
      </c>
      <c r="B7696" s="76" t="s">
        <v>15730</v>
      </c>
    </row>
    <row r="7697" spans="1:2" x14ac:dyDescent="0.25">
      <c r="A7697" s="75">
        <v>41113808</v>
      </c>
      <c r="B7697" s="76" t="s">
        <v>1851</v>
      </c>
    </row>
    <row r="7698" spans="1:2" x14ac:dyDescent="0.25">
      <c r="A7698" s="75">
        <v>41113901</v>
      </c>
      <c r="B7698" s="76" t="s">
        <v>5567</v>
      </c>
    </row>
    <row r="7699" spans="1:2" x14ac:dyDescent="0.25">
      <c r="A7699" s="75">
        <v>41113902</v>
      </c>
      <c r="B7699" s="76" t="s">
        <v>2841</v>
      </c>
    </row>
    <row r="7700" spans="1:2" x14ac:dyDescent="0.25">
      <c r="A7700" s="75">
        <v>41113903</v>
      </c>
      <c r="B7700" s="76" t="s">
        <v>9958</v>
      </c>
    </row>
    <row r="7701" spans="1:2" x14ac:dyDescent="0.25">
      <c r="A7701" s="75">
        <v>41113904</v>
      </c>
      <c r="B7701" s="76" t="s">
        <v>19397</v>
      </c>
    </row>
    <row r="7702" spans="1:2" x14ac:dyDescent="0.25">
      <c r="A7702" s="75">
        <v>41113905</v>
      </c>
      <c r="B7702" s="76" t="s">
        <v>16031</v>
      </c>
    </row>
    <row r="7703" spans="1:2" x14ac:dyDescent="0.25">
      <c r="A7703" s="75">
        <v>41113906</v>
      </c>
      <c r="B7703" s="76" t="s">
        <v>14955</v>
      </c>
    </row>
    <row r="7704" spans="1:2" x14ac:dyDescent="0.25">
      <c r="A7704" s="75">
        <v>41113907</v>
      </c>
      <c r="B7704" s="76" t="s">
        <v>3494</v>
      </c>
    </row>
    <row r="7705" spans="1:2" x14ac:dyDescent="0.25">
      <c r="A7705" s="75">
        <v>41113908</v>
      </c>
      <c r="B7705" s="76" t="s">
        <v>12127</v>
      </c>
    </row>
    <row r="7706" spans="1:2" x14ac:dyDescent="0.25">
      <c r="A7706" s="75">
        <v>41113909</v>
      </c>
      <c r="B7706" s="76" t="s">
        <v>13684</v>
      </c>
    </row>
    <row r="7707" spans="1:2" x14ac:dyDescent="0.25">
      <c r="A7707" s="75">
        <v>41113910</v>
      </c>
      <c r="B7707" s="76" t="s">
        <v>7671</v>
      </c>
    </row>
    <row r="7708" spans="1:2" x14ac:dyDescent="0.25">
      <c r="A7708" s="75">
        <v>41114001</v>
      </c>
      <c r="B7708" s="76" t="s">
        <v>14450</v>
      </c>
    </row>
    <row r="7709" spans="1:2" x14ac:dyDescent="0.25">
      <c r="A7709" s="75">
        <v>41114102</v>
      </c>
      <c r="B7709" s="76" t="s">
        <v>3183</v>
      </c>
    </row>
    <row r="7710" spans="1:2" x14ac:dyDescent="0.25">
      <c r="A7710" s="75">
        <v>41114103</v>
      </c>
      <c r="B7710" s="76" t="s">
        <v>13671</v>
      </c>
    </row>
    <row r="7711" spans="1:2" x14ac:dyDescent="0.25">
      <c r="A7711" s="75">
        <v>41114104</v>
      </c>
      <c r="B7711" s="76" t="s">
        <v>19378</v>
      </c>
    </row>
    <row r="7712" spans="1:2" x14ac:dyDescent="0.25">
      <c r="A7712" s="75">
        <v>41114105</v>
      </c>
      <c r="B7712" s="76" t="s">
        <v>17292</v>
      </c>
    </row>
    <row r="7713" spans="1:2" x14ac:dyDescent="0.25">
      <c r="A7713" s="75">
        <v>41114106</v>
      </c>
      <c r="B7713" s="76" t="s">
        <v>6462</v>
      </c>
    </row>
    <row r="7714" spans="1:2" x14ac:dyDescent="0.25">
      <c r="A7714" s="75">
        <v>41114107</v>
      </c>
      <c r="B7714" s="76" t="s">
        <v>16694</v>
      </c>
    </row>
    <row r="7715" spans="1:2" x14ac:dyDescent="0.25">
      <c r="A7715" s="75">
        <v>41114108</v>
      </c>
      <c r="B7715" s="76" t="s">
        <v>8252</v>
      </c>
    </row>
    <row r="7716" spans="1:2" x14ac:dyDescent="0.25">
      <c r="A7716" s="75">
        <v>41114201</v>
      </c>
      <c r="B7716" s="76" t="s">
        <v>9466</v>
      </c>
    </row>
    <row r="7717" spans="1:2" x14ac:dyDescent="0.25">
      <c r="A7717" s="75">
        <v>41114202</v>
      </c>
      <c r="B7717" s="76" t="s">
        <v>3807</v>
      </c>
    </row>
    <row r="7718" spans="1:2" x14ac:dyDescent="0.25">
      <c r="A7718" s="75">
        <v>41114203</v>
      </c>
      <c r="B7718" s="76" t="s">
        <v>3213</v>
      </c>
    </row>
    <row r="7719" spans="1:2" x14ac:dyDescent="0.25">
      <c r="A7719" s="75">
        <v>41114204</v>
      </c>
      <c r="B7719" s="76" t="s">
        <v>2989</v>
      </c>
    </row>
    <row r="7720" spans="1:2" x14ac:dyDescent="0.25">
      <c r="A7720" s="75">
        <v>41114205</v>
      </c>
      <c r="B7720" s="76" t="s">
        <v>135</v>
      </c>
    </row>
    <row r="7721" spans="1:2" x14ac:dyDescent="0.25">
      <c r="A7721" s="75">
        <v>41114206</v>
      </c>
      <c r="B7721" s="76" t="s">
        <v>10715</v>
      </c>
    </row>
    <row r="7722" spans="1:2" x14ac:dyDescent="0.25">
      <c r="A7722" s="75">
        <v>41114301</v>
      </c>
      <c r="B7722" s="76" t="s">
        <v>6825</v>
      </c>
    </row>
    <row r="7723" spans="1:2" x14ac:dyDescent="0.25">
      <c r="A7723" s="75">
        <v>41114302</v>
      </c>
      <c r="B7723" s="76" t="s">
        <v>14672</v>
      </c>
    </row>
    <row r="7724" spans="1:2" x14ac:dyDescent="0.25">
      <c r="A7724" s="75">
        <v>41114303</v>
      </c>
      <c r="B7724" s="76" t="s">
        <v>16953</v>
      </c>
    </row>
    <row r="7725" spans="1:2" x14ac:dyDescent="0.25">
      <c r="A7725" s="75">
        <v>41114401</v>
      </c>
      <c r="B7725" s="76" t="s">
        <v>11046</v>
      </c>
    </row>
    <row r="7726" spans="1:2" x14ac:dyDescent="0.25">
      <c r="A7726" s="75">
        <v>41114402</v>
      </c>
      <c r="B7726" s="76" t="s">
        <v>17814</v>
      </c>
    </row>
    <row r="7727" spans="1:2" x14ac:dyDescent="0.25">
      <c r="A7727" s="75">
        <v>41114403</v>
      </c>
      <c r="B7727" s="76" t="s">
        <v>15756</v>
      </c>
    </row>
    <row r="7728" spans="1:2" x14ac:dyDescent="0.25">
      <c r="A7728" s="75">
        <v>41114404</v>
      </c>
      <c r="B7728" s="76" t="s">
        <v>18211</v>
      </c>
    </row>
    <row r="7729" spans="1:2" x14ac:dyDescent="0.25">
      <c r="A7729" s="75">
        <v>41114405</v>
      </c>
      <c r="B7729" s="76" t="s">
        <v>3466</v>
      </c>
    </row>
    <row r="7730" spans="1:2" x14ac:dyDescent="0.25">
      <c r="A7730" s="75">
        <v>41114406</v>
      </c>
      <c r="B7730" s="76" t="s">
        <v>6394</v>
      </c>
    </row>
    <row r="7731" spans="1:2" x14ac:dyDescent="0.25">
      <c r="A7731" s="75">
        <v>41114407</v>
      </c>
      <c r="B7731" s="76" t="s">
        <v>4935</v>
      </c>
    </row>
    <row r="7732" spans="1:2" x14ac:dyDescent="0.25">
      <c r="A7732" s="75">
        <v>41114408</v>
      </c>
      <c r="B7732" s="76" t="s">
        <v>12086</v>
      </c>
    </row>
    <row r="7733" spans="1:2" x14ac:dyDescent="0.25">
      <c r="A7733" s="75">
        <v>41114409</v>
      </c>
      <c r="B7733" s="76" t="s">
        <v>12398</v>
      </c>
    </row>
    <row r="7734" spans="1:2" x14ac:dyDescent="0.25">
      <c r="A7734" s="75">
        <v>41114410</v>
      </c>
      <c r="B7734" s="76" t="s">
        <v>757</v>
      </c>
    </row>
    <row r="7735" spans="1:2" x14ac:dyDescent="0.25">
      <c r="A7735" s="75">
        <v>41114411</v>
      </c>
      <c r="B7735" s="76" t="s">
        <v>14854</v>
      </c>
    </row>
    <row r="7736" spans="1:2" x14ac:dyDescent="0.25">
      <c r="A7736" s="75">
        <v>41114501</v>
      </c>
      <c r="B7736" s="76" t="s">
        <v>745</v>
      </c>
    </row>
    <row r="7737" spans="1:2" x14ac:dyDescent="0.25">
      <c r="A7737" s="75">
        <v>41114502</v>
      </c>
      <c r="B7737" s="76" t="s">
        <v>1955</v>
      </c>
    </row>
    <row r="7738" spans="1:2" x14ac:dyDescent="0.25">
      <c r="A7738" s="75">
        <v>41114503</v>
      </c>
      <c r="B7738" s="76" t="s">
        <v>19508</v>
      </c>
    </row>
    <row r="7739" spans="1:2" x14ac:dyDescent="0.25">
      <c r="A7739" s="75">
        <v>41114504</v>
      </c>
      <c r="B7739" s="76" t="s">
        <v>7994</v>
      </c>
    </row>
    <row r="7740" spans="1:2" x14ac:dyDescent="0.25">
      <c r="A7740" s="75">
        <v>41114505</v>
      </c>
      <c r="B7740" s="76" t="s">
        <v>4578</v>
      </c>
    </row>
    <row r="7741" spans="1:2" x14ac:dyDescent="0.25">
      <c r="A7741" s="75">
        <v>41114506</v>
      </c>
      <c r="B7741" s="76" t="s">
        <v>13679</v>
      </c>
    </row>
    <row r="7742" spans="1:2" x14ac:dyDescent="0.25">
      <c r="A7742" s="75">
        <v>41114507</v>
      </c>
      <c r="B7742" s="76" t="s">
        <v>9857</v>
      </c>
    </row>
    <row r="7743" spans="1:2" x14ac:dyDescent="0.25">
      <c r="A7743" s="75">
        <v>41114508</v>
      </c>
      <c r="B7743" s="76" t="s">
        <v>12726</v>
      </c>
    </row>
    <row r="7744" spans="1:2" x14ac:dyDescent="0.25">
      <c r="A7744" s="75">
        <v>41114509</v>
      </c>
      <c r="B7744" s="76" t="s">
        <v>16473</v>
      </c>
    </row>
    <row r="7745" spans="1:2" x14ac:dyDescent="0.25">
      <c r="A7745" s="75">
        <v>41114510</v>
      </c>
      <c r="B7745" s="76" t="s">
        <v>9184</v>
      </c>
    </row>
    <row r="7746" spans="1:2" x14ac:dyDescent="0.25">
      <c r="A7746" s="75">
        <v>41114601</v>
      </c>
      <c r="B7746" s="76" t="s">
        <v>1599</v>
      </c>
    </row>
    <row r="7747" spans="1:2" x14ac:dyDescent="0.25">
      <c r="A7747" s="75">
        <v>41114602</v>
      </c>
      <c r="B7747" s="76" t="s">
        <v>8552</v>
      </c>
    </row>
    <row r="7748" spans="1:2" x14ac:dyDescent="0.25">
      <c r="A7748" s="75">
        <v>41114603</v>
      </c>
      <c r="B7748" s="76" t="s">
        <v>4428</v>
      </c>
    </row>
    <row r="7749" spans="1:2" x14ac:dyDescent="0.25">
      <c r="A7749" s="75">
        <v>41114604</v>
      </c>
      <c r="B7749" s="76" t="s">
        <v>17669</v>
      </c>
    </row>
    <row r="7750" spans="1:2" x14ac:dyDescent="0.25">
      <c r="A7750" s="75">
        <v>41114605</v>
      </c>
      <c r="B7750" s="76" t="s">
        <v>13973</v>
      </c>
    </row>
    <row r="7751" spans="1:2" x14ac:dyDescent="0.25">
      <c r="A7751" s="75">
        <v>41114606</v>
      </c>
      <c r="B7751" s="76" t="s">
        <v>16377</v>
      </c>
    </row>
    <row r="7752" spans="1:2" x14ac:dyDescent="0.25">
      <c r="A7752" s="75">
        <v>41114607</v>
      </c>
      <c r="B7752" s="76" t="s">
        <v>1421</v>
      </c>
    </row>
    <row r="7753" spans="1:2" x14ac:dyDescent="0.25">
      <c r="A7753" s="75">
        <v>41114608</v>
      </c>
      <c r="B7753" s="76" t="s">
        <v>18305</v>
      </c>
    </row>
    <row r="7754" spans="1:2" x14ac:dyDescent="0.25">
      <c r="A7754" s="75">
        <v>41114609</v>
      </c>
      <c r="B7754" s="76" t="s">
        <v>16147</v>
      </c>
    </row>
    <row r="7755" spans="1:2" x14ac:dyDescent="0.25">
      <c r="A7755" s="75">
        <v>41114610</v>
      </c>
      <c r="B7755" s="76" t="s">
        <v>16348</v>
      </c>
    </row>
    <row r="7756" spans="1:2" x14ac:dyDescent="0.25">
      <c r="A7756" s="75">
        <v>41114611</v>
      </c>
      <c r="B7756" s="76" t="s">
        <v>15554</v>
      </c>
    </row>
    <row r="7757" spans="1:2" x14ac:dyDescent="0.25">
      <c r="A7757" s="75">
        <v>41114612</v>
      </c>
      <c r="B7757" s="76" t="s">
        <v>388</v>
      </c>
    </row>
    <row r="7758" spans="1:2" x14ac:dyDescent="0.25">
      <c r="A7758" s="75">
        <v>41114613</v>
      </c>
      <c r="B7758" s="76" t="s">
        <v>18149</v>
      </c>
    </row>
    <row r="7759" spans="1:2" x14ac:dyDescent="0.25">
      <c r="A7759" s="75">
        <v>41114614</v>
      </c>
      <c r="B7759" s="76" t="s">
        <v>8428</v>
      </c>
    </row>
    <row r="7760" spans="1:2" x14ac:dyDescent="0.25">
      <c r="A7760" s="75">
        <v>41114615</v>
      </c>
      <c r="B7760" s="76" t="s">
        <v>2325</v>
      </c>
    </row>
    <row r="7761" spans="1:2" x14ac:dyDescent="0.25">
      <c r="A7761" s="75">
        <v>41114616</v>
      </c>
      <c r="B7761" s="76" t="s">
        <v>11095</v>
      </c>
    </row>
    <row r="7762" spans="1:2" x14ac:dyDescent="0.25">
      <c r="A7762" s="75">
        <v>41114617</v>
      </c>
      <c r="B7762" s="76" t="s">
        <v>9811</v>
      </c>
    </row>
    <row r="7763" spans="1:2" x14ac:dyDescent="0.25">
      <c r="A7763" s="75">
        <v>41114618</v>
      </c>
      <c r="B7763" s="76" t="s">
        <v>19148</v>
      </c>
    </row>
    <row r="7764" spans="1:2" x14ac:dyDescent="0.25">
      <c r="A7764" s="75">
        <v>41114619</v>
      </c>
      <c r="B7764" s="76" t="s">
        <v>10669</v>
      </c>
    </row>
    <row r="7765" spans="1:2" x14ac:dyDescent="0.25">
      <c r="A7765" s="75">
        <v>41114620</v>
      </c>
      <c r="B7765" s="76" t="s">
        <v>2605</v>
      </c>
    </row>
    <row r="7766" spans="1:2" x14ac:dyDescent="0.25">
      <c r="A7766" s="75">
        <v>41114621</v>
      </c>
      <c r="B7766" s="76" t="s">
        <v>13394</v>
      </c>
    </row>
    <row r="7767" spans="1:2" x14ac:dyDescent="0.25">
      <c r="A7767" s="75">
        <v>41114622</v>
      </c>
      <c r="B7767" s="76" t="s">
        <v>6933</v>
      </c>
    </row>
    <row r="7768" spans="1:2" x14ac:dyDescent="0.25">
      <c r="A7768" s="75">
        <v>41114623</v>
      </c>
      <c r="B7768" s="76" t="s">
        <v>6370</v>
      </c>
    </row>
    <row r="7769" spans="1:2" x14ac:dyDescent="0.25">
      <c r="A7769" s="75">
        <v>41114624</v>
      </c>
      <c r="B7769" s="76" t="s">
        <v>14423</v>
      </c>
    </row>
    <row r="7770" spans="1:2" x14ac:dyDescent="0.25">
      <c r="A7770" s="75">
        <v>41114625</v>
      </c>
      <c r="B7770" s="76" t="s">
        <v>13867</v>
      </c>
    </row>
    <row r="7771" spans="1:2" x14ac:dyDescent="0.25">
      <c r="A7771" s="75">
        <v>41114626</v>
      </c>
      <c r="B7771" s="76" t="s">
        <v>322</v>
      </c>
    </row>
    <row r="7772" spans="1:2" x14ac:dyDescent="0.25">
      <c r="A7772" s="75">
        <v>41114701</v>
      </c>
      <c r="B7772" s="76" t="s">
        <v>10607</v>
      </c>
    </row>
    <row r="7773" spans="1:2" x14ac:dyDescent="0.25">
      <c r="A7773" s="75">
        <v>41114702</v>
      </c>
      <c r="B7773" s="76" t="s">
        <v>5828</v>
      </c>
    </row>
    <row r="7774" spans="1:2" x14ac:dyDescent="0.25">
      <c r="A7774" s="75">
        <v>41114703</v>
      </c>
      <c r="B7774" s="76" t="s">
        <v>3757</v>
      </c>
    </row>
    <row r="7775" spans="1:2" x14ac:dyDescent="0.25">
      <c r="A7775" s="75">
        <v>41114704</v>
      </c>
      <c r="B7775" s="76" t="s">
        <v>1401</v>
      </c>
    </row>
    <row r="7776" spans="1:2" x14ac:dyDescent="0.25">
      <c r="A7776" s="75">
        <v>41114705</v>
      </c>
      <c r="B7776" s="76" t="s">
        <v>19738</v>
      </c>
    </row>
    <row r="7777" spans="1:2" x14ac:dyDescent="0.25">
      <c r="A7777" s="75">
        <v>41114706</v>
      </c>
      <c r="B7777" s="76" t="s">
        <v>3224</v>
      </c>
    </row>
    <row r="7778" spans="1:2" x14ac:dyDescent="0.25">
      <c r="A7778" s="75">
        <v>41114801</v>
      </c>
      <c r="B7778" s="76" t="s">
        <v>16317</v>
      </c>
    </row>
    <row r="7779" spans="1:2" x14ac:dyDescent="0.25">
      <c r="A7779" s="75">
        <v>41114802</v>
      </c>
      <c r="B7779" s="76" t="s">
        <v>110</v>
      </c>
    </row>
    <row r="7780" spans="1:2" x14ac:dyDescent="0.25">
      <c r="A7780" s="75">
        <v>41114803</v>
      </c>
      <c r="B7780" s="76" t="s">
        <v>4272</v>
      </c>
    </row>
    <row r="7781" spans="1:2" x14ac:dyDescent="0.25">
      <c r="A7781" s="75">
        <v>41115101</v>
      </c>
      <c r="B7781" s="76" t="s">
        <v>3305</v>
      </c>
    </row>
    <row r="7782" spans="1:2" x14ac:dyDescent="0.25">
      <c r="A7782" s="75">
        <v>41115201</v>
      </c>
      <c r="B7782" s="76" t="s">
        <v>18729</v>
      </c>
    </row>
    <row r="7783" spans="1:2" x14ac:dyDescent="0.25">
      <c r="A7783" s="75">
        <v>41115202</v>
      </c>
      <c r="B7783" s="76" t="s">
        <v>14314</v>
      </c>
    </row>
    <row r="7784" spans="1:2" x14ac:dyDescent="0.25">
      <c r="A7784" s="75">
        <v>41115301</v>
      </c>
      <c r="B7784" s="76" t="s">
        <v>14556</v>
      </c>
    </row>
    <row r="7785" spans="1:2" x14ac:dyDescent="0.25">
      <c r="A7785" s="75">
        <v>41115302</v>
      </c>
      <c r="B7785" s="76" t="s">
        <v>5548</v>
      </c>
    </row>
    <row r="7786" spans="1:2" x14ac:dyDescent="0.25">
      <c r="A7786" s="75">
        <v>41115303</v>
      </c>
      <c r="B7786" s="76" t="s">
        <v>1908</v>
      </c>
    </row>
    <row r="7787" spans="1:2" x14ac:dyDescent="0.25">
      <c r="A7787" s="75">
        <v>41115304</v>
      </c>
      <c r="B7787" s="76" t="s">
        <v>14387</v>
      </c>
    </row>
    <row r="7788" spans="1:2" x14ac:dyDescent="0.25">
      <c r="A7788" s="75">
        <v>41115305</v>
      </c>
      <c r="B7788" s="76" t="s">
        <v>54</v>
      </c>
    </row>
    <row r="7789" spans="1:2" x14ac:dyDescent="0.25">
      <c r="A7789" s="75">
        <v>41115306</v>
      </c>
      <c r="B7789" s="76" t="s">
        <v>1362</v>
      </c>
    </row>
    <row r="7790" spans="1:2" x14ac:dyDescent="0.25">
      <c r="A7790" s="75">
        <v>41115307</v>
      </c>
      <c r="B7790" s="76" t="s">
        <v>19922</v>
      </c>
    </row>
    <row r="7791" spans="1:2" x14ac:dyDescent="0.25">
      <c r="A7791" s="75">
        <v>41115308</v>
      </c>
      <c r="B7791" s="76" t="s">
        <v>17448</v>
      </c>
    </row>
    <row r="7792" spans="1:2" x14ac:dyDescent="0.25">
      <c r="A7792" s="75">
        <v>41115309</v>
      </c>
      <c r="B7792" s="76" t="s">
        <v>5185</v>
      </c>
    </row>
    <row r="7793" spans="1:2" x14ac:dyDescent="0.25">
      <c r="A7793" s="75">
        <v>41115310</v>
      </c>
      <c r="B7793" s="76" t="s">
        <v>8796</v>
      </c>
    </row>
    <row r="7794" spans="1:2" x14ac:dyDescent="0.25">
      <c r="A7794" s="75">
        <v>41115311</v>
      </c>
      <c r="B7794" s="76" t="s">
        <v>19904</v>
      </c>
    </row>
    <row r="7795" spans="1:2" x14ac:dyDescent="0.25">
      <c r="A7795" s="75">
        <v>41115312</v>
      </c>
      <c r="B7795" s="76" t="s">
        <v>15494</v>
      </c>
    </row>
    <row r="7796" spans="1:2" x14ac:dyDescent="0.25">
      <c r="A7796" s="75">
        <v>41115313</v>
      </c>
      <c r="B7796" s="76" t="s">
        <v>2719</v>
      </c>
    </row>
    <row r="7797" spans="1:2" x14ac:dyDescent="0.25">
      <c r="A7797" s="75">
        <v>41115314</v>
      </c>
      <c r="B7797" s="76" t="s">
        <v>10417</v>
      </c>
    </row>
    <row r="7798" spans="1:2" x14ac:dyDescent="0.25">
      <c r="A7798" s="75">
        <v>41115315</v>
      </c>
      <c r="B7798" s="76" t="s">
        <v>8807</v>
      </c>
    </row>
    <row r="7799" spans="1:2" x14ac:dyDescent="0.25">
      <c r="A7799" s="75">
        <v>41115316</v>
      </c>
      <c r="B7799" s="76" t="s">
        <v>5612</v>
      </c>
    </row>
    <row r="7800" spans="1:2" x14ac:dyDescent="0.25">
      <c r="A7800" s="75">
        <v>41115317</v>
      </c>
      <c r="B7800" s="76" t="s">
        <v>4610</v>
      </c>
    </row>
    <row r="7801" spans="1:2" x14ac:dyDescent="0.25">
      <c r="A7801" s="75">
        <v>41115318</v>
      </c>
      <c r="B7801" s="76" t="s">
        <v>9431</v>
      </c>
    </row>
    <row r="7802" spans="1:2" x14ac:dyDescent="0.25">
      <c r="A7802" s="75">
        <v>41115319</v>
      </c>
      <c r="B7802" s="76" t="s">
        <v>3223</v>
      </c>
    </row>
    <row r="7803" spans="1:2" x14ac:dyDescent="0.25">
      <c r="A7803" s="75">
        <v>41115320</v>
      </c>
      <c r="B7803" s="76" t="s">
        <v>15208</v>
      </c>
    </row>
    <row r="7804" spans="1:2" x14ac:dyDescent="0.25">
      <c r="A7804" s="75">
        <v>41115321</v>
      </c>
      <c r="B7804" s="76" t="s">
        <v>313</v>
      </c>
    </row>
    <row r="7805" spans="1:2" x14ac:dyDescent="0.25">
      <c r="A7805" s="75">
        <v>41115322</v>
      </c>
      <c r="B7805" s="76" t="s">
        <v>9045</v>
      </c>
    </row>
    <row r="7806" spans="1:2" x14ac:dyDescent="0.25">
      <c r="A7806" s="75">
        <v>41115401</v>
      </c>
      <c r="B7806" s="76" t="s">
        <v>12478</v>
      </c>
    </row>
    <row r="7807" spans="1:2" x14ac:dyDescent="0.25">
      <c r="A7807" s="75">
        <v>41115402</v>
      </c>
      <c r="B7807" s="76" t="s">
        <v>15148</v>
      </c>
    </row>
    <row r="7808" spans="1:2" x14ac:dyDescent="0.25">
      <c r="A7808" s="75">
        <v>41115403</v>
      </c>
      <c r="B7808" s="76" t="s">
        <v>3273</v>
      </c>
    </row>
    <row r="7809" spans="1:2" x14ac:dyDescent="0.25">
      <c r="A7809" s="75">
        <v>41115404</v>
      </c>
      <c r="B7809" s="76" t="s">
        <v>11627</v>
      </c>
    </row>
    <row r="7810" spans="1:2" x14ac:dyDescent="0.25">
      <c r="A7810" s="75">
        <v>41115405</v>
      </c>
      <c r="B7810" s="76" t="s">
        <v>11256</v>
      </c>
    </row>
    <row r="7811" spans="1:2" x14ac:dyDescent="0.25">
      <c r="A7811" s="75">
        <v>41115406</v>
      </c>
      <c r="B7811" s="76" t="s">
        <v>15663</v>
      </c>
    </row>
    <row r="7812" spans="1:2" x14ac:dyDescent="0.25">
      <c r="A7812" s="75">
        <v>41115407</v>
      </c>
      <c r="B7812" s="76" t="s">
        <v>2558</v>
      </c>
    </row>
    <row r="7813" spans="1:2" x14ac:dyDescent="0.25">
      <c r="A7813" s="75">
        <v>41115408</v>
      </c>
      <c r="B7813" s="76" t="s">
        <v>18672</v>
      </c>
    </row>
    <row r="7814" spans="1:2" x14ac:dyDescent="0.25">
      <c r="A7814" s="75">
        <v>41115409</v>
      </c>
      <c r="B7814" s="76" t="s">
        <v>11024</v>
      </c>
    </row>
    <row r="7815" spans="1:2" x14ac:dyDescent="0.25">
      <c r="A7815" s="75">
        <v>41115410</v>
      </c>
      <c r="B7815" s="76" t="s">
        <v>4174</v>
      </c>
    </row>
    <row r="7816" spans="1:2" x14ac:dyDescent="0.25">
      <c r="A7816" s="75">
        <v>41115411</v>
      </c>
      <c r="B7816" s="76" t="s">
        <v>16780</v>
      </c>
    </row>
    <row r="7817" spans="1:2" x14ac:dyDescent="0.25">
      <c r="A7817" s="75">
        <v>41115501</v>
      </c>
      <c r="B7817" s="76" t="s">
        <v>3309</v>
      </c>
    </row>
    <row r="7818" spans="1:2" x14ac:dyDescent="0.25">
      <c r="A7818" s="75">
        <v>41115502</v>
      </c>
      <c r="B7818" s="76" t="s">
        <v>18763</v>
      </c>
    </row>
    <row r="7819" spans="1:2" x14ac:dyDescent="0.25">
      <c r="A7819" s="75">
        <v>41115503</v>
      </c>
      <c r="B7819" s="76" t="s">
        <v>14321</v>
      </c>
    </row>
    <row r="7820" spans="1:2" x14ac:dyDescent="0.25">
      <c r="A7820" s="75">
        <v>41115504</v>
      </c>
      <c r="B7820" s="76" t="s">
        <v>10968</v>
      </c>
    </row>
    <row r="7821" spans="1:2" x14ac:dyDescent="0.25">
      <c r="A7821" s="75">
        <v>41115505</v>
      </c>
      <c r="B7821" s="76" t="s">
        <v>14191</v>
      </c>
    </row>
    <row r="7822" spans="1:2" x14ac:dyDescent="0.25">
      <c r="A7822" s="75">
        <v>41115601</v>
      </c>
      <c r="B7822" s="76" t="s">
        <v>14509</v>
      </c>
    </row>
    <row r="7823" spans="1:2" x14ac:dyDescent="0.25">
      <c r="A7823" s="75">
        <v>41115602</v>
      </c>
      <c r="B7823" s="76" t="s">
        <v>4642</v>
      </c>
    </row>
    <row r="7824" spans="1:2" x14ac:dyDescent="0.25">
      <c r="A7824" s="75">
        <v>41115603</v>
      </c>
      <c r="B7824" s="76" t="s">
        <v>10769</v>
      </c>
    </row>
    <row r="7825" spans="1:2" x14ac:dyDescent="0.25">
      <c r="A7825" s="75">
        <v>41115604</v>
      </c>
      <c r="B7825" s="76" t="s">
        <v>11643</v>
      </c>
    </row>
    <row r="7826" spans="1:2" x14ac:dyDescent="0.25">
      <c r="A7826" s="75">
        <v>41115605</v>
      </c>
      <c r="B7826" s="76" t="s">
        <v>1263</v>
      </c>
    </row>
    <row r="7827" spans="1:2" x14ac:dyDescent="0.25">
      <c r="A7827" s="75">
        <v>41115606</v>
      </c>
      <c r="B7827" s="76" t="s">
        <v>14882</v>
      </c>
    </row>
    <row r="7828" spans="1:2" x14ac:dyDescent="0.25">
      <c r="A7828" s="75">
        <v>41115607</v>
      </c>
      <c r="B7828" s="76" t="s">
        <v>17548</v>
      </c>
    </row>
    <row r="7829" spans="1:2" x14ac:dyDescent="0.25">
      <c r="A7829" s="75">
        <v>41115608</v>
      </c>
      <c r="B7829" s="76" t="s">
        <v>15552</v>
      </c>
    </row>
    <row r="7830" spans="1:2" x14ac:dyDescent="0.25">
      <c r="A7830" s="75">
        <v>41115609</v>
      </c>
      <c r="B7830" s="76" t="s">
        <v>4939</v>
      </c>
    </row>
    <row r="7831" spans="1:2" x14ac:dyDescent="0.25">
      <c r="A7831" s="75">
        <v>41115610</v>
      </c>
      <c r="B7831" s="76" t="s">
        <v>16380</v>
      </c>
    </row>
    <row r="7832" spans="1:2" x14ac:dyDescent="0.25">
      <c r="A7832" s="75">
        <v>41115611</v>
      </c>
      <c r="B7832" s="76" t="s">
        <v>18308</v>
      </c>
    </row>
    <row r="7833" spans="1:2" x14ac:dyDescent="0.25">
      <c r="A7833" s="75">
        <v>41115612</v>
      </c>
      <c r="B7833" s="76" t="s">
        <v>324</v>
      </c>
    </row>
    <row r="7834" spans="1:2" x14ac:dyDescent="0.25">
      <c r="A7834" s="75">
        <v>41115613</v>
      </c>
      <c r="B7834" s="76" t="s">
        <v>16620</v>
      </c>
    </row>
    <row r="7835" spans="1:2" x14ac:dyDescent="0.25">
      <c r="A7835" s="75">
        <v>41115614</v>
      </c>
      <c r="B7835" s="76" t="s">
        <v>17558</v>
      </c>
    </row>
    <row r="7836" spans="1:2" x14ac:dyDescent="0.25">
      <c r="A7836" s="75">
        <v>41115701</v>
      </c>
      <c r="B7836" s="76" t="s">
        <v>12946</v>
      </c>
    </row>
    <row r="7837" spans="1:2" x14ac:dyDescent="0.25">
      <c r="A7837" s="75">
        <v>41115702</v>
      </c>
      <c r="B7837" s="76" t="s">
        <v>1067</v>
      </c>
    </row>
    <row r="7838" spans="1:2" x14ac:dyDescent="0.25">
      <c r="A7838" s="75">
        <v>41115703</v>
      </c>
      <c r="B7838" s="76" t="s">
        <v>1959</v>
      </c>
    </row>
    <row r="7839" spans="1:2" x14ac:dyDescent="0.25">
      <c r="A7839" s="75">
        <v>41115704</v>
      </c>
      <c r="B7839" s="76" t="s">
        <v>6891</v>
      </c>
    </row>
    <row r="7840" spans="1:2" x14ac:dyDescent="0.25">
      <c r="A7840" s="75">
        <v>41115705</v>
      </c>
      <c r="B7840" s="76" t="s">
        <v>9779</v>
      </c>
    </row>
    <row r="7841" spans="1:2" x14ac:dyDescent="0.25">
      <c r="A7841" s="75">
        <v>41115706</v>
      </c>
      <c r="B7841" s="76" t="s">
        <v>5728</v>
      </c>
    </row>
    <row r="7842" spans="1:2" x14ac:dyDescent="0.25">
      <c r="A7842" s="75">
        <v>41115707</v>
      </c>
      <c r="B7842" s="76" t="s">
        <v>6781</v>
      </c>
    </row>
    <row r="7843" spans="1:2" x14ac:dyDescent="0.25">
      <c r="A7843" s="75">
        <v>41115708</v>
      </c>
      <c r="B7843" s="76" t="s">
        <v>2762</v>
      </c>
    </row>
    <row r="7844" spans="1:2" x14ac:dyDescent="0.25">
      <c r="A7844" s="75">
        <v>41115709</v>
      </c>
      <c r="B7844" s="76" t="s">
        <v>13144</v>
      </c>
    </row>
    <row r="7845" spans="1:2" x14ac:dyDescent="0.25">
      <c r="A7845" s="75">
        <v>41115710</v>
      </c>
      <c r="B7845" s="76" t="s">
        <v>9370</v>
      </c>
    </row>
    <row r="7846" spans="1:2" x14ac:dyDescent="0.25">
      <c r="A7846" s="75">
        <v>41115711</v>
      </c>
      <c r="B7846" s="76" t="s">
        <v>4491</v>
      </c>
    </row>
    <row r="7847" spans="1:2" x14ac:dyDescent="0.25">
      <c r="A7847" s="75">
        <v>41115712</v>
      </c>
      <c r="B7847" s="76" t="s">
        <v>2250</v>
      </c>
    </row>
    <row r="7848" spans="1:2" x14ac:dyDescent="0.25">
      <c r="A7848" s="75">
        <v>41115713</v>
      </c>
      <c r="B7848" s="76" t="s">
        <v>13984</v>
      </c>
    </row>
    <row r="7849" spans="1:2" x14ac:dyDescent="0.25">
      <c r="A7849" s="75">
        <v>41115714</v>
      </c>
      <c r="B7849" s="76" t="s">
        <v>6292</v>
      </c>
    </row>
    <row r="7850" spans="1:2" x14ac:dyDescent="0.25">
      <c r="A7850" s="75">
        <v>41115715</v>
      </c>
      <c r="B7850" s="76" t="s">
        <v>1592</v>
      </c>
    </row>
    <row r="7851" spans="1:2" x14ac:dyDescent="0.25">
      <c r="A7851" s="75">
        <v>41115716</v>
      </c>
      <c r="B7851" s="76" t="s">
        <v>4396</v>
      </c>
    </row>
    <row r="7852" spans="1:2" x14ac:dyDescent="0.25">
      <c r="A7852" s="75">
        <v>41115717</v>
      </c>
      <c r="B7852" s="76" t="s">
        <v>15355</v>
      </c>
    </row>
    <row r="7853" spans="1:2" x14ac:dyDescent="0.25">
      <c r="A7853" s="75">
        <v>41115718</v>
      </c>
      <c r="B7853" s="76" t="s">
        <v>19471</v>
      </c>
    </row>
    <row r="7854" spans="1:2" x14ac:dyDescent="0.25">
      <c r="A7854" s="75">
        <v>41115719</v>
      </c>
      <c r="B7854" s="76" t="s">
        <v>1991</v>
      </c>
    </row>
    <row r="7855" spans="1:2" x14ac:dyDescent="0.25">
      <c r="A7855" s="75">
        <v>41115720</v>
      </c>
      <c r="B7855" s="76" t="s">
        <v>3000</v>
      </c>
    </row>
    <row r="7856" spans="1:2" x14ac:dyDescent="0.25">
      <c r="A7856" s="75">
        <v>41115801</v>
      </c>
      <c r="B7856" s="76" t="s">
        <v>13686</v>
      </c>
    </row>
    <row r="7857" spans="1:2" x14ac:dyDescent="0.25">
      <c r="A7857" s="75">
        <v>41115802</v>
      </c>
      <c r="B7857" s="76" t="s">
        <v>9394</v>
      </c>
    </row>
    <row r="7858" spans="1:2" x14ac:dyDescent="0.25">
      <c r="A7858" s="75">
        <v>41115803</v>
      </c>
      <c r="B7858" s="76" t="s">
        <v>6750</v>
      </c>
    </row>
    <row r="7859" spans="1:2" x14ac:dyDescent="0.25">
      <c r="A7859" s="75">
        <v>41115804</v>
      </c>
      <c r="B7859" s="76" t="s">
        <v>14290</v>
      </c>
    </row>
    <row r="7860" spans="1:2" x14ac:dyDescent="0.25">
      <c r="A7860" s="75">
        <v>41115805</v>
      </c>
      <c r="B7860" s="76" t="s">
        <v>12111</v>
      </c>
    </row>
    <row r="7861" spans="1:2" x14ac:dyDescent="0.25">
      <c r="A7861" s="75">
        <v>41115806</v>
      </c>
      <c r="B7861" s="76" t="s">
        <v>18314</v>
      </c>
    </row>
    <row r="7862" spans="1:2" x14ac:dyDescent="0.25">
      <c r="A7862" s="75">
        <v>41115807</v>
      </c>
      <c r="B7862" s="76" t="s">
        <v>7301</v>
      </c>
    </row>
    <row r="7863" spans="1:2" x14ac:dyDescent="0.25">
      <c r="A7863" s="75">
        <v>41115808</v>
      </c>
      <c r="B7863" s="76" t="s">
        <v>10633</v>
      </c>
    </row>
    <row r="7864" spans="1:2" x14ac:dyDescent="0.25">
      <c r="A7864" s="75">
        <v>41115809</v>
      </c>
      <c r="B7864" s="76" t="s">
        <v>11007</v>
      </c>
    </row>
    <row r="7865" spans="1:2" x14ac:dyDescent="0.25">
      <c r="A7865" s="75">
        <v>41115810</v>
      </c>
      <c r="B7865" s="76" t="s">
        <v>16529</v>
      </c>
    </row>
    <row r="7866" spans="1:2" x14ac:dyDescent="0.25">
      <c r="A7866" s="75">
        <v>41115811</v>
      </c>
      <c r="B7866" s="76" t="s">
        <v>11680</v>
      </c>
    </row>
    <row r="7867" spans="1:2" x14ac:dyDescent="0.25">
      <c r="A7867" s="75">
        <v>41115812</v>
      </c>
      <c r="B7867" s="76" t="s">
        <v>5605</v>
      </c>
    </row>
    <row r="7868" spans="1:2" x14ac:dyDescent="0.25">
      <c r="A7868" s="75">
        <v>41115813</v>
      </c>
      <c r="B7868" s="76" t="s">
        <v>4290</v>
      </c>
    </row>
    <row r="7869" spans="1:2" x14ac:dyDescent="0.25">
      <c r="A7869" s="75">
        <v>41115814</v>
      </c>
      <c r="B7869" s="76" t="s">
        <v>6131</v>
      </c>
    </row>
    <row r="7870" spans="1:2" x14ac:dyDescent="0.25">
      <c r="A7870" s="75">
        <v>41115815</v>
      </c>
      <c r="B7870" s="76" t="s">
        <v>15444</v>
      </c>
    </row>
    <row r="7871" spans="1:2" x14ac:dyDescent="0.25">
      <c r="A7871" s="75">
        <v>41115816</v>
      </c>
      <c r="B7871" s="76" t="s">
        <v>15250</v>
      </c>
    </row>
    <row r="7872" spans="1:2" x14ac:dyDescent="0.25">
      <c r="A7872" s="75">
        <v>41115817</v>
      </c>
      <c r="B7872" s="76" t="s">
        <v>12300</v>
      </c>
    </row>
    <row r="7873" spans="1:2" x14ac:dyDescent="0.25">
      <c r="A7873" s="75">
        <v>41115818</v>
      </c>
      <c r="B7873" s="76" t="s">
        <v>13639</v>
      </c>
    </row>
    <row r="7874" spans="1:2" x14ac:dyDescent="0.25">
      <c r="A7874" s="75">
        <v>41115819</v>
      </c>
      <c r="B7874" s="76" t="s">
        <v>8495</v>
      </c>
    </row>
    <row r="7875" spans="1:2" x14ac:dyDescent="0.25">
      <c r="A7875" s="75">
        <v>41115820</v>
      </c>
      <c r="B7875" s="76" t="s">
        <v>1037</v>
      </c>
    </row>
    <row r="7876" spans="1:2" x14ac:dyDescent="0.25">
      <c r="A7876" s="75">
        <v>41115821</v>
      </c>
      <c r="B7876" s="76" t="s">
        <v>2991</v>
      </c>
    </row>
    <row r="7877" spans="1:2" x14ac:dyDescent="0.25">
      <c r="A7877" s="75">
        <v>41115822</v>
      </c>
      <c r="B7877" s="76" t="s">
        <v>594</v>
      </c>
    </row>
    <row r="7878" spans="1:2" x14ac:dyDescent="0.25">
      <c r="A7878" s="75">
        <v>41115823</v>
      </c>
      <c r="B7878" s="76" t="s">
        <v>6393</v>
      </c>
    </row>
    <row r="7879" spans="1:2" x14ac:dyDescent="0.25">
      <c r="A7879" s="75">
        <v>41115824</v>
      </c>
      <c r="B7879" s="76" t="s">
        <v>8071</v>
      </c>
    </row>
    <row r="7880" spans="1:2" x14ac:dyDescent="0.25">
      <c r="A7880" s="75">
        <v>41115825</v>
      </c>
      <c r="B7880" s="76" t="s">
        <v>3162</v>
      </c>
    </row>
    <row r="7881" spans="1:2" x14ac:dyDescent="0.25">
      <c r="A7881" s="75">
        <v>41115826</v>
      </c>
      <c r="B7881" s="76" t="s">
        <v>14222</v>
      </c>
    </row>
    <row r="7882" spans="1:2" x14ac:dyDescent="0.25">
      <c r="A7882" s="75">
        <v>41115827</v>
      </c>
      <c r="B7882" s="76" t="s">
        <v>15079</v>
      </c>
    </row>
    <row r="7883" spans="1:2" x14ac:dyDescent="0.25">
      <c r="A7883" s="75">
        <v>41115828</v>
      </c>
      <c r="B7883" s="76" t="s">
        <v>16999</v>
      </c>
    </row>
    <row r="7884" spans="1:2" x14ac:dyDescent="0.25">
      <c r="A7884" s="75">
        <v>41115829</v>
      </c>
      <c r="B7884" s="76" t="s">
        <v>5964</v>
      </c>
    </row>
    <row r="7885" spans="1:2" x14ac:dyDescent="0.25">
      <c r="A7885" s="75">
        <v>41115830</v>
      </c>
      <c r="B7885" s="76" t="s">
        <v>6563</v>
      </c>
    </row>
    <row r="7886" spans="1:2" x14ac:dyDescent="0.25">
      <c r="A7886" s="75">
        <v>41116001</v>
      </c>
      <c r="B7886" s="76" t="s">
        <v>11982</v>
      </c>
    </row>
    <row r="7887" spans="1:2" x14ac:dyDescent="0.25">
      <c r="A7887" s="75">
        <v>41116002</v>
      </c>
      <c r="B7887" s="76" t="s">
        <v>7332</v>
      </c>
    </row>
    <row r="7888" spans="1:2" x14ac:dyDescent="0.25">
      <c r="A7888" s="75">
        <v>41116003</v>
      </c>
      <c r="B7888" s="76" t="s">
        <v>2257</v>
      </c>
    </row>
    <row r="7889" spans="1:2" x14ac:dyDescent="0.25">
      <c r="A7889" s="75">
        <v>41116004</v>
      </c>
      <c r="B7889" s="76" t="s">
        <v>6328</v>
      </c>
    </row>
    <row r="7890" spans="1:2" x14ac:dyDescent="0.25">
      <c r="A7890" s="75">
        <v>41116005</v>
      </c>
      <c r="B7890" s="76" t="s">
        <v>4381</v>
      </c>
    </row>
    <row r="7891" spans="1:2" x14ac:dyDescent="0.25">
      <c r="A7891" s="75">
        <v>41116006</v>
      </c>
      <c r="B7891" s="76" t="s">
        <v>10292</v>
      </c>
    </row>
    <row r="7892" spans="1:2" x14ac:dyDescent="0.25">
      <c r="A7892" s="75">
        <v>41116007</v>
      </c>
      <c r="B7892" s="76" t="s">
        <v>13623</v>
      </c>
    </row>
    <row r="7893" spans="1:2" x14ac:dyDescent="0.25">
      <c r="A7893" s="75">
        <v>41116008</v>
      </c>
      <c r="B7893" s="76" t="s">
        <v>3546</v>
      </c>
    </row>
    <row r="7894" spans="1:2" x14ac:dyDescent="0.25">
      <c r="A7894" s="75">
        <v>41116009</v>
      </c>
      <c r="B7894" s="76" t="s">
        <v>1598</v>
      </c>
    </row>
    <row r="7895" spans="1:2" x14ac:dyDescent="0.25">
      <c r="A7895" s="75">
        <v>41116010</v>
      </c>
      <c r="B7895" s="76" t="s">
        <v>5210</v>
      </c>
    </row>
    <row r="7896" spans="1:2" x14ac:dyDescent="0.25">
      <c r="A7896" s="75">
        <v>41116011</v>
      </c>
      <c r="B7896" s="76" t="s">
        <v>1746</v>
      </c>
    </row>
    <row r="7897" spans="1:2" x14ac:dyDescent="0.25">
      <c r="A7897" s="75">
        <v>41116012</v>
      </c>
      <c r="B7897" s="76" t="s">
        <v>19523</v>
      </c>
    </row>
    <row r="7898" spans="1:2" x14ac:dyDescent="0.25">
      <c r="A7898" s="75">
        <v>41116013</v>
      </c>
      <c r="B7898" s="76" t="s">
        <v>10052</v>
      </c>
    </row>
    <row r="7899" spans="1:2" x14ac:dyDescent="0.25">
      <c r="A7899" s="75">
        <v>41116014</v>
      </c>
      <c r="B7899" s="76" t="s">
        <v>17855</v>
      </c>
    </row>
    <row r="7900" spans="1:2" x14ac:dyDescent="0.25">
      <c r="A7900" s="75">
        <v>41116015</v>
      </c>
      <c r="B7900" s="76" t="s">
        <v>10100</v>
      </c>
    </row>
    <row r="7901" spans="1:2" x14ac:dyDescent="0.25">
      <c r="A7901" s="75">
        <v>41116101</v>
      </c>
      <c r="B7901" s="76" t="s">
        <v>3157</v>
      </c>
    </row>
    <row r="7902" spans="1:2" x14ac:dyDescent="0.25">
      <c r="A7902" s="75">
        <v>41116102</v>
      </c>
      <c r="B7902" s="76" t="s">
        <v>17998</v>
      </c>
    </row>
    <row r="7903" spans="1:2" x14ac:dyDescent="0.25">
      <c r="A7903" s="75">
        <v>41116103</v>
      </c>
      <c r="B7903" s="76" t="s">
        <v>16131</v>
      </c>
    </row>
    <row r="7904" spans="1:2" x14ac:dyDescent="0.25">
      <c r="A7904" s="75">
        <v>41116104</v>
      </c>
      <c r="B7904" s="76" t="s">
        <v>6807</v>
      </c>
    </row>
    <row r="7905" spans="1:2" x14ac:dyDescent="0.25">
      <c r="A7905" s="75">
        <v>41116105</v>
      </c>
      <c r="B7905" s="76" t="s">
        <v>13946</v>
      </c>
    </row>
    <row r="7906" spans="1:2" x14ac:dyDescent="0.25">
      <c r="A7906" s="75">
        <v>41116106</v>
      </c>
      <c r="B7906" s="76" t="s">
        <v>3418</v>
      </c>
    </row>
    <row r="7907" spans="1:2" x14ac:dyDescent="0.25">
      <c r="A7907" s="75">
        <v>41116107</v>
      </c>
      <c r="B7907" s="76" t="s">
        <v>13368</v>
      </c>
    </row>
    <row r="7908" spans="1:2" x14ac:dyDescent="0.25">
      <c r="A7908" s="75">
        <v>41116108</v>
      </c>
      <c r="B7908" s="76" t="s">
        <v>9583</v>
      </c>
    </row>
    <row r="7909" spans="1:2" x14ac:dyDescent="0.25">
      <c r="A7909" s="75">
        <v>41116109</v>
      </c>
      <c r="B7909" s="76" t="s">
        <v>13786</v>
      </c>
    </row>
    <row r="7910" spans="1:2" x14ac:dyDescent="0.25">
      <c r="A7910" s="75">
        <v>41116110</v>
      </c>
      <c r="B7910" s="76" t="s">
        <v>4551</v>
      </c>
    </row>
    <row r="7911" spans="1:2" x14ac:dyDescent="0.25">
      <c r="A7911" s="75">
        <v>41116111</v>
      </c>
      <c r="B7911" s="76" t="s">
        <v>6129</v>
      </c>
    </row>
    <row r="7912" spans="1:2" x14ac:dyDescent="0.25">
      <c r="A7912" s="75">
        <v>41116112</v>
      </c>
      <c r="B7912" s="76" t="s">
        <v>12596</v>
      </c>
    </row>
    <row r="7913" spans="1:2" x14ac:dyDescent="0.25">
      <c r="A7913" s="75">
        <v>41116113</v>
      </c>
      <c r="B7913" s="76" t="s">
        <v>9398</v>
      </c>
    </row>
    <row r="7914" spans="1:2" x14ac:dyDescent="0.25">
      <c r="A7914" s="75">
        <v>41116116</v>
      </c>
      <c r="B7914" s="76" t="s">
        <v>3261</v>
      </c>
    </row>
    <row r="7915" spans="1:2" x14ac:dyDescent="0.25">
      <c r="A7915" s="75">
        <v>41116117</v>
      </c>
      <c r="B7915" s="76" t="s">
        <v>18228</v>
      </c>
    </row>
    <row r="7916" spans="1:2" x14ac:dyDescent="0.25">
      <c r="A7916" s="75">
        <v>41116118</v>
      </c>
      <c r="B7916" s="76" t="s">
        <v>17288</v>
      </c>
    </row>
    <row r="7917" spans="1:2" x14ac:dyDescent="0.25">
      <c r="A7917" s="75">
        <v>41116119</v>
      </c>
      <c r="B7917" s="76" t="s">
        <v>8007</v>
      </c>
    </row>
    <row r="7918" spans="1:2" x14ac:dyDescent="0.25">
      <c r="A7918" s="75">
        <v>41116120</v>
      </c>
      <c r="B7918" s="76" t="s">
        <v>9642</v>
      </c>
    </row>
    <row r="7919" spans="1:2" x14ac:dyDescent="0.25">
      <c r="A7919" s="75">
        <v>41116121</v>
      </c>
      <c r="B7919" s="76" t="s">
        <v>19930</v>
      </c>
    </row>
    <row r="7920" spans="1:2" x14ac:dyDescent="0.25">
      <c r="A7920" s="75">
        <v>41116122</v>
      </c>
      <c r="B7920" s="76" t="s">
        <v>11205</v>
      </c>
    </row>
    <row r="7921" spans="1:2" x14ac:dyDescent="0.25">
      <c r="A7921" s="75">
        <v>41116123</v>
      </c>
      <c r="B7921" s="76" t="s">
        <v>13788</v>
      </c>
    </row>
    <row r="7922" spans="1:2" x14ac:dyDescent="0.25">
      <c r="A7922" s="75">
        <v>41116124</v>
      </c>
      <c r="B7922" s="76" t="s">
        <v>14908</v>
      </c>
    </row>
    <row r="7923" spans="1:2" x14ac:dyDescent="0.25">
      <c r="A7923" s="75">
        <v>41116125</v>
      </c>
      <c r="B7923" s="76" t="s">
        <v>4288</v>
      </c>
    </row>
    <row r="7924" spans="1:2" x14ac:dyDescent="0.25">
      <c r="A7924" s="75">
        <v>41116126</v>
      </c>
      <c r="B7924" s="76" t="s">
        <v>15787</v>
      </c>
    </row>
    <row r="7925" spans="1:2" x14ac:dyDescent="0.25">
      <c r="A7925" s="75">
        <v>41116127</v>
      </c>
      <c r="B7925" s="76" t="s">
        <v>2451</v>
      </c>
    </row>
    <row r="7926" spans="1:2" x14ac:dyDescent="0.25">
      <c r="A7926" s="75">
        <v>41116128</v>
      </c>
      <c r="B7926" s="76" t="s">
        <v>867</v>
      </c>
    </row>
    <row r="7927" spans="1:2" x14ac:dyDescent="0.25">
      <c r="A7927" s="75">
        <v>41116129</v>
      </c>
      <c r="B7927" s="76" t="s">
        <v>14995</v>
      </c>
    </row>
    <row r="7928" spans="1:2" x14ac:dyDescent="0.25">
      <c r="A7928" s="75">
        <v>41116130</v>
      </c>
      <c r="B7928" s="76" t="s">
        <v>9710</v>
      </c>
    </row>
    <row r="7929" spans="1:2" x14ac:dyDescent="0.25">
      <c r="A7929" s="75">
        <v>41116131</v>
      </c>
      <c r="B7929" s="76" t="s">
        <v>964</v>
      </c>
    </row>
    <row r="7930" spans="1:2" x14ac:dyDescent="0.25">
      <c r="A7930" s="75">
        <v>41116132</v>
      </c>
      <c r="B7930" s="76" t="s">
        <v>4016</v>
      </c>
    </row>
    <row r="7931" spans="1:2" x14ac:dyDescent="0.25">
      <c r="A7931" s="75">
        <v>41116133</v>
      </c>
      <c r="B7931" s="76" t="s">
        <v>13774</v>
      </c>
    </row>
    <row r="7932" spans="1:2" x14ac:dyDescent="0.25">
      <c r="A7932" s="75">
        <v>41116134</v>
      </c>
      <c r="B7932" s="76" t="s">
        <v>12429</v>
      </c>
    </row>
    <row r="7933" spans="1:2" x14ac:dyDescent="0.25">
      <c r="A7933" s="75">
        <v>41116135</v>
      </c>
      <c r="B7933" s="76" t="s">
        <v>8193</v>
      </c>
    </row>
    <row r="7934" spans="1:2" x14ac:dyDescent="0.25">
      <c r="A7934" s="75">
        <v>41116136</v>
      </c>
      <c r="B7934" s="76" t="s">
        <v>10302</v>
      </c>
    </row>
    <row r="7935" spans="1:2" x14ac:dyDescent="0.25">
      <c r="A7935" s="75">
        <v>41116137</v>
      </c>
      <c r="B7935" s="76" t="s">
        <v>8889</v>
      </c>
    </row>
    <row r="7936" spans="1:2" x14ac:dyDescent="0.25">
      <c r="A7936" s="75">
        <v>41116138</v>
      </c>
      <c r="B7936" s="76" t="s">
        <v>676</v>
      </c>
    </row>
    <row r="7937" spans="1:2" x14ac:dyDescent="0.25">
      <c r="A7937" s="75">
        <v>41116139</v>
      </c>
      <c r="B7937" s="76" t="s">
        <v>1505</v>
      </c>
    </row>
    <row r="7938" spans="1:2" x14ac:dyDescent="0.25">
      <c r="A7938" s="75">
        <v>41116140</v>
      </c>
      <c r="B7938" s="76" t="s">
        <v>5573</v>
      </c>
    </row>
    <row r="7939" spans="1:2" x14ac:dyDescent="0.25">
      <c r="A7939" s="75">
        <v>41116141</v>
      </c>
      <c r="B7939" s="76" t="s">
        <v>11468</v>
      </c>
    </row>
    <row r="7940" spans="1:2" x14ac:dyDescent="0.25">
      <c r="A7940" s="75">
        <v>41116142</v>
      </c>
      <c r="B7940" s="76" t="s">
        <v>7719</v>
      </c>
    </row>
    <row r="7941" spans="1:2" x14ac:dyDescent="0.25">
      <c r="A7941" s="75">
        <v>41116143</v>
      </c>
      <c r="B7941" s="76" t="s">
        <v>7813</v>
      </c>
    </row>
    <row r="7942" spans="1:2" x14ac:dyDescent="0.25">
      <c r="A7942" s="75">
        <v>41116144</v>
      </c>
      <c r="B7942" s="76" t="s">
        <v>13776</v>
      </c>
    </row>
    <row r="7943" spans="1:2" x14ac:dyDescent="0.25">
      <c r="A7943" s="75">
        <v>41116145</v>
      </c>
      <c r="B7943" s="76" t="s">
        <v>18922</v>
      </c>
    </row>
    <row r="7944" spans="1:2" x14ac:dyDescent="0.25">
      <c r="A7944" s="75">
        <v>41116146</v>
      </c>
      <c r="B7944" s="76" t="s">
        <v>7879</v>
      </c>
    </row>
    <row r="7945" spans="1:2" x14ac:dyDescent="0.25">
      <c r="A7945" s="75">
        <v>41116147</v>
      </c>
      <c r="B7945" s="76" t="s">
        <v>1510</v>
      </c>
    </row>
    <row r="7946" spans="1:2" x14ac:dyDescent="0.25">
      <c r="A7946" s="75">
        <v>41116148</v>
      </c>
      <c r="B7946" s="76" t="s">
        <v>2770</v>
      </c>
    </row>
    <row r="7947" spans="1:2" x14ac:dyDescent="0.25">
      <c r="A7947" s="75">
        <v>41116201</v>
      </c>
      <c r="B7947" s="76" t="s">
        <v>9162</v>
      </c>
    </row>
    <row r="7948" spans="1:2" x14ac:dyDescent="0.25">
      <c r="A7948" s="75">
        <v>41116202</v>
      </c>
      <c r="B7948" s="76" t="s">
        <v>2947</v>
      </c>
    </row>
    <row r="7949" spans="1:2" x14ac:dyDescent="0.25">
      <c r="A7949" s="75">
        <v>41116203</v>
      </c>
      <c r="B7949" s="76" t="s">
        <v>7043</v>
      </c>
    </row>
    <row r="7950" spans="1:2" x14ac:dyDescent="0.25">
      <c r="A7950" s="75">
        <v>41116205</v>
      </c>
      <c r="B7950" s="76" t="s">
        <v>1266</v>
      </c>
    </row>
    <row r="7951" spans="1:2" x14ac:dyDescent="0.25">
      <c r="A7951" s="75">
        <v>41116301</v>
      </c>
      <c r="B7951" s="76" t="s">
        <v>6367</v>
      </c>
    </row>
    <row r="7952" spans="1:2" x14ac:dyDescent="0.25">
      <c r="A7952" s="75">
        <v>41116401</v>
      </c>
      <c r="B7952" s="76" t="s">
        <v>9799</v>
      </c>
    </row>
    <row r="7953" spans="1:2" x14ac:dyDescent="0.25">
      <c r="A7953" s="75">
        <v>41116501</v>
      </c>
      <c r="B7953" s="76" t="s">
        <v>14351</v>
      </c>
    </row>
    <row r="7954" spans="1:2" x14ac:dyDescent="0.25">
      <c r="A7954" s="75">
        <v>41121501</v>
      </c>
      <c r="B7954" s="76" t="s">
        <v>18379</v>
      </c>
    </row>
    <row r="7955" spans="1:2" x14ac:dyDescent="0.25">
      <c r="A7955" s="75">
        <v>41121502</v>
      </c>
      <c r="B7955" s="76" t="s">
        <v>3970</v>
      </c>
    </row>
    <row r="7956" spans="1:2" x14ac:dyDescent="0.25">
      <c r="A7956" s="75">
        <v>41121503</v>
      </c>
      <c r="B7956" s="76" t="s">
        <v>13807</v>
      </c>
    </row>
    <row r="7957" spans="1:2" x14ac:dyDescent="0.25">
      <c r="A7957" s="75">
        <v>41121504</v>
      </c>
      <c r="B7957" s="76" t="s">
        <v>3072</v>
      </c>
    </row>
    <row r="7958" spans="1:2" x14ac:dyDescent="0.25">
      <c r="A7958" s="75">
        <v>41121505</v>
      </c>
      <c r="B7958" s="76" t="s">
        <v>14993</v>
      </c>
    </row>
    <row r="7959" spans="1:2" x14ac:dyDescent="0.25">
      <c r="A7959" s="75">
        <v>41121506</v>
      </c>
      <c r="B7959" s="76" t="s">
        <v>17680</v>
      </c>
    </row>
    <row r="7960" spans="1:2" x14ac:dyDescent="0.25">
      <c r="A7960" s="75">
        <v>41121507</v>
      </c>
      <c r="B7960" s="76" t="s">
        <v>13132</v>
      </c>
    </row>
    <row r="7961" spans="1:2" x14ac:dyDescent="0.25">
      <c r="A7961" s="75">
        <v>41121508</v>
      </c>
      <c r="B7961" s="76" t="s">
        <v>4867</v>
      </c>
    </row>
    <row r="7962" spans="1:2" x14ac:dyDescent="0.25">
      <c r="A7962" s="75">
        <v>41121509</v>
      </c>
      <c r="B7962" s="76" t="s">
        <v>11983</v>
      </c>
    </row>
    <row r="7963" spans="1:2" x14ac:dyDescent="0.25">
      <c r="A7963" s="75">
        <v>41121510</v>
      </c>
      <c r="B7963" s="76" t="s">
        <v>11350</v>
      </c>
    </row>
    <row r="7964" spans="1:2" x14ac:dyDescent="0.25">
      <c r="A7964" s="75">
        <v>41121511</v>
      </c>
      <c r="B7964" s="76" t="s">
        <v>4857</v>
      </c>
    </row>
    <row r="7965" spans="1:2" x14ac:dyDescent="0.25">
      <c r="A7965" s="75">
        <v>41121513</v>
      </c>
      <c r="B7965" s="76" t="s">
        <v>1858</v>
      </c>
    </row>
    <row r="7966" spans="1:2" x14ac:dyDescent="0.25">
      <c r="A7966" s="75">
        <v>41121514</v>
      </c>
      <c r="B7966" s="76" t="s">
        <v>11027</v>
      </c>
    </row>
    <row r="7967" spans="1:2" x14ac:dyDescent="0.25">
      <c r="A7967" s="75">
        <v>41121515</v>
      </c>
      <c r="B7967" s="76" t="s">
        <v>13198</v>
      </c>
    </row>
    <row r="7968" spans="1:2" x14ac:dyDescent="0.25">
      <c r="A7968" s="75">
        <v>41121516</v>
      </c>
      <c r="B7968" s="76" t="s">
        <v>1717</v>
      </c>
    </row>
    <row r="7969" spans="1:2" x14ac:dyDescent="0.25">
      <c r="A7969" s="75">
        <v>41121517</v>
      </c>
      <c r="B7969" s="76" t="s">
        <v>926</v>
      </c>
    </row>
    <row r="7970" spans="1:2" x14ac:dyDescent="0.25">
      <c r="A7970" s="75">
        <v>41121601</v>
      </c>
      <c r="B7970" s="76" t="s">
        <v>12460</v>
      </c>
    </row>
    <row r="7971" spans="1:2" x14ac:dyDescent="0.25">
      <c r="A7971" s="75">
        <v>41121602</v>
      </c>
      <c r="B7971" s="76" t="s">
        <v>8445</v>
      </c>
    </row>
    <row r="7972" spans="1:2" x14ac:dyDescent="0.25">
      <c r="A7972" s="75">
        <v>41121603</v>
      </c>
      <c r="B7972" s="76" t="s">
        <v>9418</v>
      </c>
    </row>
    <row r="7973" spans="1:2" x14ac:dyDescent="0.25">
      <c r="A7973" s="75">
        <v>41121604</v>
      </c>
      <c r="B7973" s="76" t="s">
        <v>4279</v>
      </c>
    </row>
    <row r="7974" spans="1:2" x14ac:dyDescent="0.25">
      <c r="A7974" s="75">
        <v>41121605</v>
      </c>
      <c r="B7974" s="76" t="s">
        <v>11181</v>
      </c>
    </row>
    <row r="7975" spans="1:2" x14ac:dyDescent="0.25">
      <c r="A7975" s="75">
        <v>41121606</v>
      </c>
      <c r="B7975" s="76" t="s">
        <v>19286</v>
      </c>
    </row>
    <row r="7976" spans="1:2" x14ac:dyDescent="0.25">
      <c r="A7976" s="75">
        <v>41121607</v>
      </c>
      <c r="B7976" s="76" t="s">
        <v>6598</v>
      </c>
    </row>
    <row r="7977" spans="1:2" x14ac:dyDescent="0.25">
      <c r="A7977" s="75">
        <v>41121608</v>
      </c>
      <c r="B7977" s="76" t="s">
        <v>18312</v>
      </c>
    </row>
    <row r="7978" spans="1:2" x14ac:dyDescent="0.25">
      <c r="A7978" s="75">
        <v>41121609</v>
      </c>
      <c r="B7978" s="76" t="s">
        <v>13025</v>
      </c>
    </row>
    <row r="7979" spans="1:2" x14ac:dyDescent="0.25">
      <c r="A7979" s="75">
        <v>41121701</v>
      </c>
      <c r="B7979" s="76" t="s">
        <v>16549</v>
      </c>
    </row>
    <row r="7980" spans="1:2" x14ac:dyDescent="0.25">
      <c r="A7980" s="75">
        <v>41121702</v>
      </c>
      <c r="B7980" s="76" t="s">
        <v>8815</v>
      </c>
    </row>
    <row r="7981" spans="1:2" x14ac:dyDescent="0.25">
      <c r="A7981" s="75">
        <v>41121703</v>
      </c>
      <c r="B7981" s="76" t="s">
        <v>6149</v>
      </c>
    </row>
    <row r="7982" spans="1:2" x14ac:dyDescent="0.25">
      <c r="A7982" s="75">
        <v>41121704</v>
      </c>
      <c r="B7982" s="76" t="s">
        <v>19666</v>
      </c>
    </row>
    <row r="7983" spans="1:2" x14ac:dyDescent="0.25">
      <c r="A7983" s="75">
        <v>41121705</v>
      </c>
      <c r="B7983" s="76" t="s">
        <v>9395</v>
      </c>
    </row>
    <row r="7984" spans="1:2" x14ac:dyDescent="0.25">
      <c r="A7984" s="75">
        <v>41121706</v>
      </c>
      <c r="B7984" s="76" t="s">
        <v>17572</v>
      </c>
    </row>
    <row r="7985" spans="1:2" x14ac:dyDescent="0.25">
      <c r="A7985" s="75">
        <v>41121707</v>
      </c>
      <c r="B7985" s="76" t="s">
        <v>4008</v>
      </c>
    </row>
    <row r="7986" spans="1:2" x14ac:dyDescent="0.25">
      <c r="A7986" s="75">
        <v>41121708</v>
      </c>
      <c r="B7986" s="76" t="s">
        <v>15557</v>
      </c>
    </row>
    <row r="7987" spans="1:2" x14ac:dyDescent="0.25">
      <c r="A7987" s="75">
        <v>41121709</v>
      </c>
      <c r="B7987" s="76" t="s">
        <v>3032</v>
      </c>
    </row>
    <row r="7988" spans="1:2" x14ac:dyDescent="0.25">
      <c r="A7988" s="75">
        <v>41121710</v>
      </c>
      <c r="B7988" s="76" t="s">
        <v>5461</v>
      </c>
    </row>
    <row r="7989" spans="1:2" x14ac:dyDescent="0.25">
      <c r="A7989" s="75">
        <v>41121711</v>
      </c>
      <c r="B7989" s="76" t="s">
        <v>5885</v>
      </c>
    </row>
    <row r="7990" spans="1:2" x14ac:dyDescent="0.25">
      <c r="A7990" s="75">
        <v>41121801</v>
      </c>
      <c r="B7990" s="76" t="s">
        <v>2105</v>
      </c>
    </row>
    <row r="7991" spans="1:2" x14ac:dyDescent="0.25">
      <c r="A7991" s="75">
        <v>41121802</v>
      </c>
      <c r="B7991" s="76" t="s">
        <v>7875</v>
      </c>
    </row>
    <row r="7992" spans="1:2" x14ac:dyDescent="0.25">
      <c r="A7992" s="75">
        <v>41121803</v>
      </c>
      <c r="B7992" s="76" t="s">
        <v>17841</v>
      </c>
    </row>
    <row r="7993" spans="1:2" x14ac:dyDescent="0.25">
      <c r="A7993" s="75">
        <v>41121804</v>
      </c>
      <c r="B7993" s="76" t="s">
        <v>17750</v>
      </c>
    </row>
    <row r="7994" spans="1:2" x14ac:dyDescent="0.25">
      <c r="A7994" s="75">
        <v>41121805</v>
      </c>
      <c r="B7994" s="76" t="s">
        <v>11370</v>
      </c>
    </row>
    <row r="7995" spans="1:2" x14ac:dyDescent="0.25">
      <c r="A7995" s="75">
        <v>41121806</v>
      </c>
      <c r="B7995" s="76" t="s">
        <v>17021</v>
      </c>
    </row>
    <row r="7996" spans="1:2" x14ac:dyDescent="0.25">
      <c r="A7996" s="75">
        <v>41121807</v>
      </c>
      <c r="B7996" s="76" t="s">
        <v>7034</v>
      </c>
    </row>
    <row r="7997" spans="1:2" x14ac:dyDescent="0.25">
      <c r="A7997" s="75">
        <v>41121808</v>
      </c>
      <c r="B7997" s="76" t="s">
        <v>15111</v>
      </c>
    </row>
    <row r="7998" spans="1:2" x14ac:dyDescent="0.25">
      <c r="A7998" s="75">
        <v>41121809</v>
      </c>
      <c r="B7998" s="76" t="s">
        <v>11815</v>
      </c>
    </row>
    <row r="7999" spans="1:2" x14ac:dyDescent="0.25">
      <c r="A7999" s="75">
        <v>41121810</v>
      </c>
      <c r="B7999" s="76" t="s">
        <v>5378</v>
      </c>
    </row>
    <row r="8000" spans="1:2" x14ac:dyDescent="0.25">
      <c r="A8000" s="75">
        <v>41121811</v>
      </c>
      <c r="B8000" s="76" t="s">
        <v>1204</v>
      </c>
    </row>
    <row r="8001" spans="1:2" x14ac:dyDescent="0.25">
      <c r="A8001" s="75">
        <v>41121812</v>
      </c>
      <c r="B8001" s="76" t="s">
        <v>11140</v>
      </c>
    </row>
    <row r="8002" spans="1:2" x14ac:dyDescent="0.25">
      <c r="A8002" s="75">
        <v>41121813</v>
      </c>
      <c r="B8002" s="76" t="s">
        <v>17645</v>
      </c>
    </row>
    <row r="8003" spans="1:2" x14ac:dyDescent="0.25">
      <c r="A8003" s="75">
        <v>41121814</v>
      </c>
      <c r="B8003" s="76" t="s">
        <v>15613</v>
      </c>
    </row>
    <row r="8004" spans="1:2" x14ac:dyDescent="0.25">
      <c r="A8004" s="75">
        <v>41121815</v>
      </c>
      <c r="B8004" s="76" t="s">
        <v>4707</v>
      </c>
    </row>
    <row r="8005" spans="1:2" x14ac:dyDescent="0.25">
      <c r="A8005" s="75">
        <v>41122001</v>
      </c>
      <c r="B8005" s="76" t="s">
        <v>15006</v>
      </c>
    </row>
    <row r="8006" spans="1:2" x14ac:dyDescent="0.25">
      <c r="A8006" s="75">
        <v>41122002</v>
      </c>
      <c r="B8006" s="76" t="s">
        <v>7856</v>
      </c>
    </row>
    <row r="8007" spans="1:2" x14ac:dyDescent="0.25">
      <c r="A8007" s="75">
        <v>41122003</v>
      </c>
      <c r="B8007" s="76" t="s">
        <v>4927</v>
      </c>
    </row>
    <row r="8008" spans="1:2" x14ac:dyDescent="0.25">
      <c r="A8008" s="75">
        <v>41122004</v>
      </c>
      <c r="B8008" s="76" t="s">
        <v>2854</v>
      </c>
    </row>
    <row r="8009" spans="1:2" x14ac:dyDescent="0.25">
      <c r="A8009" s="75">
        <v>41122101</v>
      </c>
      <c r="B8009" s="76" t="s">
        <v>17742</v>
      </c>
    </row>
    <row r="8010" spans="1:2" x14ac:dyDescent="0.25">
      <c r="A8010" s="75">
        <v>41122102</v>
      </c>
      <c r="B8010" s="76" t="s">
        <v>10858</v>
      </c>
    </row>
    <row r="8011" spans="1:2" x14ac:dyDescent="0.25">
      <c r="A8011" s="75">
        <v>41122103</v>
      </c>
      <c r="B8011" s="76" t="s">
        <v>1647</v>
      </c>
    </row>
    <row r="8012" spans="1:2" x14ac:dyDescent="0.25">
      <c r="A8012" s="75">
        <v>41122104</v>
      </c>
      <c r="B8012" s="76" t="s">
        <v>2998</v>
      </c>
    </row>
    <row r="8013" spans="1:2" x14ac:dyDescent="0.25">
      <c r="A8013" s="75">
        <v>41122105</v>
      </c>
      <c r="B8013" s="76" t="s">
        <v>93</v>
      </c>
    </row>
    <row r="8014" spans="1:2" x14ac:dyDescent="0.25">
      <c r="A8014" s="75">
        <v>41122106</v>
      </c>
      <c r="B8014" s="76" t="s">
        <v>6623</v>
      </c>
    </row>
    <row r="8015" spans="1:2" x14ac:dyDescent="0.25">
      <c r="A8015" s="75">
        <v>41122107</v>
      </c>
      <c r="B8015" s="76" t="s">
        <v>5878</v>
      </c>
    </row>
    <row r="8016" spans="1:2" x14ac:dyDescent="0.25">
      <c r="A8016" s="75">
        <v>41122108</v>
      </c>
      <c r="B8016" s="76" t="s">
        <v>14540</v>
      </c>
    </row>
    <row r="8017" spans="1:2" x14ac:dyDescent="0.25">
      <c r="A8017" s="75">
        <v>41122109</v>
      </c>
      <c r="B8017" s="76" t="s">
        <v>1384</v>
      </c>
    </row>
    <row r="8018" spans="1:2" x14ac:dyDescent="0.25">
      <c r="A8018" s="75">
        <v>41122110</v>
      </c>
      <c r="B8018" s="76" t="s">
        <v>131</v>
      </c>
    </row>
    <row r="8019" spans="1:2" x14ac:dyDescent="0.25">
      <c r="A8019" s="75">
        <v>41122201</v>
      </c>
      <c r="B8019" s="76" t="s">
        <v>3064</v>
      </c>
    </row>
    <row r="8020" spans="1:2" x14ac:dyDescent="0.25">
      <c r="A8020" s="75">
        <v>41122202</v>
      </c>
      <c r="B8020" s="76" t="s">
        <v>163</v>
      </c>
    </row>
    <row r="8021" spans="1:2" x14ac:dyDescent="0.25">
      <c r="A8021" s="75">
        <v>41122203</v>
      </c>
      <c r="B8021" s="76" t="s">
        <v>20011</v>
      </c>
    </row>
    <row r="8022" spans="1:2" x14ac:dyDescent="0.25">
      <c r="A8022" s="75">
        <v>41122301</v>
      </c>
      <c r="B8022" s="76" t="s">
        <v>4193</v>
      </c>
    </row>
    <row r="8023" spans="1:2" x14ac:dyDescent="0.25">
      <c r="A8023" s="75">
        <v>41122401</v>
      </c>
      <c r="B8023" s="76" t="s">
        <v>18969</v>
      </c>
    </row>
    <row r="8024" spans="1:2" x14ac:dyDescent="0.25">
      <c r="A8024" s="75">
        <v>41122402</v>
      </c>
      <c r="B8024" s="76" t="s">
        <v>19352</v>
      </c>
    </row>
    <row r="8025" spans="1:2" x14ac:dyDescent="0.25">
      <c r="A8025" s="75">
        <v>41122403</v>
      </c>
      <c r="B8025" s="76" t="s">
        <v>10764</v>
      </c>
    </row>
    <row r="8026" spans="1:2" x14ac:dyDescent="0.25">
      <c r="A8026" s="75">
        <v>41122404</v>
      </c>
      <c r="B8026" s="76" t="s">
        <v>18320</v>
      </c>
    </row>
    <row r="8027" spans="1:2" x14ac:dyDescent="0.25">
      <c r="A8027" s="75">
        <v>41122405</v>
      </c>
      <c r="B8027" s="76" t="s">
        <v>14497</v>
      </c>
    </row>
    <row r="8028" spans="1:2" x14ac:dyDescent="0.25">
      <c r="A8028" s="75">
        <v>41122406</v>
      </c>
      <c r="B8028" s="76" t="s">
        <v>17254</v>
      </c>
    </row>
    <row r="8029" spans="1:2" x14ac:dyDescent="0.25">
      <c r="A8029" s="75">
        <v>41122407</v>
      </c>
      <c r="B8029" s="76" t="s">
        <v>15983</v>
      </c>
    </row>
    <row r="8030" spans="1:2" x14ac:dyDescent="0.25">
      <c r="A8030" s="75">
        <v>41122408</v>
      </c>
      <c r="B8030" s="76" t="s">
        <v>17839</v>
      </c>
    </row>
    <row r="8031" spans="1:2" x14ac:dyDescent="0.25">
      <c r="A8031" s="75">
        <v>41122409</v>
      </c>
      <c r="B8031" s="76" t="s">
        <v>10266</v>
      </c>
    </row>
    <row r="8032" spans="1:2" x14ac:dyDescent="0.25">
      <c r="A8032" s="75">
        <v>41122410</v>
      </c>
      <c r="B8032" s="76" t="s">
        <v>8840</v>
      </c>
    </row>
    <row r="8033" spans="1:2" x14ac:dyDescent="0.25">
      <c r="A8033" s="75">
        <v>41122411</v>
      </c>
      <c r="B8033" s="76" t="s">
        <v>14152</v>
      </c>
    </row>
    <row r="8034" spans="1:2" x14ac:dyDescent="0.25">
      <c r="A8034" s="75">
        <v>41122412</v>
      </c>
      <c r="B8034" s="76" t="s">
        <v>15509</v>
      </c>
    </row>
    <row r="8035" spans="1:2" x14ac:dyDescent="0.25">
      <c r="A8035" s="75">
        <v>41122413</v>
      </c>
      <c r="B8035" s="76" t="s">
        <v>8037</v>
      </c>
    </row>
    <row r="8036" spans="1:2" x14ac:dyDescent="0.25">
      <c r="A8036" s="75">
        <v>41122501</v>
      </c>
      <c r="B8036" s="76" t="s">
        <v>11063</v>
      </c>
    </row>
    <row r="8037" spans="1:2" x14ac:dyDescent="0.25">
      <c r="A8037" s="75">
        <v>41122502</v>
      </c>
      <c r="B8037" s="76" t="s">
        <v>11233</v>
      </c>
    </row>
    <row r="8038" spans="1:2" x14ac:dyDescent="0.25">
      <c r="A8038" s="75">
        <v>41122503</v>
      </c>
      <c r="B8038" s="76" t="s">
        <v>19684</v>
      </c>
    </row>
    <row r="8039" spans="1:2" x14ac:dyDescent="0.25">
      <c r="A8039" s="75">
        <v>41122601</v>
      </c>
      <c r="B8039" s="76" t="s">
        <v>9329</v>
      </c>
    </row>
    <row r="8040" spans="1:2" x14ac:dyDescent="0.25">
      <c r="A8040" s="75">
        <v>41122602</v>
      </c>
      <c r="B8040" s="76" t="s">
        <v>1577</v>
      </c>
    </row>
    <row r="8041" spans="1:2" x14ac:dyDescent="0.25">
      <c r="A8041" s="75">
        <v>41122603</v>
      </c>
      <c r="B8041" s="76" t="s">
        <v>3509</v>
      </c>
    </row>
    <row r="8042" spans="1:2" x14ac:dyDescent="0.25">
      <c r="A8042" s="75">
        <v>41122604</v>
      </c>
      <c r="B8042" s="76" t="s">
        <v>16123</v>
      </c>
    </row>
    <row r="8043" spans="1:2" x14ac:dyDescent="0.25">
      <c r="A8043" s="75">
        <v>41122605</v>
      </c>
      <c r="B8043" s="76" t="s">
        <v>17500</v>
      </c>
    </row>
    <row r="8044" spans="1:2" x14ac:dyDescent="0.25">
      <c r="A8044" s="75">
        <v>41122606</v>
      </c>
      <c r="B8044" s="76" t="s">
        <v>17069</v>
      </c>
    </row>
    <row r="8045" spans="1:2" x14ac:dyDescent="0.25">
      <c r="A8045" s="75">
        <v>41122701</v>
      </c>
      <c r="B8045" s="76" t="s">
        <v>10602</v>
      </c>
    </row>
    <row r="8046" spans="1:2" x14ac:dyDescent="0.25">
      <c r="A8046" s="75">
        <v>41122702</v>
      </c>
      <c r="B8046" s="76" t="s">
        <v>7018</v>
      </c>
    </row>
    <row r="8047" spans="1:2" x14ac:dyDescent="0.25">
      <c r="A8047" s="75">
        <v>41122703</v>
      </c>
      <c r="B8047" s="76" t="s">
        <v>4117</v>
      </c>
    </row>
    <row r="8048" spans="1:2" x14ac:dyDescent="0.25">
      <c r="A8048" s="75">
        <v>41122704</v>
      </c>
      <c r="B8048" s="76" t="s">
        <v>2137</v>
      </c>
    </row>
    <row r="8049" spans="1:2" x14ac:dyDescent="0.25">
      <c r="A8049" s="75">
        <v>41122801</v>
      </c>
      <c r="B8049" s="76" t="s">
        <v>16661</v>
      </c>
    </row>
    <row r="8050" spans="1:2" x14ac:dyDescent="0.25">
      <c r="A8050" s="75">
        <v>41122802</v>
      </c>
      <c r="B8050" s="76" t="s">
        <v>225</v>
      </c>
    </row>
    <row r="8051" spans="1:2" x14ac:dyDescent="0.25">
      <c r="A8051" s="75">
        <v>41122803</v>
      </c>
      <c r="B8051" s="76" t="s">
        <v>11419</v>
      </c>
    </row>
    <row r="8052" spans="1:2" x14ac:dyDescent="0.25">
      <c r="A8052" s="75">
        <v>41122804</v>
      </c>
      <c r="B8052" s="76" t="s">
        <v>13910</v>
      </c>
    </row>
    <row r="8053" spans="1:2" x14ac:dyDescent="0.25">
      <c r="A8053" s="75">
        <v>41122805</v>
      </c>
      <c r="B8053" s="76" t="s">
        <v>12771</v>
      </c>
    </row>
    <row r="8054" spans="1:2" x14ac:dyDescent="0.25">
      <c r="A8054" s="75">
        <v>41122806</v>
      </c>
      <c r="B8054" s="76" t="s">
        <v>13908</v>
      </c>
    </row>
    <row r="8055" spans="1:2" x14ac:dyDescent="0.25">
      <c r="A8055" s="75">
        <v>41122807</v>
      </c>
      <c r="B8055" s="76" t="s">
        <v>1239</v>
      </c>
    </row>
    <row r="8056" spans="1:2" x14ac:dyDescent="0.25">
      <c r="A8056" s="75">
        <v>41122808</v>
      </c>
      <c r="B8056" s="76" t="s">
        <v>2556</v>
      </c>
    </row>
    <row r="8057" spans="1:2" x14ac:dyDescent="0.25">
      <c r="A8057" s="75">
        <v>41122809</v>
      </c>
      <c r="B8057" s="76" t="s">
        <v>16220</v>
      </c>
    </row>
    <row r="8058" spans="1:2" x14ac:dyDescent="0.25">
      <c r="A8058" s="75">
        <v>41123001</v>
      </c>
      <c r="B8058" s="76" t="s">
        <v>18486</v>
      </c>
    </row>
    <row r="8059" spans="1:2" x14ac:dyDescent="0.25">
      <c r="A8059" s="75">
        <v>41123002</v>
      </c>
      <c r="B8059" s="76" t="s">
        <v>4490</v>
      </c>
    </row>
    <row r="8060" spans="1:2" x14ac:dyDescent="0.25">
      <c r="A8060" s="75">
        <v>41123003</v>
      </c>
      <c r="B8060" s="76" t="s">
        <v>17821</v>
      </c>
    </row>
    <row r="8061" spans="1:2" x14ac:dyDescent="0.25">
      <c r="A8061" s="75">
        <v>41123004</v>
      </c>
      <c r="B8061" s="76" t="s">
        <v>5341</v>
      </c>
    </row>
    <row r="8062" spans="1:2" x14ac:dyDescent="0.25">
      <c r="A8062" s="75">
        <v>41123101</v>
      </c>
      <c r="B8062" s="76" t="s">
        <v>7912</v>
      </c>
    </row>
    <row r="8063" spans="1:2" x14ac:dyDescent="0.25">
      <c r="A8063" s="75">
        <v>41123102</v>
      </c>
      <c r="B8063" s="76" t="s">
        <v>18646</v>
      </c>
    </row>
    <row r="8064" spans="1:2" x14ac:dyDescent="0.25">
      <c r="A8064" s="75">
        <v>41123201</v>
      </c>
      <c r="B8064" s="76" t="s">
        <v>6026</v>
      </c>
    </row>
    <row r="8065" spans="1:2" x14ac:dyDescent="0.25">
      <c r="A8065" s="75">
        <v>41123202</v>
      </c>
      <c r="B8065" s="76" t="s">
        <v>7489</v>
      </c>
    </row>
    <row r="8066" spans="1:2" x14ac:dyDescent="0.25">
      <c r="A8066" s="75">
        <v>41123302</v>
      </c>
      <c r="B8066" s="76" t="s">
        <v>8508</v>
      </c>
    </row>
    <row r="8067" spans="1:2" x14ac:dyDescent="0.25">
      <c r="A8067" s="75">
        <v>41123303</v>
      </c>
      <c r="B8067" s="76" t="s">
        <v>11977</v>
      </c>
    </row>
    <row r="8068" spans="1:2" x14ac:dyDescent="0.25">
      <c r="A8068" s="75">
        <v>41123304</v>
      </c>
      <c r="B8068" s="76" t="s">
        <v>5521</v>
      </c>
    </row>
    <row r="8069" spans="1:2" x14ac:dyDescent="0.25">
      <c r="A8069" s="75">
        <v>41123305</v>
      </c>
      <c r="B8069" s="76" t="s">
        <v>13380</v>
      </c>
    </row>
    <row r="8070" spans="1:2" x14ac:dyDescent="0.25">
      <c r="A8070" s="75">
        <v>41123401</v>
      </c>
      <c r="B8070" s="76" t="s">
        <v>12998</v>
      </c>
    </row>
    <row r="8071" spans="1:2" x14ac:dyDescent="0.25">
      <c r="A8071" s="75">
        <v>41123402</v>
      </c>
      <c r="B8071" s="76" t="s">
        <v>17109</v>
      </c>
    </row>
    <row r="8072" spans="1:2" x14ac:dyDescent="0.25">
      <c r="A8072" s="75">
        <v>41123403</v>
      </c>
      <c r="B8072" s="76" t="s">
        <v>664</v>
      </c>
    </row>
    <row r="8073" spans="1:2" x14ac:dyDescent="0.25">
      <c r="A8073" s="75">
        <v>42121501</v>
      </c>
      <c r="B8073" s="76" t="s">
        <v>17471</v>
      </c>
    </row>
    <row r="8074" spans="1:2" x14ac:dyDescent="0.25">
      <c r="A8074" s="75">
        <v>42121502</v>
      </c>
      <c r="B8074" s="76" t="s">
        <v>6957</v>
      </c>
    </row>
    <row r="8075" spans="1:2" x14ac:dyDescent="0.25">
      <c r="A8075" s="75">
        <v>42121503</v>
      </c>
      <c r="B8075" s="76" t="s">
        <v>17916</v>
      </c>
    </row>
    <row r="8076" spans="1:2" x14ac:dyDescent="0.25">
      <c r="A8076" s="75">
        <v>42121504</v>
      </c>
      <c r="B8076" s="76" t="s">
        <v>4739</v>
      </c>
    </row>
    <row r="8077" spans="1:2" x14ac:dyDescent="0.25">
      <c r="A8077" s="75">
        <v>42121505</v>
      </c>
      <c r="B8077" s="76" t="s">
        <v>17666</v>
      </c>
    </row>
    <row r="8078" spans="1:2" x14ac:dyDescent="0.25">
      <c r="A8078" s="75">
        <v>42121506</v>
      </c>
      <c r="B8078" s="76" t="s">
        <v>19751</v>
      </c>
    </row>
    <row r="8079" spans="1:2" x14ac:dyDescent="0.25">
      <c r="A8079" s="75">
        <v>42121507</v>
      </c>
      <c r="B8079" s="76" t="s">
        <v>14438</v>
      </c>
    </row>
    <row r="8080" spans="1:2" x14ac:dyDescent="0.25">
      <c r="A8080" s="75">
        <v>42121508</v>
      </c>
      <c r="B8080" s="76" t="s">
        <v>18585</v>
      </c>
    </row>
    <row r="8081" spans="1:2" x14ac:dyDescent="0.25">
      <c r="A8081" s="75">
        <v>42121509</v>
      </c>
      <c r="B8081" s="76" t="s">
        <v>1801</v>
      </c>
    </row>
    <row r="8082" spans="1:2" x14ac:dyDescent="0.25">
      <c r="A8082" s="75">
        <v>42121510</v>
      </c>
      <c r="B8082" s="76" t="s">
        <v>13634</v>
      </c>
    </row>
    <row r="8083" spans="1:2" x14ac:dyDescent="0.25">
      <c r="A8083" s="75">
        <v>42121511</v>
      </c>
      <c r="B8083" s="76" t="s">
        <v>5077</v>
      </c>
    </row>
    <row r="8084" spans="1:2" x14ac:dyDescent="0.25">
      <c r="A8084" s="75">
        <v>42121512</v>
      </c>
      <c r="B8084" s="76" t="s">
        <v>18812</v>
      </c>
    </row>
    <row r="8085" spans="1:2" x14ac:dyDescent="0.25">
      <c r="A8085" s="75">
        <v>42121513</v>
      </c>
      <c r="B8085" s="76" t="s">
        <v>11165</v>
      </c>
    </row>
    <row r="8086" spans="1:2" x14ac:dyDescent="0.25">
      <c r="A8086" s="75">
        <v>42121514</v>
      </c>
      <c r="B8086" s="76" t="s">
        <v>893</v>
      </c>
    </row>
    <row r="8087" spans="1:2" x14ac:dyDescent="0.25">
      <c r="A8087" s="75">
        <v>42121515</v>
      </c>
      <c r="B8087" s="76" t="s">
        <v>2644</v>
      </c>
    </row>
    <row r="8088" spans="1:2" x14ac:dyDescent="0.25">
      <c r="A8088" s="75">
        <v>42121601</v>
      </c>
      <c r="B8088" s="76" t="s">
        <v>17019</v>
      </c>
    </row>
    <row r="8089" spans="1:2" x14ac:dyDescent="0.25">
      <c r="A8089" s="75">
        <v>42121602</v>
      </c>
      <c r="B8089" s="76" t="s">
        <v>988</v>
      </c>
    </row>
    <row r="8090" spans="1:2" x14ac:dyDescent="0.25">
      <c r="A8090" s="75">
        <v>42121603</v>
      </c>
      <c r="B8090" s="76" t="s">
        <v>8518</v>
      </c>
    </row>
    <row r="8091" spans="1:2" x14ac:dyDescent="0.25">
      <c r="A8091" s="75">
        <v>42121604</v>
      </c>
      <c r="B8091" s="76" t="s">
        <v>10303</v>
      </c>
    </row>
    <row r="8092" spans="1:2" x14ac:dyDescent="0.25">
      <c r="A8092" s="75">
        <v>42121605</v>
      </c>
      <c r="B8092" s="76" t="s">
        <v>18923</v>
      </c>
    </row>
    <row r="8093" spans="1:2" x14ac:dyDescent="0.25">
      <c r="A8093" s="75">
        <v>42121606</v>
      </c>
      <c r="B8093" s="76" t="s">
        <v>11521</v>
      </c>
    </row>
    <row r="8094" spans="1:2" x14ac:dyDescent="0.25">
      <c r="A8094" s="75">
        <v>42121607</v>
      </c>
      <c r="B8094" s="76" t="s">
        <v>8514</v>
      </c>
    </row>
    <row r="8095" spans="1:2" x14ac:dyDescent="0.25">
      <c r="A8095" s="75">
        <v>42121608</v>
      </c>
      <c r="B8095" s="76" t="s">
        <v>2624</v>
      </c>
    </row>
    <row r="8096" spans="1:2" x14ac:dyDescent="0.25">
      <c r="A8096" s="75">
        <v>42121701</v>
      </c>
      <c r="B8096" s="76" t="s">
        <v>12151</v>
      </c>
    </row>
    <row r="8097" spans="1:2" x14ac:dyDescent="0.25">
      <c r="A8097" s="75">
        <v>42121702</v>
      </c>
      <c r="B8097" s="76" t="s">
        <v>13866</v>
      </c>
    </row>
    <row r="8098" spans="1:2" x14ac:dyDescent="0.25">
      <c r="A8098" s="75">
        <v>42131501</v>
      </c>
      <c r="B8098" s="76" t="s">
        <v>17260</v>
      </c>
    </row>
    <row r="8099" spans="1:2" x14ac:dyDescent="0.25">
      <c r="A8099" s="75">
        <v>42131502</v>
      </c>
      <c r="B8099" s="76" t="s">
        <v>8408</v>
      </c>
    </row>
    <row r="8100" spans="1:2" x14ac:dyDescent="0.25">
      <c r="A8100" s="75">
        <v>42131503</v>
      </c>
      <c r="B8100" s="76" t="s">
        <v>11423</v>
      </c>
    </row>
    <row r="8101" spans="1:2" x14ac:dyDescent="0.25">
      <c r="A8101" s="75">
        <v>42131504</v>
      </c>
      <c r="B8101" s="76" t="s">
        <v>15808</v>
      </c>
    </row>
    <row r="8102" spans="1:2" x14ac:dyDescent="0.25">
      <c r="A8102" s="75">
        <v>42131505</v>
      </c>
      <c r="B8102" s="76" t="s">
        <v>13485</v>
      </c>
    </row>
    <row r="8103" spans="1:2" x14ac:dyDescent="0.25">
      <c r="A8103" s="75">
        <v>42131506</v>
      </c>
      <c r="B8103" s="76" t="s">
        <v>6816</v>
      </c>
    </row>
    <row r="8104" spans="1:2" x14ac:dyDescent="0.25">
      <c r="A8104" s="75">
        <v>42131507</v>
      </c>
      <c r="B8104" s="76" t="s">
        <v>11038</v>
      </c>
    </row>
    <row r="8105" spans="1:2" x14ac:dyDescent="0.25">
      <c r="A8105" s="75">
        <v>42131508</v>
      </c>
      <c r="B8105" s="76" t="s">
        <v>9158</v>
      </c>
    </row>
    <row r="8106" spans="1:2" x14ac:dyDescent="0.25">
      <c r="A8106" s="75">
        <v>42131509</v>
      </c>
      <c r="B8106" s="76" t="s">
        <v>14400</v>
      </c>
    </row>
    <row r="8107" spans="1:2" x14ac:dyDescent="0.25">
      <c r="A8107" s="75">
        <v>42131510</v>
      </c>
      <c r="B8107" s="76" t="s">
        <v>14746</v>
      </c>
    </row>
    <row r="8108" spans="1:2" x14ac:dyDescent="0.25">
      <c r="A8108" s="75">
        <v>42131601</v>
      </c>
      <c r="B8108" s="76" t="s">
        <v>7772</v>
      </c>
    </row>
    <row r="8109" spans="1:2" x14ac:dyDescent="0.25">
      <c r="A8109" s="75">
        <v>42131602</v>
      </c>
      <c r="B8109" s="76" t="s">
        <v>14313</v>
      </c>
    </row>
    <row r="8110" spans="1:2" x14ac:dyDescent="0.25">
      <c r="A8110" s="75">
        <v>42131603</v>
      </c>
      <c r="B8110" s="76" t="s">
        <v>17613</v>
      </c>
    </row>
    <row r="8111" spans="1:2" x14ac:dyDescent="0.25">
      <c r="A8111" s="75">
        <v>42131604</v>
      </c>
      <c r="B8111" s="76" t="s">
        <v>1596</v>
      </c>
    </row>
    <row r="8112" spans="1:2" x14ac:dyDescent="0.25">
      <c r="A8112" s="75">
        <v>42131605</v>
      </c>
      <c r="B8112" s="76" t="s">
        <v>16633</v>
      </c>
    </row>
    <row r="8113" spans="1:2" x14ac:dyDescent="0.25">
      <c r="A8113" s="75">
        <v>42131606</v>
      </c>
      <c r="B8113" s="76" t="s">
        <v>7751</v>
      </c>
    </row>
    <row r="8114" spans="1:2" x14ac:dyDescent="0.25">
      <c r="A8114" s="75">
        <v>42131607</v>
      </c>
      <c r="B8114" s="76" t="s">
        <v>1185</v>
      </c>
    </row>
    <row r="8115" spans="1:2" x14ac:dyDescent="0.25">
      <c r="A8115" s="75">
        <v>42131608</v>
      </c>
      <c r="B8115" s="76" t="s">
        <v>10577</v>
      </c>
    </row>
    <row r="8116" spans="1:2" x14ac:dyDescent="0.25">
      <c r="A8116" s="75">
        <v>42131609</v>
      </c>
      <c r="B8116" s="76" t="s">
        <v>51</v>
      </c>
    </row>
    <row r="8117" spans="1:2" x14ac:dyDescent="0.25">
      <c r="A8117" s="75">
        <v>42131610</v>
      </c>
      <c r="B8117" s="76" t="s">
        <v>11963</v>
      </c>
    </row>
    <row r="8118" spans="1:2" x14ac:dyDescent="0.25">
      <c r="A8118" s="75">
        <v>42131611</v>
      </c>
      <c r="B8118" s="76" t="s">
        <v>13332</v>
      </c>
    </row>
    <row r="8119" spans="1:2" x14ac:dyDescent="0.25">
      <c r="A8119" s="75">
        <v>42131612</v>
      </c>
      <c r="B8119" s="76" t="s">
        <v>18362</v>
      </c>
    </row>
    <row r="8120" spans="1:2" x14ac:dyDescent="0.25">
      <c r="A8120" s="75">
        <v>42131613</v>
      </c>
      <c r="B8120" s="76" t="s">
        <v>7682</v>
      </c>
    </row>
    <row r="8121" spans="1:2" x14ac:dyDescent="0.25">
      <c r="A8121" s="75">
        <v>42131701</v>
      </c>
      <c r="B8121" s="76" t="s">
        <v>5518</v>
      </c>
    </row>
    <row r="8122" spans="1:2" x14ac:dyDescent="0.25">
      <c r="A8122" s="75">
        <v>42131702</v>
      </c>
      <c r="B8122" s="76" t="s">
        <v>14870</v>
      </c>
    </row>
    <row r="8123" spans="1:2" x14ac:dyDescent="0.25">
      <c r="A8123" s="75">
        <v>42131703</v>
      </c>
      <c r="B8123" s="76" t="s">
        <v>19364</v>
      </c>
    </row>
    <row r="8124" spans="1:2" x14ac:dyDescent="0.25">
      <c r="A8124" s="75">
        <v>42131704</v>
      </c>
      <c r="B8124" s="76" t="s">
        <v>8</v>
      </c>
    </row>
    <row r="8125" spans="1:2" x14ac:dyDescent="0.25">
      <c r="A8125" s="75">
        <v>42131705</v>
      </c>
      <c r="B8125" s="76" t="s">
        <v>19705</v>
      </c>
    </row>
    <row r="8126" spans="1:2" x14ac:dyDescent="0.25">
      <c r="A8126" s="75">
        <v>42131706</v>
      </c>
      <c r="B8126" s="76" t="s">
        <v>10107</v>
      </c>
    </row>
    <row r="8127" spans="1:2" x14ac:dyDescent="0.25">
      <c r="A8127" s="75">
        <v>42131707</v>
      </c>
      <c r="B8127" s="76" t="s">
        <v>18758</v>
      </c>
    </row>
    <row r="8128" spans="1:2" x14ac:dyDescent="0.25">
      <c r="A8128" s="75">
        <v>42132101</v>
      </c>
      <c r="B8128" s="76" t="s">
        <v>14544</v>
      </c>
    </row>
    <row r="8129" spans="1:2" x14ac:dyDescent="0.25">
      <c r="A8129" s="75">
        <v>42132102</v>
      </c>
      <c r="B8129" s="76" t="s">
        <v>9993</v>
      </c>
    </row>
    <row r="8130" spans="1:2" x14ac:dyDescent="0.25">
      <c r="A8130" s="75">
        <v>42132103</v>
      </c>
      <c r="B8130" s="76" t="s">
        <v>10221</v>
      </c>
    </row>
    <row r="8131" spans="1:2" x14ac:dyDescent="0.25">
      <c r="A8131" s="75">
        <v>42132104</v>
      </c>
      <c r="B8131" s="76" t="s">
        <v>11110</v>
      </c>
    </row>
    <row r="8132" spans="1:2" x14ac:dyDescent="0.25">
      <c r="A8132" s="75">
        <v>42132105</v>
      </c>
      <c r="B8132" s="76" t="s">
        <v>9690</v>
      </c>
    </row>
    <row r="8133" spans="1:2" x14ac:dyDescent="0.25">
      <c r="A8133" s="75">
        <v>42132106</v>
      </c>
      <c r="B8133" s="76" t="s">
        <v>14361</v>
      </c>
    </row>
    <row r="8134" spans="1:2" x14ac:dyDescent="0.25">
      <c r="A8134" s="75">
        <v>42132107</v>
      </c>
      <c r="B8134" s="76" t="s">
        <v>18290</v>
      </c>
    </row>
    <row r="8135" spans="1:2" x14ac:dyDescent="0.25">
      <c r="A8135" s="75">
        <v>42132108</v>
      </c>
      <c r="B8135" s="76" t="s">
        <v>2248</v>
      </c>
    </row>
    <row r="8136" spans="1:2" x14ac:dyDescent="0.25">
      <c r="A8136" s="75">
        <v>42132201</v>
      </c>
      <c r="B8136" s="76" t="s">
        <v>4233</v>
      </c>
    </row>
    <row r="8137" spans="1:2" x14ac:dyDescent="0.25">
      <c r="A8137" s="75">
        <v>42132202</v>
      </c>
      <c r="B8137" s="76" t="s">
        <v>15151</v>
      </c>
    </row>
    <row r="8138" spans="1:2" x14ac:dyDescent="0.25">
      <c r="A8138" s="75">
        <v>42132203</v>
      </c>
      <c r="B8138" s="76" t="s">
        <v>18281</v>
      </c>
    </row>
    <row r="8139" spans="1:2" x14ac:dyDescent="0.25">
      <c r="A8139" s="75">
        <v>42132204</v>
      </c>
      <c r="B8139" s="76" t="s">
        <v>1218</v>
      </c>
    </row>
    <row r="8140" spans="1:2" x14ac:dyDescent="0.25">
      <c r="A8140" s="75">
        <v>42132205</v>
      </c>
      <c r="B8140" s="76" t="s">
        <v>17265</v>
      </c>
    </row>
    <row r="8141" spans="1:2" x14ac:dyDescent="0.25">
      <c r="A8141" s="75">
        <v>42141501</v>
      </c>
      <c r="B8141" s="76" t="s">
        <v>15370</v>
      </c>
    </row>
    <row r="8142" spans="1:2" x14ac:dyDescent="0.25">
      <c r="A8142" s="75">
        <v>42141502</v>
      </c>
      <c r="B8142" s="76" t="s">
        <v>19003</v>
      </c>
    </row>
    <row r="8143" spans="1:2" x14ac:dyDescent="0.25">
      <c r="A8143" s="75">
        <v>42141503</v>
      </c>
      <c r="B8143" s="76" t="s">
        <v>18282</v>
      </c>
    </row>
    <row r="8144" spans="1:2" x14ac:dyDescent="0.25">
      <c r="A8144" s="75">
        <v>42141504</v>
      </c>
      <c r="B8144" s="76" t="s">
        <v>10733</v>
      </c>
    </row>
    <row r="8145" spans="1:2" x14ac:dyDescent="0.25">
      <c r="A8145" s="75">
        <v>42141601</v>
      </c>
      <c r="B8145" s="76" t="s">
        <v>18919</v>
      </c>
    </row>
    <row r="8146" spans="1:2" x14ac:dyDescent="0.25">
      <c r="A8146" s="75">
        <v>42141602</v>
      </c>
      <c r="B8146" s="76" t="s">
        <v>1612</v>
      </c>
    </row>
    <row r="8147" spans="1:2" x14ac:dyDescent="0.25">
      <c r="A8147" s="75">
        <v>42141603</v>
      </c>
      <c r="B8147" s="76" t="s">
        <v>5454</v>
      </c>
    </row>
    <row r="8148" spans="1:2" x14ac:dyDescent="0.25">
      <c r="A8148" s="75">
        <v>42141604</v>
      </c>
      <c r="B8148" s="76" t="s">
        <v>8672</v>
      </c>
    </row>
    <row r="8149" spans="1:2" x14ac:dyDescent="0.25">
      <c r="A8149" s="75">
        <v>42141605</v>
      </c>
      <c r="B8149" s="76" t="s">
        <v>7428</v>
      </c>
    </row>
    <row r="8150" spans="1:2" x14ac:dyDescent="0.25">
      <c r="A8150" s="75">
        <v>42141606</v>
      </c>
      <c r="B8150" s="76" t="s">
        <v>12873</v>
      </c>
    </row>
    <row r="8151" spans="1:2" x14ac:dyDescent="0.25">
      <c r="A8151" s="75">
        <v>42141607</v>
      </c>
      <c r="B8151" s="76" t="s">
        <v>760</v>
      </c>
    </row>
    <row r="8152" spans="1:2" x14ac:dyDescent="0.25">
      <c r="A8152" s="75">
        <v>42141701</v>
      </c>
      <c r="B8152" s="76" t="s">
        <v>14545</v>
      </c>
    </row>
    <row r="8153" spans="1:2" x14ac:dyDescent="0.25">
      <c r="A8153" s="75">
        <v>42141702</v>
      </c>
      <c r="B8153" s="76" t="s">
        <v>12935</v>
      </c>
    </row>
    <row r="8154" spans="1:2" x14ac:dyDescent="0.25">
      <c r="A8154" s="75">
        <v>42141703</v>
      </c>
      <c r="B8154" s="76" t="s">
        <v>6473</v>
      </c>
    </row>
    <row r="8155" spans="1:2" x14ac:dyDescent="0.25">
      <c r="A8155" s="75">
        <v>42141704</v>
      </c>
      <c r="B8155" s="76" t="s">
        <v>13252</v>
      </c>
    </row>
    <row r="8156" spans="1:2" x14ac:dyDescent="0.25">
      <c r="A8156" s="75">
        <v>42141705</v>
      </c>
      <c r="B8156" s="76" t="s">
        <v>19291</v>
      </c>
    </row>
    <row r="8157" spans="1:2" x14ac:dyDescent="0.25">
      <c r="A8157" s="75">
        <v>42141801</v>
      </c>
      <c r="B8157" s="76" t="s">
        <v>11403</v>
      </c>
    </row>
    <row r="8158" spans="1:2" x14ac:dyDescent="0.25">
      <c r="A8158" s="75">
        <v>42141802</v>
      </c>
      <c r="B8158" s="76" t="s">
        <v>16407</v>
      </c>
    </row>
    <row r="8159" spans="1:2" x14ac:dyDescent="0.25">
      <c r="A8159" s="75">
        <v>42141803</v>
      </c>
      <c r="B8159" s="76" t="s">
        <v>19793</v>
      </c>
    </row>
    <row r="8160" spans="1:2" x14ac:dyDescent="0.25">
      <c r="A8160" s="75">
        <v>42141804</v>
      </c>
      <c r="B8160" s="76" t="s">
        <v>12008</v>
      </c>
    </row>
    <row r="8161" spans="1:2" x14ac:dyDescent="0.25">
      <c r="A8161" s="75">
        <v>42141805</v>
      </c>
      <c r="B8161" s="76" t="s">
        <v>17012</v>
      </c>
    </row>
    <row r="8162" spans="1:2" x14ac:dyDescent="0.25">
      <c r="A8162" s="75">
        <v>42141806</v>
      </c>
      <c r="B8162" s="76" t="s">
        <v>3038</v>
      </c>
    </row>
    <row r="8163" spans="1:2" x14ac:dyDescent="0.25">
      <c r="A8163" s="75">
        <v>42141807</v>
      </c>
      <c r="B8163" s="76" t="s">
        <v>11890</v>
      </c>
    </row>
    <row r="8164" spans="1:2" x14ac:dyDescent="0.25">
      <c r="A8164" s="75">
        <v>42141808</v>
      </c>
      <c r="B8164" s="76" t="s">
        <v>19937</v>
      </c>
    </row>
    <row r="8165" spans="1:2" x14ac:dyDescent="0.25">
      <c r="A8165" s="75">
        <v>42141809</v>
      </c>
      <c r="B8165" s="76" t="s">
        <v>8146</v>
      </c>
    </row>
    <row r="8166" spans="1:2" x14ac:dyDescent="0.25">
      <c r="A8166" s="75">
        <v>42141901</v>
      </c>
      <c r="B8166" s="76" t="s">
        <v>4784</v>
      </c>
    </row>
    <row r="8167" spans="1:2" x14ac:dyDescent="0.25">
      <c r="A8167" s="75">
        <v>42141902</v>
      </c>
      <c r="B8167" s="76" t="s">
        <v>1842</v>
      </c>
    </row>
    <row r="8168" spans="1:2" x14ac:dyDescent="0.25">
      <c r="A8168" s="75">
        <v>42141903</v>
      </c>
      <c r="B8168" s="76" t="s">
        <v>6670</v>
      </c>
    </row>
    <row r="8169" spans="1:2" x14ac:dyDescent="0.25">
      <c r="A8169" s="75">
        <v>42141904</v>
      </c>
      <c r="B8169" s="76" t="s">
        <v>7183</v>
      </c>
    </row>
    <row r="8170" spans="1:2" x14ac:dyDescent="0.25">
      <c r="A8170" s="75">
        <v>42141905</v>
      </c>
      <c r="B8170" s="76" t="s">
        <v>3290</v>
      </c>
    </row>
    <row r="8171" spans="1:2" x14ac:dyDescent="0.25">
      <c r="A8171" s="75">
        <v>42142001</v>
      </c>
      <c r="B8171" s="76" t="s">
        <v>12717</v>
      </c>
    </row>
    <row r="8172" spans="1:2" x14ac:dyDescent="0.25">
      <c r="A8172" s="75">
        <v>42142002</v>
      </c>
      <c r="B8172" s="76" t="s">
        <v>14186</v>
      </c>
    </row>
    <row r="8173" spans="1:2" x14ac:dyDescent="0.25">
      <c r="A8173" s="75">
        <v>42142003</v>
      </c>
      <c r="B8173" s="76" t="s">
        <v>8176</v>
      </c>
    </row>
    <row r="8174" spans="1:2" x14ac:dyDescent="0.25">
      <c r="A8174" s="75">
        <v>42142004</v>
      </c>
      <c r="B8174" s="76" t="s">
        <v>11918</v>
      </c>
    </row>
    <row r="8175" spans="1:2" x14ac:dyDescent="0.25">
      <c r="A8175" s="75">
        <v>42142005</v>
      </c>
      <c r="B8175" s="76" t="s">
        <v>17179</v>
      </c>
    </row>
    <row r="8176" spans="1:2" x14ac:dyDescent="0.25">
      <c r="A8176" s="75">
        <v>42142006</v>
      </c>
      <c r="B8176" s="76" t="s">
        <v>887</v>
      </c>
    </row>
    <row r="8177" spans="1:2" x14ac:dyDescent="0.25">
      <c r="A8177" s="75">
        <v>42142007</v>
      </c>
      <c r="B8177" s="76" t="s">
        <v>18403</v>
      </c>
    </row>
    <row r="8178" spans="1:2" x14ac:dyDescent="0.25">
      <c r="A8178" s="75">
        <v>42142101</v>
      </c>
      <c r="B8178" s="76" t="s">
        <v>762</v>
      </c>
    </row>
    <row r="8179" spans="1:2" x14ac:dyDescent="0.25">
      <c r="A8179" s="75">
        <v>42142102</v>
      </c>
      <c r="B8179" s="76" t="s">
        <v>12312</v>
      </c>
    </row>
    <row r="8180" spans="1:2" x14ac:dyDescent="0.25">
      <c r="A8180" s="75">
        <v>42142103</v>
      </c>
      <c r="B8180" s="76" t="s">
        <v>8389</v>
      </c>
    </row>
    <row r="8181" spans="1:2" x14ac:dyDescent="0.25">
      <c r="A8181" s="75">
        <v>42142104</v>
      </c>
      <c r="B8181" s="76" t="s">
        <v>10866</v>
      </c>
    </row>
    <row r="8182" spans="1:2" x14ac:dyDescent="0.25">
      <c r="A8182" s="75">
        <v>42142105</v>
      </c>
      <c r="B8182" s="76" t="s">
        <v>13488</v>
      </c>
    </row>
    <row r="8183" spans="1:2" x14ac:dyDescent="0.25">
      <c r="A8183" s="75">
        <v>42142106</v>
      </c>
      <c r="B8183" s="76" t="s">
        <v>5514</v>
      </c>
    </row>
    <row r="8184" spans="1:2" x14ac:dyDescent="0.25">
      <c r="A8184" s="75">
        <v>42142107</v>
      </c>
      <c r="B8184" s="76" t="s">
        <v>2814</v>
      </c>
    </row>
    <row r="8185" spans="1:2" x14ac:dyDescent="0.25">
      <c r="A8185" s="75">
        <v>42142108</v>
      </c>
      <c r="B8185" s="76" t="s">
        <v>10962</v>
      </c>
    </row>
    <row r="8186" spans="1:2" x14ac:dyDescent="0.25">
      <c r="A8186" s="75">
        <v>42142109</v>
      </c>
      <c r="B8186" s="76" t="s">
        <v>1389</v>
      </c>
    </row>
    <row r="8187" spans="1:2" x14ac:dyDescent="0.25">
      <c r="A8187" s="75">
        <v>42142110</v>
      </c>
      <c r="B8187" s="76" t="s">
        <v>11462</v>
      </c>
    </row>
    <row r="8188" spans="1:2" x14ac:dyDescent="0.25">
      <c r="A8188" s="75">
        <v>42142111</v>
      </c>
      <c r="B8188" s="76" t="s">
        <v>2282</v>
      </c>
    </row>
    <row r="8189" spans="1:2" x14ac:dyDescent="0.25">
      <c r="A8189" s="75">
        <v>42142112</v>
      </c>
      <c r="B8189" s="76" t="s">
        <v>1071</v>
      </c>
    </row>
    <row r="8190" spans="1:2" x14ac:dyDescent="0.25">
      <c r="A8190" s="75">
        <v>42142113</v>
      </c>
      <c r="B8190" s="76" t="s">
        <v>3840</v>
      </c>
    </row>
    <row r="8191" spans="1:2" x14ac:dyDescent="0.25">
      <c r="A8191" s="75">
        <v>42142114</v>
      </c>
      <c r="B8191" s="76" t="s">
        <v>6633</v>
      </c>
    </row>
    <row r="8192" spans="1:2" x14ac:dyDescent="0.25">
      <c r="A8192" s="75">
        <v>42142119</v>
      </c>
      <c r="B8192" s="76" t="s">
        <v>1664</v>
      </c>
    </row>
    <row r="8193" spans="1:2" x14ac:dyDescent="0.25">
      <c r="A8193" s="75">
        <v>42142201</v>
      </c>
      <c r="B8193" s="76" t="s">
        <v>18172</v>
      </c>
    </row>
    <row r="8194" spans="1:2" x14ac:dyDescent="0.25">
      <c r="A8194" s="75">
        <v>42142202</v>
      </c>
      <c r="B8194" s="76" t="s">
        <v>19767</v>
      </c>
    </row>
    <row r="8195" spans="1:2" x14ac:dyDescent="0.25">
      <c r="A8195" s="75">
        <v>42142203</v>
      </c>
      <c r="B8195" s="76" t="s">
        <v>4313</v>
      </c>
    </row>
    <row r="8196" spans="1:2" x14ac:dyDescent="0.25">
      <c r="A8196" s="75">
        <v>42142204</v>
      </c>
      <c r="B8196" s="76" t="s">
        <v>10998</v>
      </c>
    </row>
    <row r="8197" spans="1:2" x14ac:dyDescent="0.25">
      <c r="A8197" s="75">
        <v>42142301</v>
      </c>
      <c r="B8197" s="76" t="s">
        <v>17760</v>
      </c>
    </row>
    <row r="8198" spans="1:2" x14ac:dyDescent="0.25">
      <c r="A8198" s="75">
        <v>42142302</v>
      </c>
      <c r="B8198" s="76" t="s">
        <v>481</v>
      </c>
    </row>
    <row r="8199" spans="1:2" x14ac:dyDescent="0.25">
      <c r="A8199" s="75">
        <v>42142303</v>
      </c>
      <c r="B8199" s="76" t="s">
        <v>10500</v>
      </c>
    </row>
    <row r="8200" spans="1:2" x14ac:dyDescent="0.25">
      <c r="A8200" s="75">
        <v>42142401</v>
      </c>
      <c r="B8200" s="76" t="s">
        <v>13073</v>
      </c>
    </row>
    <row r="8201" spans="1:2" x14ac:dyDescent="0.25">
      <c r="A8201" s="75">
        <v>42142402</v>
      </c>
      <c r="B8201" s="76" t="s">
        <v>2457</v>
      </c>
    </row>
    <row r="8202" spans="1:2" x14ac:dyDescent="0.25">
      <c r="A8202" s="75">
        <v>42142403</v>
      </c>
      <c r="B8202" s="76" t="s">
        <v>6538</v>
      </c>
    </row>
    <row r="8203" spans="1:2" x14ac:dyDescent="0.25">
      <c r="A8203" s="75">
        <v>42142404</v>
      </c>
      <c r="B8203" s="76" t="s">
        <v>5007</v>
      </c>
    </row>
    <row r="8204" spans="1:2" x14ac:dyDescent="0.25">
      <c r="A8204" s="75">
        <v>42142405</v>
      </c>
      <c r="B8204" s="76" t="s">
        <v>133</v>
      </c>
    </row>
    <row r="8205" spans="1:2" x14ac:dyDescent="0.25">
      <c r="A8205" s="75">
        <v>42142406</v>
      </c>
      <c r="B8205" s="76" t="s">
        <v>2879</v>
      </c>
    </row>
    <row r="8206" spans="1:2" x14ac:dyDescent="0.25">
      <c r="A8206" s="75">
        <v>42142407</v>
      </c>
      <c r="B8206" s="76" t="s">
        <v>5746</v>
      </c>
    </row>
    <row r="8207" spans="1:2" x14ac:dyDescent="0.25">
      <c r="A8207" s="75">
        <v>42142501</v>
      </c>
      <c r="B8207" s="76" t="s">
        <v>17117</v>
      </c>
    </row>
    <row r="8208" spans="1:2" x14ac:dyDescent="0.25">
      <c r="A8208" s="75">
        <v>42142502</v>
      </c>
      <c r="B8208" s="76" t="s">
        <v>12533</v>
      </c>
    </row>
    <row r="8209" spans="1:2" x14ac:dyDescent="0.25">
      <c r="A8209" s="75">
        <v>42142503</v>
      </c>
      <c r="B8209" s="76" t="s">
        <v>3934</v>
      </c>
    </row>
    <row r="8210" spans="1:2" x14ac:dyDescent="0.25">
      <c r="A8210" s="75">
        <v>42142504</v>
      </c>
      <c r="B8210" s="76" t="s">
        <v>14768</v>
      </c>
    </row>
    <row r="8211" spans="1:2" x14ac:dyDescent="0.25">
      <c r="A8211" s="75">
        <v>42142505</v>
      </c>
      <c r="B8211" s="76" t="s">
        <v>14586</v>
      </c>
    </row>
    <row r="8212" spans="1:2" x14ac:dyDescent="0.25">
      <c r="A8212" s="75">
        <v>42142506</v>
      </c>
      <c r="B8212" s="76" t="s">
        <v>14736</v>
      </c>
    </row>
    <row r="8213" spans="1:2" x14ac:dyDescent="0.25">
      <c r="A8213" s="75">
        <v>42142507</v>
      </c>
      <c r="B8213" s="76" t="s">
        <v>14594</v>
      </c>
    </row>
    <row r="8214" spans="1:2" x14ac:dyDescent="0.25">
      <c r="A8214" s="75">
        <v>42142509</v>
      </c>
      <c r="B8214" s="76" t="s">
        <v>2370</v>
      </c>
    </row>
    <row r="8215" spans="1:2" x14ac:dyDescent="0.25">
      <c r="A8215" s="75">
        <v>42142510</v>
      </c>
      <c r="B8215" s="76" t="s">
        <v>9789</v>
      </c>
    </row>
    <row r="8216" spans="1:2" x14ac:dyDescent="0.25">
      <c r="A8216" s="75">
        <v>42142511</v>
      </c>
      <c r="B8216" s="76" t="s">
        <v>13542</v>
      </c>
    </row>
    <row r="8217" spans="1:2" x14ac:dyDescent="0.25">
      <c r="A8217" s="75">
        <v>42142512</v>
      </c>
      <c r="B8217" s="76" t="s">
        <v>5857</v>
      </c>
    </row>
    <row r="8218" spans="1:2" x14ac:dyDescent="0.25">
      <c r="A8218" s="75">
        <v>42142513</v>
      </c>
      <c r="B8218" s="76" t="s">
        <v>407</v>
      </c>
    </row>
    <row r="8219" spans="1:2" x14ac:dyDescent="0.25">
      <c r="A8219" s="75">
        <v>42142514</v>
      </c>
      <c r="B8219" s="76" t="s">
        <v>13286</v>
      </c>
    </row>
    <row r="8220" spans="1:2" x14ac:dyDescent="0.25">
      <c r="A8220" s="75">
        <v>42142515</v>
      </c>
      <c r="B8220" s="76" t="s">
        <v>5068</v>
      </c>
    </row>
    <row r="8221" spans="1:2" x14ac:dyDescent="0.25">
      <c r="A8221" s="75">
        <v>42142516</v>
      </c>
      <c r="B8221" s="76" t="s">
        <v>10216</v>
      </c>
    </row>
    <row r="8222" spans="1:2" x14ac:dyDescent="0.25">
      <c r="A8222" s="75">
        <v>42142517</v>
      </c>
      <c r="B8222" s="76" t="s">
        <v>3852</v>
      </c>
    </row>
    <row r="8223" spans="1:2" x14ac:dyDescent="0.25">
      <c r="A8223" s="75">
        <v>42142518</v>
      </c>
      <c r="B8223" s="76" t="s">
        <v>6297</v>
      </c>
    </row>
    <row r="8224" spans="1:2" x14ac:dyDescent="0.25">
      <c r="A8224" s="75">
        <v>42142519</v>
      </c>
      <c r="B8224" s="76" t="s">
        <v>2462</v>
      </c>
    </row>
    <row r="8225" spans="1:2" x14ac:dyDescent="0.25">
      <c r="A8225" s="75">
        <v>42142520</v>
      </c>
      <c r="B8225" s="76" t="s">
        <v>15094</v>
      </c>
    </row>
    <row r="8226" spans="1:2" x14ac:dyDescent="0.25">
      <c r="A8226" s="75">
        <v>42142521</v>
      </c>
      <c r="B8226" s="76" t="s">
        <v>10169</v>
      </c>
    </row>
    <row r="8227" spans="1:2" x14ac:dyDescent="0.25">
      <c r="A8227" s="75">
        <v>42142522</v>
      </c>
      <c r="B8227" s="76" t="s">
        <v>1181</v>
      </c>
    </row>
    <row r="8228" spans="1:2" x14ac:dyDescent="0.25">
      <c r="A8228" s="75">
        <v>42142523</v>
      </c>
      <c r="B8228" s="76" t="s">
        <v>18907</v>
      </c>
    </row>
    <row r="8229" spans="1:2" x14ac:dyDescent="0.25">
      <c r="A8229" s="75">
        <v>42142524</v>
      </c>
      <c r="B8229" s="76" t="s">
        <v>3390</v>
      </c>
    </row>
    <row r="8230" spans="1:2" x14ac:dyDescent="0.25">
      <c r="A8230" s="75">
        <v>42142525</v>
      </c>
      <c r="B8230" s="76" t="s">
        <v>11884</v>
      </c>
    </row>
    <row r="8231" spans="1:2" x14ac:dyDescent="0.25">
      <c r="A8231" s="75">
        <v>42142526</v>
      </c>
      <c r="B8231" s="76" t="s">
        <v>16973</v>
      </c>
    </row>
    <row r="8232" spans="1:2" x14ac:dyDescent="0.25">
      <c r="A8232" s="75">
        <v>42142527</v>
      </c>
      <c r="B8232" s="76" t="s">
        <v>12297</v>
      </c>
    </row>
    <row r="8233" spans="1:2" x14ac:dyDescent="0.25">
      <c r="A8233" s="75">
        <v>42142528</v>
      </c>
      <c r="B8233" s="76" t="s">
        <v>14578</v>
      </c>
    </row>
    <row r="8234" spans="1:2" x14ac:dyDescent="0.25">
      <c r="A8234" s="75">
        <v>42142529</v>
      </c>
      <c r="B8234" s="76" t="s">
        <v>9068</v>
      </c>
    </row>
    <row r="8235" spans="1:2" x14ac:dyDescent="0.25">
      <c r="A8235" s="75">
        <v>42142530</v>
      </c>
      <c r="B8235" s="76" t="s">
        <v>10753</v>
      </c>
    </row>
    <row r="8236" spans="1:2" x14ac:dyDescent="0.25">
      <c r="A8236" s="75">
        <v>42142531</v>
      </c>
      <c r="B8236" s="76" t="s">
        <v>15315</v>
      </c>
    </row>
    <row r="8237" spans="1:2" x14ac:dyDescent="0.25">
      <c r="A8237" s="75">
        <v>42142532</v>
      </c>
      <c r="B8237" s="76" t="s">
        <v>4996</v>
      </c>
    </row>
    <row r="8238" spans="1:2" x14ac:dyDescent="0.25">
      <c r="A8238" s="75">
        <v>42142601</v>
      </c>
      <c r="B8238" s="76" t="s">
        <v>15440</v>
      </c>
    </row>
    <row r="8239" spans="1:2" x14ac:dyDescent="0.25">
      <c r="A8239" s="75">
        <v>42142602</v>
      </c>
      <c r="B8239" s="76" t="s">
        <v>3937</v>
      </c>
    </row>
    <row r="8240" spans="1:2" x14ac:dyDescent="0.25">
      <c r="A8240" s="75">
        <v>42142603</v>
      </c>
      <c r="B8240" s="76" t="s">
        <v>14726</v>
      </c>
    </row>
    <row r="8241" spans="1:2" x14ac:dyDescent="0.25">
      <c r="A8241" s="75">
        <v>42142604</v>
      </c>
      <c r="B8241" s="76" t="s">
        <v>9128</v>
      </c>
    </row>
    <row r="8242" spans="1:2" x14ac:dyDescent="0.25">
      <c r="A8242" s="75">
        <v>42142605</v>
      </c>
      <c r="B8242" s="76" t="s">
        <v>4197</v>
      </c>
    </row>
    <row r="8243" spans="1:2" x14ac:dyDescent="0.25">
      <c r="A8243" s="75">
        <v>42142606</v>
      </c>
      <c r="B8243" s="76" t="s">
        <v>13972</v>
      </c>
    </row>
    <row r="8244" spans="1:2" x14ac:dyDescent="0.25">
      <c r="A8244" s="75">
        <v>42142607</v>
      </c>
      <c r="B8244" s="76" t="s">
        <v>18556</v>
      </c>
    </row>
    <row r="8245" spans="1:2" x14ac:dyDescent="0.25">
      <c r="A8245" s="75">
        <v>42142608</v>
      </c>
      <c r="B8245" s="76" t="s">
        <v>2567</v>
      </c>
    </row>
    <row r="8246" spans="1:2" x14ac:dyDescent="0.25">
      <c r="A8246" s="75">
        <v>42142609</v>
      </c>
      <c r="B8246" s="76" t="s">
        <v>3066</v>
      </c>
    </row>
    <row r="8247" spans="1:2" x14ac:dyDescent="0.25">
      <c r="A8247" s="75">
        <v>42142610</v>
      </c>
      <c r="B8247" s="76" t="s">
        <v>8275</v>
      </c>
    </row>
    <row r="8248" spans="1:2" x14ac:dyDescent="0.25">
      <c r="A8248" s="75">
        <v>42142611</v>
      </c>
      <c r="B8248" s="76" t="s">
        <v>9359</v>
      </c>
    </row>
    <row r="8249" spans="1:2" x14ac:dyDescent="0.25">
      <c r="A8249" s="75">
        <v>42142612</v>
      </c>
      <c r="B8249" s="76" t="s">
        <v>8340</v>
      </c>
    </row>
    <row r="8250" spans="1:2" x14ac:dyDescent="0.25">
      <c r="A8250" s="75">
        <v>42142613</v>
      </c>
      <c r="B8250" s="76" t="s">
        <v>14232</v>
      </c>
    </row>
    <row r="8251" spans="1:2" x14ac:dyDescent="0.25">
      <c r="A8251" s="75">
        <v>42142614</v>
      </c>
      <c r="B8251" s="76" t="s">
        <v>10222</v>
      </c>
    </row>
    <row r="8252" spans="1:2" x14ac:dyDescent="0.25">
      <c r="A8252" s="75">
        <v>42142615</v>
      </c>
      <c r="B8252" s="76" t="s">
        <v>2745</v>
      </c>
    </row>
    <row r="8253" spans="1:2" x14ac:dyDescent="0.25">
      <c r="A8253" s="75">
        <v>42142616</v>
      </c>
      <c r="B8253" s="76" t="s">
        <v>5313</v>
      </c>
    </row>
    <row r="8254" spans="1:2" x14ac:dyDescent="0.25">
      <c r="A8254" s="75">
        <v>42142617</v>
      </c>
      <c r="B8254" s="76" t="s">
        <v>8542</v>
      </c>
    </row>
    <row r="8255" spans="1:2" x14ac:dyDescent="0.25">
      <c r="A8255" s="75">
        <v>42142618</v>
      </c>
      <c r="B8255" s="76" t="s">
        <v>20065</v>
      </c>
    </row>
    <row r="8256" spans="1:2" x14ac:dyDescent="0.25">
      <c r="A8256" s="75">
        <v>42142701</v>
      </c>
      <c r="B8256" s="76" t="s">
        <v>14404</v>
      </c>
    </row>
    <row r="8257" spans="1:2" x14ac:dyDescent="0.25">
      <c r="A8257" s="75">
        <v>42142702</v>
      </c>
      <c r="B8257" s="76" t="s">
        <v>8505</v>
      </c>
    </row>
    <row r="8258" spans="1:2" x14ac:dyDescent="0.25">
      <c r="A8258" s="75">
        <v>42142703</v>
      </c>
      <c r="B8258" s="76" t="s">
        <v>13901</v>
      </c>
    </row>
    <row r="8259" spans="1:2" x14ac:dyDescent="0.25">
      <c r="A8259" s="75">
        <v>42142704</v>
      </c>
      <c r="B8259" s="76" t="s">
        <v>18063</v>
      </c>
    </row>
    <row r="8260" spans="1:2" x14ac:dyDescent="0.25">
      <c r="A8260" s="75">
        <v>42142705</v>
      </c>
      <c r="B8260" s="76" t="s">
        <v>8060</v>
      </c>
    </row>
    <row r="8261" spans="1:2" x14ac:dyDescent="0.25">
      <c r="A8261" s="75">
        <v>42142706</v>
      </c>
      <c r="B8261" s="76" t="s">
        <v>194</v>
      </c>
    </row>
    <row r="8262" spans="1:2" x14ac:dyDescent="0.25">
      <c r="A8262" s="75">
        <v>42142707</v>
      </c>
      <c r="B8262" s="76" t="s">
        <v>1669</v>
      </c>
    </row>
    <row r="8263" spans="1:2" x14ac:dyDescent="0.25">
      <c r="A8263" s="75">
        <v>42142708</v>
      </c>
      <c r="B8263" s="76" t="s">
        <v>16868</v>
      </c>
    </row>
    <row r="8264" spans="1:2" x14ac:dyDescent="0.25">
      <c r="A8264" s="75">
        <v>42142709</v>
      </c>
      <c r="B8264" s="76" t="s">
        <v>8571</v>
      </c>
    </row>
    <row r="8265" spans="1:2" x14ac:dyDescent="0.25">
      <c r="A8265" s="75">
        <v>42142710</v>
      </c>
      <c r="B8265" s="76" t="s">
        <v>13250</v>
      </c>
    </row>
    <row r="8266" spans="1:2" x14ac:dyDescent="0.25">
      <c r="A8266" s="75">
        <v>42142711</v>
      </c>
      <c r="B8266" s="76" t="s">
        <v>673</v>
      </c>
    </row>
    <row r="8267" spans="1:2" x14ac:dyDescent="0.25">
      <c r="A8267" s="75">
        <v>42142712</v>
      </c>
      <c r="B8267" s="76" t="s">
        <v>4842</v>
      </c>
    </row>
    <row r="8268" spans="1:2" x14ac:dyDescent="0.25">
      <c r="A8268" s="75">
        <v>42142713</v>
      </c>
      <c r="B8268" s="76" t="s">
        <v>1455</v>
      </c>
    </row>
    <row r="8269" spans="1:2" x14ac:dyDescent="0.25">
      <c r="A8269" s="75">
        <v>42142714</v>
      </c>
      <c r="B8269" s="76" t="s">
        <v>6477</v>
      </c>
    </row>
    <row r="8270" spans="1:2" x14ac:dyDescent="0.25">
      <c r="A8270" s="75">
        <v>42142715</v>
      </c>
      <c r="B8270" s="76" t="s">
        <v>5911</v>
      </c>
    </row>
    <row r="8271" spans="1:2" x14ac:dyDescent="0.25">
      <c r="A8271" s="75">
        <v>42142716</v>
      </c>
      <c r="B8271" s="76" t="s">
        <v>14561</v>
      </c>
    </row>
    <row r="8272" spans="1:2" x14ac:dyDescent="0.25">
      <c r="A8272" s="75">
        <v>42142801</v>
      </c>
      <c r="B8272" s="76" t="s">
        <v>2877</v>
      </c>
    </row>
    <row r="8273" spans="1:2" x14ac:dyDescent="0.25">
      <c r="A8273" s="75">
        <v>42142802</v>
      </c>
      <c r="B8273" s="76" t="s">
        <v>3124</v>
      </c>
    </row>
    <row r="8274" spans="1:2" x14ac:dyDescent="0.25">
      <c r="A8274" s="75">
        <v>42142901</v>
      </c>
      <c r="B8274" s="76" t="s">
        <v>13018</v>
      </c>
    </row>
    <row r="8275" spans="1:2" x14ac:dyDescent="0.25">
      <c r="A8275" s="75">
        <v>42142902</v>
      </c>
      <c r="B8275" s="76" t="s">
        <v>6130</v>
      </c>
    </row>
    <row r="8276" spans="1:2" x14ac:dyDescent="0.25">
      <c r="A8276" s="75">
        <v>42142903</v>
      </c>
      <c r="B8276" s="76" t="s">
        <v>19831</v>
      </c>
    </row>
    <row r="8277" spans="1:2" x14ac:dyDescent="0.25">
      <c r="A8277" s="75">
        <v>42142904</v>
      </c>
      <c r="B8277" s="76" t="s">
        <v>3602</v>
      </c>
    </row>
    <row r="8278" spans="1:2" x14ac:dyDescent="0.25">
      <c r="A8278" s="75">
        <v>42142905</v>
      </c>
      <c r="B8278" s="76" t="s">
        <v>13709</v>
      </c>
    </row>
    <row r="8279" spans="1:2" x14ac:dyDescent="0.25">
      <c r="A8279" s="75">
        <v>42142906</v>
      </c>
      <c r="B8279" s="76" t="s">
        <v>18982</v>
      </c>
    </row>
    <row r="8280" spans="1:2" x14ac:dyDescent="0.25">
      <c r="A8280" s="75">
        <v>42142907</v>
      </c>
      <c r="B8280" s="76" t="s">
        <v>7802</v>
      </c>
    </row>
    <row r="8281" spans="1:2" x14ac:dyDescent="0.25">
      <c r="A8281" s="75">
        <v>42142908</v>
      </c>
      <c r="B8281" s="76" t="s">
        <v>17462</v>
      </c>
    </row>
    <row r="8282" spans="1:2" x14ac:dyDescent="0.25">
      <c r="A8282" s="75">
        <v>42142909</v>
      </c>
      <c r="B8282" s="76" t="s">
        <v>11065</v>
      </c>
    </row>
    <row r="8283" spans="1:2" x14ac:dyDescent="0.25">
      <c r="A8283" s="75">
        <v>42142910</v>
      </c>
      <c r="B8283" s="76" t="s">
        <v>13538</v>
      </c>
    </row>
    <row r="8284" spans="1:2" x14ac:dyDescent="0.25">
      <c r="A8284" s="75">
        <v>42142911</v>
      </c>
      <c r="B8284" s="76" t="s">
        <v>1698</v>
      </c>
    </row>
    <row r="8285" spans="1:2" x14ac:dyDescent="0.25">
      <c r="A8285" s="75">
        <v>42142912</v>
      </c>
      <c r="B8285" s="76" t="s">
        <v>11901</v>
      </c>
    </row>
    <row r="8286" spans="1:2" x14ac:dyDescent="0.25">
      <c r="A8286" s="75">
        <v>42142913</v>
      </c>
      <c r="B8286" s="76" t="s">
        <v>5982</v>
      </c>
    </row>
    <row r="8287" spans="1:2" x14ac:dyDescent="0.25">
      <c r="A8287" s="75">
        <v>42143101</v>
      </c>
      <c r="B8287" s="76" t="s">
        <v>9820</v>
      </c>
    </row>
    <row r="8288" spans="1:2" x14ac:dyDescent="0.25">
      <c r="A8288" s="75">
        <v>42143102</v>
      </c>
      <c r="B8288" s="76" t="s">
        <v>15224</v>
      </c>
    </row>
    <row r="8289" spans="1:2" x14ac:dyDescent="0.25">
      <c r="A8289" s="75">
        <v>42143103</v>
      </c>
      <c r="B8289" s="76" t="s">
        <v>15414</v>
      </c>
    </row>
    <row r="8290" spans="1:2" x14ac:dyDescent="0.25">
      <c r="A8290" s="75">
        <v>42143104</v>
      </c>
      <c r="B8290" s="76" t="s">
        <v>17986</v>
      </c>
    </row>
    <row r="8291" spans="1:2" x14ac:dyDescent="0.25">
      <c r="A8291" s="75">
        <v>42143105</v>
      </c>
      <c r="B8291" s="76" t="s">
        <v>3401</v>
      </c>
    </row>
    <row r="8292" spans="1:2" x14ac:dyDescent="0.25">
      <c r="A8292" s="75">
        <v>42143106</v>
      </c>
      <c r="B8292" s="76" t="s">
        <v>8469</v>
      </c>
    </row>
    <row r="8293" spans="1:2" x14ac:dyDescent="0.25">
      <c r="A8293" s="75">
        <v>42143201</v>
      </c>
      <c r="B8293" s="76" t="s">
        <v>1240</v>
      </c>
    </row>
    <row r="8294" spans="1:2" x14ac:dyDescent="0.25">
      <c r="A8294" s="75">
        <v>42143202</v>
      </c>
      <c r="B8294" s="76" t="s">
        <v>231</v>
      </c>
    </row>
    <row r="8295" spans="1:2" x14ac:dyDescent="0.25">
      <c r="A8295" s="75">
        <v>42143301</v>
      </c>
      <c r="B8295" s="76" t="s">
        <v>2651</v>
      </c>
    </row>
    <row r="8296" spans="1:2" x14ac:dyDescent="0.25">
      <c r="A8296" s="75">
        <v>42143401</v>
      </c>
      <c r="B8296" s="76" t="s">
        <v>16078</v>
      </c>
    </row>
    <row r="8297" spans="1:2" x14ac:dyDescent="0.25">
      <c r="A8297" s="75">
        <v>42143501</v>
      </c>
      <c r="B8297" s="76" t="s">
        <v>18438</v>
      </c>
    </row>
    <row r="8298" spans="1:2" x14ac:dyDescent="0.25">
      <c r="A8298" s="75">
        <v>42143502</v>
      </c>
      <c r="B8298" s="76" t="s">
        <v>7599</v>
      </c>
    </row>
    <row r="8299" spans="1:2" x14ac:dyDescent="0.25">
      <c r="A8299" s="75">
        <v>42143503</v>
      </c>
      <c r="B8299" s="76" t="s">
        <v>19648</v>
      </c>
    </row>
    <row r="8300" spans="1:2" x14ac:dyDescent="0.25">
      <c r="A8300" s="75">
        <v>42143504</v>
      </c>
      <c r="B8300" s="76" t="s">
        <v>14787</v>
      </c>
    </row>
    <row r="8301" spans="1:2" x14ac:dyDescent="0.25">
      <c r="A8301" s="75">
        <v>42143505</v>
      </c>
      <c r="B8301" s="76" t="s">
        <v>19413</v>
      </c>
    </row>
    <row r="8302" spans="1:2" x14ac:dyDescent="0.25">
      <c r="A8302" s="75">
        <v>42143506</v>
      </c>
      <c r="B8302" s="76" t="s">
        <v>1711</v>
      </c>
    </row>
    <row r="8303" spans="1:2" x14ac:dyDescent="0.25">
      <c r="A8303" s="75">
        <v>42143507</v>
      </c>
      <c r="B8303" s="76" t="s">
        <v>10726</v>
      </c>
    </row>
    <row r="8304" spans="1:2" x14ac:dyDescent="0.25">
      <c r="A8304" s="75">
        <v>42143508</v>
      </c>
      <c r="B8304" s="76" t="s">
        <v>856</v>
      </c>
    </row>
    <row r="8305" spans="1:2" x14ac:dyDescent="0.25">
      <c r="A8305" s="75">
        <v>42143509</v>
      </c>
      <c r="B8305" s="76" t="s">
        <v>8546</v>
      </c>
    </row>
    <row r="8306" spans="1:2" x14ac:dyDescent="0.25">
      <c r="A8306" s="75">
        <v>42143510</v>
      </c>
      <c r="B8306" s="76" t="s">
        <v>13728</v>
      </c>
    </row>
    <row r="8307" spans="1:2" x14ac:dyDescent="0.25">
      <c r="A8307" s="75">
        <v>42143511</v>
      </c>
      <c r="B8307" s="76" t="s">
        <v>7166</v>
      </c>
    </row>
    <row r="8308" spans="1:2" x14ac:dyDescent="0.25">
      <c r="A8308" s="75">
        <v>42143512</v>
      </c>
      <c r="B8308" s="76" t="s">
        <v>8818</v>
      </c>
    </row>
    <row r="8309" spans="1:2" x14ac:dyDescent="0.25">
      <c r="A8309" s="75">
        <v>42143513</v>
      </c>
      <c r="B8309" s="76" t="s">
        <v>13610</v>
      </c>
    </row>
    <row r="8310" spans="1:2" x14ac:dyDescent="0.25">
      <c r="A8310" s="75">
        <v>42143601</v>
      </c>
      <c r="B8310" s="76" t="s">
        <v>4990</v>
      </c>
    </row>
    <row r="8311" spans="1:2" x14ac:dyDescent="0.25">
      <c r="A8311" s="75">
        <v>42143602</v>
      </c>
      <c r="B8311" s="76" t="s">
        <v>1143</v>
      </c>
    </row>
    <row r="8312" spans="1:2" x14ac:dyDescent="0.25">
      <c r="A8312" s="75">
        <v>42143603</v>
      </c>
      <c r="B8312" s="76" t="s">
        <v>800</v>
      </c>
    </row>
    <row r="8313" spans="1:2" x14ac:dyDescent="0.25">
      <c r="A8313" s="75">
        <v>42143604</v>
      </c>
      <c r="B8313" s="76" t="s">
        <v>15975</v>
      </c>
    </row>
    <row r="8314" spans="1:2" x14ac:dyDescent="0.25">
      <c r="A8314" s="75">
        <v>42143605</v>
      </c>
      <c r="B8314" s="76" t="s">
        <v>19586</v>
      </c>
    </row>
    <row r="8315" spans="1:2" x14ac:dyDescent="0.25">
      <c r="A8315" s="75">
        <v>42143606</v>
      </c>
      <c r="B8315" s="76" t="s">
        <v>19609</v>
      </c>
    </row>
    <row r="8316" spans="1:2" x14ac:dyDescent="0.25">
      <c r="A8316" s="75">
        <v>42143607</v>
      </c>
      <c r="B8316" s="76" t="s">
        <v>17018</v>
      </c>
    </row>
    <row r="8317" spans="1:2" x14ac:dyDescent="0.25">
      <c r="A8317" s="75">
        <v>42143608</v>
      </c>
      <c r="B8317" s="76" t="s">
        <v>570</v>
      </c>
    </row>
    <row r="8318" spans="1:2" x14ac:dyDescent="0.25">
      <c r="A8318" s="75">
        <v>42151501</v>
      </c>
      <c r="B8318" s="76" t="s">
        <v>5410</v>
      </c>
    </row>
    <row r="8319" spans="1:2" x14ac:dyDescent="0.25">
      <c r="A8319" s="75">
        <v>42151502</v>
      </c>
      <c r="B8319" s="76" t="s">
        <v>6106</v>
      </c>
    </row>
    <row r="8320" spans="1:2" x14ac:dyDescent="0.25">
      <c r="A8320" s="75">
        <v>42151503</v>
      </c>
      <c r="B8320" s="76" t="s">
        <v>13920</v>
      </c>
    </row>
    <row r="8321" spans="1:2" x14ac:dyDescent="0.25">
      <c r="A8321" s="75">
        <v>42151504</v>
      </c>
      <c r="B8321" s="76" t="s">
        <v>10489</v>
      </c>
    </row>
    <row r="8322" spans="1:2" x14ac:dyDescent="0.25">
      <c r="A8322" s="75">
        <v>42151505</v>
      </c>
      <c r="B8322" s="76" t="s">
        <v>2426</v>
      </c>
    </row>
    <row r="8323" spans="1:2" x14ac:dyDescent="0.25">
      <c r="A8323" s="75">
        <v>42151506</v>
      </c>
      <c r="B8323" s="76" t="s">
        <v>19328</v>
      </c>
    </row>
    <row r="8324" spans="1:2" x14ac:dyDescent="0.25">
      <c r="A8324" s="75">
        <v>42151507</v>
      </c>
      <c r="B8324" s="76" t="s">
        <v>14435</v>
      </c>
    </row>
    <row r="8325" spans="1:2" x14ac:dyDescent="0.25">
      <c r="A8325" s="75">
        <v>42151601</v>
      </c>
      <c r="B8325" s="76" t="s">
        <v>10779</v>
      </c>
    </row>
    <row r="8326" spans="1:2" x14ac:dyDescent="0.25">
      <c r="A8326" s="75">
        <v>42151602</v>
      </c>
      <c r="B8326" s="76" t="s">
        <v>7546</v>
      </c>
    </row>
    <row r="8327" spans="1:2" x14ac:dyDescent="0.25">
      <c r="A8327" s="75">
        <v>42151603</v>
      </c>
      <c r="B8327" s="76" t="s">
        <v>6312</v>
      </c>
    </row>
    <row r="8328" spans="1:2" x14ac:dyDescent="0.25">
      <c r="A8328" s="75">
        <v>42151604</v>
      </c>
      <c r="B8328" s="76" t="s">
        <v>12938</v>
      </c>
    </row>
    <row r="8329" spans="1:2" x14ac:dyDescent="0.25">
      <c r="A8329" s="75">
        <v>42151605</v>
      </c>
      <c r="B8329" s="76" t="s">
        <v>3978</v>
      </c>
    </row>
    <row r="8330" spans="1:2" x14ac:dyDescent="0.25">
      <c r="A8330" s="75">
        <v>42151606</v>
      </c>
      <c r="B8330" s="76" t="s">
        <v>6620</v>
      </c>
    </row>
    <row r="8331" spans="1:2" x14ac:dyDescent="0.25">
      <c r="A8331" s="75">
        <v>42151607</v>
      </c>
      <c r="B8331" s="76" t="s">
        <v>11486</v>
      </c>
    </row>
    <row r="8332" spans="1:2" x14ac:dyDescent="0.25">
      <c r="A8332" s="75">
        <v>42151608</v>
      </c>
      <c r="B8332" s="76" t="s">
        <v>5621</v>
      </c>
    </row>
    <row r="8333" spans="1:2" x14ac:dyDescent="0.25">
      <c r="A8333" s="75">
        <v>42151609</v>
      </c>
      <c r="B8333" s="76" t="s">
        <v>15904</v>
      </c>
    </row>
    <row r="8334" spans="1:2" x14ac:dyDescent="0.25">
      <c r="A8334" s="75">
        <v>42151610</v>
      </c>
      <c r="B8334" s="76" t="s">
        <v>12207</v>
      </c>
    </row>
    <row r="8335" spans="1:2" x14ac:dyDescent="0.25">
      <c r="A8335" s="75">
        <v>42151611</v>
      </c>
      <c r="B8335" s="76" t="s">
        <v>1187</v>
      </c>
    </row>
    <row r="8336" spans="1:2" x14ac:dyDescent="0.25">
      <c r="A8336" s="75">
        <v>42151612</v>
      </c>
      <c r="B8336" s="76" t="s">
        <v>11213</v>
      </c>
    </row>
    <row r="8337" spans="1:2" x14ac:dyDescent="0.25">
      <c r="A8337" s="75">
        <v>42151613</v>
      </c>
      <c r="B8337" s="76" t="s">
        <v>20009</v>
      </c>
    </row>
    <row r="8338" spans="1:2" x14ac:dyDescent="0.25">
      <c r="A8338" s="75">
        <v>42151614</v>
      </c>
      <c r="B8338" s="76" t="s">
        <v>11107</v>
      </c>
    </row>
    <row r="8339" spans="1:2" x14ac:dyDescent="0.25">
      <c r="A8339" s="75">
        <v>42151615</v>
      </c>
      <c r="B8339" s="76" t="s">
        <v>9352</v>
      </c>
    </row>
    <row r="8340" spans="1:2" x14ac:dyDescent="0.25">
      <c r="A8340" s="75">
        <v>42151616</v>
      </c>
      <c r="B8340" s="76" t="s">
        <v>14704</v>
      </c>
    </row>
    <row r="8341" spans="1:2" x14ac:dyDescent="0.25">
      <c r="A8341" s="75">
        <v>42151617</v>
      </c>
      <c r="B8341" s="76" t="s">
        <v>8845</v>
      </c>
    </row>
    <row r="8342" spans="1:2" x14ac:dyDescent="0.25">
      <c r="A8342" s="75">
        <v>42151618</v>
      </c>
      <c r="B8342" s="76" t="s">
        <v>10959</v>
      </c>
    </row>
    <row r="8343" spans="1:2" x14ac:dyDescent="0.25">
      <c r="A8343" s="75">
        <v>42151619</v>
      </c>
      <c r="B8343" s="76" t="s">
        <v>5005</v>
      </c>
    </row>
    <row r="8344" spans="1:2" x14ac:dyDescent="0.25">
      <c r="A8344" s="75">
        <v>42151620</v>
      </c>
      <c r="B8344" s="76" t="s">
        <v>14881</v>
      </c>
    </row>
    <row r="8345" spans="1:2" x14ac:dyDescent="0.25">
      <c r="A8345" s="75">
        <v>42151621</v>
      </c>
      <c r="B8345" s="76" t="s">
        <v>17163</v>
      </c>
    </row>
    <row r="8346" spans="1:2" x14ac:dyDescent="0.25">
      <c r="A8346" s="75">
        <v>42151622</v>
      </c>
      <c r="B8346" s="76" t="s">
        <v>590</v>
      </c>
    </row>
    <row r="8347" spans="1:2" x14ac:dyDescent="0.25">
      <c r="A8347" s="75">
        <v>42151623</v>
      </c>
      <c r="B8347" s="76" t="s">
        <v>19902</v>
      </c>
    </row>
    <row r="8348" spans="1:2" x14ac:dyDescent="0.25">
      <c r="A8348" s="75">
        <v>42151624</v>
      </c>
      <c r="B8348" s="76" t="s">
        <v>11740</v>
      </c>
    </row>
    <row r="8349" spans="1:2" x14ac:dyDescent="0.25">
      <c r="A8349" s="75">
        <v>42151625</v>
      </c>
      <c r="B8349" s="76" t="s">
        <v>2112</v>
      </c>
    </row>
    <row r="8350" spans="1:2" x14ac:dyDescent="0.25">
      <c r="A8350" s="75">
        <v>42151626</v>
      </c>
      <c r="B8350" s="76" t="s">
        <v>14569</v>
      </c>
    </row>
    <row r="8351" spans="1:2" x14ac:dyDescent="0.25">
      <c r="A8351" s="75">
        <v>42151627</v>
      </c>
      <c r="B8351" s="76" t="s">
        <v>16680</v>
      </c>
    </row>
    <row r="8352" spans="1:2" x14ac:dyDescent="0.25">
      <c r="A8352" s="75">
        <v>42151628</v>
      </c>
      <c r="B8352" s="76" t="s">
        <v>8196</v>
      </c>
    </row>
    <row r="8353" spans="1:2" x14ac:dyDescent="0.25">
      <c r="A8353" s="75">
        <v>42151629</v>
      </c>
      <c r="B8353" s="76" t="s">
        <v>10841</v>
      </c>
    </row>
    <row r="8354" spans="1:2" x14ac:dyDescent="0.25">
      <c r="A8354" s="75">
        <v>42151630</v>
      </c>
      <c r="B8354" s="76" t="s">
        <v>4601</v>
      </c>
    </row>
    <row r="8355" spans="1:2" x14ac:dyDescent="0.25">
      <c r="A8355" s="75">
        <v>42151631</v>
      </c>
      <c r="B8355" s="76" t="s">
        <v>362</v>
      </c>
    </row>
    <row r="8356" spans="1:2" x14ac:dyDescent="0.25">
      <c r="A8356" s="75">
        <v>42151632</v>
      </c>
      <c r="B8356" s="76" t="s">
        <v>657</v>
      </c>
    </row>
    <row r="8357" spans="1:2" x14ac:dyDescent="0.25">
      <c r="A8357" s="75">
        <v>42151633</v>
      </c>
      <c r="B8357" s="76" t="s">
        <v>10853</v>
      </c>
    </row>
    <row r="8358" spans="1:2" x14ac:dyDescent="0.25">
      <c r="A8358" s="75">
        <v>42151634</v>
      </c>
      <c r="B8358" s="76" t="s">
        <v>16178</v>
      </c>
    </row>
    <row r="8359" spans="1:2" x14ac:dyDescent="0.25">
      <c r="A8359" s="75">
        <v>42151635</v>
      </c>
      <c r="B8359" s="76" t="s">
        <v>6912</v>
      </c>
    </row>
    <row r="8360" spans="1:2" x14ac:dyDescent="0.25">
      <c r="A8360" s="75">
        <v>42151636</v>
      </c>
      <c r="B8360" s="76" t="s">
        <v>9755</v>
      </c>
    </row>
    <row r="8361" spans="1:2" x14ac:dyDescent="0.25">
      <c r="A8361" s="75">
        <v>42151637</v>
      </c>
      <c r="B8361" s="76" t="s">
        <v>4260</v>
      </c>
    </row>
    <row r="8362" spans="1:2" x14ac:dyDescent="0.25">
      <c r="A8362" s="75">
        <v>42151638</v>
      </c>
      <c r="B8362" s="76" t="s">
        <v>5997</v>
      </c>
    </row>
    <row r="8363" spans="1:2" x14ac:dyDescent="0.25">
      <c r="A8363" s="75">
        <v>42151639</v>
      </c>
      <c r="B8363" s="76" t="s">
        <v>9034</v>
      </c>
    </row>
    <row r="8364" spans="1:2" x14ac:dyDescent="0.25">
      <c r="A8364" s="75">
        <v>42151640</v>
      </c>
      <c r="B8364" s="76" t="s">
        <v>6098</v>
      </c>
    </row>
    <row r="8365" spans="1:2" x14ac:dyDescent="0.25">
      <c r="A8365" s="75">
        <v>42151641</v>
      </c>
      <c r="B8365" s="76" t="s">
        <v>18506</v>
      </c>
    </row>
    <row r="8366" spans="1:2" x14ac:dyDescent="0.25">
      <c r="A8366" s="75">
        <v>42151642</v>
      </c>
      <c r="B8366" s="76" t="s">
        <v>5572</v>
      </c>
    </row>
    <row r="8367" spans="1:2" x14ac:dyDescent="0.25">
      <c r="A8367" s="75">
        <v>42151643</v>
      </c>
      <c r="B8367" s="76" t="s">
        <v>19940</v>
      </c>
    </row>
    <row r="8368" spans="1:2" x14ac:dyDescent="0.25">
      <c r="A8368" s="75">
        <v>42151644</v>
      </c>
      <c r="B8368" s="76" t="s">
        <v>5764</v>
      </c>
    </row>
    <row r="8369" spans="1:2" x14ac:dyDescent="0.25">
      <c r="A8369" s="75">
        <v>42151645</v>
      </c>
      <c r="B8369" s="76" t="s">
        <v>337</v>
      </c>
    </row>
    <row r="8370" spans="1:2" x14ac:dyDescent="0.25">
      <c r="A8370" s="75">
        <v>42151646</v>
      </c>
      <c r="B8370" s="76" t="s">
        <v>17246</v>
      </c>
    </row>
    <row r="8371" spans="1:2" x14ac:dyDescent="0.25">
      <c r="A8371" s="75">
        <v>42151647</v>
      </c>
      <c r="B8371" s="76" t="s">
        <v>4950</v>
      </c>
    </row>
    <row r="8372" spans="1:2" x14ac:dyDescent="0.25">
      <c r="A8372" s="75">
        <v>42151648</v>
      </c>
      <c r="B8372" s="76" t="s">
        <v>18287</v>
      </c>
    </row>
    <row r="8373" spans="1:2" x14ac:dyDescent="0.25">
      <c r="A8373" s="75">
        <v>42151650</v>
      </c>
      <c r="B8373" s="76" t="s">
        <v>3932</v>
      </c>
    </row>
    <row r="8374" spans="1:2" x14ac:dyDescent="0.25">
      <c r="A8374" s="75">
        <v>42151651</v>
      </c>
      <c r="B8374" s="76" t="s">
        <v>13254</v>
      </c>
    </row>
    <row r="8375" spans="1:2" x14ac:dyDescent="0.25">
      <c r="A8375" s="75">
        <v>42151652</v>
      </c>
      <c r="B8375" s="76" t="s">
        <v>17290</v>
      </c>
    </row>
    <row r="8376" spans="1:2" x14ac:dyDescent="0.25">
      <c r="A8376" s="75">
        <v>42151653</v>
      </c>
      <c r="B8376" s="76" t="s">
        <v>15817</v>
      </c>
    </row>
    <row r="8377" spans="1:2" x14ac:dyDescent="0.25">
      <c r="A8377" s="75">
        <v>42151654</v>
      </c>
      <c r="B8377" s="76" t="s">
        <v>18330</v>
      </c>
    </row>
    <row r="8378" spans="1:2" x14ac:dyDescent="0.25">
      <c r="A8378" s="75">
        <v>42151655</v>
      </c>
      <c r="B8378" s="76" t="s">
        <v>19763</v>
      </c>
    </row>
    <row r="8379" spans="1:2" x14ac:dyDescent="0.25">
      <c r="A8379" s="75">
        <v>42151656</v>
      </c>
      <c r="B8379" s="76" t="s">
        <v>9657</v>
      </c>
    </row>
    <row r="8380" spans="1:2" x14ac:dyDescent="0.25">
      <c r="A8380" s="75">
        <v>42151657</v>
      </c>
      <c r="B8380" s="76" t="s">
        <v>10588</v>
      </c>
    </row>
    <row r="8381" spans="1:2" x14ac:dyDescent="0.25">
      <c r="A8381" s="75">
        <v>42151658</v>
      </c>
      <c r="B8381" s="76" t="s">
        <v>7576</v>
      </c>
    </row>
    <row r="8382" spans="1:2" x14ac:dyDescent="0.25">
      <c r="A8382" s="75">
        <v>42151659</v>
      </c>
      <c r="B8382" s="76" t="s">
        <v>15028</v>
      </c>
    </row>
    <row r="8383" spans="1:2" x14ac:dyDescent="0.25">
      <c r="A8383" s="75">
        <v>42151660</v>
      </c>
      <c r="B8383" s="76" t="s">
        <v>15456</v>
      </c>
    </row>
    <row r="8384" spans="1:2" x14ac:dyDescent="0.25">
      <c r="A8384" s="75">
        <v>42151661</v>
      </c>
      <c r="B8384" s="76" t="s">
        <v>6804</v>
      </c>
    </row>
    <row r="8385" spans="1:2" x14ac:dyDescent="0.25">
      <c r="A8385" s="75">
        <v>42151662</v>
      </c>
      <c r="B8385" s="76" t="s">
        <v>11338</v>
      </c>
    </row>
    <row r="8386" spans="1:2" x14ac:dyDescent="0.25">
      <c r="A8386" s="75">
        <v>42151663</v>
      </c>
      <c r="B8386" s="76" t="s">
        <v>12528</v>
      </c>
    </row>
    <row r="8387" spans="1:2" x14ac:dyDescent="0.25">
      <c r="A8387" s="75">
        <v>42151664</v>
      </c>
      <c r="B8387" s="76" t="s">
        <v>2295</v>
      </c>
    </row>
    <row r="8388" spans="1:2" x14ac:dyDescent="0.25">
      <c r="A8388" s="75">
        <v>42151665</v>
      </c>
      <c r="B8388" s="76" t="s">
        <v>5125</v>
      </c>
    </row>
    <row r="8389" spans="1:2" x14ac:dyDescent="0.25">
      <c r="A8389" s="75">
        <v>42151666</v>
      </c>
      <c r="B8389" s="76" t="s">
        <v>18995</v>
      </c>
    </row>
    <row r="8390" spans="1:2" x14ac:dyDescent="0.25">
      <c r="A8390" s="75">
        <v>42151667</v>
      </c>
      <c r="B8390" s="76" t="s">
        <v>11992</v>
      </c>
    </row>
    <row r="8391" spans="1:2" x14ac:dyDescent="0.25">
      <c r="A8391" s="75">
        <v>42151668</v>
      </c>
      <c r="B8391" s="76" t="s">
        <v>10069</v>
      </c>
    </row>
    <row r="8392" spans="1:2" x14ac:dyDescent="0.25">
      <c r="A8392" s="75">
        <v>42151669</v>
      </c>
      <c r="B8392" s="76" t="s">
        <v>15142</v>
      </c>
    </row>
    <row r="8393" spans="1:2" x14ac:dyDescent="0.25">
      <c r="A8393" s="75">
        <v>42151670</v>
      </c>
      <c r="B8393" s="76" t="s">
        <v>11508</v>
      </c>
    </row>
    <row r="8394" spans="1:2" x14ac:dyDescent="0.25">
      <c r="A8394" s="75">
        <v>42151671</v>
      </c>
      <c r="B8394" s="76" t="s">
        <v>5845</v>
      </c>
    </row>
    <row r="8395" spans="1:2" x14ac:dyDescent="0.25">
      <c r="A8395" s="75">
        <v>42151672</v>
      </c>
      <c r="B8395" s="76" t="s">
        <v>3923</v>
      </c>
    </row>
    <row r="8396" spans="1:2" x14ac:dyDescent="0.25">
      <c r="A8396" s="75">
        <v>42151673</v>
      </c>
      <c r="B8396" s="76" t="s">
        <v>12908</v>
      </c>
    </row>
    <row r="8397" spans="1:2" x14ac:dyDescent="0.25">
      <c r="A8397" s="75">
        <v>42151674</v>
      </c>
      <c r="B8397" s="76" t="s">
        <v>13063</v>
      </c>
    </row>
    <row r="8398" spans="1:2" x14ac:dyDescent="0.25">
      <c r="A8398" s="75">
        <v>42151675</v>
      </c>
      <c r="B8398" s="76" t="s">
        <v>19823</v>
      </c>
    </row>
    <row r="8399" spans="1:2" x14ac:dyDescent="0.25">
      <c r="A8399" s="75">
        <v>42151676</v>
      </c>
      <c r="B8399" s="76" t="s">
        <v>3743</v>
      </c>
    </row>
    <row r="8400" spans="1:2" x14ac:dyDescent="0.25">
      <c r="A8400" s="75">
        <v>42151677</v>
      </c>
      <c r="B8400" s="76" t="s">
        <v>17380</v>
      </c>
    </row>
    <row r="8401" spans="1:2" x14ac:dyDescent="0.25">
      <c r="A8401" s="75">
        <v>42151678</v>
      </c>
      <c r="B8401" s="76" t="s">
        <v>10685</v>
      </c>
    </row>
    <row r="8402" spans="1:2" x14ac:dyDescent="0.25">
      <c r="A8402" s="75">
        <v>42151679</v>
      </c>
      <c r="B8402" s="76" t="s">
        <v>6627</v>
      </c>
    </row>
    <row r="8403" spans="1:2" x14ac:dyDescent="0.25">
      <c r="A8403" s="75">
        <v>42151680</v>
      </c>
      <c r="B8403" s="76" t="s">
        <v>1480</v>
      </c>
    </row>
    <row r="8404" spans="1:2" x14ac:dyDescent="0.25">
      <c r="A8404" s="75">
        <v>42151681</v>
      </c>
      <c r="B8404" s="76" t="s">
        <v>11188</v>
      </c>
    </row>
    <row r="8405" spans="1:2" x14ac:dyDescent="0.25">
      <c r="A8405" s="75">
        <v>42151701</v>
      </c>
      <c r="B8405" s="76" t="s">
        <v>12975</v>
      </c>
    </row>
    <row r="8406" spans="1:2" x14ac:dyDescent="0.25">
      <c r="A8406" s="75">
        <v>42151702</v>
      </c>
      <c r="B8406" s="76" t="s">
        <v>19274</v>
      </c>
    </row>
    <row r="8407" spans="1:2" x14ac:dyDescent="0.25">
      <c r="A8407" s="75">
        <v>42151703</v>
      </c>
      <c r="B8407" s="76" t="s">
        <v>17321</v>
      </c>
    </row>
    <row r="8408" spans="1:2" x14ac:dyDescent="0.25">
      <c r="A8408" s="75">
        <v>42151704</v>
      </c>
      <c r="B8408" s="76" t="s">
        <v>4825</v>
      </c>
    </row>
    <row r="8409" spans="1:2" x14ac:dyDescent="0.25">
      <c r="A8409" s="75">
        <v>42151705</v>
      </c>
      <c r="B8409" s="76" t="s">
        <v>14149</v>
      </c>
    </row>
    <row r="8410" spans="1:2" x14ac:dyDescent="0.25">
      <c r="A8410" s="75">
        <v>42151801</v>
      </c>
      <c r="B8410" s="76" t="s">
        <v>7664</v>
      </c>
    </row>
    <row r="8411" spans="1:2" x14ac:dyDescent="0.25">
      <c r="A8411" s="75">
        <v>42151802</v>
      </c>
      <c r="B8411" s="76" t="s">
        <v>244</v>
      </c>
    </row>
    <row r="8412" spans="1:2" x14ac:dyDescent="0.25">
      <c r="A8412" s="75">
        <v>42151803</v>
      </c>
      <c r="B8412" s="76" t="s">
        <v>13206</v>
      </c>
    </row>
    <row r="8413" spans="1:2" x14ac:dyDescent="0.25">
      <c r="A8413" s="75">
        <v>42151804</v>
      </c>
      <c r="B8413" s="76" t="s">
        <v>19226</v>
      </c>
    </row>
    <row r="8414" spans="1:2" x14ac:dyDescent="0.25">
      <c r="A8414" s="75">
        <v>42151805</v>
      </c>
      <c r="B8414" s="76" t="s">
        <v>5568</v>
      </c>
    </row>
    <row r="8415" spans="1:2" x14ac:dyDescent="0.25">
      <c r="A8415" s="75">
        <v>42151806</v>
      </c>
      <c r="B8415" s="76" t="s">
        <v>10480</v>
      </c>
    </row>
    <row r="8416" spans="1:2" x14ac:dyDescent="0.25">
      <c r="A8416" s="75">
        <v>42151807</v>
      </c>
      <c r="B8416" s="76" t="s">
        <v>393</v>
      </c>
    </row>
    <row r="8417" spans="1:2" x14ac:dyDescent="0.25">
      <c r="A8417" s="75">
        <v>42151808</v>
      </c>
      <c r="B8417" s="76" t="s">
        <v>17280</v>
      </c>
    </row>
    <row r="8418" spans="1:2" x14ac:dyDescent="0.25">
      <c r="A8418" s="75">
        <v>42151809</v>
      </c>
      <c r="B8418" s="76" t="s">
        <v>11150</v>
      </c>
    </row>
    <row r="8419" spans="1:2" x14ac:dyDescent="0.25">
      <c r="A8419" s="75">
        <v>42151810</v>
      </c>
      <c r="B8419" s="76" t="s">
        <v>13322</v>
      </c>
    </row>
    <row r="8420" spans="1:2" x14ac:dyDescent="0.25">
      <c r="A8420" s="75">
        <v>42151811</v>
      </c>
      <c r="B8420" s="76" t="s">
        <v>17872</v>
      </c>
    </row>
    <row r="8421" spans="1:2" x14ac:dyDescent="0.25">
      <c r="A8421" s="75">
        <v>42151812</v>
      </c>
      <c r="B8421" s="76" t="s">
        <v>7882</v>
      </c>
    </row>
    <row r="8422" spans="1:2" x14ac:dyDescent="0.25">
      <c r="A8422" s="75">
        <v>42151813</v>
      </c>
      <c r="B8422" s="76" t="s">
        <v>16183</v>
      </c>
    </row>
    <row r="8423" spans="1:2" x14ac:dyDescent="0.25">
      <c r="A8423" s="75">
        <v>42151814</v>
      </c>
      <c r="B8423" s="76" t="s">
        <v>548</v>
      </c>
    </row>
    <row r="8424" spans="1:2" x14ac:dyDescent="0.25">
      <c r="A8424" s="75">
        <v>42151815</v>
      </c>
      <c r="B8424" s="76" t="s">
        <v>12989</v>
      </c>
    </row>
    <row r="8425" spans="1:2" x14ac:dyDescent="0.25">
      <c r="A8425" s="75">
        <v>42151816</v>
      </c>
      <c r="B8425" s="76" t="s">
        <v>4977</v>
      </c>
    </row>
    <row r="8426" spans="1:2" x14ac:dyDescent="0.25">
      <c r="A8426" s="75">
        <v>42151901</v>
      </c>
      <c r="B8426" s="76" t="s">
        <v>12825</v>
      </c>
    </row>
    <row r="8427" spans="1:2" x14ac:dyDescent="0.25">
      <c r="A8427" s="75">
        <v>42151902</v>
      </c>
      <c r="B8427" s="76" t="s">
        <v>6287</v>
      </c>
    </row>
    <row r="8428" spans="1:2" x14ac:dyDescent="0.25">
      <c r="A8428" s="75">
        <v>42151903</v>
      </c>
      <c r="B8428" s="76" t="s">
        <v>6195</v>
      </c>
    </row>
    <row r="8429" spans="1:2" x14ac:dyDescent="0.25">
      <c r="A8429" s="75">
        <v>42151904</v>
      </c>
      <c r="B8429" s="76" t="s">
        <v>19098</v>
      </c>
    </row>
    <row r="8430" spans="1:2" x14ac:dyDescent="0.25">
      <c r="A8430" s="75">
        <v>42151905</v>
      </c>
      <c r="B8430" s="76" t="s">
        <v>8999</v>
      </c>
    </row>
    <row r="8431" spans="1:2" x14ac:dyDescent="0.25">
      <c r="A8431" s="75">
        <v>42151906</v>
      </c>
      <c r="B8431" s="76" t="s">
        <v>5252</v>
      </c>
    </row>
    <row r="8432" spans="1:2" x14ac:dyDescent="0.25">
      <c r="A8432" s="75">
        <v>42151907</v>
      </c>
      <c r="B8432" s="76" t="s">
        <v>18915</v>
      </c>
    </row>
    <row r="8433" spans="1:2" x14ac:dyDescent="0.25">
      <c r="A8433" s="75">
        <v>42151908</v>
      </c>
      <c r="B8433" s="76" t="s">
        <v>10155</v>
      </c>
    </row>
    <row r="8434" spans="1:2" x14ac:dyDescent="0.25">
      <c r="A8434" s="75">
        <v>42151909</v>
      </c>
      <c r="B8434" s="76" t="s">
        <v>11990</v>
      </c>
    </row>
    <row r="8435" spans="1:2" x14ac:dyDescent="0.25">
      <c r="A8435" s="75">
        <v>42151910</v>
      </c>
      <c r="B8435" s="76" t="s">
        <v>775</v>
      </c>
    </row>
    <row r="8436" spans="1:2" x14ac:dyDescent="0.25">
      <c r="A8436" s="75">
        <v>42151911</v>
      </c>
      <c r="B8436" s="76" t="s">
        <v>7461</v>
      </c>
    </row>
    <row r="8437" spans="1:2" x14ac:dyDescent="0.25">
      <c r="A8437" s="75">
        <v>42151912</v>
      </c>
      <c r="B8437" s="76" t="s">
        <v>947</v>
      </c>
    </row>
    <row r="8438" spans="1:2" x14ac:dyDescent="0.25">
      <c r="A8438" s="75">
        <v>42152001</v>
      </c>
      <c r="B8438" s="76" t="s">
        <v>5201</v>
      </c>
    </row>
    <row r="8439" spans="1:2" x14ac:dyDescent="0.25">
      <c r="A8439" s="75">
        <v>42152002</v>
      </c>
      <c r="B8439" s="76" t="s">
        <v>3876</v>
      </c>
    </row>
    <row r="8440" spans="1:2" x14ac:dyDescent="0.25">
      <c r="A8440" s="75">
        <v>42152003</v>
      </c>
      <c r="B8440" s="76" t="s">
        <v>4207</v>
      </c>
    </row>
    <row r="8441" spans="1:2" x14ac:dyDescent="0.25">
      <c r="A8441" s="75">
        <v>42152004</v>
      </c>
      <c r="B8441" s="76" t="s">
        <v>14640</v>
      </c>
    </row>
    <row r="8442" spans="1:2" x14ac:dyDescent="0.25">
      <c r="A8442" s="75">
        <v>42152005</v>
      </c>
      <c r="B8442" s="76" t="s">
        <v>4439</v>
      </c>
    </row>
    <row r="8443" spans="1:2" x14ac:dyDescent="0.25">
      <c r="A8443" s="75">
        <v>42152006</v>
      </c>
      <c r="B8443" s="76" t="s">
        <v>13884</v>
      </c>
    </row>
    <row r="8444" spans="1:2" x14ac:dyDescent="0.25">
      <c r="A8444" s="75">
        <v>42152007</v>
      </c>
      <c r="B8444" s="76" t="s">
        <v>13166</v>
      </c>
    </row>
    <row r="8445" spans="1:2" x14ac:dyDescent="0.25">
      <c r="A8445" s="75">
        <v>42152008</v>
      </c>
      <c r="B8445" s="76" t="s">
        <v>7749</v>
      </c>
    </row>
    <row r="8446" spans="1:2" x14ac:dyDescent="0.25">
      <c r="A8446" s="75">
        <v>42152009</v>
      </c>
      <c r="B8446" s="76" t="s">
        <v>1483</v>
      </c>
    </row>
    <row r="8447" spans="1:2" x14ac:dyDescent="0.25">
      <c r="A8447" s="75">
        <v>42152010</v>
      </c>
      <c r="B8447" s="76" t="s">
        <v>11435</v>
      </c>
    </row>
    <row r="8448" spans="1:2" x14ac:dyDescent="0.25">
      <c r="A8448" s="75">
        <v>42152011</v>
      </c>
      <c r="B8448" s="76" t="s">
        <v>13880</v>
      </c>
    </row>
    <row r="8449" spans="1:2" x14ac:dyDescent="0.25">
      <c r="A8449" s="75">
        <v>42152012</v>
      </c>
      <c r="B8449" s="76" t="s">
        <v>5525</v>
      </c>
    </row>
    <row r="8450" spans="1:2" x14ac:dyDescent="0.25">
      <c r="A8450" s="75">
        <v>42152013</v>
      </c>
      <c r="B8450" s="76" t="s">
        <v>6468</v>
      </c>
    </row>
    <row r="8451" spans="1:2" x14ac:dyDescent="0.25">
      <c r="A8451" s="75">
        <v>42152014</v>
      </c>
      <c r="B8451" s="76" t="s">
        <v>1311</v>
      </c>
    </row>
    <row r="8452" spans="1:2" x14ac:dyDescent="0.25">
      <c r="A8452" s="75">
        <v>42152101</v>
      </c>
      <c r="B8452" s="76" t="s">
        <v>4905</v>
      </c>
    </row>
    <row r="8453" spans="1:2" x14ac:dyDescent="0.25">
      <c r="A8453" s="75">
        <v>42152102</v>
      </c>
      <c r="B8453" s="76" t="s">
        <v>12209</v>
      </c>
    </row>
    <row r="8454" spans="1:2" x14ac:dyDescent="0.25">
      <c r="A8454" s="75">
        <v>42152103</v>
      </c>
      <c r="B8454" s="76" t="s">
        <v>6946</v>
      </c>
    </row>
    <row r="8455" spans="1:2" x14ac:dyDescent="0.25">
      <c r="A8455" s="75">
        <v>42152104</v>
      </c>
      <c r="B8455" s="76" t="s">
        <v>16315</v>
      </c>
    </row>
    <row r="8456" spans="1:2" x14ac:dyDescent="0.25">
      <c r="A8456" s="75">
        <v>42152105</v>
      </c>
      <c r="B8456" s="76" t="s">
        <v>17120</v>
      </c>
    </row>
    <row r="8457" spans="1:2" x14ac:dyDescent="0.25">
      <c r="A8457" s="75">
        <v>42152106</v>
      </c>
      <c r="B8457" s="76" t="s">
        <v>3965</v>
      </c>
    </row>
    <row r="8458" spans="1:2" x14ac:dyDescent="0.25">
      <c r="A8458" s="75">
        <v>42152107</v>
      </c>
      <c r="B8458" s="76" t="s">
        <v>2978</v>
      </c>
    </row>
    <row r="8459" spans="1:2" x14ac:dyDescent="0.25">
      <c r="A8459" s="75">
        <v>42152108</v>
      </c>
      <c r="B8459" s="76" t="s">
        <v>106</v>
      </c>
    </row>
    <row r="8460" spans="1:2" x14ac:dyDescent="0.25">
      <c r="A8460" s="75">
        <v>42152109</v>
      </c>
      <c r="B8460" s="76" t="s">
        <v>13581</v>
      </c>
    </row>
    <row r="8461" spans="1:2" x14ac:dyDescent="0.25">
      <c r="A8461" s="75">
        <v>42152110</v>
      </c>
      <c r="B8461" s="76" t="s">
        <v>12194</v>
      </c>
    </row>
    <row r="8462" spans="1:2" x14ac:dyDescent="0.25">
      <c r="A8462" s="75">
        <v>42152111</v>
      </c>
      <c r="B8462" s="76" t="s">
        <v>1953</v>
      </c>
    </row>
    <row r="8463" spans="1:2" x14ac:dyDescent="0.25">
      <c r="A8463" s="75">
        <v>42152112</v>
      </c>
      <c r="B8463" s="76" t="s">
        <v>661</v>
      </c>
    </row>
    <row r="8464" spans="1:2" x14ac:dyDescent="0.25">
      <c r="A8464" s="75">
        <v>42152113</v>
      </c>
      <c r="B8464" s="76" t="s">
        <v>5014</v>
      </c>
    </row>
    <row r="8465" spans="1:2" x14ac:dyDescent="0.25">
      <c r="A8465" s="75">
        <v>42152114</v>
      </c>
      <c r="B8465" s="76" t="s">
        <v>13823</v>
      </c>
    </row>
    <row r="8466" spans="1:2" x14ac:dyDescent="0.25">
      <c r="A8466" s="75">
        <v>42152115</v>
      </c>
      <c r="B8466" s="76" t="s">
        <v>6558</v>
      </c>
    </row>
    <row r="8467" spans="1:2" x14ac:dyDescent="0.25">
      <c r="A8467" s="75">
        <v>42152201</v>
      </c>
      <c r="B8467" s="76" t="s">
        <v>12381</v>
      </c>
    </row>
    <row r="8468" spans="1:2" x14ac:dyDescent="0.25">
      <c r="A8468" s="75">
        <v>42152202</v>
      </c>
      <c r="B8468" s="76" t="s">
        <v>4979</v>
      </c>
    </row>
    <row r="8469" spans="1:2" x14ac:dyDescent="0.25">
      <c r="A8469" s="75">
        <v>42152203</v>
      </c>
      <c r="B8469" s="76" t="s">
        <v>19565</v>
      </c>
    </row>
    <row r="8470" spans="1:2" x14ac:dyDescent="0.25">
      <c r="A8470" s="75">
        <v>42152204</v>
      </c>
      <c r="B8470" s="76" t="s">
        <v>7333</v>
      </c>
    </row>
    <row r="8471" spans="1:2" x14ac:dyDescent="0.25">
      <c r="A8471" s="75">
        <v>42152205</v>
      </c>
      <c r="B8471" s="76" t="s">
        <v>4886</v>
      </c>
    </row>
    <row r="8472" spans="1:2" x14ac:dyDescent="0.25">
      <c r="A8472" s="75">
        <v>42152206</v>
      </c>
      <c r="B8472" s="76" t="s">
        <v>5692</v>
      </c>
    </row>
    <row r="8473" spans="1:2" x14ac:dyDescent="0.25">
      <c r="A8473" s="75">
        <v>42152207</v>
      </c>
      <c r="B8473" s="76" t="s">
        <v>9489</v>
      </c>
    </row>
    <row r="8474" spans="1:2" x14ac:dyDescent="0.25">
      <c r="A8474" s="75">
        <v>42152208</v>
      </c>
      <c r="B8474" s="76" t="s">
        <v>4175</v>
      </c>
    </row>
    <row r="8475" spans="1:2" x14ac:dyDescent="0.25">
      <c r="A8475" s="75">
        <v>42152209</v>
      </c>
      <c r="B8475" s="76" t="s">
        <v>10027</v>
      </c>
    </row>
    <row r="8476" spans="1:2" x14ac:dyDescent="0.25">
      <c r="A8476" s="75">
        <v>42152210</v>
      </c>
      <c r="B8476" s="76" t="s">
        <v>2759</v>
      </c>
    </row>
    <row r="8477" spans="1:2" x14ac:dyDescent="0.25">
      <c r="A8477" s="75">
        <v>42152211</v>
      </c>
      <c r="B8477" s="76" t="s">
        <v>6883</v>
      </c>
    </row>
    <row r="8478" spans="1:2" x14ac:dyDescent="0.25">
      <c r="A8478" s="75">
        <v>42152212</v>
      </c>
      <c r="B8478" s="76" t="s">
        <v>12221</v>
      </c>
    </row>
    <row r="8479" spans="1:2" x14ac:dyDescent="0.25">
      <c r="A8479" s="75">
        <v>42152213</v>
      </c>
      <c r="B8479" s="76" t="s">
        <v>14092</v>
      </c>
    </row>
    <row r="8480" spans="1:2" x14ac:dyDescent="0.25">
      <c r="A8480" s="75">
        <v>42152214</v>
      </c>
      <c r="B8480" s="76" t="s">
        <v>5631</v>
      </c>
    </row>
    <row r="8481" spans="1:2" x14ac:dyDescent="0.25">
      <c r="A8481" s="75">
        <v>42152215</v>
      </c>
      <c r="B8481" s="76" t="s">
        <v>19176</v>
      </c>
    </row>
    <row r="8482" spans="1:2" x14ac:dyDescent="0.25">
      <c r="A8482" s="75">
        <v>42152216</v>
      </c>
      <c r="B8482" s="76" t="s">
        <v>917</v>
      </c>
    </row>
    <row r="8483" spans="1:2" x14ac:dyDescent="0.25">
      <c r="A8483" s="75">
        <v>42152217</v>
      </c>
      <c r="B8483" s="76" t="s">
        <v>11550</v>
      </c>
    </row>
    <row r="8484" spans="1:2" x14ac:dyDescent="0.25">
      <c r="A8484" s="75">
        <v>42152218</v>
      </c>
      <c r="B8484" s="76" t="s">
        <v>9745</v>
      </c>
    </row>
    <row r="8485" spans="1:2" x14ac:dyDescent="0.25">
      <c r="A8485" s="75">
        <v>42152219</v>
      </c>
      <c r="B8485" s="76" t="s">
        <v>6193</v>
      </c>
    </row>
    <row r="8486" spans="1:2" x14ac:dyDescent="0.25">
      <c r="A8486" s="75">
        <v>42152220</v>
      </c>
      <c r="B8486" s="76" t="s">
        <v>6385</v>
      </c>
    </row>
    <row r="8487" spans="1:2" x14ac:dyDescent="0.25">
      <c r="A8487" s="75">
        <v>42152221</v>
      </c>
      <c r="B8487" s="76" t="s">
        <v>8315</v>
      </c>
    </row>
    <row r="8488" spans="1:2" x14ac:dyDescent="0.25">
      <c r="A8488" s="75">
        <v>42152222</v>
      </c>
      <c r="B8488" s="76" t="s">
        <v>3428</v>
      </c>
    </row>
    <row r="8489" spans="1:2" x14ac:dyDescent="0.25">
      <c r="A8489" s="75">
        <v>42152223</v>
      </c>
      <c r="B8489" s="76" t="s">
        <v>16597</v>
      </c>
    </row>
    <row r="8490" spans="1:2" x14ac:dyDescent="0.25">
      <c r="A8490" s="75">
        <v>42152224</v>
      </c>
      <c r="B8490" s="76" t="s">
        <v>464</v>
      </c>
    </row>
    <row r="8491" spans="1:2" x14ac:dyDescent="0.25">
      <c r="A8491" s="75">
        <v>42152301</v>
      </c>
      <c r="B8491" s="76" t="s">
        <v>17273</v>
      </c>
    </row>
    <row r="8492" spans="1:2" x14ac:dyDescent="0.25">
      <c r="A8492" s="75">
        <v>42152302</v>
      </c>
      <c r="B8492" s="76" t="s">
        <v>11630</v>
      </c>
    </row>
    <row r="8493" spans="1:2" x14ac:dyDescent="0.25">
      <c r="A8493" s="75">
        <v>42152303</v>
      </c>
      <c r="B8493" s="76" t="s">
        <v>18933</v>
      </c>
    </row>
    <row r="8494" spans="1:2" x14ac:dyDescent="0.25">
      <c r="A8494" s="75">
        <v>42152304</v>
      </c>
      <c r="B8494" s="76" t="s">
        <v>3192</v>
      </c>
    </row>
    <row r="8495" spans="1:2" x14ac:dyDescent="0.25">
      <c r="A8495" s="75">
        <v>42152305</v>
      </c>
      <c r="B8495" s="76" t="s">
        <v>4335</v>
      </c>
    </row>
    <row r="8496" spans="1:2" x14ac:dyDescent="0.25">
      <c r="A8496" s="75">
        <v>42152306</v>
      </c>
      <c r="B8496" s="76" t="s">
        <v>16216</v>
      </c>
    </row>
    <row r="8497" spans="1:2" x14ac:dyDescent="0.25">
      <c r="A8497" s="75">
        <v>42152307</v>
      </c>
      <c r="B8497" s="76" t="s">
        <v>8708</v>
      </c>
    </row>
    <row r="8498" spans="1:2" x14ac:dyDescent="0.25">
      <c r="A8498" s="75">
        <v>42152401</v>
      </c>
      <c r="B8498" s="76" t="s">
        <v>8786</v>
      </c>
    </row>
    <row r="8499" spans="1:2" x14ac:dyDescent="0.25">
      <c r="A8499" s="75">
        <v>42152402</v>
      </c>
      <c r="B8499" s="76" t="s">
        <v>6635</v>
      </c>
    </row>
    <row r="8500" spans="1:2" x14ac:dyDescent="0.25">
      <c r="A8500" s="75">
        <v>42152403</v>
      </c>
      <c r="B8500" s="76" t="s">
        <v>17353</v>
      </c>
    </row>
    <row r="8501" spans="1:2" x14ac:dyDescent="0.25">
      <c r="A8501" s="75">
        <v>42152404</v>
      </c>
      <c r="B8501" s="76" t="s">
        <v>3031</v>
      </c>
    </row>
    <row r="8502" spans="1:2" x14ac:dyDescent="0.25">
      <c r="A8502" s="75">
        <v>42152405</v>
      </c>
      <c r="B8502" s="76" t="s">
        <v>16304</v>
      </c>
    </row>
    <row r="8503" spans="1:2" x14ac:dyDescent="0.25">
      <c r="A8503" s="75">
        <v>42152406</v>
      </c>
      <c r="B8503" s="76" t="s">
        <v>13168</v>
      </c>
    </row>
    <row r="8504" spans="1:2" x14ac:dyDescent="0.25">
      <c r="A8504" s="75">
        <v>42152407</v>
      </c>
      <c r="B8504" s="76" t="s">
        <v>2004</v>
      </c>
    </row>
    <row r="8505" spans="1:2" x14ac:dyDescent="0.25">
      <c r="A8505" s="75">
        <v>42152408</v>
      </c>
      <c r="B8505" s="76" t="s">
        <v>13426</v>
      </c>
    </row>
    <row r="8506" spans="1:2" x14ac:dyDescent="0.25">
      <c r="A8506" s="75">
        <v>42152409</v>
      </c>
      <c r="B8506" s="76" t="s">
        <v>3917</v>
      </c>
    </row>
    <row r="8507" spans="1:2" x14ac:dyDescent="0.25">
      <c r="A8507" s="75">
        <v>42152410</v>
      </c>
      <c r="B8507" s="76" t="s">
        <v>16234</v>
      </c>
    </row>
    <row r="8508" spans="1:2" x14ac:dyDescent="0.25">
      <c r="A8508" s="75">
        <v>42152411</v>
      </c>
      <c r="B8508" s="76" t="s">
        <v>11579</v>
      </c>
    </row>
    <row r="8509" spans="1:2" x14ac:dyDescent="0.25">
      <c r="A8509" s="75">
        <v>42152412</v>
      </c>
      <c r="B8509" s="76" t="s">
        <v>7747</v>
      </c>
    </row>
    <row r="8510" spans="1:2" x14ac:dyDescent="0.25">
      <c r="A8510" s="75">
        <v>42152413</v>
      </c>
      <c r="B8510" s="76" t="s">
        <v>2758</v>
      </c>
    </row>
    <row r="8511" spans="1:2" x14ac:dyDescent="0.25">
      <c r="A8511" s="75">
        <v>42152414</v>
      </c>
      <c r="B8511" s="76" t="s">
        <v>19597</v>
      </c>
    </row>
    <row r="8512" spans="1:2" x14ac:dyDescent="0.25">
      <c r="A8512" s="75">
        <v>42152415</v>
      </c>
      <c r="B8512" s="76" t="s">
        <v>9707</v>
      </c>
    </row>
    <row r="8513" spans="1:2" x14ac:dyDescent="0.25">
      <c r="A8513" s="75">
        <v>42152416</v>
      </c>
      <c r="B8513" s="76" t="s">
        <v>3130</v>
      </c>
    </row>
    <row r="8514" spans="1:2" x14ac:dyDescent="0.25">
      <c r="A8514" s="75">
        <v>42152417</v>
      </c>
      <c r="B8514" s="76" t="s">
        <v>8715</v>
      </c>
    </row>
    <row r="8515" spans="1:2" x14ac:dyDescent="0.25">
      <c r="A8515" s="75">
        <v>42152418</v>
      </c>
      <c r="B8515" s="76" t="s">
        <v>3472</v>
      </c>
    </row>
    <row r="8516" spans="1:2" x14ac:dyDescent="0.25">
      <c r="A8516" s="75">
        <v>42152419</v>
      </c>
      <c r="B8516" s="76" t="s">
        <v>9961</v>
      </c>
    </row>
    <row r="8517" spans="1:2" x14ac:dyDescent="0.25">
      <c r="A8517" s="75">
        <v>42152420</v>
      </c>
      <c r="B8517" s="76" t="s">
        <v>9229</v>
      </c>
    </row>
    <row r="8518" spans="1:2" x14ac:dyDescent="0.25">
      <c r="A8518" s="75">
        <v>42152421</v>
      </c>
      <c r="B8518" s="76" t="s">
        <v>3610</v>
      </c>
    </row>
    <row r="8519" spans="1:2" x14ac:dyDescent="0.25">
      <c r="A8519" s="75">
        <v>42152422</v>
      </c>
      <c r="B8519" s="76" t="s">
        <v>12923</v>
      </c>
    </row>
    <row r="8520" spans="1:2" x14ac:dyDescent="0.25">
      <c r="A8520" s="75">
        <v>42152423</v>
      </c>
      <c r="B8520" s="76" t="s">
        <v>16161</v>
      </c>
    </row>
    <row r="8521" spans="1:2" x14ac:dyDescent="0.25">
      <c r="A8521" s="75">
        <v>42152424</v>
      </c>
      <c r="B8521" s="76" t="s">
        <v>15337</v>
      </c>
    </row>
    <row r="8522" spans="1:2" x14ac:dyDescent="0.25">
      <c r="A8522" s="75">
        <v>42152425</v>
      </c>
      <c r="B8522" s="76" t="s">
        <v>14075</v>
      </c>
    </row>
    <row r="8523" spans="1:2" x14ac:dyDescent="0.25">
      <c r="A8523" s="75">
        <v>42152426</v>
      </c>
      <c r="B8523" s="76" t="s">
        <v>6309</v>
      </c>
    </row>
    <row r="8524" spans="1:2" x14ac:dyDescent="0.25">
      <c r="A8524" s="75">
        <v>42152427</v>
      </c>
      <c r="B8524" s="76" t="s">
        <v>1489</v>
      </c>
    </row>
    <row r="8525" spans="1:2" x14ac:dyDescent="0.25">
      <c r="A8525" s="75">
        <v>42152428</v>
      </c>
      <c r="B8525" s="76" t="s">
        <v>3611</v>
      </c>
    </row>
    <row r="8526" spans="1:2" x14ac:dyDescent="0.25">
      <c r="A8526" s="75">
        <v>42152429</v>
      </c>
      <c r="B8526" s="76" t="s">
        <v>3744</v>
      </c>
    </row>
    <row r="8527" spans="1:2" x14ac:dyDescent="0.25">
      <c r="A8527" s="75">
        <v>42152430</v>
      </c>
      <c r="B8527" s="76" t="s">
        <v>15016</v>
      </c>
    </row>
    <row r="8528" spans="1:2" x14ac:dyDescent="0.25">
      <c r="A8528" s="75">
        <v>42152431</v>
      </c>
      <c r="B8528" s="76" t="s">
        <v>12891</v>
      </c>
    </row>
    <row r="8529" spans="1:2" x14ac:dyDescent="0.25">
      <c r="A8529" s="75">
        <v>42152432</v>
      </c>
      <c r="B8529" s="76" t="s">
        <v>7544</v>
      </c>
    </row>
    <row r="8530" spans="1:2" x14ac:dyDescent="0.25">
      <c r="A8530" s="75">
        <v>42152433</v>
      </c>
      <c r="B8530" s="76" t="s">
        <v>10139</v>
      </c>
    </row>
    <row r="8531" spans="1:2" x14ac:dyDescent="0.25">
      <c r="A8531" s="75">
        <v>42152434</v>
      </c>
      <c r="B8531" s="76" t="s">
        <v>19878</v>
      </c>
    </row>
    <row r="8532" spans="1:2" x14ac:dyDescent="0.25">
      <c r="A8532" s="75">
        <v>42152435</v>
      </c>
      <c r="B8532" s="76" t="s">
        <v>11410</v>
      </c>
    </row>
    <row r="8533" spans="1:2" x14ac:dyDescent="0.25">
      <c r="A8533" s="75">
        <v>42152436</v>
      </c>
      <c r="B8533" s="76" t="s">
        <v>13260</v>
      </c>
    </row>
    <row r="8534" spans="1:2" x14ac:dyDescent="0.25">
      <c r="A8534" s="75">
        <v>42152437</v>
      </c>
      <c r="B8534" s="76" t="s">
        <v>7427</v>
      </c>
    </row>
    <row r="8535" spans="1:2" x14ac:dyDescent="0.25">
      <c r="A8535" s="75">
        <v>42152438</v>
      </c>
      <c r="B8535" s="76" t="s">
        <v>15897</v>
      </c>
    </row>
    <row r="8536" spans="1:2" x14ac:dyDescent="0.25">
      <c r="A8536" s="75">
        <v>42152439</v>
      </c>
      <c r="B8536" s="76" t="s">
        <v>19252</v>
      </c>
    </row>
    <row r="8537" spans="1:2" x14ac:dyDescent="0.25">
      <c r="A8537" s="75">
        <v>42152440</v>
      </c>
      <c r="B8537" s="76" t="s">
        <v>1196</v>
      </c>
    </row>
    <row r="8538" spans="1:2" x14ac:dyDescent="0.25">
      <c r="A8538" s="75">
        <v>42152441</v>
      </c>
      <c r="B8538" s="76" t="s">
        <v>11230</v>
      </c>
    </row>
    <row r="8539" spans="1:2" x14ac:dyDescent="0.25">
      <c r="A8539" s="75">
        <v>42152442</v>
      </c>
      <c r="B8539" s="76" t="s">
        <v>6925</v>
      </c>
    </row>
    <row r="8540" spans="1:2" x14ac:dyDescent="0.25">
      <c r="A8540" s="75">
        <v>42152443</v>
      </c>
      <c r="B8540" s="76" t="s">
        <v>8142</v>
      </c>
    </row>
    <row r="8541" spans="1:2" x14ac:dyDescent="0.25">
      <c r="A8541" s="75">
        <v>42152444</v>
      </c>
      <c r="B8541" s="76" t="s">
        <v>1789</v>
      </c>
    </row>
    <row r="8542" spans="1:2" x14ac:dyDescent="0.25">
      <c r="A8542" s="75">
        <v>42152445</v>
      </c>
      <c r="B8542" s="76" t="s">
        <v>4932</v>
      </c>
    </row>
    <row r="8543" spans="1:2" x14ac:dyDescent="0.25">
      <c r="A8543" s="75">
        <v>42152446</v>
      </c>
      <c r="B8543" s="76" t="s">
        <v>7135</v>
      </c>
    </row>
    <row r="8544" spans="1:2" x14ac:dyDescent="0.25">
      <c r="A8544" s="75">
        <v>42152447</v>
      </c>
      <c r="B8544" s="76" t="s">
        <v>1743</v>
      </c>
    </row>
    <row r="8545" spans="1:2" x14ac:dyDescent="0.25">
      <c r="A8545" s="75">
        <v>42152449</v>
      </c>
      <c r="B8545" s="76" t="s">
        <v>1057</v>
      </c>
    </row>
    <row r="8546" spans="1:2" x14ac:dyDescent="0.25">
      <c r="A8546" s="75">
        <v>42152450</v>
      </c>
      <c r="B8546" s="76" t="s">
        <v>13713</v>
      </c>
    </row>
    <row r="8547" spans="1:2" x14ac:dyDescent="0.25">
      <c r="A8547" s="75">
        <v>42152451</v>
      </c>
      <c r="B8547" s="76" t="s">
        <v>6503</v>
      </c>
    </row>
    <row r="8548" spans="1:2" x14ac:dyDescent="0.25">
      <c r="A8548" s="75">
        <v>42152452</v>
      </c>
      <c r="B8548" s="76" t="s">
        <v>2379</v>
      </c>
    </row>
    <row r="8549" spans="1:2" x14ac:dyDescent="0.25">
      <c r="A8549" s="75">
        <v>42152453</v>
      </c>
      <c r="B8549" s="76" t="s">
        <v>6749</v>
      </c>
    </row>
    <row r="8550" spans="1:2" x14ac:dyDescent="0.25">
      <c r="A8550" s="75">
        <v>42152454</v>
      </c>
      <c r="B8550" s="76" t="s">
        <v>1540</v>
      </c>
    </row>
    <row r="8551" spans="1:2" x14ac:dyDescent="0.25">
      <c r="A8551" s="75">
        <v>42152455</v>
      </c>
      <c r="B8551" s="76" t="s">
        <v>5732</v>
      </c>
    </row>
    <row r="8552" spans="1:2" x14ac:dyDescent="0.25">
      <c r="A8552" s="75">
        <v>42152456</v>
      </c>
      <c r="B8552" s="76" t="s">
        <v>13522</v>
      </c>
    </row>
    <row r="8553" spans="1:2" x14ac:dyDescent="0.25">
      <c r="A8553" s="75">
        <v>42152457</v>
      </c>
      <c r="B8553" s="76" t="s">
        <v>16699</v>
      </c>
    </row>
    <row r="8554" spans="1:2" x14ac:dyDescent="0.25">
      <c r="A8554" s="75">
        <v>42152458</v>
      </c>
      <c r="B8554" s="76" t="s">
        <v>4388</v>
      </c>
    </row>
    <row r="8555" spans="1:2" x14ac:dyDescent="0.25">
      <c r="A8555" s="75">
        <v>42152459</v>
      </c>
      <c r="B8555" s="76" t="s">
        <v>6472</v>
      </c>
    </row>
    <row r="8556" spans="1:2" x14ac:dyDescent="0.25">
      <c r="A8556" s="75">
        <v>42152460</v>
      </c>
      <c r="B8556" s="76" t="s">
        <v>10659</v>
      </c>
    </row>
    <row r="8557" spans="1:2" x14ac:dyDescent="0.25">
      <c r="A8557" s="75">
        <v>42152461</v>
      </c>
      <c r="B8557" s="76" t="s">
        <v>11730</v>
      </c>
    </row>
    <row r="8558" spans="1:2" x14ac:dyDescent="0.25">
      <c r="A8558" s="75">
        <v>42152462</v>
      </c>
      <c r="B8558" s="76" t="s">
        <v>19729</v>
      </c>
    </row>
    <row r="8559" spans="1:2" x14ac:dyDescent="0.25">
      <c r="A8559" s="75">
        <v>42152463</v>
      </c>
      <c r="B8559" s="76" t="s">
        <v>2138</v>
      </c>
    </row>
    <row r="8560" spans="1:2" x14ac:dyDescent="0.25">
      <c r="A8560" s="75">
        <v>42152464</v>
      </c>
      <c r="B8560" s="76" t="s">
        <v>1694</v>
      </c>
    </row>
    <row r="8561" spans="1:2" x14ac:dyDescent="0.25">
      <c r="A8561" s="75">
        <v>42152465</v>
      </c>
      <c r="B8561" s="76" t="s">
        <v>14921</v>
      </c>
    </row>
    <row r="8562" spans="1:2" x14ac:dyDescent="0.25">
      <c r="A8562" s="75">
        <v>42152501</v>
      </c>
      <c r="B8562" s="76" t="s">
        <v>10459</v>
      </c>
    </row>
    <row r="8563" spans="1:2" x14ac:dyDescent="0.25">
      <c r="A8563" s="75">
        <v>42152502</v>
      </c>
      <c r="B8563" s="76" t="s">
        <v>15614</v>
      </c>
    </row>
    <row r="8564" spans="1:2" x14ac:dyDescent="0.25">
      <c r="A8564" s="75">
        <v>42152503</v>
      </c>
      <c r="B8564" s="76" t="s">
        <v>10211</v>
      </c>
    </row>
    <row r="8565" spans="1:2" x14ac:dyDescent="0.25">
      <c r="A8565" s="75">
        <v>42152504</v>
      </c>
      <c r="B8565" s="76" t="s">
        <v>14324</v>
      </c>
    </row>
    <row r="8566" spans="1:2" x14ac:dyDescent="0.25">
      <c r="A8566" s="75">
        <v>42152505</v>
      </c>
      <c r="B8566" s="76" t="s">
        <v>18265</v>
      </c>
    </row>
    <row r="8567" spans="1:2" x14ac:dyDescent="0.25">
      <c r="A8567" s="75">
        <v>42152506</v>
      </c>
      <c r="B8567" s="76" t="s">
        <v>18977</v>
      </c>
    </row>
    <row r="8568" spans="1:2" x14ac:dyDescent="0.25">
      <c r="A8568" s="75">
        <v>42152507</v>
      </c>
      <c r="B8568" s="76" t="s">
        <v>7323</v>
      </c>
    </row>
    <row r="8569" spans="1:2" x14ac:dyDescent="0.25">
      <c r="A8569" s="75">
        <v>42152508</v>
      </c>
      <c r="B8569" s="76" t="s">
        <v>1341</v>
      </c>
    </row>
    <row r="8570" spans="1:2" x14ac:dyDescent="0.25">
      <c r="A8570" s="75">
        <v>42152509</v>
      </c>
      <c r="B8570" s="76" t="s">
        <v>509</v>
      </c>
    </row>
    <row r="8571" spans="1:2" x14ac:dyDescent="0.25">
      <c r="A8571" s="75">
        <v>42152510</v>
      </c>
      <c r="B8571" s="76" t="s">
        <v>2424</v>
      </c>
    </row>
    <row r="8572" spans="1:2" x14ac:dyDescent="0.25">
      <c r="A8572" s="75">
        <v>42152511</v>
      </c>
      <c r="B8572" s="76" t="s">
        <v>9310</v>
      </c>
    </row>
    <row r="8573" spans="1:2" x14ac:dyDescent="0.25">
      <c r="A8573" s="75">
        <v>42152512</v>
      </c>
      <c r="B8573" s="76" t="s">
        <v>11091</v>
      </c>
    </row>
    <row r="8574" spans="1:2" x14ac:dyDescent="0.25">
      <c r="A8574" s="75">
        <v>42152513</v>
      </c>
      <c r="B8574" s="76" t="s">
        <v>14717</v>
      </c>
    </row>
    <row r="8575" spans="1:2" x14ac:dyDescent="0.25">
      <c r="A8575" s="75">
        <v>42152514</v>
      </c>
      <c r="B8575" s="76" t="s">
        <v>10674</v>
      </c>
    </row>
    <row r="8576" spans="1:2" x14ac:dyDescent="0.25">
      <c r="A8576" s="75">
        <v>42152516</v>
      </c>
      <c r="B8576" s="76" t="s">
        <v>19786</v>
      </c>
    </row>
    <row r="8577" spans="1:2" x14ac:dyDescent="0.25">
      <c r="A8577" s="75">
        <v>42152517</v>
      </c>
      <c r="B8577" s="76" t="s">
        <v>14207</v>
      </c>
    </row>
    <row r="8578" spans="1:2" x14ac:dyDescent="0.25">
      <c r="A8578" s="75">
        <v>42152518</v>
      </c>
      <c r="B8578" s="76" t="s">
        <v>10600</v>
      </c>
    </row>
    <row r="8579" spans="1:2" x14ac:dyDescent="0.25">
      <c r="A8579" s="75">
        <v>42152519</v>
      </c>
      <c r="B8579" s="76" t="s">
        <v>12790</v>
      </c>
    </row>
    <row r="8580" spans="1:2" x14ac:dyDescent="0.25">
      <c r="A8580" s="75">
        <v>42152520</v>
      </c>
      <c r="B8580" s="76" t="s">
        <v>10583</v>
      </c>
    </row>
    <row r="8581" spans="1:2" x14ac:dyDescent="0.25">
      <c r="A8581" s="75">
        <v>42152601</v>
      </c>
      <c r="B8581" s="76" t="s">
        <v>14159</v>
      </c>
    </row>
    <row r="8582" spans="1:2" x14ac:dyDescent="0.25">
      <c r="A8582" s="75">
        <v>42152602</v>
      </c>
      <c r="B8582" s="76" t="s">
        <v>17589</v>
      </c>
    </row>
    <row r="8583" spans="1:2" x14ac:dyDescent="0.25">
      <c r="A8583" s="75">
        <v>42152603</v>
      </c>
      <c r="B8583" s="76" t="s">
        <v>2742</v>
      </c>
    </row>
    <row r="8584" spans="1:2" x14ac:dyDescent="0.25">
      <c r="A8584" s="75">
        <v>42152604</v>
      </c>
      <c r="B8584" s="76" t="s">
        <v>9929</v>
      </c>
    </row>
    <row r="8585" spans="1:2" x14ac:dyDescent="0.25">
      <c r="A8585" s="75">
        <v>42152605</v>
      </c>
      <c r="B8585" s="76" t="s">
        <v>10460</v>
      </c>
    </row>
    <row r="8586" spans="1:2" x14ac:dyDescent="0.25">
      <c r="A8586" s="75">
        <v>42152606</v>
      </c>
      <c r="B8586" s="76" t="s">
        <v>17807</v>
      </c>
    </row>
    <row r="8587" spans="1:2" x14ac:dyDescent="0.25">
      <c r="A8587" s="75">
        <v>42152607</v>
      </c>
      <c r="B8587" s="76" t="s">
        <v>14776</v>
      </c>
    </row>
    <row r="8588" spans="1:2" x14ac:dyDescent="0.25">
      <c r="A8588" s="75">
        <v>42152608</v>
      </c>
      <c r="B8588" s="76" t="s">
        <v>6756</v>
      </c>
    </row>
    <row r="8589" spans="1:2" x14ac:dyDescent="0.25">
      <c r="A8589" s="75">
        <v>42152701</v>
      </c>
      <c r="B8589" s="76" t="s">
        <v>19096</v>
      </c>
    </row>
    <row r="8590" spans="1:2" x14ac:dyDescent="0.25">
      <c r="A8590" s="75">
        <v>42152702</v>
      </c>
      <c r="B8590" s="76" t="s">
        <v>10173</v>
      </c>
    </row>
    <row r="8591" spans="1:2" x14ac:dyDescent="0.25">
      <c r="A8591" s="75">
        <v>42152703</v>
      </c>
      <c r="B8591" s="76" t="s">
        <v>13337</v>
      </c>
    </row>
    <row r="8592" spans="1:2" x14ac:dyDescent="0.25">
      <c r="A8592" s="75">
        <v>42152704</v>
      </c>
      <c r="B8592" s="76" t="s">
        <v>8278</v>
      </c>
    </row>
    <row r="8593" spans="1:2" x14ac:dyDescent="0.25">
      <c r="A8593" s="75">
        <v>42152705</v>
      </c>
      <c r="B8593" s="76" t="s">
        <v>10135</v>
      </c>
    </row>
    <row r="8594" spans="1:2" x14ac:dyDescent="0.25">
      <c r="A8594" s="75">
        <v>42152706</v>
      </c>
      <c r="B8594" s="76" t="s">
        <v>15653</v>
      </c>
    </row>
    <row r="8595" spans="1:2" x14ac:dyDescent="0.25">
      <c r="A8595" s="75">
        <v>42152707</v>
      </c>
      <c r="B8595" s="76" t="s">
        <v>16405</v>
      </c>
    </row>
    <row r="8596" spans="1:2" x14ac:dyDescent="0.25">
      <c r="A8596" s="75">
        <v>42152708</v>
      </c>
      <c r="B8596" s="76" t="s">
        <v>3712</v>
      </c>
    </row>
    <row r="8597" spans="1:2" x14ac:dyDescent="0.25">
      <c r="A8597" s="75">
        <v>42152709</v>
      </c>
      <c r="B8597" s="76" t="s">
        <v>16944</v>
      </c>
    </row>
    <row r="8598" spans="1:2" x14ac:dyDescent="0.25">
      <c r="A8598" s="75">
        <v>42152710</v>
      </c>
      <c r="B8598" s="76" t="s">
        <v>11103</v>
      </c>
    </row>
    <row r="8599" spans="1:2" x14ac:dyDescent="0.25">
      <c r="A8599" s="75">
        <v>42152711</v>
      </c>
      <c r="B8599" s="76" t="s">
        <v>13408</v>
      </c>
    </row>
    <row r="8600" spans="1:2" x14ac:dyDescent="0.25">
      <c r="A8600" s="75">
        <v>42152712</v>
      </c>
      <c r="B8600" s="76" t="s">
        <v>15313</v>
      </c>
    </row>
    <row r="8601" spans="1:2" x14ac:dyDescent="0.25">
      <c r="A8601" s="75">
        <v>42152713</v>
      </c>
      <c r="B8601" s="76" t="s">
        <v>11372</v>
      </c>
    </row>
    <row r="8602" spans="1:2" x14ac:dyDescent="0.25">
      <c r="A8602" s="75">
        <v>42152714</v>
      </c>
      <c r="B8602" s="76" t="s">
        <v>9740</v>
      </c>
    </row>
    <row r="8603" spans="1:2" x14ac:dyDescent="0.25">
      <c r="A8603" s="75">
        <v>42152715</v>
      </c>
      <c r="B8603" s="76" t="s">
        <v>15588</v>
      </c>
    </row>
    <row r="8604" spans="1:2" x14ac:dyDescent="0.25">
      <c r="A8604" s="75">
        <v>42152716</v>
      </c>
      <c r="B8604" s="76" t="s">
        <v>8535</v>
      </c>
    </row>
    <row r="8605" spans="1:2" x14ac:dyDescent="0.25">
      <c r="A8605" s="75">
        <v>42152801</v>
      </c>
      <c r="B8605" s="76" t="s">
        <v>16626</v>
      </c>
    </row>
    <row r="8606" spans="1:2" x14ac:dyDescent="0.25">
      <c r="A8606" s="75">
        <v>42152802</v>
      </c>
      <c r="B8606" s="76" t="s">
        <v>11040</v>
      </c>
    </row>
    <row r="8607" spans="1:2" x14ac:dyDescent="0.25">
      <c r="A8607" s="75">
        <v>42152803</v>
      </c>
      <c r="B8607" s="76" t="s">
        <v>16746</v>
      </c>
    </row>
    <row r="8608" spans="1:2" x14ac:dyDescent="0.25">
      <c r="A8608" s="75">
        <v>42152804</v>
      </c>
      <c r="B8608" s="76" t="s">
        <v>19080</v>
      </c>
    </row>
    <row r="8609" spans="1:2" x14ac:dyDescent="0.25">
      <c r="A8609" s="75">
        <v>42152805</v>
      </c>
      <c r="B8609" s="76" t="s">
        <v>19057</v>
      </c>
    </row>
    <row r="8610" spans="1:2" x14ac:dyDescent="0.25">
      <c r="A8610" s="75">
        <v>42152806</v>
      </c>
      <c r="B8610" s="76" t="s">
        <v>5368</v>
      </c>
    </row>
    <row r="8611" spans="1:2" x14ac:dyDescent="0.25">
      <c r="A8611" s="75">
        <v>42152807</v>
      </c>
      <c r="B8611" s="76" t="s">
        <v>7667</v>
      </c>
    </row>
    <row r="8612" spans="1:2" x14ac:dyDescent="0.25">
      <c r="A8612" s="75">
        <v>42152808</v>
      </c>
      <c r="B8612" s="76" t="s">
        <v>10823</v>
      </c>
    </row>
    <row r="8613" spans="1:2" x14ac:dyDescent="0.25">
      <c r="A8613" s="75">
        <v>42152809</v>
      </c>
      <c r="B8613" s="76" t="s">
        <v>8536</v>
      </c>
    </row>
    <row r="8614" spans="1:2" x14ac:dyDescent="0.25">
      <c r="A8614" s="75">
        <v>42152810</v>
      </c>
      <c r="B8614" s="76" t="s">
        <v>15344</v>
      </c>
    </row>
    <row r="8615" spans="1:2" x14ac:dyDescent="0.25">
      <c r="A8615" s="75">
        <v>42161501</v>
      </c>
      <c r="B8615" s="76" t="s">
        <v>2655</v>
      </c>
    </row>
    <row r="8616" spans="1:2" x14ac:dyDescent="0.25">
      <c r="A8616" s="75">
        <v>42161502</v>
      </c>
      <c r="B8616" s="76" t="s">
        <v>19869</v>
      </c>
    </row>
    <row r="8617" spans="1:2" x14ac:dyDescent="0.25">
      <c r="A8617" s="75">
        <v>42161503</v>
      </c>
      <c r="B8617" s="76" t="s">
        <v>13629</v>
      </c>
    </row>
    <row r="8618" spans="1:2" x14ac:dyDescent="0.25">
      <c r="A8618" s="75">
        <v>42161504</v>
      </c>
      <c r="B8618" s="76" t="s">
        <v>7652</v>
      </c>
    </row>
    <row r="8619" spans="1:2" x14ac:dyDescent="0.25">
      <c r="A8619" s="75">
        <v>42161505</v>
      </c>
      <c r="B8619" s="76" t="s">
        <v>16093</v>
      </c>
    </row>
    <row r="8620" spans="1:2" x14ac:dyDescent="0.25">
      <c r="A8620" s="75">
        <v>42161506</v>
      </c>
      <c r="B8620" s="76" t="s">
        <v>4964</v>
      </c>
    </row>
    <row r="8621" spans="1:2" x14ac:dyDescent="0.25">
      <c r="A8621" s="75">
        <v>42161507</v>
      </c>
      <c r="B8621" s="76" t="s">
        <v>2144</v>
      </c>
    </row>
    <row r="8622" spans="1:2" x14ac:dyDescent="0.25">
      <c r="A8622" s="75">
        <v>42161508</v>
      </c>
      <c r="B8622" s="76" t="s">
        <v>10778</v>
      </c>
    </row>
    <row r="8623" spans="1:2" x14ac:dyDescent="0.25">
      <c r="A8623" s="75">
        <v>42161509</v>
      </c>
      <c r="B8623" s="76" t="s">
        <v>3776</v>
      </c>
    </row>
    <row r="8624" spans="1:2" x14ac:dyDescent="0.25">
      <c r="A8624" s="75">
        <v>42161510</v>
      </c>
      <c r="B8624" s="76" t="s">
        <v>1567</v>
      </c>
    </row>
    <row r="8625" spans="1:2" x14ac:dyDescent="0.25">
      <c r="A8625" s="75">
        <v>42161601</v>
      </c>
      <c r="B8625" s="76" t="s">
        <v>14004</v>
      </c>
    </row>
    <row r="8626" spans="1:2" x14ac:dyDescent="0.25">
      <c r="A8626" s="75">
        <v>42161602</v>
      </c>
      <c r="B8626" s="76" t="s">
        <v>13858</v>
      </c>
    </row>
    <row r="8627" spans="1:2" x14ac:dyDescent="0.25">
      <c r="A8627" s="75">
        <v>42161603</v>
      </c>
      <c r="B8627" s="76" t="s">
        <v>17712</v>
      </c>
    </row>
    <row r="8628" spans="1:2" x14ac:dyDescent="0.25">
      <c r="A8628" s="75">
        <v>42161604</v>
      </c>
      <c r="B8628" s="76" t="s">
        <v>15792</v>
      </c>
    </row>
    <row r="8629" spans="1:2" x14ac:dyDescent="0.25">
      <c r="A8629" s="75">
        <v>42161605</v>
      </c>
      <c r="B8629" s="76" t="s">
        <v>14811</v>
      </c>
    </row>
    <row r="8630" spans="1:2" x14ac:dyDescent="0.25">
      <c r="A8630" s="75">
        <v>42161606</v>
      </c>
      <c r="B8630" s="76" t="s">
        <v>401</v>
      </c>
    </row>
    <row r="8631" spans="1:2" x14ac:dyDescent="0.25">
      <c r="A8631" s="75">
        <v>42161607</v>
      </c>
      <c r="B8631" s="76" t="s">
        <v>18938</v>
      </c>
    </row>
    <row r="8632" spans="1:2" x14ac:dyDescent="0.25">
      <c r="A8632" s="75">
        <v>42161608</v>
      </c>
      <c r="B8632" s="76" t="s">
        <v>3650</v>
      </c>
    </row>
    <row r="8633" spans="1:2" x14ac:dyDescent="0.25">
      <c r="A8633" s="75">
        <v>42161609</v>
      </c>
      <c r="B8633" s="76" t="s">
        <v>8549</v>
      </c>
    </row>
    <row r="8634" spans="1:2" x14ac:dyDescent="0.25">
      <c r="A8634" s="75">
        <v>42161610</v>
      </c>
      <c r="B8634" s="76" t="s">
        <v>1174</v>
      </c>
    </row>
    <row r="8635" spans="1:2" x14ac:dyDescent="0.25">
      <c r="A8635" s="75">
        <v>42161611</v>
      </c>
      <c r="B8635" s="76" t="s">
        <v>15046</v>
      </c>
    </row>
    <row r="8636" spans="1:2" x14ac:dyDescent="0.25">
      <c r="A8636" s="75">
        <v>42161612</v>
      </c>
      <c r="B8636" s="76" t="s">
        <v>16886</v>
      </c>
    </row>
    <row r="8637" spans="1:2" x14ac:dyDescent="0.25">
      <c r="A8637" s="75">
        <v>42161613</v>
      </c>
      <c r="B8637" s="76" t="s">
        <v>17201</v>
      </c>
    </row>
    <row r="8638" spans="1:2" x14ac:dyDescent="0.25">
      <c r="A8638" s="75">
        <v>42161614</v>
      </c>
      <c r="B8638" s="76" t="s">
        <v>16984</v>
      </c>
    </row>
    <row r="8639" spans="1:2" x14ac:dyDescent="0.25">
      <c r="A8639" s="75">
        <v>42161615</v>
      </c>
      <c r="B8639" s="76" t="s">
        <v>10290</v>
      </c>
    </row>
    <row r="8640" spans="1:2" x14ac:dyDescent="0.25">
      <c r="A8640" s="75">
        <v>42161616</v>
      </c>
      <c r="B8640" s="76" t="s">
        <v>13219</v>
      </c>
    </row>
    <row r="8641" spans="1:2" x14ac:dyDescent="0.25">
      <c r="A8641" s="75">
        <v>42161617</v>
      </c>
      <c r="B8641" s="76" t="s">
        <v>5094</v>
      </c>
    </row>
    <row r="8642" spans="1:2" x14ac:dyDescent="0.25">
      <c r="A8642" s="75">
        <v>42161618</v>
      </c>
      <c r="B8642" s="76" t="s">
        <v>7068</v>
      </c>
    </row>
    <row r="8643" spans="1:2" x14ac:dyDescent="0.25">
      <c r="A8643" s="75">
        <v>42161619</v>
      </c>
      <c r="B8643" s="76" t="s">
        <v>2560</v>
      </c>
    </row>
    <row r="8644" spans="1:2" x14ac:dyDescent="0.25">
      <c r="A8644" s="75">
        <v>42161620</v>
      </c>
      <c r="B8644" s="76" t="s">
        <v>915</v>
      </c>
    </row>
    <row r="8645" spans="1:2" x14ac:dyDescent="0.25">
      <c r="A8645" s="75">
        <v>42161621</v>
      </c>
      <c r="B8645" s="76" t="s">
        <v>14223</v>
      </c>
    </row>
    <row r="8646" spans="1:2" x14ac:dyDescent="0.25">
      <c r="A8646" s="75">
        <v>42161622</v>
      </c>
      <c r="B8646" s="76" t="s">
        <v>15014</v>
      </c>
    </row>
    <row r="8647" spans="1:2" x14ac:dyDescent="0.25">
      <c r="A8647" s="75">
        <v>42161623</v>
      </c>
      <c r="B8647" s="76" t="s">
        <v>11203</v>
      </c>
    </row>
    <row r="8648" spans="1:2" x14ac:dyDescent="0.25">
      <c r="A8648" s="75">
        <v>42161624</v>
      </c>
      <c r="B8648" s="76" t="s">
        <v>4584</v>
      </c>
    </row>
    <row r="8649" spans="1:2" x14ac:dyDescent="0.25">
      <c r="A8649" s="75">
        <v>42161625</v>
      </c>
      <c r="B8649" s="76" t="s">
        <v>18361</v>
      </c>
    </row>
    <row r="8650" spans="1:2" x14ac:dyDescent="0.25">
      <c r="A8650" s="75">
        <v>42161626</v>
      </c>
      <c r="B8650" s="76" t="s">
        <v>8160</v>
      </c>
    </row>
    <row r="8651" spans="1:2" x14ac:dyDescent="0.25">
      <c r="A8651" s="75">
        <v>42161627</v>
      </c>
      <c r="B8651" s="76" t="s">
        <v>2303</v>
      </c>
    </row>
    <row r="8652" spans="1:2" x14ac:dyDescent="0.25">
      <c r="A8652" s="75">
        <v>42161628</v>
      </c>
      <c r="B8652" s="76" t="s">
        <v>14275</v>
      </c>
    </row>
    <row r="8653" spans="1:2" x14ac:dyDescent="0.25">
      <c r="A8653" s="75">
        <v>42161629</v>
      </c>
      <c r="B8653" s="76" t="s">
        <v>17278</v>
      </c>
    </row>
    <row r="8654" spans="1:2" x14ac:dyDescent="0.25">
      <c r="A8654" s="75">
        <v>42161630</v>
      </c>
      <c r="B8654" s="76" t="s">
        <v>3109</v>
      </c>
    </row>
    <row r="8655" spans="1:2" x14ac:dyDescent="0.25">
      <c r="A8655" s="75">
        <v>42161631</v>
      </c>
      <c r="B8655" s="76" t="s">
        <v>4908</v>
      </c>
    </row>
    <row r="8656" spans="1:2" x14ac:dyDescent="0.25">
      <c r="A8656" s="75">
        <v>42161632</v>
      </c>
      <c r="B8656" s="76" t="s">
        <v>207</v>
      </c>
    </row>
    <row r="8657" spans="1:2" x14ac:dyDescent="0.25">
      <c r="A8657" s="75">
        <v>42161633</v>
      </c>
      <c r="B8657" s="76" t="s">
        <v>12885</v>
      </c>
    </row>
    <row r="8658" spans="1:2" x14ac:dyDescent="0.25">
      <c r="A8658" s="75">
        <v>42161634</v>
      </c>
      <c r="B8658" s="76" t="s">
        <v>14990</v>
      </c>
    </row>
    <row r="8659" spans="1:2" x14ac:dyDescent="0.25">
      <c r="A8659" s="75">
        <v>42161635</v>
      </c>
      <c r="B8659" s="76" t="s">
        <v>9067</v>
      </c>
    </row>
    <row r="8660" spans="1:2" x14ac:dyDescent="0.25">
      <c r="A8660" s="75">
        <v>42161701</v>
      </c>
      <c r="B8660" s="76" t="s">
        <v>12125</v>
      </c>
    </row>
    <row r="8661" spans="1:2" x14ac:dyDescent="0.25">
      <c r="A8661" s="75">
        <v>42161702</v>
      </c>
      <c r="B8661" s="76" t="s">
        <v>15012</v>
      </c>
    </row>
    <row r="8662" spans="1:2" x14ac:dyDescent="0.25">
      <c r="A8662" s="75">
        <v>42161703</v>
      </c>
      <c r="B8662" s="76" t="s">
        <v>18929</v>
      </c>
    </row>
    <row r="8663" spans="1:2" x14ac:dyDescent="0.25">
      <c r="A8663" s="75">
        <v>42161704</v>
      </c>
      <c r="B8663" s="76" t="s">
        <v>10294</v>
      </c>
    </row>
    <row r="8664" spans="1:2" x14ac:dyDescent="0.25">
      <c r="A8664" s="75">
        <v>42161801</v>
      </c>
      <c r="B8664" s="76" t="s">
        <v>8633</v>
      </c>
    </row>
    <row r="8665" spans="1:2" x14ac:dyDescent="0.25">
      <c r="A8665" s="75">
        <v>42161802</v>
      </c>
      <c r="B8665" s="76" t="s">
        <v>15056</v>
      </c>
    </row>
    <row r="8666" spans="1:2" x14ac:dyDescent="0.25">
      <c r="A8666" s="75">
        <v>42161803</v>
      </c>
      <c r="B8666" s="76" t="s">
        <v>11346</v>
      </c>
    </row>
    <row r="8667" spans="1:2" x14ac:dyDescent="0.25">
      <c r="A8667" s="75">
        <v>42161804</v>
      </c>
      <c r="B8667" s="76" t="s">
        <v>2239</v>
      </c>
    </row>
    <row r="8668" spans="1:2" x14ac:dyDescent="0.25">
      <c r="A8668" s="75">
        <v>42171501</v>
      </c>
      <c r="B8668" s="76" t="s">
        <v>15471</v>
      </c>
    </row>
    <row r="8669" spans="1:2" x14ac:dyDescent="0.25">
      <c r="A8669" s="75">
        <v>42171502</v>
      </c>
      <c r="B8669" s="76" t="s">
        <v>18458</v>
      </c>
    </row>
    <row r="8670" spans="1:2" x14ac:dyDescent="0.25">
      <c r="A8670" s="75">
        <v>42171601</v>
      </c>
      <c r="B8670" s="76" t="s">
        <v>8151</v>
      </c>
    </row>
    <row r="8671" spans="1:2" x14ac:dyDescent="0.25">
      <c r="A8671" s="75">
        <v>42171602</v>
      </c>
      <c r="B8671" s="76" t="s">
        <v>9260</v>
      </c>
    </row>
    <row r="8672" spans="1:2" x14ac:dyDescent="0.25">
      <c r="A8672" s="75">
        <v>42171603</v>
      </c>
      <c r="B8672" s="76" t="s">
        <v>14074</v>
      </c>
    </row>
    <row r="8673" spans="1:2" x14ac:dyDescent="0.25">
      <c r="A8673" s="75">
        <v>42171604</v>
      </c>
      <c r="B8673" s="76" t="s">
        <v>2148</v>
      </c>
    </row>
    <row r="8674" spans="1:2" x14ac:dyDescent="0.25">
      <c r="A8674" s="75">
        <v>42171605</v>
      </c>
      <c r="B8674" s="76" t="s">
        <v>5957</v>
      </c>
    </row>
    <row r="8675" spans="1:2" x14ac:dyDescent="0.25">
      <c r="A8675" s="75">
        <v>42171606</v>
      </c>
      <c r="B8675" s="76" t="s">
        <v>9430</v>
      </c>
    </row>
    <row r="8676" spans="1:2" x14ac:dyDescent="0.25">
      <c r="A8676" s="75">
        <v>42171607</v>
      </c>
      <c r="B8676" s="76" t="s">
        <v>1316</v>
      </c>
    </row>
    <row r="8677" spans="1:2" x14ac:dyDescent="0.25">
      <c r="A8677" s="75">
        <v>42171608</v>
      </c>
      <c r="B8677" s="76" t="s">
        <v>12108</v>
      </c>
    </row>
    <row r="8678" spans="1:2" x14ac:dyDescent="0.25">
      <c r="A8678" s="75">
        <v>42171609</v>
      </c>
      <c r="B8678" s="76" t="s">
        <v>14658</v>
      </c>
    </row>
    <row r="8679" spans="1:2" x14ac:dyDescent="0.25">
      <c r="A8679" s="75">
        <v>42171610</v>
      </c>
      <c r="B8679" s="76" t="s">
        <v>15430</v>
      </c>
    </row>
    <row r="8680" spans="1:2" x14ac:dyDescent="0.25">
      <c r="A8680" s="75">
        <v>42171611</v>
      </c>
      <c r="B8680" s="76" t="s">
        <v>1504</v>
      </c>
    </row>
    <row r="8681" spans="1:2" x14ac:dyDescent="0.25">
      <c r="A8681" s="75">
        <v>42171612</v>
      </c>
      <c r="B8681" s="76" t="s">
        <v>12517</v>
      </c>
    </row>
    <row r="8682" spans="1:2" x14ac:dyDescent="0.25">
      <c r="A8682" s="75">
        <v>42171613</v>
      </c>
      <c r="B8682" s="76" t="s">
        <v>8165</v>
      </c>
    </row>
    <row r="8683" spans="1:2" x14ac:dyDescent="0.25">
      <c r="A8683" s="75">
        <v>42171614</v>
      </c>
      <c r="B8683" s="76" t="s">
        <v>13739</v>
      </c>
    </row>
    <row r="8684" spans="1:2" x14ac:dyDescent="0.25">
      <c r="A8684" s="75">
        <v>42171701</v>
      </c>
      <c r="B8684" s="76" t="s">
        <v>13277</v>
      </c>
    </row>
    <row r="8685" spans="1:2" x14ac:dyDescent="0.25">
      <c r="A8685" s="75">
        <v>42171702</v>
      </c>
      <c r="B8685" s="76" t="s">
        <v>12703</v>
      </c>
    </row>
    <row r="8686" spans="1:2" x14ac:dyDescent="0.25">
      <c r="A8686" s="75">
        <v>42171703</v>
      </c>
      <c r="B8686" s="76" t="s">
        <v>1859</v>
      </c>
    </row>
    <row r="8687" spans="1:2" x14ac:dyDescent="0.25">
      <c r="A8687" s="75">
        <v>42171704</v>
      </c>
      <c r="B8687" s="76" t="s">
        <v>19671</v>
      </c>
    </row>
    <row r="8688" spans="1:2" x14ac:dyDescent="0.25">
      <c r="A8688" s="75">
        <v>42171801</v>
      </c>
      <c r="B8688" s="76" t="s">
        <v>11000</v>
      </c>
    </row>
    <row r="8689" spans="1:2" x14ac:dyDescent="0.25">
      <c r="A8689" s="75">
        <v>42171802</v>
      </c>
      <c r="B8689" s="76" t="s">
        <v>6520</v>
      </c>
    </row>
    <row r="8690" spans="1:2" x14ac:dyDescent="0.25">
      <c r="A8690" s="75">
        <v>42171803</v>
      </c>
      <c r="B8690" s="76" t="s">
        <v>3967</v>
      </c>
    </row>
    <row r="8691" spans="1:2" x14ac:dyDescent="0.25">
      <c r="A8691" s="75">
        <v>42171804</v>
      </c>
      <c r="B8691" s="76" t="s">
        <v>18775</v>
      </c>
    </row>
    <row r="8692" spans="1:2" x14ac:dyDescent="0.25">
      <c r="A8692" s="75">
        <v>42171805</v>
      </c>
      <c r="B8692" s="76" t="s">
        <v>19868</v>
      </c>
    </row>
    <row r="8693" spans="1:2" x14ac:dyDescent="0.25">
      <c r="A8693" s="75">
        <v>42171806</v>
      </c>
      <c r="B8693" s="76" t="s">
        <v>1778</v>
      </c>
    </row>
    <row r="8694" spans="1:2" x14ac:dyDescent="0.25">
      <c r="A8694" s="75">
        <v>42171901</v>
      </c>
      <c r="B8694" s="76" t="s">
        <v>7368</v>
      </c>
    </row>
    <row r="8695" spans="1:2" x14ac:dyDescent="0.25">
      <c r="A8695" s="75">
        <v>42171902</v>
      </c>
      <c r="B8695" s="76" t="s">
        <v>18292</v>
      </c>
    </row>
    <row r="8696" spans="1:2" x14ac:dyDescent="0.25">
      <c r="A8696" s="75">
        <v>42171903</v>
      </c>
      <c r="B8696" s="76" t="s">
        <v>9436</v>
      </c>
    </row>
    <row r="8697" spans="1:2" x14ac:dyDescent="0.25">
      <c r="A8697" s="75">
        <v>42171904</v>
      </c>
      <c r="B8697" s="76" t="s">
        <v>2545</v>
      </c>
    </row>
    <row r="8698" spans="1:2" x14ac:dyDescent="0.25">
      <c r="A8698" s="75">
        <v>42171905</v>
      </c>
      <c r="B8698" s="76" t="s">
        <v>11085</v>
      </c>
    </row>
    <row r="8699" spans="1:2" x14ac:dyDescent="0.25">
      <c r="A8699" s="75">
        <v>42171906</v>
      </c>
      <c r="B8699" s="76" t="s">
        <v>5986</v>
      </c>
    </row>
    <row r="8700" spans="1:2" x14ac:dyDescent="0.25">
      <c r="A8700" s="75">
        <v>42171907</v>
      </c>
      <c r="B8700" s="76" t="s">
        <v>14463</v>
      </c>
    </row>
    <row r="8701" spans="1:2" x14ac:dyDescent="0.25">
      <c r="A8701" s="75">
        <v>42171908</v>
      </c>
      <c r="B8701" s="76" t="s">
        <v>4570</v>
      </c>
    </row>
    <row r="8702" spans="1:2" x14ac:dyDescent="0.25">
      <c r="A8702" s="75">
        <v>42171909</v>
      </c>
      <c r="B8702" s="76" t="s">
        <v>2803</v>
      </c>
    </row>
    <row r="8703" spans="1:2" x14ac:dyDescent="0.25">
      <c r="A8703" s="75">
        <v>42171910</v>
      </c>
      <c r="B8703" s="76" t="s">
        <v>8857</v>
      </c>
    </row>
    <row r="8704" spans="1:2" x14ac:dyDescent="0.25">
      <c r="A8704" s="75">
        <v>42171911</v>
      </c>
      <c r="B8704" s="76" t="s">
        <v>15925</v>
      </c>
    </row>
    <row r="8705" spans="1:2" x14ac:dyDescent="0.25">
      <c r="A8705" s="75">
        <v>42171912</v>
      </c>
      <c r="B8705" s="76" t="s">
        <v>945</v>
      </c>
    </row>
    <row r="8706" spans="1:2" x14ac:dyDescent="0.25">
      <c r="A8706" s="75">
        <v>42171913</v>
      </c>
      <c r="B8706" s="76" t="s">
        <v>6030</v>
      </c>
    </row>
    <row r="8707" spans="1:2" x14ac:dyDescent="0.25">
      <c r="A8707" s="75">
        <v>42171914</v>
      </c>
      <c r="B8707" s="76" t="s">
        <v>11120</v>
      </c>
    </row>
    <row r="8708" spans="1:2" x14ac:dyDescent="0.25">
      <c r="A8708" s="75">
        <v>42171915</v>
      </c>
      <c r="B8708" s="76" t="s">
        <v>13353</v>
      </c>
    </row>
    <row r="8709" spans="1:2" x14ac:dyDescent="0.25">
      <c r="A8709" s="75">
        <v>42171916</v>
      </c>
      <c r="B8709" s="76" t="s">
        <v>1836</v>
      </c>
    </row>
    <row r="8710" spans="1:2" x14ac:dyDescent="0.25">
      <c r="A8710" s="75">
        <v>42171917</v>
      </c>
      <c r="B8710" s="76" t="s">
        <v>1096</v>
      </c>
    </row>
    <row r="8711" spans="1:2" x14ac:dyDescent="0.25">
      <c r="A8711" s="75">
        <v>42171918</v>
      </c>
      <c r="B8711" s="76" t="s">
        <v>16531</v>
      </c>
    </row>
    <row r="8712" spans="1:2" x14ac:dyDescent="0.25">
      <c r="A8712" s="75">
        <v>42171919</v>
      </c>
      <c r="B8712" s="76" t="s">
        <v>7849</v>
      </c>
    </row>
    <row r="8713" spans="1:2" x14ac:dyDescent="0.25">
      <c r="A8713" s="75">
        <v>42171920</v>
      </c>
      <c r="B8713" s="76" t="s">
        <v>7302</v>
      </c>
    </row>
    <row r="8714" spans="1:2" x14ac:dyDescent="0.25">
      <c r="A8714" s="75">
        <v>42172001</v>
      </c>
      <c r="B8714" s="76" t="s">
        <v>383</v>
      </c>
    </row>
    <row r="8715" spans="1:2" x14ac:dyDescent="0.25">
      <c r="A8715" s="75">
        <v>42172002</v>
      </c>
      <c r="B8715" s="76" t="s">
        <v>12231</v>
      </c>
    </row>
    <row r="8716" spans="1:2" x14ac:dyDescent="0.25">
      <c r="A8716" s="75">
        <v>42172003</v>
      </c>
      <c r="B8716" s="76" t="s">
        <v>12029</v>
      </c>
    </row>
    <row r="8717" spans="1:2" x14ac:dyDescent="0.25">
      <c r="A8717" s="75">
        <v>42172004</v>
      </c>
      <c r="B8717" s="76" t="s">
        <v>4221</v>
      </c>
    </row>
    <row r="8718" spans="1:2" x14ac:dyDescent="0.25">
      <c r="A8718" s="75">
        <v>42172005</v>
      </c>
      <c r="B8718" s="76" t="s">
        <v>13554</v>
      </c>
    </row>
    <row r="8719" spans="1:2" x14ac:dyDescent="0.25">
      <c r="A8719" s="75">
        <v>42172006</v>
      </c>
      <c r="B8719" s="76" t="s">
        <v>7253</v>
      </c>
    </row>
    <row r="8720" spans="1:2" x14ac:dyDescent="0.25">
      <c r="A8720" s="75">
        <v>42172007</v>
      </c>
      <c r="B8720" s="76" t="s">
        <v>5633</v>
      </c>
    </row>
    <row r="8721" spans="1:2" x14ac:dyDescent="0.25">
      <c r="A8721" s="75">
        <v>42172008</v>
      </c>
      <c r="B8721" s="76" t="s">
        <v>3561</v>
      </c>
    </row>
    <row r="8722" spans="1:2" x14ac:dyDescent="0.25">
      <c r="A8722" s="75">
        <v>42172009</v>
      </c>
      <c r="B8722" s="76" t="s">
        <v>11629</v>
      </c>
    </row>
    <row r="8723" spans="1:2" x14ac:dyDescent="0.25">
      <c r="A8723" s="75">
        <v>42172010</v>
      </c>
      <c r="B8723" s="76" t="s">
        <v>14032</v>
      </c>
    </row>
    <row r="8724" spans="1:2" x14ac:dyDescent="0.25">
      <c r="A8724" s="75">
        <v>42172011</v>
      </c>
      <c r="B8724" s="76" t="s">
        <v>14475</v>
      </c>
    </row>
    <row r="8725" spans="1:2" x14ac:dyDescent="0.25">
      <c r="A8725" s="75">
        <v>42172012</v>
      </c>
      <c r="B8725" s="76" t="s">
        <v>4368</v>
      </c>
    </row>
    <row r="8726" spans="1:2" x14ac:dyDescent="0.25">
      <c r="A8726" s="75">
        <v>42172013</v>
      </c>
      <c r="B8726" s="76" t="s">
        <v>230</v>
      </c>
    </row>
    <row r="8727" spans="1:2" x14ac:dyDescent="0.25">
      <c r="A8727" s="75">
        <v>42172014</v>
      </c>
      <c r="B8727" s="76" t="s">
        <v>4432</v>
      </c>
    </row>
    <row r="8728" spans="1:2" x14ac:dyDescent="0.25">
      <c r="A8728" s="75">
        <v>42172015</v>
      </c>
      <c r="B8728" s="76" t="s">
        <v>6914</v>
      </c>
    </row>
    <row r="8729" spans="1:2" x14ac:dyDescent="0.25">
      <c r="A8729" s="75">
        <v>42172016</v>
      </c>
      <c r="B8729" s="76" t="s">
        <v>5581</v>
      </c>
    </row>
    <row r="8730" spans="1:2" x14ac:dyDescent="0.25">
      <c r="A8730" s="75">
        <v>42172017</v>
      </c>
      <c r="B8730" s="76" t="s">
        <v>6176</v>
      </c>
    </row>
    <row r="8731" spans="1:2" x14ac:dyDescent="0.25">
      <c r="A8731" s="75">
        <v>42172101</v>
      </c>
      <c r="B8731" s="76" t="s">
        <v>19943</v>
      </c>
    </row>
    <row r="8732" spans="1:2" x14ac:dyDescent="0.25">
      <c r="A8732" s="75">
        <v>42172102</v>
      </c>
      <c r="B8732" s="76" t="s">
        <v>2406</v>
      </c>
    </row>
    <row r="8733" spans="1:2" x14ac:dyDescent="0.25">
      <c r="A8733" s="75">
        <v>42172103</v>
      </c>
      <c r="B8733" s="76" t="s">
        <v>11940</v>
      </c>
    </row>
    <row r="8734" spans="1:2" x14ac:dyDescent="0.25">
      <c r="A8734" s="75">
        <v>42172201</v>
      </c>
      <c r="B8734" s="76" t="s">
        <v>3391</v>
      </c>
    </row>
    <row r="8735" spans="1:2" x14ac:dyDescent="0.25">
      <c r="A8735" s="75">
        <v>42181501</v>
      </c>
      <c r="B8735" s="76" t="s">
        <v>15546</v>
      </c>
    </row>
    <row r="8736" spans="1:2" x14ac:dyDescent="0.25">
      <c r="A8736" s="75">
        <v>42181502</v>
      </c>
      <c r="B8736" s="76" t="s">
        <v>8296</v>
      </c>
    </row>
    <row r="8737" spans="1:2" x14ac:dyDescent="0.25">
      <c r="A8737" s="75">
        <v>42181503</v>
      </c>
      <c r="B8737" s="76" t="s">
        <v>7997</v>
      </c>
    </row>
    <row r="8738" spans="1:2" x14ac:dyDescent="0.25">
      <c r="A8738" s="75">
        <v>42181504</v>
      </c>
      <c r="B8738" s="76" t="s">
        <v>10683</v>
      </c>
    </row>
    <row r="8739" spans="1:2" x14ac:dyDescent="0.25">
      <c r="A8739" s="75">
        <v>42181505</v>
      </c>
      <c r="B8739" s="76" t="s">
        <v>9412</v>
      </c>
    </row>
    <row r="8740" spans="1:2" x14ac:dyDescent="0.25">
      <c r="A8740" s="75">
        <v>42181506</v>
      </c>
      <c r="B8740" s="76" t="s">
        <v>11308</v>
      </c>
    </row>
    <row r="8741" spans="1:2" x14ac:dyDescent="0.25">
      <c r="A8741" s="75">
        <v>42181507</v>
      </c>
      <c r="B8741" s="76" t="s">
        <v>12057</v>
      </c>
    </row>
    <row r="8742" spans="1:2" x14ac:dyDescent="0.25">
      <c r="A8742" s="75">
        <v>42181508</v>
      </c>
      <c r="B8742" s="76" t="s">
        <v>19008</v>
      </c>
    </row>
    <row r="8743" spans="1:2" x14ac:dyDescent="0.25">
      <c r="A8743" s="75">
        <v>42181509</v>
      </c>
      <c r="B8743" s="76" t="s">
        <v>5400</v>
      </c>
    </row>
    <row r="8744" spans="1:2" x14ac:dyDescent="0.25">
      <c r="A8744" s="75">
        <v>42181510</v>
      </c>
      <c r="B8744" s="76" t="s">
        <v>15955</v>
      </c>
    </row>
    <row r="8745" spans="1:2" x14ac:dyDescent="0.25">
      <c r="A8745" s="75">
        <v>42181511</v>
      </c>
      <c r="B8745" s="76" t="s">
        <v>18383</v>
      </c>
    </row>
    <row r="8746" spans="1:2" x14ac:dyDescent="0.25">
      <c r="A8746" s="75">
        <v>42181512</v>
      </c>
      <c r="B8746" s="76" t="s">
        <v>13310</v>
      </c>
    </row>
    <row r="8747" spans="1:2" x14ac:dyDescent="0.25">
      <c r="A8747" s="75">
        <v>42181513</v>
      </c>
      <c r="B8747" s="76" t="s">
        <v>16310</v>
      </c>
    </row>
    <row r="8748" spans="1:2" x14ac:dyDescent="0.25">
      <c r="A8748" s="75">
        <v>42181514</v>
      </c>
      <c r="B8748" s="76" t="s">
        <v>9862</v>
      </c>
    </row>
    <row r="8749" spans="1:2" x14ac:dyDescent="0.25">
      <c r="A8749" s="75">
        <v>42181515</v>
      </c>
      <c r="B8749" s="76" t="s">
        <v>4740</v>
      </c>
    </row>
    <row r="8750" spans="1:2" x14ac:dyDescent="0.25">
      <c r="A8750" s="75">
        <v>42181516</v>
      </c>
      <c r="B8750" s="76" t="s">
        <v>1332</v>
      </c>
    </row>
    <row r="8751" spans="1:2" x14ac:dyDescent="0.25">
      <c r="A8751" s="75">
        <v>42181517</v>
      </c>
      <c r="B8751" s="76" t="s">
        <v>4191</v>
      </c>
    </row>
    <row r="8752" spans="1:2" x14ac:dyDescent="0.25">
      <c r="A8752" s="75">
        <v>42181601</v>
      </c>
      <c r="B8752" s="76" t="s">
        <v>8853</v>
      </c>
    </row>
    <row r="8753" spans="1:2" x14ac:dyDescent="0.25">
      <c r="A8753" s="75">
        <v>42181602</v>
      </c>
      <c r="B8753" s="76" t="s">
        <v>13096</v>
      </c>
    </row>
    <row r="8754" spans="1:2" x14ac:dyDescent="0.25">
      <c r="A8754" s="75">
        <v>42181603</v>
      </c>
      <c r="B8754" s="76" t="s">
        <v>4030</v>
      </c>
    </row>
    <row r="8755" spans="1:2" x14ac:dyDescent="0.25">
      <c r="A8755" s="75">
        <v>42181604</v>
      </c>
      <c r="B8755" s="76" t="s">
        <v>19114</v>
      </c>
    </row>
    <row r="8756" spans="1:2" x14ac:dyDescent="0.25">
      <c r="A8756" s="75">
        <v>42181605</v>
      </c>
      <c r="B8756" s="76" t="s">
        <v>6113</v>
      </c>
    </row>
    <row r="8757" spans="1:2" x14ac:dyDescent="0.25">
      <c r="A8757" s="75">
        <v>42181606</v>
      </c>
      <c r="B8757" s="76" t="s">
        <v>9369</v>
      </c>
    </row>
    <row r="8758" spans="1:2" x14ac:dyDescent="0.25">
      <c r="A8758" s="75">
        <v>42181607</v>
      </c>
      <c r="B8758" s="76" t="s">
        <v>18002</v>
      </c>
    </row>
    <row r="8759" spans="1:2" x14ac:dyDescent="0.25">
      <c r="A8759" s="75">
        <v>42181608</v>
      </c>
      <c r="B8759" s="76" t="s">
        <v>5143</v>
      </c>
    </row>
    <row r="8760" spans="1:2" x14ac:dyDescent="0.25">
      <c r="A8760" s="75">
        <v>42181609</v>
      </c>
      <c r="B8760" s="76" t="s">
        <v>2185</v>
      </c>
    </row>
    <row r="8761" spans="1:2" x14ac:dyDescent="0.25">
      <c r="A8761" s="75">
        <v>42181610</v>
      </c>
      <c r="B8761" s="76" t="s">
        <v>7940</v>
      </c>
    </row>
    <row r="8762" spans="1:2" x14ac:dyDescent="0.25">
      <c r="A8762" s="75">
        <v>42181701</v>
      </c>
      <c r="B8762" s="76" t="s">
        <v>18437</v>
      </c>
    </row>
    <row r="8763" spans="1:2" x14ac:dyDescent="0.25">
      <c r="A8763" s="75">
        <v>42181702</v>
      </c>
      <c r="B8763" s="76" t="s">
        <v>16892</v>
      </c>
    </row>
    <row r="8764" spans="1:2" x14ac:dyDescent="0.25">
      <c r="A8764" s="75">
        <v>42181703</v>
      </c>
      <c r="B8764" s="76" t="s">
        <v>2889</v>
      </c>
    </row>
    <row r="8765" spans="1:2" x14ac:dyDescent="0.25">
      <c r="A8765" s="75">
        <v>42181704</v>
      </c>
      <c r="B8765" s="76" t="s">
        <v>16497</v>
      </c>
    </row>
    <row r="8766" spans="1:2" x14ac:dyDescent="0.25">
      <c r="A8766" s="75">
        <v>42181705</v>
      </c>
      <c r="B8766" s="76" t="s">
        <v>1352</v>
      </c>
    </row>
    <row r="8767" spans="1:2" x14ac:dyDescent="0.25">
      <c r="A8767" s="75">
        <v>42181706</v>
      </c>
      <c r="B8767" s="76" t="s">
        <v>11811</v>
      </c>
    </row>
    <row r="8768" spans="1:2" x14ac:dyDescent="0.25">
      <c r="A8768" s="75">
        <v>42181707</v>
      </c>
      <c r="B8768" s="76" t="s">
        <v>7781</v>
      </c>
    </row>
    <row r="8769" spans="1:2" x14ac:dyDescent="0.25">
      <c r="A8769" s="75">
        <v>42181708</v>
      </c>
      <c r="B8769" s="76" t="s">
        <v>16614</v>
      </c>
    </row>
    <row r="8770" spans="1:2" x14ac:dyDescent="0.25">
      <c r="A8770" s="75">
        <v>42181709</v>
      </c>
      <c r="B8770" s="76" t="s">
        <v>7385</v>
      </c>
    </row>
    <row r="8771" spans="1:2" x14ac:dyDescent="0.25">
      <c r="A8771" s="75">
        <v>42181710</v>
      </c>
      <c r="B8771" s="76" t="s">
        <v>5225</v>
      </c>
    </row>
    <row r="8772" spans="1:2" x14ac:dyDescent="0.25">
      <c r="A8772" s="75">
        <v>42181711</v>
      </c>
      <c r="B8772" s="76" t="s">
        <v>697</v>
      </c>
    </row>
    <row r="8773" spans="1:2" x14ac:dyDescent="0.25">
      <c r="A8773" s="75">
        <v>42181712</v>
      </c>
      <c r="B8773" s="76" t="s">
        <v>12787</v>
      </c>
    </row>
    <row r="8774" spans="1:2" x14ac:dyDescent="0.25">
      <c r="A8774" s="75">
        <v>42181713</v>
      </c>
      <c r="B8774" s="76" t="s">
        <v>9389</v>
      </c>
    </row>
    <row r="8775" spans="1:2" x14ac:dyDescent="0.25">
      <c r="A8775" s="75">
        <v>42181714</v>
      </c>
      <c r="B8775" s="76" t="s">
        <v>13384</v>
      </c>
    </row>
    <row r="8776" spans="1:2" x14ac:dyDescent="0.25">
      <c r="A8776" s="75">
        <v>42181715</v>
      </c>
      <c r="B8776" s="76" t="s">
        <v>13262</v>
      </c>
    </row>
    <row r="8777" spans="1:2" x14ac:dyDescent="0.25">
      <c r="A8777" s="75">
        <v>42181716</v>
      </c>
      <c r="B8777" s="76" t="s">
        <v>2437</v>
      </c>
    </row>
    <row r="8778" spans="1:2" x14ac:dyDescent="0.25">
      <c r="A8778" s="75">
        <v>42181717</v>
      </c>
      <c r="B8778" s="76" t="s">
        <v>4751</v>
      </c>
    </row>
    <row r="8779" spans="1:2" x14ac:dyDescent="0.25">
      <c r="A8779" s="75">
        <v>42181718</v>
      </c>
      <c r="B8779" s="76" t="s">
        <v>15372</v>
      </c>
    </row>
    <row r="8780" spans="1:2" x14ac:dyDescent="0.25">
      <c r="A8780" s="75">
        <v>42181719</v>
      </c>
      <c r="B8780" s="76" t="s">
        <v>2665</v>
      </c>
    </row>
    <row r="8781" spans="1:2" x14ac:dyDescent="0.25">
      <c r="A8781" s="75">
        <v>42181801</v>
      </c>
      <c r="B8781" s="76" t="s">
        <v>4999</v>
      </c>
    </row>
    <row r="8782" spans="1:2" x14ac:dyDescent="0.25">
      <c r="A8782" s="75">
        <v>42181802</v>
      </c>
      <c r="B8782" s="76" t="s">
        <v>12811</v>
      </c>
    </row>
    <row r="8783" spans="1:2" x14ac:dyDescent="0.25">
      <c r="A8783" s="75">
        <v>42181803</v>
      </c>
      <c r="B8783" s="76" t="s">
        <v>10693</v>
      </c>
    </row>
    <row r="8784" spans="1:2" x14ac:dyDescent="0.25">
      <c r="A8784" s="75">
        <v>42181804</v>
      </c>
      <c r="B8784" s="76" t="s">
        <v>10259</v>
      </c>
    </row>
    <row r="8785" spans="1:2" x14ac:dyDescent="0.25">
      <c r="A8785" s="75">
        <v>42181805</v>
      </c>
      <c r="B8785" s="76" t="s">
        <v>7171</v>
      </c>
    </row>
    <row r="8786" spans="1:2" x14ac:dyDescent="0.25">
      <c r="A8786" s="75">
        <v>42181901</v>
      </c>
      <c r="B8786" s="76" t="s">
        <v>12199</v>
      </c>
    </row>
    <row r="8787" spans="1:2" x14ac:dyDescent="0.25">
      <c r="A8787" s="75">
        <v>42181902</v>
      </c>
      <c r="B8787" s="76" t="s">
        <v>4127</v>
      </c>
    </row>
    <row r="8788" spans="1:2" x14ac:dyDescent="0.25">
      <c r="A8788" s="75">
        <v>42181903</v>
      </c>
      <c r="B8788" s="76" t="s">
        <v>10835</v>
      </c>
    </row>
    <row r="8789" spans="1:2" x14ac:dyDescent="0.25">
      <c r="A8789" s="75">
        <v>42181904</v>
      </c>
      <c r="B8789" s="76" t="s">
        <v>4872</v>
      </c>
    </row>
    <row r="8790" spans="1:2" x14ac:dyDescent="0.25">
      <c r="A8790" s="75">
        <v>42181905</v>
      </c>
      <c r="B8790" s="76" t="s">
        <v>8475</v>
      </c>
    </row>
    <row r="8791" spans="1:2" x14ac:dyDescent="0.25">
      <c r="A8791" s="75">
        <v>42181906</v>
      </c>
      <c r="B8791" s="76" t="s">
        <v>2601</v>
      </c>
    </row>
    <row r="8792" spans="1:2" x14ac:dyDescent="0.25">
      <c r="A8792" s="75">
        <v>42181907</v>
      </c>
      <c r="B8792" s="76" t="s">
        <v>717</v>
      </c>
    </row>
    <row r="8793" spans="1:2" x14ac:dyDescent="0.25">
      <c r="A8793" s="75">
        <v>42181908</v>
      </c>
      <c r="B8793" s="76" t="s">
        <v>9931</v>
      </c>
    </row>
    <row r="8794" spans="1:2" x14ac:dyDescent="0.25">
      <c r="A8794" s="75">
        <v>42181909</v>
      </c>
      <c r="B8794" s="76" t="s">
        <v>6726</v>
      </c>
    </row>
    <row r="8795" spans="1:2" x14ac:dyDescent="0.25">
      <c r="A8795" s="75">
        <v>42181910</v>
      </c>
      <c r="B8795" s="76" t="s">
        <v>4911</v>
      </c>
    </row>
    <row r="8796" spans="1:2" x14ac:dyDescent="0.25">
      <c r="A8796" s="75">
        <v>42181911</v>
      </c>
      <c r="B8796" s="76" t="s">
        <v>17107</v>
      </c>
    </row>
    <row r="8797" spans="1:2" x14ac:dyDescent="0.25">
      <c r="A8797" s="75">
        <v>42182001</v>
      </c>
      <c r="B8797" s="76" t="s">
        <v>3870</v>
      </c>
    </row>
    <row r="8798" spans="1:2" x14ac:dyDescent="0.25">
      <c r="A8798" s="75">
        <v>42182002</v>
      </c>
      <c r="B8798" s="76" t="s">
        <v>10579</v>
      </c>
    </row>
    <row r="8799" spans="1:2" x14ac:dyDescent="0.25">
      <c r="A8799" s="75">
        <v>42182003</v>
      </c>
      <c r="B8799" s="76" t="s">
        <v>7040</v>
      </c>
    </row>
    <row r="8800" spans="1:2" x14ac:dyDescent="0.25">
      <c r="A8800" s="75">
        <v>42182004</v>
      </c>
      <c r="B8800" s="76" t="s">
        <v>3156</v>
      </c>
    </row>
    <row r="8801" spans="1:2" x14ac:dyDescent="0.25">
      <c r="A8801" s="75">
        <v>42182005</v>
      </c>
      <c r="B8801" s="76" t="s">
        <v>19306</v>
      </c>
    </row>
    <row r="8802" spans="1:2" x14ac:dyDescent="0.25">
      <c r="A8802" s="75">
        <v>42182006</v>
      </c>
      <c r="B8802" s="76" t="s">
        <v>15936</v>
      </c>
    </row>
    <row r="8803" spans="1:2" x14ac:dyDescent="0.25">
      <c r="A8803" s="75">
        <v>42182007</v>
      </c>
      <c r="B8803" s="76" t="s">
        <v>408</v>
      </c>
    </row>
    <row r="8804" spans="1:2" x14ac:dyDescent="0.25">
      <c r="A8804" s="75">
        <v>42182008</v>
      </c>
      <c r="B8804" s="76" t="s">
        <v>14279</v>
      </c>
    </row>
    <row r="8805" spans="1:2" x14ac:dyDescent="0.25">
      <c r="A8805" s="75">
        <v>42182009</v>
      </c>
      <c r="B8805" s="76" t="s">
        <v>2003</v>
      </c>
    </row>
    <row r="8806" spans="1:2" x14ac:dyDescent="0.25">
      <c r="A8806" s="75">
        <v>42182010</v>
      </c>
      <c r="B8806" s="76" t="s">
        <v>16881</v>
      </c>
    </row>
    <row r="8807" spans="1:2" x14ac:dyDescent="0.25">
      <c r="A8807" s="75">
        <v>42182011</v>
      </c>
      <c r="B8807" s="76" t="s">
        <v>10941</v>
      </c>
    </row>
    <row r="8808" spans="1:2" x14ac:dyDescent="0.25">
      <c r="A8808" s="75">
        <v>42182012</v>
      </c>
      <c r="B8808" s="76" t="s">
        <v>12406</v>
      </c>
    </row>
    <row r="8809" spans="1:2" x14ac:dyDescent="0.25">
      <c r="A8809" s="75">
        <v>42182013</v>
      </c>
      <c r="B8809" s="76" t="s">
        <v>10262</v>
      </c>
    </row>
    <row r="8810" spans="1:2" x14ac:dyDescent="0.25">
      <c r="A8810" s="75">
        <v>42182014</v>
      </c>
      <c r="B8810" s="76" t="s">
        <v>17268</v>
      </c>
    </row>
    <row r="8811" spans="1:2" x14ac:dyDescent="0.25">
      <c r="A8811" s="75">
        <v>42182015</v>
      </c>
      <c r="B8811" s="76" t="s">
        <v>6300</v>
      </c>
    </row>
    <row r="8812" spans="1:2" x14ac:dyDescent="0.25">
      <c r="A8812" s="75">
        <v>42182016</v>
      </c>
      <c r="B8812" s="76" t="s">
        <v>12992</v>
      </c>
    </row>
    <row r="8813" spans="1:2" x14ac:dyDescent="0.25">
      <c r="A8813" s="75">
        <v>42182017</v>
      </c>
      <c r="B8813" s="76" t="s">
        <v>3797</v>
      </c>
    </row>
    <row r="8814" spans="1:2" x14ac:dyDescent="0.25">
      <c r="A8814" s="75">
        <v>42182018</v>
      </c>
      <c r="B8814" s="76" t="s">
        <v>1574</v>
      </c>
    </row>
    <row r="8815" spans="1:2" x14ac:dyDescent="0.25">
      <c r="A8815" s="75">
        <v>42182019</v>
      </c>
      <c r="B8815" s="76" t="s">
        <v>198</v>
      </c>
    </row>
    <row r="8816" spans="1:2" x14ac:dyDescent="0.25">
      <c r="A8816" s="75">
        <v>42182020</v>
      </c>
      <c r="B8816" s="76" t="s">
        <v>8110</v>
      </c>
    </row>
    <row r="8817" spans="1:2" x14ac:dyDescent="0.25">
      <c r="A8817" s="75">
        <v>42182101</v>
      </c>
      <c r="B8817" s="76" t="s">
        <v>7281</v>
      </c>
    </row>
    <row r="8818" spans="1:2" x14ac:dyDescent="0.25">
      <c r="A8818" s="75">
        <v>42182102</v>
      </c>
      <c r="B8818" s="76" t="s">
        <v>328</v>
      </c>
    </row>
    <row r="8819" spans="1:2" x14ac:dyDescent="0.25">
      <c r="A8819" s="75">
        <v>42182103</v>
      </c>
      <c r="B8819" s="76" t="s">
        <v>6179</v>
      </c>
    </row>
    <row r="8820" spans="1:2" x14ac:dyDescent="0.25">
      <c r="A8820" s="75">
        <v>42182104</v>
      </c>
      <c r="B8820" s="76" t="s">
        <v>11443</v>
      </c>
    </row>
    <row r="8821" spans="1:2" x14ac:dyDescent="0.25">
      <c r="A8821" s="75">
        <v>42182105</v>
      </c>
      <c r="B8821" s="76" t="s">
        <v>12967</v>
      </c>
    </row>
    <row r="8822" spans="1:2" x14ac:dyDescent="0.25">
      <c r="A8822" s="75">
        <v>42182106</v>
      </c>
      <c r="B8822" s="76" t="s">
        <v>9895</v>
      </c>
    </row>
    <row r="8823" spans="1:2" x14ac:dyDescent="0.25">
      <c r="A8823" s="75">
        <v>42182107</v>
      </c>
      <c r="B8823" s="76" t="s">
        <v>3144</v>
      </c>
    </row>
    <row r="8824" spans="1:2" x14ac:dyDescent="0.25">
      <c r="A8824" s="75">
        <v>42182108</v>
      </c>
      <c r="B8824" s="76" t="s">
        <v>4838</v>
      </c>
    </row>
    <row r="8825" spans="1:2" x14ac:dyDescent="0.25">
      <c r="A8825" s="75">
        <v>42182201</v>
      </c>
      <c r="B8825" s="76" t="s">
        <v>16227</v>
      </c>
    </row>
    <row r="8826" spans="1:2" x14ac:dyDescent="0.25">
      <c r="A8826" s="75">
        <v>42182202</v>
      </c>
      <c r="B8826" s="76" t="s">
        <v>3351</v>
      </c>
    </row>
    <row r="8827" spans="1:2" x14ac:dyDescent="0.25">
      <c r="A8827" s="75">
        <v>42182203</v>
      </c>
      <c r="B8827" s="76" t="s">
        <v>3600</v>
      </c>
    </row>
    <row r="8828" spans="1:2" x14ac:dyDescent="0.25">
      <c r="A8828" s="75">
        <v>42182204</v>
      </c>
      <c r="B8828" s="76" t="s">
        <v>10096</v>
      </c>
    </row>
    <row r="8829" spans="1:2" x14ac:dyDescent="0.25">
      <c r="A8829" s="75">
        <v>42182205</v>
      </c>
      <c r="B8829" s="76" t="s">
        <v>18225</v>
      </c>
    </row>
    <row r="8830" spans="1:2" x14ac:dyDescent="0.25">
      <c r="A8830" s="75">
        <v>42182206</v>
      </c>
      <c r="B8830" s="76" t="s">
        <v>16180</v>
      </c>
    </row>
    <row r="8831" spans="1:2" x14ac:dyDescent="0.25">
      <c r="A8831" s="75">
        <v>42182207</v>
      </c>
      <c r="B8831" s="76" t="s">
        <v>9553</v>
      </c>
    </row>
    <row r="8832" spans="1:2" x14ac:dyDescent="0.25">
      <c r="A8832" s="75">
        <v>42182208</v>
      </c>
      <c r="B8832" s="76" t="s">
        <v>13525</v>
      </c>
    </row>
    <row r="8833" spans="1:2" x14ac:dyDescent="0.25">
      <c r="A8833" s="75">
        <v>42182209</v>
      </c>
      <c r="B8833" s="76" t="s">
        <v>15664</v>
      </c>
    </row>
    <row r="8834" spans="1:2" x14ac:dyDescent="0.25">
      <c r="A8834" s="75">
        <v>42182301</v>
      </c>
      <c r="B8834" s="76" t="s">
        <v>11599</v>
      </c>
    </row>
    <row r="8835" spans="1:2" x14ac:dyDescent="0.25">
      <c r="A8835" s="75">
        <v>42182302</v>
      </c>
      <c r="B8835" s="76" t="s">
        <v>11501</v>
      </c>
    </row>
    <row r="8836" spans="1:2" x14ac:dyDescent="0.25">
      <c r="A8836" s="75">
        <v>42182303</v>
      </c>
      <c r="B8836" s="76" t="s">
        <v>16290</v>
      </c>
    </row>
    <row r="8837" spans="1:2" x14ac:dyDescent="0.25">
      <c r="A8837" s="75">
        <v>42182304</v>
      </c>
      <c r="B8837" s="76" t="s">
        <v>8309</v>
      </c>
    </row>
    <row r="8838" spans="1:2" x14ac:dyDescent="0.25">
      <c r="A8838" s="75">
        <v>42182305</v>
      </c>
      <c r="B8838" s="76" t="s">
        <v>1207</v>
      </c>
    </row>
    <row r="8839" spans="1:2" x14ac:dyDescent="0.25">
      <c r="A8839" s="75">
        <v>42182306</v>
      </c>
      <c r="B8839" s="76" t="s">
        <v>17091</v>
      </c>
    </row>
    <row r="8840" spans="1:2" x14ac:dyDescent="0.25">
      <c r="A8840" s="75">
        <v>42182307</v>
      </c>
      <c r="B8840" s="76" t="s">
        <v>6542</v>
      </c>
    </row>
    <row r="8841" spans="1:2" x14ac:dyDescent="0.25">
      <c r="A8841" s="75">
        <v>42182308</v>
      </c>
      <c r="B8841" s="76" t="s">
        <v>6926</v>
      </c>
    </row>
    <row r="8842" spans="1:2" x14ac:dyDescent="0.25">
      <c r="A8842" s="75">
        <v>42182309</v>
      </c>
      <c r="B8842" s="76" t="s">
        <v>6657</v>
      </c>
    </row>
    <row r="8843" spans="1:2" x14ac:dyDescent="0.25">
      <c r="A8843" s="75">
        <v>42182310</v>
      </c>
      <c r="B8843" s="76" t="s">
        <v>1565</v>
      </c>
    </row>
    <row r="8844" spans="1:2" x14ac:dyDescent="0.25">
      <c r="A8844" s="75">
        <v>42182311</v>
      </c>
      <c r="B8844" s="76" t="s">
        <v>15054</v>
      </c>
    </row>
    <row r="8845" spans="1:2" x14ac:dyDescent="0.25">
      <c r="A8845" s="75">
        <v>42182312</v>
      </c>
      <c r="B8845" s="76" t="s">
        <v>14367</v>
      </c>
    </row>
    <row r="8846" spans="1:2" x14ac:dyDescent="0.25">
      <c r="A8846" s="75">
        <v>42182313</v>
      </c>
      <c r="B8846" s="76" t="s">
        <v>2323</v>
      </c>
    </row>
    <row r="8847" spans="1:2" x14ac:dyDescent="0.25">
      <c r="A8847" s="75">
        <v>42182314</v>
      </c>
      <c r="B8847" s="76" t="s">
        <v>4801</v>
      </c>
    </row>
    <row r="8848" spans="1:2" x14ac:dyDescent="0.25">
      <c r="A8848" s="75">
        <v>42182401</v>
      </c>
      <c r="B8848" s="76" t="s">
        <v>10434</v>
      </c>
    </row>
    <row r="8849" spans="1:2" x14ac:dyDescent="0.25">
      <c r="A8849" s="75">
        <v>42182402</v>
      </c>
      <c r="B8849" s="76" t="s">
        <v>2728</v>
      </c>
    </row>
    <row r="8850" spans="1:2" x14ac:dyDescent="0.25">
      <c r="A8850" s="75">
        <v>42182403</v>
      </c>
      <c r="B8850" s="76" t="s">
        <v>16445</v>
      </c>
    </row>
    <row r="8851" spans="1:2" x14ac:dyDescent="0.25">
      <c r="A8851" s="75">
        <v>42182404</v>
      </c>
      <c r="B8851" s="76" t="s">
        <v>13402</v>
      </c>
    </row>
    <row r="8852" spans="1:2" x14ac:dyDescent="0.25">
      <c r="A8852" s="75">
        <v>42182405</v>
      </c>
      <c r="B8852" s="76" t="s">
        <v>12763</v>
      </c>
    </row>
    <row r="8853" spans="1:2" x14ac:dyDescent="0.25">
      <c r="A8853" s="75">
        <v>42182406</v>
      </c>
      <c r="B8853" s="76" t="s">
        <v>18095</v>
      </c>
    </row>
    <row r="8854" spans="1:2" x14ac:dyDescent="0.25">
      <c r="A8854" s="75">
        <v>42182407</v>
      </c>
      <c r="B8854" s="76" t="s">
        <v>5864</v>
      </c>
    </row>
    <row r="8855" spans="1:2" x14ac:dyDescent="0.25">
      <c r="A8855" s="75">
        <v>42182408</v>
      </c>
      <c r="B8855" s="76" t="s">
        <v>5363</v>
      </c>
    </row>
    <row r="8856" spans="1:2" x14ac:dyDescent="0.25">
      <c r="A8856" s="75">
        <v>42182409</v>
      </c>
      <c r="B8856" s="76" t="s">
        <v>7196</v>
      </c>
    </row>
    <row r="8857" spans="1:2" x14ac:dyDescent="0.25">
      <c r="A8857" s="75">
        <v>42182410</v>
      </c>
      <c r="B8857" s="76" t="s">
        <v>11957</v>
      </c>
    </row>
    <row r="8858" spans="1:2" x14ac:dyDescent="0.25">
      <c r="A8858" s="75">
        <v>42182411</v>
      </c>
      <c r="B8858" s="76" t="s">
        <v>259</v>
      </c>
    </row>
    <row r="8859" spans="1:2" x14ac:dyDescent="0.25">
      <c r="A8859" s="75">
        <v>42182412</v>
      </c>
      <c r="B8859" s="76" t="s">
        <v>19556</v>
      </c>
    </row>
    <row r="8860" spans="1:2" x14ac:dyDescent="0.25">
      <c r="A8860" s="75">
        <v>42182413</v>
      </c>
      <c r="B8860" s="76" t="s">
        <v>5870</v>
      </c>
    </row>
    <row r="8861" spans="1:2" x14ac:dyDescent="0.25">
      <c r="A8861" s="75">
        <v>42182414</v>
      </c>
      <c r="B8861" s="76" t="s">
        <v>14559</v>
      </c>
    </row>
    <row r="8862" spans="1:2" x14ac:dyDescent="0.25">
      <c r="A8862" s="75">
        <v>42182415</v>
      </c>
      <c r="B8862" s="76" t="s">
        <v>15940</v>
      </c>
    </row>
    <row r="8863" spans="1:2" x14ac:dyDescent="0.25">
      <c r="A8863" s="75">
        <v>42182416</v>
      </c>
      <c r="B8863" s="76" t="s">
        <v>13185</v>
      </c>
    </row>
    <row r="8864" spans="1:2" x14ac:dyDescent="0.25">
      <c r="A8864" s="75">
        <v>42182417</v>
      </c>
      <c r="B8864" s="76" t="s">
        <v>14470</v>
      </c>
    </row>
    <row r="8865" spans="1:2" x14ac:dyDescent="0.25">
      <c r="A8865" s="75">
        <v>42182418</v>
      </c>
      <c r="B8865" s="76" t="s">
        <v>1148</v>
      </c>
    </row>
    <row r="8866" spans="1:2" x14ac:dyDescent="0.25">
      <c r="A8866" s="75">
        <v>42182419</v>
      </c>
      <c r="B8866" s="76" t="s">
        <v>8352</v>
      </c>
    </row>
    <row r="8867" spans="1:2" x14ac:dyDescent="0.25">
      <c r="A8867" s="75">
        <v>42182420</v>
      </c>
      <c r="B8867" s="76" t="s">
        <v>15905</v>
      </c>
    </row>
    <row r="8868" spans="1:2" x14ac:dyDescent="0.25">
      <c r="A8868" s="75">
        <v>42182421</v>
      </c>
      <c r="B8868" s="76" t="s">
        <v>12144</v>
      </c>
    </row>
    <row r="8869" spans="1:2" x14ac:dyDescent="0.25">
      <c r="A8869" s="75">
        <v>42182422</v>
      </c>
      <c r="B8869" s="76" t="s">
        <v>9637</v>
      </c>
    </row>
    <row r="8870" spans="1:2" x14ac:dyDescent="0.25">
      <c r="A8870" s="75">
        <v>42182501</v>
      </c>
      <c r="B8870" s="76" t="s">
        <v>2169</v>
      </c>
    </row>
    <row r="8871" spans="1:2" x14ac:dyDescent="0.25">
      <c r="A8871" s="75">
        <v>42182502</v>
      </c>
      <c r="B8871" s="76" t="s">
        <v>14518</v>
      </c>
    </row>
    <row r="8872" spans="1:2" x14ac:dyDescent="0.25">
      <c r="A8872" s="75">
        <v>42182601</v>
      </c>
      <c r="B8872" s="76" t="s">
        <v>16266</v>
      </c>
    </row>
    <row r="8873" spans="1:2" x14ac:dyDescent="0.25">
      <c r="A8873" s="75">
        <v>42182602</v>
      </c>
      <c r="B8873" s="76" t="s">
        <v>9159</v>
      </c>
    </row>
    <row r="8874" spans="1:2" x14ac:dyDescent="0.25">
      <c r="A8874" s="75">
        <v>42182603</v>
      </c>
      <c r="B8874" s="76" t="s">
        <v>6466</v>
      </c>
    </row>
    <row r="8875" spans="1:2" x14ac:dyDescent="0.25">
      <c r="A8875" s="75">
        <v>42182604</v>
      </c>
      <c r="B8875" s="76" t="s">
        <v>15493</v>
      </c>
    </row>
    <row r="8876" spans="1:2" x14ac:dyDescent="0.25">
      <c r="A8876" s="75">
        <v>42182701</v>
      </c>
      <c r="B8876" s="76" t="s">
        <v>4464</v>
      </c>
    </row>
    <row r="8877" spans="1:2" x14ac:dyDescent="0.25">
      <c r="A8877" s="75">
        <v>42182702</v>
      </c>
      <c r="B8877" s="76" t="s">
        <v>12195</v>
      </c>
    </row>
    <row r="8878" spans="1:2" x14ac:dyDescent="0.25">
      <c r="A8878" s="75">
        <v>42182703</v>
      </c>
      <c r="B8878" s="76" t="s">
        <v>827</v>
      </c>
    </row>
    <row r="8879" spans="1:2" x14ac:dyDescent="0.25">
      <c r="A8879" s="75">
        <v>42182704</v>
      </c>
      <c r="B8879" s="76" t="s">
        <v>8582</v>
      </c>
    </row>
    <row r="8880" spans="1:2" x14ac:dyDescent="0.25">
      <c r="A8880" s="75">
        <v>42182801</v>
      </c>
      <c r="B8880" s="76" t="s">
        <v>6571</v>
      </c>
    </row>
    <row r="8881" spans="1:2" x14ac:dyDescent="0.25">
      <c r="A8881" s="75">
        <v>42182802</v>
      </c>
      <c r="B8881" s="76" t="s">
        <v>11734</v>
      </c>
    </row>
    <row r="8882" spans="1:2" x14ac:dyDescent="0.25">
      <c r="A8882" s="75">
        <v>42182803</v>
      </c>
      <c r="B8882" s="76" t="s">
        <v>19984</v>
      </c>
    </row>
    <row r="8883" spans="1:2" x14ac:dyDescent="0.25">
      <c r="A8883" s="75">
        <v>42182804</v>
      </c>
      <c r="B8883" s="76" t="s">
        <v>18899</v>
      </c>
    </row>
    <row r="8884" spans="1:2" x14ac:dyDescent="0.25">
      <c r="A8884" s="75">
        <v>42182805</v>
      </c>
      <c r="B8884" s="76" t="s">
        <v>11745</v>
      </c>
    </row>
    <row r="8885" spans="1:2" x14ac:dyDescent="0.25">
      <c r="A8885" s="75">
        <v>42182806</v>
      </c>
      <c r="B8885" s="76" t="s">
        <v>122</v>
      </c>
    </row>
    <row r="8886" spans="1:2" x14ac:dyDescent="0.25">
      <c r="A8886" s="75">
        <v>42182807</v>
      </c>
      <c r="B8886" s="76" t="s">
        <v>16260</v>
      </c>
    </row>
    <row r="8887" spans="1:2" x14ac:dyDescent="0.25">
      <c r="A8887" s="75">
        <v>42182808</v>
      </c>
      <c r="B8887" s="76" t="s">
        <v>9101</v>
      </c>
    </row>
    <row r="8888" spans="1:2" x14ac:dyDescent="0.25">
      <c r="A8888" s="75">
        <v>42182901</v>
      </c>
      <c r="B8888" s="76" t="s">
        <v>11794</v>
      </c>
    </row>
    <row r="8889" spans="1:2" x14ac:dyDescent="0.25">
      <c r="A8889" s="75">
        <v>42182902</v>
      </c>
      <c r="B8889" s="76" t="s">
        <v>18121</v>
      </c>
    </row>
    <row r="8890" spans="1:2" x14ac:dyDescent="0.25">
      <c r="A8890" s="75">
        <v>42182903</v>
      </c>
      <c r="B8890" s="76" t="s">
        <v>19712</v>
      </c>
    </row>
    <row r="8891" spans="1:2" x14ac:dyDescent="0.25">
      <c r="A8891" s="75">
        <v>42182904</v>
      </c>
      <c r="B8891" s="76" t="s">
        <v>3630</v>
      </c>
    </row>
    <row r="8892" spans="1:2" x14ac:dyDescent="0.25">
      <c r="A8892" s="75">
        <v>42183001</v>
      </c>
      <c r="B8892" s="76" t="s">
        <v>10523</v>
      </c>
    </row>
    <row r="8893" spans="1:2" x14ac:dyDescent="0.25">
      <c r="A8893" s="75">
        <v>42183002</v>
      </c>
      <c r="B8893" s="76" t="s">
        <v>12301</v>
      </c>
    </row>
    <row r="8894" spans="1:2" x14ac:dyDescent="0.25">
      <c r="A8894" s="75">
        <v>42183003</v>
      </c>
      <c r="B8894" s="76" t="s">
        <v>7029</v>
      </c>
    </row>
    <row r="8895" spans="1:2" x14ac:dyDescent="0.25">
      <c r="A8895" s="75">
        <v>42183004</v>
      </c>
      <c r="B8895" s="76" t="s">
        <v>679</v>
      </c>
    </row>
    <row r="8896" spans="1:2" x14ac:dyDescent="0.25">
      <c r="A8896" s="75">
        <v>42183005</v>
      </c>
      <c r="B8896" s="76" t="s">
        <v>8834</v>
      </c>
    </row>
    <row r="8897" spans="1:2" x14ac:dyDescent="0.25">
      <c r="A8897" s="75">
        <v>42183006</v>
      </c>
      <c r="B8897" s="76" t="s">
        <v>19336</v>
      </c>
    </row>
    <row r="8898" spans="1:2" x14ac:dyDescent="0.25">
      <c r="A8898" s="75">
        <v>42183007</v>
      </c>
      <c r="B8898" s="76" t="s">
        <v>18719</v>
      </c>
    </row>
    <row r="8899" spans="1:2" x14ac:dyDescent="0.25">
      <c r="A8899" s="75">
        <v>42183008</v>
      </c>
      <c r="B8899" s="76" t="s">
        <v>13961</v>
      </c>
    </row>
    <row r="8900" spans="1:2" x14ac:dyDescent="0.25">
      <c r="A8900" s="75">
        <v>42183009</v>
      </c>
      <c r="B8900" s="76" t="s">
        <v>19756</v>
      </c>
    </row>
    <row r="8901" spans="1:2" x14ac:dyDescent="0.25">
      <c r="A8901" s="75">
        <v>42183010</v>
      </c>
      <c r="B8901" s="76" t="s">
        <v>8576</v>
      </c>
    </row>
    <row r="8902" spans="1:2" x14ac:dyDescent="0.25">
      <c r="A8902" s="75">
        <v>42183011</v>
      </c>
      <c r="B8902" s="76" t="s">
        <v>6306</v>
      </c>
    </row>
    <row r="8903" spans="1:2" x14ac:dyDescent="0.25">
      <c r="A8903" s="75">
        <v>42183012</v>
      </c>
      <c r="B8903" s="76" t="s">
        <v>10864</v>
      </c>
    </row>
    <row r="8904" spans="1:2" x14ac:dyDescent="0.25">
      <c r="A8904" s="75">
        <v>42183013</v>
      </c>
      <c r="B8904" s="76" t="s">
        <v>8829</v>
      </c>
    </row>
    <row r="8905" spans="1:2" x14ac:dyDescent="0.25">
      <c r="A8905" s="75">
        <v>42183014</v>
      </c>
      <c r="B8905" s="76" t="s">
        <v>4526</v>
      </c>
    </row>
    <row r="8906" spans="1:2" x14ac:dyDescent="0.25">
      <c r="A8906" s="75">
        <v>42183015</v>
      </c>
      <c r="B8906" s="76" t="s">
        <v>4156</v>
      </c>
    </row>
    <row r="8907" spans="1:2" x14ac:dyDescent="0.25">
      <c r="A8907" s="75">
        <v>42183016</v>
      </c>
      <c r="B8907" s="76" t="s">
        <v>7881</v>
      </c>
    </row>
    <row r="8908" spans="1:2" x14ac:dyDescent="0.25">
      <c r="A8908" s="75">
        <v>42183017</v>
      </c>
      <c r="B8908" s="76" t="s">
        <v>15710</v>
      </c>
    </row>
    <row r="8909" spans="1:2" x14ac:dyDescent="0.25">
      <c r="A8909" s="75">
        <v>42183018</v>
      </c>
      <c r="B8909" s="76" t="s">
        <v>13377</v>
      </c>
    </row>
    <row r="8910" spans="1:2" x14ac:dyDescent="0.25">
      <c r="A8910" s="75">
        <v>42183019</v>
      </c>
      <c r="B8910" s="76" t="s">
        <v>14162</v>
      </c>
    </row>
    <row r="8911" spans="1:2" x14ac:dyDescent="0.25">
      <c r="A8911" s="75">
        <v>42183020</v>
      </c>
      <c r="B8911" s="76" t="s">
        <v>5959</v>
      </c>
    </row>
    <row r="8912" spans="1:2" x14ac:dyDescent="0.25">
      <c r="A8912" s="75">
        <v>42183021</v>
      </c>
      <c r="B8912" s="76" t="s">
        <v>13258</v>
      </c>
    </row>
    <row r="8913" spans="1:2" x14ac:dyDescent="0.25">
      <c r="A8913" s="75">
        <v>42183022</v>
      </c>
      <c r="B8913" s="76" t="s">
        <v>2520</v>
      </c>
    </row>
    <row r="8914" spans="1:2" x14ac:dyDescent="0.25">
      <c r="A8914" s="75">
        <v>42183023</v>
      </c>
      <c r="B8914" s="76" t="s">
        <v>13453</v>
      </c>
    </row>
    <row r="8915" spans="1:2" x14ac:dyDescent="0.25">
      <c r="A8915" s="75">
        <v>42183024</v>
      </c>
      <c r="B8915" s="76" t="s">
        <v>8370</v>
      </c>
    </row>
    <row r="8916" spans="1:2" x14ac:dyDescent="0.25">
      <c r="A8916" s="75">
        <v>42183025</v>
      </c>
      <c r="B8916" s="76" t="s">
        <v>3328</v>
      </c>
    </row>
    <row r="8917" spans="1:2" x14ac:dyDescent="0.25">
      <c r="A8917" s="75">
        <v>42183026</v>
      </c>
      <c r="B8917" s="76" t="s">
        <v>64</v>
      </c>
    </row>
    <row r="8918" spans="1:2" x14ac:dyDescent="0.25">
      <c r="A8918" s="75">
        <v>42183027</v>
      </c>
      <c r="B8918" s="76" t="s">
        <v>15000</v>
      </c>
    </row>
    <row r="8919" spans="1:2" x14ac:dyDescent="0.25">
      <c r="A8919" s="75">
        <v>42183028</v>
      </c>
      <c r="B8919" s="76" t="s">
        <v>18061</v>
      </c>
    </row>
    <row r="8920" spans="1:2" x14ac:dyDescent="0.25">
      <c r="A8920" s="75">
        <v>42183029</v>
      </c>
      <c r="B8920" s="76" t="s">
        <v>16576</v>
      </c>
    </row>
    <row r="8921" spans="1:2" x14ac:dyDescent="0.25">
      <c r="A8921" s="75">
        <v>42183030</v>
      </c>
      <c r="B8921" s="76" t="s">
        <v>11747</v>
      </c>
    </row>
    <row r="8922" spans="1:2" x14ac:dyDescent="0.25">
      <c r="A8922" s="75">
        <v>42183031</v>
      </c>
      <c r="B8922" s="76" t="s">
        <v>4045</v>
      </c>
    </row>
    <row r="8923" spans="1:2" x14ac:dyDescent="0.25">
      <c r="A8923" s="75">
        <v>42183032</v>
      </c>
      <c r="B8923" s="76" t="s">
        <v>7349</v>
      </c>
    </row>
    <row r="8924" spans="1:2" x14ac:dyDescent="0.25">
      <c r="A8924" s="75">
        <v>42183033</v>
      </c>
      <c r="B8924" s="76" t="s">
        <v>16414</v>
      </c>
    </row>
    <row r="8925" spans="1:2" x14ac:dyDescent="0.25">
      <c r="A8925" s="75">
        <v>42183034</v>
      </c>
      <c r="B8925" s="76" t="s">
        <v>8809</v>
      </c>
    </row>
    <row r="8926" spans="1:2" x14ac:dyDescent="0.25">
      <c r="A8926" s="75">
        <v>42183035</v>
      </c>
      <c r="B8926" s="76" t="s">
        <v>3829</v>
      </c>
    </row>
    <row r="8927" spans="1:2" x14ac:dyDescent="0.25">
      <c r="A8927" s="75">
        <v>42183036</v>
      </c>
      <c r="B8927" s="76" t="s">
        <v>15776</v>
      </c>
    </row>
    <row r="8928" spans="1:2" x14ac:dyDescent="0.25">
      <c r="A8928" s="75">
        <v>42183037</v>
      </c>
      <c r="B8928" s="76" t="s">
        <v>4031</v>
      </c>
    </row>
    <row r="8929" spans="1:2" x14ac:dyDescent="0.25">
      <c r="A8929" s="75">
        <v>42183038</v>
      </c>
      <c r="B8929" s="76" t="s">
        <v>6035</v>
      </c>
    </row>
    <row r="8930" spans="1:2" x14ac:dyDescent="0.25">
      <c r="A8930" s="75">
        <v>42183039</v>
      </c>
      <c r="B8930" s="76" t="s">
        <v>2678</v>
      </c>
    </row>
    <row r="8931" spans="1:2" x14ac:dyDescent="0.25">
      <c r="A8931" s="75">
        <v>42183040</v>
      </c>
      <c r="B8931" s="76" t="s">
        <v>288</v>
      </c>
    </row>
    <row r="8932" spans="1:2" x14ac:dyDescent="0.25">
      <c r="A8932" s="75">
        <v>42183041</v>
      </c>
      <c r="B8932" s="76" t="s">
        <v>12470</v>
      </c>
    </row>
    <row r="8933" spans="1:2" x14ac:dyDescent="0.25">
      <c r="A8933" s="75">
        <v>42183042</v>
      </c>
      <c r="B8933" s="76" t="s">
        <v>6511</v>
      </c>
    </row>
    <row r="8934" spans="1:2" x14ac:dyDescent="0.25">
      <c r="A8934" s="75">
        <v>42183043</v>
      </c>
      <c r="B8934" s="76" t="s">
        <v>9236</v>
      </c>
    </row>
    <row r="8935" spans="1:2" x14ac:dyDescent="0.25">
      <c r="A8935" s="75">
        <v>42183044</v>
      </c>
      <c r="B8935" s="76" t="s">
        <v>8858</v>
      </c>
    </row>
    <row r="8936" spans="1:2" x14ac:dyDescent="0.25">
      <c r="A8936" s="75">
        <v>42183045</v>
      </c>
      <c r="B8936" s="76" t="s">
        <v>14591</v>
      </c>
    </row>
    <row r="8937" spans="1:2" x14ac:dyDescent="0.25">
      <c r="A8937" s="75">
        <v>42183046</v>
      </c>
      <c r="B8937" s="76" t="s">
        <v>16806</v>
      </c>
    </row>
    <row r="8938" spans="1:2" x14ac:dyDescent="0.25">
      <c r="A8938" s="75">
        <v>42183047</v>
      </c>
      <c r="B8938" s="76" t="s">
        <v>11933</v>
      </c>
    </row>
    <row r="8939" spans="1:2" x14ac:dyDescent="0.25">
      <c r="A8939" s="75">
        <v>42183048</v>
      </c>
      <c r="B8939" s="76" t="s">
        <v>3746</v>
      </c>
    </row>
    <row r="8940" spans="1:2" x14ac:dyDescent="0.25">
      <c r="A8940" s="75">
        <v>42183101</v>
      </c>
      <c r="B8940" s="76" t="s">
        <v>18093</v>
      </c>
    </row>
    <row r="8941" spans="1:2" x14ac:dyDescent="0.25">
      <c r="A8941" s="75">
        <v>42183201</v>
      </c>
      <c r="B8941" s="76" t="s">
        <v>13967</v>
      </c>
    </row>
    <row r="8942" spans="1:2" x14ac:dyDescent="0.25">
      <c r="A8942" s="75">
        <v>42183301</v>
      </c>
      <c r="B8942" s="76" t="s">
        <v>5300</v>
      </c>
    </row>
    <row r="8943" spans="1:2" x14ac:dyDescent="0.25">
      <c r="A8943" s="75">
        <v>42191501</v>
      </c>
      <c r="B8943" s="76" t="s">
        <v>16941</v>
      </c>
    </row>
    <row r="8944" spans="1:2" x14ac:dyDescent="0.25">
      <c r="A8944" s="75">
        <v>42191502</v>
      </c>
      <c r="B8944" s="76" t="s">
        <v>8332</v>
      </c>
    </row>
    <row r="8945" spans="1:2" x14ac:dyDescent="0.25">
      <c r="A8945" s="75">
        <v>42191601</v>
      </c>
      <c r="B8945" s="76" t="s">
        <v>6230</v>
      </c>
    </row>
    <row r="8946" spans="1:2" x14ac:dyDescent="0.25">
      <c r="A8946" s="75">
        <v>42191602</v>
      </c>
      <c r="B8946" s="76" t="s">
        <v>1686</v>
      </c>
    </row>
    <row r="8947" spans="1:2" x14ac:dyDescent="0.25">
      <c r="A8947" s="75">
        <v>42191603</v>
      </c>
      <c r="B8947" s="76" t="s">
        <v>662</v>
      </c>
    </row>
    <row r="8948" spans="1:2" x14ac:dyDescent="0.25">
      <c r="A8948" s="75">
        <v>42191604</v>
      </c>
      <c r="B8948" s="76" t="s">
        <v>19324</v>
      </c>
    </row>
    <row r="8949" spans="1:2" x14ac:dyDescent="0.25">
      <c r="A8949" s="75">
        <v>42191605</v>
      </c>
      <c r="B8949" s="76" t="s">
        <v>19991</v>
      </c>
    </row>
    <row r="8950" spans="1:2" x14ac:dyDescent="0.25">
      <c r="A8950" s="75">
        <v>42191606</v>
      </c>
      <c r="B8950" s="76" t="s">
        <v>1356</v>
      </c>
    </row>
    <row r="8951" spans="1:2" x14ac:dyDescent="0.25">
      <c r="A8951" s="75">
        <v>42191607</v>
      </c>
      <c r="B8951" s="76" t="s">
        <v>14231</v>
      </c>
    </row>
    <row r="8952" spans="1:2" x14ac:dyDescent="0.25">
      <c r="A8952" s="75">
        <v>42191608</v>
      </c>
      <c r="B8952" s="76" t="s">
        <v>3108</v>
      </c>
    </row>
    <row r="8953" spans="1:2" x14ac:dyDescent="0.25">
      <c r="A8953" s="75">
        <v>42191609</v>
      </c>
      <c r="B8953" s="76" t="s">
        <v>1562</v>
      </c>
    </row>
    <row r="8954" spans="1:2" x14ac:dyDescent="0.25">
      <c r="A8954" s="75">
        <v>42191610</v>
      </c>
      <c r="B8954" s="76" t="s">
        <v>17535</v>
      </c>
    </row>
    <row r="8955" spans="1:2" x14ac:dyDescent="0.25">
      <c r="A8955" s="75">
        <v>42191611</v>
      </c>
      <c r="B8955" s="76" t="s">
        <v>5987</v>
      </c>
    </row>
    <row r="8956" spans="1:2" x14ac:dyDescent="0.25">
      <c r="A8956" s="75">
        <v>42191612</v>
      </c>
      <c r="B8956" s="76" t="s">
        <v>3312</v>
      </c>
    </row>
    <row r="8957" spans="1:2" x14ac:dyDescent="0.25">
      <c r="A8957" s="75">
        <v>42191701</v>
      </c>
      <c r="B8957" s="76" t="s">
        <v>10079</v>
      </c>
    </row>
    <row r="8958" spans="1:2" x14ac:dyDescent="0.25">
      <c r="A8958" s="75">
        <v>42191702</v>
      </c>
      <c r="B8958" s="76" t="s">
        <v>4071</v>
      </c>
    </row>
    <row r="8959" spans="1:2" x14ac:dyDescent="0.25">
      <c r="A8959" s="75">
        <v>42191703</v>
      </c>
      <c r="B8959" s="76" t="s">
        <v>8017</v>
      </c>
    </row>
    <row r="8960" spans="1:2" x14ac:dyDescent="0.25">
      <c r="A8960" s="75">
        <v>42191704</v>
      </c>
      <c r="B8960" s="76" t="s">
        <v>16120</v>
      </c>
    </row>
    <row r="8961" spans="1:2" x14ac:dyDescent="0.25">
      <c r="A8961" s="75">
        <v>42191705</v>
      </c>
      <c r="B8961" s="76" t="s">
        <v>2356</v>
      </c>
    </row>
    <row r="8962" spans="1:2" x14ac:dyDescent="0.25">
      <c r="A8962" s="75">
        <v>42191706</v>
      </c>
      <c r="B8962" s="76" t="s">
        <v>12174</v>
      </c>
    </row>
    <row r="8963" spans="1:2" x14ac:dyDescent="0.25">
      <c r="A8963" s="75">
        <v>42191707</v>
      </c>
      <c r="B8963" s="76" t="s">
        <v>10911</v>
      </c>
    </row>
    <row r="8964" spans="1:2" x14ac:dyDescent="0.25">
      <c r="A8964" s="75">
        <v>42191708</v>
      </c>
      <c r="B8964" s="76" t="s">
        <v>961</v>
      </c>
    </row>
    <row r="8965" spans="1:2" x14ac:dyDescent="0.25">
      <c r="A8965" s="75">
        <v>42191709</v>
      </c>
      <c r="B8965" s="76" t="s">
        <v>7092</v>
      </c>
    </row>
    <row r="8966" spans="1:2" x14ac:dyDescent="0.25">
      <c r="A8966" s="75">
        <v>42191710</v>
      </c>
      <c r="B8966" s="76" t="s">
        <v>6346</v>
      </c>
    </row>
    <row r="8967" spans="1:2" x14ac:dyDescent="0.25">
      <c r="A8967" s="75">
        <v>42191711</v>
      </c>
      <c r="B8967" s="76" t="s">
        <v>10133</v>
      </c>
    </row>
    <row r="8968" spans="1:2" x14ac:dyDescent="0.25">
      <c r="A8968" s="75">
        <v>42191801</v>
      </c>
      <c r="B8968" s="76" t="s">
        <v>17052</v>
      </c>
    </row>
    <row r="8969" spans="1:2" x14ac:dyDescent="0.25">
      <c r="A8969" s="75">
        <v>42191802</v>
      </c>
      <c r="B8969" s="76" t="s">
        <v>15626</v>
      </c>
    </row>
    <row r="8970" spans="1:2" x14ac:dyDescent="0.25">
      <c r="A8970" s="75">
        <v>42191803</v>
      </c>
      <c r="B8970" s="76" t="s">
        <v>14644</v>
      </c>
    </row>
    <row r="8971" spans="1:2" x14ac:dyDescent="0.25">
      <c r="A8971" s="75">
        <v>42191804</v>
      </c>
      <c r="B8971" s="76" t="s">
        <v>5229</v>
      </c>
    </row>
    <row r="8972" spans="1:2" x14ac:dyDescent="0.25">
      <c r="A8972" s="75">
        <v>42191805</v>
      </c>
      <c r="B8972" s="76" t="s">
        <v>14131</v>
      </c>
    </row>
    <row r="8973" spans="1:2" x14ac:dyDescent="0.25">
      <c r="A8973" s="75">
        <v>42191806</v>
      </c>
      <c r="B8973" s="76" t="s">
        <v>17895</v>
      </c>
    </row>
    <row r="8974" spans="1:2" x14ac:dyDescent="0.25">
      <c r="A8974" s="75">
        <v>42191807</v>
      </c>
      <c r="B8974" s="76" t="s">
        <v>18298</v>
      </c>
    </row>
    <row r="8975" spans="1:2" x14ac:dyDescent="0.25">
      <c r="A8975" s="75">
        <v>42191808</v>
      </c>
      <c r="B8975" s="76" t="s">
        <v>2240</v>
      </c>
    </row>
    <row r="8976" spans="1:2" x14ac:dyDescent="0.25">
      <c r="A8976" s="75">
        <v>42191809</v>
      </c>
      <c r="B8976" s="76" t="s">
        <v>2666</v>
      </c>
    </row>
    <row r="8977" spans="1:2" x14ac:dyDescent="0.25">
      <c r="A8977" s="75">
        <v>42191810</v>
      </c>
      <c r="B8977" s="76" t="s">
        <v>16276</v>
      </c>
    </row>
    <row r="8978" spans="1:2" x14ac:dyDescent="0.25">
      <c r="A8978" s="75">
        <v>42191811</v>
      </c>
      <c r="B8978" s="76" t="s">
        <v>241</v>
      </c>
    </row>
    <row r="8979" spans="1:2" x14ac:dyDescent="0.25">
      <c r="A8979" s="75">
        <v>42191812</v>
      </c>
      <c r="B8979" s="76" t="s">
        <v>4053</v>
      </c>
    </row>
    <row r="8980" spans="1:2" x14ac:dyDescent="0.25">
      <c r="A8980" s="75">
        <v>42191813</v>
      </c>
      <c r="B8980" s="76" t="s">
        <v>150</v>
      </c>
    </row>
    <row r="8981" spans="1:2" x14ac:dyDescent="0.25">
      <c r="A8981" s="75">
        <v>42191814</v>
      </c>
      <c r="B8981" s="76" t="s">
        <v>19427</v>
      </c>
    </row>
    <row r="8982" spans="1:2" x14ac:dyDescent="0.25">
      <c r="A8982" s="75">
        <v>42191901</v>
      </c>
      <c r="B8982" s="76" t="s">
        <v>13642</v>
      </c>
    </row>
    <row r="8983" spans="1:2" x14ac:dyDescent="0.25">
      <c r="A8983" s="75">
        <v>42191902</v>
      </c>
      <c r="B8983" s="76" t="s">
        <v>19084</v>
      </c>
    </row>
    <row r="8984" spans="1:2" x14ac:dyDescent="0.25">
      <c r="A8984" s="75">
        <v>42191903</v>
      </c>
      <c r="B8984" s="76" t="s">
        <v>17869</v>
      </c>
    </row>
    <row r="8985" spans="1:2" x14ac:dyDescent="0.25">
      <c r="A8985" s="75">
        <v>42191904</v>
      </c>
      <c r="B8985" s="76" t="s">
        <v>8124</v>
      </c>
    </row>
    <row r="8986" spans="1:2" x14ac:dyDescent="0.25">
      <c r="A8986" s="75">
        <v>42191905</v>
      </c>
      <c r="B8986" s="76" t="s">
        <v>5419</v>
      </c>
    </row>
    <row r="8987" spans="1:2" x14ac:dyDescent="0.25">
      <c r="A8987" s="75">
        <v>42191906</v>
      </c>
      <c r="B8987" s="76" t="s">
        <v>8105</v>
      </c>
    </row>
    <row r="8988" spans="1:2" x14ac:dyDescent="0.25">
      <c r="A8988" s="75">
        <v>42191907</v>
      </c>
      <c r="B8988" s="76" t="s">
        <v>1188</v>
      </c>
    </row>
    <row r="8989" spans="1:2" x14ac:dyDescent="0.25">
      <c r="A8989" s="75">
        <v>42192001</v>
      </c>
      <c r="B8989" s="76" t="s">
        <v>13720</v>
      </c>
    </row>
    <row r="8990" spans="1:2" x14ac:dyDescent="0.25">
      <c r="A8990" s="75">
        <v>42192002</v>
      </c>
      <c r="B8990" s="76" t="s">
        <v>1364</v>
      </c>
    </row>
    <row r="8991" spans="1:2" x14ac:dyDescent="0.25">
      <c r="A8991" s="75">
        <v>42192101</v>
      </c>
      <c r="B8991" s="76" t="s">
        <v>10435</v>
      </c>
    </row>
    <row r="8992" spans="1:2" x14ac:dyDescent="0.25">
      <c r="A8992" s="75">
        <v>42192102</v>
      </c>
      <c r="B8992" s="76" t="s">
        <v>15039</v>
      </c>
    </row>
    <row r="8993" spans="1:2" x14ac:dyDescent="0.25">
      <c r="A8993" s="75">
        <v>42192103</v>
      </c>
      <c r="B8993" s="76" t="s">
        <v>11331</v>
      </c>
    </row>
    <row r="8994" spans="1:2" x14ac:dyDescent="0.25">
      <c r="A8994" s="75">
        <v>42192104</v>
      </c>
      <c r="B8994" s="76" t="s">
        <v>7587</v>
      </c>
    </row>
    <row r="8995" spans="1:2" x14ac:dyDescent="0.25">
      <c r="A8995" s="75">
        <v>42192106</v>
      </c>
      <c r="B8995" s="76" t="s">
        <v>16546</v>
      </c>
    </row>
    <row r="8996" spans="1:2" x14ac:dyDescent="0.25">
      <c r="A8996" s="75">
        <v>42192107</v>
      </c>
      <c r="B8996" s="76" t="s">
        <v>2371</v>
      </c>
    </row>
    <row r="8997" spans="1:2" x14ac:dyDescent="0.25">
      <c r="A8997" s="75">
        <v>42192201</v>
      </c>
      <c r="B8997" s="76" t="s">
        <v>13292</v>
      </c>
    </row>
    <row r="8998" spans="1:2" x14ac:dyDescent="0.25">
      <c r="A8998" s="75">
        <v>42192202</v>
      </c>
      <c r="B8998" s="76" t="s">
        <v>14474</v>
      </c>
    </row>
    <row r="8999" spans="1:2" x14ac:dyDescent="0.25">
      <c r="A8999" s="75">
        <v>42192203</v>
      </c>
      <c r="B8999" s="76" t="s">
        <v>9495</v>
      </c>
    </row>
    <row r="9000" spans="1:2" x14ac:dyDescent="0.25">
      <c r="A9000" s="75">
        <v>42192204</v>
      </c>
      <c r="B9000" s="76" t="s">
        <v>12649</v>
      </c>
    </row>
    <row r="9001" spans="1:2" x14ac:dyDescent="0.25">
      <c r="A9001" s="75">
        <v>42192205</v>
      </c>
      <c r="B9001" s="76" t="s">
        <v>15502</v>
      </c>
    </row>
    <row r="9002" spans="1:2" x14ac:dyDescent="0.25">
      <c r="A9002" s="75">
        <v>42192206</v>
      </c>
      <c r="B9002" s="76" t="s">
        <v>4898</v>
      </c>
    </row>
    <row r="9003" spans="1:2" x14ac:dyDescent="0.25">
      <c r="A9003" s="75">
        <v>42192207</v>
      </c>
      <c r="B9003" s="76" t="s">
        <v>2995</v>
      </c>
    </row>
    <row r="9004" spans="1:2" x14ac:dyDescent="0.25">
      <c r="A9004" s="75">
        <v>42192208</v>
      </c>
      <c r="B9004" s="76" t="s">
        <v>1439</v>
      </c>
    </row>
    <row r="9005" spans="1:2" x14ac:dyDescent="0.25">
      <c r="A9005" s="75">
        <v>42192209</v>
      </c>
      <c r="B9005" s="76" t="s">
        <v>15563</v>
      </c>
    </row>
    <row r="9006" spans="1:2" x14ac:dyDescent="0.25">
      <c r="A9006" s="75">
        <v>42192210</v>
      </c>
      <c r="B9006" s="76" t="s">
        <v>13513</v>
      </c>
    </row>
    <row r="9007" spans="1:2" x14ac:dyDescent="0.25">
      <c r="A9007" s="75">
        <v>42192211</v>
      </c>
      <c r="B9007" s="76" t="s">
        <v>5588</v>
      </c>
    </row>
    <row r="9008" spans="1:2" x14ac:dyDescent="0.25">
      <c r="A9008" s="75">
        <v>42192212</v>
      </c>
      <c r="B9008" s="76" t="s">
        <v>5108</v>
      </c>
    </row>
    <row r="9009" spans="1:2" x14ac:dyDescent="0.25">
      <c r="A9009" s="75">
        <v>42192213</v>
      </c>
      <c r="B9009" s="76" t="s">
        <v>8925</v>
      </c>
    </row>
    <row r="9010" spans="1:2" x14ac:dyDescent="0.25">
      <c r="A9010" s="75">
        <v>42192301</v>
      </c>
      <c r="B9010" s="76" t="s">
        <v>6677</v>
      </c>
    </row>
    <row r="9011" spans="1:2" x14ac:dyDescent="0.25">
      <c r="A9011" s="75">
        <v>42192302</v>
      </c>
      <c r="B9011" s="76" t="s">
        <v>6490</v>
      </c>
    </row>
    <row r="9012" spans="1:2" x14ac:dyDescent="0.25">
      <c r="A9012" s="75">
        <v>42192303</v>
      </c>
      <c r="B9012" s="76" t="s">
        <v>7690</v>
      </c>
    </row>
    <row r="9013" spans="1:2" x14ac:dyDescent="0.25">
      <c r="A9013" s="75">
        <v>42192304</v>
      </c>
      <c r="B9013" s="76" t="s">
        <v>2269</v>
      </c>
    </row>
    <row r="9014" spans="1:2" x14ac:dyDescent="0.25">
      <c r="A9014" s="75">
        <v>42192305</v>
      </c>
      <c r="B9014" s="76" t="s">
        <v>19331</v>
      </c>
    </row>
    <row r="9015" spans="1:2" x14ac:dyDescent="0.25">
      <c r="A9015" s="75">
        <v>42192401</v>
      </c>
      <c r="B9015" s="76" t="s">
        <v>3520</v>
      </c>
    </row>
    <row r="9016" spans="1:2" x14ac:dyDescent="0.25">
      <c r="A9016" s="75">
        <v>42192402</v>
      </c>
      <c r="B9016" s="76" t="s">
        <v>19400</v>
      </c>
    </row>
    <row r="9017" spans="1:2" x14ac:dyDescent="0.25">
      <c r="A9017" s="75">
        <v>42192403</v>
      </c>
      <c r="B9017" s="76" t="s">
        <v>6337</v>
      </c>
    </row>
    <row r="9018" spans="1:2" x14ac:dyDescent="0.25">
      <c r="A9018" s="75">
        <v>42192404</v>
      </c>
      <c r="B9018" s="76" t="s">
        <v>1159</v>
      </c>
    </row>
    <row r="9019" spans="1:2" x14ac:dyDescent="0.25">
      <c r="A9019" s="75">
        <v>42192405</v>
      </c>
      <c r="B9019" s="76" t="s">
        <v>10832</v>
      </c>
    </row>
    <row r="9020" spans="1:2" x14ac:dyDescent="0.25">
      <c r="A9020" s="75">
        <v>42192406</v>
      </c>
      <c r="B9020" s="76" t="s">
        <v>14078</v>
      </c>
    </row>
    <row r="9021" spans="1:2" x14ac:dyDescent="0.25">
      <c r="A9021" s="75">
        <v>42192501</v>
      </c>
      <c r="B9021" s="76" t="s">
        <v>4513</v>
      </c>
    </row>
    <row r="9022" spans="1:2" x14ac:dyDescent="0.25">
      <c r="A9022" s="75">
        <v>42192502</v>
      </c>
      <c r="B9022" s="76" t="s">
        <v>5021</v>
      </c>
    </row>
    <row r="9023" spans="1:2" x14ac:dyDescent="0.25">
      <c r="A9023" s="75">
        <v>42192601</v>
      </c>
      <c r="B9023" s="76" t="s">
        <v>19872</v>
      </c>
    </row>
    <row r="9024" spans="1:2" x14ac:dyDescent="0.25">
      <c r="A9024" s="75">
        <v>42192602</v>
      </c>
      <c r="B9024" s="76" t="s">
        <v>12338</v>
      </c>
    </row>
    <row r="9025" spans="1:2" x14ac:dyDescent="0.25">
      <c r="A9025" s="75">
        <v>42192603</v>
      </c>
      <c r="B9025" s="76" t="s">
        <v>12960</v>
      </c>
    </row>
    <row r="9026" spans="1:2" x14ac:dyDescent="0.25">
      <c r="A9026" s="75">
        <v>42192604</v>
      </c>
      <c r="B9026" s="76" t="s">
        <v>740</v>
      </c>
    </row>
    <row r="9027" spans="1:2" x14ac:dyDescent="0.25">
      <c r="A9027" s="75">
        <v>42192605</v>
      </c>
      <c r="B9027" s="76" t="s">
        <v>12275</v>
      </c>
    </row>
    <row r="9028" spans="1:2" x14ac:dyDescent="0.25">
      <c r="A9028" s="75">
        <v>42201501</v>
      </c>
      <c r="B9028" s="76" t="s">
        <v>16361</v>
      </c>
    </row>
    <row r="9029" spans="1:2" x14ac:dyDescent="0.25">
      <c r="A9029" s="75">
        <v>42201502</v>
      </c>
      <c r="B9029" s="76" t="s">
        <v>4283</v>
      </c>
    </row>
    <row r="9030" spans="1:2" x14ac:dyDescent="0.25">
      <c r="A9030" s="75">
        <v>42201503</v>
      </c>
      <c r="B9030" s="76" t="s">
        <v>8148</v>
      </c>
    </row>
    <row r="9031" spans="1:2" x14ac:dyDescent="0.25">
      <c r="A9031" s="75">
        <v>42201504</v>
      </c>
      <c r="B9031" s="76" t="s">
        <v>15462</v>
      </c>
    </row>
    <row r="9032" spans="1:2" x14ac:dyDescent="0.25">
      <c r="A9032" s="75">
        <v>42201505</v>
      </c>
      <c r="B9032" s="76" t="s">
        <v>19125</v>
      </c>
    </row>
    <row r="9033" spans="1:2" x14ac:dyDescent="0.25">
      <c r="A9033" s="75">
        <v>42201506</v>
      </c>
      <c r="B9033" s="76" t="s">
        <v>11676</v>
      </c>
    </row>
    <row r="9034" spans="1:2" x14ac:dyDescent="0.25">
      <c r="A9034" s="75">
        <v>42201507</v>
      </c>
      <c r="B9034" s="76" t="s">
        <v>4270</v>
      </c>
    </row>
    <row r="9035" spans="1:2" x14ac:dyDescent="0.25">
      <c r="A9035" s="75">
        <v>42201508</v>
      </c>
      <c r="B9035" s="76" t="s">
        <v>8327</v>
      </c>
    </row>
    <row r="9036" spans="1:2" x14ac:dyDescent="0.25">
      <c r="A9036" s="75">
        <v>42201509</v>
      </c>
      <c r="B9036" s="76" t="s">
        <v>18882</v>
      </c>
    </row>
    <row r="9037" spans="1:2" x14ac:dyDescent="0.25">
      <c r="A9037" s="75">
        <v>42201510</v>
      </c>
      <c r="B9037" s="76" t="s">
        <v>1874</v>
      </c>
    </row>
    <row r="9038" spans="1:2" x14ac:dyDescent="0.25">
      <c r="A9038" s="75">
        <v>42201511</v>
      </c>
      <c r="B9038" s="76" t="s">
        <v>14987</v>
      </c>
    </row>
    <row r="9039" spans="1:2" x14ac:dyDescent="0.25">
      <c r="A9039" s="75">
        <v>42201512</v>
      </c>
      <c r="B9039" s="76" t="s">
        <v>1893</v>
      </c>
    </row>
    <row r="9040" spans="1:2" x14ac:dyDescent="0.25">
      <c r="A9040" s="75">
        <v>42201513</v>
      </c>
      <c r="B9040" s="76" t="s">
        <v>4276</v>
      </c>
    </row>
    <row r="9041" spans="1:2" x14ac:dyDescent="0.25">
      <c r="A9041" s="75">
        <v>42201601</v>
      </c>
      <c r="B9041" s="76" t="s">
        <v>14335</v>
      </c>
    </row>
    <row r="9042" spans="1:2" x14ac:dyDescent="0.25">
      <c r="A9042" s="75">
        <v>42201602</v>
      </c>
      <c r="B9042" s="76" t="s">
        <v>7348</v>
      </c>
    </row>
    <row r="9043" spans="1:2" x14ac:dyDescent="0.25">
      <c r="A9043" s="75">
        <v>42201603</v>
      </c>
      <c r="B9043" s="76" t="s">
        <v>17596</v>
      </c>
    </row>
    <row r="9044" spans="1:2" x14ac:dyDescent="0.25">
      <c r="A9044" s="75">
        <v>42201604</v>
      </c>
      <c r="B9044" s="76" t="s">
        <v>11466</v>
      </c>
    </row>
    <row r="9045" spans="1:2" x14ac:dyDescent="0.25">
      <c r="A9045" s="75">
        <v>42201605</v>
      </c>
      <c r="B9045" s="76" t="s">
        <v>12326</v>
      </c>
    </row>
    <row r="9046" spans="1:2" x14ac:dyDescent="0.25">
      <c r="A9046" s="75">
        <v>42201606</v>
      </c>
      <c r="B9046" s="76" t="s">
        <v>18131</v>
      </c>
    </row>
    <row r="9047" spans="1:2" x14ac:dyDescent="0.25">
      <c r="A9047" s="75">
        <v>42201607</v>
      </c>
      <c r="B9047" s="76" t="s">
        <v>126</v>
      </c>
    </row>
    <row r="9048" spans="1:2" x14ac:dyDescent="0.25">
      <c r="A9048" s="75">
        <v>42201608</v>
      </c>
      <c r="B9048" s="76" t="s">
        <v>1939</v>
      </c>
    </row>
    <row r="9049" spans="1:2" x14ac:dyDescent="0.25">
      <c r="A9049" s="75">
        <v>42201609</v>
      </c>
      <c r="B9049" s="76" t="s">
        <v>6201</v>
      </c>
    </row>
    <row r="9050" spans="1:2" x14ac:dyDescent="0.25">
      <c r="A9050" s="75">
        <v>42201610</v>
      </c>
      <c r="B9050" s="76" t="s">
        <v>6795</v>
      </c>
    </row>
    <row r="9051" spans="1:2" x14ac:dyDescent="0.25">
      <c r="A9051" s="75">
        <v>42201611</v>
      </c>
      <c r="B9051" s="76" t="s">
        <v>15952</v>
      </c>
    </row>
    <row r="9052" spans="1:2" x14ac:dyDescent="0.25">
      <c r="A9052" s="75">
        <v>42201701</v>
      </c>
      <c r="B9052" s="76" t="s">
        <v>12644</v>
      </c>
    </row>
    <row r="9053" spans="1:2" x14ac:dyDescent="0.25">
      <c r="A9053" s="75">
        <v>42201702</v>
      </c>
      <c r="B9053" s="76" t="s">
        <v>19857</v>
      </c>
    </row>
    <row r="9054" spans="1:2" x14ac:dyDescent="0.25">
      <c r="A9054" s="75">
        <v>42201703</v>
      </c>
      <c r="B9054" s="76" t="s">
        <v>753</v>
      </c>
    </row>
    <row r="9055" spans="1:2" x14ac:dyDescent="0.25">
      <c r="A9055" s="75">
        <v>42201704</v>
      </c>
      <c r="B9055" s="76" t="s">
        <v>12172</v>
      </c>
    </row>
    <row r="9056" spans="1:2" x14ac:dyDescent="0.25">
      <c r="A9056" s="75">
        <v>42201705</v>
      </c>
      <c r="B9056" s="76" t="s">
        <v>17387</v>
      </c>
    </row>
    <row r="9057" spans="1:2" x14ac:dyDescent="0.25">
      <c r="A9057" s="75">
        <v>42201706</v>
      </c>
      <c r="B9057" s="76" t="s">
        <v>17519</v>
      </c>
    </row>
    <row r="9058" spans="1:2" x14ac:dyDescent="0.25">
      <c r="A9058" s="75">
        <v>42201707</v>
      </c>
      <c r="B9058" s="76" t="s">
        <v>9434</v>
      </c>
    </row>
    <row r="9059" spans="1:2" x14ac:dyDescent="0.25">
      <c r="A9059" s="75">
        <v>42201708</v>
      </c>
      <c r="B9059" s="76" t="s">
        <v>3704</v>
      </c>
    </row>
    <row r="9060" spans="1:2" x14ac:dyDescent="0.25">
      <c r="A9060" s="75">
        <v>42201709</v>
      </c>
      <c r="B9060" s="76" t="s">
        <v>12260</v>
      </c>
    </row>
    <row r="9061" spans="1:2" x14ac:dyDescent="0.25">
      <c r="A9061" s="75">
        <v>42201710</v>
      </c>
      <c r="B9061" s="76" t="s">
        <v>9276</v>
      </c>
    </row>
    <row r="9062" spans="1:2" x14ac:dyDescent="0.25">
      <c r="A9062" s="75">
        <v>42201711</v>
      </c>
      <c r="B9062" s="76" t="s">
        <v>10731</v>
      </c>
    </row>
    <row r="9063" spans="1:2" x14ac:dyDescent="0.25">
      <c r="A9063" s="75">
        <v>42201712</v>
      </c>
      <c r="B9063" s="76" t="s">
        <v>3127</v>
      </c>
    </row>
    <row r="9064" spans="1:2" x14ac:dyDescent="0.25">
      <c r="A9064" s="75">
        <v>42201713</v>
      </c>
      <c r="B9064" s="76" t="s">
        <v>9058</v>
      </c>
    </row>
    <row r="9065" spans="1:2" x14ac:dyDescent="0.25">
      <c r="A9065" s="75">
        <v>42201714</v>
      </c>
      <c r="B9065" s="76" t="s">
        <v>16473</v>
      </c>
    </row>
    <row r="9066" spans="1:2" x14ac:dyDescent="0.25">
      <c r="A9066" s="75">
        <v>42201715</v>
      </c>
      <c r="B9066" s="76" t="s">
        <v>6273</v>
      </c>
    </row>
    <row r="9067" spans="1:2" x14ac:dyDescent="0.25">
      <c r="A9067" s="75">
        <v>42201716</v>
      </c>
      <c r="B9067" s="76" t="s">
        <v>791</v>
      </c>
    </row>
    <row r="9068" spans="1:2" x14ac:dyDescent="0.25">
      <c r="A9068" s="75">
        <v>42201717</v>
      </c>
      <c r="B9068" s="76" t="s">
        <v>4349</v>
      </c>
    </row>
    <row r="9069" spans="1:2" x14ac:dyDescent="0.25">
      <c r="A9069" s="75">
        <v>42201718</v>
      </c>
      <c r="B9069" s="76" t="s">
        <v>18798</v>
      </c>
    </row>
    <row r="9070" spans="1:2" x14ac:dyDescent="0.25">
      <c r="A9070" s="75">
        <v>42201719</v>
      </c>
      <c r="B9070" s="76" t="s">
        <v>7634</v>
      </c>
    </row>
    <row r="9071" spans="1:2" x14ac:dyDescent="0.25">
      <c r="A9071" s="75">
        <v>42201801</v>
      </c>
      <c r="B9071" s="76" t="s">
        <v>15085</v>
      </c>
    </row>
    <row r="9072" spans="1:2" x14ac:dyDescent="0.25">
      <c r="A9072" s="75">
        <v>42201802</v>
      </c>
      <c r="B9072" s="76" t="s">
        <v>18950</v>
      </c>
    </row>
    <row r="9073" spans="1:2" x14ac:dyDescent="0.25">
      <c r="A9073" s="75">
        <v>42201803</v>
      </c>
      <c r="B9073" s="76" t="s">
        <v>12598</v>
      </c>
    </row>
    <row r="9074" spans="1:2" x14ac:dyDescent="0.25">
      <c r="A9074" s="75">
        <v>42201804</v>
      </c>
      <c r="B9074" s="76" t="s">
        <v>1920</v>
      </c>
    </row>
    <row r="9075" spans="1:2" x14ac:dyDescent="0.25">
      <c r="A9075" s="75">
        <v>42201805</v>
      </c>
      <c r="B9075" s="76" t="s">
        <v>16575</v>
      </c>
    </row>
    <row r="9076" spans="1:2" x14ac:dyDescent="0.25">
      <c r="A9076" s="75">
        <v>42201806</v>
      </c>
      <c r="B9076" s="76" t="s">
        <v>7674</v>
      </c>
    </row>
    <row r="9077" spans="1:2" x14ac:dyDescent="0.25">
      <c r="A9077" s="75">
        <v>42201807</v>
      </c>
      <c r="B9077" s="76" t="s">
        <v>1898</v>
      </c>
    </row>
    <row r="9078" spans="1:2" x14ac:dyDescent="0.25">
      <c r="A9078" s="75">
        <v>42201808</v>
      </c>
      <c r="B9078" s="76" t="s">
        <v>6278</v>
      </c>
    </row>
    <row r="9079" spans="1:2" x14ac:dyDescent="0.25">
      <c r="A9079" s="75">
        <v>42201809</v>
      </c>
      <c r="B9079" s="76" t="s">
        <v>5731</v>
      </c>
    </row>
    <row r="9080" spans="1:2" x14ac:dyDescent="0.25">
      <c r="A9080" s="75">
        <v>42201810</v>
      </c>
      <c r="B9080" s="76" t="s">
        <v>2237</v>
      </c>
    </row>
    <row r="9081" spans="1:2" x14ac:dyDescent="0.25">
      <c r="A9081" s="75">
        <v>42201811</v>
      </c>
      <c r="B9081" s="76" t="s">
        <v>7543</v>
      </c>
    </row>
    <row r="9082" spans="1:2" x14ac:dyDescent="0.25">
      <c r="A9082" s="75">
        <v>42201812</v>
      </c>
      <c r="B9082" s="76" t="s">
        <v>7224</v>
      </c>
    </row>
    <row r="9083" spans="1:2" x14ac:dyDescent="0.25">
      <c r="A9083" s="75">
        <v>42201813</v>
      </c>
      <c r="B9083" s="76" t="s">
        <v>6828</v>
      </c>
    </row>
    <row r="9084" spans="1:2" x14ac:dyDescent="0.25">
      <c r="A9084" s="75">
        <v>42201814</v>
      </c>
      <c r="B9084" s="76" t="s">
        <v>888</v>
      </c>
    </row>
    <row r="9085" spans="1:2" x14ac:dyDescent="0.25">
      <c r="A9085" s="75">
        <v>42201815</v>
      </c>
      <c r="B9085" s="76" t="s">
        <v>16667</v>
      </c>
    </row>
    <row r="9086" spans="1:2" x14ac:dyDescent="0.25">
      <c r="A9086" s="75">
        <v>42201816</v>
      </c>
      <c r="B9086" s="76" t="s">
        <v>16375</v>
      </c>
    </row>
    <row r="9087" spans="1:2" x14ac:dyDescent="0.25">
      <c r="A9087" s="75">
        <v>42201817</v>
      </c>
      <c r="B9087" s="76" t="s">
        <v>18365</v>
      </c>
    </row>
    <row r="9088" spans="1:2" x14ac:dyDescent="0.25">
      <c r="A9088" s="75">
        <v>42201818</v>
      </c>
      <c r="B9088" s="76" t="s">
        <v>5759</v>
      </c>
    </row>
    <row r="9089" spans="1:2" x14ac:dyDescent="0.25">
      <c r="A9089" s="75">
        <v>42201819</v>
      </c>
      <c r="B9089" s="76" t="s">
        <v>11959</v>
      </c>
    </row>
    <row r="9090" spans="1:2" x14ac:dyDescent="0.25">
      <c r="A9090" s="75">
        <v>42201820</v>
      </c>
      <c r="B9090" s="76" t="s">
        <v>19013</v>
      </c>
    </row>
    <row r="9091" spans="1:2" x14ac:dyDescent="0.25">
      <c r="A9091" s="75">
        <v>42201821</v>
      </c>
      <c r="B9091" s="76" t="s">
        <v>12294</v>
      </c>
    </row>
    <row r="9092" spans="1:2" x14ac:dyDescent="0.25">
      <c r="A9092" s="75">
        <v>42201822</v>
      </c>
      <c r="B9092" s="76" t="s">
        <v>9416</v>
      </c>
    </row>
    <row r="9093" spans="1:2" x14ac:dyDescent="0.25">
      <c r="A9093" s="75">
        <v>42201823</v>
      </c>
      <c r="B9093" s="76" t="s">
        <v>1042</v>
      </c>
    </row>
    <row r="9094" spans="1:2" x14ac:dyDescent="0.25">
      <c r="A9094" s="75">
        <v>42201824</v>
      </c>
      <c r="B9094" s="76" t="s">
        <v>8997</v>
      </c>
    </row>
    <row r="9095" spans="1:2" x14ac:dyDescent="0.25">
      <c r="A9095" s="75">
        <v>42201825</v>
      </c>
      <c r="B9095" s="76" t="s">
        <v>766</v>
      </c>
    </row>
    <row r="9096" spans="1:2" x14ac:dyDescent="0.25">
      <c r="A9096" s="75">
        <v>42201826</v>
      </c>
      <c r="B9096" s="76" t="s">
        <v>14373</v>
      </c>
    </row>
    <row r="9097" spans="1:2" x14ac:dyDescent="0.25">
      <c r="A9097" s="75">
        <v>42201827</v>
      </c>
      <c r="B9097" s="76" t="s">
        <v>19472</v>
      </c>
    </row>
    <row r="9098" spans="1:2" x14ac:dyDescent="0.25">
      <c r="A9098" s="75">
        <v>42201828</v>
      </c>
      <c r="B9098" s="76" t="s">
        <v>4960</v>
      </c>
    </row>
    <row r="9099" spans="1:2" x14ac:dyDescent="0.25">
      <c r="A9099" s="75">
        <v>42201829</v>
      </c>
      <c r="B9099" s="76" t="s">
        <v>3633</v>
      </c>
    </row>
    <row r="9100" spans="1:2" x14ac:dyDescent="0.25">
      <c r="A9100" s="75">
        <v>42201830</v>
      </c>
      <c r="B9100" s="76" t="s">
        <v>6801</v>
      </c>
    </row>
    <row r="9101" spans="1:2" x14ac:dyDescent="0.25">
      <c r="A9101" s="75">
        <v>42201831</v>
      </c>
      <c r="B9101" s="76" t="s">
        <v>9648</v>
      </c>
    </row>
    <row r="9102" spans="1:2" x14ac:dyDescent="0.25">
      <c r="A9102" s="75">
        <v>42201832</v>
      </c>
      <c r="B9102" s="76" t="s">
        <v>1062</v>
      </c>
    </row>
    <row r="9103" spans="1:2" x14ac:dyDescent="0.25">
      <c r="A9103" s="75">
        <v>42201833</v>
      </c>
      <c r="B9103" s="76" t="s">
        <v>11297</v>
      </c>
    </row>
    <row r="9104" spans="1:2" x14ac:dyDescent="0.25">
      <c r="A9104" s="75">
        <v>42201834</v>
      </c>
      <c r="B9104" s="76" t="s">
        <v>13196</v>
      </c>
    </row>
    <row r="9105" spans="1:2" x14ac:dyDescent="0.25">
      <c r="A9105" s="75">
        <v>42201835</v>
      </c>
      <c r="B9105" s="76" t="s">
        <v>12934</v>
      </c>
    </row>
    <row r="9106" spans="1:2" x14ac:dyDescent="0.25">
      <c r="A9106" s="75">
        <v>42201836</v>
      </c>
      <c r="B9106" s="76" t="s">
        <v>3056</v>
      </c>
    </row>
    <row r="9107" spans="1:2" x14ac:dyDescent="0.25">
      <c r="A9107" s="75">
        <v>42201837</v>
      </c>
      <c r="B9107" s="76" t="s">
        <v>1736</v>
      </c>
    </row>
    <row r="9108" spans="1:2" x14ac:dyDescent="0.25">
      <c r="A9108" s="75">
        <v>42201838</v>
      </c>
      <c r="B9108" s="76" t="s">
        <v>18718</v>
      </c>
    </row>
    <row r="9109" spans="1:2" x14ac:dyDescent="0.25">
      <c r="A9109" s="75">
        <v>42201839</v>
      </c>
      <c r="B9109" s="76" t="s">
        <v>11558</v>
      </c>
    </row>
    <row r="9110" spans="1:2" x14ac:dyDescent="0.25">
      <c r="A9110" s="75">
        <v>42201840</v>
      </c>
      <c r="B9110" s="76" t="s">
        <v>19333</v>
      </c>
    </row>
    <row r="9111" spans="1:2" x14ac:dyDescent="0.25">
      <c r="A9111" s="75">
        <v>42201841</v>
      </c>
      <c r="B9111" s="76" t="s">
        <v>389</v>
      </c>
    </row>
    <row r="9112" spans="1:2" x14ac:dyDescent="0.25">
      <c r="A9112" s="75">
        <v>42201901</v>
      </c>
      <c r="B9112" s="76" t="s">
        <v>3655</v>
      </c>
    </row>
    <row r="9113" spans="1:2" x14ac:dyDescent="0.25">
      <c r="A9113" s="75">
        <v>42201902</v>
      </c>
      <c r="B9113" s="76" t="s">
        <v>4354</v>
      </c>
    </row>
    <row r="9114" spans="1:2" x14ac:dyDescent="0.25">
      <c r="A9114" s="75">
        <v>42201903</v>
      </c>
      <c r="B9114" s="76" t="s">
        <v>9319</v>
      </c>
    </row>
    <row r="9115" spans="1:2" x14ac:dyDescent="0.25">
      <c r="A9115" s="75">
        <v>42201904</v>
      </c>
      <c r="B9115" s="76" t="s">
        <v>12090</v>
      </c>
    </row>
    <row r="9116" spans="1:2" x14ac:dyDescent="0.25">
      <c r="A9116" s="75">
        <v>42201905</v>
      </c>
      <c r="B9116" s="76" t="s">
        <v>16830</v>
      </c>
    </row>
    <row r="9117" spans="1:2" x14ac:dyDescent="0.25">
      <c r="A9117" s="75">
        <v>42201906</v>
      </c>
      <c r="B9117" s="76" t="s">
        <v>2966</v>
      </c>
    </row>
    <row r="9118" spans="1:2" x14ac:dyDescent="0.25">
      <c r="A9118" s="75">
        <v>42201907</v>
      </c>
      <c r="B9118" s="76" t="s">
        <v>10714</v>
      </c>
    </row>
    <row r="9119" spans="1:2" x14ac:dyDescent="0.25">
      <c r="A9119" s="75">
        <v>42201908</v>
      </c>
      <c r="B9119" s="76" t="s">
        <v>2488</v>
      </c>
    </row>
    <row r="9120" spans="1:2" x14ac:dyDescent="0.25">
      <c r="A9120" s="75">
        <v>42202001</v>
      </c>
      <c r="B9120" s="76" t="s">
        <v>5899</v>
      </c>
    </row>
    <row r="9121" spans="1:2" x14ac:dyDescent="0.25">
      <c r="A9121" s="75">
        <v>42202002</v>
      </c>
      <c r="B9121" s="76" t="s">
        <v>2136</v>
      </c>
    </row>
    <row r="9122" spans="1:2" x14ac:dyDescent="0.25">
      <c r="A9122" s="75">
        <v>42202003</v>
      </c>
      <c r="B9122" s="76" t="s">
        <v>11285</v>
      </c>
    </row>
    <row r="9123" spans="1:2" x14ac:dyDescent="0.25">
      <c r="A9123" s="75">
        <v>42202004</v>
      </c>
      <c r="B9123" s="76" t="s">
        <v>2863</v>
      </c>
    </row>
    <row r="9124" spans="1:2" x14ac:dyDescent="0.25">
      <c r="A9124" s="75">
        <v>42202005</v>
      </c>
      <c r="B9124" s="76" t="s">
        <v>19813</v>
      </c>
    </row>
    <row r="9125" spans="1:2" x14ac:dyDescent="0.25">
      <c r="A9125" s="75">
        <v>42202101</v>
      </c>
      <c r="B9125" s="76" t="s">
        <v>6512</v>
      </c>
    </row>
    <row r="9126" spans="1:2" x14ac:dyDescent="0.25">
      <c r="A9126" s="75">
        <v>42202102</v>
      </c>
      <c r="B9126" s="76" t="s">
        <v>19967</v>
      </c>
    </row>
    <row r="9127" spans="1:2" x14ac:dyDescent="0.25">
      <c r="A9127" s="75">
        <v>42202103</v>
      </c>
      <c r="B9127" s="76" t="s">
        <v>18342</v>
      </c>
    </row>
    <row r="9128" spans="1:2" x14ac:dyDescent="0.25">
      <c r="A9128" s="75">
        <v>42202104</v>
      </c>
      <c r="B9128" s="76" t="s">
        <v>11189</v>
      </c>
    </row>
    <row r="9129" spans="1:2" x14ac:dyDescent="0.25">
      <c r="A9129" s="75">
        <v>42202105</v>
      </c>
      <c r="B9129" s="76" t="s">
        <v>1336</v>
      </c>
    </row>
    <row r="9130" spans="1:2" x14ac:dyDescent="0.25">
      <c r="A9130" s="75">
        <v>42202201</v>
      </c>
      <c r="B9130" s="76" t="s">
        <v>7048</v>
      </c>
    </row>
    <row r="9131" spans="1:2" x14ac:dyDescent="0.25">
      <c r="A9131" s="75">
        <v>42202202</v>
      </c>
      <c r="B9131" s="76" t="s">
        <v>10249</v>
      </c>
    </row>
    <row r="9132" spans="1:2" x14ac:dyDescent="0.25">
      <c r="A9132" s="75">
        <v>42202203</v>
      </c>
      <c r="B9132" s="76" t="s">
        <v>16510</v>
      </c>
    </row>
    <row r="9133" spans="1:2" x14ac:dyDescent="0.25">
      <c r="A9133" s="75">
        <v>42202301</v>
      </c>
      <c r="B9133" s="76" t="s">
        <v>5208</v>
      </c>
    </row>
    <row r="9134" spans="1:2" x14ac:dyDescent="0.25">
      <c r="A9134" s="75">
        <v>42202302</v>
      </c>
      <c r="B9134" s="76" t="s">
        <v>9848</v>
      </c>
    </row>
    <row r="9135" spans="1:2" x14ac:dyDescent="0.25">
      <c r="A9135" s="75">
        <v>42202303</v>
      </c>
      <c r="B9135" s="76" t="s">
        <v>8794</v>
      </c>
    </row>
    <row r="9136" spans="1:2" x14ac:dyDescent="0.25">
      <c r="A9136" s="75">
        <v>42202401</v>
      </c>
      <c r="B9136" s="76" t="s">
        <v>8363</v>
      </c>
    </row>
    <row r="9137" spans="1:2" x14ac:dyDescent="0.25">
      <c r="A9137" s="75">
        <v>42202501</v>
      </c>
      <c r="B9137" s="76" t="s">
        <v>2625</v>
      </c>
    </row>
    <row r="9138" spans="1:2" x14ac:dyDescent="0.25">
      <c r="A9138" s="75">
        <v>42202601</v>
      </c>
      <c r="B9138" s="76" t="s">
        <v>6047</v>
      </c>
    </row>
    <row r="9139" spans="1:2" x14ac:dyDescent="0.25">
      <c r="A9139" s="75">
        <v>42202602</v>
      </c>
      <c r="B9139" s="76" t="s">
        <v>18081</v>
      </c>
    </row>
    <row r="9140" spans="1:2" x14ac:dyDescent="0.25">
      <c r="A9140" s="75">
        <v>42202701</v>
      </c>
      <c r="B9140" s="76" t="s">
        <v>1461</v>
      </c>
    </row>
    <row r="9141" spans="1:2" x14ac:dyDescent="0.25">
      <c r="A9141" s="75">
        <v>42202702</v>
      </c>
      <c r="B9141" s="76" t="s">
        <v>18961</v>
      </c>
    </row>
    <row r="9142" spans="1:2" x14ac:dyDescent="0.25">
      <c r="A9142" s="75">
        <v>42202703</v>
      </c>
      <c r="B9142" s="76" t="s">
        <v>10076</v>
      </c>
    </row>
    <row r="9143" spans="1:2" x14ac:dyDescent="0.25">
      <c r="A9143" s="75">
        <v>42202704</v>
      </c>
      <c r="B9143" s="76" t="s">
        <v>10797</v>
      </c>
    </row>
    <row r="9144" spans="1:2" x14ac:dyDescent="0.25">
      <c r="A9144" s="75">
        <v>42202801</v>
      </c>
      <c r="B9144" s="76" t="s">
        <v>8194</v>
      </c>
    </row>
    <row r="9145" spans="1:2" x14ac:dyDescent="0.25">
      <c r="A9145" s="75">
        <v>42202802</v>
      </c>
      <c r="B9145" s="76" t="s">
        <v>19047</v>
      </c>
    </row>
    <row r="9146" spans="1:2" x14ac:dyDescent="0.25">
      <c r="A9146" s="75">
        <v>42202901</v>
      </c>
      <c r="B9146" s="76" t="s">
        <v>4269</v>
      </c>
    </row>
    <row r="9147" spans="1:2" x14ac:dyDescent="0.25">
      <c r="A9147" s="75">
        <v>42203001</v>
      </c>
      <c r="B9147" s="76" t="s">
        <v>19279</v>
      </c>
    </row>
    <row r="9148" spans="1:2" x14ac:dyDescent="0.25">
      <c r="A9148" s="75">
        <v>42203101</v>
      </c>
      <c r="B9148" s="76" t="s">
        <v>7763</v>
      </c>
    </row>
    <row r="9149" spans="1:2" x14ac:dyDescent="0.25">
      <c r="A9149" s="75">
        <v>42203201</v>
      </c>
      <c r="B9149" s="76" t="s">
        <v>10479</v>
      </c>
    </row>
    <row r="9150" spans="1:2" x14ac:dyDescent="0.25">
      <c r="A9150" s="75">
        <v>42203202</v>
      </c>
      <c r="B9150" s="76" t="s">
        <v>7660</v>
      </c>
    </row>
    <row r="9151" spans="1:2" x14ac:dyDescent="0.25">
      <c r="A9151" s="75">
        <v>42203301</v>
      </c>
      <c r="B9151" s="76" t="s">
        <v>14792</v>
      </c>
    </row>
    <row r="9152" spans="1:2" x14ac:dyDescent="0.25">
      <c r="A9152" s="75">
        <v>42203302</v>
      </c>
      <c r="B9152" s="76" t="s">
        <v>7963</v>
      </c>
    </row>
    <row r="9153" spans="1:2" x14ac:dyDescent="0.25">
      <c r="A9153" s="75">
        <v>42203303</v>
      </c>
      <c r="B9153" s="76" t="s">
        <v>9594</v>
      </c>
    </row>
    <row r="9154" spans="1:2" x14ac:dyDescent="0.25">
      <c r="A9154" s="75">
        <v>42203401</v>
      </c>
      <c r="B9154" s="76" t="s">
        <v>18461</v>
      </c>
    </row>
    <row r="9155" spans="1:2" x14ac:dyDescent="0.25">
      <c r="A9155" s="75">
        <v>42203402</v>
      </c>
      <c r="B9155" s="76" t="s">
        <v>16624</v>
      </c>
    </row>
    <row r="9156" spans="1:2" x14ac:dyDescent="0.25">
      <c r="A9156" s="75">
        <v>42203403</v>
      </c>
      <c r="B9156" s="76" t="s">
        <v>12997</v>
      </c>
    </row>
    <row r="9157" spans="1:2" x14ac:dyDescent="0.25">
      <c r="A9157" s="75">
        <v>42203404</v>
      </c>
      <c r="B9157" s="76" t="s">
        <v>16924</v>
      </c>
    </row>
    <row r="9158" spans="1:2" x14ac:dyDescent="0.25">
      <c r="A9158" s="75">
        <v>42203405</v>
      </c>
      <c r="B9158" s="76" t="s">
        <v>8346</v>
      </c>
    </row>
    <row r="9159" spans="1:2" x14ac:dyDescent="0.25">
      <c r="A9159" s="75">
        <v>42203406</v>
      </c>
      <c r="B9159" s="76" t="s">
        <v>8019</v>
      </c>
    </row>
    <row r="9160" spans="1:2" x14ac:dyDescent="0.25">
      <c r="A9160" s="75">
        <v>42203407</v>
      </c>
      <c r="B9160" s="76" t="s">
        <v>19972</v>
      </c>
    </row>
    <row r="9161" spans="1:2" x14ac:dyDescent="0.25">
      <c r="A9161" s="75">
        <v>42203408</v>
      </c>
      <c r="B9161" s="76" t="s">
        <v>6143</v>
      </c>
    </row>
    <row r="9162" spans="1:2" x14ac:dyDescent="0.25">
      <c r="A9162" s="75">
        <v>42203409</v>
      </c>
      <c r="B9162" s="76" t="s">
        <v>8523</v>
      </c>
    </row>
    <row r="9163" spans="1:2" x14ac:dyDescent="0.25">
      <c r="A9163" s="75">
        <v>42203410</v>
      </c>
      <c r="B9163" s="76" t="s">
        <v>12137</v>
      </c>
    </row>
    <row r="9164" spans="1:2" x14ac:dyDescent="0.25">
      <c r="A9164" s="75">
        <v>42203411</v>
      </c>
      <c r="B9164" s="76" t="s">
        <v>1853</v>
      </c>
    </row>
    <row r="9165" spans="1:2" x14ac:dyDescent="0.25">
      <c r="A9165" s="75">
        <v>42203412</v>
      </c>
      <c r="B9165" s="76" t="s">
        <v>7003</v>
      </c>
    </row>
    <row r="9166" spans="1:2" x14ac:dyDescent="0.25">
      <c r="A9166" s="75">
        <v>42203501</v>
      </c>
      <c r="B9166" s="76" t="s">
        <v>7639</v>
      </c>
    </row>
    <row r="9167" spans="1:2" x14ac:dyDescent="0.25">
      <c r="A9167" s="75">
        <v>42203502</v>
      </c>
      <c r="B9167" s="76" t="s">
        <v>10304</v>
      </c>
    </row>
    <row r="9168" spans="1:2" x14ac:dyDescent="0.25">
      <c r="A9168" s="75">
        <v>42203503</v>
      </c>
      <c r="B9168" s="76" t="s">
        <v>9617</v>
      </c>
    </row>
    <row r="9169" spans="1:2" x14ac:dyDescent="0.25">
      <c r="A9169" s="75">
        <v>42203504</v>
      </c>
      <c r="B9169" s="76" t="s">
        <v>9831</v>
      </c>
    </row>
    <row r="9170" spans="1:2" x14ac:dyDescent="0.25">
      <c r="A9170" s="75">
        <v>42203601</v>
      </c>
      <c r="B9170" s="76" t="s">
        <v>15295</v>
      </c>
    </row>
    <row r="9171" spans="1:2" x14ac:dyDescent="0.25">
      <c r="A9171" s="75">
        <v>42203602</v>
      </c>
      <c r="B9171" s="76" t="s">
        <v>5762</v>
      </c>
    </row>
    <row r="9172" spans="1:2" x14ac:dyDescent="0.25">
      <c r="A9172" s="75">
        <v>42203603</v>
      </c>
      <c r="B9172" s="76" t="s">
        <v>4077</v>
      </c>
    </row>
    <row r="9173" spans="1:2" x14ac:dyDescent="0.25">
      <c r="A9173" s="75">
        <v>42203604</v>
      </c>
      <c r="B9173" s="76" t="s">
        <v>17878</v>
      </c>
    </row>
    <row r="9174" spans="1:2" x14ac:dyDescent="0.25">
      <c r="A9174" s="75">
        <v>42203605</v>
      </c>
      <c r="B9174" s="76" t="s">
        <v>12258</v>
      </c>
    </row>
    <row r="9175" spans="1:2" x14ac:dyDescent="0.25">
      <c r="A9175" s="75">
        <v>42203701</v>
      </c>
      <c r="B9175" s="76" t="s">
        <v>14050</v>
      </c>
    </row>
    <row r="9176" spans="1:2" x14ac:dyDescent="0.25">
      <c r="A9176" s="75">
        <v>42203702</v>
      </c>
      <c r="B9176" s="76" t="s">
        <v>19126</v>
      </c>
    </row>
    <row r="9177" spans="1:2" x14ac:dyDescent="0.25">
      <c r="A9177" s="75">
        <v>42203703</v>
      </c>
      <c r="B9177" s="76" t="s">
        <v>617</v>
      </c>
    </row>
    <row r="9178" spans="1:2" x14ac:dyDescent="0.25">
      <c r="A9178" s="75">
        <v>42203704</v>
      </c>
      <c r="B9178" s="76" t="s">
        <v>4828</v>
      </c>
    </row>
    <row r="9179" spans="1:2" x14ac:dyDescent="0.25">
      <c r="A9179" s="75">
        <v>42203705</v>
      </c>
      <c r="B9179" s="76" t="s">
        <v>13404</v>
      </c>
    </row>
    <row r="9180" spans="1:2" x14ac:dyDescent="0.25">
      <c r="A9180" s="75">
        <v>42203706</v>
      </c>
      <c r="B9180" s="76" t="s">
        <v>5131</v>
      </c>
    </row>
    <row r="9181" spans="1:2" x14ac:dyDescent="0.25">
      <c r="A9181" s="75">
        <v>42203707</v>
      </c>
      <c r="B9181" s="76" t="s">
        <v>999</v>
      </c>
    </row>
    <row r="9182" spans="1:2" x14ac:dyDescent="0.25">
      <c r="A9182" s="75">
        <v>42203708</v>
      </c>
      <c r="B9182" s="76" t="s">
        <v>1947</v>
      </c>
    </row>
    <row r="9183" spans="1:2" x14ac:dyDescent="0.25">
      <c r="A9183" s="75">
        <v>42203709</v>
      </c>
      <c r="B9183" s="76" t="s">
        <v>257</v>
      </c>
    </row>
    <row r="9184" spans="1:2" x14ac:dyDescent="0.25">
      <c r="A9184" s="75">
        <v>42203710</v>
      </c>
      <c r="B9184" s="76" t="s">
        <v>3093</v>
      </c>
    </row>
    <row r="9185" spans="1:2" x14ac:dyDescent="0.25">
      <c r="A9185" s="75">
        <v>42203801</v>
      </c>
      <c r="B9185" s="76" t="s">
        <v>12286</v>
      </c>
    </row>
    <row r="9186" spans="1:2" x14ac:dyDescent="0.25">
      <c r="A9186" s="75">
        <v>42203802</v>
      </c>
      <c r="B9186" s="76" t="s">
        <v>13288</v>
      </c>
    </row>
    <row r="9187" spans="1:2" x14ac:dyDescent="0.25">
      <c r="A9187" s="75">
        <v>42203803</v>
      </c>
      <c r="B9187" s="76" t="s">
        <v>16451</v>
      </c>
    </row>
    <row r="9188" spans="1:2" x14ac:dyDescent="0.25">
      <c r="A9188" s="75">
        <v>42203901</v>
      </c>
      <c r="B9188" s="76" t="s">
        <v>10251</v>
      </c>
    </row>
    <row r="9189" spans="1:2" x14ac:dyDescent="0.25">
      <c r="A9189" s="75">
        <v>42203902</v>
      </c>
      <c r="B9189" s="76" t="s">
        <v>11529</v>
      </c>
    </row>
    <row r="9190" spans="1:2" x14ac:dyDescent="0.25">
      <c r="A9190" s="75">
        <v>42204001</v>
      </c>
      <c r="B9190" s="76" t="s">
        <v>19676</v>
      </c>
    </row>
    <row r="9191" spans="1:2" x14ac:dyDescent="0.25">
      <c r="A9191" s="75">
        <v>42204002</v>
      </c>
      <c r="B9191" s="76" t="s">
        <v>9294</v>
      </c>
    </row>
    <row r="9192" spans="1:2" x14ac:dyDescent="0.25">
      <c r="A9192" s="75">
        <v>42204003</v>
      </c>
      <c r="B9192" s="76" t="s">
        <v>7974</v>
      </c>
    </row>
    <row r="9193" spans="1:2" x14ac:dyDescent="0.25">
      <c r="A9193" s="75">
        <v>42204004</v>
      </c>
      <c r="B9193" s="76" t="s">
        <v>11154</v>
      </c>
    </row>
    <row r="9194" spans="1:2" x14ac:dyDescent="0.25">
      <c r="A9194" s="75">
        <v>42204005</v>
      </c>
      <c r="B9194" s="76" t="s">
        <v>19380</v>
      </c>
    </row>
    <row r="9195" spans="1:2" x14ac:dyDescent="0.25">
      <c r="A9195" s="75">
        <v>42204006</v>
      </c>
      <c r="B9195" s="76" t="s">
        <v>10755</v>
      </c>
    </row>
    <row r="9196" spans="1:2" x14ac:dyDescent="0.25">
      <c r="A9196" s="75">
        <v>42204007</v>
      </c>
      <c r="B9196" s="76" t="s">
        <v>19539</v>
      </c>
    </row>
    <row r="9197" spans="1:2" x14ac:dyDescent="0.25">
      <c r="A9197" s="75">
        <v>42204008</v>
      </c>
      <c r="B9197" s="76" t="s">
        <v>14214</v>
      </c>
    </row>
    <row r="9198" spans="1:2" x14ac:dyDescent="0.25">
      <c r="A9198" s="75">
        <v>42211501</v>
      </c>
      <c r="B9198" s="76" t="s">
        <v>9506</v>
      </c>
    </row>
    <row r="9199" spans="1:2" x14ac:dyDescent="0.25">
      <c r="A9199" s="75">
        <v>42211502</v>
      </c>
      <c r="B9199" s="76" t="s">
        <v>1620</v>
      </c>
    </row>
    <row r="9200" spans="1:2" x14ac:dyDescent="0.25">
      <c r="A9200" s="75">
        <v>42211503</v>
      </c>
      <c r="B9200" s="76" t="s">
        <v>2781</v>
      </c>
    </row>
    <row r="9201" spans="1:2" x14ac:dyDescent="0.25">
      <c r="A9201" s="75">
        <v>42211504</v>
      </c>
      <c r="B9201" s="76" t="s">
        <v>6708</v>
      </c>
    </row>
    <row r="9202" spans="1:2" x14ac:dyDescent="0.25">
      <c r="A9202" s="75">
        <v>42211505</v>
      </c>
      <c r="B9202" s="76" t="s">
        <v>18356</v>
      </c>
    </row>
    <row r="9203" spans="1:2" x14ac:dyDescent="0.25">
      <c r="A9203" s="75">
        <v>42211506</v>
      </c>
      <c r="B9203" s="76" t="s">
        <v>15166</v>
      </c>
    </row>
    <row r="9204" spans="1:2" x14ac:dyDescent="0.25">
      <c r="A9204" s="75">
        <v>42211507</v>
      </c>
      <c r="B9204" s="76" t="s">
        <v>5350</v>
      </c>
    </row>
    <row r="9205" spans="1:2" x14ac:dyDescent="0.25">
      <c r="A9205" s="75">
        <v>42211508</v>
      </c>
      <c r="B9205" s="76" t="s">
        <v>8902</v>
      </c>
    </row>
    <row r="9206" spans="1:2" x14ac:dyDescent="0.25">
      <c r="A9206" s="75">
        <v>42211509</v>
      </c>
      <c r="B9206" s="76" t="s">
        <v>13131</v>
      </c>
    </row>
    <row r="9207" spans="1:2" x14ac:dyDescent="0.25">
      <c r="A9207" s="75">
        <v>42211601</v>
      </c>
      <c r="B9207" s="76" t="s">
        <v>10641</v>
      </c>
    </row>
    <row r="9208" spans="1:2" x14ac:dyDescent="0.25">
      <c r="A9208" s="75">
        <v>42211602</v>
      </c>
      <c r="B9208" s="76" t="s">
        <v>10105</v>
      </c>
    </row>
    <row r="9209" spans="1:2" x14ac:dyDescent="0.25">
      <c r="A9209" s="75">
        <v>42211603</v>
      </c>
      <c r="B9209" s="76" t="s">
        <v>8369</v>
      </c>
    </row>
    <row r="9210" spans="1:2" x14ac:dyDescent="0.25">
      <c r="A9210" s="75">
        <v>42211604</v>
      </c>
      <c r="B9210" s="76" t="s">
        <v>13526</v>
      </c>
    </row>
    <row r="9211" spans="1:2" x14ac:dyDescent="0.25">
      <c r="A9211" s="75">
        <v>42211605</v>
      </c>
      <c r="B9211" s="76" t="s">
        <v>10282</v>
      </c>
    </row>
    <row r="9212" spans="1:2" x14ac:dyDescent="0.25">
      <c r="A9212" s="75">
        <v>42211606</v>
      </c>
      <c r="B9212" s="76" t="s">
        <v>10881</v>
      </c>
    </row>
    <row r="9213" spans="1:2" x14ac:dyDescent="0.25">
      <c r="A9213" s="75">
        <v>42211607</v>
      </c>
      <c r="B9213" s="76" t="s">
        <v>6032</v>
      </c>
    </row>
    <row r="9214" spans="1:2" x14ac:dyDescent="0.25">
      <c r="A9214" s="75">
        <v>42211608</v>
      </c>
      <c r="B9214" s="76" t="s">
        <v>10990</v>
      </c>
    </row>
    <row r="9215" spans="1:2" x14ac:dyDescent="0.25">
      <c r="A9215" s="75">
        <v>42211609</v>
      </c>
      <c r="B9215" s="76" t="s">
        <v>19063</v>
      </c>
    </row>
    <row r="9216" spans="1:2" x14ac:dyDescent="0.25">
      <c r="A9216" s="75">
        <v>42211610</v>
      </c>
      <c r="B9216" s="76" t="s">
        <v>234</v>
      </c>
    </row>
    <row r="9217" spans="1:2" x14ac:dyDescent="0.25">
      <c r="A9217" s="75">
        <v>42211611</v>
      </c>
      <c r="B9217" s="76" t="s">
        <v>17313</v>
      </c>
    </row>
    <row r="9218" spans="1:2" x14ac:dyDescent="0.25">
      <c r="A9218" s="75">
        <v>42211612</v>
      </c>
      <c r="B9218" s="76" t="s">
        <v>14998</v>
      </c>
    </row>
    <row r="9219" spans="1:2" x14ac:dyDescent="0.25">
      <c r="A9219" s="75">
        <v>42211613</v>
      </c>
      <c r="B9219" s="76" t="s">
        <v>459</v>
      </c>
    </row>
    <row r="9220" spans="1:2" x14ac:dyDescent="0.25">
      <c r="A9220" s="75">
        <v>42211614</v>
      </c>
      <c r="B9220" s="76" t="s">
        <v>13012</v>
      </c>
    </row>
    <row r="9221" spans="1:2" x14ac:dyDescent="0.25">
      <c r="A9221" s="75">
        <v>42211615</v>
      </c>
      <c r="B9221" s="76" t="s">
        <v>4154</v>
      </c>
    </row>
    <row r="9222" spans="1:2" x14ac:dyDescent="0.25">
      <c r="A9222" s="75">
        <v>42211616</v>
      </c>
      <c r="B9222" s="76" t="s">
        <v>17523</v>
      </c>
    </row>
    <row r="9223" spans="1:2" x14ac:dyDescent="0.25">
      <c r="A9223" s="75">
        <v>42211617</v>
      </c>
      <c r="B9223" s="76" t="s">
        <v>9760</v>
      </c>
    </row>
    <row r="9224" spans="1:2" x14ac:dyDescent="0.25">
      <c r="A9224" s="75">
        <v>42211618</v>
      </c>
      <c r="B9224" s="76" t="s">
        <v>14336</v>
      </c>
    </row>
    <row r="9225" spans="1:2" x14ac:dyDescent="0.25">
      <c r="A9225" s="75">
        <v>42211701</v>
      </c>
      <c r="B9225" s="76" t="s">
        <v>11596</v>
      </c>
    </row>
    <row r="9226" spans="1:2" x14ac:dyDescent="0.25">
      <c r="A9226" s="75">
        <v>42211702</v>
      </c>
      <c r="B9226" s="76" t="s">
        <v>5935</v>
      </c>
    </row>
    <row r="9227" spans="1:2" x14ac:dyDescent="0.25">
      <c r="A9227" s="75">
        <v>42211703</v>
      </c>
      <c r="B9227" s="76" t="s">
        <v>10989</v>
      </c>
    </row>
    <row r="9228" spans="1:2" x14ac:dyDescent="0.25">
      <c r="A9228" s="75">
        <v>42211704</v>
      </c>
      <c r="B9228" s="76" t="s">
        <v>14793</v>
      </c>
    </row>
    <row r="9229" spans="1:2" x14ac:dyDescent="0.25">
      <c r="A9229" s="75">
        <v>42211705</v>
      </c>
      <c r="B9229" s="76" t="s">
        <v>16280</v>
      </c>
    </row>
    <row r="9230" spans="1:2" x14ac:dyDescent="0.25">
      <c r="A9230" s="75">
        <v>42211706</v>
      </c>
      <c r="B9230" s="76" t="s">
        <v>4409</v>
      </c>
    </row>
    <row r="9231" spans="1:2" x14ac:dyDescent="0.25">
      <c r="A9231" s="75">
        <v>42211707</v>
      </c>
      <c r="B9231" s="76" t="s">
        <v>5330</v>
      </c>
    </row>
    <row r="9232" spans="1:2" x14ac:dyDescent="0.25">
      <c r="A9232" s="75">
        <v>42211708</v>
      </c>
      <c r="B9232" s="76" t="s">
        <v>8750</v>
      </c>
    </row>
    <row r="9233" spans="1:2" x14ac:dyDescent="0.25">
      <c r="A9233" s="75">
        <v>42211709</v>
      </c>
      <c r="B9233" s="76" t="s">
        <v>6218</v>
      </c>
    </row>
    <row r="9234" spans="1:2" x14ac:dyDescent="0.25">
      <c r="A9234" s="75">
        <v>42211710</v>
      </c>
      <c r="B9234" s="76" t="s">
        <v>15325</v>
      </c>
    </row>
    <row r="9235" spans="1:2" x14ac:dyDescent="0.25">
      <c r="A9235" s="75">
        <v>42211711</v>
      </c>
      <c r="B9235" s="76" t="s">
        <v>9293</v>
      </c>
    </row>
    <row r="9236" spans="1:2" x14ac:dyDescent="0.25">
      <c r="A9236" s="75">
        <v>42211712</v>
      </c>
      <c r="B9236" s="76" t="s">
        <v>1681</v>
      </c>
    </row>
    <row r="9237" spans="1:2" x14ac:dyDescent="0.25">
      <c r="A9237" s="75">
        <v>42211801</v>
      </c>
      <c r="B9237" s="76" t="s">
        <v>5869</v>
      </c>
    </row>
    <row r="9238" spans="1:2" x14ac:dyDescent="0.25">
      <c r="A9238" s="75">
        <v>42211802</v>
      </c>
      <c r="B9238" s="76" t="s">
        <v>13896</v>
      </c>
    </row>
    <row r="9239" spans="1:2" x14ac:dyDescent="0.25">
      <c r="A9239" s="75">
        <v>42211803</v>
      </c>
      <c r="B9239" s="76" t="s">
        <v>5820</v>
      </c>
    </row>
    <row r="9240" spans="1:2" x14ac:dyDescent="0.25">
      <c r="A9240" s="75">
        <v>42211804</v>
      </c>
      <c r="B9240" s="76" t="s">
        <v>5556</v>
      </c>
    </row>
    <row r="9241" spans="1:2" x14ac:dyDescent="0.25">
      <c r="A9241" s="75">
        <v>42211805</v>
      </c>
      <c r="B9241" s="76" t="s">
        <v>3489</v>
      </c>
    </row>
    <row r="9242" spans="1:2" x14ac:dyDescent="0.25">
      <c r="A9242" s="75">
        <v>42211806</v>
      </c>
      <c r="B9242" s="76" t="s">
        <v>5589</v>
      </c>
    </row>
    <row r="9243" spans="1:2" x14ac:dyDescent="0.25">
      <c r="A9243" s="75">
        <v>42211807</v>
      </c>
      <c r="B9243" s="76" t="s">
        <v>3535</v>
      </c>
    </row>
    <row r="9244" spans="1:2" x14ac:dyDescent="0.25">
      <c r="A9244" s="75">
        <v>42211808</v>
      </c>
      <c r="B9244" s="76" t="s">
        <v>4014</v>
      </c>
    </row>
    <row r="9245" spans="1:2" x14ac:dyDescent="0.25">
      <c r="A9245" s="75">
        <v>42211809</v>
      </c>
      <c r="B9245" s="76" t="s">
        <v>14857</v>
      </c>
    </row>
    <row r="9246" spans="1:2" x14ac:dyDescent="0.25">
      <c r="A9246" s="75">
        <v>42211810</v>
      </c>
      <c r="B9246" s="76" t="s">
        <v>2892</v>
      </c>
    </row>
    <row r="9247" spans="1:2" x14ac:dyDescent="0.25">
      <c r="A9247" s="75">
        <v>42211811</v>
      </c>
      <c r="B9247" s="76" t="s">
        <v>14203</v>
      </c>
    </row>
    <row r="9248" spans="1:2" x14ac:dyDescent="0.25">
      <c r="A9248" s="75">
        <v>42211812</v>
      </c>
      <c r="B9248" s="76" t="s">
        <v>13422</v>
      </c>
    </row>
    <row r="9249" spans="1:2" x14ac:dyDescent="0.25">
      <c r="A9249" s="75">
        <v>42211813</v>
      </c>
      <c r="B9249" s="76" t="s">
        <v>11127</v>
      </c>
    </row>
    <row r="9250" spans="1:2" x14ac:dyDescent="0.25">
      <c r="A9250" s="75">
        <v>42211901</v>
      </c>
      <c r="B9250" s="76" t="s">
        <v>16385</v>
      </c>
    </row>
    <row r="9251" spans="1:2" x14ac:dyDescent="0.25">
      <c r="A9251" s="75">
        <v>42211902</v>
      </c>
      <c r="B9251" s="76" t="s">
        <v>13817</v>
      </c>
    </row>
    <row r="9252" spans="1:2" x14ac:dyDescent="0.25">
      <c r="A9252" s="75">
        <v>42211903</v>
      </c>
      <c r="B9252" s="76" t="s">
        <v>7170</v>
      </c>
    </row>
    <row r="9253" spans="1:2" x14ac:dyDescent="0.25">
      <c r="A9253" s="75">
        <v>42211904</v>
      </c>
      <c r="B9253" s="76" t="s">
        <v>4090</v>
      </c>
    </row>
    <row r="9254" spans="1:2" x14ac:dyDescent="0.25">
      <c r="A9254" s="75">
        <v>42211905</v>
      </c>
      <c r="B9254" s="76" t="s">
        <v>725</v>
      </c>
    </row>
    <row r="9255" spans="1:2" x14ac:dyDescent="0.25">
      <c r="A9255" s="75">
        <v>42211906</v>
      </c>
      <c r="B9255" s="76" t="s">
        <v>10885</v>
      </c>
    </row>
    <row r="9256" spans="1:2" x14ac:dyDescent="0.25">
      <c r="A9256" s="75">
        <v>42211907</v>
      </c>
      <c r="B9256" s="76" t="s">
        <v>3891</v>
      </c>
    </row>
    <row r="9257" spans="1:2" x14ac:dyDescent="0.25">
      <c r="A9257" s="75">
        <v>42211908</v>
      </c>
      <c r="B9257" s="76" t="s">
        <v>7867</v>
      </c>
    </row>
    <row r="9258" spans="1:2" x14ac:dyDescent="0.25">
      <c r="A9258" s="75">
        <v>42211909</v>
      </c>
      <c r="B9258" s="76" t="s">
        <v>8875</v>
      </c>
    </row>
    <row r="9259" spans="1:2" x14ac:dyDescent="0.25">
      <c r="A9259" s="75">
        <v>42211910</v>
      </c>
      <c r="B9259" s="76" t="s">
        <v>16765</v>
      </c>
    </row>
    <row r="9260" spans="1:2" x14ac:dyDescent="0.25">
      <c r="A9260" s="75">
        <v>42211911</v>
      </c>
      <c r="B9260" s="76" t="s">
        <v>18079</v>
      </c>
    </row>
    <row r="9261" spans="1:2" x14ac:dyDescent="0.25">
      <c r="A9261" s="75">
        <v>42211912</v>
      </c>
      <c r="B9261" s="76" t="s">
        <v>646</v>
      </c>
    </row>
    <row r="9262" spans="1:2" x14ac:dyDescent="0.25">
      <c r="A9262" s="75">
        <v>42211913</v>
      </c>
      <c r="B9262" s="76" t="s">
        <v>15586</v>
      </c>
    </row>
    <row r="9263" spans="1:2" x14ac:dyDescent="0.25">
      <c r="A9263" s="75">
        <v>42211914</v>
      </c>
      <c r="B9263" s="76" t="s">
        <v>12870</v>
      </c>
    </row>
    <row r="9264" spans="1:2" x14ac:dyDescent="0.25">
      <c r="A9264" s="75">
        <v>42211915</v>
      </c>
      <c r="B9264" s="76" t="s">
        <v>4121</v>
      </c>
    </row>
    <row r="9265" spans="1:2" x14ac:dyDescent="0.25">
      <c r="A9265" s="75">
        <v>42211916</v>
      </c>
      <c r="B9265" s="76" t="s">
        <v>18731</v>
      </c>
    </row>
    <row r="9266" spans="1:2" x14ac:dyDescent="0.25">
      <c r="A9266" s="75">
        <v>42211917</v>
      </c>
      <c r="B9266" s="76" t="s">
        <v>19679</v>
      </c>
    </row>
    <row r="9267" spans="1:2" x14ac:dyDescent="0.25">
      <c r="A9267" s="75">
        <v>42211918</v>
      </c>
      <c r="B9267" s="76" t="s">
        <v>9496</v>
      </c>
    </row>
    <row r="9268" spans="1:2" x14ac:dyDescent="0.25">
      <c r="A9268" s="75">
        <v>42212001</v>
      </c>
      <c r="B9268" s="76" t="s">
        <v>15023</v>
      </c>
    </row>
    <row r="9269" spans="1:2" x14ac:dyDescent="0.25">
      <c r="A9269" s="75">
        <v>42212002</v>
      </c>
      <c r="B9269" s="76" t="s">
        <v>7414</v>
      </c>
    </row>
    <row r="9270" spans="1:2" x14ac:dyDescent="0.25">
      <c r="A9270" s="75">
        <v>42212003</v>
      </c>
      <c r="B9270" s="76" t="s">
        <v>13813</v>
      </c>
    </row>
    <row r="9271" spans="1:2" x14ac:dyDescent="0.25">
      <c r="A9271" s="75">
        <v>42212004</v>
      </c>
      <c r="B9271" s="76" t="s">
        <v>11408</v>
      </c>
    </row>
    <row r="9272" spans="1:2" x14ac:dyDescent="0.25">
      <c r="A9272" s="75">
        <v>42212005</v>
      </c>
      <c r="B9272" s="76" t="s">
        <v>5855</v>
      </c>
    </row>
    <row r="9273" spans="1:2" x14ac:dyDescent="0.25">
      <c r="A9273" s="75">
        <v>42212006</v>
      </c>
      <c r="B9273" s="76" t="s">
        <v>6868</v>
      </c>
    </row>
    <row r="9274" spans="1:2" x14ac:dyDescent="0.25">
      <c r="A9274" s="75">
        <v>42212007</v>
      </c>
      <c r="B9274" s="76" t="s">
        <v>17748</v>
      </c>
    </row>
    <row r="9275" spans="1:2" x14ac:dyDescent="0.25">
      <c r="A9275" s="75">
        <v>42212101</v>
      </c>
      <c r="B9275" s="76" t="s">
        <v>19727</v>
      </c>
    </row>
    <row r="9276" spans="1:2" x14ac:dyDescent="0.25">
      <c r="A9276" s="75">
        <v>42212102</v>
      </c>
      <c r="B9276" s="76" t="s">
        <v>8297</v>
      </c>
    </row>
    <row r="9277" spans="1:2" x14ac:dyDescent="0.25">
      <c r="A9277" s="75">
        <v>42212103</v>
      </c>
      <c r="B9277" s="76" t="s">
        <v>8044</v>
      </c>
    </row>
    <row r="9278" spans="1:2" x14ac:dyDescent="0.25">
      <c r="A9278" s="75">
        <v>42212104</v>
      </c>
      <c r="B9278" s="76" t="s">
        <v>13047</v>
      </c>
    </row>
    <row r="9279" spans="1:2" x14ac:dyDescent="0.25">
      <c r="A9279" s="75">
        <v>42212105</v>
      </c>
      <c r="B9279" s="76" t="s">
        <v>5501</v>
      </c>
    </row>
    <row r="9280" spans="1:2" x14ac:dyDescent="0.25">
      <c r="A9280" s="75">
        <v>42212106</v>
      </c>
      <c r="B9280" s="76" t="s">
        <v>10713</v>
      </c>
    </row>
    <row r="9281" spans="1:2" x14ac:dyDescent="0.25">
      <c r="A9281" s="75">
        <v>42212107</v>
      </c>
      <c r="B9281" s="76" t="s">
        <v>11021</v>
      </c>
    </row>
    <row r="9282" spans="1:2" x14ac:dyDescent="0.25">
      <c r="A9282" s="75">
        <v>42212108</v>
      </c>
      <c r="B9282" s="76" t="s">
        <v>3732</v>
      </c>
    </row>
    <row r="9283" spans="1:2" x14ac:dyDescent="0.25">
      <c r="A9283" s="75">
        <v>42212109</v>
      </c>
      <c r="B9283" s="76" t="s">
        <v>6178</v>
      </c>
    </row>
    <row r="9284" spans="1:2" x14ac:dyDescent="0.25">
      <c r="A9284" s="75">
        <v>42212110</v>
      </c>
      <c r="B9284" s="76" t="s">
        <v>18560</v>
      </c>
    </row>
    <row r="9285" spans="1:2" x14ac:dyDescent="0.25">
      <c r="A9285" s="75">
        <v>42212111</v>
      </c>
      <c r="B9285" s="76" t="s">
        <v>2859</v>
      </c>
    </row>
    <row r="9286" spans="1:2" x14ac:dyDescent="0.25">
      <c r="A9286" s="75">
        <v>42212112</v>
      </c>
      <c r="B9286" s="76" t="s">
        <v>1573</v>
      </c>
    </row>
    <row r="9287" spans="1:2" x14ac:dyDescent="0.25">
      <c r="A9287" s="75">
        <v>42212113</v>
      </c>
      <c r="B9287" s="76" t="s">
        <v>15002</v>
      </c>
    </row>
    <row r="9288" spans="1:2" x14ac:dyDescent="0.25">
      <c r="A9288" s="75">
        <v>42212201</v>
      </c>
      <c r="B9288" s="76" t="s">
        <v>11754</v>
      </c>
    </row>
    <row r="9289" spans="1:2" x14ac:dyDescent="0.25">
      <c r="A9289" s="75">
        <v>42212202</v>
      </c>
      <c r="B9289" s="76" t="s">
        <v>15574</v>
      </c>
    </row>
    <row r="9290" spans="1:2" x14ac:dyDescent="0.25">
      <c r="A9290" s="75">
        <v>42212203</v>
      </c>
      <c r="B9290" s="76" t="s">
        <v>9138</v>
      </c>
    </row>
    <row r="9291" spans="1:2" x14ac:dyDescent="0.25">
      <c r="A9291" s="75">
        <v>42212204</v>
      </c>
      <c r="B9291" s="76" t="s">
        <v>19473</v>
      </c>
    </row>
    <row r="9292" spans="1:2" x14ac:dyDescent="0.25">
      <c r="A9292" s="75">
        <v>42212301</v>
      </c>
      <c r="B9292" s="76" t="s">
        <v>2923</v>
      </c>
    </row>
    <row r="9293" spans="1:2" x14ac:dyDescent="0.25">
      <c r="A9293" s="75">
        <v>42212302</v>
      </c>
      <c r="B9293" s="76" t="s">
        <v>14007</v>
      </c>
    </row>
    <row r="9294" spans="1:2" x14ac:dyDescent="0.25">
      <c r="A9294" s="75">
        <v>42212303</v>
      </c>
      <c r="B9294" s="76" t="s">
        <v>15130</v>
      </c>
    </row>
    <row r="9295" spans="1:2" x14ac:dyDescent="0.25">
      <c r="A9295" s="75">
        <v>42212304</v>
      </c>
      <c r="B9295" s="76" t="s">
        <v>948</v>
      </c>
    </row>
    <row r="9296" spans="1:2" x14ac:dyDescent="0.25">
      <c r="A9296" s="75">
        <v>42221501</v>
      </c>
      <c r="B9296" s="76" t="s">
        <v>1740</v>
      </c>
    </row>
    <row r="9297" spans="1:2" x14ac:dyDescent="0.25">
      <c r="A9297" s="75">
        <v>42221502</v>
      </c>
      <c r="B9297" s="76" t="s">
        <v>12410</v>
      </c>
    </row>
    <row r="9298" spans="1:2" x14ac:dyDescent="0.25">
      <c r="A9298" s="75">
        <v>42221503</v>
      </c>
      <c r="B9298" s="76" t="s">
        <v>3194</v>
      </c>
    </row>
    <row r="9299" spans="1:2" x14ac:dyDescent="0.25">
      <c r="A9299" s="75">
        <v>42221504</v>
      </c>
      <c r="B9299" s="76" t="s">
        <v>11195</v>
      </c>
    </row>
    <row r="9300" spans="1:2" x14ac:dyDescent="0.25">
      <c r="A9300" s="75">
        <v>42221505</v>
      </c>
      <c r="B9300" s="76" t="s">
        <v>15138</v>
      </c>
    </row>
    <row r="9301" spans="1:2" x14ac:dyDescent="0.25">
      <c r="A9301" s="75">
        <v>42221506</v>
      </c>
      <c r="B9301" s="76" t="s">
        <v>2607</v>
      </c>
    </row>
    <row r="9302" spans="1:2" x14ac:dyDescent="0.25">
      <c r="A9302" s="75">
        <v>42221507</v>
      </c>
      <c r="B9302" s="76" t="s">
        <v>14919</v>
      </c>
    </row>
    <row r="9303" spans="1:2" x14ac:dyDescent="0.25">
      <c r="A9303" s="75">
        <v>42221508</v>
      </c>
      <c r="B9303" s="76" t="s">
        <v>5584</v>
      </c>
    </row>
    <row r="9304" spans="1:2" x14ac:dyDescent="0.25">
      <c r="A9304" s="75">
        <v>42221509</v>
      </c>
      <c r="B9304" s="76" t="s">
        <v>7318</v>
      </c>
    </row>
    <row r="9305" spans="1:2" x14ac:dyDescent="0.25">
      <c r="A9305" s="75">
        <v>42221512</v>
      </c>
      <c r="B9305" s="76" t="s">
        <v>16736</v>
      </c>
    </row>
    <row r="9306" spans="1:2" x14ac:dyDescent="0.25">
      <c r="A9306" s="75">
        <v>42221513</v>
      </c>
      <c r="B9306" s="76" t="s">
        <v>9676</v>
      </c>
    </row>
    <row r="9307" spans="1:2" x14ac:dyDescent="0.25">
      <c r="A9307" s="75">
        <v>42221601</v>
      </c>
      <c r="B9307" s="76" t="s">
        <v>14571</v>
      </c>
    </row>
    <row r="9308" spans="1:2" x14ac:dyDescent="0.25">
      <c r="A9308" s="75">
        <v>42221602</v>
      </c>
      <c r="B9308" s="76" t="s">
        <v>15618</v>
      </c>
    </row>
    <row r="9309" spans="1:2" x14ac:dyDescent="0.25">
      <c r="A9309" s="75">
        <v>42221603</v>
      </c>
      <c r="B9309" s="76" t="s">
        <v>7972</v>
      </c>
    </row>
    <row r="9310" spans="1:2" x14ac:dyDescent="0.25">
      <c r="A9310" s="75">
        <v>42221604</v>
      </c>
      <c r="B9310" s="76" t="s">
        <v>2566</v>
      </c>
    </row>
    <row r="9311" spans="1:2" x14ac:dyDescent="0.25">
      <c r="A9311" s="75">
        <v>42221605</v>
      </c>
      <c r="B9311" s="76" t="s">
        <v>9966</v>
      </c>
    </row>
    <row r="9312" spans="1:2" x14ac:dyDescent="0.25">
      <c r="A9312" s="75">
        <v>42221606</v>
      </c>
      <c r="B9312" s="76" t="s">
        <v>6268</v>
      </c>
    </row>
    <row r="9313" spans="1:2" x14ac:dyDescent="0.25">
      <c r="A9313" s="75">
        <v>42221607</v>
      </c>
      <c r="B9313" s="76" t="s">
        <v>7779</v>
      </c>
    </row>
    <row r="9314" spans="1:2" x14ac:dyDescent="0.25">
      <c r="A9314" s="75">
        <v>42221608</v>
      </c>
      <c r="B9314" s="76" t="s">
        <v>8121</v>
      </c>
    </row>
    <row r="9315" spans="1:2" x14ac:dyDescent="0.25">
      <c r="A9315" s="75">
        <v>42221609</v>
      </c>
      <c r="B9315" s="76" t="s">
        <v>4984</v>
      </c>
    </row>
    <row r="9316" spans="1:2" x14ac:dyDescent="0.25">
      <c r="A9316" s="75">
        <v>42221610</v>
      </c>
      <c r="B9316" s="76" t="s">
        <v>11598</v>
      </c>
    </row>
    <row r="9317" spans="1:2" x14ac:dyDescent="0.25">
      <c r="A9317" s="75">
        <v>42221611</v>
      </c>
      <c r="B9317" s="76" t="s">
        <v>10335</v>
      </c>
    </row>
    <row r="9318" spans="1:2" x14ac:dyDescent="0.25">
      <c r="A9318" s="75">
        <v>42221612</v>
      </c>
      <c r="B9318" s="76" t="s">
        <v>19770</v>
      </c>
    </row>
    <row r="9319" spans="1:2" x14ac:dyDescent="0.25">
      <c r="A9319" s="75">
        <v>42221613</v>
      </c>
      <c r="B9319" s="76" t="s">
        <v>7277</v>
      </c>
    </row>
    <row r="9320" spans="1:2" x14ac:dyDescent="0.25">
      <c r="A9320" s="75">
        <v>42221614</v>
      </c>
      <c r="B9320" s="76" t="s">
        <v>16250</v>
      </c>
    </row>
    <row r="9321" spans="1:2" x14ac:dyDescent="0.25">
      <c r="A9321" s="75">
        <v>42221615</v>
      </c>
      <c r="B9321" s="76" t="s">
        <v>7289</v>
      </c>
    </row>
    <row r="9322" spans="1:2" x14ac:dyDescent="0.25">
      <c r="A9322" s="75">
        <v>42221616</v>
      </c>
      <c r="B9322" s="76" t="s">
        <v>4943</v>
      </c>
    </row>
    <row r="9323" spans="1:2" x14ac:dyDescent="0.25">
      <c r="A9323" s="75">
        <v>42221617</v>
      </c>
      <c r="B9323" s="76" t="s">
        <v>12685</v>
      </c>
    </row>
    <row r="9324" spans="1:2" x14ac:dyDescent="0.25">
      <c r="A9324" s="75">
        <v>42221618</v>
      </c>
      <c r="B9324" s="76" t="s">
        <v>14332</v>
      </c>
    </row>
    <row r="9325" spans="1:2" x14ac:dyDescent="0.25">
      <c r="A9325" s="75">
        <v>42221701</v>
      </c>
      <c r="B9325" s="76" t="s">
        <v>8915</v>
      </c>
    </row>
    <row r="9326" spans="1:2" x14ac:dyDescent="0.25">
      <c r="A9326" s="75">
        <v>42221702</v>
      </c>
      <c r="B9326" s="76" t="s">
        <v>8575</v>
      </c>
    </row>
    <row r="9327" spans="1:2" x14ac:dyDescent="0.25">
      <c r="A9327" s="75">
        <v>42221703</v>
      </c>
      <c r="B9327" s="76" t="s">
        <v>10916</v>
      </c>
    </row>
    <row r="9328" spans="1:2" x14ac:dyDescent="0.25">
      <c r="A9328" s="75">
        <v>42221704</v>
      </c>
      <c r="B9328" s="76" t="s">
        <v>10060</v>
      </c>
    </row>
    <row r="9329" spans="1:2" x14ac:dyDescent="0.25">
      <c r="A9329" s="75">
        <v>42221705</v>
      </c>
      <c r="B9329" s="76" t="s">
        <v>1875</v>
      </c>
    </row>
    <row r="9330" spans="1:2" x14ac:dyDescent="0.25">
      <c r="A9330" s="75">
        <v>42221706</v>
      </c>
      <c r="B9330" s="76" t="s">
        <v>10889</v>
      </c>
    </row>
    <row r="9331" spans="1:2" x14ac:dyDescent="0.25">
      <c r="A9331" s="75">
        <v>42221707</v>
      </c>
      <c r="B9331" s="76" t="s">
        <v>16739</v>
      </c>
    </row>
    <row r="9332" spans="1:2" x14ac:dyDescent="0.25">
      <c r="A9332" s="75">
        <v>42221801</v>
      </c>
      <c r="B9332" s="76" t="s">
        <v>11530</v>
      </c>
    </row>
    <row r="9333" spans="1:2" x14ac:dyDescent="0.25">
      <c r="A9333" s="75">
        <v>42221802</v>
      </c>
      <c r="B9333" s="76" t="s">
        <v>14925</v>
      </c>
    </row>
    <row r="9334" spans="1:2" x14ac:dyDescent="0.25">
      <c r="A9334" s="75">
        <v>42221803</v>
      </c>
      <c r="B9334" s="76" t="s">
        <v>4747</v>
      </c>
    </row>
    <row r="9335" spans="1:2" x14ac:dyDescent="0.25">
      <c r="A9335" s="75">
        <v>42221901</v>
      </c>
      <c r="B9335" s="76" t="s">
        <v>7529</v>
      </c>
    </row>
    <row r="9336" spans="1:2" x14ac:dyDescent="0.25">
      <c r="A9336" s="75">
        <v>42221902</v>
      </c>
      <c r="B9336" s="76" t="s">
        <v>5103</v>
      </c>
    </row>
    <row r="9337" spans="1:2" x14ac:dyDescent="0.25">
      <c r="A9337" s="75">
        <v>42221903</v>
      </c>
      <c r="B9337" s="76" t="s">
        <v>16561</v>
      </c>
    </row>
    <row r="9338" spans="1:2" x14ac:dyDescent="0.25">
      <c r="A9338" s="75">
        <v>42222001</v>
      </c>
      <c r="B9338" s="76" t="s">
        <v>13541</v>
      </c>
    </row>
    <row r="9339" spans="1:2" x14ac:dyDescent="0.25">
      <c r="A9339" s="75">
        <v>42222002</v>
      </c>
      <c r="B9339" s="76" t="s">
        <v>3493</v>
      </c>
    </row>
    <row r="9340" spans="1:2" x14ac:dyDescent="0.25">
      <c r="A9340" s="75">
        <v>42222003</v>
      </c>
      <c r="B9340" s="76" t="s">
        <v>5544</v>
      </c>
    </row>
    <row r="9341" spans="1:2" x14ac:dyDescent="0.25">
      <c r="A9341" s="75">
        <v>42222004</v>
      </c>
      <c r="B9341" s="76" t="s">
        <v>5365</v>
      </c>
    </row>
    <row r="9342" spans="1:2" x14ac:dyDescent="0.25">
      <c r="A9342" s="75">
        <v>42222005</v>
      </c>
      <c r="B9342" s="76" t="s">
        <v>18359</v>
      </c>
    </row>
    <row r="9343" spans="1:2" x14ac:dyDescent="0.25">
      <c r="A9343" s="75">
        <v>42222006</v>
      </c>
      <c r="B9343" s="76" t="s">
        <v>4749</v>
      </c>
    </row>
    <row r="9344" spans="1:2" x14ac:dyDescent="0.25">
      <c r="A9344" s="75">
        <v>42222007</v>
      </c>
      <c r="B9344" s="76" t="s">
        <v>6450</v>
      </c>
    </row>
    <row r="9345" spans="1:2" x14ac:dyDescent="0.25">
      <c r="A9345" s="75">
        <v>42222008</v>
      </c>
      <c r="B9345" s="76" t="s">
        <v>19077</v>
      </c>
    </row>
    <row r="9346" spans="1:2" x14ac:dyDescent="0.25">
      <c r="A9346" s="75">
        <v>42222101</v>
      </c>
      <c r="B9346" s="76" t="s">
        <v>9632</v>
      </c>
    </row>
    <row r="9347" spans="1:2" x14ac:dyDescent="0.25">
      <c r="A9347" s="75">
        <v>42222102</v>
      </c>
      <c r="B9347" s="76" t="s">
        <v>9640</v>
      </c>
    </row>
    <row r="9348" spans="1:2" x14ac:dyDescent="0.25">
      <c r="A9348" s="75">
        <v>42222103</v>
      </c>
      <c r="B9348" s="76" t="s">
        <v>8532</v>
      </c>
    </row>
    <row r="9349" spans="1:2" x14ac:dyDescent="0.25">
      <c r="A9349" s="75">
        <v>42222104</v>
      </c>
      <c r="B9349" s="76" t="s">
        <v>910</v>
      </c>
    </row>
    <row r="9350" spans="1:2" x14ac:dyDescent="0.25">
      <c r="A9350" s="75">
        <v>42222201</v>
      </c>
      <c r="B9350" s="76" t="s">
        <v>4302</v>
      </c>
    </row>
    <row r="9351" spans="1:2" x14ac:dyDescent="0.25">
      <c r="A9351" s="75">
        <v>42222202</v>
      </c>
      <c r="B9351" s="76" t="s">
        <v>16648</v>
      </c>
    </row>
    <row r="9352" spans="1:2" x14ac:dyDescent="0.25">
      <c r="A9352" s="75">
        <v>42222301</v>
      </c>
      <c r="B9352" s="76" t="s">
        <v>13439</v>
      </c>
    </row>
    <row r="9353" spans="1:2" x14ac:dyDescent="0.25">
      <c r="A9353" s="75">
        <v>42222302</v>
      </c>
      <c r="B9353" s="76" t="s">
        <v>15351</v>
      </c>
    </row>
    <row r="9354" spans="1:2" x14ac:dyDescent="0.25">
      <c r="A9354" s="75">
        <v>42222303</v>
      </c>
      <c r="B9354" s="76" t="s">
        <v>11438</v>
      </c>
    </row>
    <row r="9355" spans="1:2" x14ac:dyDescent="0.25">
      <c r="A9355" s="75">
        <v>42222304</v>
      </c>
      <c r="B9355" s="76" t="s">
        <v>5536</v>
      </c>
    </row>
    <row r="9356" spans="1:2" x14ac:dyDescent="0.25">
      <c r="A9356" s="75">
        <v>42222305</v>
      </c>
      <c r="B9356" s="76" t="s">
        <v>4772</v>
      </c>
    </row>
    <row r="9357" spans="1:2" x14ac:dyDescent="0.25">
      <c r="A9357" s="75">
        <v>42222306</v>
      </c>
      <c r="B9357" s="76" t="s">
        <v>16569</v>
      </c>
    </row>
    <row r="9358" spans="1:2" x14ac:dyDescent="0.25">
      <c r="A9358" s="75">
        <v>42222307</v>
      </c>
      <c r="B9358" s="76" t="s">
        <v>11231</v>
      </c>
    </row>
    <row r="9359" spans="1:2" x14ac:dyDescent="0.25">
      <c r="A9359" s="75">
        <v>42222308</v>
      </c>
      <c r="B9359" s="76" t="s">
        <v>11634</v>
      </c>
    </row>
    <row r="9360" spans="1:2" x14ac:dyDescent="0.25">
      <c r="A9360" s="75">
        <v>42222309</v>
      </c>
      <c r="B9360" s="76" t="s">
        <v>7423</v>
      </c>
    </row>
    <row r="9361" spans="1:2" x14ac:dyDescent="0.25">
      <c r="A9361" s="75">
        <v>42231501</v>
      </c>
      <c r="B9361" s="76" t="s">
        <v>8111</v>
      </c>
    </row>
    <row r="9362" spans="1:2" x14ac:dyDescent="0.25">
      <c r="A9362" s="75">
        <v>42231502</v>
      </c>
      <c r="B9362" s="76" t="s">
        <v>3775</v>
      </c>
    </row>
    <row r="9363" spans="1:2" x14ac:dyDescent="0.25">
      <c r="A9363" s="75">
        <v>42231503</v>
      </c>
      <c r="B9363" s="76" t="s">
        <v>4444</v>
      </c>
    </row>
    <row r="9364" spans="1:2" x14ac:dyDescent="0.25">
      <c r="A9364" s="75">
        <v>42231504</v>
      </c>
      <c r="B9364" s="76" t="s">
        <v>7249</v>
      </c>
    </row>
    <row r="9365" spans="1:2" x14ac:dyDescent="0.25">
      <c r="A9365" s="75">
        <v>42231505</v>
      </c>
      <c r="B9365" s="76" t="s">
        <v>17619</v>
      </c>
    </row>
    <row r="9366" spans="1:2" x14ac:dyDescent="0.25">
      <c r="A9366" s="75">
        <v>42231506</v>
      </c>
      <c r="B9366" s="76" t="s">
        <v>10740</v>
      </c>
    </row>
    <row r="9367" spans="1:2" x14ac:dyDescent="0.25">
      <c r="A9367" s="75">
        <v>42231507</v>
      </c>
      <c r="B9367" s="76" t="s">
        <v>4826</v>
      </c>
    </row>
    <row r="9368" spans="1:2" x14ac:dyDescent="0.25">
      <c r="A9368" s="75">
        <v>42231508</v>
      </c>
      <c r="B9368" s="76" t="s">
        <v>15446</v>
      </c>
    </row>
    <row r="9369" spans="1:2" x14ac:dyDescent="0.25">
      <c r="A9369" s="75">
        <v>42231509</v>
      </c>
      <c r="B9369" s="76" t="s">
        <v>16987</v>
      </c>
    </row>
    <row r="9370" spans="1:2" x14ac:dyDescent="0.25">
      <c r="A9370" s="75">
        <v>42231510</v>
      </c>
      <c r="B9370" s="76" t="s">
        <v>10687</v>
      </c>
    </row>
    <row r="9371" spans="1:2" x14ac:dyDescent="0.25">
      <c r="A9371" s="75">
        <v>42231601</v>
      </c>
      <c r="B9371" s="76" t="s">
        <v>240</v>
      </c>
    </row>
    <row r="9372" spans="1:2" x14ac:dyDescent="0.25">
      <c r="A9372" s="75">
        <v>42231602</v>
      </c>
      <c r="B9372" s="76" t="s">
        <v>7556</v>
      </c>
    </row>
    <row r="9373" spans="1:2" x14ac:dyDescent="0.25">
      <c r="A9373" s="75">
        <v>42231603</v>
      </c>
      <c r="B9373" s="76" t="s">
        <v>10811</v>
      </c>
    </row>
    <row r="9374" spans="1:2" x14ac:dyDescent="0.25">
      <c r="A9374" s="75">
        <v>42231604</v>
      </c>
      <c r="B9374" s="76" t="s">
        <v>4723</v>
      </c>
    </row>
    <row r="9375" spans="1:2" x14ac:dyDescent="0.25">
      <c r="A9375" s="75">
        <v>42231605</v>
      </c>
      <c r="B9375" s="76" t="s">
        <v>3652</v>
      </c>
    </row>
    <row r="9376" spans="1:2" x14ac:dyDescent="0.25">
      <c r="A9376" s="75">
        <v>42231606</v>
      </c>
      <c r="B9376" s="76" t="s">
        <v>5190</v>
      </c>
    </row>
    <row r="9377" spans="1:2" x14ac:dyDescent="0.25">
      <c r="A9377" s="75">
        <v>42231608</v>
      </c>
      <c r="B9377" s="76" t="s">
        <v>2657</v>
      </c>
    </row>
    <row r="9378" spans="1:2" x14ac:dyDescent="0.25">
      <c r="A9378" s="75">
        <v>42231609</v>
      </c>
      <c r="B9378" s="76" t="s">
        <v>16185</v>
      </c>
    </row>
    <row r="9379" spans="1:2" x14ac:dyDescent="0.25">
      <c r="A9379" s="75">
        <v>42231701</v>
      </c>
      <c r="B9379" s="76" t="s">
        <v>18999</v>
      </c>
    </row>
    <row r="9380" spans="1:2" x14ac:dyDescent="0.25">
      <c r="A9380" s="75">
        <v>42231702</v>
      </c>
      <c r="B9380" s="76" t="s">
        <v>19415</v>
      </c>
    </row>
    <row r="9381" spans="1:2" x14ac:dyDescent="0.25">
      <c r="A9381" s="75">
        <v>42231703</v>
      </c>
      <c r="B9381" s="76" t="s">
        <v>7796</v>
      </c>
    </row>
    <row r="9382" spans="1:2" x14ac:dyDescent="0.25">
      <c r="A9382" s="75">
        <v>42231704</v>
      </c>
      <c r="B9382" s="76" t="s">
        <v>10666</v>
      </c>
    </row>
    <row r="9383" spans="1:2" x14ac:dyDescent="0.25">
      <c r="A9383" s="75">
        <v>42231705</v>
      </c>
      <c r="B9383" s="76" t="s">
        <v>19561</v>
      </c>
    </row>
    <row r="9384" spans="1:2" x14ac:dyDescent="0.25">
      <c r="A9384" s="75">
        <v>42231801</v>
      </c>
      <c r="B9384" s="76" t="s">
        <v>15841</v>
      </c>
    </row>
    <row r="9385" spans="1:2" x14ac:dyDescent="0.25">
      <c r="A9385" s="75">
        <v>42231802</v>
      </c>
      <c r="B9385" s="76" t="s">
        <v>3114</v>
      </c>
    </row>
    <row r="9386" spans="1:2" x14ac:dyDescent="0.25">
      <c r="A9386" s="75">
        <v>42231803</v>
      </c>
      <c r="B9386" s="76" t="s">
        <v>11971</v>
      </c>
    </row>
    <row r="9387" spans="1:2" x14ac:dyDescent="0.25">
      <c r="A9387" s="75">
        <v>42231804</v>
      </c>
      <c r="B9387" s="76" t="s">
        <v>19578</v>
      </c>
    </row>
    <row r="9388" spans="1:2" x14ac:dyDescent="0.25">
      <c r="A9388" s="75">
        <v>42231805</v>
      </c>
      <c r="B9388" s="76" t="s">
        <v>6656</v>
      </c>
    </row>
    <row r="9389" spans="1:2" x14ac:dyDescent="0.25">
      <c r="A9389" s="75">
        <v>42231806</v>
      </c>
      <c r="B9389" s="76" t="s">
        <v>1343</v>
      </c>
    </row>
    <row r="9390" spans="1:2" x14ac:dyDescent="0.25">
      <c r="A9390" s="75">
        <v>42231807</v>
      </c>
      <c r="B9390" s="76" t="s">
        <v>11604</v>
      </c>
    </row>
    <row r="9391" spans="1:2" x14ac:dyDescent="0.25">
      <c r="A9391" s="75">
        <v>42231901</v>
      </c>
      <c r="B9391" s="76" t="s">
        <v>5541</v>
      </c>
    </row>
    <row r="9392" spans="1:2" x14ac:dyDescent="0.25">
      <c r="A9392" s="75">
        <v>42231902</v>
      </c>
      <c r="B9392" s="76" t="s">
        <v>6153</v>
      </c>
    </row>
    <row r="9393" spans="1:2" x14ac:dyDescent="0.25">
      <c r="A9393" s="75">
        <v>42231903</v>
      </c>
      <c r="B9393" s="76" t="s">
        <v>2369</v>
      </c>
    </row>
    <row r="9394" spans="1:2" x14ac:dyDescent="0.25">
      <c r="A9394" s="75">
        <v>42232001</v>
      </c>
      <c r="B9394" s="76" t="s">
        <v>16342</v>
      </c>
    </row>
    <row r="9395" spans="1:2" x14ac:dyDescent="0.25">
      <c r="A9395" s="75">
        <v>42232002</v>
      </c>
      <c r="B9395" s="76" t="s">
        <v>8141</v>
      </c>
    </row>
    <row r="9396" spans="1:2" x14ac:dyDescent="0.25">
      <c r="A9396" s="75">
        <v>42232003</v>
      </c>
      <c r="B9396" s="76" t="s">
        <v>14343</v>
      </c>
    </row>
    <row r="9397" spans="1:2" x14ac:dyDescent="0.25">
      <c r="A9397" s="75">
        <v>42241501</v>
      </c>
      <c r="B9397" s="76" t="s">
        <v>4042</v>
      </c>
    </row>
    <row r="9398" spans="1:2" x14ac:dyDescent="0.25">
      <c r="A9398" s="75">
        <v>42241502</v>
      </c>
      <c r="B9398" s="76" t="s">
        <v>6884</v>
      </c>
    </row>
    <row r="9399" spans="1:2" x14ac:dyDescent="0.25">
      <c r="A9399" s="75">
        <v>42241503</v>
      </c>
      <c r="B9399" s="76" t="s">
        <v>3835</v>
      </c>
    </row>
    <row r="9400" spans="1:2" x14ac:dyDescent="0.25">
      <c r="A9400" s="75">
        <v>42241504</v>
      </c>
      <c r="B9400" s="76" t="s">
        <v>11528</v>
      </c>
    </row>
    <row r="9401" spans="1:2" x14ac:dyDescent="0.25">
      <c r="A9401" s="75">
        <v>42241505</v>
      </c>
      <c r="B9401" s="76" t="s">
        <v>2866</v>
      </c>
    </row>
    <row r="9402" spans="1:2" x14ac:dyDescent="0.25">
      <c r="A9402" s="75">
        <v>42241506</v>
      </c>
      <c r="B9402" s="76" t="s">
        <v>8353</v>
      </c>
    </row>
    <row r="9403" spans="1:2" x14ac:dyDescent="0.25">
      <c r="A9403" s="75">
        <v>42241507</v>
      </c>
      <c r="B9403" s="76" t="s">
        <v>9153</v>
      </c>
    </row>
    <row r="9404" spans="1:2" x14ac:dyDescent="0.25">
      <c r="A9404" s="75">
        <v>42241509</v>
      </c>
      <c r="B9404" s="76" t="s">
        <v>3771</v>
      </c>
    </row>
    <row r="9405" spans="1:2" x14ac:dyDescent="0.25">
      <c r="A9405" s="75">
        <v>42241510</v>
      </c>
      <c r="B9405" s="76" t="s">
        <v>7583</v>
      </c>
    </row>
    <row r="9406" spans="1:2" x14ac:dyDescent="0.25">
      <c r="A9406" s="75">
        <v>42241511</v>
      </c>
      <c r="B9406" s="76" t="s">
        <v>19530</v>
      </c>
    </row>
    <row r="9407" spans="1:2" x14ac:dyDescent="0.25">
      <c r="A9407" s="75">
        <v>42241512</v>
      </c>
      <c r="B9407" s="76" t="s">
        <v>2934</v>
      </c>
    </row>
    <row r="9408" spans="1:2" x14ac:dyDescent="0.25">
      <c r="A9408" s="75">
        <v>42241513</v>
      </c>
      <c r="B9408" s="76" t="s">
        <v>6970</v>
      </c>
    </row>
    <row r="9409" spans="1:2" x14ac:dyDescent="0.25">
      <c r="A9409" s="75">
        <v>42241514</v>
      </c>
      <c r="B9409" s="76" t="s">
        <v>18445</v>
      </c>
    </row>
    <row r="9410" spans="1:2" x14ac:dyDescent="0.25">
      <c r="A9410" s="75">
        <v>42241515</v>
      </c>
      <c r="B9410" s="76" t="s">
        <v>10957</v>
      </c>
    </row>
    <row r="9411" spans="1:2" x14ac:dyDescent="0.25">
      <c r="A9411" s="75">
        <v>42241601</v>
      </c>
      <c r="B9411" s="76" t="s">
        <v>16076</v>
      </c>
    </row>
    <row r="9412" spans="1:2" x14ac:dyDescent="0.25">
      <c r="A9412" s="75">
        <v>42241602</v>
      </c>
      <c r="B9412" s="76" t="s">
        <v>12463</v>
      </c>
    </row>
    <row r="9413" spans="1:2" x14ac:dyDescent="0.25">
      <c r="A9413" s="75">
        <v>42241603</v>
      </c>
      <c r="B9413" s="76" t="s">
        <v>12832</v>
      </c>
    </row>
    <row r="9414" spans="1:2" x14ac:dyDescent="0.25">
      <c r="A9414" s="75">
        <v>42241604</v>
      </c>
      <c r="B9414" s="76" t="s">
        <v>11645</v>
      </c>
    </row>
    <row r="9415" spans="1:2" x14ac:dyDescent="0.25">
      <c r="A9415" s="75">
        <v>42241606</v>
      </c>
      <c r="B9415" s="76" t="s">
        <v>11216</v>
      </c>
    </row>
    <row r="9416" spans="1:2" x14ac:dyDescent="0.25">
      <c r="A9416" s="75">
        <v>42241607</v>
      </c>
      <c r="B9416" s="76" t="s">
        <v>3974</v>
      </c>
    </row>
    <row r="9417" spans="1:2" x14ac:dyDescent="0.25">
      <c r="A9417" s="75">
        <v>42241701</v>
      </c>
      <c r="B9417" s="76" t="s">
        <v>6102</v>
      </c>
    </row>
    <row r="9418" spans="1:2" x14ac:dyDescent="0.25">
      <c r="A9418" s="75">
        <v>42241702</v>
      </c>
      <c r="B9418" s="76" t="s">
        <v>6348</v>
      </c>
    </row>
    <row r="9419" spans="1:2" x14ac:dyDescent="0.25">
      <c r="A9419" s="75">
        <v>42241703</v>
      </c>
      <c r="B9419" s="76" t="s">
        <v>6381</v>
      </c>
    </row>
    <row r="9420" spans="1:2" x14ac:dyDescent="0.25">
      <c r="A9420" s="75">
        <v>42241704</v>
      </c>
      <c r="B9420" s="76" t="s">
        <v>7291</v>
      </c>
    </row>
    <row r="9421" spans="1:2" x14ac:dyDescent="0.25">
      <c r="A9421" s="75">
        <v>42241705</v>
      </c>
      <c r="B9421" s="76" t="s">
        <v>889</v>
      </c>
    </row>
    <row r="9422" spans="1:2" x14ac:dyDescent="0.25">
      <c r="A9422" s="75">
        <v>42241706</v>
      </c>
      <c r="B9422" s="76" t="s">
        <v>1719</v>
      </c>
    </row>
    <row r="9423" spans="1:2" x14ac:dyDescent="0.25">
      <c r="A9423" s="75">
        <v>42241707</v>
      </c>
      <c r="B9423" s="76" t="s">
        <v>11015</v>
      </c>
    </row>
    <row r="9424" spans="1:2" x14ac:dyDescent="0.25">
      <c r="A9424" s="75">
        <v>42241708</v>
      </c>
      <c r="B9424" s="76" t="s">
        <v>8062</v>
      </c>
    </row>
    <row r="9425" spans="1:2" x14ac:dyDescent="0.25">
      <c r="A9425" s="75">
        <v>42241801</v>
      </c>
      <c r="B9425" s="76" t="s">
        <v>7406</v>
      </c>
    </row>
    <row r="9426" spans="1:2" x14ac:dyDescent="0.25">
      <c r="A9426" s="75">
        <v>42241802</v>
      </c>
      <c r="B9426" s="76" t="s">
        <v>12418</v>
      </c>
    </row>
    <row r="9427" spans="1:2" x14ac:dyDescent="0.25">
      <c r="A9427" s="75">
        <v>42241803</v>
      </c>
      <c r="B9427" s="76" t="s">
        <v>9441</v>
      </c>
    </row>
    <row r="9428" spans="1:2" x14ac:dyDescent="0.25">
      <c r="A9428" s="75">
        <v>42241804</v>
      </c>
      <c r="B9428" s="76" t="s">
        <v>13860</v>
      </c>
    </row>
    <row r="9429" spans="1:2" x14ac:dyDescent="0.25">
      <c r="A9429" s="75">
        <v>42241805</v>
      </c>
      <c r="B9429" s="76" t="s">
        <v>595</v>
      </c>
    </row>
    <row r="9430" spans="1:2" x14ac:dyDescent="0.25">
      <c r="A9430" s="75">
        <v>42241806</v>
      </c>
      <c r="B9430" s="76" t="s">
        <v>13155</v>
      </c>
    </row>
    <row r="9431" spans="1:2" x14ac:dyDescent="0.25">
      <c r="A9431" s="75">
        <v>42241807</v>
      </c>
      <c r="B9431" s="76" t="s">
        <v>19031</v>
      </c>
    </row>
    <row r="9432" spans="1:2" x14ac:dyDescent="0.25">
      <c r="A9432" s="75">
        <v>42241808</v>
      </c>
      <c r="B9432" s="76" t="s">
        <v>15262</v>
      </c>
    </row>
    <row r="9433" spans="1:2" x14ac:dyDescent="0.25">
      <c r="A9433" s="75">
        <v>42241809</v>
      </c>
      <c r="B9433" s="76" t="s">
        <v>14720</v>
      </c>
    </row>
    <row r="9434" spans="1:2" x14ac:dyDescent="0.25">
      <c r="A9434" s="75">
        <v>42241810</v>
      </c>
      <c r="B9434" s="76" t="s">
        <v>3404</v>
      </c>
    </row>
    <row r="9435" spans="1:2" x14ac:dyDescent="0.25">
      <c r="A9435" s="75">
        <v>42241811</v>
      </c>
      <c r="B9435" s="76" t="s">
        <v>2751</v>
      </c>
    </row>
    <row r="9436" spans="1:2" x14ac:dyDescent="0.25">
      <c r="A9436" s="75">
        <v>42241901</v>
      </c>
      <c r="B9436" s="76" t="s">
        <v>13057</v>
      </c>
    </row>
    <row r="9437" spans="1:2" x14ac:dyDescent="0.25">
      <c r="A9437" s="75">
        <v>42241902</v>
      </c>
      <c r="B9437" s="76" t="s">
        <v>9207</v>
      </c>
    </row>
    <row r="9438" spans="1:2" x14ac:dyDescent="0.25">
      <c r="A9438" s="75">
        <v>42242001</v>
      </c>
      <c r="B9438" s="76" t="s">
        <v>11489</v>
      </c>
    </row>
    <row r="9439" spans="1:2" x14ac:dyDescent="0.25">
      <c r="A9439" s="75">
        <v>42242002</v>
      </c>
      <c r="B9439" s="76" t="s">
        <v>14440</v>
      </c>
    </row>
    <row r="9440" spans="1:2" x14ac:dyDescent="0.25">
      <c r="A9440" s="75">
        <v>42242003</v>
      </c>
      <c r="B9440" s="76" t="s">
        <v>3894</v>
      </c>
    </row>
    <row r="9441" spans="1:2" x14ac:dyDescent="0.25">
      <c r="A9441" s="75">
        <v>42242004</v>
      </c>
      <c r="B9441" s="76" t="s">
        <v>6857</v>
      </c>
    </row>
    <row r="9442" spans="1:2" x14ac:dyDescent="0.25">
      <c r="A9442" s="75">
        <v>42242101</v>
      </c>
      <c r="B9442" s="76" t="s">
        <v>8333</v>
      </c>
    </row>
    <row r="9443" spans="1:2" x14ac:dyDescent="0.25">
      <c r="A9443" s="75">
        <v>42242102</v>
      </c>
      <c r="B9443" s="76" t="s">
        <v>13557</v>
      </c>
    </row>
    <row r="9444" spans="1:2" x14ac:dyDescent="0.25">
      <c r="A9444" s="75">
        <v>42242103</v>
      </c>
      <c r="B9444" s="76" t="s">
        <v>15112</v>
      </c>
    </row>
    <row r="9445" spans="1:2" x14ac:dyDescent="0.25">
      <c r="A9445" s="75">
        <v>42242104</v>
      </c>
      <c r="B9445" s="76" t="s">
        <v>734</v>
      </c>
    </row>
    <row r="9446" spans="1:2" x14ac:dyDescent="0.25">
      <c r="A9446" s="75">
        <v>42242105</v>
      </c>
      <c r="B9446" s="76" t="s">
        <v>2695</v>
      </c>
    </row>
    <row r="9447" spans="1:2" x14ac:dyDescent="0.25">
      <c r="A9447" s="75">
        <v>42242106</v>
      </c>
      <c r="B9447" s="76" t="s">
        <v>8521</v>
      </c>
    </row>
    <row r="9448" spans="1:2" x14ac:dyDescent="0.25">
      <c r="A9448" s="75">
        <v>42242107</v>
      </c>
      <c r="B9448" s="76" t="s">
        <v>4100</v>
      </c>
    </row>
    <row r="9449" spans="1:2" x14ac:dyDescent="0.25">
      <c r="A9449" s="75">
        <v>42242108</v>
      </c>
      <c r="B9449" s="76" t="s">
        <v>2107</v>
      </c>
    </row>
    <row r="9450" spans="1:2" x14ac:dyDescent="0.25">
      <c r="A9450" s="75">
        <v>42242109</v>
      </c>
      <c r="B9450" s="76" t="s">
        <v>15108</v>
      </c>
    </row>
    <row r="9451" spans="1:2" x14ac:dyDescent="0.25">
      <c r="A9451" s="75">
        <v>42242301</v>
      </c>
      <c r="B9451" s="76" t="s">
        <v>10544</v>
      </c>
    </row>
    <row r="9452" spans="1:2" x14ac:dyDescent="0.25">
      <c r="A9452" s="75">
        <v>42242302</v>
      </c>
      <c r="B9452" s="76" t="s">
        <v>10078</v>
      </c>
    </row>
    <row r="9453" spans="1:2" x14ac:dyDescent="0.25">
      <c r="A9453" s="75">
        <v>42251501</v>
      </c>
      <c r="B9453" s="76" t="s">
        <v>18876</v>
      </c>
    </row>
    <row r="9454" spans="1:2" x14ac:dyDescent="0.25">
      <c r="A9454" s="75">
        <v>42251502</v>
      </c>
      <c r="B9454" s="76" t="s">
        <v>9018</v>
      </c>
    </row>
    <row r="9455" spans="1:2" x14ac:dyDescent="0.25">
      <c r="A9455" s="75">
        <v>42251503</v>
      </c>
      <c r="B9455" s="76" t="s">
        <v>1350</v>
      </c>
    </row>
    <row r="9456" spans="1:2" x14ac:dyDescent="0.25">
      <c r="A9456" s="75">
        <v>42251504</v>
      </c>
      <c r="B9456" s="76" t="s">
        <v>14189</v>
      </c>
    </row>
    <row r="9457" spans="1:2" x14ac:dyDescent="0.25">
      <c r="A9457" s="75">
        <v>42251505</v>
      </c>
      <c r="B9457" s="76" t="s">
        <v>19310</v>
      </c>
    </row>
    <row r="9458" spans="1:2" x14ac:dyDescent="0.25">
      <c r="A9458" s="75">
        <v>42251506</v>
      </c>
      <c r="B9458" s="76" t="s">
        <v>17761</v>
      </c>
    </row>
    <row r="9459" spans="1:2" x14ac:dyDescent="0.25">
      <c r="A9459" s="75">
        <v>42251601</v>
      </c>
      <c r="B9459" s="76" t="s">
        <v>12793</v>
      </c>
    </row>
    <row r="9460" spans="1:2" x14ac:dyDescent="0.25">
      <c r="A9460" s="75">
        <v>42251602</v>
      </c>
      <c r="B9460" s="76" t="s">
        <v>4945</v>
      </c>
    </row>
    <row r="9461" spans="1:2" x14ac:dyDescent="0.25">
      <c r="A9461" s="75">
        <v>42251603</v>
      </c>
      <c r="B9461" s="76" t="s">
        <v>8826</v>
      </c>
    </row>
    <row r="9462" spans="1:2" x14ac:dyDescent="0.25">
      <c r="A9462" s="75">
        <v>42251604</v>
      </c>
      <c r="B9462" s="76" t="s">
        <v>15815</v>
      </c>
    </row>
    <row r="9463" spans="1:2" x14ac:dyDescent="0.25">
      <c r="A9463" s="75">
        <v>42251605</v>
      </c>
      <c r="B9463" s="76" t="s">
        <v>4159</v>
      </c>
    </row>
    <row r="9464" spans="1:2" x14ac:dyDescent="0.25">
      <c r="A9464" s="75">
        <v>42251606</v>
      </c>
      <c r="B9464" s="76" t="s">
        <v>9298</v>
      </c>
    </row>
    <row r="9465" spans="1:2" x14ac:dyDescent="0.25">
      <c r="A9465" s="75">
        <v>42251607</v>
      </c>
      <c r="B9465" s="76" t="s">
        <v>823</v>
      </c>
    </row>
    <row r="9466" spans="1:2" x14ac:dyDescent="0.25">
      <c r="A9466" s="75">
        <v>42251608</v>
      </c>
      <c r="B9466" s="76" t="s">
        <v>9606</v>
      </c>
    </row>
    <row r="9467" spans="1:2" x14ac:dyDescent="0.25">
      <c r="A9467" s="75">
        <v>42251609</v>
      </c>
      <c r="B9467" s="76" t="s">
        <v>6580</v>
      </c>
    </row>
    <row r="9468" spans="1:2" x14ac:dyDescent="0.25">
      <c r="A9468" s="75">
        <v>42251610</v>
      </c>
      <c r="B9468" s="76" t="s">
        <v>13878</v>
      </c>
    </row>
    <row r="9469" spans="1:2" x14ac:dyDescent="0.25">
      <c r="A9469" s="75">
        <v>42251611</v>
      </c>
      <c r="B9469" s="76" t="s">
        <v>18038</v>
      </c>
    </row>
    <row r="9470" spans="1:2" x14ac:dyDescent="0.25">
      <c r="A9470" s="75">
        <v>42251612</v>
      </c>
      <c r="B9470" s="76" t="s">
        <v>13188</v>
      </c>
    </row>
    <row r="9471" spans="1:2" x14ac:dyDescent="0.25">
      <c r="A9471" s="75">
        <v>42251613</v>
      </c>
      <c r="B9471" s="76" t="s">
        <v>19855</v>
      </c>
    </row>
    <row r="9472" spans="1:2" x14ac:dyDescent="0.25">
      <c r="A9472" s="75">
        <v>42251614</v>
      </c>
      <c r="B9472" s="76" t="s">
        <v>5028</v>
      </c>
    </row>
    <row r="9473" spans="1:2" x14ac:dyDescent="0.25">
      <c r="A9473" s="75">
        <v>42251615</v>
      </c>
      <c r="B9473" s="76" t="s">
        <v>15521</v>
      </c>
    </row>
    <row r="9474" spans="1:2" x14ac:dyDescent="0.25">
      <c r="A9474" s="75">
        <v>42251616</v>
      </c>
      <c r="B9474" s="76" t="s">
        <v>17850</v>
      </c>
    </row>
    <row r="9475" spans="1:2" x14ac:dyDescent="0.25">
      <c r="A9475" s="75">
        <v>42251617</v>
      </c>
      <c r="B9475" s="76" t="s">
        <v>1937</v>
      </c>
    </row>
    <row r="9476" spans="1:2" x14ac:dyDescent="0.25">
      <c r="A9476" s="75">
        <v>42251618</v>
      </c>
      <c r="B9476" s="76" t="s">
        <v>16349</v>
      </c>
    </row>
    <row r="9477" spans="1:2" x14ac:dyDescent="0.25">
      <c r="A9477" s="75">
        <v>42251619</v>
      </c>
      <c r="B9477" s="76" t="s">
        <v>731</v>
      </c>
    </row>
    <row r="9478" spans="1:2" x14ac:dyDescent="0.25">
      <c r="A9478" s="75">
        <v>42251620</v>
      </c>
      <c r="B9478" s="76" t="s">
        <v>4199</v>
      </c>
    </row>
    <row r="9479" spans="1:2" x14ac:dyDescent="0.25">
      <c r="A9479" s="75">
        <v>42251621</v>
      </c>
      <c r="B9479" s="76" t="s">
        <v>10918</v>
      </c>
    </row>
    <row r="9480" spans="1:2" x14ac:dyDescent="0.25">
      <c r="A9480" s="75">
        <v>42251622</v>
      </c>
      <c r="B9480" s="76" t="s">
        <v>567</v>
      </c>
    </row>
    <row r="9481" spans="1:2" x14ac:dyDescent="0.25">
      <c r="A9481" s="75">
        <v>42251623</v>
      </c>
      <c r="B9481" s="76" t="s">
        <v>18018</v>
      </c>
    </row>
    <row r="9482" spans="1:2" x14ac:dyDescent="0.25">
      <c r="A9482" s="75">
        <v>42251624</v>
      </c>
      <c r="B9482" s="76" t="s">
        <v>10747</v>
      </c>
    </row>
    <row r="9483" spans="1:2" x14ac:dyDescent="0.25">
      <c r="A9483" s="75">
        <v>42251701</v>
      </c>
      <c r="B9483" s="76" t="s">
        <v>5211</v>
      </c>
    </row>
    <row r="9484" spans="1:2" x14ac:dyDescent="0.25">
      <c r="A9484" s="75">
        <v>42251702</v>
      </c>
      <c r="B9484" s="76" t="s">
        <v>15465</v>
      </c>
    </row>
    <row r="9485" spans="1:2" x14ac:dyDescent="0.25">
      <c r="A9485" s="75">
        <v>42251703</v>
      </c>
      <c r="B9485" s="76" t="s">
        <v>117</v>
      </c>
    </row>
    <row r="9486" spans="1:2" x14ac:dyDescent="0.25">
      <c r="A9486" s="75">
        <v>42251704</v>
      </c>
      <c r="B9486" s="76" t="s">
        <v>11379</v>
      </c>
    </row>
    <row r="9487" spans="1:2" x14ac:dyDescent="0.25">
      <c r="A9487" s="75">
        <v>42251705</v>
      </c>
      <c r="B9487" s="76" t="s">
        <v>4741</v>
      </c>
    </row>
    <row r="9488" spans="1:2" x14ac:dyDescent="0.25">
      <c r="A9488" s="75">
        <v>42251706</v>
      </c>
      <c r="B9488" s="76" t="s">
        <v>13675</v>
      </c>
    </row>
    <row r="9489" spans="1:2" x14ac:dyDescent="0.25">
      <c r="A9489" s="75">
        <v>42251801</v>
      </c>
      <c r="B9489" s="76" t="s">
        <v>6208</v>
      </c>
    </row>
    <row r="9490" spans="1:2" x14ac:dyDescent="0.25">
      <c r="A9490" s="75">
        <v>42251802</v>
      </c>
      <c r="B9490" s="76" t="s">
        <v>14670</v>
      </c>
    </row>
    <row r="9491" spans="1:2" x14ac:dyDescent="0.25">
      <c r="A9491" s="75">
        <v>42251803</v>
      </c>
      <c r="B9491" s="76" t="s">
        <v>13460</v>
      </c>
    </row>
    <row r="9492" spans="1:2" x14ac:dyDescent="0.25">
      <c r="A9492" s="75">
        <v>42251804</v>
      </c>
      <c r="B9492" s="76" t="s">
        <v>11532</v>
      </c>
    </row>
    <row r="9493" spans="1:2" x14ac:dyDescent="0.25">
      <c r="A9493" s="75">
        <v>42251805</v>
      </c>
      <c r="B9493" s="76" t="s">
        <v>3277</v>
      </c>
    </row>
    <row r="9494" spans="1:2" x14ac:dyDescent="0.25">
      <c r="A9494" s="75">
        <v>42261501</v>
      </c>
      <c r="B9494" s="76" t="s">
        <v>6414</v>
      </c>
    </row>
    <row r="9495" spans="1:2" x14ac:dyDescent="0.25">
      <c r="A9495" s="75">
        <v>42261502</v>
      </c>
      <c r="B9495" s="76" t="s">
        <v>15927</v>
      </c>
    </row>
    <row r="9496" spans="1:2" x14ac:dyDescent="0.25">
      <c r="A9496" s="75">
        <v>42261503</v>
      </c>
      <c r="B9496" s="76" t="s">
        <v>10748</v>
      </c>
    </row>
    <row r="9497" spans="1:2" x14ac:dyDescent="0.25">
      <c r="A9497" s="75">
        <v>42261504</v>
      </c>
      <c r="B9497" s="76" t="s">
        <v>18881</v>
      </c>
    </row>
    <row r="9498" spans="1:2" x14ac:dyDescent="0.25">
      <c r="A9498" s="75">
        <v>42261505</v>
      </c>
      <c r="B9498" s="76" t="s">
        <v>17584</v>
      </c>
    </row>
    <row r="9499" spans="1:2" x14ac:dyDescent="0.25">
      <c r="A9499" s="75">
        <v>42261506</v>
      </c>
      <c r="B9499" s="76" t="s">
        <v>4880</v>
      </c>
    </row>
    <row r="9500" spans="1:2" x14ac:dyDescent="0.25">
      <c r="A9500" s="75">
        <v>42261507</v>
      </c>
      <c r="B9500" s="76" t="s">
        <v>5291</v>
      </c>
    </row>
    <row r="9501" spans="1:2" x14ac:dyDescent="0.25">
      <c r="A9501" s="75">
        <v>42261508</v>
      </c>
      <c r="B9501" s="76" t="s">
        <v>19062</v>
      </c>
    </row>
    <row r="9502" spans="1:2" x14ac:dyDescent="0.25">
      <c r="A9502" s="75">
        <v>42261509</v>
      </c>
      <c r="B9502" s="76" t="s">
        <v>3022</v>
      </c>
    </row>
    <row r="9503" spans="1:2" x14ac:dyDescent="0.25">
      <c r="A9503" s="75">
        <v>42261510</v>
      </c>
      <c r="B9503" s="76" t="s">
        <v>584</v>
      </c>
    </row>
    <row r="9504" spans="1:2" x14ac:dyDescent="0.25">
      <c r="A9504" s="75">
        <v>42261511</v>
      </c>
      <c r="B9504" s="76" t="s">
        <v>15441</v>
      </c>
    </row>
    <row r="9505" spans="1:2" x14ac:dyDescent="0.25">
      <c r="A9505" s="75">
        <v>42261512</v>
      </c>
      <c r="B9505" s="76" t="s">
        <v>4328</v>
      </c>
    </row>
    <row r="9506" spans="1:2" x14ac:dyDescent="0.25">
      <c r="A9506" s="75">
        <v>42261513</v>
      </c>
      <c r="B9506" s="76" t="s">
        <v>13479</v>
      </c>
    </row>
    <row r="9507" spans="1:2" x14ac:dyDescent="0.25">
      <c r="A9507" s="75">
        <v>42261514</v>
      </c>
      <c r="B9507" s="76" t="s">
        <v>19093</v>
      </c>
    </row>
    <row r="9508" spans="1:2" x14ac:dyDescent="0.25">
      <c r="A9508" s="75">
        <v>42261515</v>
      </c>
      <c r="B9508" s="76" t="s">
        <v>9627</v>
      </c>
    </row>
    <row r="9509" spans="1:2" x14ac:dyDescent="0.25">
      <c r="A9509" s="75">
        <v>42261516</v>
      </c>
      <c r="B9509" s="76" t="s">
        <v>2041</v>
      </c>
    </row>
    <row r="9510" spans="1:2" x14ac:dyDescent="0.25">
      <c r="A9510" s="75">
        <v>42261601</v>
      </c>
      <c r="B9510" s="76" t="s">
        <v>3430</v>
      </c>
    </row>
    <row r="9511" spans="1:2" x14ac:dyDescent="0.25">
      <c r="A9511" s="75">
        <v>42261602</v>
      </c>
      <c r="B9511" s="76" t="s">
        <v>18214</v>
      </c>
    </row>
    <row r="9512" spans="1:2" x14ac:dyDescent="0.25">
      <c r="A9512" s="75">
        <v>42261603</v>
      </c>
      <c r="B9512" s="76" t="s">
        <v>11333</v>
      </c>
    </row>
    <row r="9513" spans="1:2" x14ac:dyDescent="0.25">
      <c r="A9513" s="75">
        <v>42261604</v>
      </c>
      <c r="B9513" s="76" t="s">
        <v>17102</v>
      </c>
    </row>
    <row r="9514" spans="1:2" x14ac:dyDescent="0.25">
      <c r="A9514" s="75">
        <v>42261605</v>
      </c>
      <c r="B9514" s="76" t="s">
        <v>12611</v>
      </c>
    </row>
    <row r="9515" spans="1:2" x14ac:dyDescent="0.25">
      <c r="A9515" s="75">
        <v>42261606</v>
      </c>
      <c r="B9515" s="76" t="s">
        <v>539</v>
      </c>
    </row>
    <row r="9516" spans="1:2" x14ac:dyDescent="0.25">
      <c r="A9516" s="75">
        <v>42261607</v>
      </c>
      <c r="B9516" s="76" t="s">
        <v>12475</v>
      </c>
    </row>
    <row r="9517" spans="1:2" x14ac:dyDescent="0.25">
      <c r="A9517" s="75">
        <v>42261608</v>
      </c>
      <c r="B9517" s="76" t="s">
        <v>5297</v>
      </c>
    </row>
    <row r="9518" spans="1:2" x14ac:dyDescent="0.25">
      <c r="A9518" s="75">
        <v>42261609</v>
      </c>
      <c r="B9518" s="76" t="s">
        <v>8208</v>
      </c>
    </row>
    <row r="9519" spans="1:2" x14ac:dyDescent="0.25">
      <c r="A9519" s="75">
        <v>42261610</v>
      </c>
      <c r="B9519" s="76" t="s">
        <v>17322</v>
      </c>
    </row>
    <row r="9520" spans="1:2" x14ac:dyDescent="0.25">
      <c r="A9520" s="75">
        <v>42261611</v>
      </c>
      <c r="B9520" s="76" t="s">
        <v>8289</v>
      </c>
    </row>
    <row r="9521" spans="1:2" x14ac:dyDescent="0.25">
      <c r="A9521" s="75">
        <v>42261612</v>
      </c>
      <c r="B9521" s="76" t="s">
        <v>3420</v>
      </c>
    </row>
    <row r="9522" spans="1:2" x14ac:dyDescent="0.25">
      <c r="A9522" s="75">
        <v>42261613</v>
      </c>
      <c r="B9522" s="76" t="s">
        <v>15349</v>
      </c>
    </row>
    <row r="9523" spans="1:2" x14ac:dyDescent="0.25">
      <c r="A9523" s="75">
        <v>42261701</v>
      </c>
      <c r="B9523" s="76" t="s">
        <v>16268</v>
      </c>
    </row>
    <row r="9524" spans="1:2" x14ac:dyDescent="0.25">
      <c r="A9524" s="75">
        <v>42261702</v>
      </c>
      <c r="B9524" s="76" t="s">
        <v>6790</v>
      </c>
    </row>
    <row r="9525" spans="1:2" x14ac:dyDescent="0.25">
      <c r="A9525" s="75">
        <v>42261703</v>
      </c>
      <c r="B9525" s="76" t="s">
        <v>1602</v>
      </c>
    </row>
    <row r="9526" spans="1:2" x14ac:dyDescent="0.25">
      <c r="A9526" s="75">
        <v>42261704</v>
      </c>
      <c r="B9526" s="76" t="s">
        <v>14471</v>
      </c>
    </row>
    <row r="9527" spans="1:2" x14ac:dyDescent="0.25">
      <c r="A9527" s="75">
        <v>42261705</v>
      </c>
      <c r="B9527" s="76" t="s">
        <v>19950</v>
      </c>
    </row>
    <row r="9528" spans="1:2" x14ac:dyDescent="0.25">
      <c r="A9528" s="75">
        <v>42261706</v>
      </c>
      <c r="B9528" s="76" t="s">
        <v>12299</v>
      </c>
    </row>
    <row r="9529" spans="1:2" x14ac:dyDescent="0.25">
      <c r="A9529" s="75">
        <v>42261707</v>
      </c>
      <c r="B9529" s="76" t="s">
        <v>17965</v>
      </c>
    </row>
    <row r="9530" spans="1:2" x14ac:dyDescent="0.25">
      <c r="A9530" s="75">
        <v>42261801</v>
      </c>
      <c r="B9530" s="76" t="s">
        <v>18645</v>
      </c>
    </row>
    <row r="9531" spans="1:2" x14ac:dyDescent="0.25">
      <c r="A9531" s="75">
        <v>42261802</v>
      </c>
      <c r="B9531" s="76" t="s">
        <v>10071</v>
      </c>
    </row>
    <row r="9532" spans="1:2" x14ac:dyDescent="0.25">
      <c r="A9532" s="75">
        <v>42261803</v>
      </c>
      <c r="B9532" s="76" t="s">
        <v>768</v>
      </c>
    </row>
    <row r="9533" spans="1:2" x14ac:dyDescent="0.25">
      <c r="A9533" s="75">
        <v>42261804</v>
      </c>
      <c r="B9533" s="76" t="s">
        <v>2919</v>
      </c>
    </row>
    <row r="9534" spans="1:2" x14ac:dyDescent="0.25">
      <c r="A9534" s="75">
        <v>42261805</v>
      </c>
      <c r="B9534" s="76" t="s">
        <v>10949</v>
      </c>
    </row>
    <row r="9535" spans="1:2" x14ac:dyDescent="0.25">
      <c r="A9535" s="75">
        <v>42261806</v>
      </c>
      <c r="B9535" s="76" t="s">
        <v>10924</v>
      </c>
    </row>
    <row r="9536" spans="1:2" x14ac:dyDescent="0.25">
      <c r="A9536" s="75">
        <v>42261807</v>
      </c>
      <c r="B9536" s="76" t="s">
        <v>15299</v>
      </c>
    </row>
    <row r="9537" spans="1:2" x14ac:dyDescent="0.25">
      <c r="A9537" s="75">
        <v>42261808</v>
      </c>
      <c r="B9537" s="76" t="s">
        <v>581</v>
      </c>
    </row>
    <row r="9538" spans="1:2" x14ac:dyDescent="0.25">
      <c r="A9538" s="75">
        <v>42261809</v>
      </c>
      <c r="B9538" s="76" t="s">
        <v>4436</v>
      </c>
    </row>
    <row r="9539" spans="1:2" x14ac:dyDescent="0.25">
      <c r="A9539" s="75">
        <v>42261810</v>
      </c>
      <c r="B9539" s="76" t="s">
        <v>13640</v>
      </c>
    </row>
    <row r="9540" spans="1:2" x14ac:dyDescent="0.25">
      <c r="A9540" s="75">
        <v>42261901</v>
      </c>
      <c r="B9540" s="76" t="s">
        <v>6983</v>
      </c>
    </row>
    <row r="9541" spans="1:2" x14ac:dyDescent="0.25">
      <c r="A9541" s="75">
        <v>42261902</v>
      </c>
      <c r="B9541" s="76" t="s">
        <v>6621</v>
      </c>
    </row>
    <row r="9542" spans="1:2" x14ac:dyDescent="0.25">
      <c r="A9542" s="75">
        <v>42261903</v>
      </c>
      <c r="B9542" s="76" t="s">
        <v>191</v>
      </c>
    </row>
    <row r="9543" spans="1:2" x14ac:dyDescent="0.25">
      <c r="A9543" s="75">
        <v>42261904</v>
      </c>
      <c r="B9543" s="76" t="s">
        <v>10349</v>
      </c>
    </row>
    <row r="9544" spans="1:2" x14ac:dyDescent="0.25">
      <c r="A9544" s="75">
        <v>42262001</v>
      </c>
      <c r="B9544" s="76" t="s">
        <v>12906</v>
      </c>
    </row>
    <row r="9545" spans="1:2" x14ac:dyDescent="0.25">
      <c r="A9545" s="75">
        <v>42262002</v>
      </c>
      <c r="B9545" s="76" t="s">
        <v>13148</v>
      </c>
    </row>
    <row r="9546" spans="1:2" x14ac:dyDescent="0.25">
      <c r="A9546" s="75">
        <v>42262003</v>
      </c>
      <c r="B9546" s="76" t="s">
        <v>7582</v>
      </c>
    </row>
    <row r="9547" spans="1:2" x14ac:dyDescent="0.25">
      <c r="A9547" s="75">
        <v>42262004</v>
      </c>
      <c r="B9547" s="76" t="s">
        <v>13588</v>
      </c>
    </row>
    <row r="9548" spans="1:2" x14ac:dyDescent="0.25">
      <c r="A9548" s="75">
        <v>42262005</v>
      </c>
      <c r="B9548" s="76" t="s">
        <v>10341</v>
      </c>
    </row>
    <row r="9549" spans="1:2" x14ac:dyDescent="0.25">
      <c r="A9549" s="75">
        <v>42262006</v>
      </c>
      <c r="B9549" s="76" t="s">
        <v>954</v>
      </c>
    </row>
    <row r="9550" spans="1:2" x14ac:dyDescent="0.25">
      <c r="A9550" s="75">
        <v>42262007</v>
      </c>
      <c r="B9550" s="76" t="s">
        <v>7124</v>
      </c>
    </row>
    <row r="9551" spans="1:2" x14ac:dyDescent="0.25">
      <c r="A9551" s="75">
        <v>42262008</v>
      </c>
      <c r="B9551" s="76" t="s">
        <v>8360</v>
      </c>
    </row>
    <row r="9552" spans="1:2" x14ac:dyDescent="0.25">
      <c r="A9552" s="75">
        <v>42262101</v>
      </c>
      <c r="B9552" s="76" t="s">
        <v>4940</v>
      </c>
    </row>
    <row r="9553" spans="1:2" x14ac:dyDescent="0.25">
      <c r="A9553" s="75">
        <v>42262102</v>
      </c>
      <c r="B9553" s="76" t="s">
        <v>2055</v>
      </c>
    </row>
    <row r="9554" spans="1:2" x14ac:dyDescent="0.25">
      <c r="A9554" s="75">
        <v>42262103</v>
      </c>
      <c r="B9554" s="76" t="s">
        <v>2042</v>
      </c>
    </row>
    <row r="9555" spans="1:2" x14ac:dyDescent="0.25">
      <c r="A9555" s="75">
        <v>42262104</v>
      </c>
      <c r="B9555" s="76" t="s">
        <v>12665</v>
      </c>
    </row>
    <row r="9556" spans="1:2" x14ac:dyDescent="0.25">
      <c r="A9556" s="75">
        <v>42262105</v>
      </c>
      <c r="B9556" s="76" t="s">
        <v>16148</v>
      </c>
    </row>
    <row r="9557" spans="1:2" x14ac:dyDescent="0.25">
      <c r="A9557" s="75">
        <v>42271501</v>
      </c>
      <c r="B9557" s="76" t="s">
        <v>2862</v>
      </c>
    </row>
    <row r="9558" spans="1:2" x14ac:dyDescent="0.25">
      <c r="A9558" s="75">
        <v>42271502</v>
      </c>
      <c r="B9558" s="76" t="s">
        <v>6075</v>
      </c>
    </row>
    <row r="9559" spans="1:2" x14ac:dyDescent="0.25">
      <c r="A9559" s="75">
        <v>42271503</v>
      </c>
      <c r="B9559" s="76" t="s">
        <v>19711</v>
      </c>
    </row>
    <row r="9560" spans="1:2" x14ac:dyDescent="0.25">
      <c r="A9560" s="75">
        <v>42271504</v>
      </c>
      <c r="B9560" s="76" t="s">
        <v>6229</v>
      </c>
    </row>
    <row r="9561" spans="1:2" x14ac:dyDescent="0.25">
      <c r="A9561" s="75">
        <v>42271505</v>
      </c>
      <c r="B9561" s="76" t="s">
        <v>9473</v>
      </c>
    </row>
    <row r="9562" spans="1:2" x14ac:dyDescent="0.25">
      <c r="A9562" s="75">
        <v>42271506</v>
      </c>
      <c r="B9562" s="76" t="s">
        <v>2700</v>
      </c>
    </row>
    <row r="9563" spans="1:2" x14ac:dyDescent="0.25">
      <c r="A9563" s="75">
        <v>42271601</v>
      </c>
      <c r="B9563" s="76" t="s">
        <v>5036</v>
      </c>
    </row>
    <row r="9564" spans="1:2" x14ac:dyDescent="0.25">
      <c r="A9564" s="75">
        <v>42271602</v>
      </c>
      <c r="B9564" s="76" t="s">
        <v>14151</v>
      </c>
    </row>
    <row r="9565" spans="1:2" x14ac:dyDescent="0.25">
      <c r="A9565" s="75">
        <v>42271603</v>
      </c>
      <c r="B9565" s="76" t="s">
        <v>13759</v>
      </c>
    </row>
    <row r="9566" spans="1:2" x14ac:dyDescent="0.25">
      <c r="A9566" s="75">
        <v>42271604</v>
      </c>
      <c r="B9566" s="76" t="s">
        <v>15343</v>
      </c>
    </row>
    <row r="9567" spans="1:2" x14ac:dyDescent="0.25">
      <c r="A9567" s="75">
        <v>42271605</v>
      </c>
      <c r="B9567" s="76" t="s">
        <v>2463</v>
      </c>
    </row>
    <row r="9568" spans="1:2" x14ac:dyDescent="0.25">
      <c r="A9568" s="75">
        <v>42271606</v>
      </c>
      <c r="B9568" s="76" t="s">
        <v>18738</v>
      </c>
    </row>
    <row r="9569" spans="1:2" x14ac:dyDescent="0.25">
      <c r="A9569" s="75">
        <v>42271607</v>
      </c>
      <c r="B9569" s="76" t="s">
        <v>2509</v>
      </c>
    </row>
    <row r="9570" spans="1:2" x14ac:dyDescent="0.25">
      <c r="A9570" s="75">
        <v>42271608</v>
      </c>
      <c r="B9570" s="76" t="s">
        <v>7459</v>
      </c>
    </row>
    <row r="9571" spans="1:2" x14ac:dyDescent="0.25">
      <c r="A9571" s="75">
        <v>42271609</v>
      </c>
      <c r="B9571" s="76" t="s">
        <v>16544</v>
      </c>
    </row>
    <row r="9572" spans="1:2" x14ac:dyDescent="0.25">
      <c r="A9572" s="75">
        <v>42271610</v>
      </c>
      <c r="B9572" s="76" t="s">
        <v>17370</v>
      </c>
    </row>
    <row r="9573" spans="1:2" x14ac:dyDescent="0.25">
      <c r="A9573" s="75">
        <v>42271611</v>
      </c>
      <c r="B9573" s="76" t="s">
        <v>6188</v>
      </c>
    </row>
    <row r="9574" spans="1:2" x14ac:dyDescent="0.25">
      <c r="A9574" s="75">
        <v>42271612</v>
      </c>
      <c r="B9574" s="76" t="s">
        <v>4835</v>
      </c>
    </row>
    <row r="9575" spans="1:2" x14ac:dyDescent="0.25">
      <c r="A9575" s="75">
        <v>42271613</v>
      </c>
      <c r="B9575" s="76" t="s">
        <v>18981</v>
      </c>
    </row>
    <row r="9576" spans="1:2" x14ac:dyDescent="0.25">
      <c r="A9576" s="75">
        <v>42271614</v>
      </c>
      <c r="B9576" s="76" t="s">
        <v>19157</v>
      </c>
    </row>
    <row r="9577" spans="1:2" x14ac:dyDescent="0.25">
      <c r="A9577" s="75">
        <v>42271615</v>
      </c>
      <c r="B9577" s="76" t="s">
        <v>1600</v>
      </c>
    </row>
    <row r="9578" spans="1:2" x14ac:dyDescent="0.25">
      <c r="A9578" s="75">
        <v>42271616</v>
      </c>
      <c r="B9578" s="76" t="s">
        <v>11562</v>
      </c>
    </row>
    <row r="9579" spans="1:2" x14ac:dyDescent="0.25">
      <c r="A9579" s="75">
        <v>42271617</v>
      </c>
      <c r="B9579" s="76" t="s">
        <v>18827</v>
      </c>
    </row>
    <row r="9580" spans="1:2" x14ac:dyDescent="0.25">
      <c r="A9580" s="75">
        <v>42271618</v>
      </c>
      <c r="B9580" s="76" t="s">
        <v>9263</v>
      </c>
    </row>
    <row r="9581" spans="1:2" x14ac:dyDescent="0.25">
      <c r="A9581" s="75">
        <v>42271701</v>
      </c>
      <c r="B9581" s="76" t="s">
        <v>15724</v>
      </c>
    </row>
    <row r="9582" spans="1:2" x14ac:dyDescent="0.25">
      <c r="A9582" s="75">
        <v>42271702</v>
      </c>
      <c r="B9582" s="76" t="s">
        <v>8210</v>
      </c>
    </row>
    <row r="9583" spans="1:2" x14ac:dyDescent="0.25">
      <c r="A9583" s="75">
        <v>42271703</v>
      </c>
      <c r="B9583" s="76" t="s">
        <v>1498</v>
      </c>
    </row>
    <row r="9584" spans="1:2" x14ac:dyDescent="0.25">
      <c r="A9584" s="75">
        <v>42271704</v>
      </c>
      <c r="B9584" s="76" t="s">
        <v>12876</v>
      </c>
    </row>
    <row r="9585" spans="1:2" x14ac:dyDescent="0.25">
      <c r="A9585" s="75">
        <v>42271705</v>
      </c>
      <c r="B9585" s="76" t="s">
        <v>1191</v>
      </c>
    </row>
    <row r="9586" spans="1:2" x14ac:dyDescent="0.25">
      <c r="A9586" s="75">
        <v>42271706</v>
      </c>
      <c r="B9586" s="76" t="s">
        <v>10838</v>
      </c>
    </row>
    <row r="9587" spans="1:2" x14ac:dyDescent="0.25">
      <c r="A9587" s="75">
        <v>42271707</v>
      </c>
      <c r="B9587" s="76" t="s">
        <v>3141</v>
      </c>
    </row>
    <row r="9588" spans="1:2" x14ac:dyDescent="0.25">
      <c r="A9588" s="75">
        <v>42271708</v>
      </c>
      <c r="B9588" s="76" t="s">
        <v>9493</v>
      </c>
    </row>
    <row r="9589" spans="1:2" x14ac:dyDescent="0.25">
      <c r="A9589" s="75">
        <v>42271709</v>
      </c>
      <c r="B9589" s="76" t="s">
        <v>15650</v>
      </c>
    </row>
    <row r="9590" spans="1:2" x14ac:dyDescent="0.25">
      <c r="A9590" s="75">
        <v>42271710</v>
      </c>
      <c r="B9590" s="76" t="s">
        <v>2826</v>
      </c>
    </row>
    <row r="9591" spans="1:2" x14ac:dyDescent="0.25">
      <c r="A9591" s="75">
        <v>42271711</v>
      </c>
      <c r="B9591" s="76" t="s">
        <v>2597</v>
      </c>
    </row>
    <row r="9592" spans="1:2" x14ac:dyDescent="0.25">
      <c r="A9592" s="75">
        <v>42271712</v>
      </c>
      <c r="B9592" s="76" t="s">
        <v>17424</v>
      </c>
    </row>
    <row r="9593" spans="1:2" x14ac:dyDescent="0.25">
      <c r="A9593" s="75">
        <v>42271713</v>
      </c>
      <c r="B9593" s="76" t="s">
        <v>6901</v>
      </c>
    </row>
    <row r="9594" spans="1:2" x14ac:dyDescent="0.25">
      <c r="A9594" s="75">
        <v>42271714</v>
      </c>
      <c r="B9594" s="76" t="s">
        <v>1779</v>
      </c>
    </row>
    <row r="9595" spans="1:2" x14ac:dyDescent="0.25">
      <c r="A9595" s="75">
        <v>42271715</v>
      </c>
      <c r="B9595" s="76" t="s">
        <v>2744</v>
      </c>
    </row>
    <row r="9596" spans="1:2" x14ac:dyDescent="0.25">
      <c r="A9596" s="75">
        <v>42271716</v>
      </c>
      <c r="B9596" s="76" t="s">
        <v>14121</v>
      </c>
    </row>
    <row r="9597" spans="1:2" x14ac:dyDescent="0.25">
      <c r="A9597" s="75">
        <v>42271717</v>
      </c>
      <c r="B9597" s="76" t="s">
        <v>17728</v>
      </c>
    </row>
    <row r="9598" spans="1:2" x14ac:dyDescent="0.25">
      <c r="A9598" s="75">
        <v>42271718</v>
      </c>
      <c r="B9598" s="76" t="s">
        <v>13085</v>
      </c>
    </row>
    <row r="9599" spans="1:2" x14ac:dyDescent="0.25">
      <c r="A9599" s="75">
        <v>42271719</v>
      </c>
      <c r="B9599" s="76" t="s">
        <v>12915</v>
      </c>
    </row>
    <row r="9600" spans="1:2" x14ac:dyDescent="0.25">
      <c r="A9600" s="75">
        <v>42271720</v>
      </c>
      <c r="B9600" s="76" t="s">
        <v>14871</v>
      </c>
    </row>
    <row r="9601" spans="1:2" x14ac:dyDescent="0.25">
      <c r="A9601" s="75">
        <v>42271721</v>
      </c>
      <c r="B9601" s="76" t="s">
        <v>18914</v>
      </c>
    </row>
    <row r="9602" spans="1:2" x14ac:dyDescent="0.25">
      <c r="A9602" s="75">
        <v>42271801</v>
      </c>
      <c r="B9602" s="76" t="s">
        <v>20036</v>
      </c>
    </row>
    <row r="9603" spans="1:2" x14ac:dyDescent="0.25">
      <c r="A9603" s="75">
        <v>42271802</v>
      </c>
      <c r="B9603" s="76" t="s">
        <v>868</v>
      </c>
    </row>
    <row r="9604" spans="1:2" x14ac:dyDescent="0.25">
      <c r="A9604" s="75">
        <v>42271803</v>
      </c>
      <c r="B9604" s="76" t="s">
        <v>11319</v>
      </c>
    </row>
    <row r="9605" spans="1:2" x14ac:dyDescent="0.25">
      <c r="A9605" s="75">
        <v>42271901</v>
      </c>
      <c r="B9605" s="76" t="s">
        <v>844</v>
      </c>
    </row>
    <row r="9606" spans="1:2" x14ac:dyDescent="0.25">
      <c r="A9606" s="75">
        <v>42271902</v>
      </c>
      <c r="B9606" s="76" t="s">
        <v>15098</v>
      </c>
    </row>
    <row r="9607" spans="1:2" x14ac:dyDescent="0.25">
      <c r="A9607" s="75">
        <v>42271903</v>
      </c>
      <c r="B9607" s="76" t="s">
        <v>3941</v>
      </c>
    </row>
    <row r="9608" spans="1:2" x14ac:dyDescent="0.25">
      <c r="A9608" s="75">
        <v>42271904</v>
      </c>
      <c r="B9608" s="76" t="s">
        <v>1087</v>
      </c>
    </row>
    <row r="9609" spans="1:2" x14ac:dyDescent="0.25">
      <c r="A9609" s="75">
        <v>42271905</v>
      </c>
      <c r="B9609" s="76" t="s">
        <v>18628</v>
      </c>
    </row>
    <row r="9610" spans="1:2" x14ac:dyDescent="0.25">
      <c r="A9610" s="75">
        <v>42271906</v>
      </c>
      <c r="B9610" s="76" t="s">
        <v>11504</v>
      </c>
    </row>
    <row r="9611" spans="1:2" x14ac:dyDescent="0.25">
      <c r="A9611" s="75">
        <v>42271907</v>
      </c>
      <c r="B9611" s="76" t="s">
        <v>53</v>
      </c>
    </row>
    <row r="9612" spans="1:2" x14ac:dyDescent="0.25">
      <c r="A9612" s="75">
        <v>42271908</v>
      </c>
      <c r="B9612" s="76" t="s">
        <v>17339</v>
      </c>
    </row>
    <row r="9613" spans="1:2" x14ac:dyDescent="0.25">
      <c r="A9613" s="75">
        <v>42271909</v>
      </c>
      <c r="B9613" s="76" t="s">
        <v>8757</v>
      </c>
    </row>
    <row r="9614" spans="1:2" x14ac:dyDescent="0.25">
      <c r="A9614" s="75">
        <v>42271910</v>
      </c>
      <c r="B9614" s="76" t="s">
        <v>16006</v>
      </c>
    </row>
    <row r="9615" spans="1:2" x14ac:dyDescent="0.25">
      <c r="A9615" s="75">
        <v>42271911</v>
      </c>
      <c r="B9615" s="76" t="s">
        <v>7531</v>
      </c>
    </row>
    <row r="9616" spans="1:2" x14ac:dyDescent="0.25">
      <c r="A9616" s="75">
        <v>42271912</v>
      </c>
      <c r="B9616" s="76" t="s">
        <v>8091</v>
      </c>
    </row>
    <row r="9617" spans="1:2" x14ac:dyDescent="0.25">
      <c r="A9617" s="75">
        <v>42271913</v>
      </c>
      <c r="B9617" s="76" t="s">
        <v>14526</v>
      </c>
    </row>
    <row r="9618" spans="1:2" x14ac:dyDescent="0.25">
      <c r="A9618" s="75">
        <v>42271914</v>
      </c>
      <c r="B9618" s="76" t="s">
        <v>11505</v>
      </c>
    </row>
    <row r="9619" spans="1:2" x14ac:dyDescent="0.25">
      <c r="A9619" s="75">
        <v>42271915</v>
      </c>
      <c r="B9619" s="76" t="s">
        <v>10517</v>
      </c>
    </row>
    <row r="9620" spans="1:2" x14ac:dyDescent="0.25">
      <c r="A9620" s="75">
        <v>42272001</v>
      </c>
      <c r="B9620" s="76" t="s">
        <v>12565</v>
      </c>
    </row>
    <row r="9621" spans="1:2" x14ac:dyDescent="0.25">
      <c r="A9621" s="75">
        <v>42272002</v>
      </c>
      <c r="B9621" s="76" t="s">
        <v>1200</v>
      </c>
    </row>
    <row r="9622" spans="1:2" x14ac:dyDescent="0.25">
      <c r="A9622" s="75">
        <v>42272003</v>
      </c>
      <c r="B9622" s="76" t="s">
        <v>9326</v>
      </c>
    </row>
    <row r="9623" spans="1:2" x14ac:dyDescent="0.25">
      <c r="A9623" s="75">
        <v>42272004</v>
      </c>
      <c r="B9623" s="76" t="s">
        <v>10237</v>
      </c>
    </row>
    <row r="9624" spans="1:2" x14ac:dyDescent="0.25">
      <c r="A9624" s="75">
        <v>42272005</v>
      </c>
      <c r="B9624" s="76" t="s">
        <v>17325</v>
      </c>
    </row>
    <row r="9625" spans="1:2" x14ac:dyDescent="0.25">
      <c r="A9625" s="75">
        <v>42272006</v>
      </c>
      <c r="B9625" s="76" t="s">
        <v>18071</v>
      </c>
    </row>
    <row r="9626" spans="1:2" x14ac:dyDescent="0.25">
      <c r="A9626" s="75">
        <v>42272007</v>
      </c>
      <c r="B9626" s="76" t="s">
        <v>18067</v>
      </c>
    </row>
    <row r="9627" spans="1:2" x14ac:dyDescent="0.25">
      <c r="A9627" s="75">
        <v>42272008</v>
      </c>
      <c r="B9627" s="76" t="s">
        <v>3966</v>
      </c>
    </row>
    <row r="9628" spans="1:2" x14ac:dyDescent="0.25">
      <c r="A9628" s="75">
        <v>42272009</v>
      </c>
      <c r="B9628" s="76" t="s">
        <v>19886</v>
      </c>
    </row>
    <row r="9629" spans="1:2" x14ac:dyDescent="0.25">
      <c r="A9629" s="75">
        <v>42272010</v>
      </c>
      <c r="B9629" s="76" t="s">
        <v>309</v>
      </c>
    </row>
    <row r="9630" spans="1:2" x14ac:dyDescent="0.25">
      <c r="A9630" s="75">
        <v>42272011</v>
      </c>
      <c r="B9630" s="76" t="s">
        <v>17445</v>
      </c>
    </row>
    <row r="9631" spans="1:2" x14ac:dyDescent="0.25">
      <c r="A9631" s="75">
        <v>42272012</v>
      </c>
      <c r="B9631" s="76" t="s">
        <v>12437</v>
      </c>
    </row>
    <row r="9632" spans="1:2" x14ac:dyDescent="0.25">
      <c r="A9632" s="75">
        <v>42272013</v>
      </c>
      <c r="B9632" s="76" t="s">
        <v>12483</v>
      </c>
    </row>
    <row r="9633" spans="1:2" x14ac:dyDescent="0.25">
      <c r="A9633" s="75">
        <v>42272014</v>
      </c>
      <c r="B9633" s="76" t="s">
        <v>4089</v>
      </c>
    </row>
    <row r="9634" spans="1:2" x14ac:dyDescent="0.25">
      <c r="A9634" s="75">
        <v>42272015</v>
      </c>
      <c r="B9634" s="76" t="s">
        <v>17335</v>
      </c>
    </row>
    <row r="9635" spans="1:2" x14ac:dyDescent="0.25">
      <c r="A9635" s="75">
        <v>42272016</v>
      </c>
      <c r="B9635" s="76" t="s">
        <v>3394</v>
      </c>
    </row>
    <row r="9636" spans="1:2" x14ac:dyDescent="0.25">
      <c r="A9636" s="75">
        <v>42272017</v>
      </c>
      <c r="B9636" s="76" t="s">
        <v>13818</v>
      </c>
    </row>
    <row r="9637" spans="1:2" x14ac:dyDescent="0.25">
      <c r="A9637" s="75">
        <v>42272101</v>
      </c>
      <c r="B9637" s="76" t="s">
        <v>16845</v>
      </c>
    </row>
    <row r="9638" spans="1:2" x14ac:dyDescent="0.25">
      <c r="A9638" s="75">
        <v>42272102</v>
      </c>
      <c r="B9638" s="76" t="s">
        <v>6469</v>
      </c>
    </row>
    <row r="9639" spans="1:2" x14ac:dyDescent="0.25">
      <c r="A9639" s="75">
        <v>42272201</v>
      </c>
      <c r="B9639" s="76" t="s">
        <v>985</v>
      </c>
    </row>
    <row r="9640" spans="1:2" x14ac:dyDescent="0.25">
      <c r="A9640" s="75">
        <v>42272202</v>
      </c>
      <c r="B9640" s="76" t="s">
        <v>4038</v>
      </c>
    </row>
    <row r="9641" spans="1:2" x14ac:dyDescent="0.25">
      <c r="A9641" s="75">
        <v>42272203</v>
      </c>
      <c r="B9641" s="76" t="s">
        <v>2487</v>
      </c>
    </row>
    <row r="9642" spans="1:2" x14ac:dyDescent="0.25">
      <c r="A9642" s="75">
        <v>42272204</v>
      </c>
      <c r="B9642" s="76" t="s">
        <v>12149</v>
      </c>
    </row>
    <row r="9643" spans="1:2" x14ac:dyDescent="0.25">
      <c r="A9643" s="75">
        <v>42272205</v>
      </c>
      <c r="B9643" s="76" t="s">
        <v>2207</v>
      </c>
    </row>
    <row r="9644" spans="1:2" x14ac:dyDescent="0.25">
      <c r="A9644" s="75">
        <v>42272206</v>
      </c>
      <c r="B9644" s="76" t="s">
        <v>1816</v>
      </c>
    </row>
    <row r="9645" spans="1:2" x14ac:dyDescent="0.25">
      <c r="A9645" s="75">
        <v>42272207</v>
      </c>
      <c r="B9645" s="76" t="s">
        <v>17436</v>
      </c>
    </row>
    <row r="9646" spans="1:2" x14ac:dyDescent="0.25">
      <c r="A9646" s="75">
        <v>42272208</v>
      </c>
      <c r="B9646" s="76" t="s">
        <v>1065</v>
      </c>
    </row>
    <row r="9647" spans="1:2" x14ac:dyDescent="0.25">
      <c r="A9647" s="75">
        <v>42272209</v>
      </c>
      <c r="B9647" s="76" t="s">
        <v>9091</v>
      </c>
    </row>
    <row r="9648" spans="1:2" x14ac:dyDescent="0.25">
      <c r="A9648" s="75">
        <v>42272210</v>
      </c>
      <c r="B9648" s="76" t="s">
        <v>3867</v>
      </c>
    </row>
    <row r="9649" spans="1:2" x14ac:dyDescent="0.25">
      <c r="A9649" s="75">
        <v>42272211</v>
      </c>
      <c r="B9649" s="76" t="s">
        <v>6245</v>
      </c>
    </row>
    <row r="9650" spans="1:2" x14ac:dyDescent="0.25">
      <c r="A9650" s="75">
        <v>42272212</v>
      </c>
      <c r="B9650" s="76" t="s">
        <v>6401</v>
      </c>
    </row>
    <row r="9651" spans="1:2" x14ac:dyDescent="0.25">
      <c r="A9651" s="75">
        <v>42272213</v>
      </c>
      <c r="B9651" s="76" t="s">
        <v>8319</v>
      </c>
    </row>
    <row r="9652" spans="1:2" x14ac:dyDescent="0.25">
      <c r="A9652" s="75">
        <v>42272214</v>
      </c>
      <c r="B9652" s="76" t="s">
        <v>156</v>
      </c>
    </row>
    <row r="9653" spans="1:2" x14ac:dyDescent="0.25">
      <c r="A9653" s="75">
        <v>42272215</v>
      </c>
      <c r="B9653" s="76" t="s">
        <v>10642</v>
      </c>
    </row>
    <row r="9654" spans="1:2" x14ac:dyDescent="0.25">
      <c r="A9654" s="75">
        <v>42272216</v>
      </c>
      <c r="B9654" s="76" t="s">
        <v>17301</v>
      </c>
    </row>
    <row r="9655" spans="1:2" x14ac:dyDescent="0.25">
      <c r="A9655" s="75">
        <v>42272217</v>
      </c>
      <c r="B9655" s="76" t="s">
        <v>58</v>
      </c>
    </row>
    <row r="9656" spans="1:2" x14ac:dyDescent="0.25">
      <c r="A9656" s="75">
        <v>42272218</v>
      </c>
      <c r="B9656" s="76" t="s">
        <v>5495</v>
      </c>
    </row>
    <row r="9657" spans="1:2" x14ac:dyDescent="0.25">
      <c r="A9657" s="75">
        <v>42272219</v>
      </c>
      <c r="B9657" s="76" t="s">
        <v>12203</v>
      </c>
    </row>
    <row r="9658" spans="1:2" x14ac:dyDescent="0.25">
      <c r="A9658" s="75">
        <v>42272220</v>
      </c>
      <c r="B9658" s="76" t="s">
        <v>8034</v>
      </c>
    </row>
    <row r="9659" spans="1:2" x14ac:dyDescent="0.25">
      <c r="A9659" s="75">
        <v>42272221</v>
      </c>
      <c r="B9659" s="76" t="s">
        <v>8861</v>
      </c>
    </row>
    <row r="9660" spans="1:2" x14ac:dyDescent="0.25">
      <c r="A9660" s="75">
        <v>42272222</v>
      </c>
      <c r="B9660" s="76" t="s">
        <v>3015</v>
      </c>
    </row>
    <row r="9661" spans="1:2" x14ac:dyDescent="0.25">
      <c r="A9661" s="75">
        <v>42272223</v>
      </c>
      <c r="B9661" s="76" t="s">
        <v>18267</v>
      </c>
    </row>
    <row r="9662" spans="1:2" x14ac:dyDescent="0.25">
      <c r="A9662" s="75">
        <v>42272224</v>
      </c>
      <c r="B9662" s="76" t="s">
        <v>4160</v>
      </c>
    </row>
    <row r="9663" spans="1:2" x14ac:dyDescent="0.25">
      <c r="A9663" s="75">
        <v>42272225</v>
      </c>
      <c r="B9663" s="76" t="s">
        <v>11929</v>
      </c>
    </row>
    <row r="9664" spans="1:2" x14ac:dyDescent="0.25">
      <c r="A9664" s="75">
        <v>42272301</v>
      </c>
      <c r="B9664" s="76" t="s">
        <v>17300</v>
      </c>
    </row>
    <row r="9665" spans="1:2" x14ac:dyDescent="0.25">
      <c r="A9665" s="75">
        <v>42272302</v>
      </c>
      <c r="B9665" s="76" t="s">
        <v>16764</v>
      </c>
    </row>
    <row r="9666" spans="1:2" x14ac:dyDescent="0.25">
      <c r="A9666" s="75">
        <v>42272303</v>
      </c>
      <c r="B9666" s="76" t="s">
        <v>4222</v>
      </c>
    </row>
    <row r="9667" spans="1:2" x14ac:dyDescent="0.25">
      <c r="A9667" s="75">
        <v>42272304</v>
      </c>
      <c r="B9667" s="76" t="s">
        <v>8137</v>
      </c>
    </row>
    <row r="9668" spans="1:2" x14ac:dyDescent="0.25">
      <c r="A9668" s="75">
        <v>42272305</v>
      </c>
      <c r="B9668" s="76" t="s">
        <v>10996</v>
      </c>
    </row>
    <row r="9669" spans="1:2" x14ac:dyDescent="0.25">
      <c r="A9669" s="75">
        <v>42272306</v>
      </c>
      <c r="B9669" s="76" t="s">
        <v>3122</v>
      </c>
    </row>
    <row r="9670" spans="1:2" x14ac:dyDescent="0.25">
      <c r="A9670" s="75">
        <v>42272307</v>
      </c>
      <c r="B9670" s="76" t="s">
        <v>6660</v>
      </c>
    </row>
    <row r="9671" spans="1:2" x14ac:dyDescent="0.25">
      <c r="A9671" s="75">
        <v>42272401</v>
      </c>
      <c r="B9671" s="76" t="s">
        <v>7080</v>
      </c>
    </row>
    <row r="9672" spans="1:2" x14ac:dyDescent="0.25">
      <c r="A9672" s="75">
        <v>42272402</v>
      </c>
      <c r="B9672" s="76" t="s">
        <v>4417</v>
      </c>
    </row>
    <row r="9673" spans="1:2" x14ac:dyDescent="0.25">
      <c r="A9673" s="75">
        <v>42272403</v>
      </c>
      <c r="B9673" s="76" t="s">
        <v>15715</v>
      </c>
    </row>
    <row r="9674" spans="1:2" x14ac:dyDescent="0.25">
      <c r="A9674" s="75">
        <v>42272404</v>
      </c>
      <c r="B9674" s="76" t="s">
        <v>17390</v>
      </c>
    </row>
    <row r="9675" spans="1:2" x14ac:dyDescent="0.25">
      <c r="A9675" s="75">
        <v>42272501</v>
      </c>
      <c r="B9675" s="76" t="s">
        <v>782</v>
      </c>
    </row>
    <row r="9676" spans="1:2" x14ac:dyDescent="0.25">
      <c r="A9676" s="75">
        <v>42272502</v>
      </c>
      <c r="B9676" s="76" t="s">
        <v>2024</v>
      </c>
    </row>
    <row r="9677" spans="1:2" x14ac:dyDescent="0.25">
      <c r="A9677" s="75">
        <v>42272503</v>
      </c>
      <c r="B9677" s="76" t="s">
        <v>3692</v>
      </c>
    </row>
    <row r="9678" spans="1:2" x14ac:dyDescent="0.25">
      <c r="A9678" s="75">
        <v>42272504</v>
      </c>
      <c r="B9678" s="76" t="s">
        <v>3793</v>
      </c>
    </row>
    <row r="9679" spans="1:2" x14ac:dyDescent="0.25">
      <c r="A9679" s="75">
        <v>42272505</v>
      </c>
      <c r="B9679" s="76" t="s">
        <v>9296</v>
      </c>
    </row>
    <row r="9680" spans="1:2" x14ac:dyDescent="0.25">
      <c r="A9680" s="75">
        <v>42272506</v>
      </c>
      <c r="B9680" s="76" t="s">
        <v>18694</v>
      </c>
    </row>
    <row r="9681" spans="1:2" x14ac:dyDescent="0.25">
      <c r="A9681" s="75">
        <v>42272507</v>
      </c>
      <c r="B9681" s="76" t="s">
        <v>17554</v>
      </c>
    </row>
    <row r="9682" spans="1:2" x14ac:dyDescent="0.25">
      <c r="A9682" s="75">
        <v>42272508</v>
      </c>
      <c r="B9682" s="76" t="s">
        <v>9985</v>
      </c>
    </row>
    <row r="9683" spans="1:2" x14ac:dyDescent="0.25">
      <c r="A9683" s="75">
        <v>42281501</v>
      </c>
      <c r="B9683" s="76" t="s">
        <v>8791</v>
      </c>
    </row>
    <row r="9684" spans="1:2" x14ac:dyDescent="0.25">
      <c r="A9684" s="75">
        <v>42281502</v>
      </c>
      <c r="B9684" s="76" t="s">
        <v>5609</v>
      </c>
    </row>
    <row r="9685" spans="1:2" x14ac:dyDescent="0.25">
      <c r="A9685" s="75">
        <v>42281503</v>
      </c>
      <c r="B9685" s="76" t="s">
        <v>10318</v>
      </c>
    </row>
    <row r="9686" spans="1:2" x14ac:dyDescent="0.25">
      <c r="A9686" s="75">
        <v>42281504</v>
      </c>
      <c r="B9686" s="76" t="s">
        <v>9282</v>
      </c>
    </row>
    <row r="9687" spans="1:2" x14ac:dyDescent="0.25">
      <c r="A9687" s="75">
        <v>42281505</v>
      </c>
      <c r="B9687" s="76" t="s">
        <v>1756</v>
      </c>
    </row>
    <row r="9688" spans="1:2" x14ac:dyDescent="0.25">
      <c r="A9688" s="75">
        <v>42281506</v>
      </c>
      <c r="B9688" s="76" t="s">
        <v>2952</v>
      </c>
    </row>
    <row r="9689" spans="1:2" x14ac:dyDescent="0.25">
      <c r="A9689" s="75">
        <v>42281507</v>
      </c>
      <c r="B9689" s="76" t="s">
        <v>3680</v>
      </c>
    </row>
    <row r="9690" spans="1:2" x14ac:dyDescent="0.25">
      <c r="A9690" s="75">
        <v>42281508</v>
      </c>
      <c r="B9690" s="76" t="s">
        <v>4262</v>
      </c>
    </row>
    <row r="9691" spans="1:2" x14ac:dyDescent="0.25">
      <c r="A9691" s="75">
        <v>42281509</v>
      </c>
      <c r="B9691" s="76" t="s">
        <v>19435</v>
      </c>
    </row>
    <row r="9692" spans="1:2" x14ac:dyDescent="0.25">
      <c r="A9692" s="75">
        <v>42281510</v>
      </c>
      <c r="B9692" s="76" t="s">
        <v>4534</v>
      </c>
    </row>
    <row r="9693" spans="1:2" x14ac:dyDescent="0.25">
      <c r="A9693" s="75">
        <v>42281511</v>
      </c>
      <c r="B9693" s="76" t="s">
        <v>16852</v>
      </c>
    </row>
    <row r="9694" spans="1:2" x14ac:dyDescent="0.25">
      <c r="A9694" s="75">
        <v>42281512</v>
      </c>
      <c r="B9694" s="76" t="s">
        <v>16654</v>
      </c>
    </row>
    <row r="9695" spans="1:2" x14ac:dyDescent="0.25">
      <c r="A9695" s="75">
        <v>42281513</v>
      </c>
      <c r="B9695" s="76" t="s">
        <v>7225</v>
      </c>
    </row>
    <row r="9696" spans="1:2" x14ac:dyDescent="0.25">
      <c r="A9696" s="75">
        <v>42281514</v>
      </c>
      <c r="B9696" s="76" t="s">
        <v>9590</v>
      </c>
    </row>
    <row r="9697" spans="1:2" x14ac:dyDescent="0.25">
      <c r="A9697" s="75">
        <v>42281515</v>
      </c>
      <c r="B9697" s="76" t="s">
        <v>10625</v>
      </c>
    </row>
    <row r="9698" spans="1:2" x14ac:dyDescent="0.25">
      <c r="A9698" s="75">
        <v>42281516</v>
      </c>
      <c r="B9698" s="76" t="s">
        <v>17567</v>
      </c>
    </row>
    <row r="9699" spans="1:2" x14ac:dyDescent="0.25">
      <c r="A9699" s="75">
        <v>42281517</v>
      </c>
      <c r="B9699" s="76" t="s">
        <v>19843</v>
      </c>
    </row>
    <row r="9700" spans="1:2" x14ac:dyDescent="0.25">
      <c r="A9700" s="75">
        <v>42281518</v>
      </c>
      <c r="B9700" s="76" t="s">
        <v>10987</v>
      </c>
    </row>
    <row r="9701" spans="1:2" x14ac:dyDescent="0.25">
      <c r="A9701" s="75">
        <v>42281519</v>
      </c>
      <c r="B9701" s="76" t="s">
        <v>16658</v>
      </c>
    </row>
    <row r="9702" spans="1:2" x14ac:dyDescent="0.25">
      <c r="A9702" s="75">
        <v>42281520</v>
      </c>
      <c r="B9702" s="76" t="s">
        <v>3210</v>
      </c>
    </row>
    <row r="9703" spans="1:2" x14ac:dyDescent="0.25">
      <c r="A9703" s="75">
        <v>42281521</v>
      </c>
      <c r="B9703" s="76" t="s">
        <v>19262</v>
      </c>
    </row>
    <row r="9704" spans="1:2" x14ac:dyDescent="0.25">
      <c r="A9704" s="75">
        <v>42281522</v>
      </c>
      <c r="B9704" s="76" t="s">
        <v>6332</v>
      </c>
    </row>
    <row r="9705" spans="1:2" x14ac:dyDescent="0.25">
      <c r="A9705" s="75">
        <v>42281523</v>
      </c>
      <c r="B9705" s="76" t="s">
        <v>5082</v>
      </c>
    </row>
    <row r="9706" spans="1:2" x14ac:dyDescent="0.25">
      <c r="A9706" s="75">
        <v>42281524</v>
      </c>
      <c r="B9706" s="76" t="s">
        <v>15576</v>
      </c>
    </row>
    <row r="9707" spans="1:2" x14ac:dyDescent="0.25">
      <c r="A9707" s="75">
        <v>42281601</v>
      </c>
      <c r="B9707" s="76" t="s">
        <v>2748</v>
      </c>
    </row>
    <row r="9708" spans="1:2" x14ac:dyDescent="0.25">
      <c r="A9708" s="75">
        <v>42281602</v>
      </c>
      <c r="B9708" s="76" t="s">
        <v>2515</v>
      </c>
    </row>
    <row r="9709" spans="1:2" x14ac:dyDescent="0.25">
      <c r="A9709" s="75">
        <v>42281603</v>
      </c>
      <c r="B9709" s="76" t="s">
        <v>16431</v>
      </c>
    </row>
    <row r="9710" spans="1:2" x14ac:dyDescent="0.25">
      <c r="A9710" s="75">
        <v>42281604</v>
      </c>
      <c r="B9710" s="76" t="s">
        <v>14883</v>
      </c>
    </row>
    <row r="9711" spans="1:2" x14ac:dyDescent="0.25">
      <c r="A9711" s="75">
        <v>42281605</v>
      </c>
      <c r="B9711" s="76" t="s">
        <v>7309</v>
      </c>
    </row>
    <row r="9712" spans="1:2" x14ac:dyDescent="0.25">
      <c r="A9712" s="75">
        <v>42281606</v>
      </c>
      <c r="B9712" s="76" t="s">
        <v>19524</v>
      </c>
    </row>
    <row r="9713" spans="1:2" x14ac:dyDescent="0.25">
      <c r="A9713" s="75">
        <v>42281701</v>
      </c>
      <c r="B9713" s="76" t="s">
        <v>7857</v>
      </c>
    </row>
    <row r="9714" spans="1:2" x14ac:dyDescent="0.25">
      <c r="A9714" s="75">
        <v>42281702</v>
      </c>
      <c r="B9714" s="76" t="s">
        <v>12674</v>
      </c>
    </row>
    <row r="9715" spans="1:2" x14ac:dyDescent="0.25">
      <c r="A9715" s="75">
        <v>42281703</v>
      </c>
      <c r="B9715" s="76" t="s">
        <v>18692</v>
      </c>
    </row>
    <row r="9716" spans="1:2" x14ac:dyDescent="0.25">
      <c r="A9716" s="75">
        <v>42281704</v>
      </c>
      <c r="B9716" s="76" t="s">
        <v>10727</v>
      </c>
    </row>
    <row r="9717" spans="1:2" x14ac:dyDescent="0.25">
      <c r="A9717" s="75">
        <v>42281705</v>
      </c>
      <c r="B9717" s="76" t="s">
        <v>14706</v>
      </c>
    </row>
    <row r="9718" spans="1:2" x14ac:dyDescent="0.25">
      <c r="A9718" s="75">
        <v>42281706</v>
      </c>
      <c r="B9718" s="76" t="s">
        <v>12799</v>
      </c>
    </row>
    <row r="9719" spans="1:2" x14ac:dyDescent="0.25">
      <c r="A9719" s="75">
        <v>42281707</v>
      </c>
      <c r="B9719" s="76" t="s">
        <v>398</v>
      </c>
    </row>
    <row r="9720" spans="1:2" x14ac:dyDescent="0.25">
      <c r="A9720" s="75">
        <v>42281708</v>
      </c>
      <c r="B9720" s="76" t="s">
        <v>8244</v>
      </c>
    </row>
    <row r="9721" spans="1:2" x14ac:dyDescent="0.25">
      <c r="A9721" s="75">
        <v>42281709</v>
      </c>
      <c r="B9721" s="76" t="s">
        <v>16590</v>
      </c>
    </row>
    <row r="9722" spans="1:2" x14ac:dyDescent="0.25">
      <c r="A9722" s="75">
        <v>42281710</v>
      </c>
      <c r="B9722" s="76" t="s">
        <v>15400</v>
      </c>
    </row>
    <row r="9723" spans="1:2" x14ac:dyDescent="0.25">
      <c r="A9723" s="75">
        <v>42281711</v>
      </c>
      <c r="B9723" s="76" t="s">
        <v>13683</v>
      </c>
    </row>
    <row r="9724" spans="1:2" x14ac:dyDescent="0.25">
      <c r="A9724" s="75">
        <v>42281712</v>
      </c>
      <c r="B9724" s="76" t="s">
        <v>18963</v>
      </c>
    </row>
    <row r="9725" spans="1:2" x14ac:dyDescent="0.25">
      <c r="A9725" s="75">
        <v>42281713</v>
      </c>
      <c r="B9725" s="76" t="s">
        <v>248</v>
      </c>
    </row>
    <row r="9726" spans="1:2" x14ac:dyDescent="0.25">
      <c r="A9726" s="75">
        <v>42281801</v>
      </c>
      <c r="B9726" s="76" t="s">
        <v>5462</v>
      </c>
    </row>
    <row r="9727" spans="1:2" x14ac:dyDescent="0.25">
      <c r="A9727" s="75">
        <v>42281802</v>
      </c>
      <c r="B9727" s="76" t="s">
        <v>3948</v>
      </c>
    </row>
    <row r="9728" spans="1:2" x14ac:dyDescent="0.25">
      <c r="A9728" s="75">
        <v>42281803</v>
      </c>
      <c r="B9728" s="76" t="s">
        <v>8540</v>
      </c>
    </row>
    <row r="9729" spans="1:2" x14ac:dyDescent="0.25">
      <c r="A9729" s="75">
        <v>42281804</v>
      </c>
      <c r="B9729" s="76" t="s">
        <v>18105</v>
      </c>
    </row>
    <row r="9730" spans="1:2" x14ac:dyDescent="0.25">
      <c r="A9730" s="75">
        <v>42281805</v>
      </c>
      <c r="B9730" s="76" t="s">
        <v>15879</v>
      </c>
    </row>
    <row r="9731" spans="1:2" x14ac:dyDescent="0.25">
      <c r="A9731" s="75">
        <v>42281806</v>
      </c>
      <c r="B9731" s="76" t="s">
        <v>11675</v>
      </c>
    </row>
    <row r="9732" spans="1:2" x14ac:dyDescent="0.25">
      <c r="A9732" s="75">
        <v>42281807</v>
      </c>
      <c r="B9732" s="76" t="s">
        <v>19559</v>
      </c>
    </row>
    <row r="9733" spans="1:2" x14ac:dyDescent="0.25">
      <c r="A9733" s="75">
        <v>42281808</v>
      </c>
      <c r="B9733" s="76" t="s">
        <v>8268</v>
      </c>
    </row>
    <row r="9734" spans="1:2" x14ac:dyDescent="0.25">
      <c r="A9734" s="75">
        <v>42281809</v>
      </c>
      <c r="B9734" s="76" t="s">
        <v>17252</v>
      </c>
    </row>
    <row r="9735" spans="1:2" x14ac:dyDescent="0.25">
      <c r="A9735" s="75">
        <v>42281810</v>
      </c>
      <c r="B9735" s="76" t="s">
        <v>11544</v>
      </c>
    </row>
    <row r="9736" spans="1:2" x14ac:dyDescent="0.25">
      <c r="A9736" s="75">
        <v>42281901</v>
      </c>
      <c r="B9736" s="76" t="s">
        <v>10044</v>
      </c>
    </row>
    <row r="9737" spans="1:2" x14ac:dyDescent="0.25">
      <c r="A9737" s="75">
        <v>42281902</v>
      </c>
      <c r="B9737" s="76" t="s">
        <v>4293</v>
      </c>
    </row>
    <row r="9738" spans="1:2" x14ac:dyDescent="0.25">
      <c r="A9738" s="75">
        <v>42281903</v>
      </c>
      <c r="B9738" s="76" t="s">
        <v>6368</v>
      </c>
    </row>
    <row r="9739" spans="1:2" x14ac:dyDescent="0.25">
      <c r="A9739" s="75">
        <v>42281904</v>
      </c>
      <c r="B9739" s="76" t="s">
        <v>12599</v>
      </c>
    </row>
    <row r="9740" spans="1:2" x14ac:dyDescent="0.25">
      <c r="A9740" s="75">
        <v>42281905</v>
      </c>
      <c r="B9740" s="76" t="s">
        <v>15183</v>
      </c>
    </row>
    <row r="9741" spans="1:2" x14ac:dyDescent="0.25">
      <c r="A9741" s="75">
        <v>42281906</v>
      </c>
      <c r="B9741" s="76" t="s">
        <v>9127</v>
      </c>
    </row>
    <row r="9742" spans="1:2" x14ac:dyDescent="0.25">
      <c r="A9742" s="75">
        <v>42281907</v>
      </c>
      <c r="B9742" s="76" t="s">
        <v>7192</v>
      </c>
    </row>
    <row r="9743" spans="1:2" x14ac:dyDescent="0.25">
      <c r="A9743" s="75">
        <v>42281908</v>
      </c>
      <c r="B9743" s="76" t="s">
        <v>5468</v>
      </c>
    </row>
    <row r="9744" spans="1:2" x14ac:dyDescent="0.25">
      <c r="A9744" s="75">
        <v>42281909</v>
      </c>
      <c r="B9744" s="76" t="s">
        <v>5319</v>
      </c>
    </row>
    <row r="9745" spans="1:2" x14ac:dyDescent="0.25">
      <c r="A9745" s="75">
        <v>42281912</v>
      </c>
      <c r="B9745" s="76" t="s">
        <v>16564</v>
      </c>
    </row>
    <row r="9746" spans="1:2" x14ac:dyDescent="0.25">
      <c r="A9746" s="75">
        <v>42281913</v>
      </c>
      <c r="B9746" s="76" t="s">
        <v>9872</v>
      </c>
    </row>
    <row r="9747" spans="1:2" x14ac:dyDescent="0.25">
      <c r="A9747" s="75">
        <v>42281914</v>
      </c>
      <c r="B9747" s="76" t="s">
        <v>3443</v>
      </c>
    </row>
    <row r="9748" spans="1:2" x14ac:dyDescent="0.25">
      <c r="A9748" s="75">
        <v>42281915</v>
      </c>
      <c r="B9748" s="76" t="s">
        <v>5915</v>
      </c>
    </row>
    <row r="9749" spans="1:2" x14ac:dyDescent="0.25">
      <c r="A9749" s="75">
        <v>42281916</v>
      </c>
      <c r="B9749" s="76" t="s">
        <v>2340</v>
      </c>
    </row>
    <row r="9750" spans="1:2" x14ac:dyDescent="0.25">
      <c r="A9750" s="75">
        <v>42291501</v>
      </c>
      <c r="B9750" s="76" t="s">
        <v>14639</v>
      </c>
    </row>
    <row r="9751" spans="1:2" x14ac:dyDescent="0.25">
      <c r="A9751" s="75">
        <v>42291502</v>
      </c>
      <c r="B9751" s="76" t="s">
        <v>10752</v>
      </c>
    </row>
    <row r="9752" spans="1:2" x14ac:dyDescent="0.25">
      <c r="A9752" s="75">
        <v>42291601</v>
      </c>
      <c r="B9752" s="76" t="s">
        <v>9737</v>
      </c>
    </row>
    <row r="9753" spans="1:2" x14ac:dyDescent="0.25">
      <c r="A9753" s="75">
        <v>42291602</v>
      </c>
      <c r="B9753" s="76" t="s">
        <v>2915</v>
      </c>
    </row>
    <row r="9754" spans="1:2" x14ac:dyDescent="0.25">
      <c r="A9754" s="75">
        <v>42291603</v>
      </c>
      <c r="B9754" s="76" t="s">
        <v>19589</v>
      </c>
    </row>
    <row r="9755" spans="1:2" x14ac:dyDescent="0.25">
      <c r="A9755" s="75">
        <v>42291604</v>
      </c>
      <c r="B9755" s="76" t="s">
        <v>4044</v>
      </c>
    </row>
    <row r="9756" spans="1:2" x14ac:dyDescent="0.25">
      <c r="A9756" s="75">
        <v>42291605</v>
      </c>
      <c r="B9756" s="76" t="s">
        <v>15942</v>
      </c>
    </row>
    <row r="9757" spans="1:2" x14ac:dyDescent="0.25">
      <c r="A9757" s="75">
        <v>42291606</v>
      </c>
      <c r="B9757" s="76" t="s">
        <v>16915</v>
      </c>
    </row>
    <row r="9758" spans="1:2" x14ac:dyDescent="0.25">
      <c r="A9758" s="75">
        <v>42291607</v>
      </c>
      <c r="B9758" s="76" t="s">
        <v>16118</v>
      </c>
    </row>
    <row r="9759" spans="1:2" x14ac:dyDescent="0.25">
      <c r="A9759" s="75">
        <v>42291608</v>
      </c>
      <c r="B9759" s="76" t="s">
        <v>10606</v>
      </c>
    </row>
    <row r="9760" spans="1:2" x14ac:dyDescent="0.25">
      <c r="A9760" s="75">
        <v>42291609</v>
      </c>
      <c r="B9760" s="76" t="s">
        <v>16079</v>
      </c>
    </row>
    <row r="9761" spans="1:2" x14ac:dyDescent="0.25">
      <c r="A9761" s="75">
        <v>42291610</v>
      </c>
      <c r="B9761" s="76" t="s">
        <v>15205</v>
      </c>
    </row>
    <row r="9762" spans="1:2" x14ac:dyDescent="0.25">
      <c r="A9762" s="75">
        <v>42291611</v>
      </c>
      <c r="B9762" s="76" t="s">
        <v>12651</v>
      </c>
    </row>
    <row r="9763" spans="1:2" x14ac:dyDescent="0.25">
      <c r="A9763" s="75">
        <v>42291612</v>
      </c>
      <c r="B9763" s="76" t="s">
        <v>1040</v>
      </c>
    </row>
    <row r="9764" spans="1:2" x14ac:dyDescent="0.25">
      <c r="A9764" s="75">
        <v>42291613</v>
      </c>
      <c r="B9764" s="76" t="s">
        <v>19215</v>
      </c>
    </row>
    <row r="9765" spans="1:2" x14ac:dyDescent="0.25">
      <c r="A9765" s="75">
        <v>42291614</v>
      </c>
      <c r="B9765" s="76" t="s">
        <v>13281</v>
      </c>
    </row>
    <row r="9766" spans="1:2" x14ac:dyDescent="0.25">
      <c r="A9766" s="75">
        <v>42291615</v>
      </c>
      <c r="B9766" s="76" t="s">
        <v>13281</v>
      </c>
    </row>
    <row r="9767" spans="1:2" x14ac:dyDescent="0.25">
      <c r="A9767" s="75">
        <v>42291616</v>
      </c>
      <c r="B9767" s="76" t="s">
        <v>14272</v>
      </c>
    </row>
    <row r="9768" spans="1:2" x14ac:dyDescent="0.25">
      <c r="A9768" s="75">
        <v>42291617</v>
      </c>
      <c r="B9768" s="76" t="s">
        <v>16579</v>
      </c>
    </row>
    <row r="9769" spans="1:2" x14ac:dyDescent="0.25">
      <c r="A9769" s="75">
        <v>42291619</v>
      </c>
      <c r="B9769" s="76" t="s">
        <v>16704</v>
      </c>
    </row>
    <row r="9770" spans="1:2" x14ac:dyDescent="0.25">
      <c r="A9770" s="75">
        <v>42291620</v>
      </c>
      <c r="B9770" s="76" t="s">
        <v>15219</v>
      </c>
    </row>
    <row r="9771" spans="1:2" x14ac:dyDescent="0.25">
      <c r="A9771" s="75">
        <v>42291621</v>
      </c>
      <c r="B9771" s="76" t="s">
        <v>10871</v>
      </c>
    </row>
    <row r="9772" spans="1:2" x14ac:dyDescent="0.25">
      <c r="A9772" s="75">
        <v>42291622</v>
      </c>
      <c r="B9772" s="76" t="s">
        <v>12572</v>
      </c>
    </row>
    <row r="9773" spans="1:2" x14ac:dyDescent="0.25">
      <c r="A9773" s="75">
        <v>42291623</v>
      </c>
      <c r="B9773" s="76" t="s">
        <v>934</v>
      </c>
    </row>
    <row r="9774" spans="1:2" x14ac:dyDescent="0.25">
      <c r="A9774" s="75">
        <v>42291624</v>
      </c>
      <c r="B9774" s="76" t="s">
        <v>15573</v>
      </c>
    </row>
    <row r="9775" spans="1:2" x14ac:dyDescent="0.25">
      <c r="A9775" s="75">
        <v>42291625</v>
      </c>
      <c r="B9775" s="76" t="s">
        <v>6886</v>
      </c>
    </row>
    <row r="9776" spans="1:2" x14ac:dyDescent="0.25">
      <c r="A9776" s="75">
        <v>42291701</v>
      </c>
      <c r="B9776" s="76" t="s">
        <v>2133</v>
      </c>
    </row>
    <row r="9777" spans="1:2" x14ac:dyDescent="0.25">
      <c r="A9777" s="75">
        <v>42291702</v>
      </c>
      <c r="B9777" s="76" t="s">
        <v>2013</v>
      </c>
    </row>
    <row r="9778" spans="1:2" x14ac:dyDescent="0.25">
      <c r="A9778" s="75">
        <v>42291703</v>
      </c>
      <c r="B9778" s="76" t="s">
        <v>6164</v>
      </c>
    </row>
    <row r="9779" spans="1:2" x14ac:dyDescent="0.25">
      <c r="A9779" s="75">
        <v>42291704</v>
      </c>
      <c r="B9779" s="76" t="s">
        <v>1028</v>
      </c>
    </row>
    <row r="9780" spans="1:2" x14ac:dyDescent="0.25">
      <c r="A9780" s="75">
        <v>42291705</v>
      </c>
      <c r="B9780" s="76" t="s">
        <v>2104</v>
      </c>
    </row>
    <row r="9781" spans="1:2" x14ac:dyDescent="0.25">
      <c r="A9781" s="75">
        <v>42291706</v>
      </c>
      <c r="B9781" s="76" t="s">
        <v>19261</v>
      </c>
    </row>
    <row r="9782" spans="1:2" x14ac:dyDescent="0.25">
      <c r="A9782" s="75">
        <v>42291707</v>
      </c>
      <c r="B9782" s="76" t="s">
        <v>11129</v>
      </c>
    </row>
    <row r="9783" spans="1:2" x14ac:dyDescent="0.25">
      <c r="A9783" s="75">
        <v>42291708</v>
      </c>
      <c r="B9783" s="76" t="s">
        <v>4639</v>
      </c>
    </row>
    <row r="9784" spans="1:2" x14ac:dyDescent="0.25">
      <c r="A9784" s="75">
        <v>42291709</v>
      </c>
      <c r="B9784" s="76" t="s">
        <v>976</v>
      </c>
    </row>
    <row r="9785" spans="1:2" x14ac:dyDescent="0.25">
      <c r="A9785" s="75">
        <v>42291801</v>
      </c>
      <c r="B9785" s="76" t="s">
        <v>11429</v>
      </c>
    </row>
    <row r="9786" spans="1:2" x14ac:dyDescent="0.25">
      <c r="A9786" s="75">
        <v>42291802</v>
      </c>
      <c r="B9786" s="76" t="s">
        <v>6798</v>
      </c>
    </row>
    <row r="9787" spans="1:2" x14ac:dyDescent="0.25">
      <c r="A9787" s="75">
        <v>42291803</v>
      </c>
      <c r="B9787" s="76" t="s">
        <v>2633</v>
      </c>
    </row>
    <row r="9788" spans="1:2" x14ac:dyDescent="0.25">
      <c r="A9788" s="75">
        <v>42291901</v>
      </c>
      <c r="B9788" s="76" t="s">
        <v>14376</v>
      </c>
    </row>
    <row r="9789" spans="1:2" x14ac:dyDescent="0.25">
      <c r="A9789" s="75">
        <v>42291902</v>
      </c>
      <c r="B9789" s="76" t="s">
        <v>12422</v>
      </c>
    </row>
    <row r="9790" spans="1:2" x14ac:dyDescent="0.25">
      <c r="A9790" s="75">
        <v>42292001</v>
      </c>
      <c r="B9790" s="76" t="s">
        <v>11891</v>
      </c>
    </row>
    <row r="9791" spans="1:2" x14ac:dyDescent="0.25">
      <c r="A9791" s="75">
        <v>42292101</v>
      </c>
      <c r="B9791" s="76" t="s">
        <v>3246</v>
      </c>
    </row>
    <row r="9792" spans="1:2" x14ac:dyDescent="0.25">
      <c r="A9792" s="75">
        <v>42292102</v>
      </c>
      <c r="B9792" s="76" t="s">
        <v>16958</v>
      </c>
    </row>
    <row r="9793" spans="1:2" x14ac:dyDescent="0.25">
      <c r="A9793" s="75">
        <v>42292103</v>
      </c>
      <c r="B9793" s="76" t="s">
        <v>11444</v>
      </c>
    </row>
    <row r="9794" spans="1:2" x14ac:dyDescent="0.25">
      <c r="A9794" s="75">
        <v>42292201</v>
      </c>
      <c r="B9794" s="76" t="s">
        <v>12344</v>
      </c>
    </row>
    <row r="9795" spans="1:2" x14ac:dyDescent="0.25">
      <c r="A9795" s="75">
        <v>42292202</v>
      </c>
      <c r="B9795" s="76" t="s">
        <v>17204</v>
      </c>
    </row>
    <row r="9796" spans="1:2" x14ac:dyDescent="0.25">
      <c r="A9796" s="75">
        <v>42292203</v>
      </c>
      <c r="B9796" s="76" t="s">
        <v>13518</v>
      </c>
    </row>
    <row r="9797" spans="1:2" x14ac:dyDescent="0.25">
      <c r="A9797" s="75">
        <v>42292301</v>
      </c>
      <c r="B9797" s="76" t="s">
        <v>12875</v>
      </c>
    </row>
    <row r="9798" spans="1:2" x14ac:dyDescent="0.25">
      <c r="A9798" s="75">
        <v>42292302</v>
      </c>
      <c r="B9798" s="76" t="s">
        <v>9919</v>
      </c>
    </row>
    <row r="9799" spans="1:2" x14ac:dyDescent="0.25">
      <c r="A9799" s="75">
        <v>42292303</v>
      </c>
      <c r="B9799" s="76" t="s">
        <v>5961</v>
      </c>
    </row>
    <row r="9800" spans="1:2" x14ac:dyDescent="0.25">
      <c r="A9800" s="75">
        <v>42292304</v>
      </c>
      <c r="B9800" s="76" t="s">
        <v>8056</v>
      </c>
    </row>
    <row r="9801" spans="1:2" x14ac:dyDescent="0.25">
      <c r="A9801" s="75">
        <v>42292305</v>
      </c>
      <c r="B9801" s="76" t="s">
        <v>12937</v>
      </c>
    </row>
    <row r="9802" spans="1:2" x14ac:dyDescent="0.25">
      <c r="A9802" s="75">
        <v>42292306</v>
      </c>
      <c r="B9802" s="76" t="s">
        <v>14315</v>
      </c>
    </row>
    <row r="9803" spans="1:2" x14ac:dyDescent="0.25">
      <c r="A9803" s="75">
        <v>42292307</v>
      </c>
      <c r="B9803" s="76" t="s">
        <v>12496</v>
      </c>
    </row>
    <row r="9804" spans="1:2" x14ac:dyDescent="0.25">
      <c r="A9804" s="75">
        <v>42292401</v>
      </c>
      <c r="B9804" s="76" t="s">
        <v>6037</v>
      </c>
    </row>
    <row r="9805" spans="1:2" x14ac:dyDescent="0.25">
      <c r="A9805" s="75">
        <v>42292402</v>
      </c>
      <c r="B9805" s="76" t="s">
        <v>6163</v>
      </c>
    </row>
    <row r="9806" spans="1:2" x14ac:dyDescent="0.25">
      <c r="A9806" s="75">
        <v>42292403</v>
      </c>
      <c r="B9806" s="76" t="s">
        <v>847</v>
      </c>
    </row>
    <row r="9807" spans="1:2" x14ac:dyDescent="0.25">
      <c r="A9807" s="75">
        <v>42292501</v>
      </c>
      <c r="B9807" s="76" t="s">
        <v>2460</v>
      </c>
    </row>
    <row r="9808" spans="1:2" x14ac:dyDescent="0.25">
      <c r="A9808" s="75">
        <v>42292502</v>
      </c>
      <c r="B9808" s="76" t="s">
        <v>139</v>
      </c>
    </row>
    <row r="9809" spans="1:2" x14ac:dyDescent="0.25">
      <c r="A9809" s="75">
        <v>42292503</v>
      </c>
      <c r="B9809" s="76" t="s">
        <v>15461</v>
      </c>
    </row>
    <row r="9810" spans="1:2" x14ac:dyDescent="0.25">
      <c r="A9810" s="75">
        <v>42292504</v>
      </c>
      <c r="B9810" s="76" t="s">
        <v>14469</v>
      </c>
    </row>
    <row r="9811" spans="1:2" x14ac:dyDescent="0.25">
      <c r="A9811" s="75">
        <v>42292505</v>
      </c>
      <c r="B9811" s="76" t="s">
        <v>3994</v>
      </c>
    </row>
    <row r="9812" spans="1:2" x14ac:dyDescent="0.25">
      <c r="A9812" s="75">
        <v>42292601</v>
      </c>
      <c r="B9812" s="76" t="s">
        <v>4085</v>
      </c>
    </row>
    <row r="9813" spans="1:2" x14ac:dyDescent="0.25">
      <c r="A9813" s="75">
        <v>42292602</v>
      </c>
      <c r="B9813" s="76" t="s">
        <v>1281</v>
      </c>
    </row>
    <row r="9814" spans="1:2" x14ac:dyDescent="0.25">
      <c r="A9814" s="75">
        <v>42292603</v>
      </c>
      <c r="B9814" s="76" t="s">
        <v>11710</v>
      </c>
    </row>
    <row r="9815" spans="1:2" x14ac:dyDescent="0.25">
      <c r="A9815" s="75">
        <v>42292701</v>
      </c>
      <c r="B9815" s="76" t="s">
        <v>5636</v>
      </c>
    </row>
    <row r="9816" spans="1:2" x14ac:dyDescent="0.25">
      <c r="A9816" s="75">
        <v>42292702</v>
      </c>
      <c r="B9816" s="76" t="s">
        <v>2948</v>
      </c>
    </row>
    <row r="9817" spans="1:2" x14ac:dyDescent="0.25">
      <c r="A9817" s="75">
        <v>42292703</v>
      </c>
      <c r="B9817" s="76" t="s">
        <v>15987</v>
      </c>
    </row>
    <row r="9818" spans="1:2" x14ac:dyDescent="0.25">
      <c r="A9818" s="75">
        <v>42292704</v>
      </c>
      <c r="B9818" s="76" t="s">
        <v>15899</v>
      </c>
    </row>
    <row r="9819" spans="1:2" x14ac:dyDescent="0.25">
      <c r="A9819" s="75">
        <v>42292801</v>
      </c>
      <c r="B9819" s="76" t="s">
        <v>9967</v>
      </c>
    </row>
    <row r="9820" spans="1:2" x14ac:dyDescent="0.25">
      <c r="A9820" s="75">
        <v>42292802</v>
      </c>
      <c r="B9820" s="76" t="s">
        <v>8055</v>
      </c>
    </row>
    <row r="9821" spans="1:2" x14ac:dyDescent="0.25">
      <c r="A9821" s="75">
        <v>42292901</v>
      </c>
      <c r="B9821" s="76" t="s">
        <v>3629</v>
      </c>
    </row>
    <row r="9822" spans="1:2" x14ac:dyDescent="0.25">
      <c r="A9822" s="75">
        <v>42292902</v>
      </c>
      <c r="B9822" s="76" t="s">
        <v>18065</v>
      </c>
    </row>
    <row r="9823" spans="1:2" x14ac:dyDescent="0.25">
      <c r="A9823" s="75">
        <v>42292903</v>
      </c>
      <c r="B9823" s="76" t="s">
        <v>628</v>
      </c>
    </row>
    <row r="9824" spans="1:2" x14ac:dyDescent="0.25">
      <c r="A9824" s="75">
        <v>42292904</v>
      </c>
      <c r="B9824" s="76" t="s">
        <v>19258</v>
      </c>
    </row>
    <row r="9825" spans="1:2" x14ac:dyDescent="0.25">
      <c r="A9825" s="75">
        <v>42292907</v>
      </c>
      <c r="B9825" s="76" t="s">
        <v>2965</v>
      </c>
    </row>
    <row r="9826" spans="1:2" x14ac:dyDescent="0.25">
      <c r="A9826" s="75">
        <v>42292908</v>
      </c>
      <c r="B9826" s="76" t="s">
        <v>12197</v>
      </c>
    </row>
    <row r="9827" spans="1:2" x14ac:dyDescent="0.25">
      <c r="A9827" s="75">
        <v>42293001</v>
      </c>
      <c r="B9827" s="76" t="s">
        <v>15268</v>
      </c>
    </row>
    <row r="9828" spans="1:2" x14ac:dyDescent="0.25">
      <c r="A9828" s="75">
        <v>42293002</v>
      </c>
      <c r="B9828" s="76" t="s">
        <v>2384</v>
      </c>
    </row>
    <row r="9829" spans="1:2" x14ac:dyDescent="0.25">
      <c r="A9829" s="75">
        <v>42293003</v>
      </c>
      <c r="B9829" s="76" t="s">
        <v>11069</v>
      </c>
    </row>
    <row r="9830" spans="1:2" x14ac:dyDescent="0.25">
      <c r="A9830" s="75">
        <v>42293004</v>
      </c>
      <c r="B9830" s="76" t="s">
        <v>9607</v>
      </c>
    </row>
    <row r="9831" spans="1:2" x14ac:dyDescent="0.25">
      <c r="A9831" s="75">
        <v>42293005</v>
      </c>
      <c r="B9831" s="76" t="s">
        <v>6541</v>
      </c>
    </row>
    <row r="9832" spans="1:2" x14ac:dyDescent="0.25">
      <c r="A9832" s="75">
        <v>42293006</v>
      </c>
      <c r="B9832" s="76" t="s">
        <v>5980</v>
      </c>
    </row>
    <row r="9833" spans="1:2" x14ac:dyDescent="0.25">
      <c r="A9833" s="75">
        <v>42293101</v>
      </c>
      <c r="B9833" s="76" t="s">
        <v>7404</v>
      </c>
    </row>
    <row r="9834" spans="1:2" x14ac:dyDescent="0.25">
      <c r="A9834" s="75">
        <v>42293102</v>
      </c>
      <c r="B9834" s="76" t="s">
        <v>9595</v>
      </c>
    </row>
    <row r="9835" spans="1:2" x14ac:dyDescent="0.25">
      <c r="A9835" s="75">
        <v>42293103</v>
      </c>
      <c r="B9835" s="76" t="s">
        <v>10397</v>
      </c>
    </row>
    <row r="9836" spans="1:2" x14ac:dyDescent="0.25">
      <c r="A9836" s="75">
        <v>42293104</v>
      </c>
      <c r="B9836" s="76" t="s">
        <v>19256</v>
      </c>
    </row>
    <row r="9837" spans="1:2" x14ac:dyDescent="0.25">
      <c r="A9837" s="75">
        <v>42293105</v>
      </c>
      <c r="B9837" s="76" t="s">
        <v>4390</v>
      </c>
    </row>
    <row r="9838" spans="1:2" x14ac:dyDescent="0.25">
      <c r="A9838" s="75">
        <v>42293106</v>
      </c>
      <c r="B9838" s="76" t="s">
        <v>19643</v>
      </c>
    </row>
    <row r="9839" spans="1:2" x14ac:dyDescent="0.25">
      <c r="A9839" s="75">
        <v>42293107</v>
      </c>
      <c r="B9839" s="76" t="s">
        <v>1170</v>
      </c>
    </row>
    <row r="9840" spans="1:2" x14ac:dyDescent="0.25">
      <c r="A9840" s="75">
        <v>42293108</v>
      </c>
      <c r="B9840" s="76" t="s">
        <v>12060</v>
      </c>
    </row>
    <row r="9841" spans="1:2" x14ac:dyDescent="0.25">
      <c r="A9841" s="75">
        <v>42293109</v>
      </c>
      <c r="B9841" s="76" t="s">
        <v>8663</v>
      </c>
    </row>
    <row r="9842" spans="1:2" x14ac:dyDescent="0.25">
      <c r="A9842" s="75">
        <v>42293110</v>
      </c>
      <c r="B9842" s="76" t="s">
        <v>8941</v>
      </c>
    </row>
    <row r="9843" spans="1:2" x14ac:dyDescent="0.25">
      <c r="A9843" s="75">
        <v>42293111</v>
      </c>
      <c r="B9843" s="76" t="s">
        <v>2797</v>
      </c>
    </row>
    <row r="9844" spans="1:2" x14ac:dyDescent="0.25">
      <c r="A9844" s="75">
        <v>42293112</v>
      </c>
      <c r="B9844" s="76" t="s">
        <v>4321</v>
      </c>
    </row>
    <row r="9845" spans="1:2" x14ac:dyDescent="0.25">
      <c r="A9845" s="75">
        <v>42293113</v>
      </c>
      <c r="B9845" s="76" t="s">
        <v>2546</v>
      </c>
    </row>
    <row r="9846" spans="1:2" x14ac:dyDescent="0.25">
      <c r="A9846" s="75">
        <v>42293114</v>
      </c>
      <c r="B9846" s="76" t="s">
        <v>18032</v>
      </c>
    </row>
    <row r="9847" spans="1:2" x14ac:dyDescent="0.25">
      <c r="A9847" s="75">
        <v>42293115</v>
      </c>
      <c r="B9847" s="76" t="s">
        <v>7824</v>
      </c>
    </row>
    <row r="9848" spans="1:2" x14ac:dyDescent="0.25">
      <c r="A9848" s="75">
        <v>42293116</v>
      </c>
      <c r="B9848" s="76" t="s">
        <v>12432</v>
      </c>
    </row>
    <row r="9849" spans="1:2" x14ac:dyDescent="0.25">
      <c r="A9849" s="75">
        <v>42293117</v>
      </c>
      <c r="B9849" s="76" t="s">
        <v>17089</v>
      </c>
    </row>
    <row r="9850" spans="1:2" x14ac:dyDescent="0.25">
      <c r="A9850" s="75">
        <v>42293118</v>
      </c>
      <c r="B9850" s="76" t="s">
        <v>9400</v>
      </c>
    </row>
    <row r="9851" spans="1:2" x14ac:dyDescent="0.25">
      <c r="A9851" s="75">
        <v>42293119</v>
      </c>
      <c r="B9851" s="76" t="s">
        <v>17460</v>
      </c>
    </row>
    <row r="9852" spans="1:2" x14ac:dyDescent="0.25">
      <c r="A9852" s="75">
        <v>42293120</v>
      </c>
      <c r="B9852" s="76" t="s">
        <v>505</v>
      </c>
    </row>
    <row r="9853" spans="1:2" x14ac:dyDescent="0.25">
      <c r="A9853" s="75">
        <v>42293121</v>
      </c>
      <c r="B9853" s="76" t="s">
        <v>17884</v>
      </c>
    </row>
    <row r="9854" spans="1:2" x14ac:dyDescent="0.25">
      <c r="A9854" s="75">
        <v>42293122</v>
      </c>
      <c r="B9854" s="76" t="s">
        <v>11927</v>
      </c>
    </row>
    <row r="9855" spans="1:2" x14ac:dyDescent="0.25">
      <c r="A9855" s="75">
        <v>42293123</v>
      </c>
      <c r="B9855" s="76" t="s">
        <v>11487</v>
      </c>
    </row>
    <row r="9856" spans="1:2" x14ac:dyDescent="0.25">
      <c r="A9856" s="75">
        <v>42293124</v>
      </c>
      <c r="B9856" s="76" t="s">
        <v>10254</v>
      </c>
    </row>
    <row r="9857" spans="1:2" x14ac:dyDescent="0.25">
      <c r="A9857" s="75">
        <v>42293125</v>
      </c>
      <c r="B9857" s="76" t="s">
        <v>6626</v>
      </c>
    </row>
    <row r="9858" spans="1:2" x14ac:dyDescent="0.25">
      <c r="A9858" s="75">
        <v>42293126</v>
      </c>
      <c r="B9858" s="76" t="s">
        <v>4683</v>
      </c>
    </row>
    <row r="9859" spans="1:2" x14ac:dyDescent="0.25">
      <c r="A9859" s="75">
        <v>42293127</v>
      </c>
      <c r="B9859" s="76" t="s">
        <v>445</v>
      </c>
    </row>
    <row r="9860" spans="1:2" x14ac:dyDescent="0.25">
      <c r="A9860" s="75">
        <v>42293128</v>
      </c>
      <c r="B9860" s="76" t="s">
        <v>8854</v>
      </c>
    </row>
    <row r="9861" spans="1:2" x14ac:dyDescent="0.25">
      <c r="A9861" s="75">
        <v>42293129</v>
      </c>
      <c r="B9861" s="76" t="s">
        <v>457</v>
      </c>
    </row>
    <row r="9862" spans="1:2" x14ac:dyDescent="0.25">
      <c r="A9862" s="75">
        <v>42293130</v>
      </c>
      <c r="B9862" s="76" t="s">
        <v>9744</v>
      </c>
    </row>
    <row r="9863" spans="1:2" x14ac:dyDescent="0.25">
      <c r="A9863" s="75">
        <v>42293131</v>
      </c>
      <c r="B9863" s="76" t="s">
        <v>14242</v>
      </c>
    </row>
    <row r="9864" spans="1:2" x14ac:dyDescent="0.25">
      <c r="A9864" s="75">
        <v>42293132</v>
      </c>
      <c r="B9864" s="76" t="s">
        <v>413</v>
      </c>
    </row>
    <row r="9865" spans="1:2" x14ac:dyDescent="0.25">
      <c r="A9865" s="75">
        <v>42293133</v>
      </c>
      <c r="B9865" s="76" t="s">
        <v>6308</v>
      </c>
    </row>
    <row r="9866" spans="1:2" x14ac:dyDescent="0.25">
      <c r="A9866" s="75">
        <v>42293134</v>
      </c>
      <c r="B9866" s="76" t="s">
        <v>2132</v>
      </c>
    </row>
    <row r="9867" spans="1:2" x14ac:dyDescent="0.25">
      <c r="A9867" s="75">
        <v>42293135</v>
      </c>
      <c r="B9867" s="76" t="s">
        <v>17022</v>
      </c>
    </row>
    <row r="9868" spans="1:2" x14ac:dyDescent="0.25">
      <c r="A9868" s="75">
        <v>42293136</v>
      </c>
      <c r="B9868" s="76" t="s">
        <v>18350</v>
      </c>
    </row>
    <row r="9869" spans="1:2" x14ac:dyDescent="0.25">
      <c r="A9869" s="75">
        <v>42293137</v>
      </c>
      <c r="B9869" s="76" t="s">
        <v>3262</v>
      </c>
    </row>
    <row r="9870" spans="1:2" x14ac:dyDescent="0.25">
      <c r="A9870" s="75">
        <v>42293138</v>
      </c>
      <c r="B9870" s="76" t="s">
        <v>3280</v>
      </c>
    </row>
    <row r="9871" spans="1:2" x14ac:dyDescent="0.25">
      <c r="A9871" s="75">
        <v>42293139</v>
      </c>
      <c r="B9871" s="76" t="s">
        <v>2791</v>
      </c>
    </row>
    <row r="9872" spans="1:2" x14ac:dyDescent="0.25">
      <c r="A9872" s="75">
        <v>42293201</v>
      </c>
      <c r="B9872" s="76" t="s">
        <v>1165</v>
      </c>
    </row>
    <row r="9873" spans="1:2" x14ac:dyDescent="0.25">
      <c r="A9873" s="75">
        <v>42293301</v>
      </c>
      <c r="B9873" s="76" t="s">
        <v>304</v>
      </c>
    </row>
    <row r="9874" spans="1:2" x14ac:dyDescent="0.25">
      <c r="A9874" s="75">
        <v>42293302</v>
      </c>
      <c r="B9874" s="76" t="s">
        <v>19474</v>
      </c>
    </row>
    <row r="9875" spans="1:2" x14ac:dyDescent="0.25">
      <c r="A9875" s="75">
        <v>42293303</v>
      </c>
      <c r="B9875" s="76" t="s">
        <v>1525</v>
      </c>
    </row>
    <row r="9876" spans="1:2" x14ac:dyDescent="0.25">
      <c r="A9876" s="75">
        <v>42293304</v>
      </c>
      <c r="B9876" s="76" t="s">
        <v>16413</v>
      </c>
    </row>
    <row r="9877" spans="1:2" x14ac:dyDescent="0.25">
      <c r="A9877" s="75">
        <v>42293401</v>
      </c>
      <c r="B9877" s="76" t="s">
        <v>9309</v>
      </c>
    </row>
    <row r="9878" spans="1:2" x14ac:dyDescent="0.25">
      <c r="A9878" s="75">
        <v>42293403</v>
      </c>
      <c r="B9878" s="76" t="s">
        <v>14849</v>
      </c>
    </row>
    <row r="9879" spans="1:2" x14ac:dyDescent="0.25">
      <c r="A9879" s="75">
        <v>42293404</v>
      </c>
      <c r="B9879" s="76" t="s">
        <v>10984</v>
      </c>
    </row>
    <row r="9880" spans="1:2" x14ac:dyDescent="0.25">
      <c r="A9880" s="75">
        <v>42293405</v>
      </c>
      <c r="B9880" s="76" t="s">
        <v>13611</v>
      </c>
    </row>
    <row r="9881" spans="1:2" x14ac:dyDescent="0.25">
      <c r="A9881" s="75">
        <v>42293406</v>
      </c>
      <c r="B9881" s="76" t="s">
        <v>12883</v>
      </c>
    </row>
    <row r="9882" spans="1:2" x14ac:dyDescent="0.25">
      <c r="A9882" s="75">
        <v>42293407</v>
      </c>
      <c r="B9882" s="76" t="s">
        <v>5016</v>
      </c>
    </row>
    <row r="9883" spans="1:2" x14ac:dyDescent="0.25">
      <c r="A9883" s="75">
        <v>42293501</v>
      </c>
      <c r="B9883" s="76" t="s">
        <v>13863</v>
      </c>
    </row>
    <row r="9884" spans="1:2" x14ac:dyDescent="0.25">
      <c r="A9884" s="75">
        <v>42293502</v>
      </c>
      <c r="B9884" s="76" t="s">
        <v>15604</v>
      </c>
    </row>
    <row r="9885" spans="1:2" x14ac:dyDescent="0.25">
      <c r="A9885" s="75">
        <v>42293503</v>
      </c>
      <c r="B9885" s="76" t="s">
        <v>5001</v>
      </c>
    </row>
    <row r="9886" spans="1:2" x14ac:dyDescent="0.25">
      <c r="A9886" s="75">
        <v>42293504</v>
      </c>
      <c r="B9886" s="76" t="s">
        <v>19420</v>
      </c>
    </row>
    <row r="9887" spans="1:2" x14ac:dyDescent="0.25">
      <c r="A9887" s="75">
        <v>42293505</v>
      </c>
      <c r="B9887" s="76" t="s">
        <v>11434</v>
      </c>
    </row>
    <row r="9888" spans="1:2" x14ac:dyDescent="0.25">
      <c r="A9888" s="75">
        <v>42293506</v>
      </c>
      <c r="B9888" s="76" t="s">
        <v>14386</v>
      </c>
    </row>
    <row r="9889" spans="1:2" x14ac:dyDescent="0.25">
      <c r="A9889" s="75">
        <v>42293507</v>
      </c>
      <c r="B9889" s="76" t="s">
        <v>4915</v>
      </c>
    </row>
    <row r="9890" spans="1:2" x14ac:dyDescent="0.25">
      <c r="A9890" s="75">
        <v>42293508</v>
      </c>
      <c r="B9890" s="76" t="s">
        <v>909</v>
      </c>
    </row>
    <row r="9891" spans="1:2" x14ac:dyDescent="0.25">
      <c r="A9891" s="75">
        <v>42293509</v>
      </c>
      <c r="B9891" s="76" t="s">
        <v>15753</v>
      </c>
    </row>
    <row r="9892" spans="1:2" x14ac:dyDescent="0.25">
      <c r="A9892" s="75">
        <v>42293601</v>
      </c>
      <c r="B9892" s="76" t="s">
        <v>18451</v>
      </c>
    </row>
    <row r="9893" spans="1:2" x14ac:dyDescent="0.25">
      <c r="A9893" s="75">
        <v>42293602</v>
      </c>
      <c r="B9893" s="76" t="s">
        <v>12404</v>
      </c>
    </row>
    <row r="9894" spans="1:2" x14ac:dyDescent="0.25">
      <c r="A9894" s="75">
        <v>42293603</v>
      </c>
      <c r="B9894" s="76" t="s">
        <v>16370</v>
      </c>
    </row>
    <row r="9895" spans="1:2" x14ac:dyDescent="0.25">
      <c r="A9895" s="75">
        <v>42293701</v>
      </c>
      <c r="B9895" s="76" t="s">
        <v>4907</v>
      </c>
    </row>
    <row r="9896" spans="1:2" x14ac:dyDescent="0.25">
      <c r="A9896" s="75">
        <v>42293702</v>
      </c>
      <c r="B9896" s="76" t="s">
        <v>11999</v>
      </c>
    </row>
    <row r="9897" spans="1:2" x14ac:dyDescent="0.25">
      <c r="A9897" s="75">
        <v>42293703</v>
      </c>
      <c r="B9897" s="76" t="s">
        <v>11214</v>
      </c>
    </row>
    <row r="9898" spans="1:2" x14ac:dyDescent="0.25">
      <c r="A9898" s="75">
        <v>42293801</v>
      </c>
      <c r="B9898" s="76" t="s">
        <v>11422</v>
      </c>
    </row>
    <row r="9899" spans="1:2" x14ac:dyDescent="0.25">
      <c r="A9899" s="75">
        <v>42293802</v>
      </c>
      <c r="B9899" s="76" t="s">
        <v>7163</v>
      </c>
    </row>
    <row r="9900" spans="1:2" x14ac:dyDescent="0.25">
      <c r="A9900" s="75">
        <v>42293803</v>
      </c>
      <c r="B9900" s="76" t="s">
        <v>479</v>
      </c>
    </row>
    <row r="9901" spans="1:2" x14ac:dyDescent="0.25">
      <c r="A9901" s="75">
        <v>42293804</v>
      </c>
      <c r="B9901" s="76" t="s">
        <v>19250</v>
      </c>
    </row>
    <row r="9902" spans="1:2" x14ac:dyDescent="0.25">
      <c r="A9902" s="75">
        <v>42293901</v>
      </c>
      <c r="B9902" s="76" t="s">
        <v>15679</v>
      </c>
    </row>
    <row r="9903" spans="1:2" x14ac:dyDescent="0.25">
      <c r="A9903" s="75">
        <v>42293902</v>
      </c>
      <c r="B9903" s="76" t="s">
        <v>6822</v>
      </c>
    </row>
    <row r="9904" spans="1:2" x14ac:dyDescent="0.25">
      <c r="A9904" s="75">
        <v>42294001</v>
      </c>
      <c r="B9904" s="76" t="s">
        <v>15193</v>
      </c>
    </row>
    <row r="9905" spans="1:2" x14ac:dyDescent="0.25">
      <c r="A9905" s="75">
        <v>42294002</v>
      </c>
      <c r="B9905" s="76" t="s">
        <v>6139</v>
      </c>
    </row>
    <row r="9906" spans="1:2" x14ac:dyDescent="0.25">
      <c r="A9906" s="75">
        <v>42294003</v>
      </c>
      <c r="B9906" s="76" t="s">
        <v>14033</v>
      </c>
    </row>
    <row r="9907" spans="1:2" x14ac:dyDescent="0.25">
      <c r="A9907" s="75">
        <v>42294101</v>
      </c>
      <c r="B9907" s="76" t="s">
        <v>7110</v>
      </c>
    </row>
    <row r="9908" spans="1:2" x14ac:dyDescent="0.25">
      <c r="A9908" s="75">
        <v>42294102</v>
      </c>
      <c r="B9908" s="76" t="s">
        <v>10272</v>
      </c>
    </row>
    <row r="9909" spans="1:2" x14ac:dyDescent="0.25">
      <c r="A9909" s="75">
        <v>42294103</v>
      </c>
      <c r="B9909" s="76" t="s">
        <v>9019</v>
      </c>
    </row>
    <row r="9910" spans="1:2" x14ac:dyDescent="0.25">
      <c r="A9910" s="75">
        <v>42294201</v>
      </c>
      <c r="B9910" s="76" t="s">
        <v>11859</v>
      </c>
    </row>
    <row r="9911" spans="1:2" x14ac:dyDescent="0.25">
      <c r="A9911" s="75">
        <v>42294202</v>
      </c>
      <c r="B9911" s="76" t="s">
        <v>19379</v>
      </c>
    </row>
    <row r="9912" spans="1:2" x14ac:dyDescent="0.25">
      <c r="A9912" s="75">
        <v>42294203</v>
      </c>
      <c r="B9912" s="76" t="s">
        <v>1651</v>
      </c>
    </row>
    <row r="9913" spans="1:2" x14ac:dyDescent="0.25">
      <c r="A9913" s="75">
        <v>42294204</v>
      </c>
      <c r="B9913" s="76" t="s">
        <v>2634</v>
      </c>
    </row>
    <row r="9914" spans="1:2" x14ac:dyDescent="0.25">
      <c r="A9914" s="75">
        <v>42294205</v>
      </c>
      <c r="B9914" s="76" t="s">
        <v>9910</v>
      </c>
    </row>
    <row r="9915" spans="1:2" x14ac:dyDescent="0.25">
      <c r="A9915" s="75">
        <v>42294206</v>
      </c>
      <c r="B9915" s="76" t="s">
        <v>9452</v>
      </c>
    </row>
    <row r="9916" spans="1:2" x14ac:dyDescent="0.25">
      <c r="A9916" s="75">
        <v>42294207</v>
      </c>
      <c r="B9916" s="76" t="s">
        <v>2163</v>
      </c>
    </row>
    <row r="9917" spans="1:2" x14ac:dyDescent="0.25">
      <c r="A9917" s="75">
        <v>42294208</v>
      </c>
      <c r="B9917" s="76" t="s">
        <v>12466</v>
      </c>
    </row>
    <row r="9918" spans="1:2" x14ac:dyDescent="0.25">
      <c r="A9918" s="75">
        <v>42294209</v>
      </c>
      <c r="B9918" s="76" t="s">
        <v>11134</v>
      </c>
    </row>
    <row r="9919" spans="1:2" x14ac:dyDescent="0.25">
      <c r="A9919" s="75">
        <v>42294210</v>
      </c>
      <c r="B9919" s="76" t="s">
        <v>10742</v>
      </c>
    </row>
    <row r="9920" spans="1:2" x14ac:dyDescent="0.25">
      <c r="A9920" s="75">
        <v>42294211</v>
      </c>
      <c r="B9920" s="76" t="s">
        <v>15920</v>
      </c>
    </row>
    <row r="9921" spans="1:2" x14ac:dyDescent="0.25">
      <c r="A9921" s="75">
        <v>42294212</v>
      </c>
      <c r="B9921" s="76" t="s">
        <v>4253</v>
      </c>
    </row>
    <row r="9922" spans="1:2" x14ac:dyDescent="0.25">
      <c r="A9922" s="75">
        <v>42294213</v>
      </c>
      <c r="B9922" s="76" t="s">
        <v>17303</v>
      </c>
    </row>
    <row r="9923" spans="1:2" x14ac:dyDescent="0.25">
      <c r="A9923" s="75">
        <v>42294214</v>
      </c>
      <c r="B9923" s="76" t="s">
        <v>7376</v>
      </c>
    </row>
    <row r="9924" spans="1:2" x14ac:dyDescent="0.25">
      <c r="A9924" s="75">
        <v>42294215</v>
      </c>
      <c r="B9924" s="76" t="s">
        <v>13868</v>
      </c>
    </row>
    <row r="9925" spans="1:2" x14ac:dyDescent="0.25">
      <c r="A9925" s="75">
        <v>42294216</v>
      </c>
      <c r="B9925" s="76" t="s">
        <v>7131</v>
      </c>
    </row>
    <row r="9926" spans="1:2" x14ac:dyDescent="0.25">
      <c r="A9926" s="75">
        <v>42294217</v>
      </c>
      <c r="B9926" s="76" t="s">
        <v>12400</v>
      </c>
    </row>
    <row r="9927" spans="1:2" x14ac:dyDescent="0.25">
      <c r="A9927" s="75">
        <v>42294218</v>
      </c>
      <c r="B9927" s="76" t="s">
        <v>17048</v>
      </c>
    </row>
    <row r="9928" spans="1:2" x14ac:dyDescent="0.25">
      <c r="A9928" s="75">
        <v>42294219</v>
      </c>
      <c r="B9928" s="76" t="s">
        <v>12927</v>
      </c>
    </row>
    <row r="9929" spans="1:2" x14ac:dyDescent="0.25">
      <c r="A9929" s="75">
        <v>42294220</v>
      </c>
      <c r="B9929" s="76" t="s">
        <v>19921</v>
      </c>
    </row>
    <row r="9930" spans="1:2" x14ac:dyDescent="0.25">
      <c r="A9930" s="75">
        <v>42294301</v>
      </c>
      <c r="B9930" s="76" t="s">
        <v>17751</v>
      </c>
    </row>
    <row r="9931" spans="1:2" x14ac:dyDescent="0.25">
      <c r="A9931" s="75">
        <v>42294302</v>
      </c>
      <c r="B9931" s="76" t="s">
        <v>6944</v>
      </c>
    </row>
    <row r="9932" spans="1:2" x14ac:dyDescent="0.25">
      <c r="A9932" s="75">
        <v>42294303</v>
      </c>
      <c r="B9932" s="76" t="s">
        <v>14616</v>
      </c>
    </row>
    <row r="9933" spans="1:2" x14ac:dyDescent="0.25">
      <c r="A9933" s="75">
        <v>42294304</v>
      </c>
      <c r="B9933" s="76" t="s">
        <v>8978</v>
      </c>
    </row>
    <row r="9934" spans="1:2" x14ac:dyDescent="0.25">
      <c r="A9934" s="75">
        <v>42294305</v>
      </c>
      <c r="B9934" s="76" t="s">
        <v>17315</v>
      </c>
    </row>
    <row r="9935" spans="1:2" x14ac:dyDescent="0.25">
      <c r="A9935" s="75">
        <v>42294306</v>
      </c>
      <c r="B9935" s="76" t="s">
        <v>6934</v>
      </c>
    </row>
    <row r="9936" spans="1:2" x14ac:dyDescent="0.25">
      <c r="A9936" s="75">
        <v>42294401</v>
      </c>
      <c r="B9936" s="76" t="s">
        <v>3090</v>
      </c>
    </row>
    <row r="9937" spans="1:2" x14ac:dyDescent="0.25">
      <c r="A9937" s="75">
        <v>42294402</v>
      </c>
      <c r="B9937" s="76" t="s">
        <v>9878</v>
      </c>
    </row>
    <row r="9938" spans="1:2" x14ac:dyDescent="0.25">
      <c r="A9938" s="75">
        <v>42294501</v>
      </c>
      <c r="B9938" s="76" t="s">
        <v>14360</v>
      </c>
    </row>
    <row r="9939" spans="1:2" x14ac:dyDescent="0.25">
      <c r="A9939" s="75">
        <v>42294502</v>
      </c>
      <c r="B9939" s="76" t="s">
        <v>15711</v>
      </c>
    </row>
    <row r="9940" spans="1:2" x14ac:dyDescent="0.25">
      <c r="A9940" s="75">
        <v>42294503</v>
      </c>
      <c r="B9940" s="76" t="s">
        <v>3349</v>
      </c>
    </row>
    <row r="9941" spans="1:2" x14ac:dyDescent="0.25">
      <c r="A9941" s="75">
        <v>42294504</v>
      </c>
      <c r="B9941" s="76" t="s">
        <v>6279</v>
      </c>
    </row>
    <row r="9942" spans="1:2" x14ac:dyDescent="0.25">
      <c r="A9942" s="75">
        <v>42294505</v>
      </c>
      <c r="B9942" s="76" t="s">
        <v>10706</v>
      </c>
    </row>
    <row r="9943" spans="1:2" x14ac:dyDescent="0.25">
      <c r="A9943" s="75">
        <v>42294506</v>
      </c>
      <c r="B9943" s="76" t="s">
        <v>2792</v>
      </c>
    </row>
    <row r="9944" spans="1:2" x14ac:dyDescent="0.25">
      <c r="A9944" s="75">
        <v>42294507</v>
      </c>
      <c r="B9944" s="76" t="s">
        <v>16174</v>
      </c>
    </row>
    <row r="9945" spans="1:2" x14ac:dyDescent="0.25">
      <c r="A9945" s="75">
        <v>42294508</v>
      </c>
      <c r="B9945" s="76" t="s">
        <v>16396</v>
      </c>
    </row>
    <row r="9946" spans="1:2" x14ac:dyDescent="0.25">
      <c r="A9946" s="75">
        <v>42294509</v>
      </c>
      <c r="B9946" s="76" t="s">
        <v>10765</v>
      </c>
    </row>
    <row r="9947" spans="1:2" x14ac:dyDescent="0.25">
      <c r="A9947" s="75">
        <v>42294510</v>
      </c>
      <c r="B9947" s="76" t="s">
        <v>18137</v>
      </c>
    </row>
    <row r="9948" spans="1:2" x14ac:dyDescent="0.25">
      <c r="A9948" s="75">
        <v>42294511</v>
      </c>
      <c r="B9948" s="76" t="s">
        <v>769</v>
      </c>
    </row>
    <row r="9949" spans="1:2" x14ac:dyDescent="0.25">
      <c r="A9949" s="75">
        <v>42294512</v>
      </c>
      <c r="B9949" s="76" t="s">
        <v>4241</v>
      </c>
    </row>
    <row r="9950" spans="1:2" x14ac:dyDescent="0.25">
      <c r="A9950" s="75">
        <v>42294513</v>
      </c>
      <c r="B9950" s="76" t="s">
        <v>18836</v>
      </c>
    </row>
    <row r="9951" spans="1:2" x14ac:dyDescent="0.25">
      <c r="A9951" s="75">
        <v>42294514</v>
      </c>
      <c r="B9951" s="76" t="s">
        <v>8267</v>
      </c>
    </row>
    <row r="9952" spans="1:2" x14ac:dyDescent="0.25">
      <c r="A9952" s="75">
        <v>42294515</v>
      </c>
      <c r="B9952" s="76" t="s">
        <v>14184</v>
      </c>
    </row>
    <row r="9953" spans="1:2" x14ac:dyDescent="0.25">
      <c r="A9953" s="75">
        <v>42294516</v>
      </c>
      <c r="B9953" s="76" t="s">
        <v>9558</v>
      </c>
    </row>
    <row r="9954" spans="1:2" x14ac:dyDescent="0.25">
      <c r="A9954" s="75">
        <v>42294517</v>
      </c>
      <c r="B9954" s="76" t="s">
        <v>15210</v>
      </c>
    </row>
    <row r="9955" spans="1:2" x14ac:dyDescent="0.25">
      <c r="A9955" s="75">
        <v>42294518</v>
      </c>
      <c r="B9955" s="76" t="s">
        <v>17483</v>
      </c>
    </row>
    <row r="9956" spans="1:2" x14ac:dyDescent="0.25">
      <c r="A9956" s="75">
        <v>42294519</v>
      </c>
      <c r="B9956" s="76" t="s">
        <v>6791</v>
      </c>
    </row>
    <row r="9957" spans="1:2" x14ac:dyDescent="0.25">
      <c r="A9957" s="75">
        <v>42294520</v>
      </c>
      <c r="B9957" s="76" t="s">
        <v>14988</v>
      </c>
    </row>
    <row r="9958" spans="1:2" x14ac:dyDescent="0.25">
      <c r="A9958" s="75">
        <v>42294521</v>
      </c>
      <c r="B9958" s="76" t="s">
        <v>18031</v>
      </c>
    </row>
    <row r="9959" spans="1:2" x14ac:dyDescent="0.25">
      <c r="A9959" s="75">
        <v>42294522</v>
      </c>
      <c r="B9959" s="76" t="s">
        <v>148</v>
      </c>
    </row>
    <row r="9960" spans="1:2" x14ac:dyDescent="0.25">
      <c r="A9960" s="75">
        <v>42294523</v>
      </c>
      <c r="B9960" s="76" t="s">
        <v>13486</v>
      </c>
    </row>
    <row r="9961" spans="1:2" x14ac:dyDescent="0.25">
      <c r="A9961" s="75">
        <v>42294524</v>
      </c>
      <c r="B9961" s="76" t="s">
        <v>10152</v>
      </c>
    </row>
    <row r="9962" spans="1:2" x14ac:dyDescent="0.25">
      <c r="A9962" s="75">
        <v>42294525</v>
      </c>
      <c r="B9962" s="76" t="s">
        <v>18689</v>
      </c>
    </row>
    <row r="9963" spans="1:2" x14ac:dyDescent="0.25">
      <c r="A9963" s="75">
        <v>42294526</v>
      </c>
      <c r="B9963" s="76" t="s">
        <v>16233</v>
      </c>
    </row>
    <row r="9964" spans="1:2" x14ac:dyDescent="0.25">
      <c r="A9964" s="75">
        <v>42294601</v>
      </c>
      <c r="B9964" s="76" t="s">
        <v>2446</v>
      </c>
    </row>
    <row r="9965" spans="1:2" x14ac:dyDescent="0.25">
      <c r="A9965" s="75">
        <v>42294602</v>
      </c>
      <c r="B9965" s="76" t="s">
        <v>1184</v>
      </c>
    </row>
    <row r="9966" spans="1:2" x14ac:dyDescent="0.25">
      <c r="A9966" s="75">
        <v>42294603</v>
      </c>
      <c r="B9966" s="76" t="s">
        <v>6196</v>
      </c>
    </row>
    <row r="9967" spans="1:2" x14ac:dyDescent="0.25">
      <c r="A9967" s="75">
        <v>42294604</v>
      </c>
      <c r="B9967" s="76" t="s">
        <v>4781</v>
      </c>
    </row>
    <row r="9968" spans="1:2" x14ac:dyDescent="0.25">
      <c r="A9968" s="75">
        <v>42294605</v>
      </c>
      <c r="B9968" s="76" t="s">
        <v>15185</v>
      </c>
    </row>
    <row r="9969" spans="1:2" x14ac:dyDescent="0.25">
      <c r="A9969" s="75">
        <v>42294606</v>
      </c>
      <c r="B9969" s="76" t="s">
        <v>19507</v>
      </c>
    </row>
    <row r="9970" spans="1:2" x14ac:dyDescent="0.25">
      <c r="A9970" s="75">
        <v>42294607</v>
      </c>
      <c r="B9970" s="76" t="s">
        <v>7942</v>
      </c>
    </row>
    <row r="9971" spans="1:2" x14ac:dyDescent="0.25">
      <c r="A9971" s="75">
        <v>42294701</v>
      </c>
      <c r="B9971" s="76" t="s">
        <v>13062</v>
      </c>
    </row>
    <row r="9972" spans="1:2" x14ac:dyDescent="0.25">
      <c r="A9972" s="75">
        <v>42294702</v>
      </c>
      <c r="B9972" s="76" t="s">
        <v>2939</v>
      </c>
    </row>
    <row r="9973" spans="1:2" x14ac:dyDescent="0.25">
      <c r="A9973" s="75">
        <v>42294703</v>
      </c>
      <c r="B9973" s="76" t="s">
        <v>10482</v>
      </c>
    </row>
    <row r="9974" spans="1:2" x14ac:dyDescent="0.25">
      <c r="A9974" s="75">
        <v>42294704</v>
      </c>
      <c r="B9974" s="76" t="s">
        <v>10863</v>
      </c>
    </row>
    <row r="9975" spans="1:2" x14ac:dyDescent="0.25">
      <c r="A9975" s="75">
        <v>42294705</v>
      </c>
      <c r="B9975" s="76" t="s">
        <v>16873</v>
      </c>
    </row>
    <row r="9976" spans="1:2" x14ac:dyDescent="0.25">
      <c r="A9976" s="75">
        <v>42294706</v>
      </c>
      <c r="B9976" s="76" t="s">
        <v>13061</v>
      </c>
    </row>
    <row r="9977" spans="1:2" x14ac:dyDescent="0.25">
      <c r="A9977" s="75">
        <v>42294707</v>
      </c>
      <c r="B9977" s="76" t="s">
        <v>5268</v>
      </c>
    </row>
    <row r="9978" spans="1:2" x14ac:dyDescent="0.25">
      <c r="A9978" s="75">
        <v>42294708</v>
      </c>
      <c r="B9978" s="76" t="s">
        <v>5808</v>
      </c>
    </row>
    <row r="9979" spans="1:2" x14ac:dyDescent="0.25">
      <c r="A9979" s="75">
        <v>42294709</v>
      </c>
      <c r="B9979" s="76" t="s">
        <v>1128</v>
      </c>
    </row>
    <row r="9980" spans="1:2" x14ac:dyDescent="0.25">
      <c r="A9980" s="75">
        <v>42294710</v>
      </c>
      <c r="B9980" s="76" t="s">
        <v>17686</v>
      </c>
    </row>
    <row r="9981" spans="1:2" x14ac:dyDescent="0.25">
      <c r="A9981" s="75">
        <v>42294711</v>
      </c>
      <c r="B9981" s="76" t="s">
        <v>5801</v>
      </c>
    </row>
    <row r="9982" spans="1:2" x14ac:dyDescent="0.25">
      <c r="A9982" s="75">
        <v>42294712</v>
      </c>
      <c r="B9982" s="76" t="s">
        <v>11764</v>
      </c>
    </row>
    <row r="9983" spans="1:2" x14ac:dyDescent="0.25">
      <c r="A9983" s="75">
        <v>42294713</v>
      </c>
      <c r="B9983" s="76" t="s">
        <v>7968</v>
      </c>
    </row>
    <row r="9984" spans="1:2" x14ac:dyDescent="0.25">
      <c r="A9984" s="75">
        <v>42294714</v>
      </c>
      <c r="B9984" s="76" t="s">
        <v>15737</v>
      </c>
    </row>
    <row r="9985" spans="1:2" x14ac:dyDescent="0.25">
      <c r="A9985" s="75">
        <v>42294715</v>
      </c>
      <c r="B9985" s="76" t="s">
        <v>10531</v>
      </c>
    </row>
    <row r="9986" spans="1:2" x14ac:dyDescent="0.25">
      <c r="A9986" s="75">
        <v>42294716</v>
      </c>
      <c r="B9986" s="76" t="s">
        <v>3137</v>
      </c>
    </row>
    <row r="9987" spans="1:2" x14ac:dyDescent="0.25">
      <c r="A9987" s="75">
        <v>42294717</v>
      </c>
      <c r="B9987" s="76" t="s">
        <v>11941</v>
      </c>
    </row>
    <row r="9988" spans="1:2" x14ac:dyDescent="0.25">
      <c r="A9988" s="75">
        <v>42294718</v>
      </c>
      <c r="B9988" s="76" t="s">
        <v>6967</v>
      </c>
    </row>
    <row r="9989" spans="1:2" x14ac:dyDescent="0.25">
      <c r="A9989" s="75">
        <v>42294719</v>
      </c>
      <c r="B9989" s="76" t="s">
        <v>4668</v>
      </c>
    </row>
    <row r="9990" spans="1:2" x14ac:dyDescent="0.25">
      <c r="A9990" s="75">
        <v>42294720</v>
      </c>
      <c r="B9990" s="76" t="s">
        <v>9783</v>
      </c>
    </row>
    <row r="9991" spans="1:2" x14ac:dyDescent="0.25">
      <c r="A9991" s="75">
        <v>42294721</v>
      </c>
      <c r="B9991" s="76" t="s">
        <v>10337</v>
      </c>
    </row>
    <row r="9992" spans="1:2" x14ac:dyDescent="0.25">
      <c r="A9992" s="75">
        <v>42294722</v>
      </c>
      <c r="B9992" s="76" t="s">
        <v>8236</v>
      </c>
    </row>
    <row r="9993" spans="1:2" x14ac:dyDescent="0.25">
      <c r="A9993" s="75">
        <v>42294801</v>
      </c>
      <c r="B9993" s="76" t="s">
        <v>9204</v>
      </c>
    </row>
    <row r="9994" spans="1:2" x14ac:dyDescent="0.25">
      <c r="A9994" s="75">
        <v>42294802</v>
      </c>
      <c r="B9994" s="76" t="s">
        <v>2073</v>
      </c>
    </row>
    <row r="9995" spans="1:2" x14ac:dyDescent="0.25">
      <c r="A9995" s="75">
        <v>42294803</v>
      </c>
      <c r="B9995" s="76" t="s">
        <v>3231</v>
      </c>
    </row>
    <row r="9996" spans="1:2" x14ac:dyDescent="0.25">
      <c r="A9996" s="75">
        <v>42294804</v>
      </c>
      <c r="B9996" s="76" t="s">
        <v>12043</v>
      </c>
    </row>
    <row r="9997" spans="1:2" x14ac:dyDescent="0.25">
      <c r="A9997" s="75">
        <v>42294805</v>
      </c>
      <c r="B9997" s="76" t="s">
        <v>2267</v>
      </c>
    </row>
    <row r="9998" spans="1:2" x14ac:dyDescent="0.25">
      <c r="A9998" s="75">
        <v>42294806</v>
      </c>
      <c r="B9998" s="76" t="s">
        <v>11960</v>
      </c>
    </row>
    <row r="9999" spans="1:2" x14ac:dyDescent="0.25">
      <c r="A9999" s="75">
        <v>42294807</v>
      </c>
      <c r="B9999" s="76" t="s">
        <v>6786</v>
      </c>
    </row>
    <row r="10000" spans="1:2" x14ac:dyDescent="0.25">
      <c r="A10000" s="75">
        <v>42294808</v>
      </c>
      <c r="B10000" s="76" t="s">
        <v>10298</v>
      </c>
    </row>
    <row r="10001" spans="1:2" x14ac:dyDescent="0.25">
      <c r="A10001" s="75">
        <v>42294901</v>
      </c>
      <c r="B10001" s="76" t="s">
        <v>8452</v>
      </c>
    </row>
    <row r="10002" spans="1:2" x14ac:dyDescent="0.25">
      <c r="A10002" s="75">
        <v>42294902</v>
      </c>
      <c r="B10002" s="76" t="s">
        <v>11234</v>
      </c>
    </row>
    <row r="10003" spans="1:2" x14ac:dyDescent="0.25">
      <c r="A10003" s="75">
        <v>42294903</v>
      </c>
      <c r="B10003" s="76" t="s">
        <v>19917</v>
      </c>
    </row>
    <row r="10004" spans="1:2" x14ac:dyDescent="0.25">
      <c r="A10004" s="75">
        <v>42294904</v>
      </c>
      <c r="B10004" s="76" t="s">
        <v>4989</v>
      </c>
    </row>
    <row r="10005" spans="1:2" x14ac:dyDescent="0.25">
      <c r="A10005" s="75">
        <v>42294905</v>
      </c>
      <c r="B10005" s="76" t="s">
        <v>19541</v>
      </c>
    </row>
    <row r="10006" spans="1:2" x14ac:dyDescent="0.25">
      <c r="A10006" s="75">
        <v>42294906</v>
      </c>
      <c r="B10006" s="76" t="s">
        <v>16170</v>
      </c>
    </row>
    <row r="10007" spans="1:2" x14ac:dyDescent="0.25">
      <c r="A10007" s="75">
        <v>42294907</v>
      </c>
      <c r="B10007" s="76" t="s">
        <v>7482</v>
      </c>
    </row>
    <row r="10008" spans="1:2" x14ac:dyDescent="0.25">
      <c r="A10008" s="75">
        <v>42294908</v>
      </c>
      <c r="B10008" s="76" t="s">
        <v>18347</v>
      </c>
    </row>
    <row r="10009" spans="1:2" x14ac:dyDescent="0.25">
      <c r="A10009" s="75">
        <v>42294909</v>
      </c>
      <c r="B10009" s="76" t="s">
        <v>12645</v>
      </c>
    </row>
    <row r="10010" spans="1:2" x14ac:dyDescent="0.25">
      <c r="A10010" s="75">
        <v>42294910</v>
      </c>
      <c r="B10010" s="76" t="s">
        <v>16971</v>
      </c>
    </row>
    <row r="10011" spans="1:2" x14ac:dyDescent="0.25">
      <c r="A10011" s="75">
        <v>42294911</v>
      </c>
      <c r="B10011" s="76" t="s">
        <v>11194</v>
      </c>
    </row>
    <row r="10012" spans="1:2" x14ac:dyDescent="0.25">
      <c r="A10012" s="75">
        <v>42294912</v>
      </c>
      <c r="B10012" s="76" t="s">
        <v>6042</v>
      </c>
    </row>
    <row r="10013" spans="1:2" x14ac:dyDescent="0.25">
      <c r="A10013" s="75">
        <v>42294913</v>
      </c>
      <c r="B10013" s="76" t="s">
        <v>19204</v>
      </c>
    </row>
    <row r="10014" spans="1:2" x14ac:dyDescent="0.25">
      <c r="A10014" s="75">
        <v>42294914</v>
      </c>
      <c r="B10014" s="76" t="s">
        <v>2516</v>
      </c>
    </row>
    <row r="10015" spans="1:2" x14ac:dyDescent="0.25">
      <c r="A10015" s="75">
        <v>42294915</v>
      </c>
      <c r="B10015" s="76" t="s">
        <v>13742</v>
      </c>
    </row>
    <row r="10016" spans="1:2" x14ac:dyDescent="0.25">
      <c r="A10016" s="75">
        <v>42294916</v>
      </c>
      <c r="B10016" s="76" t="s">
        <v>1684</v>
      </c>
    </row>
    <row r="10017" spans="1:2" x14ac:dyDescent="0.25">
      <c r="A10017" s="75">
        <v>42294917</v>
      </c>
      <c r="B10017" s="76" t="s">
        <v>1854</v>
      </c>
    </row>
    <row r="10018" spans="1:2" x14ac:dyDescent="0.25">
      <c r="A10018" s="75">
        <v>42294918</v>
      </c>
      <c r="B10018" s="76" t="s">
        <v>2398</v>
      </c>
    </row>
    <row r="10019" spans="1:2" x14ac:dyDescent="0.25">
      <c r="A10019" s="75">
        <v>42294919</v>
      </c>
      <c r="B10019" s="76" t="s">
        <v>8253</v>
      </c>
    </row>
    <row r="10020" spans="1:2" x14ac:dyDescent="0.25">
      <c r="A10020" s="75">
        <v>42294920</v>
      </c>
      <c r="B10020" s="76" t="s">
        <v>8805</v>
      </c>
    </row>
    <row r="10021" spans="1:2" x14ac:dyDescent="0.25">
      <c r="A10021" s="75">
        <v>42294921</v>
      </c>
      <c r="B10021" s="76" t="s">
        <v>7818</v>
      </c>
    </row>
    <row r="10022" spans="1:2" x14ac:dyDescent="0.25">
      <c r="A10022" s="75">
        <v>42294922</v>
      </c>
      <c r="B10022" s="76" t="s">
        <v>14830</v>
      </c>
    </row>
    <row r="10023" spans="1:2" x14ac:dyDescent="0.25">
      <c r="A10023" s="75">
        <v>42294923</v>
      </c>
      <c r="B10023" s="76" t="s">
        <v>2629</v>
      </c>
    </row>
    <row r="10024" spans="1:2" x14ac:dyDescent="0.25">
      <c r="A10024" s="75">
        <v>42294924</v>
      </c>
      <c r="B10024" s="76" t="s">
        <v>2693</v>
      </c>
    </row>
    <row r="10025" spans="1:2" x14ac:dyDescent="0.25">
      <c r="A10025" s="75">
        <v>42294925</v>
      </c>
      <c r="B10025" s="76" t="s">
        <v>9126</v>
      </c>
    </row>
    <row r="10026" spans="1:2" x14ac:dyDescent="0.25">
      <c r="A10026" s="75">
        <v>42294926</v>
      </c>
      <c r="B10026" s="76" t="s">
        <v>12681</v>
      </c>
    </row>
    <row r="10027" spans="1:2" x14ac:dyDescent="0.25">
      <c r="A10027" s="75">
        <v>42294927</v>
      </c>
      <c r="B10027" s="76" t="s">
        <v>9454</v>
      </c>
    </row>
    <row r="10028" spans="1:2" x14ac:dyDescent="0.25">
      <c r="A10028" s="75">
        <v>42294928</v>
      </c>
      <c r="B10028" s="76" t="s">
        <v>17431</v>
      </c>
    </row>
    <row r="10029" spans="1:2" x14ac:dyDescent="0.25">
      <c r="A10029" s="75">
        <v>42294929</v>
      </c>
      <c r="B10029" s="76" t="s">
        <v>16988</v>
      </c>
    </row>
    <row r="10030" spans="1:2" x14ac:dyDescent="0.25">
      <c r="A10030" s="75">
        <v>42294930</v>
      </c>
      <c r="B10030" s="76" t="s">
        <v>19282</v>
      </c>
    </row>
    <row r="10031" spans="1:2" x14ac:dyDescent="0.25">
      <c r="A10031" s="75">
        <v>42294931</v>
      </c>
      <c r="B10031" s="76" t="s">
        <v>17532</v>
      </c>
    </row>
    <row r="10032" spans="1:2" x14ac:dyDescent="0.25">
      <c r="A10032" s="75">
        <v>42294932</v>
      </c>
      <c r="B10032" s="76" t="s">
        <v>11269</v>
      </c>
    </row>
    <row r="10033" spans="1:2" x14ac:dyDescent="0.25">
      <c r="A10033" s="75">
        <v>42294933</v>
      </c>
      <c r="B10033" s="76" t="s">
        <v>4320</v>
      </c>
    </row>
    <row r="10034" spans="1:2" x14ac:dyDescent="0.25">
      <c r="A10034" s="75">
        <v>42294934</v>
      </c>
      <c r="B10034" s="76" t="s">
        <v>7179</v>
      </c>
    </row>
    <row r="10035" spans="1:2" x14ac:dyDescent="0.25">
      <c r="A10035" s="75">
        <v>42294935</v>
      </c>
      <c r="B10035" s="76" t="s">
        <v>2957</v>
      </c>
    </row>
    <row r="10036" spans="1:2" x14ac:dyDescent="0.25">
      <c r="A10036" s="75">
        <v>42294936</v>
      </c>
      <c r="B10036" s="76" t="s">
        <v>12890</v>
      </c>
    </row>
    <row r="10037" spans="1:2" x14ac:dyDescent="0.25">
      <c r="A10037" s="75">
        <v>42294937</v>
      </c>
      <c r="B10037" s="76" t="s">
        <v>17615</v>
      </c>
    </row>
    <row r="10038" spans="1:2" x14ac:dyDescent="0.25">
      <c r="A10038" s="75">
        <v>42294938</v>
      </c>
      <c r="B10038" s="76" t="s">
        <v>1531</v>
      </c>
    </row>
    <row r="10039" spans="1:2" x14ac:dyDescent="0.25">
      <c r="A10039" s="75">
        <v>42294939</v>
      </c>
      <c r="B10039" s="76" t="s">
        <v>6788</v>
      </c>
    </row>
    <row r="10040" spans="1:2" x14ac:dyDescent="0.25">
      <c r="A10040" s="75">
        <v>42294940</v>
      </c>
      <c r="B10040" s="76" t="s">
        <v>16528</v>
      </c>
    </row>
    <row r="10041" spans="1:2" x14ac:dyDescent="0.25">
      <c r="A10041" s="75">
        <v>42294941</v>
      </c>
      <c r="B10041" s="76" t="s">
        <v>13651</v>
      </c>
    </row>
    <row r="10042" spans="1:2" x14ac:dyDescent="0.25">
      <c r="A10042" s="75">
        <v>42294942</v>
      </c>
      <c r="B10042" s="76" t="s">
        <v>18757</v>
      </c>
    </row>
    <row r="10043" spans="1:2" x14ac:dyDescent="0.25">
      <c r="A10043" s="75">
        <v>42294943</v>
      </c>
      <c r="B10043" s="76" t="s">
        <v>19928</v>
      </c>
    </row>
    <row r="10044" spans="1:2" x14ac:dyDescent="0.25">
      <c r="A10044" s="75">
        <v>42294944</v>
      </c>
      <c r="B10044" s="76" t="s">
        <v>14656</v>
      </c>
    </row>
    <row r="10045" spans="1:2" x14ac:dyDescent="0.25">
      <c r="A10045" s="75">
        <v>42294945</v>
      </c>
      <c r="B10045" s="76" t="s">
        <v>12033</v>
      </c>
    </row>
    <row r="10046" spans="1:2" x14ac:dyDescent="0.25">
      <c r="A10046" s="75">
        <v>42294946</v>
      </c>
      <c r="B10046" s="76" t="s">
        <v>15541</v>
      </c>
    </row>
    <row r="10047" spans="1:2" x14ac:dyDescent="0.25">
      <c r="A10047" s="75">
        <v>42294947</v>
      </c>
      <c r="B10047" s="76" t="s">
        <v>11463</v>
      </c>
    </row>
    <row r="10048" spans="1:2" x14ac:dyDescent="0.25">
      <c r="A10048" s="75">
        <v>42294948</v>
      </c>
      <c r="B10048" s="76" t="s">
        <v>18944</v>
      </c>
    </row>
    <row r="10049" spans="1:2" x14ac:dyDescent="0.25">
      <c r="A10049" s="75">
        <v>42294949</v>
      </c>
      <c r="B10049" s="76" t="s">
        <v>5259</v>
      </c>
    </row>
    <row r="10050" spans="1:2" x14ac:dyDescent="0.25">
      <c r="A10050" s="75">
        <v>42294950</v>
      </c>
      <c r="B10050" s="76" t="s">
        <v>2707</v>
      </c>
    </row>
    <row r="10051" spans="1:2" x14ac:dyDescent="0.25">
      <c r="A10051" s="75">
        <v>42294951</v>
      </c>
      <c r="B10051" s="76" t="s">
        <v>18762</v>
      </c>
    </row>
    <row r="10052" spans="1:2" x14ac:dyDescent="0.25">
      <c r="A10052" s="75">
        <v>42294952</v>
      </c>
      <c r="B10052" s="76" t="s">
        <v>7859</v>
      </c>
    </row>
    <row r="10053" spans="1:2" x14ac:dyDescent="0.25">
      <c r="A10053" s="75">
        <v>42294953</v>
      </c>
      <c r="B10053" s="76" t="s">
        <v>16902</v>
      </c>
    </row>
    <row r="10054" spans="1:2" x14ac:dyDescent="0.25">
      <c r="A10054" s="75">
        <v>42294954</v>
      </c>
      <c r="B10054" s="76" t="s">
        <v>5778</v>
      </c>
    </row>
    <row r="10055" spans="1:2" x14ac:dyDescent="0.25">
      <c r="A10055" s="75">
        <v>42294955</v>
      </c>
      <c r="B10055" s="76" t="s">
        <v>8896</v>
      </c>
    </row>
    <row r="10056" spans="1:2" x14ac:dyDescent="0.25">
      <c r="A10056" s="75">
        <v>42294956</v>
      </c>
      <c r="B10056" s="76" t="s">
        <v>2921</v>
      </c>
    </row>
    <row r="10057" spans="1:2" x14ac:dyDescent="0.25">
      <c r="A10057" s="75">
        <v>42295001</v>
      </c>
      <c r="B10057" s="76" t="s">
        <v>17255</v>
      </c>
    </row>
    <row r="10058" spans="1:2" x14ac:dyDescent="0.25">
      <c r="A10058" s="75">
        <v>42295002</v>
      </c>
      <c r="B10058" s="76" t="s">
        <v>7748</v>
      </c>
    </row>
    <row r="10059" spans="1:2" x14ac:dyDescent="0.25">
      <c r="A10059" s="75">
        <v>42295003</v>
      </c>
      <c r="B10059" s="76" t="s">
        <v>10584</v>
      </c>
    </row>
    <row r="10060" spans="1:2" x14ac:dyDescent="0.25">
      <c r="A10060" s="75">
        <v>42295004</v>
      </c>
      <c r="B10060" s="76" t="s">
        <v>16019</v>
      </c>
    </row>
    <row r="10061" spans="1:2" x14ac:dyDescent="0.25">
      <c r="A10061" s="75">
        <v>42295005</v>
      </c>
      <c r="B10061" s="76" t="s">
        <v>6712</v>
      </c>
    </row>
    <row r="10062" spans="1:2" x14ac:dyDescent="0.25">
      <c r="A10062" s="75">
        <v>42295006</v>
      </c>
      <c r="B10062" s="76" t="s">
        <v>8732</v>
      </c>
    </row>
    <row r="10063" spans="1:2" x14ac:dyDescent="0.25">
      <c r="A10063" s="75">
        <v>42295007</v>
      </c>
      <c r="B10063" s="76" t="s">
        <v>15235</v>
      </c>
    </row>
    <row r="10064" spans="1:2" x14ac:dyDescent="0.25">
      <c r="A10064" s="75">
        <v>42295008</v>
      </c>
      <c r="B10064" s="76" t="s">
        <v>12698</v>
      </c>
    </row>
    <row r="10065" spans="1:2" x14ac:dyDescent="0.25">
      <c r="A10065" s="75">
        <v>42295009</v>
      </c>
      <c r="B10065" s="76" t="s">
        <v>353</v>
      </c>
    </row>
    <row r="10066" spans="1:2" x14ac:dyDescent="0.25">
      <c r="A10066" s="75">
        <v>42295010</v>
      </c>
      <c r="B10066" s="76" t="s">
        <v>17495</v>
      </c>
    </row>
    <row r="10067" spans="1:2" x14ac:dyDescent="0.25">
      <c r="A10067" s="75">
        <v>42295011</v>
      </c>
      <c r="B10067" s="76" t="s">
        <v>10209</v>
      </c>
    </row>
    <row r="10068" spans="1:2" x14ac:dyDescent="0.25">
      <c r="A10068" s="75">
        <v>42295012</v>
      </c>
      <c r="B10068" s="76" t="s">
        <v>8255</v>
      </c>
    </row>
    <row r="10069" spans="1:2" x14ac:dyDescent="0.25">
      <c r="A10069" s="75">
        <v>42295013</v>
      </c>
      <c r="B10069" s="76" t="s">
        <v>5640</v>
      </c>
    </row>
    <row r="10070" spans="1:2" x14ac:dyDescent="0.25">
      <c r="A10070" s="75">
        <v>42295014</v>
      </c>
      <c r="B10070" s="76" t="s">
        <v>495</v>
      </c>
    </row>
    <row r="10071" spans="1:2" x14ac:dyDescent="0.25">
      <c r="A10071" s="75">
        <v>42295015</v>
      </c>
      <c r="B10071" s="76" t="s">
        <v>6288</v>
      </c>
    </row>
    <row r="10072" spans="1:2" x14ac:dyDescent="0.25">
      <c r="A10072" s="75">
        <v>42295101</v>
      </c>
      <c r="B10072" s="76" t="s">
        <v>6099</v>
      </c>
    </row>
    <row r="10073" spans="1:2" x14ac:dyDescent="0.25">
      <c r="A10073" s="75">
        <v>42295102</v>
      </c>
      <c r="B10073" s="76" t="s">
        <v>18509</v>
      </c>
    </row>
    <row r="10074" spans="1:2" x14ac:dyDescent="0.25">
      <c r="A10074" s="75">
        <v>42295103</v>
      </c>
      <c r="B10074" s="76" t="s">
        <v>2068</v>
      </c>
    </row>
    <row r="10075" spans="1:2" x14ac:dyDescent="0.25">
      <c r="A10075" s="75">
        <v>42295104</v>
      </c>
      <c r="B10075" s="76" t="s">
        <v>7806</v>
      </c>
    </row>
    <row r="10076" spans="1:2" x14ac:dyDescent="0.25">
      <c r="A10076" s="75">
        <v>42295105</v>
      </c>
      <c r="B10076" s="76" t="s">
        <v>17010</v>
      </c>
    </row>
    <row r="10077" spans="1:2" x14ac:dyDescent="0.25">
      <c r="A10077" s="75">
        <v>42295106</v>
      </c>
      <c r="B10077" s="76" t="s">
        <v>15540</v>
      </c>
    </row>
    <row r="10078" spans="1:2" x14ac:dyDescent="0.25">
      <c r="A10078" s="75">
        <v>42295107</v>
      </c>
      <c r="B10078" s="76" t="s">
        <v>4231</v>
      </c>
    </row>
    <row r="10079" spans="1:2" x14ac:dyDescent="0.25">
      <c r="A10079" s="75">
        <v>42295108</v>
      </c>
      <c r="B10079" s="76" t="s">
        <v>7235</v>
      </c>
    </row>
    <row r="10080" spans="1:2" x14ac:dyDescent="0.25">
      <c r="A10080" s="75">
        <v>42295109</v>
      </c>
      <c r="B10080" s="76" t="s">
        <v>5096</v>
      </c>
    </row>
    <row r="10081" spans="1:2" x14ac:dyDescent="0.25">
      <c r="A10081" s="75">
        <v>42295110</v>
      </c>
      <c r="B10081" s="76" t="s">
        <v>5812</v>
      </c>
    </row>
    <row r="10082" spans="1:2" x14ac:dyDescent="0.25">
      <c r="A10082" s="75">
        <v>42295111</v>
      </c>
      <c r="B10082" s="76" t="s">
        <v>5539</v>
      </c>
    </row>
    <row r="10083" spans="1:2" x14ac:dyDescent="0.25">
      <c r="A10083" s="75">
        <v>42295112</v>
      </c>
      <c r="B10083" s="76" t="s">
        <v>18248</v>
      </c>
    </row>
    <row r="10084" spans="1:2" x14ac:dyDescent="0.25">
      <c r="A10084" s="75">
        <v>42295113</v>
      </c>
      <c r="B10084" s="76" t="s">
        <v>14073</v>
      </c>
    </row>
    <row r="10085" spans="1:2" x14ac:dyDescent="0.25">
      <c r="A10085" s="75">
        <v>42295114</v>
      </c>
      <c r="B10085" s="76" t="s">
        <v>11516</v>
      </c>
    </row>
    <row r="10086" spans="1:2" x14ac:dyDescent="0.25">
      <c r="A10086" s="75">
        <v>42295115</v>
      </c>
      <c r="B10086" s="76" t="s">
        <v>2618</v>
      </c>
    </row>
    <row r="10087" spans="1:2" x14ac:dyDescent="0.25">
      <c r="A10087" s="75">
        <v>42295116</v>
      </c>
      <c r="B10087" s="76" t="s">
        <v>958</v>
      </c>
    </row>
    <row r="10088" spans="1:2" x14ac:dyDescent="0.25">
      <c r="A10088" s="75">
        <v>42295117</v>
      </c>
      <c r="B10088" s="76" t="s">
        <v>12640</v>
      </c>
    </row>
    <row r="10089" spans="1:2" x14ac:dyDescent="0.25">
      <c r="A10089" s="75">
        <v>42295118</v>
      </c>
      <c r="B10089" s="76" t="s">
        <v>1140</v>
      </c>
    </row>
    <row r="10090" spans="1:2" x14ac:dyDescent="0.25">
      <c r="A10090" s="75">
        <v>42295119</v>
      </c>
      <c r="B10090" s="76" t="s">
        <v>76</v>
      </c>
    </row>
    <row r="10091" spans="1:2" x14ac:dyDescent="0.25">
      <c r="A10091" s="75">
        <v>42295120</v>
      </c>
      <c r="B10091" s="76" t="s">
        <v>11649</v>
      </c>
    </row>
    <row r="10092" spans="1:2" x14ac:dyDescent="0.25">
      <c r="A10092" s="75">
        <v>42295121</v>
      </c>
      <c r="B10092" s="76" t="s">
        <v>16209</v>
      </c>
    </row>
    <row r="10093" spans="1:2" x14ac:dyDescent="0.25">
      <c r="A10093" s="75">
        <v>42295122</v>
      </c>
      <c r="B10093" s="76" t="s">
        <v>1074</v>
      </c>
    </row>
    <row r="10094" spans="1:2" x14ac:dyDescent="0.25">
      <c r="A10094" s="75">
        <v>42295123</v>
      </c>
      <c r="B10094" s="76" t="s">
        <v>15824</v>
      </c>
    </row>
    <row r="10095" spans="1:2" x14ac:dyDescent="0.25">
      <c r="A10095" s="75">
        <v>42295124</v>
      </c>
      <c r="B10095" s="76" t="s">
        <v>203</v>
      </c>
    </row>
    <row r="10096" spans="1:2" x14ac:dyDescent="0.25">
      <c r="A10096" s="75">
        <v>42295125</v>
      </c>
      <c r="B10096" s="76" t="s">
        <v>4851</v>
      </c>
    </row>
    <row r="10097" spans="1:2" x14ac:dyDescent="0.25">
      <c r="A10097" s="75">
        <v>42295126</v>
      </c>
      <c r="B10097" s="76" t="s">
        <v>3621</v>
      </c>
    </row>
    <row r="10098" spans="1:2" x14ac:dyDescent="0.25">
      <c r="A10098" s="75">
        <v>42295127</v>
      </c>
      <c r="B10098" s="76" t="s">
        <v>12169</v>
      </c>
    </row>
    <row r="10099" spans="1:2" x14ac:dyDescent="0.25">
      <c r="A10099" s="75">
        <v>42295128</v>
      </c>
      <c r="B10099" s="76" t="s">
        <v>781</v>
      </c>
    </row>
    <row r="10100" spans="1:2" x14ac:dyDescent="0.25">
      <c r="A10100" s="75">
        <v>42295129</v>
      </c>
      <c r="B10100" s="76" t="s">
        <v>3229</v>
      </c>
    </row>
    <row r="10101" spans="1:2" x14ac:dyDescent="0.25">
      <c r="A10101" s="75">
        <v>42295130</v>
      </c>
      <c r="B10101" s="76" t="s">
        <v>14861</v>
      </c>
    </row>
    <row r="10102" spans="1:2" x14ac:dyDescent="0.25">
      <c r="A10102" s="75">
        <v>42295131</v>
      </c>
      <c r="B10102" s="76" t="s">
        <v>4889</v>
      </c>
    </row>
    <row r="10103" spans="1:2" x14ac:dyDescent="0.25">
      <c r="A10103" s="75">
        <v>42295132</v>
      </c>
      <c r="B10103" s="76" t="s">
        <v>7918</v>
      </c>
    </row>
    <row r="10104" spans="1:2" x14ac:dyDescent="0.25">
      <c r="A10104" s="75">
        <v>42295133</v>
      </c>
      <c r="B10104" s="76" t="s">
        <v>14997</v>
      </c>
    </row>
    <row r="10105" spans="1:2" x14ac:dyDescent="0.25">
      <c r="A10105" s="75">
        <v>42295134</v>
      </c>
      <c r="B10105" s="76" t="s">
        <v>6671</v>
      </c>
    </row>
    <row r="10106" spans="1:2" x14ac:dyDescent="0.25">
      <c r="A10106" s="75">
        <v>42295135</v>
      </c>
      <c r="B10106" s="76" t="s">
        <v>8914</v>
      </c>
    </row>
    <row r="10107" spans="1:2" x14ac:dyDescent="0.25">
      <c r="A10107" s="75">
        <v>42295136</v>
      </c>
      <c r="B10107" s="76" t="s">
        <v>1164</v>
      </c>
    </row>
    <row r="10108" spans="1:2" x14ac:dyDescent="0.25">
      <c r="A10108" s="75">
        <v>42295137</v>
      </c>
      <c r="B10108" s="76" t="s">
        <v>4355</v>
      </c>
    </row>
    <row r="10109" spans="1:2" x14ac:dyDescent="0.25">
      <c r="A10109" s="75">
        <v>42295138</v>
      </c>
      <c r="B10109" s="76" t="s">
        <v>18864</v>
      </c>
    </row>
    <row r="10110" spans="1:2" x14ac:dyDescent="0.25">
      <c r="A10110" s="75">
        <v>42295139</v>
      </c>
      <c r="B10110" s="76" t="s">
        <v>16164</v>
      </c>
    </row>
    <row r="10111" spans="1:2" x14ac:dyDescent="0.25">
      <c r="A10111" s="75">
        <v>42295140</v>
      </c>
      <c r="B10111" s="76" t="s">
        <v>11662</v>
      </c>
    </row>
    <row r="10112" spans="1:2" x14ac:dyDescent="0.25">
      <c r="A10112" s="75">
        <v>42295201</v>
      </c>
      <c r="B10112" s="76" t="s">
        <v>18761</v>
      </c>
    </row>
    <row r="10113" spans="1:2" x14ac:dyDescent="0.25">
      <c r="A10113" s="75">
        <v>42295202</v>
      </c>
      <c r="B10113" s="76" t="s">
        <v>901</v>
      </c>
    </row>
    <row r="10114" spans="1:2" x14ac:dyDescent="0.25">
      <c r="A10114" s="75">
        <v>42295203</v>
      </c>
      <c r="B10114" s="76" t="s">
        <v>5459</v>
      </c>
    </row>
    <row r="10115" spans="1:2" x14ac:dyDescent="0.25">
      <c r="A10115" s="75">
        <v>42295204</v>
      </c>
      <c r="B10115" s="76" t="s">
        <v>14422</v>
      </c>
    </row>
    <row r="10116" spans="1:2" x14ac:dyDescent="0.25">
      <c r="A10116" s="75">
        <v>42295205</v>
      </c>
      <c r="B10116" s="76" t="s">
        <v>1660</v>
      </c>
    </row>
    <row r="10117" spans="1:2" x14ac:dyDescent="0.25">
      <c r="A10117" s="75">
        <v>42295206</v>
      </c>
      <c r="B10117" s="76" t="s">
        <v>3686</v>
      </c>
    </row>
    <row r="10118" spans="1:2" x14ac:dyDescent="0.25">
      <c r="A10118" s="75">
        <v>42295301</v>
      </c>
      <c r="B10118" s="76" t="s">
        <v>20016</v>
      </c>
    </row>
    <row r="10119" spans="1:2" x14ac:dyDescent="0.25">
      <c r="A10119" s="75">
        <v>42295302</v>
      </c>
      <c r="B10119" s="76" t="s">
        <v>4899</v>
      </c>
    </row>
    <row r="10120" spans="1:2" x14ac:dyDescent="0.25">
      <c r="A10120" s="75">
        <v>42295303</v>
      </c>
      <c r="B10120" s="76" t="s">
        <v>7190</v>
      </c>
    </row>
    <row r="10121" spans="1:2" x14ac:dyDescent="0.25">
      <c r="A10121" s="75">
        <v>42295304</v>
      </c>
      <c r="B10121" s="76" t="s">
        <v>19053</v>
      </c>
    </row>
    <row r="10122" spans="1:2" x14ac:dyDescent="0.25">
      <c r="A10122" s="75">
        <v>42295305</v>
      </c>
      <c r="B10122" s="76" t="s">
        <v>4352</v>
      </c>
    </row>
    <row r="10123" spans="1:2" x14ac:dyDescent="0.25">
      <c r="A10123" s="75">
        <v>42295306</v>
      </c>
      <c r="B10123" s="76" t="s">
        <v>15160</v>
      </c>
    </row>
    <row r="10124" spans="1:2" x14ac:dyDescent="0.25">
      <c r="A10124" s="75">
        <v>42295307</v>
      </c>
      <c r="B10124" s="76" t="s">
        <v>7795</v>
      </c>
    </row>
    <row r="10125" spans="1:2" x14ac:dyDescent="0.25">
      <c r="A10125" s="75">
        <v>42295308</v>
      </c>
      <c r="B10125" s="76" t="s">
        <v>10365</v>
      </c>
    </row>
    <row r="10126" spans="1:2" x14ac:dyDescent="0.25">
      <c r="A10126" s="75">
        <v>42295401</v>
      </c>
      <c r="B10126" s="76" t="s">
        <v>399</v>
      </c>
    </row>
    <row r="10127" spans="1:2" x14ac:dyDescent="0.25">
      <c r="A10127" s="75">
        <v>42295402</v>
      </c>
      <c r="B10127" s="76" t="s">
        <v>19761</v>
      </c>
    </row>
    <row r="10128" spans="1:2" x14ac:dyDescent="0.25">
      <c r="A10128" s="75">
        <v>42295403</v>
      </c>
      <c r="B10128" s="76" t="s">
        <v>15174</v>
      </c>
    </row>
    <row r="10129" spans="1:2" x14ac:dyDescent="0.25">
      <c r="A10129" s="75">
        <v>42295404</v>
      </c>
      <c r="B10129" s="76" t="s">
        <v>6210</v>
      </c>
    </row>
    <row r="10130" spans="1:2" x14ac:dyDescent="0.25">
      <c r="A10130" s="75">
        <v>42295405</v>
      </c>
      <c r="B10130" s="76" t="s">
        <v>3496</v>
      </c>
    </row>
    <row r="10131" spans="1:2" x14ac:dyDescent="0.25">
      <c r="A10131" s="75">
        <v>42295406</v>
      </c>
      <c r="B10131" s="76" t="s">
        <v>6509</v>
      </c>
    </row>
    <row r="10132" spans="1:2" x14ac:dyDescent="0.25">
      <c r="A10132" s="75">
        <v>42295407</v>
      </c>
      <c r="B10132" s="76" t="s">
        <v>9368</v>
      </c>
    </row>
    <row r="10133" spans="1:2" x14ac:dyDescent="0.25">
      <c r="A10133" s="75">
        <v>42295408</v>
      </c>
      <c r="B10133" s="76" t="s">
        <v>16097</v>
      </c>
    </row>
    <row r="10134" spans="1:2" x14ac:dyDescent="0.25">
      <c r="A10134" s="75">
        <v>42295409</v>
      </c>
      <c r="B10134" s="76" t="s">
        <v>16261</v>
      </c>
    </row>
    <row r="10135" spans="1:2" x14ac:dyDescent="0.25">
      <c r="A10135" s="75">
        <v>42295410</v>
      </c>
      <c r="B10135" s="76" t="s">
        <v>14539</v>
      </c>
    </row>
    <row r="10136" spans="1:2" x14ac:dyDescent="0.25">
      <c r="A10136" s="75">
        <v>42295411</v>
      </c>
      <c r="B10136" s="76" t="s">
        <v>12765</v>
      </c>
    </row>
    <row r="10137" spans="1:2" x14ac:dyDescent="0.25">
      <c r="A10137" s="75">
        <v>42295412</v>
      </c>
      <c r="B10137" s="76" t="s">
        <v>19354</v>
      </c>
    </row>
    <row r="10138" spans="1:2" x14ac:dyDescent="0.25">
      <c r="A10138" s="75">
        <v>42295413</v>
      </c>
      <c r="B10138" s="76" t="s">
        <v>9225</v>
      </c>
    </row>
    <row r="10139" spans="1:2" x14ac:dyDescent="0.25">
      <c r="A10139" s="75">
        <v>42295414</v>
      </c>
      <c r="B10139" s="76" t="s">
        <v>7734</v>
      </c>
    </row>
    <row r="10140" spans="1:2" x14ac:dyDescent="0.25">
      <c r="A10140" s="75">
        <v>42295415</v>
      </c>
      <c r="B10140" s="76" t="s">
        <v>494</v>
      </c>
    </row>
    <row r="10141" spans="1:2" x14ac:dyDescent="0.25">
      <c r="A10141" s="75">
        <v>42295416</v>
      </c>
      <c r="B10141" s="76" t="s">
        <v>92</v>
      </c>
    </row>
    <row r="10142" spans="1:2" x14ac:dyDescent="0.25">
      <c r="A10142" s="75">
        <v>42295417</v>
      </c>
      <c r="B10142" s="76" t="s">
        <v>5628</v>
      </c>
    </row>
    <row r="10143" spans="1:2" x14ac:dyDescent="0.25">
      <c r="A10143" s="75">
        <v>42295418</v>
      </c>
      <c r="B10143" s="76" t="s">
        <v>10091</v>
      </c>
    </row>
    <row r="10144" spans="1:2" x14ac:dyDescent="0.25">
      <c r="A10144" s="75">
        <v>42295419</v>
      </c>
      <c r="B10144" s="76" t="s">
        <v>8509</v>
      </c>
    </row>
    <row r="10145" spans="1:2" x14ac:dyDescent="0.25">
      <c r="A10145" s="75">
        <v>42295420</v>
      </c>
      <c r="B10145" s="76" t="s">
        <v>10394</v>
      </c>
    </row>
    <row r="10146" spans="1:2" x14ac:dyDescent="0.25">
      <c r="A10146" s="75">
        <v>42295421</v>
      </c>
      <c r="B10146" s="76" t="s">
        <v>5535</v>
      </c>
    </row>
    <row r="10147" spans="1:2" x14ac:dyDescent="0.25">
      <c r="A10147" s="75">
        <v>42295422</v>
      </c>
      <c r="B10147" s="76" t="s">
        <v>2180</v>
      </c>
    </row>
    <row r="10148" spans="1:2" x14ac:dyDescent="0.25">
      <c r="A10148" s="75">
        <v>42295423</v>
      </c>
      <c r="B10148" s="76" t="s">
        <v>14909</v>
      </c>
    </row>
    <row r="10149" spans="1:2" x14ac:dyDescent="0.25">
      <c r="A10149" s="75">
        <v>42295424</v>
      </c>
      <c r="B10149" s="76" t="s">
        <v>695</v>
      </c>
    </row>
    <row r="10150" spans="1:2" x14ac:dyDescent="0.25">
      <c r="A10150" s="75">
        <v>42295425</v>
      </c>
      <c r="B10150" s="76" t="s">
        <v>19600</v>
      </c>
    </row>
    <row r="10151" spans="1:2" x14ac:dyDescent="0.25">
      <c r="A10151" s="75">
        <v>42295426</v>
      </c>
      <c r="B10151" s="76" t="s">
        <v>12959</v>
      </c>
    </row>
    <row r="10152" spans="1:2" x14ac:dyDescent="0.25">
      <c r="A10152" s="75">
        <v>42295427</v>
      </c>
      <c r="B10152" s="76" t="s">
        <v>1652</v>
      </c>
    </row>
    <row r="10153" spans="1:2" x14ac:dyDescent="0.25">
      <c r="A10153" s="75">
        <v>42295428</v>
      </c>
      <c r="B10153" s="76" t="s">
        <v>19222</v>
      </c>
    </row>
    <row r="10154" spans="1:2" x14ac:dyDescent="0.25">
      <c r="A10154" s="75">
        <v>42295429</v>
      </c>
      <c r="B10154" s="76" t="s">
        <v>11202</v>
      </c>
    </row>
    <row r="10155" spans="1:2" x14ac:dyDescent="0.25">
      <c r="A10155" s="75">
        <v>42295430</v>
      </c>
      <c r="B10155" s="76" t="s">
        <v>6675</v>
      </c>
    </row>
    <row r="10156" spans="1:2" x14ac:dyDescent="0.25">
      <c r="A10156" s="75">
        <v>42295431</v>
      </c>
      <c r="B10156" s="76" t="s">
        <v>5868</v>
      </c>
    </row>
    <row r="10157" spans="1:2" x14ac:dyDescent="0.25">
      <c r="A10157" s="75">
        <v>42295432</v>
      </c>
      <c r="B10157" s="76" t="s">
        <v>5873</v>
      </c>
    </row>
    <row r="10158" spans="1:2" x14ac:dyDescent="0.25">
      <c r="A10158" s="75">
        <v>42295433</v>
      </c>
      <c r="B10158" s="76" t="s">
        <v>8391</v>
      </c>
    </row>
    <row r="10159" spans="1:2" x14ac:dyDescent="0.25">
      <c r="A10159" s="75">
        <v>42295434</v>
      </c>
      <c r="B10159" s="76" t="s">
        <v>2009</v>
      </c>
    </row>
    <row r="10160" spans="1:2" x14ac:dyDescent="0.25">
      <c r="A10160" s="75">
        <v>42295435</v>
      </c>
      <c r="B10160" s="76" t="s">
        <v>10269</v>
      </c>
    </row>
    <row r="10161" spans="1:2" x14ac:dyDescent="0.25">
      <c r="A10161" s="75">
        <v>42295436</v>
      </c>
      <c r="B10161" s="76" t="s">
        <v>7545</v>
      </c>
    </row>
    <row r="10162" spans="1:2" x14ac:dyDescent="0.25">
      <c r="A10162" s="75">
        <v>42295437</v>
      </c>
      <c r="B10162" s="76" t="s">
        <v>10501</v>
      </c>
    </row>
    <row r="10163" spans="1:2" x14ac:dyDescent="0.25">
      <c r="A10163" s="75">
        <v>42295439</v>
      </c>
      <c r="B10163" s="76" t="s">
        <v>16437</v>
      </c>
    </row>
    <row r="10164" spans="1:2" x14ac:dyDescent="0.25">
      <c r="A10164" s="75">
        <v>42295440</v>
      </c>
      <c r="B10164" s="76" t="s">
        <v>6549</v>
      </c>
    </row>
    <row r="10165" spans="1:2" x14ac:dyDescent="0.25">
      <c r="A10165" s="75">
        <v>42295441</v>
      </c>
      <c r="B10165" s="76" t="s">
        <v>3039</v>
      </c>
    </row>
    <row r="10166" spans="1:2" x14ac:dyDescent="0.25">
      <c r="A10166" s="75">
        <v>42295445</v>
      </c>
      <c r="B10166" s="76" t="s">
        <v>7071</v>
      </c>
    </row>
    <row r="10167" spans="1:2" x14ac:dyDescent="0.25">
      <c r="A10167" s="75">
        <v>42295446</v>
      </c>
      <c r="B10167" s="76" t="s">
        <v>6215</v>
      </c>
    </row>
    <row r="10168" spans="1:2" x14ac:dyDescent="0.25">
      <c r="A10168" s="75">
        <v>42295448</v>
      </c>
      <c r="B10168" s="76" t="s">
        <v>4434</v>
      </c>
    </row>
    <row r="10169" spans="1:2" x14ac:dyDescent="0.25">
      <c r="A10169" s="75">
        <v>42295450</v>
      </c>
      <c r="B10169" s="76" t="s">
        <v>1407</v>
      </c>
    </row>
    <row r="10170" spans="1:2" x14ac:dyDescent="0.25">
      <c r="A10170" s="75">
        <v>42295451</v>
      </c>
      <c r="B10170" s="76" t="s">
        <v>6415</v>
      </c>
    </row>
    <row r="10171" spans="1:2" x14ac:dyDescent="0.25">
      <c r="A10171" s="75">
        <v>42295452</v>
      </c>
      <c r="B10171" s="76" t="s">
        <v>5558</v>
      </c>
    </row>
    <row r="10172" spans="1:2" x14ac:dyDescent="0.25">
      <c r="A10172" s="75">
        <v>42295453</v>
      </c>
      <c r="B10172" s="76" t="s">
        <v>18792</v>
      </c>
    </row>
    <row r="10173" spans="1:2" x14ac:dyDescent="0.25">
      <c r="A10173" s="75">
        <v>42295454</v>
      </c>
      <c r="B10173" s="76" t="s">
        <v>912</v>
      </c>
    </row>
    <row r="10174" spans="1:2" x14ac:dyDescent="0.25">
      <c r="A10174" s="75">
        <v>42295455</v>
      </c>
      <c r="B10174" s="76" t="s">
        <v>8415</v>
      </c>
    </row>
    <row r="10175" spans="1:2" x14ac:dyDescent="0.25">
      <c r="A10175" s="75">
        <v>42295456</v>
      </c>
      <c r="B10175" s="76" t="s">
        <v>16650</v>
      </c>
    </row>
    <row r="10176" spans="1:2" x14ac:dyDescent="0.25">
      <c r="A10176" s="75">
        <v>42295457</v>
      </c>
      <c r="B10176" s="76" t="s">
        <v>19576</v>
      </c>
    </row>
    <row r="10177" spans="1:2" x14ac:dyDescent="0.25">
      <c r="A10177" s="75">
        <v>42295458</v>
      </c>
      <c r="B10177" s="76" t="s">
        <v>10018</v>
      </c>
    </row>
    <row r="10178" spans="1:2" x14ac:dyDescent="0.25">
      <c r="A10178" s="75">
        <v>42295459</v>
      </c>
      <c r="B10178" s="76" t="s">
        <v>3518</v>
      </c>
    </row>
    <row r="10179" spans="1:2" x14ac:dyDescent="0.25">
      <c r="A10179" s="75">
        <v>42295460</v>
      </c>
      <c r="B10179" s="76" t="s">
        <v>7759</v>
      </c>
    </row>
    <row r="10180" spans="1:2" x14ac:dyDescent="0.25">
      <c r="A10180" s="75">
        <v>42295461</v>
      </c>
      <c r="B10180" s="76" t="s">
        <v>10374</v>
      </c>
    </row>
    <row r="10181" spans="1:2" x14ac:dyDescent="0.25">
      <c r="A10181" s="75">
        <v>42295462</v>
      </c>
      <c r="B10181" s="76" t="s">
        <v>14922</v>
      </c>
    </row>
    <row r="10182" spans="1:2" x14ac:dyDescent="0.25">
      <c r="A10182" s="75">
        <v>42295463</v>
      </c>
      <c r="B10182" s="76" t="s">
        <v>6236</v>
      </c>
    </row>
    <row r="10183" spans="1:2" x14ac:dyDescent="0.25">
      <c r="A10183" s="75">
        <v>42295501</v>
      </c>
      <c r="B10183" s="76" t="s">
        <v>5244</v>
      </c>
    </row>
    <row r="10184" spans="1:2" x14ac:dyDescent="0.25">
      <c r="A10184" s="75">
        <v>42295502</v>
      </c>
      <c r="B10184" s="76" t="s">
        <v>17283</v>
      </c>
    </row>
    <row r="10185" spans="1:2" x14ac:dyDescent="0.25">
      <c r="A10185" s="75">
        <v>42295503</v>
      </c>
      <c r="B10185" s="76" t="s">
        <v>11820</v>
      </c>
    </row>
    <row r="10186" spans="1:2" x14ac:dyDescent="0.25">
      <c r="A10186" s="75">
        <v>42295504</v>
      </c>
      <c r="B10186" s="76" t="s">
        <v>2950</v>
      </c>
    </row>
    <row r="10187" spans="1:2" x14ac:dyDescent="0.25">
      <c r="A10187" s="75">
        <v>42295505</v>
      </c>
      <c r="B10187" s="76" t="s">
        <v>4331</v>
      </c>
    </row>
    <row r="10188" spans="1:2" x14ac:dyDescent="0.25">
      <c r="A10188" s="75">
        <v>42295506</v>
      </c>
      <c r="B10188" s="76" t="s">
        <v>8526</v>
      </c>
    </row>
    <row r="10189" spans="1:2" x14ac:dyDescent="0.25">
      <c r="A10189" s="75">
        <v>42295507</v>
      </c>
      <c r="B10189" s="76" t="s">
        <v>12020</v>
      </c>
    </row>
    <row r="10190" spans="1:2" x14ac:dyDescent="0.25">
      <c r="A10190" s="75">
        <v>42295508</v>
      </c>
      <c r="B10190" s="76" t="s">
        <v>19861</v>
      </c>
    </row>
    <row r="10191" spans="1:2" x14ac:dyDescent="0.25">
      <c r="A10191" s="75">
        <v>42295509</v>
      </c>
      <c r="B10191" s="76" t="s">
        <v>4816</v>
      </c>
    </row>
    <row r="10192" spans="1:2" x14ac:dyDescent="0.25">
      <c r="A10192" s="75">
        <v>42295510</v>
      </c>
      <c r="B10192" s="76" t="s">
        <v>6107</v>
      </c>
    </row>
    <row r="10193" spans="1:2" x14ac:dyDescent="0.25">
      <c r="A10193" s="75">
        <v>42295511</v>
      </c>
      <c r="B10193" s="76" t="s">
        <v>18632</v>
      </c>
    </row>
    <row r="10194" spans="1:2" x14ac:dyDescent="0.25">
      <c r="A10194" s="75">
        <v>42295512</v>
      </c>
      <c r="B10194" s="76" t="s">
        <v>4815</v>
      </c>
    </row>
    <row r="10195" spans="1:2" x14ac:dyDescent="0.25">
      <c r="A10195" s="75">
        <v>42295513</v>
      </c>
      <c r="B10195" s="76" t="s">
        <v>13514</v>
      </c>
    </row>
    <row r="10196" spans="1:2" x14ac:dyDescent="0.25">
      <c r="A10196" s="75">
        <v>42295514</v>
      </c>
      <c r="B10196" s="76" t="s">
        <v>180</v>
      </c>
    </row>
    <row r="10197" spans="1:2" x14ac:dyDescent="0.25">
      <c r="A10197" s="75">
        <v>42295515</v>
      </c>
      <c r="B10197" s="76" t="s">
        <v>4384</v>
      </c>
    </row>
    <row r="10198" spans="1:2" x14ac:dyDescent="0.25">
      <c r="A10198" s="75">
        <v>42295516</v>
      </c>
      <c r="B10198" s="76" t="s">
        <v>12368</v>
      </c>
    </row>
    <row r="10199" spans="1:2" x14ac:dyDescent="0.25">
      <c r="A10199" s="75">
        <v>42295517</v>
      </c>
      <c r="B10199" s="76" t="s">
        <v>11652</v>
      </c>
    </row>
    <row r="10200" spans="1:2" x14ac:dyDescent="0.25">
      <c r="A10200" s="75">
        <v>42295518</v>
      </c>
      <c r="B10200" s="76" t="s">
        <v>9173</v>
      </c>
    </row>
    <row r="10201" spans="1:2" x14ac:dyDescent="0.25">
      <c r="A10201" s="75">
        <v>42301501</v>
      </c>
      <c r="B10201" s="76" t="s">
        <v>11829</v>
      </c>
    </row>
    <row r="10202" spans="1:2" x14ac:dyDescent="0.25">
      <c r="A10202" s="75">
        <v>42301502</v>
      </c>
      <c r="B10202" s="76" t="s">
        <v>6198</v>
      </c>
    </row>
    <row r="10203" spans="1:2" x14ac:dyDescent="0.25">
      <c r="A10203" s="75">
        <v>42301503</v>
      </c>
      <c r="B10203" s="76" t="s">
        <v>2085</v>
      </c>
    </row>
    <row r="10204" spans="1:2" x14ac:dyDescent="0.25">
      <c r="A10204" s="75">
        <v>42301504</v>
      </c>
      <c r="B10204" s="76" t="s">
        <v>523</v>
      </c>
    </row>
    <row r="10205" spans="1:2" x14ac:dyDescent="0.25">
      <c r="A10205" s="75">
        <v>42301505</v>
      </c>
      <c r="B10205" s="76" t="s">
        <v>18168</v>
      </c>
    </row>
    <row r="10206" spans="1:2" x14ac:dyDescent="0.25">
      <c r="A10206" s="75">
        <v>42301506</v>
      </c>
      <c r="B10206" s="76" t="s">
        <v>16855</v>
      </c>
    </row>
    <row r="10207" spans="1:2" x14ac:dyDescent="0.25">
      <c r="A10207" s="75">
        <v>42301507</v>
      </c>
      <c r="B10207" s="76" t="s">
        <v>562</v>
      </c>
    </row>
    <row r="10208" spans="1:2" x14ac:dyDescent="0.25">
      <c r="A10208" s="75">
        <v>42301508</v>
      </c>
      <c r="B10208" s="76" t="s">
        <v>10183</v>
      </c>
    </row>
    <row r="10209" spans="1:2" x14ac:dyDescent="0.25">
      <c r="A10209" s="75">
        <v>42311501</v>
      </c>
      <c r="B10209" s="76" t="s">
        <v>3057</v>
      </c>
    </row>
    <row r="10210" spans="1:2" x14ac:dyDescent="0.25">
      <c r="A10210" s="75">
        <v>42311502</v>
      </c>
      <c r="B10210" s="76" t="s">
        <v>7256</v>
      </c>
    </row>
    <row r="10211" spans="1:2" x14ac:dyDescent="0.25">
      <c r="A10211" s="75">
        <v>42311503</v>
      </c>
      <c r="B10211" s="76" t="s">
        <v>2179</v>
      </c>
    </row>
    <row r="10212" spans="1:2" x14ac:dyDescent="0.25">
      <c r="A10212" s="75">
        <v>42311504</v>
      </c>
      <c r="B10212" s="76" t="s">
        <v>165</v>
      </c>
    </row>
    <row r="10213" spans="1:2" x14ac:dyDescent="0.25">
      <c r="A10213" s="75">
        <v>42311505</v>
      </c>
      <c r="B10213" s="76" t="s">
        <v>15304</v>
      </c>
    </row>
    <row r="10214" spans="1:2" x14ac:dyDescent="0.25">
      <c r="A10214" s="75">
        <v>42311506</v>
      </c>
      <c r="B10214" s="76" t="s">
        <v>9692</v>
      </c>
    </row>
    <row r="10215" spans="1:2" x14ac:dyDescent="0.25">
      <c r="A10215" s="75">
        <v>42311507</v>
      </c>
      <c r="B10215" s="76" t="s">
        <v>9666</v>
      </c>
    </row>
    <row r="10216" spans="1:2" x14ac:dyDescent="0.25">
      <c r="A10216" s="75">
        <v>42311508</v>
      </c>
      <c r="B10216" s="76" t="s">
        <v>6480</v>
      </c>
    </row>
    <row r="10217" spans="1:2" x14ac:dyDescent="0.25">
      <c r="A10217" s="75">
        <v>42311509</v>
      </c>
      <c r="B10217" s="76" t="s">
        <v>15607</v>
      </c>
    </row>
    <row r="10218" spans="1:2" x14ac:dyDescent="0.25">
      <c r="A10218" s="75">
        <v>42311510</v>
      </c>
      <c r="B10218" s="76" t="s">
        <v>4128</v>
      </c>
    </row>
    <row r="10219" spans="1:2" x14ac:dyDescent="0.25">
      <c r="A10219" s="75">
        <v>42311511</v>
      </c>
      <c r="B10219" s="76" t="s">
        <v>6796</v>
      </c>
    </row>
    <row r="10220" spans="1:2" x14ac:dyDescent="0.25">
      <c r="A10220" s="75">
        <v>42311512</v>
      </c>
      <c r="B10220" s="76" t="s">
        <v>5913</v>
      </c>
    </row>
    <row r="10221" spans="1:2" x14ac:dyDescent="0.25">
      <c r="A10221" s="75">
        <v>42311513</v>
      </c>
      <c r="B10221" s="76" t="s">
        <v>16506</v>
      </c>
    </row>
    <row r="10222" spans="1:2" x14ac:dyDescent="0.25">
      <c r="A10222" s="75">
        <v>42311514</v>
      </c>
      <c r="B10222" s="76" t="s">
        <v>14269</v>
      </c>
    </row>
    <row r="10223" spans="1:2" x14ac:dyDescent="0.25">
      <c r="A10223" s="75">
        <v>42311515</v>
      </c>
      <c r="B10223" s="76" t="s">
        <v>174</v>
      </c>
    </row>
    <row r="10224" spans="1:2" x14ac:dyDescent="0.25">
      <c r="A10224" s="75">
        <v>42311516</v>
      </c>
      <c r="B10224" s="76" t="s">
        <v>3735</v>
      </c>
    </row>
    <row r="10225" spans="1:2" x14ac:dyDescent="0.25">
      <c r="A10225" s="75">
        <v>42311517</v>
      </c>
      <c r="B10225" s="76" t="s">
        <v>5384</v>
      </c>
    </row>
    <row r="10226" spans="1:2" x14ac:dyDescent="0.25">
      <c r="A10226" s="75">
        <v>42311518</v>
      </c>
      <c r="B10226" s="76" t="s">
        <v>13480</v>
      </c>
    </row>
    <row r="10227" spans="1:2" x14ac:dyDescent="0.25">
      <c r="A10227" s="75">
        <v>42311519</v>
      </c>
      <c r="B10227" s="76" t="s">
        <v>434</v>
      </c>
    </row>
    <row r="10228" spans="1:2" x14ac:dyDescent="0.25">
      <c r="A10228" s="75">
        <v>42311520</v>
      </c>
      <c r="B10228" s="76" t="s">
        <v>16066</v>
      </c>
    </row>
    <row r="10229" spans="1:2" x14ac:dyDescent="0.25">
      <c r="A10229" s="75">
        <v>42311521</v>
      </c>
      <c r="B10229" s="76" t="s">
        <v>7358</v>
      </c>
    </row>
    <row r="10230" spans="1:2" x14ac:dyDescent="0.25">
      <c r="A10230" s="75">
        <v>42311522</v>
      </c>
      <c r="B10230" s="76" t="s">
        <v>2893</v>
      </c>
    </row>
    <row r="10231" spans="1:2" x14ac:dyDescent="0.25">
      <c r="A10231" s="75">
        <v>42311523</v>
      </c>
      <c r="B10231" s="76" t="s">
        <v>14096</v>
      </c>
    </row>
    <row r="10232" spans="1:2" x14ac:dyDescent="0.25">
      <c r="A10232" s="75">
        <v>42311524</v>
      </c>
      <c r="B10232" s="76" t="s">
        <v>17372</v>
      </c>
    </row>
    <row r="10233" spans="1:2" x14ac:dyDescent="0.25">
      <c r="A10233" s="75">
        <v>42311525</v>
      </c>
      <c r="B10233" s="76" t="s">
        <v>13904</v>
      </c>
    </row>
    <row r="10234" spans="1:2" x14ac:dyDescent="0.25">
      <c r="A10234" s="75">
        <v>42311526</v>
      </c>
      <c r="B10234" s="76" t="s">
        <v>11383</v>
      </c>
    </row>
    <row r="10235" spans="1:2" x14ac:dyDescent="0.25">
      <c r="A10235" s="75">
        <v>42311527</v>
      </c>
      <c r="B10235" s="76" t="s">
        <v>12949</v>
      </c>
    </row>
    <row r="10236" spans="1:2" x14ac:dyDescent="0.25">
      <c r="A10236" s="75">
        <v>42311528</v>
      </c>
      <c r="B10236" s="76" t="s">
        <v>34</v>
      </c>
    </row>
    <row r="10237" spans="1:2" x14ac:dyDescent="0.25">
      <c r="A10237" s="75">
        <v>42311531</v>
      </c>
      <c r="B10237" s="76" t="s">
        <v>9876</v>
      </c>
    </row>
    <row r="10238" spans="1:2" x14ac:dyDescent="0.25">
      <c r="A10238" s="75">
        <v>42311532</v>
      </c>
      <c r="B10238" s="76" t="s">
        <v>8852</v>
      </c>
    </row>
    <row r="10239" spans="1:2" x14ac:dyDescent="0.25">
      <c r="A10239" s="75">
        <v>42311537</v>
      </c>
      <c r="B10239" s="76" t="s">
        <v>11239</v>
      </c>
    </row>
    <row r="10240" spans="1:2" x14ac:dyDescent="0.25">
      <c r="A10240" s="75">
        <v>42311538</v>
      </c>
      <c r="B10240" s="76" t="s">
        <v>9775</v>
      </c>
    </row>
    <row r="10241" spans="1:2" x14ac:dyDescent="0.25">
      <c r="A10241" s="75">
        <v>42311539</v>
      </c>
      <c r="B10241" s="76" t="s">
        <v>16729</v>
      </c>
    </row>
    <row r="10242" spans="1:2" x14ac:dyDescent="0.25">
      <c r="A10242" s="75">
        <v>42311601</v>
      </c>
      <c r="B10242" s="76" t="s">
        <v>6747</v>
      </c>
    </row>
    <row r="10243" spans="1:2" x14ac:dyDescent="0.25">
      <c r="A10243" s="75">
        <v>42311602</v>
      </c>
      <c r="B10243" s="76" t="s">
        <v>6138</v>
      </c>
    </row>
    <row r="10244" spans="1:2" x14ac:dyDescent="0.25">
      <c r="A10244" s="75">
        <v>42311603</v>
      </c>
      <c r="B10244" s="76" t="s">
        <v>12393</v>
      </c>
    </row>
    <row r="10245" spans="1:2" x14ac:dyDescent="0.25">
      <c r="A10245" s="75">
        <v>42311604</v>
      </c>
      <c r="B10245" s="76" t="s">
        <v>6554</v>
      </c>
    </row>
    <row r="10246" spans="1:2" x14ac:dyDescent="0.25">
      <c r="A10246" s="75">
        <v>42311702</v>
      </c>
      <c r="B10246" s="76" t="s">
        <v>2720</v>
      </c>
    </row>
    <row r="10247" spans="1:2" x14ac:dyDescent="0.25">
      <c r="A10247" s="75">
        <v>42311703</v>
      </c>
      <c r="B10247" s="76" t="s">
        <v>6289</v>
      </c>
    </row>
    <row r="10248" spans="1:2" x14ac:dyDescent="0.25">
      <c r="A10248" s="75">
        <v>42311704</v>
      </c>
      <c r="B10248" s="76" t="s">
        <v>8000</v>
      </c>
    </row>
    <row r="10249" spans="1:2" x14ac:dyDescent="0.25">
      <c r="A10249" s="75">
        <v>42311705</v>
      </c>
      <c r="B10249" s="76" t="s">
        <v>19528</v>
      </c>
    </row>
    <row r="10250" spans="1:2" x14ac:dyDescent="0.25">
      <c r="A10250" s="75">
        <v>42311707</v>
      </c>
      <c r="B10250" s="76" t="s">
        <v>18670</v>
      </c>
    </row>
    <row r="10251" spans="1:2" x14ac:dyDescent="0.25">
      <c r="A10251" s="75">
        <v>42311708</v>
      </c>
      <c r="B10251" s="76" t="s">
        <v>16608</v>
      </c>
    </row>
    <row r="10252" spans="1:2" x14ac:dyDescent="0.25">
      <c r="A10252" s="75">
        <v>42311901</v>
      </c>
      <c r="B10252" s="76" t="s">
        <v>16635</v>
      </c>
    </row>
    <row r="10253" spans="1:2" x14ac:dyDescent="0.25">
      <c r="A10253" s="75">
        <v>42311902</v>
      </c>
      <c r="B10253" s="76" t="s">
        <v>2718</v>
      </c>
    </row>
    <row r="10254" spans="1:2" x14ac:dyDescent="0.25">
      <c r="A10254" s="75">
        <v>42311903</v>
      </c>
      <c r="B10254" s="76" t="s">
        <v>5543</v>
      </c>
    </row>
    <row r="10255" spans="1:2" x14ac:dyDescent="0.25">
      <c r="A10255" s="75">
        <v>42312001</v>
      </c>
      <c r="B10255" s="76" t="s">
        <v>10398</v>
      </c>
    </row>
    <row r="10256" spans="1:2" x14ac:dyDescent="0.25">
      <c r="A10256" s="75">
        <v>42312002</v>
      </c>
      <c r="B10256" s="76" t="s">
        <v>10412</v>
      </c>
    </row>
    <row r="10257" spans="1:2" x14ac:dyDescent="0.25">
      <c r="A10257" s="75">
        <v>42312003</v>
      </c>
      <c r="B10257" s="76" t="s">
        <v>19549</v>
      </c>
    </row>
    <row r="10258" spans="1:2" x14ac:dyDescent="0.25">
      <c r="A10258" s="75">
        <v>42312004</v>
      </c>
      <c r="B10258" s="76" t="s">
        <v>1861</v>
      </c>
    </row>
    <row r="10259" spans="1:2" x14ac:dyDescent="0.25">
      <c r="A10259" s="75">
        <v>42312005</v>
      </c>
      <c r="B10259" s="76" t="s">
        <v>9866</v>
      </c>
    </row>
    <row r="10260" spans="1:2" x14ac:dyDescent="0.25">
      <c r="A10260" s="75">
        <v>42312006</v>
      </c>
      <c r="B10260" s="76" t="s">
        <v>18751</v>
      </c>
    </row>
    <row r="10261" spans="1:2" x14ac:dyDescent="0.25">
      <c r="A10261" s="75">
        <v>42312007</v>
      </c>
      <c r="B10261" s="76" t="s">
        <v>2977</v>
      </c>
    </row>
    <row r="10262" spans="1:2" x14ac:dyDescent="0.25">
      <c r="A10262" s="75">
        <v>42312008</v>
      </c>
      <c r="B10262" s="76" t="s">
        <v>14480</v>
      </c>
    </row>
    <row r="10263" spans="1:2" x14ac:dyDescent="0.25">
      <c r="A10263" s="75">
        <v>42312009</v>
      </c>
      <c r="B10263" s="76" t="s">
        <v>6341</v>
      </c>
    </row>
    <row r="10264" spans="1:2" x14ac:dyDescent="0.25">
      <c r="A10264" s="75">
        <v>42312010</v>
      </c>
      <c r="B10264" s="76" t="s">
        <v>1804</v>
      </c>
    </row>
    <row r="10265" spans="1:2" x14ac:dyDescent="0.25">
      <c r="A10265" s="75">
        <v>42312011</v>
      </c>
      <c r="B10265" s="76" t="s">
        <v>10784</v>
      </c>
    </row>
    <row r="10266" spans="1:2" x14ac:dyDescent="0.25">
      <c r="A10266" s="75">
        <v>42312012</v>
      </c>
      <c r="B10266" s="76" t="s">
        <v>15168</v>
      </c>
    </row>
    <row r="10267" spans="1:2" x14ac:dyDescent="0.25">
      <c r="A10267" s="75">
        <v>42312014</v>
      </c>
      <c r="B10267" s="76" t="s">
        <v>11284</v>
      </c>
    </row>
    <row r="10268" spans="1:2" x14ac:dyDescent="0.25">
      <c r="A10268" s="75">
        <v>42312101</v>
      </c>
      <c r="B10268" s="76" t="s">
        <v>12800</v>
      </c>
    </row>
    <row r="10269" spans="1:2" x14ac:dyDescent="0.25">
      <c r="A10269" s="75">
        <v>42312102</v>
      </c>
      <c r="B10269" s="76" t="s">
        <v>14289</v>
      </c>
    </row>
    <row r="10270" spans="1:2" x14ac:dyDescent="0.25">
      <c r="A10270" s="75">
        <v>42312103</v>
      </c>
      <c r="B10270" s="76" t="s">
        <v>26</v>
      </c>
    </row>
    <row r="10271" spans="1:2" x14ac:dyDescent="0.25">
      <c r="A10271" s="75">
        <v>42312104</v>
      </c>
      <c r="B10271" s="76" t="s">
        <v>18725</v>
      </c>
    </row>
    <row r="10272" spans="1:2" x14ac:dyDescent="0.25">
      <c r="A10272" s="75">
        <v>42312105</v>
      </c>
      <c r="B10272" s="76" t="s">
        <v>12830</v>
      </c>
    </row>
    <row r="10273" spans="1:2" x14ac:dyDescent="0.25">
      <c r="A10273" s="75">
        <v>42312106</v>
      </c>
      <c r="B10273" s="76" t="s">
        <v>7126</v>
      </c>
    </row>
    <row r="10274" spans="1:2" x14ac:dyDescent="0.25">
      <c r="A10274" s="75">
        <v>42312107</v>
      </c>
      <c r="B10274" s="76" t="s">
        <v>5575</v>
      </c>
    </row>
    <row r="10275" spans="1:2" x14ac:dyDescent="0.25">
      <c r="A10275" s="75">
        <v>42312108</v>
      </c>
      <c r="B10275" s="76" t="s">
        <v>1918</v>
      </c>
    </row>
    <row r="10276" spans="1:2" x14ac:dyDescent="0.25">
      <c r="A10276" s="75">
        <v>42312109</v>
      </c>
      <c r="B10276" s="76" t="s">
        <v>17685</v>
      </c>
    </row>
    <row r="10277" spans="1:2" x14ac:dyDescent="0.25">
      <c r="A10277" s="75">
        <v>42312110</v>
      </c>
      <c r="B10277" s="76" t="s">
        <v>19979</v>
      </c>
    </row>
    <row r="10278" spans="1:2" x14ac:dyDescent="0.25">
      <c r="A10278" s="75">
        <v>42312111</v>
      </c>
      <c r="B10278" s="76" t="s">
        <v>14224</v>
      </c>
    </row>
    <row r="10279" spans="1:2" x14ac:dyDescent="0.25">
      <c r="A10279" s="75">
        <v>42312112</v>
      </c>
      <c r="B10279" s="76" t="s">
        <v>3858</v>
      </c>
    </row>
    <row r="10280" spans="1:2" x14ac:dyDescent="0.25">
      <c r="A10280" s="75">
        <v>42312113</v>
      </c>
      <c r="B10280" s="76" t="s">
        <v>17281</v>
      </c>
    </row>
    <row r="10281" spans="1:2" x14ac:dyDescent="0.25">
      <c r="A10281" s="75">
        <v>42312114</v>
      </c>
      <c r="B10281" s="76" t="s">
        <v>3304</v>
      </c>
    </row>
    <row r="10282" spans="1:2" x14ac:dyDescent="0.25">
      <c r="A10282" s="75">
        <v>42312115</v>
      </c>
      <c r="B10282" s="76" t="s">
        <v>11081</v>
      </c>
    </row>
    <row r="10283" spans="1:2" x14ac:dyDescent="0.25">
      <c r="A10283" s="75">
        <v>42312201</v>
      </c>
      <c r="B10283" s="76" t="s">
        <v>7067</v>
      </c>
    </row>
    <row r="10284" spans="1:2" x14ac:dyDescent="0.25">
      <c r="A10284" s="75">
        <v>42312202</v>
      </c>
      <c r="B10284" s="76" t="s">
        <v>438</v>
      </c>
    </row>
    <row r="10285" spans="1:2" x14ac:dyDescent="0.25">
      <c r="A10285" s="75">
        <v>42312203</v>
      </c>
      <c r="B10285" s="76" t="s">
        <v>3598</v>
      </c>
    </row>
    <row r="10286" spans="1:2" x14ac:dyDescent="0.25">
      <c r="A10286" s="75">
        <v>42312204</v>
      </c>
      <c r="B10286" s="76" t="s">
        <v>16686</v>
      </c>
    </row>
    <row r="10287" spans="1:2" x14ac:dyDescent="0.25">
      <c r="A10287" s="75">
        <v>42312205</v>
      </c>
      <c r="B10287" s="76" t="s">
        <v>1989</v>
      </c>
    </row>
    <row r="10288" spans="1:2" x14ac:dyDescent="0.25">
      <c r="A10288" s="75">
        <v>42312206</v>
      </c>
      <c r="B10288" s="76" t="s">
        <v>7449</v>
      </c>
    </row>
    <row r="10289" spans="1:2" x14ac:dyDescent="0.25">
      <c r="A10289" s="75">
        <v>42312207</v>
      </c>
      <c r="B10289" s="76" t="s">
        <v>19768</v>
      </c>
    </row>
    <row r="10290" spans="1:2" x14ac:dyDescent="0.25">
      <c r="A10290" s="75">
        <v>42312208</v>
      </c>
      <c r="B10290" s="76" t="s">
        <v>18877</v>
      </c>
    </row>
    <row r="10291" spans="1:2" x14ac:dyDescent="0.25">
      <c r="A10291" s="75">
        <v>42312301</v>
      </c>
      <c r="B10291" s="76" t="s">
        <v>14769</v>
      </c>
    </row>
    <row r="10292" spans="1:2" x14ac:dyDescent="0.25">
      <c r="A10292" s="75">
        <v>42312302</v>
      </c>
      <c r="B10292" s="76" t="s">
        <v>14666</v>
      </c>
    </row>
    <row r="10293" spans="1:2" x14ac:dyDescent="0.25">
      <c r="A10293" s="75">
        <v>42312303</v>
      </c>
      <c r="B10293" s="76" t="s">
        <v>4487</v>
      </c>
    </row>
    <row r="10294" spans="1:2" x14ac:dyDescent="0.25">
      <c r="A10294" s="75">
        <v>42312304</v>
      </c>
      <c r="B10294" s="76" t="s">
        <v>4073</v>
      </c>
    </row>
    <row r="10295" spans="1:2" x14ac:dyDescent="0.25">
      <c r="A10295" s="75">
        <v>42312305</v>
      </c>
      <c r="B10295" s="76" t="s">
        <v>6702</v>
      </c>
    </row>
    <row r="10296" spans="1:2" x14ac:dyDescent="0.25">
      <c r="A10296" s="75">
        <v>42312306</v>
      </c>
      <c r="B10296" s="76" t="s">
        <v>4956</v>
      </c>
    </row>
    <row r="10297" spans="1:2" x14ac:dyDescent="0.25">
      <c r="A10297" s="75">
        <v>42312307</v>
      </c>
      <c r="B10297" s="76" t="s">
        <v>9206</v>
      </c>
    </row>
    <row r="10298" spans="1:2" x14ac:dyDescent="0.25">
      <c r="A10298" s="75">
        <v>42312309</v>
      </c>
      <c r="B10298" s="76" t="s">
        <v>2547</v>
      </c>
    </row>
    <row r="10299" spans="1:2" x14ac:dyDescent="0.25">
      <c r="A10299" s="75">
        <v>42312310</v>
      </c>
      <c r="B10299" s="76" t="s">
        <v>2305</v>
      </c>
    </row>
    <row r="10300" spans="1:2" x14ac:dyDescent="0.25">
      <c r="A10300" s="75">
        <v>42312311</v>
      </c>
      <c r="B10300" s="76" t="s">
        <v>210</v>
      </c>
    </row>
    <row r="10301" spans="1:2" x14ac:dyDescent="0.25">
      <c r="A10301" s="75">
        <v>42312312</v>
      </c>
      <c r="B10301" s="76" t="s">
        <v>9164</v>
      </c>
    </row>
    <row r="10302" spans="1:2" x14ac:dyDescent="0.25">
      <c r="A10302" s="75">
        <v>42312313</v>
      </c>
      <c r="B10302" s="76" t="s">
        <v>12384</v>
      </c>
    </row>
    <row r="10303" spans="1:2" x14ac:dyDescent="0.25">
      <c r="A10303" s="75">
        <v>42312401</v>
      </c>
      <c r="B10303" s="76" t="s">
        <v>11646</v>
      </c>
    </row>
    <row r="10304" spans="1:2" x14ac:dyDescent="0.25">
      <c r="A10304" s="75">
        <v>42312402</v>
      </c>
      <c r="B10304" s="76" t="s">
        <v>1524</v>
      </c>
    </row>
    <row r="10305" spans="1:2" x14ac:dyDescent="0.25">
      <c r="A10305" s="75">
        <v>42312403</v>
      </c>
      <c r="B10305" s="76" t="s">
        <v>15499</v>
      </c>
    </row>
    <row r="10306" spans="1:2" x14ac:dyDescent="0.25">
      <c r="A10306" s="75">
        <v>42312501</v>
      </c>
      <c r="B10306" s="76" t="s">
        <v>10120</v>
      </c>
    </row>
    <row r="10307" spans="1:2" x14ac:dyDescent="0.25">
      <c r="A10307" s="75">
        <v>42312502</v>
      </c>
      <c r="B10307" s="76" t="s">
        <v>6374</v>
      </c>
    </row>
    <row r="10308" spans="1:2" x14ac:dyDescent="0.25">
      <c r="A10308" s="75">
        <v>42312503</v>
      </c>
      <c r="B10308" s="76" t="s">
        <v>6910</v>
      </c>
    </row>
    <row r="10309" spans="1:2" x14ac:dyDescent="0.25">
      <c r="A10309" s="75">
        <v>43191501</v>
      </c>
      <c r="B10309" s="76" t="s">
        <v>8257</v>
      </c>
    </row>
    <row r="10310" spans="1:2" x14ac:dyDescent="0.25">
      <c r="A10310" s="75">
        <v>43191502</v>
      </c>
      <c r="B10310" s="76" t="s">
        <v>11271</v>
      </c>
    </row>
    <row r="10311" spans="1:2" x14ac:dyDescent="0.25">
      <c r="A10311" s="75">
        <v>43191503</v>
      </c>
      <c r="B10311" s="76" t="s">
        <v>12931</v>
      </c>
    </row>
    <row r="10312" spans="1:2" x14ac:dyDescent="0.25">
      <c r="A10312" s="75">
        <v>43191504</v>
      </c>
      <c r="B10312" s="76" t="s">
        <v>18261</v>
      </c>
    </row>
    <row r="10313" spans="1:2" x14ac:dyDescent="0.25">
      <c r="A10313" s="75">
        <v>43191505</v>
      </c>
      <c r="B10313" s="76" t="s">
        <v>5809</v>
      </c>
    </row>
    <row r="10314" spans="1:2" x14ac:dyDescent="0.25">
      <c r="A10314" s="75">
        <v>43191507</v>
      </c>
      <c r="B10314" s="76" t="s">
        <v>6923</v>
      </c>
    </row>
    <row r="10315" spans="1:2" x14ac:dyDescent="0.25">
      <c r="A10315" s="75">
        <v>43191508</v>
      </c>
      <c r="B10315" s="76" t="s">
        <v>16884</v>
      </c>
    </row>
    <row r="10316" spans="1:2" x14ac:dyDescent="0.25">
      <c r="A10316" s="75">
        <v>43191509</v>
      </c>
      <c r="B10316" s="76" t="s">
        <v>3607</v>
      </c>
    </row>
    <row r="10317" spans="1:2" x14ac:dyDescent="0.25">
      <c r="A10317" s="75">
        <v>43191510</v>
      </c>
      <c r="B10317" s="76" t="s">
        <v>16423</v>
      </c>
    </row>
    <row r="10318" spans="1:2" x14ac:dyDescent="0.25">
      <c r="A10318" s="75">
        <v>43191601</v>
      </c>
      <c r="B10318" s="76" t="s">
        <v>12269</v>
      </c>
    </row>
    <row r="10319" spans="1:2" x14ac:dyDescent="0.25">
      <c r="A10319" s="75">
        <v>43191602</v>
      </c>
      <c r="B10319" s="76" t="s">
        <v>822</v>
      </c>
    </row>
    <row r="10320" spans="1:2" x14ac:dyDescent="0.25">
      <c r="A10320" s="75">
        <v>43191603</v>
      </c>
      <c r="B10320" s="76" t="s">
        <v>13078</v>
      </c>
    </row>
    <row r="10321" spans="1:2" x14ac:dyDescent="0.25">
      <c r="A10321" s="75">
        <v>43191604</v>
      </c>
      <c r="B10321" s="76" t="s">
        <v>5458</v>
      </c>
    </row>
    <row r="10322" spans="1:2" x14ac:dyDescent="0.25">
      <c r="A10322" s="75">
        <v>43191605</v>
      </c>
      <c r="B10322" s="76" t="s">
        <v>1832</v>
      </c>
    </row>
    <row r="10323" spans="1:2" x14ac:dyDescent="0.25">
      <c r="A10323" s="75">
        <v>43191606</v>
      </c>
      <c r="B10323" s="76" t="s">
        <v>5736</v>
      </c>
    </row>
    <row r="10324" spans="1:2" x14ac:dyDescent="0.25">
      <c r="A10324" s="75">
        <v>43191607</v>
      </c>
      <c r="B10324" s="76" t="s">
        <v>5126</v>
      </c>
    </row>
    <row r="10325" spans="1:2" x14ac:dyDescent="0.25">
      <c r="A10325" s="75">
        <v>43191608</v>
      </c>
      <c r="B10325" s="76" t="s">
        <v>16675</v>
      </c>
    </row>
    <row r="10326" spans="1:2" x14ac:dyDescent="0.25">
      <c r="A10326" s="75">
        <v>43191609</v>
      </c>
      <c r="B10326" s="76" t="s">
        <v>17279</v>
      </c>
    </row>
    <row r="10327" spans="1:2" x14ac:dyDescent="0.25">
      <c r="A10327" s="75">
        <v>43191610</v>
      </c>
      <c r="B10327" s="76" t="s">
        <v>12366</v>
      </c>
    </row>
    <row r="10328" spans="1:2" x14ac:dyDescent="0.25">
      <c r="A10328" s="75">
        <v>43191611</v>
      </c>
      <c r="B10328" s="76" t="s">
        <v>5644</v>
      </c>
    </row>
    <row r="10329" spans="1:2" x14ac:dyDescent="0.25">
      <c r="A10329" s="75">
        <v>43191612</v>
      </c>
      <c r="B10329" s="76" t="s">
        <v>17605</v>
      </c>
    </row>
    <row r="10330" spans="1:2" x14ac:dyDescent="0.25">
      <c r="A10330" s="75">
        <v>43191614</v>
      </c>
      <c r="B10330" s="76" t="s">
        <v>16467</v>
      </c>
    </row>
    <row r="10331" spans="1:2" x14ac:dyDescent="0.25">
      <c r="A10331" s="75">
        <v>43191615</v>
      </c>
      <c r="B10331" s="76" t="s">
        <v>8331</v>
      </c>
    </row>
    <row r="10332" spans="1:2" x14ac:dyDescent="0.25">
      <c r="A10332" s="75">
        <v>43191616</v>
      </c>
      <c r="B10332" s="76" t="s">
        <v>314</v>
      </c>
    </row>
    <row r="10333" spans="1:2" x14ac:dyDescent="0.25">
      <c r="A10333" s="75">
        <v>43191618</v>
      </c>
      <c r="B10333" s="76" t="s">
        <v>1786</v>
      </c>
    </row>
    <row r="10334" spans="1:2" x14ac:dyDescent="0.25">
      <c r="A10334" s="75">
        <v>43191619</v>
      </c>
      <c r="B10334" s="76" t="s">
        <v>10768</v>
      </c>
    </row>
    <row r="10335" spans="1:2" x14ac:dyDescent="0.25">
      <c r="A10335" s="75">
        <v>43191621</v>
      </c>
      <c r="B10335" s="76" t="s">
        <v>14874</v>
      </c>
    </row>
    <row r="10336" spans="1:2" x14ac:dyDescent="0.25">
      <c r="A10336" s="75">
        <v>43191622</v>
      </c>
      <c r="B10336" s="76" t="s">
        <v>8290</v>
      </c>
    </row>
    <row r="10337" spans="1:2" x14ac:dyDescent="0.25">
      <c r="A10337" s="75">
        <v>43191623</v>
      </c>
      <c r="B10337" s="76" t="s">
        <v>3953</v>
      </c>
    </row>
    <row r="10338" spans="1:2" x14ac:dyDescent="0.25">
      <c r="A10338" s="75">
        <v>43191624</v>
      </c>
      <c r="B10338" s="76" t="s">
        <v>11881</v>
      </c>
    </row>
    <row r="10339" spans="1:2" x14ac:dyDescent="0.25">
      <c r="A10339" s="75">
        <v>43191625</v>
      </c>
      <c r="B10339" s="76" t="s">
        <v>5912</v>
      </c>
    </row>
    <row r="10340" spans="1:2" x14ac:dyDescent="0.25">
      <c r="A10340" s="75">
        <v>43191626</v>
      </c>
      <c r="B10340" s="76" t="s">
        <v>14791</v>
      </c>
    </row>
    <row r="10341" spans="1:2" x14ac:dyDescent="0.25">
      <c r="A10341" s="75">
        <v>43191627</v>
      </c>
      <c r="B10341" s="76" t="s">
        <v>18158</v>
      </c>
    </row>
    <row r="10342" spans="1:2" x14ac:dyDescent="0.25">
      <c r="A10342" s="75">
        <v>43191628</v>
      </c>
      <c r="B10342" s="76" t="s">
        <v>6715</v>
      </c>
    </row>
    <row r="10343" spans="1:2" x14ac:dyDescent="0.25">
      <c r="A10343" s="75">
        <v>43191629</v>
      </c>
      <c r="B10343" s="76" t="s">
        <v>11156</v>
      </c>
    </row>
    <row r="10344" spans="1:2" x14ac:dyDescent="0.25">
      <c r="A10344" s="75">
        <v>43191630</v>
      </c>
      <c r="B10344" s="76" t="s">
        <v>7057</v>
      </c>
    </row>
    <row r="10345" spans="1:2" x14ac:dyDescent="0.25">
      <c r="A10345" s="75">
        <v>43201401</v>
      </c>
      <c r="B10345" s="76" t="s">
        <v>1720</v>
      </c>
    </row>
    <row r="10346" spans="1:2" x14ac:dyDescent="0.25">
      <c r="A10346" s="75">
        <v>43201402</v>
      </c>
      <c r="B10346" s="76" t="s">
        <v>795</v>
      </c>
    </row>
    <row r="10347" spans="1:2" x14ac:dyDescent="0.25">
      <c r="A10347" s="75">
        <v>43201403</v>
      </c>
      <c r="B10347" s="76" t="s">
        <v>15690</v>
      </c>
    </row>
    <row r="10348" spans="1:2" x14ac:dyDescent="0.25">
      <c r="A10348" s="75">
        <v>43201404</v>
      </c>
      <c r="B10348" s="76" t="s">
        <v>3727</v>
      </c>
    </row>
    <row r="10349" spans="1:2" x14ac:dyDescent="0.25">
      <c r="A10349" s="75">
        <v>43201405</v>
      </c>
      <c r="B10349" s="76" t="s">
        <v>3091</v>
      </c>
    </row>
    <row r="10350" spans="1:2" x14ac:dyDescent="0.25">
      <c r="A10350" s="75">
        <v>43201406</v>
      </c>
      <c r="B10350" s="76" t="s">
        <v>19174</v>
      </c>
    </row>
    <row r="10351" spans="1:2" x14ac:dyDescent="0.25">
      <c r="A10351" s="75">
        <v>43201407</v>
      </c>
      <c r="B10351" s="76" t="s">
        <v>72</v>
      </c>
    </row>
    <row r="10352" spans="1:2" x14ac:dyDescent="0.25">
      <c r="A10352" s="75">
        <v>43201408</v>
      </c>
      <c r="B10352" s="76" t="s">
        <v>3133</v>
      </c>
    </row>
    <row r="10353" spans="1:2" x14ac:dyDescent="0.25">
      <c r="A10353" s="75">
        <v>43201409</v>
      </c>
      <c r="B10353" s="76" t="s">
        <v>10011</v>
      </c>
    </row>
    <row r="10354" spans="1:2" x14ac:dyDescent="0.25">
      <c r="A10354" s="75">
        <v>43201410</v>
      </c>
      <c r="B10354" s="76" t="s">
        <v>16449</v>
      </c>
    </row>
    <row r="10355" spans="1:2" x14ac:dyDescent="0.25">
      <c r="A10355" s="75">
        <v>43201501</v>
      </c>
      <c r="B10355" s="76" t="s">
        <v>19585</v>
      </c>
    </row>
    <row r="10356" spans="1:2" x14ac:dyDescent="0.25">
      <c r="A10356" s="75">
        <v>43201502</v>
      </c>
      <c r="B10356" s="76" t="s">
        <v>321</v>
      </c>
    </row>
    <row r="10357" spans="1:2" x14ac:dyDescent="0.25">
      <c r="A10357" s="75">
        <v>43201503</v>
      </c>
      <c r="B10357" s="76" t="s">
        <v>4364</v>
      </c>
    </row>
    <row r="10358" spans="1:2" x14ac:dyDescent="0.25">
      <c r="A10358" s="75">
        <v>43201507</v>
      </c>
      <c r="B10358" s="76" t="s">
        <v>4810</v>
      </c>
    </row>
    <row r="10359" spans="1:2" x14ac:dyDescent="0.25">
      <c r="A10359" s="75">
        <v>43201508</v>
      </c>
      <c r="B10359" s="76" t="s">
        <v>5625</v>
      </c>
    </row>
    <row r="10360" spans="1:2" x14ac:dyDescent="0.25">
      <c r="A10360" s="75">
        <v>43201509</v>
      </c>
      <c r="B10360" s="76" t="s">
        <v>13754</v>
      </c>
    </row>
    <row r="10361" spans="1:2" x14ac:dyDescent="0.25">
      <c r="A10361" s="75">
        <v>43201513</v>
      </c>
      <c r="B10361" s="76" t="s">
        <v>2795</v>
      </c>
    </row>
    <row r="10362" spans="1:2" x14ac:dyDescent="0.25">
      <c r="A10362" s="75">
        <v>43201522</v>
      </c>
      <c r="B10362" s="76" t="s">
        <v>1189</v>
      </c>
    </row>
    <row r="10363" spans="1:2" x14ac:dyDescent="0.25">
      <c r="A10363" s="75">
        <v>43201531</v>
      </c>
      <c r="B10363" s="76" t="s">
        <v>423</v>
      </c>
    </row>
    <row r="10364" spans="1:2" x14ac:dyDescent="0.25">
      <c r="A10364" s="75">
        <v>43201533</v>
      </c>
      <c r="B10364" s="76" t="s">
        <v>19042</v>
      </c>
    </row>
    <row r="10365" spans="1:2" x14ac:dyDescent="0.25">
      <c r="A10365" s="75">
        <v>43201534</v>
      </c>
      <c r="B10365" s="76" t="s">
        <v>1280</v>
      </c>
    </row>
    <row r="10366" spans="1:2" x14ac:dyDescent="0.25">
      <c r="A10366" s="75">
        <v>43201535</v>
      </c>
      <c r="B10366" s="76" t="s">
        <v>12232</v>
      </c>
    </row>
    <row r="10367" spans="1:2" x14ac:dyDescent="0.25">
      <c r="A10367" s="75">
        <v>43201537</v>
      </c>
      <c r="B10367" s="76" t="s">
        <v>16725</v>
      </c>
    </row>
    <row r="10368" spans="1:2" x14ac:dyDescent="0.25">
      <c r="A10368" s="75">
        <v>43201538</v>
      </c>
      <c r="B10368" s="76" t="s">
        <v>4620</v>
      </c>
    </row>
    <row r="10369" spans="1:2" x14ac:dyDescent="0.25">
      <c r="A10369" s="75">
        <v>43201539</v>
      </c>
      <c r="B10369" s="76" t="s">
        <v>11032</v>
      </c>
    </row>
    <row r="10370" spans="1:2" x14ac:dyDescent="0.25">
      <c r="A10370" s="75">
        <v>43201540</v>
      </c>
      <c r="B10370" s="76" t="s">
        <v>13381</v>
      </c>
    </row>
    <row r="10371" spans="1:2" x14ac:dyDescent="0.25">
      <c r="A10371" s="75">
        <v>43201541</v>
      </c>
      <c r="B10371" s="76" t="s">
        <v>16191</v>
      </c>
    </row>
    <row r="10372" spans="1:2" x14ac:dyDescent="0.25">
      <c r="A10372" s="75">
        <v>43201542</v>
      </c>
      <c r="B10372" s="76" t="s">
        <v>720</v>
      </c>
    </row>
    <row r="10373" spans="1:2" x14ac:dyDescent="0.25">
      <c r="A10373" s="75">
        <v>43201543</v>
      </c>
      <c r="B10373" s="76" t="s">
        <v>19144</v>
      </c>
    </row>
    <row r="10374" spans="1:2" x14ac:dyDescent="0.25">
      <c r="A10374" s="75">
        <v>43201544</v>
      </c>
      <c r="B10374" s="76" t="s">
        <v>19405</v>
      </c>
    </row>
    <row r="10375" spans="1:2" x14ac:dyDescent="0.25">
      <c r="A10375" s="75">
        <v>43201545</v>
      </c>
      <c r="B10375" s="76" t="s">
        <v>6116</v>
      </c>
    </row>
    <row r="10376" spans="1:2" x14ac:dyDescent="0.25">
      <c r="A10376" s="75">
        <v>43201546</v>
      </c>
      <c r="B10376" s="76" t="s">
        <v>4941</v>
      </c>
    </row>
    <row r="10377" spans="1:2" x14ac:dyDescent="0.25">
      <c r="A10377" s="75">
        <v>43201547</v>
      </c>
      <c r="B10377" s="76" t="s">
        <v>497</v>
      </c>
    </row>
    <row r="10378" spans="1:2" x14ac:dyDescent="0.25">
      <c r="A10378" s="75">
        <v>43201549</v>
      </c>
      <c r="B10378" s="76" t="s">
        <v>2344</v>
      </c>
    </row>
    <row r="10379" spans="1:2" x14ac:dyDescent="0.25">
      <c r="A10379" s="75">
        <v>43201550</v>
      </c>
      <c r="B10379" s="76" t="s">
        <v>10854</v>
      </c>
    </row>
    <row r="10380" spans="1:2" x14ac:dyDescent="0.25">
      <c r="A10380" s="75">
        <v>43201552</v>
      </c>
      <c r="B10380" s="76" t="s">
        <v>19135</v>
      </c>
    </row>
    <row r="10381" spans="1:2" x14ac:dyDescent="0.25">
      <c r="A10381" s="75">
        <v>43201553</v>
      </c>
      <c r="B10381" s="76" t="s">
        <v>15199</v>
      </c>
    </row>
    <row r="10382" spans="1:2" x14ac:dyDescent="0.25">
      <c r="A10382" s="75">
        <v>43201601</v>
      </c>
      <c r="B10382" s="76" t="s">
        <v>1127</v>
      </c>
    </row>
    <row r="10383" spans="1:2" x14ac:dyDescent="0.25">
      <c r="A10383" s="75">
        <v>43201602</v>
      </c>
      <c r="B10383" s="76" t="s">
        <v>218</v>
      </c>
    </row>
    <row r="10384" spans="1:2" x14ac:dyDescent="0.25">
      <c r="A10384" s="75">
        <v>43201603</v>
      </c>
      <c r="B10384" s="76" t="s">
        <v>8828</v>
      </c>
    </row>
    <row r="10385" spans="1:2" x14ac:dyDescent="0.25">
      <c r="A10385" s="75">
        <v>43201604</v>
      </c>
      <c r="B10385" s="76" t="s">
        <v>17377</v>
      </c>
    </row>
    <row r="10386" spans="1:2" x14ac:dyDescent="0.25">
      <c r="A10386" s="75">
        <v>43201605</v>
      </c>
      <c r="B10386" s="76" t="s">
        <v>3396</v>
      </c>
    </row>
    <row r="10387" spans="1:2" x14ac:dyDescent="0.25">
      <c r="A10387" s="75">
        <v>43201608</v>
      </c>
      <c r="B10387" s="76" t="s">
        <v>17740</v>
      </c>
    </row>
    <row r="10388" spans="1:2" x14ac:dyDescent="0.25">
      <c r="A10388" s="75">
        <v>43201609</v>
      </c>
      <c r="B10388" s="76" t="s">
        <v>935</v>
      </c>
    </row>
    <row r="10389" spans="1:2" x14ac:dyDescent="0.25">
      <c r="A10389" s="75">
        <v>43201610</v>
      </c>
      <c r="B10389" s="76" t="s">
        <v>3047</v>
      </c>
    </row>
    <row r="10390" spans="1:2" x14ac:dyDescent="0.25">
      <c r="A10390" s="75">
        <v>43201611</v>
      </c>
      <c r="B10390" s="76" t="s">
        <v>9112</v>
      </c>
    </row>
    <row r="10391" spans="1:2" x14ac:dyDescent="0.25">
      <c r="A10391" s="75">
        <v>43201612</v>
      </c>
      <c r="B10391" s="76" t="s">
        <v>16372</v>
      </c>
    </row>
    <row r="10392" spans="1:2" x14ac:dyDescent="0.25">
      <c r="A10392" s="75">
        <v>43201614</v>
      </c>
      <c r="B10392" s="76" t="s">
        <v>19658</v>
      </c>
    </row>
    <row r="10393" spans="1:2" x14ac:dyDescent="0.25">
      <c r="A10393" s="75">
        <v>43201615</v>
      </c>
      <c r="B10393" s="76" t="s">
        <v>18869</v>
      </c>
    </row>
    <row r="10394" spans="1:2" x14ac:dyDescent="0.25">
      <c r="A10394" s="75">
        <v>43201616</v>
      </c>
      <c r="B10394" s="76" t="s">
        <v>17900</v>
      </c>
    </row>
    <row r="10395" spans="1:2" x14ac:dyDescent="0.25">
      <c r="A10395" s="75">
        <v>43201801</v>
      </c>
      <c r="B10395" s="76" t="s">
        <v>2472</v>
      </c>
    </row>
    <row r="10396" spans="1:2" x14ac:dyDescent="0.25">
      <c r="A10396" s="75">
        <v>43201802</v>
      </c>
      <c r="B10396" s="76" t="s">
        <v>13217</v>
      </c>
    </row>
    <row r="10397" spans="1:2" x14ac:dyDescent="0.25">
      <c r="A10397" s="75">
        <v>43201803</v>
      </c>
      <c r="B10397" s="76" t="s">
        <v>15306</v>
      </c>
    </row>
    <row r="10398" spans="1:2" x14ac:dyDescent="0.25">
      <c r="A10398" s="75">
        <v>43201806</v>
      </c>
      <c r="B10398" s="76" t="s">
        <v>8512</v>
      </c>
    </row>
    <row r="10399" spans="1:2" x14ac:dyDescent="0.25">
      <c r="A10399" s="75">
        <v>43201807</v>
      </c>
      <c r="B10399" s="76" t="s">
        <v>13676</v>
      </c>
    </row>
    <row r="10400" spans="1:2" x14ac:dyDescent="0.25">
      <c r="A10400" s="75">
        <v>43201808</v>
      </c>
      <c r="B10400" s="76" t="s">
        <v>15074</v>
      </c>
    </row>
    <row r="10401" spans="1:2" x14ac:dyDescent="0.25">
      <c r="A10401" s="75">
        <v>43201809</v>
      </c>
      <c r="B10401" s="76" t="s">
        <v>15816</v>
      </c>
    </row>
    <row r="10402" spans="1:2" x14ac:dyDescent="0.25">
      <c r="A10402" s="75">
        <v>43201810</v>
      </c>
      <c r="B10402" s="76" t="s">
        <v>8265</v>
      </c>
    </row>
    <row r="10403" spans="1:2" x14ac:dyDescent="0.25">
      <c r="A10403" s="75">
        <v>43201811</v>
      </c>
      <c r="B10403" s="76" t="s">
        <v>6766</v>
      </c>
    </row>
    <row r="10404" spans="1:2" x14ac:dyDescent="0.25">
      <c r="A10404" s="75">
        <v>43201812</v>
      </c>
      <c r="B10404" s="76" t="s">
        <v>2072</v>
      </c>
    </row>
    <row r="10405" spans="1:2" x14ac:dyDescent="0.25">
      <c r="A10405" s="75">
        <v>43201813</v>
      </c>
      <c r="B10405" s="76" t="s">
        <v>19464</v>
      </c>
    </row>
    <row r="10406" spans="1:2" x14ac:dyDescent="0.25">
      <c r="A10406" s="75">
        <v>43201814</v>
      </c>
      <c r="B10406" s="76" t="s">
        <v>15802</v>
      </c>
    </row>
    <row r="10407" spans="1:2" x14ac:dyDescent="0.25">
      <c r="A10407" s="75">
        <v>43201815</v>
      </c>
      <c r="B10407" s="76" t="s">
        <v>12427</v>
      </c>
    </row>
    <row r="10408" spans="1:2" x14ac:dyDescent="0.25">
      <c r="A10408" s="75">
        <v>43201902</v>
      </c>
      <c r="B10408" s="76" t="s">
        <v>1300</v>
      </c>
    </row>
    <row r="10409" spans="1:2" x14ac:dyDescent="0.25">
      <c r="A10409" s="75">
        <v>43201903</v>
      </c>
      <c r="B10409" s="76" t="s">
        <v>19356</v>
      </c>
    </row>
    <row r="10410" spans="1:2" x14ac:dyDescent="0.25">
      <c r="A10410" s="75">
        <v>43202001</v>
      </c>
      <c r="B10410" s="76" t="s">
        <v>16359</v>
      </c>
    </row>
    <row r="10411" spans="1:2" x14ac:dyDescent="0.25">
      <c r="A10411" s="75">
        <v>43202002</v>
      </c>
      <c r="B10411" s="76" t="s">
        <v>7260</v>
      </c>
    </row>
    <row r="10412" spans="1:2" x14ac:dyDescent="0.25">
      <c r="A10412" s="75">
        <v>43202003</v>
      </c>
      <c r="B10412" s="76" t="s">
        <v>4158</v>
      </c>
    </row>
    <row r="10413" spans="1:2" x14ac:dyDescent="0.25">
      <c r="A10413" s="75">
        <v>43202004</v>
      </c>
      <c r="B10413" s="76" t="s">
        <v>12759</v>
      </c>
    </row>
    <row r="10414" spans="1:2" x14ac:dyDescent="0.25">
      <c r="A10414" s="75">
        <v>43202005</v>
      </c>
      <c r="B10414" s="76" t="s">
        <v>16603</v>
      </c>
    </row>
    <row r="10415" spans="1:2" x14ac:dyDescent="0.25">
      <c r="A10415" s="75">
        <v>43202101</v>
      </c>
      <c r="B10415" s="76" t="s">
        <v>8383</v>
      </c>
    </row>
    <row r="10416" spans="1:2" x14ac:dyDescent="0.25">
      <c r="A10416" s="75">
        <v>43202102</v>
      </c>
      <c r="B10416" s="76" t="s">
        <v>16810</v>
      </c>
    </row>
    <row r="10417" spans="1:2" x14ac:dyDescent="0.25">
      <c r="A10417" s="75">
        <v>43202103</v>
      </c>
      <c r="B10417" s="76" t="s">
        <v>18301</v>
      </c>
    </row>
    <row r="10418" spans="1:2" x14ac:dyDescent="0.25">
      <c r="A10418" s="75">
        <v>43202104</v>
      </c>
      <c r="B10418" s="76" t="s">
        <v>8030</v>
      </c>
    </row>
    <row r="10419" spans="1:2" x14ac:dyDescent="0.25">
      <c r="A10419" s="75">
        <v>43202105</v>
      </c>
      <c r="B10419" s="76" t="s">
        <v>11300</v>
      </c>
    </row>
    <row r="10420" spans="1:2" x14ac:dyDescent="0.25">
      <c r="A10420" s="75">
        <v>43202201</v>
      </c>
      <c r="B10420" s="76" t="s">
        <v>12574</v>
      </c>
    </row>
    <row r="10421" spans="1:2" x14ac:dyDescent="0.25">
      <c r="A10421" s="75">
        <v>43202202</v>
      </c>
      <c r="B10421" s="76" t="s">
        <v>4330</v>
      </c>
    </row>
    <row r="10422" spans="1:2" x14ac:dyDescent="0.25">
      <c r="A10422" s="75">
        <v>43202204</v>
      </c>
      <c r="B10422" s="76" t="s">
        <v>17418</v>
      </c>
    </row>
    <row r="10423" spans="1:2" x14ac:dyDescent="0.25">
      <c r="A10423" s="75">
        <v>43202205</v>
      </c>
      <c r="B10423" s="76" t="s">
        <v>13432</v>
      </c>
    </row>
    <row r="10424" spans="1:2" x14ac:dyDescent="0.25">
      <c r="A10424" s="75">
        <v>43202206</v>
      </c>
      <c r="B10424" s="76" t="s">
        <v>18229</v>
      </c>
    </row>
    <row r="10425" spans="1:2" x14ac:dyDescent="0.25">
      <c r="A10425" s="75">
        <v>43202207</v>
      </c>
      <c r="B10425" s="76" t="s">
        <v>1957</v>
      </c>
    </row>
    <row r="10426" spans="1:2" x14ac:dyDescent="0.25">
      <c r="A10426" s="75">
        <v>43202208</v>
      </c>
      <c r="B10426" s="76" t="s">
        <v>15632</v>
      </c>
    </row>
    <row r="10427" spans="1:2" x14ac:dyDescent="0.25">
      <c r="A10427" s="75">
        <v>43202209</v>
      </c>
      <c r="B10427" s="76" t="s">
        <v>14901</v>
      </c>
    </row>
    <row r="10428" spans="1:2" x14ac:dyDescent="0.25">
      <c r="A10428" s="75">
        <v>43202210</v>
      </c>
      <c r="B10428" s="76" t="s">
        <v>5979</v>
      </c>
    </row>
    <row r="10429" spans="1:2" x14ac:dyDescent="0.25">
      <c r="A10429" s="75">
        <v>43202211</v>
      </c>
      <c r="B10429" s="76" t="s">
        <v>2648</v>
      </c>
    </row>
    <row r="10430" spans="1:2" x14ac:dyDescent="0.25">
      <c r="A10430" s="75">
        <v>43202212</v>
      </c>
      <c r="B10430" s="76" t="s">
        <v>8704</v>
      </c>
    </row>
    <row r="10431" spans="1:2" x14ac:dyDescent="0.25">
      <c r="A10431" s="75">
        <v>43202213</v>
      </c>
      <c r="B10431" s="76" t="s">
        <v>1655</v>
      </c>
    </row>
    <row r="10432" spans="1:2" x14ac:dyDescent="0.25">
      <c r="A10432" s="75">
        <v>43202214</v>
      </c>
      <c r="B10432" s="76" t="s">
        <v>8562</v>
      </c>
    </row>
    <row r="10433" spans="1:2" x14ac:dyDescent="0.25">
      <c r="A10433" s="75">
        <v>43211501</v>
      </c>
      <c r="B10433" s="76" t="s">
        <v>20069</v>
      </c>
    </row>
    <row r="10434" spans="1:2" x14ac:dyDescent="0.25">
      <c r="A10434" s="75">
        <v>43211502</v>
      </c>
      <c r="B10434" s="76" t="s">
        <v>12047</v>
      </c>
    </row>
    <row r="10435" spans="1:2" x14ac:dyDescent="0.25">
      <c r="A10435" s="75">
        <v>43211503</v>
      </c>
      <c r="B10435" s="76" t="s">
        <v>1588</v>
      </c>
    </row>
    <row r="10436" spans="1:2" x14ac:dyDescent="0.25">
      <c r="A10436" s="75">
        <v>43211504</v>
      </c>
      <c r="B10436" s="76" t="s">
        <v>18346</v>
      </c>
    </row>
    <row r="10437" spans="1:2" x14ac:dyDescent="0.25">
      <c r="A10437" s="75">
        <v>43211505</v>
      </c>
      <c r="B10437" s="76" t="s">
        <v>4894</v>
      </c>
    </row>
    <row r="10438" spans="1:2" x14ac:dyDescent="0.25">
      <c r="A10438" s="75">
        <v>43211506</v>
      </c>
      <c r="B10438" s="76" t="s">
        <v>9508</v>
      </c>
    </row>
    <row r="10439" spans="1:2" x14ac:dyDescent="0.25">
      <c r="A10439" s="75">
        <v>43211507</v>
      </c>
      <c r="B10439" s="76" t="s">
        <v>12617</v>
      </c>
    </row>
    <row r="10440" spans="1:2" x14ac:dyDescent="0.25">
      <c r="A10440" s="75">
        <v>43211508</v>
      </c>
      <c r="B10440" s="76" t="s">
        <v>6253</v>
      </c>
    </row>
    <row r="10441" spans="1:2" x14ac:dyDescent="0.25">
      <c r="A10441" s="75">
        <v>43211509</v>
      </c>
      <c r="B10441" s="76" t="s">
        <v>16959</v>
      </c>
    </row>
    <row r="10442" spans="1:2" x14ac:dyDescent="0.25">
      <c r="A10442" s="75">
        <v>43211510</v>
      </c>
      <c r="B10442" s="76" t="s">
        <v>13753</v>
      </c>
    </row>
    <row r="10443" spans="1:2" x14ac:dyDescent="0.25">
      <c r="A10443" s="75">
        <v>43211511</v>
      </c>
      <c r="B10443" s="76" t="s">
        <v>10410</v>
      </c>
    </row>
    <row r="10444" spans="1:2" x14ac:dyDescent="0.25">
      <c r="A10444" s="75">
        <v>43211512</v>
      </c>
      <c r="B10444" s="76" t="s">
        <v>9928</v>
      </c>
    </row>
    <row r="10445" spans="1:2" x14ac:dyDescent="0.25">
      <c r="A10445" s="75">
        <v>43211601</v>
      </c>
      <c r="B10445" s="76" t="s">
        <v>5478</v>
      </c>
    </row>
    <row r="10446" spans="1:2" x14ac:dyDescent="0.25">
      <c r="A10446" s="75">
        <v>43211602</v>
      </c>
      <c r="B10446" s="76" t="s">
        <v>17344</v>
      </c>
    </row>
    <row r="10447" spans="1:2" x14ac:dyDescent="0.25">
      <c r="A10447" s="75">
        <v>43211603</v>
      </c>
      <c r="B10447" s="76" t="s">
        <v>19994</v>
      </c>
    </row>
    <row r="10448" spans="1:2" x14ac:dyDescent="0.25">
      <c r="A10448" s="75">
        <v>43211604</v>
      </c>
      <c r="B10448" s="76" t="s">
        <v>18130</v>
      </c>
    </row>
    <row r="10449" spans="1:2" x14ac:dyDescent="0.25">
      <c r="A10449" s="75">
        <v>43211605</v>
      </c>
      <c r="B10449" s="76" t="s">
        <v>11671</v>
      </c>
    </row>
    <row r="10450" spans="1:2" x14ac:dyDescent="0.25">
      <c r="A10450" s="75">
        <v>43211606</v>
      </c>
      <c r="B10450" s="76" t="s">
        <v>14611</v>
      </c>
    </row>
    <row r="10451" spans="1:2" x14ac:dyDescent="0.25">
      <c r="A10451" s="75">
        <v>43211607</v>
      </c>
      <c r="B10451" s="76" t="s">
        <v>3010</v>
      </c>
    </row>
    <row r="10452" spans="1:2" x14ac:dyDescent="0.25">
      <c r="A10452" s="75">
        <v>43211608</v>
      </c>
      <c r="B10452" s="76" t="s">
        <v>18097</v>
      </c>
    </row>
    <row r="10453" spans="1:2" x14ac:dyDescent="0.25">
      <c r="A10453" s="75">
        <v>43211609</v>
      </c>
      <c r="B10453" s="76" t="s">
        <v>2706</v>
      </c>
    </row>
    <row r="10454" spans="1:2" x14ac:dyDescent="0.25">
      <c r="A10454" s="75">
        <v>43211701</v>
      </c>
      <c r="B10454" s="76" t="s">
        <v>19511</v>
      </c>
    </row>
    <row r="10455" spans="1:2" x14ac:dyDescent="0.25">
      <c r="A10455" s="75">
        <v>43211702</v>
      </c>
      <c r="B10455" s="76" t="s">
        <v>10802</v>
      </c>
    </row>
    <row r="10456" spans="1:2" x14ac:dyDescent="0.25">
      <c r="A10456" s="75">
        <v>43211704</v>
      </c>
      <c r="B10456" s="76" t="s">
        <v>9321</v>
      </c>
    </row>
    <row r="10457" spans="1:2" x14ac:dyDescent="0.25">
      <c r="A10457" s="75">
        <v>43211705</v>
      </c>
      <c r="B10457" s="76" t="s">
        <v>15409</v>
      </c>
    </row>
    <row r="10458" spans="1:2" x14ac:dyDescent="0.25">
      <c r="A10458" s="75">
        <v>43211706</v>
      </c>
      <c r="B10458" s="76" t="s">
        <v>12316</v>
      </c>
    </row>
    <row r="10459" spans="1:2" x14ac:dyDescent="0.25">
      <c r="A10459" s="75">
        <v>43211707</v>
      </c>
      <c r="B10459" s="76" t="s">
        <v>4060</v>
      </c>
    </row>
    <row r="10460" spans="1:2" x14ac:dyDescent="0.25">
      <c r="A10460" s="75">
        <v>43211708</v>
      </c>
      <c r="B10460" s="76" t="s">
        <v>8907</v>
      </c>
    </row>
    <row r="10461" spans="1:2" x14ac:dyDescent="0.25">
      <c r="A10461" s="75">
        <v>43211709</v>
      </c>
      <c r="B10461" s="76" t="s">
        <v>10065</v>
      </c>
    </row>
    <row r="10462" spans="1:2" x14ac:dyDescent="0.25">
      <c r="A10462" s="75">
        <v>43211710</v>
      </c>
      <c r="B10462" s="76" t="s">
        <v>14820</v>
      </c>
    </row>
    <row r="10463" spans="1:2" x14ac:dyDescent="0.25">
      <c r="A10463" s="75">
        <v>43211711</v>
      </c>
      <c r="B10463" s="76" t="s">
        <v>3547</v>
      </c>
    </row>
    <row r="10464" spans="1:2" x14ac:dyDescent="0.25">
      <c r="A10464" s="75">
        <v>43211712</v>
      </c>
      <c r="B10464" s="76" t="s">
        <v>14651</v>
      </c>
    </row>
    <row r="10465" spans="1:2" x14ac:dyDescent="0.25">
      <c r="A10465" s="75">
        <v>43211713</v>
      </c>
      <c r="B10465" s="76" t="s">
        <v>5045</v>
      </c>
    </row>
    <row r="10466" spans="1:2" x14ac:dyDescent="0.25">
      <c r="A10466" s="75">
        <v>43211714</v>
      </c>
      <c r="B10466" s="76" t="s">
        <v>7727</v>
      </c>
    </row>
    <row r="10467" spans="1:2" x14ac:dyDescent="0.25">
      <c r="A10467" s="75">
        <v>43211715</v>
      </c>
      <c r="B10467" s="76" t="s">
        <v>1515</v>
      </c>
    </row>
    <row r="10468" spans="1:2" x14ac:dyDescent="0.25">
      <c r="A10468" s="75">
        <v>43211717</v>
      </c>
      <c r="B10468" s="76" t="s">
        <v>8659</v>
      </c>
    </row>
    <row r="10469" spans="1:2" x14ac:dyDescent="0.25">
      <c r="A10469" s="75">
        <v>43211718</v>
      </c>
      <c r="B10469" s="76" t="s">
        <v>450</v>
      </c>
    </row>
    <row r="10470" spans="1:2" x14ac:dyDescent="0.25">
      <c r="A10470" s="75">
        <v>43211719</v>
      </c>
      <c r="B10470" s="76" t="s">
        <v>1305</v>
      </c>
    </row>
    <row r="10471" spans="1:2" x14ac:dyDescent="0.25">
      <c r="A10471" s="75">
        <v>43211720</v>
      </c>
      <c r="B10471" s="76" t="s">
        <v>17735</v>
      </c>
    </row>
    <row r="10472" spans="1:2" x14ac:dyDescent="0.25">
      <c r="A10472" s="75">
        <v>43211721</v>
      </c>
      <c r="B10472" s="76" t="s">
        <v>332</v>
      </c>
    </row>
    <row r="10473" spans="1:2" x14ac:dyDescent="0.25">
      <c r="A10473" s="75">
        <v>43211801</v>
      </c>
      <c r="B10473" s="76" t="s">
        <v>9335</v>
      </c>
    </row>
    <row r="10474" spans="1:2" x14ac:dyDescent="0.25">
      <c r="A10474" s="75">
        <v>43211802</v>
      </c>
      <c r="B10474" s="76" t="s">
        <v>16869</v>
      </c>
    </row>
    <row r="10475" spans="1:2" x14ac:dyDescent="0.25">
      <c r="A10475" s="75">
        <v>43211803</v>
      </c>
      <c r="B10475" s="76" t="s">
        <v>19635</v>
      </c>
    </row>
    <row r="10476" spans="1:2" x14ac:dyDescent="0.25">
      <c r="A10476" s="75">
        <v>43211804</v>
      </c>
      <c r="B10476" s="76" t="s">
        <v>13150</v>
      </c>
    </row>
    <row r="10477" spans="1:2" x14ac:dyDescent="0.25">
      <c r="A10477" s="75">
        <v>43211805</v>
      </c>
      <c r="B10477" s="76" t="s">
        <v>16535</v>
      </c>
    </row>
    <row r="10478" spans="1:2" x14ac:dyDescent="0.25">
      <c r="A10478" s="75">
        <v>43211901</v>
      </c>
      <c r="B10478" s="76" t="s">
        <v>1193</v>
      </c>
    </row>
    <row r="10479" spans="1:2" x14ac:dyDescent="0.25">
      <c r="A10479" s="75">
        <v>43211902</v>
      </c>
      <c r="B10479" s="76" t="s">
        <v>15778</v>
      </c>
    </row>
    <row r="10480" spans="1:2" x14ac:dyDescent="0.25">
      <c r="A10480" s="75">
        <v>43211903</v>
      </c>
      <c r="B10480" s="76" t="s">
        <v>3576</v>
      </c>
    </row>
    <row r="10481" spans="1:2" x14ac:dyDescent="0.25">
      <c r="A10481" s="75">
        <v>43211904</v>
      </c>
      <c r="B10481" s="76" t="s">
        <v>13994</v>
      </c>
    </row>
    <row r="10482" spans="1:2" x14ac:dyDescent="0.25">
      <c r="A10482" s="75">
        <v>43211905</v>
      </c>
      <c r="B10482" s="76" t="s">
        <v>13469</v>
      </c>
    </row>
    <row r="10483" spans="1:2" x14ac:dyDescent="0.25">
      <c r="A10483" s="75">
        <v>43212001</v>
      </c>
      <c r="B10483" s="76" t="s">
        <v>14076</v>
      </c>
    </row>
    <row r="10484" spans="1:2" x14ac:dyDescent="0.25">
      <c r="A10484" s="75">
        <v>43212002</v>
      </c>
      <c r="B10484" s="76" t="s">
        <v>18971</v>
      </c>
    </row>
    <row r="10485" spans="1:2" x14ac:dyDescent="0.25">
      <c r="A10485" s="75">
        <v>43212101</v>
      </c>
      <c r="B10485" s="76" t="s">
        <v>18035</v>
      </c>
    </row>
    <row r="10486" spans="1:2" x14ac:dyDescent="0.25">
      <c r="A10486" s="75">
        <v>43212102</v>
      </c>
      <c r="B10486" s="76" t="s">
        <v>15629</v>
      </c>
    </row>
    <row r="10487" spans="1:2" x14ac:dyDescent="0.25">
      <c r="A10487" s="75">
        <v>43212103</v>
      </c>
      <c r="B10487" s="76" t="s">
        <v>12583</v>
      </c>
    </row>
    <row r="10488" spans="1:2" x14ac:dyDescent="0.25">
      <c r="A10488" s="75">
        <v>43212104</v>
      </c>
      <c r="B10488" s="76" t="s">
        <v>8467</v>
      </c>
    </row>
    <row r="10489" spans="1:2" x14ac:dyDescent="0.25">
      <c r="A10489" s="75">
        <v>43212105</v>
      </c>
      <c r="B10489" s="76" t="s">
        <v>4314</v>
      </c>
    </row>
    <row r="10490" spans="1:2" x14ac:dyDescent="0.25">
      <c r="A10490" s="75">
        <v>43212106</v>
      </c>
      <c r="B10490" s="76" t="s">
        <v>16511</v>
      </c>
    </row>
    <row r="10491" spans="1:2" x14ac:dyDescent="0.25">
      <c r="A10491" s="75">
        <v>43212107</v>
      </c>
      <c r="B10491" s="76" t="s">
        <v>1536</v>
      </c>
    </row>
    <row r="10492" spans="1:2" x14ac:dyDescent="0.25">
      <c r="A10492" s="75">
        <v>43212108</v>
      </c>
      <c r="B10492" s="76" t="s">
        <v>7592</v>
      </c>
    </row>
    <row r="10493" spans="1:2" x14ac:dyDescent="0.25">
      <c r="A10493" s="75">
        <v>43212109</v>
      </c>
      <c r="B10493" s="76" t="s">
        <v>7888</v>
      </c>
    </row>
    <row r="10494" spans="1:2" x14ac:dyDescent="0.25">
      <c r="A10494" s="75">
        <v>43212110</v>
      </c>
      <c r="B10494" s="76" t="s">
        <v>803</v>
      </c>
    </row>
    <row r="10495" spans="1:2" x14ac:dyDescent="0.25">
      <c r="A10495" s="75">
        <v>43212111</v>
      </c>
      <c r="B10495" s="76" t="s">
        <v>19236</v>
      </c>
    </row>
    <row r="10496" spans="1:2" x14ac:dyDescent="0.25">
      <c r="A10496" s="75">
        <v>43212112</v>
      </c>
      <c r="B10496" s="76" t="s">
        <v>10868</v>
      </c>
    </row>
    <row r="10497" spans="1:2" x14ac:dyDescent="0.25">
      <c r="A10497" s="75">
        <v>43212113</v>
      </c>
      <c r="B10497" s="76" t="s">
        <v>10458</v>
      </c>
    </row>
    <row r="10498" spans="1:2" x14ac:dyDescent="0.25">
      <c r="A10498" s="75">
        <v>43212114</v>
      </c>
      <c r="B10498" s="76" t="s">
        <v>1945</v>
      </c>
    </row>
    <row r="10499" spans="1:2" x14ac:dyDescent="0.25">
      <c r="A10499" s="75">
        <v>43221501</v>
      </c>
      <c r="B10499" s="76" t="s">
        <v>16609</v>
      </c>
    </row>
    <row r="10500" spans="1:2" x14ac:dyDescent="0.25">
      <c r="A10500" s="75">
        <v>43221502</v>
      </c>
      <c r="B10500" s="76" t="s">
        <v>12078</v>
      </c>
    </row>
    <row r="10501" spans="1:2" x14ac:dyDescent="0.25">
      <c r="A10501" s="75">
        <v>43221503</v>
      </c>
      <c r="B10501" s="76" t="s">
        <v>5477</v>
      </c>
    </row>
    <row r="10502" spans="1:2" x14ac:dyDescent="0.25">
      <c r="A10502" s="75">
        <v>43221504</v>
      </c>
      <c r="B10502" s="76" t="s">
        <v>7457</v>
      </c>
    </row>
    <row r="10503" spans="1:2" x14ac:dyDescent="0.25">
      <c r="A10503" s="75">
        <v>43221505</v>
      </c>
      <c r="B10503" s="76" t="s">
        <v>3956</v>
      </c>
    </row>
    <row r="10504" spans="1:2" x14ac:dyDescent="0.25">
      <c r="A10504" s="75">
        <v>43221506</v>
      </c>
      <c r="B10504" s="76" t="s">
        <v>6004</v>
      </c>
    </row>
    <row r="10505" spans="1:2" x14ac:dyDescent="0.25">
      <c r="A10505" s="75">
        <v>43221507</v>
      </c>
      <c r="B10505" s="76" t="s">
        <v>5173</v>
      </c>
    </row>
    <row r="10506" spans="1:2" x14ac:dyDescent="0.25">
      <c r="A10506" s="75">
        <v>43221508</v>
      </c>
      <c r="B10506" s="76" t="s">
        <v>14122</v>
      </c>
    </row>
    <row r="10507" spans="1:2" x14ac:dyDescent="0.25">
      <c r="A10507" s="75">
        <v>43221509</v>
      </c>
      <c r="B10507" s="76" t="s">
        <v>3512</v>
      </c>
    </row>
    <row r="10508" spans="1:2" x14ac:dyDescent="0.25">
      <c r="A10508" s="75">
        <v>43221510</v>
      </c>
      <c r="B10508" s="76" t="s">
        <v>16701</v>
      </c>
    </row>
    <row r="10509" spans="1:2" x14ac:dyDescent="0.25">
      <c r="A10509" s="75">
        <v>43221513</v>
      </c>
      <c r="B10509" s="76" t="s">
        <v>17737</v>
      </c>
    </row>
    <row r="10510" spans="1:2" x14ac:dyDescent="0.25">
      <c r="A10510" s="75">
        <v>43221514</v>
      </c>
      <c r="B10510" s="76" t="s">
        <v>8157</v>
      </c>
    </row>
    <row r="10511" spans="1:2" x14ac:dyDescent="0.25">
      <c r="A10511" s="75">
        <v>43221515</v>
      </c>
      <c r="B10511" s="76" t="s">
        <v>12973</v>
      </c>
    </row>
    <row r="10512" spans="1:2" x14ac:dyDescent="0.25">
      <c r="A10512" s="75">
        <v>43221516</v>
      </c>
      <c r="B10512" s="76" t="s">
        <v>5118</v>
      </c>
    </row>
    <row r="10513" spans="1:2" x14ac:dyDescent="0.25">
      <c r="A10513" s="75">
        <v>43221517</v>
      </c>
      <c r="B10513" s="76" t="s">
        <v>15757</v>
      </c>
    </row>
    <row r="10514" spans="1:2" x14ac:dyDescent="0.25">
      <c r="A10514" s="75">
        <v>43221518</v>
      </c>
      <c r="B10514" s="76" t="s">
        <v>4363</v>
      </c>
    </row>
    <row r="10515" spans="1:2" x14ac:dyDescent="0.25">
      <c r="A10515" s="75">
        <v>43221519</v>
      </c>
      <c r="B10515" s="76" t="s">
        <v>580</v>
      </c>
    </row>
    <row r="10516" spans="1:2" x14ac:dyDescent="0.25">
      <c r="A10516" s="75">
        <v>43221520</v>
      </c>
      <c r="B10516" s="76" t="s">
        <v>10352</v>
      </c>
    </row>
    <row r="10517" spans="1:2" x14ac:dyDescent="0.25">
      <c r="A10517" s="75">
        <v>43221521</v>
      </c>
      <c r="B10517" s="76" t="s">
        <v>14893</v>
      </c>
    </row>
    <row r="10518" spans="1:2" x14ac:dyDescent="0.25">
      <c r="A10518" s="75">
        <v>43221522</v>
      </c>
      <c r="B10518" s="76" t="s">
        <v>16700</v>
      </c>
    </row>
    <row r="10519" spans="1:2" x14ac:dyDescent="0.25">
      <c r="A10519" s="75">
        <v>43221523</v>
      </c>
      <c r="B10519" s="76" t="s">
        <v>12380</v>
      </c>
    </row>
    <row r="10520" spans="1:2" x14ac:dyDescent="0.25">
      <c r="A10520" s="75">
        <v>43221524</v>
      </c>
      <c r="B10520" s="76" t="s">
        <v>1459</v>
      </c>
    </row>
    <row r="10521" spans="1:2" x14ac:dyDescent="0.25">
      <c r="A10521" s="75">
        <v>43221525</v>
      </c>
      <c r="B10521" s="76" t="s">
        <v>19846</v>
      </c>
    </row>
    <row r="10522" spans="1:2" x14ac:dyDescent="0.25">
      <c r="A10522" s="75">
        <v>43221526</v>
      </c>
      <c r="B10522" s="76" t="s">
        <v>11109</v>
      </c>
    </row>
    <row r="10523" spans="1:2" x14ac:dyDescent="0.25">
      <c r="A10523" s="75">
        <v>43221601</v>
      </c>
      <c r="B10523" s="76" t="s">
        <v>6885</v>
      </c>
    </row>
    <row r="10524" spans="1:2" x14ac:dyDescent="0.25">
      <c r="A10524" s="75">
        <v>43221602</v>
      </c>
      <c r="B10524" s="76" t="s">
        <v>751</v>
      </c>
    </row>
    <row r="10525" spans="1:2" x14ac:dyDescent="0.25">
      <c r="A10525" s="75">
        <v>43221603</v>
      </c>
      <c r="B10525" s="76" t="s">
        <v>9036</v>
      </c>
    </row>
    <row r="10526" spans="1:2" x14ac:dyDescent="0.25">
      <c r="A10526" s="75">
        <v>43221701</v>
      </c>
      <c r="B10526" s="76" t="s">
        <v>638</v>
      </c>
    </row>
    <row r="10527" spans="1:2" x14ac:dyDescent="0.25">
      <c r="A10527" s="75">
        <v>43221702</v>
      </c>
      <c r="B10527" s="76" t="s">
        <v>5985</v>
      </c>
    </row>
    <row r="10528" spans="1:2" x14ac:dyDescent="0.25">
      <c r="A10528" s="75">
        <v>43221703</v>
      </c>
      <c r="B10528" s="76" t="s">
        <v>4888</v>
      </c>
    </row>
    <row r="10529" spans="1:2" x14ac:dyDescent="0.25">
      <c r="A10529" s="75">
        <v>43221704</v>
      </c>
      <c r="B10529" s="76" t="s">
        <v>11509</v>
      </c>
    </row>
    <row r="10530" spans="1:2" x14ac:dyDescent="0.25">
      <c r="A10530" s="75">
        <v>43221705</v>
      </c>
      <c r="B10530" s="76" t="s">
        <v>13466</v>
      </c>
    </row>
    <row r="10531" spans="1:2" x14ac:dyDescent="0.25">
      <c r="A10531" s="75">
        <v>43221706</v>
      </c>
      <c r="B10531" s="76" t="s">
        <v>19484</v>
      </c>
    </row>
    <row r="10532" spans="1:2" x14ac:dyDescent="0.25">
      <c r="A10532" s="75">
        <v>43221707</v>
      </c>
      <c r="B10532" s="76" t="s">
        <v>6216</v>
      </c>
    </row>
    <row r="10533" spans="1:2" x14ac:dyDescent="0.25">
      <c r="A10533" s="75">
        <v>43221708</v>
      </c>
      <c r="B10533" s="76" t="s">
        <v>4849</v>
      </c>
    </row>
    <row r="10534" spans="1:2" x14ac:dyDescent="0.25">
      <c r="A10534" s="75">
        <v>43221709</v>
      </c>
      <c r="B10534" s="76" t="s">
        <v>9542</v>
      </c>
    </row>
    <row r="10535" spans="1:2" x14ac:dyDescent="0.25">
      <c r="A10535" s="75">
        <v>43221710</v>
      </c>
      <c r="B10535" s="76" t="s">
        <v>2534</v>
      </c>
    </row>
    <row r="10536" spans="1:2" x14ac:dyDescent="0.25">
      <c r="A10536" s="75">
        <v>43221711</v>
      </c>
      <c r="B10536" s="76" t="s">
        <v>8864</v>
      </c>
    </row>
    <row r="10537" spans="1:2" x14ac:dyDescent="0.25">
      <c r="A10537" s="75">
        <v>43221712</v>
      </c>
      <c r="B10537" s="76" t="s">
        <v>16730</v>
      </c>
    </row>
    <row r="10538" spans="1:2" x14ac:dyDescent="0.25">
      <c r="A10538" s="75">
        <v>43221713</v>
      </c>
      <c r="B10538" s="76" t="s">
        <v>15192</v>
      </c>
    </row>
    <row r="10539" spans="1:2" x14ac:dyDescent="0.25">
      <c r="A10539" s="75">
        <v>43221714</v>
      </c>
      <c r="B10539" s="76" t="s">
        <v>18859</v>
      </c>
    </row>
    <row r="10540" spans="1:2" x14ac:dyDescent="0.25">
      <c r="A10540" s="75">
        <v>43221715</v>
      </c>
      <c r="B10540" s="76" t="s">
        <v>14833</v>
      </c>
    </row>
    <row r="10541" spans="1:2" x14ac:dyDescent="0.25">
      <c r="A10541" s="75">
        <v>43221716</v>
      </c>
      <c r="B10541" s="76" t="s">
        <v>14165</v>
      </c>
    </row>
    <row r="10542" spans="1:2" x14ac:dyDescent="0.25">
      <c r="A10542" s="75">
        <v>43221717</v>
      </c>
      <c r="B10542" s="76" t="s">
        <v>4195</v>
      </c>
    </row>
    <row r="10543" spans="1:2" x14ac:dyDescent="0.25">
      <c r="A10543" s="75">
        <v>43221718</v>
      </c>
      <c r="B10543" s="76" t="s">
        <v>17041</v>
      </c>
    </row>
    <row r="10544" spans="1:2" x14ac:dyDescent="0.25">
      <c r="A10544" s="75">
        <v>43221719</v>
      </c>
      <c r="B10544" s="76" t="s">
        <v>14370</v>
      </c>
    </row>
    <row r="10545" spans="1:2" x14ac:dyDescent="0.25">
      <c r="A10545" s="75">
        <v>43221720</v>
      </c>
      <c r="B10545" s="76" t="s">
        <v>7188</v>
      </c>
    </row>
    <row r="10546" spans="1:2" x14ac:dyDescent="0.25">
      <c r="A10546" s="75">
        <v>43221721</v>
      </c>
      <c r="B10546" s="76" t="s">
        <v>5058</v>
      </c>
    </row>
    <row r="10547" spans="1:2" x14ac:dyDescent="0.25">
      <c r="A10547" s="75">
        <v>43221801</v>
      </c>
      <c r="B10547" s="76" t="s">
        <v>5615</v>
      </c>
    </row>
    <row r="10548" spans="1:2" x14ac:dyDescent="0.25">
      <c r="A10548" s="75">
        <v>43221802</v>
      </c>
      <c r="B10548" s="76" t="s">
        <v>1406</v>
      </c>
    </row>
    <row r="10549" spans="1:2" x14ac:dyDescent="0.25">
      <c r="A10549" s="75">
        <v>43221803</v>
      </c>
      <c r="B10549" s="76" t="s">
        <v>6054</v>
      </c>
    </row>
    <row r="10550" spans="1:2" x14ac:dyDescent="0.25">
      <c r="A10550" s="75">
        <v>43221804</v>
      </c>
      <c r="B10550" s="76" t="s">
        <v>16587</v>
      </c>
    </row>
    <row r="10551" spans="1:2" x14ac:dyDescent="0.25">
      <c r="A10551" s="75">
        <v>43221805</v>
      </c>
      <c r="B10551" s="76" t="s">
        <v>12688</v>
      </c>
    </row>
    <row r="10552" spans="1:2" x14ac:dyDescent="0.25">
      <c r="A10552" s="75">
        <v>43221806</v>
      </c>
      <c r="B10552" s="76" t="s">
        <v>10828</v>
      </c>
    </row>
    <row r="10553" spans="1:2" x14ac:dyDescent="0.25">
      <c r="A10553" s="75">
        <v>43221807</v>
      </c>
      <c r="B10553" s="76" t="s">
        <v>19097</v>
      </c>
    </row>
    <row r="10554" spans="1:2" x14ac:dyDescent="0.25">
      <c r="A10554" s="75">
        <v>43221808</v>
      </c>
      <c r="B10554" s="76" t="s">
        <v>16205</v>
      </c>
    </row>
    <row r="10555" spans="1:2" x14ac:dyDescent="0.25">
      <c r="A10555" s="75">
        <v>43222501</v>
      </c>
      <c r="B10555" s="76" t="s">
        <v>8096</v>
      </c>
    </row>
    <row r="10556" spans="1:2" x14ac:dyDescent="0.25">
      <c r="A10556" s="75">
        <v>43222502</v>
      </c>
      <c r="B10556" s="76" t="s">
        <v>3386</v>
      </c>
    </row>
    <row r="10557" spans="1:2" x14ac:dyDescent="0.25">
      <c r="A10557" s="75">
        <v>43222503</v>
      </c>
      <c r="B10557" s="76" t="s">
        <v>11499</v>
      </c>
    </row>
    <row r="10558" spans="1:2" x14ac:dyDescent="0.25">
      <c r="A10558" s="75">
        <v>43222602</v>
      </c>
      <c r="B10558" s="76" t="s">
        <v>2810</v>
      </c>
    </row>
    <row r="10559" spans="1:2" x14ac:dyDescent="0.25">
      <c r="A10559" s="75">
        <v>43222604</v>
      </c>
      <c r="B10559" s="76" t="s">
        <v>1616</v>
      </c>
    </row>
    <row r="10560" spans="1:2" x14ac:dyDescent="0.25">
      <c r="A10560" s="75">
        <v>43222605</v>
      </c>
      <c r="B10560" s="76" t="s">
        <v>635</v>
      </c>
    </row>
    <row r="10561" spans="1:2" x14ac:dyDescent="0.25">
      <c r="A10561" s="75">
        <v>43222606</v>
      </c>
      <c r="B10561" s="76" t="s">
        <v>18583</v>
      </c>
    </row>
    <row r="10562" spans="1:2" x14ac:dyDescent="0.25">
      <c r="A10562" s="75">
        <v>43222607</v>
      </c>
      <c r="B10562" s="76" t="s">
        <v>2374</v>
      </c>
    </row>
    <row r="10563" spans="1:2" x14ac:dyDescent="0.25">
      <c r="A10563" s="75">
        <v>43222608</v>
      </c>
      <c r="B10563" s="76" t="s">
        <v>4366</v>
      </c>
    </row>
    <row r="10564" spans="1:2" x14ac:dyDescent="0.25">
      <c r="A10564" s="75">
        <v>43222609</v>
      </c>
      <c r="B10564" s="76" t="s">
        <v>11587</v>
      </c>
    </row>
    <row r="10565" spans="1:2" x14ac:dyDescent="0.25">
      <c r="A10565" s="75">
        <v>43222610</v>
      </c>
      <c r="B10565" s="76" t="s">
        <v>11522</v>
      </c>
    </row>
    <row r="10566" spans="1:2" x14ac:dyDescent="0.25">
      <c r="A10566" s="75">
        <v>43222611</v>
      </c>
      <c r="B10566" s="76" t="s">
        <v>17202</v>
      </c>
    </row>
    <row r="10567" spans="1:2" x14ac:dyDescent="0.25">
      <c r="A10567" s="75">
        <v>43222612</v>
      </c>
      <c r="B10567" s="76" t="s">
        <v>10621</v>
      </c>
    </row>
    <row r="10568" spans="1:2" x14ac:dyDescent="0.25">
      <c r="A10568" s="75">
        <v>43222615</v>
      </c>
      <c r="B10568" s="76" t="s">
        <v>9285</v>
      </c>
    </row>
    <row r="10569" spans="1:2" x14ac:dyDescent="0.25">
      <c r="A10569" s="75">
        <v>43222619</v>
      </c>
      <c r="B10569" s="76" t="s">
        <v>19832</v>
      </c>
    </row>
    <row r="10570" spans="1:2" x14ac:dyDescent="0.25">
      <c r="A10570" s="75">
        <v>43222620</v>
      </c>
      <c r="B10570" s="76" t="s">
        <v>8303</v>
      </c>
    </row>
    <row r="10571" spans="1:2" x14ac:dyDescent="0.25">
      <c r="A10571" s="75">
        <v>43222621</v>
      </c>
      <c r="B10571" s="76" t="s">
        <v>9759</v>
      </c>
    </row>
    <row r="10572" spans="1:2" x14ac:dyDescent="0.25">
      <c r="A10572" s="75">
        <v>43222622</v>
      </c>
      <c r="B10572" s="76" t="s">
        <v>13181</v>
      </c>
    </row>
    <row r="10573" spans="1:2" x14ac:dyDescent="0.25">
      <c r="A10573" s="75">
        <v>43222623</v>
      </c>
      <c r="B10573" s="76" t="s">
        <v>18221</v>
      </c>
    </row>
    <row r="10574" spans="1:2" x14ac:dyDescent="0.25">
      <c r="A10574" s="75">
        <v>43222624</v>
      </c>
      <c r="B10574" s="76" t="s">
        <v>13216</v>
      </c>
    </row>
    <row r="10575" spans="1:2" x14ac:dyDescent="0.25">
      <c r="A10575" s="75">
        <v>43222625</v>
      </c>
      <c r="B10575" s="76" t="s">
        <v>10539</v>
      </c>
    </row>
    <row r="10576" spans="1:2" x14ac:dyDescent="0.25">
      <c r="A10576" s="75">
        <v>43222626</v>
      </c>
      <c r="B10576" s="76" t="s">
        <v>15828</v>
      </c>
    </row>
    <row r="10577" spans="1:2" x14ac:dyDescent="0.25">
      <c r="A10577" s="75">
        <v>43222627</v>
      </c>
      <c r="B10577" s="76" t="s">
        <v>4995</v>
      </c>
    </row>
    <row r="10578" spans="1:2" x14ac:dyDescent="0.25">
      <c r="A10578" s="75">
        <v>43222628</v>
      </c>
      <c r="B10578" s="76" t="s">
        <v>18879</v>
      </c>
    </row>
    <row r="10579" spans="1:2" x14ac:dyDescent="0.25">
      <c r="A10579" s="75">
        <v>43222629</v>
      </c>
      <c r="B10579" s="76" t="s">
        <v>18816</v>
      </c>
    </row>
    <row r="10580" spans="1:2" x14ac:dyDescent="0.25">
      <c r="A10580" s="75">
        <v>43222630</v>
      </c>
      <c r="B10580" s="76" t="s">
        <v>11241</v>
      </c>
    </row>
    <row r="10581" spans="1:2" x14ac:dyDescent="0.25">
      <c r="A10581" s="75">
        <v>43222631</v>
      </c>
      <c r="B10581" s="76" t="s">
        <v>8801</v>
      </c>
    </row>
    <row r="10582" spans="1:2" x14ac:dyDescent="0.25">
      <c r="A10582" s="75">
        <v>43222632</v>
      </c>
      <c r="B10582" s="76" t="s">
        <v>4493</v>
      </c>
    </row>
    <row r="10583" spans="1:2" x14ac:dyDescent="0.25">
      <c r="A10583" s="75">
        <v>43222701</v>
      </c>
      <c r="B10583" s="76" t="s">
        <v>13006</v>
      </c>
    </row>
    <row r="10584" spans="1:2" x14ac:dyDescent="0.25">
      <c r="A10584" s="75">
        <v>43222702</v>
      </c>
      <c r="B10584" s="76" t="s">
        <v>6973</v>
      </c>
    </row>
    <row r="10585" spans="1:2" x14ac:dyDescent="0.25">
      <c r="A10585" s="75">
        <v>43222703</v>
      </c>
      <c r="B10585" s="76" t="s">
        <v>3120</v>
      </c>
    </row>
    <row r="10586" spans="1:2" x14ac:dyDescent="0.25">
      <c r="A10586" s="75">
        <v>43222801</v>
      </c>
      <c r="B10586" s="76" t="s">
        <v>6516</v>
      </c>
    </row>
    <row r="10587" spans="1:2" x14ac:dyDescent="0.25">
      <c r="A10587" s="75">
        <v>43222802</v>
      </c>
      <c r="B10587" s="76" t="s">
        <v>12430</v>
      </c>
    </row>
    <row r="10588" spans="1:2" x14ac:dyDescent="0.25">
      <c r="A10588" s="75">
        <v>43222803</v>
      </c>
      <c r="B10588" s="76" t="s">
        <v>2388</v>
      </c>
    </row>
    <row r="10589" spans="1:2" x14ac:dyDescent="0.25">
      <c r="A10589" s="75">
        <v>43222805</v>
      </c>
      <c r="B10589" s="76" t="s">
        <v>12347</v>
      </c>
    </row>
    <row r="10590" spans="1:2" x14ac:dyDescent="0.25">
      <c r="A10590" s="75">
        <v>43222806</v>
      </c>
      <c r="B10590" s="76" t="s">
        <v>18783</v>
      </c>
    </row>
    <row r="10591" spans="1:2" x14ac:dyDescent="0.25">
      <c r="A10591" s="75">
        <v>43222811</v>
      </c>
      <c r="B10591" s="76" t="s">
        <v>17040</v>
      </c>
    </row>
    <row r="10592" spans="1:2" x14ac:dyDescent="0.25">
      <c r="A10592" s="75">
        <v>43222813</v>
      </c>
      <c r="B10592" s="76" t="s">
        <v>6548</v>
      </c>
    </row>
    <row r="10593" spans="1:2" x14ac:dyDescent="0.25">
      <c r="A10593" s="75">
        <v>43222814</v>
      </c>
      <c r="B10593" s="76" t="s">
        <v>6419</v>
      </c>
    </row>
    <row r="10594" spans="1:2" x14ac:dyDescent="0.25">
      <c r="A10594" s="75">
        <v>43222815</v>
      </c>
      <c r="B10594" s="76" t="s">
        <v>3408</v>
      </c>
    </row>
    <row r="10595" spans="1:2" x14ac:dyDescent="0.25">
      <c r="A10595" s="75">
        <v>43222816</v>
      </c>
      <c r="B10595" s="76" t="s">
        <v>3641</v>
      </c>
    </row>
    <row r="10596" spans="1:2" x14ac:dyDescent="0.25">
      <c r="A10596" s="75">
        <v>43222817</v>
      </c>
      <c r="B10596" s="76" t="s">
        <v>15155</v>
      </c>
    </row>
    <row r="10597" spans="1:2" x14ac:dyDescent="0.25">
      <c r="A10597" s="75">
        <v>43222818</v>
      </c>
      <c r="B10597" s="76" t="s">
        <v>10534</v>
      </c>
    </row>
    <row r="10598" spans="1:2" x14ac:dyDescent="0.25">
      <c r="A10598" s="75">
        <v>43222819</v>
      </c>
      <c r="B10598" s="76" t="s">
        <v>8446</v>
      </c>
    </row>
    <row r="10599" spans="1:2" x14ac:dyDescent="0.25">
      <c r="A10599" s="75">
        <v>43222820</v>
      </c>
      <c r="B10599" s="76" t="s">
        <v>246</v>
      </c>
    </row>
    <row r="10600" spans="1:2" x14ac:dyDescent="0.25">
      <c r="A10600" s="75">
        <v>43222821</v>
      </c>
      <c r="B10600" s="76" t="s">
        <v>15393</v>
      </c>
    </row>
    <row r="10601" spans="1:2" x14ac:dyDescent="0.25">
      <c r="A10601" s="75">
        <v>43222822</v>
      </c>
      <c r="B10601" s="76" t="s">
        <v>4303</v>
      </c>
    </row>
    <row r="10602" spans="1:2" x14ac:dyDescent="0.25">
      <c r="A10602" s="75">
        <v>43222823</v>
      </c>
      <c r="B10602" s="76" t="s">
        <v>5921</v>
      </c>
    </row>
    <row r="10603" spans="1:2" x14ac:dyDescent="0.25">
      <c r="A10603" s="75">
        <v>43222824</v>
      </c>
      <c r="B10603" s="76" t="s">
        <v>12439</v>
      </c>
    </row>
    <row r="10604" spans="1:2" x14ac:dyDescent="0.25">
      <c r="A10604" s="75">
        <v>43222825</v>
      </c>
      <c r="B10604" s="76" t="s">
        <v>11247</v>
      </c>
    </row>
    <row r="10605" spans="1:2" x14ac:dyDescent="0.25">
      <c r="A10605" s="75">
        <v>43222901</v>
      </c>
      <c r="B10605" s="76" t="s">
        <v>9107</v>
      </c>
    </row>
    <row r="10606" spans="1:2" x14ac:dyDescent="0.25">
      <c r="A10606" s="75">
        <v>43222902</v>
      </c>
      <c r="B10606" s="76" t="s">
        <v>14698</v>
      </c>
    </row>
    <row r="10607" spans="1:2" x14ac:dyDescent="0.25">
      <c r="A10607" s="75">
        <v>43223001</v>
      </c>
      <c r="B10607" s="76" t="s">
        <v>13240</v>
      </c>
    </row>
    <row r="10608" spans="1:2" x14ac:dyDescent="0.25">
      <c r="A10608" s="75">
        <v>43223101</v>
      </c>
      <c r="B10608" s="76" t="s">
        <v>15484</v>
      </c>
    </row>
    <row r="10609" spans="1:2" x14ac:dyDescent="0.25">
      <c r="A10609" s="75">
        <v>43223102</v>
      </c>
      <c r="B10609" s="76" t="s">
        <v>5594</v>
      </c>
    </row>
    <row r="10610" spans="1:2" x14ac:dyDescent="0.25">
      <c r="A10610" s="75">
        <v>43223103</v>
      </c>
      <c r="B10610" s="76" t="s">
        <v>4084</v>
      </c>
    </row>
    <row r="10611" spans="1:2" x14ac:dyDescent="0.25">
      <c r="A10611" s="75">
        <v>43223104</v>
      </c>
      <c r="B10611" s="76" t="s">
        <v>9419</v>
      </c>
    </row>
    <row r="10612" spans="1:2" x14ac:dyDescent="0.25">
      <c r="A10612" s="75">
        <v>43223105</v>
      </c>
      <c r="B10612" s="76" t="s">
        <v>7941</v>
      </c>
    </row>
    <row r="10613" spans="1:2" x14ac:dyDescent="0.25">
      <c r="A10613" s="75">
        <v>43223106</v>
      </c>
      <c r="B10613" s="76" t="s">
        <v>1105</v>
      </c>
    </row>
    <row r="10614" spans="1:2" x14ac:dyDescent="0.25">
      <c r="A10614" s="75">
        <v>43223107</v>
      </c>
      <c r="B10614" s="76" t="s">
        <v>5782</v>
      </c>
    </row>
    <row r="10615" spans="1:2" x14ac:dyDescent="0.25">
      <c r="A10615" s="75">
        <v>43223108</v>
      </c>
      <c r="B10615" s="76" t="s">
        <v>11246</v>
      </c>
    </row>
    <row r="10616" spans="1:2" x14ac:dyDescent="0.25">
      <c r="A10616" s="75">
        <v>43223109</v>
      </c>
      <c r="B10616" s="76" t="s">
        <v>3113</v>
      </c>
    </row>
    <row r="10617" spans="1:2" x14ac:dyDescent="0.25">
      <c r="A10617" s="75">
        <v>43223110</v>
      </c>
      <c r="B10617" s="76" t="s">
        <v>5413</v>
      </c>
    </row>
    <row r="10618" spans="1:2" x14ac:dyDescent="0.25">
      <c r="A10618" s="75">
        <v>43223111</v>
      </c>
      <c r="B10618" s="76" t="s">
        <v>13476</v>
      </c>
    </row>
    <row r="10619" spans="1:2" x14ac:dyDescent="0.25">
      <c r="A10619" s="75">
        <v>43223112</v>
      </c>
      <c r="B10619" s="76" t="s">
        <v>2819</v>
      </c>
    </row>
    <row r="10620" spans="1:2" x14ac:dyDescent="0.25">
      <c r="A10620" s="75">
        <v>43223113</v>
      </c>
      <c r="B10620" s="76" t="s">
        <v>8585</v>
      </c>
    </row>
    <row r="10621" spans="1:2" x14ac:dyDescent="0.25">
      <c r="A10621" s="75">
        <v>43223201</v>
      </c>
      <c r="B10621" s="76" t="s">
        <v>8876</v>
      </c>
    </row>
    <row r="10622" spans="1:2" x14ac:dyDescent="0.25">
      <c r="A10622" s="75">
        <v>43223202</v>
      </c>
      <c r="B10622" s="76" t="s">
        <v>12147</v>
      </c>
    </row>
    <row r="10623" spans="1:2" x14ac:dyDescent="0.25">
      <c r="A10623" s="75">
        <v>43223203</v>
      </c>
      <c r="B10623" s="76" t="s">
        <v>4414</v>
      </c>
    </row>
    <row r="10624" spans="1:2" x14ac:dyDescent="0.25">
      <c r="A10624" s="75">
        <v>43223204</v>
      </c>
      <c r="B10624" s="76" t="s">
        <v>17409</v>
      </c>
    </row>
    <row r="10625" spans="1:2" x14ac:dyDescent="0.25">
      <c r="A10625" s="75">
        <v>43223205</v>
      </c>
      <c r="B10625" s="76" t="s">
        <v>12477</v>
      </c>
    </row>
    <row r="10626" spans="1:2" x14ac:dyDescent="0.25">
      <c r="A10626" s="75">
        <v>43223206</v>
      </c>
      <c r="B10626" s="76" t="s">
        <v>2486</v>
      </c>
    </row>
    <row r="10627" spans="1:2" x14ac:dyDescent="0.25">
      <c r="A10627" s="75">
        <v>43223207</v>
      </c>
      <c r="B10627" s="76" t="s">
        <v>2973</v>
      </c>
    </row>
    <row r="10628" spans="1:2" x14ac:dyDescent="0.25">
      <c r="A10628" s="75">
        <v>43223208</v>
      </c>
      <c r="B10628" s="76" t="s">
        <v>11563</v>
      </c>
    </row>
    <row r="10629" spans="1:2" x14ac:dyDescent="0.25">
      <c r="A10629" s="75">
        <v>43223209</v>
      </c>
      <c r="B10629" s="76" t="s">
        <v>6737</v>
      </c>
    </row>
    <row r="10630" spans="1:2" x14ac:dyDescent="0.25">
      <c r="A10630" s="75">
        <v>43223210</v>
      </c>
      <c r="B10630" s="76" t="s">
        <v>11781</v>
      </c>
    </row>
    <row r="10631" spans="1:2" x14ac:dyDescent="0.25">
      <c r="A10631" s="75">
        <v>43223211</v>
      </c>
      <c r="B10631" s="76" t="s">
        <v>18813</v>
      </c>
    </row>
    <row r="10632" spans="1:2" x14ac:dyDescent="0.25">
      <c r="A10632" s="75">
        <v>43223212</v>
      </c>
      <c r="B10632" s="76" t="s">
        <v>11132</v>
      </c>
    </row>
    <row r="10633" spans="1:2" x14ac:dyDescent="0.25">
      <c r="A10633" s="75">
        <v>43231501</v>
      </c>
      <c r="B10633" s="76" t="s">
        <v>15149</v>
      </c>
    </row>
    <row r="10634" spans="1:2" x14ac:dyDescent="0.25">
      <c r="A10634" s="75">
        <v>43231503</v>
      </c>
      <c r="B10634" s="76" t="s">
        <v>4043</v>
      </c>
    </row>
    <row r="10635" spans="1:2" x14ac:dyDescent="0.25">
      <c r="A10635" s="75">
        <v>43231505</v>
      </c>
      <c r="B10635" s="76" t="s">
        <v>12282</v>
      </c>
    </row>
    <row r="10636" spans="1:2" x14ac:dyDescent="0.25">
      <c r="A10636" s="75">
        <v>43231506</v>
      </c>
      <c r="B10636" s="76" t="s">
        <v>1782</v>
      </c>
    </row>
    <row r="10637" spans="1:2" x14ac:dyDescent="0.25">
      <c r="A10637" s="75">
        <v>43231507</v>
      </c>
      <c r="B10637" s="76" t="s">
        <v>1514</v>
      </c>
    </row>
    <row r="10638" spans="1:2" x14ac:dyDescent="0.25">
      <c r="A10638" s="75">
        <v>43231508</v>
      </c>
      <c r="B10638" s="76" t="s">
        <v>8129</v>
      </c>
    </row>
    <row r="10639" spans="1:2" x14ac:dyDescent="0.25">
      <c r="A10639" s="75">
        <v>43231509</v>
      </c>
      <c r="B10639" s="76" t="s">
        <v>5639</v>
      </c>
    </row>
    <row r="10640" spans="1:2" x14ac:dyDescent="0.25">
      <c r="A10640" s="75">
        <v>43231510</v>
      </c>
      <c r="B10640" s="76" t="s">
        <v>923</v>
      </c>
    </row>
    <row r="10641" spans="1:2" x14ac:dyDescent="0.25">
      <c r="A10641" s="75">
        <v>43231511</v>
      </c>
      <c r="B10641" s="76" t="s">
        <v>7320</v>
      </c>
    </row>
    <row r="10642" spans="1:2" x14ac:dyDescent="0.25">
      <c r="A10642" s="75">
        <v>43231512</v>
      </c>
      <c r="B10642" s="76" t="s">
        <v>4072</v>
      </c>
    </row>
    <row r="10643" spans="1:2" x14ac:dyDescent="0.25">
      <c r="A10643" s="75">
        <v>43231513</v>
      </c>
      <c r="B10643" s="76" t="s">
        <v>16696</v>
      </c>
    </row>
    <row r="10644" spans="1:2" x14ac:dyDescent="0.25">
      <c r="A10644" s="75">
        <v>43231601</v>
      </c>
      <c r="B10644" s="76" t="s">
        <v>17429</v>
      </c>
    </row>
    <row r="10645" spans="1:2" x14ac:dyDescent="0.25">
      <c r="A10645" s="75">
        <v>43231602</v>
      </c>
      <c r="B10645" s="76" t="s">
        <v>14039</v>
      </c>
    </row>
    <row r="10646" spans="1:2" x14ac:dyDescent="0.25">
      <c r="A10646" s="75">
        <v>43231603</v>
      </c>
      <c r="B10646" s="76" t="s">
        <v>625</v>
      </c>
    </row>
    <row r="10647" spans="1:2" x14ac:dyDescent="0.25">
      <c r="A10647" s="75">
        <v>43231604</v>
      </c>
      <c r="B10647" s="76" t="s">
        <v>14890</v>
      </c>
    </row>
    <row r="10648" spans="1:2" x14ac:dyDescent="0.25">
      <c r="A10648" s="75">
        <v>43231605</v>
      </c>
      <c r="B10648" s="76" t="s">
        <v>6853</v>
      </c>
    </row>
    <row r="10649" spans="1:2" x14ac:dyDescent="0.25">
      <c r="A10649" s="75">
        <v>43232001</v>
      </c>
      <c r="B10649" s="76" t="s">
        <v>2093</v>
      </c>
    </row>
    <row r="10650" spans="1:2" x14ac:dyDescent="0.25">
      <c r="A10650" s="75">
        <v>43232002</v>
      </c>
      <c r="B10650" s="76" t="s">
        <v>17542</v>
      </c>
    </row>
    <row r="10651" spans="1:2" x14ac:dyDescent="0.25">
      <c r="A10651" s="75">
        <v>43232003</v>
      </c>
      <c r="B10651" s="76" t="s">
        <v>10689</v>
      </c>
    </row>
    <row r="10652" spans="1:2" x14ac:dyDescent="0.25">
      <c r="A10652" s="75">
        <v>43232004</v>
      </c>
      <c r="B10652" s="76" t="s">
        <v>11082</v>
      </c>
    </row>
    <row r="10653" spans="1:2" x14ac:dyDescent="0.25">
      <c r="A10653" s="75">
        <v>43232005</v>
      </c>
      <c r="B10653" s="76" t="s">
        <v>17957</v>
      </c>
    </row>
    <row r="10654" spans="1:2" x14ac:dyDescent="0.25">
      <c r="A10654" s="75">
        <v>43232101</v>
      </c>
      <c r="B10654" s="76" t="s">
        <v>4165</v>
      </c>
    </row>
    <row r="10655" spans="1:2" x14ac:dyDescent="0.25">
      <c r="A10655" s="75">
        <v>43232102</v>
      </c>
      <c r="B10655" s="76" t="s">
        <v>6418</v>
      </c>
    </row>
    <row r="10656" spans="1:2" x14ac:dyDescent="0.25">
      <c r="A10656" s="75">
        <v>43232103</v>
      </c>
      <c r="B10656" s="76" t="s">
        <v>10019</v>
      </c>
    </row>
    <row r="10657" spans="1:2" x14ac:dyDescent="0.25">
      <c r="A10657" s="75">
        <v>43232104</v>
      </c>
      <c r="B10657" s="76" t="s">
        <v>8599</v>
      </c>
    </row>
    <row r="10658" spans="1:2" x14ac:dyDescent="0.25">
      <c r="A10658" s="75">
        <v>43232105</v>
      </c>
      <c r="B10658" s="76" t="s">
        <v>12773</v>
      </c>
    </row>
    <row r="10659" spans="1:2" x14ac:dyDescent="0.25">
      <c r="A10659" s="75">
        <v>43232106</v>
      </c>
      <c r="B10659" s="76" t="s">
        <v>17147</v>
      </c>
    </row>
    <row r="10660" spans="1:2" x14ac:dyDescent="0.25">
      <c r="A10660" s="75">
        <v>43232107</v>
      </c>
      <c r="B10660" s="76" t="s">
        <v>1114</v>
      </c>
    </row>
    <row r="10661" spans="1:2" x14ac:dyDescent="0.25">
      <c r="A10661" s="75">
        <v>43232108</v>
      </c>
      <c r="B10661" s="76" t="s">
        <v>13977</v>
      </c>
    </row>
    <row r="10662" spans="1:2" x14ac:dyDescent="0.25">
      <c r="A10662" s="75">
        <v>43232110</v>
      </c>
      <c r="B10662" s="76" t="s">
        <v>14740</v>
      </c>
    </row>
    <row r="10663" spans="1:2" x14ac:dyDescent="0.25">
      <c r="A10663" s="75">
        <v>43232111</v>
      </c>
      <c r="B10663" s="76" t="s">
        <v>17600</v>
      </c>
    </row>
    <row r="10664" spans="1:2" x14ac:dyDescent="0.25">
      <c r="A10664" s="75">
        <v>43232112</v>
      </c>
      <c r="B10664" s="76" t="s">
        <v>18226</v>
      </c>
    </row>
    <row r="10665" spans="1:2" x14ac:dyDescent="0.25">
      <c r="A10665" s="75">
        <v>43232201</v>
      </c>
      <c r="B10665" s="76" t="s">
        <v>19469</v>
      </c>
    </row>
    <row r="10666" spans="1:2" x14ac:dyDescent="0.25">
      <c r="A10666" s="75">
        <v>43232202</v>
      </c>
      <c r="B10666" s="76" t="s">
        <v>18295</v>
      </c>
    </row>
    <row r="10667" spans="1:2" x14ac:dyDescent="0.25">
      <c r="A10667" s="75">
        <v>43232203</v>
      </c>
      <c r="B10667" s="76" t="s">
        <v>13072</v>
      </c>
    </row>
    <row r="10668" spans="1:2" x14ac:dyDescent="0.25">
      <c r="A10668" s="75">
        <v>43232301</v>
      </c>
      <c r="B10668" s="76" t="s">
        <v>5798</v>
      </c>
    </row>
    <row r="10669" spans="1:2" x14ac:dyDescent="0.25">
      <c r="A10669" s="75">
        <v>43232302</v>
      </c>
      <c r="B10669" s="76" t="s">
        <v>10519</v>
      </c>
    </row>
    <row r="10670" spans="1:2" x14ac:dyDescent="0.25">
      <c r="A10670" s="75">
        <v>43232303</v>
      </c>
      <c r="B10670" s="76" t="s">
        <v>18348</v>
      </c>
    </row>
    <row r="10671" spans="1:2" x14ac:dyDescent="0.25">
      <c r="A10671" s="75">
        <v>43232304</v>
      </c>
      <c r="B10671" s="76" t="s">
        <v>12132</v>
      </c>
    </row>
    <row r="10672" spans="1:2" x14ac:dyDescent="0.25">
      <c r="A10672" s="75">
        <v>43232305</v>
      </c>
      <c r="B10672" s="76" t="s">
        <v>14481</v>
      </c>
    </row>
    <row r="10673" spans="1:2" x14ac:dyDescent="0.25">
      <c r="A10673" s="75">
        <v>43232306</v>
      </c>
      <c r="B10673" s="76" t="s">
        <v>2580</v>
      </c>
    </row>
    <row r="10674" spans="1:2" x14ac:dyDescent="0.25">
      <c r="A10674" s="75">
        <v>43232307</v>
      </c>
      <c r="B10674" s="76" t="s">
        <v>1055</v>
      </c>
    </row>
    <row r="10675" spans="1:2" x14ac:dyDescent="0.25">
      <c r="A10675" s="75">
        <v>43232309</v>
      </c>
      <c r="B10675" s="76" t="s">
        <v>6330</v>
      </c>
    </row>
    <row r="10676" spans="1:2" x14ac:dyDescent="0.25">
      <c r="A10676" s="75">
        <v>43232310</v>
      </c>
      <c r="B10676" s="76" t="s">
        <v>17636</v>
      </c>
    </row>
    <row r="10677" spans="1:2" x14ac:dyDescent="0.25">
      <c r="A10677" s="75">
        <v>43232311</v>
      </c>
      <c r="B10677" s="76" t="s">
        <v>14117</v>
      </c>
    </row>
    <row r="10678" spans="1:2" x14ac:dyDescent="0.25">
      <c r="A10678" s="75">
        <v>43232312</v>
      </c>
      <c r="B10678" s="76" t="s">
        <v>4209</v>
      </c>
    </row>
    <row r="10679" spans="1:2" x14ac:dyDescent="0.25">
      <c r="A10679" s="75">
        <v>43232313</v>
      </c>
      <c r="B10679" s="76" t="s">
        <v>5770</v>
      </c>
    </row>
    <row r="10680" spans="1:2" x14ac:dyDescent="0.25">
      <c r="A10680" s="75">
        <v>43232401</v>
      </c>
      <c r="B10680" s="76" t="s">
        <v>13633</v>
      </c>
    </row>
    <row r="10681" spans="1:2" x14ac:dyDescent="0.25">
      <c r="A10681" s="75">
        <v>43232402</v>
      </c>
      <c r="B10681" s="76" t="s">
        <v>4871</v>
      </c>
    </row>
    <row r="10682" spans="1:2" x14ac:dyDescent="0.25">
      <c r="A10682" s="75">
        <v>43232403</v>
      </c>
      <c r="B10682" s="76" t="s">
        <v>2393</v>
      </c>
    </row>
    <row r="10683" spans="1:2" x14ac:dyDescent="0.25">
      <c r="A10683" s="75">
        <v>43232404</v>
      </c>
      <c r="B10683" s="76" t="s">
        <v>17046</v>
      </c>
    </row>
    <row r="10684" spans="1:2" x14ac:dyDescent="0.25">
      <c r="A10684" s="75">
        <v>43232405</v>
      </c>
      <c r="B10684" s="76" t="s">
        <v>8787</v>
      </c>
    </row>
    <row r="10685" spans="1:2" x14ac:dyDescent="0.25">
      <c r="A10685" s="75">
        <v>43232406</v>
      </c>
      <c r="B10685" s="76" t="s">
        <v>2241</v>
      </c>
    </row>
    <row r="10686" spans="1:2" x14ac:dyDescent="0.25">
      <c r="A10686" s="75">
        <v>43232407</v>
      </c>
      <c r="B10686" s="76" t="s">
        <v>11613</v>
      </c>
    </row>
    <row r="10687" spans="1:2" x14ac:dyDescent="0.25">
      <c r="A10687" s="75">
        <v>43232408</v>
      </c>
      <c r="B10687" s="76" t="s">
        <v>9823</v>
      </c>
    </row>
    <row r="10688" spans="1:2" x14ac:dyDescent="0.25">
      <c r="A10688" s="75">
        <v>43232409</v>
      </c>
      <c r="B10688" s="76" t="s">
        <v>19760</v>
      </c>
    </row>
    <row r="10689" spans="1:2" x14ac:dyDescent="0.25">
      <c r="A10689" s="75">
        <v>43232501</v>
      </c>
      <c r="B10689" s="76" t="s">
        <v>15401</v>
      </c>
    </row>
    <row r="10690" spans="1:2" x14ac:dyDescent="0.25">
      <c r="A10690" s="75">
        <v>43232502</v>
      </c>
      <c r="B10690" s="76" t="s">
        <v>5095</v>
      </c>
    </row>
    <row r="10691" spans="1:2" x14ac:dyDescent="0.25">
      <c r="A10691" s="75">
        <v>43232503</v>
      </c>
      <c r="B10691" s="76" t="s">
        <v>9727</v>
      </c>
    </row>
    <row r="10692" spans="1:2" x14ac:dyDescent="0.25">
      <c r="A10692" s="75">
        <v>43232504</v>
      </c>
      <c r="B10692" s="76" t="s">
        <v>3434</v>
      </c>
    </row>
    <row r="10693" spans="1:2" x14ac:dyDescent="0.25">
      <c r="A10693" s="75">
        <v>43232601</v>
      </c>
      <c r="B10693" s="76" t="s">
        <v>5694</v>
      </c>
    </row>
    <row r="10694" spans="1:2" x14ac:dyDescent="0.25">
      <c r="A10694" s="75">
        <v>43232602</v>
      </c>
      <c r="B10694" s="76" t="s">
        <v>4035</v>
      </c>
    </row>
    <row r="10695" spans="1:2" x14ac:dyDescent="0.25">
      <c r="A10695" s="75">
        <v>43232603</v>
      </c>
      <c r="B10695" s="76" t="s">
        <v>9355</v>
      </c>
    </row>
    <row r="10696" spans="1:2" x14ac:dyDescent="0.25">
      <c r="A10696" s="75">
        <v>43232604</v>
      </c>
      <c r="B10696" s="76" t="s">
        <v>1949</v>
      </c>
    </row>
    <row r="10697" spans="1:2" x14ac:dyDescent="0.25">
      <c r="A10697" s="75">
        <v>43232605</v>
      </c>
      <c r="B10697" s="76" t="s">
        <v>9147</v>
      </c>
    </row>
    <row r="10698" spans="1:2" x14ac:dyDescent="0.25">
      <c r="A10698" s="75">
        <v>43232606</v>
      </c>
      <c r="B10698" s="76" t="s">
        <v>12374</v>
      </c>
    </row>
    <row r="10699" spans="1:2" x14ac:dyDescent="0.25">
      <c r="A10699" s="75">
        <v>43232607</v>
      </c>
      <c r="B10699" s="76" t="s">
        <v>217</v>
      </c>
    </row>
    <row r="10700" spans="1:2" x14ac:dyDescent="0.25">
      <c r="A10700" s="75">
        <v>43232608</v>
      </c>
      <c r="B10700" s="76" t="s">
        <v>15597</v>
      </c>
    </row>
    <row r="10701" spans="1:2" x14ac:dyDescent="0.25">
      <c r="A10701" s="75">
        <v>43232609</v>
      </c>
      <c r="B10701" s="76" t="s">
        <v>4317</v>
      </c>
    </row>
    <row r="10702" spans="1:2" x14ac:dyDescent="0.25">
      <c r="A10702" s="75">
        <v>43232610</v>
      </c>
      <c r="B10702" s="76" t="s">
        <v>11010</v>
      </c>
    </row>
    <row r="10703" spans="1:2" x14ac:dyDescent="0.25">
      <c r="A10703" s="75">
        <v>43232611</v>
      </c>
      <c r="B10703" s="76" t="s">
        <v>7351</v>
      </c>
    </row>
    <row r="10704" spans="1:2" x14ac:dyDescent="0.25">
      <c r="A10704" s="75">
        <v>43232612</v>
      </c>
      <c r="B10704" s="76" t="s">
        <v>9272</v>
      </c>
    </row>
    <row r="10705" spans="1:2" x14ac:dyDescent="0.25">
      <c r="A10705" s="75">
        <v>43232701</v>
      </c>
      <c r="B10705" s="76" t="s">
        <v>12860</v>
      </c>
    </row>
    <row r="10706" spans="1:2" x14ac:dyDescent="0.25">
      <c r="A10706" s="75">
        <v>43232702</v>
      </c>
      <c r="B10706" s="76" t="s">
        <v>17362</v>
      </c>
    </row>
    <row r="10707" spans="1:2" x14ac:dyDescent="0.25">
      <c r="A10707" s="75">
        <v>43232703</v>
      </c>
      <c r="B10707" s="76" t="s">
        <v>19800</v>
      </c>
    </row>
    <row r="10708" spans="1:2" x14ac:dyDescent="0.25">
      <c r="A10708" s="75">
        <v>43232704</v>
      </c>
      <c r="B10708" s="76" t="s">
        <v>3101</v>
      </c>
    </row>
    <row r="10709" spans="1:2" x14ac:dyDescent="0.25">
      <c r="A10709" s="75">
        <v>43232705</v>
      </c>
      <c r="B10709" s="76" t="s">
        <v>3962</v>
      </c>
    </row>
    <row r="10710" spans="1:2" x14ac:dyDescent="0.25">
      <c r="A10710" s="75">
        <v>43232801</v>
      </c>
      <c r="B10710" s="76" t="s">
        <v>5776</v>
      </c>
    </row>
    <row r="10711" spans="1:2" x14ac:dyDescent="0.25">
      <c r="A10711" s="75">
        <v>43232802</v>
      </c>
      <c r="B10711" s="76" t="s">
        <v>9324</v>
      </c>
    </row>
    <row r="10712" spans="1:2" x14ac:dyDescent="0.25">
      <c r="A10712" s="75">
        <v>43232803</v>
      </c>
      <c r="B10712" s="76" t="s">
        <v>13362</v>
      </c>
    </row>
    <row r="10713" spans="1:2" x14ac:dyDescent="0.25">
      <c r="A10713" s="75">
        <v>43232804</v>
      </c>
      <c r="B10713" s="76" t="s">
        <v>6082</v>
      </c>
    </row>
    <row r="10714" spans="1:2" x14ac:dyDescent="0.25">
      <c r="A10714" s="75">
        <v>43232901</v>
      </c>
      <c r="B10714" s="76" t="s">
        <v>18540</v>
      </c>
    </row>
    <row r="10715" spans="1:2" x14ac:dyDescent="0.25">
      <c r="A10715" s="75">
        <v>43232902</v>
      </c>
      <c r="B10715" s="76" t="s">
        <v>20074</v>
      </c>
    </row>
    <row r="10716" spans="1:2" x14ac:dyDescent="0.25">
      <c r="A10716" s="75">
        <v>43232903</v>
      </c>
      <c r="B10716" s="76" t="s">
        <v>12916</v>
      </c>
    </row>
    <row r="10717" spans="1:2" x14ac:dyDescent="0.25">
      <c r="A10717" s="75">
        <v>43232904</v>
      </c>
      <c r="B10717" s="76" t="s">
        <v>19218</v>
      </c>
    </row>
    <row r="10718" spans="1:2" x14ac:dyDescent="0.25">
      <c r="A10718" s="75">
        <v>43232905</v>
      </c>
      <c r="B10718" s="76" t="s">
        <v>5794</v>
      </c>
    </row>
    <row r="10719" spans="1:2" x14ac:dyDescent="0.25">
      <c r="A10719" s="75">
        <v>43232906</v>
      </c>
      <c r="B10719" s="76" t="s">
        <v>7902</v>
      </c>
    </row>
    <row r="10720" spans="1:2" x14ac:dyDescent="0.25">
      <c r="A10720" s="75">
        <v>43232907</v>
      </c>
      <c r="B10720" s="76" t="s">
        <v>16672</v>
      </c>
    </row>
    <row r="10721" spans="1:2" x14ac:dyDescent="0.25">
      <c r="A10721" s="75">
        <v>43232908</v>
      </c>
      <c r="B10721" s="76" t="s">
        <v>13239</v>
      </c>
    </row>
    <row r="10722" spans="1:2" x14ac:dyDescent="0.25">
      <c r="A10722" s="75">
        <v>43232909</v>
      </c>
      <c r="B10722" s="76" t="s">
        <v>3177</v>
      </c>
    </row>
    <row r="10723" spans="1:2" x14ac:dyDescent="0.25">
      <c r="A10723" s="75">
        <v>43232910</v>
      </c>
      <c r="B10723" s="76" t="s">
        <v>11348</v>
      </c>
    </row>
    <row r="10724" spans="1:2" x14ac:dyDescent="0.25">
      <c r="A10724" s="75">
        <v>43232911</v>
      </c>
      <c r="B10724" s="76" t="s">
        <v>16448</v>
      </c>
    </row>
    <row r="10725" spans="1:2" x14ac:dyDescent="0.25">
      <c r="A10725" s="75">
        <v>43232912</v>
      </c>
      <c r="B10725" s="76" t="s">
        <v>15041</v>
      </c>
    </row>
    <row r="10726" spans="1:2" x14ac:dyDescent="0.25">
      <c r="A10726" s="75">
        <v>43232913</v>
      </c>
      <c r="B10726" s="76" t="s">
        <v>7374</v>
      </c>
    </row>
    <row r="10727" spans="1:2" x14ac:dyDescent="0.25">
      <c r="A10727" s="75">
        <v>43232914</v>
      </c>
      <c r="B10727" s="76" t="s">
        <v>8368</v>
      </c>
    </row>
    <row r="10728" spans="1:2" x14ac:dyDescent="0.25">
      <c r="A10728" s="75">
        <v>43232915</v>
      </c>
      <c r="B10728" s="76" t="s">
        <v>12257</v>
      </c>
    </row>
    <row r="10729" spans="1:2" x14ac:dyDescent="0.25">
      <c r="A10729" s="75">
        <v>43233001</v>
      </c>
      <c r="B10729" s="76" t="s">
        <v>7572</v>
      </c>
    </row>
    <row r="10730" spans="1:2" x14ac:dyDescent="0.25">
      <c r="A10730" s="75">
        <v>43233002</v>
      </c>
      <c r="B10730" s="76" t="s">
        <v>11114</v>
      </c>
    </row>
    <row r="10731" spans="1:2" x14ac:dyDescent="0.25">
      <c r="A10731" s="75">
        <v>43233004</v>
      </c>
      <c r="B10731" s="76" t="s">
        <v>15785</v>
      </c>
    </row>
    <row r="10732" spans="1:2" x14ac:dyDescent="0.25">
      <c r="A10732" s="75">
        <v>43233201</v>
      </c>
      <c r="B10732" s="76" t="s">
        <v>15225</v>
      </c>
    </row>
    <row r="10733" spans="1:2" x14ac:dyDescent="0.25">
      <c r="A10733" s="75">
        <v>43233203</v>
      </c>
      <c r="B10733" s="76" t="s">
        <v>14150</v>
      </c>
    </row>
    <row r="10734" spans="1:2" x14ac:dyDescent="0.25">
      <c r="A10734" s="75">
        <v>43233204</v>
      </c>
      <c r="B10734" s="76" t="s">
        <v>12600</v>
      </c>
    </row>
    <row r="10735" spans="1:2" x14ac:dyDescent="0.25">
      <c r="A10735" s="75">
        <v>43233205</v>
      </c>
      <c r="B10735" s="76" t="s">
        <v>11897</v>
      </c>
    </row>
    <row r="10736" spans="1:2" x14ac:dyDescent="0.25">
      <c r="A10736" s="75">
        <v>43233401</v>
      </c>
      <c r="B10736" s="76" t="s">
        <v>17341</v>
      </c>
    </row>
    <row r="10737" spans="1:2" x14ac:dyDescent="0.25">
      <c r="A10737" s="75">
        <v>43233402</v>
      </c>
      <c r="B10737" s="76" t="s">
        <v>17447</v>
      </c>
    </row>
    <row r="10738" spans="1:2" x14ac:dyDescent="0.25">
      <c r="A10738" s="75">
        <v>43233403</v>
      </c>
      <c r="B10738" s="76" t="s">
        <v>6386</v>
      </c>
    </row>
    <row r="10739" spans="1:2" x14ac:dyDescent="0.25">
      <c r="A10739" s="75">
        <v>43233404</v>
      </c>
      <c r="B10739" s="76" t="s">
        <v>12853</v>
      </c>
    </row>
    <row r="10740" spans="1:2" x14ac:dyDescent="0.25">
      <c r="A10740" s="75">
        <v>43233405</v>
      </c>
      <c r="B10740" s="76" t="s">
        <v>17360</v>
      </c>
    </row>
    <row r="10741" spans="1:2" x14ac:dyDescent="0.25">
      <c r="A10741" s="75">
        <v>43233406</v>
      </c>
      <c r="B10741" s="76" t="s">
        <v>11075</v>
      </c>
    </row>
    <row r="10742" spans="1:2" x14ac:dyDescent="0.25">
      <c r="A10742" s="75">
        <v>43233407</v>
      </c>
      <c r="B10742" s="76" t="s">
        <v>16382</v>
      </c>
    </row>
    <row r="10743" spans="1:2" x14ac:dyDescent="0.25">
      <c r="A10743" s="75">
        <v>43233410</v>
      </c>
      <c r="B10743" s="76" t="s">
        <v>8500</v>
      </c>
    </row>
    <row r="10744" spans="1:2" x14ac:dyDescent="0.25">
      <c r="A10744" s="75">
        <v>43233411</v>
      </c>
      <c r="B10744" s="76" t="s">
        <v>7722</v>
      </c>
    </row>
    <row r="10745" spans="1:2" x14ac:dyDescent="0.25">
      <c r="A10745" s="75">
        <v>43233413</v>
      </c>
      <c r="B10745" s="76" t="s">
        <v>14949</v>
      </c>
    </row>
    <row r="10746" spans="1:2" x14ac:dyDescent="0.25">
      <c r="A10746" s="75">
        <v>43233414</v>
      </c>
      <c r="B10746" s="76" t="s">
        <v>11401</v>
      </c>
    </row>
    <row r="10747" spans="1:2" x14ac:dyDescent="0.25">
      <c r="A10747" s="75">
        <v>43233415</v>
      </c>
      <c r="B10747" s="76" t="s">
        <v>13283</v>
      </c>
    </row>
    <row r="10748" spans="1:2" x14ac:dyDescent="0.25">
      <c r="A10748" s="75">
        <v>43233501</v>
      </c>
      <c r="B10748" s="76" t="s">
        <v>1405</v>
      </c>
    </row>
    <row r="10749" spans="1:2" x14ac:dyDescent="0.25">
      <c r="A10749" s="75">
        <v>43233502</v>
      </c>
      <c r="B10749" s="76" t="s">
        <v>4971</v>
      </c>
    </row>
    <row r="10750" spans="1:2" x14ac:dyDescent="0.25">
      <c r="A10750" s="75">
        <v>43233503</v>
      </c>
      <c r="B10750" s="76" t="s">
        <v>15472</v>
      </c>
    </row>
    <row r="10751" spans="1:2" x14ac:dyDescent="0.25">
      <c r="A10751" s="75">
        <v>43233504</v>
      </c>
      <c r="B10751" s="76" t="s">
        <v>19801</v>
      </c>
    </row>
    <row r="10752" spans="1:2" x14ac:dyDescent="0.25">
      <c r="A10752" s="75">
        <v>43233505</v>
      </c>
      <c r="B10752" s="76" t="s">
        <v>5137</v>
      </c>
    </row>
    <row r="10753" spans="1:2" x14ac:dyDescent="0.25">
      <c r="A10753" s="75">
        <v>43233506</v>
      </c>
      <c r="B10753" s="76" t="s">
        <v>9544</v>
      </c>
    </row>
    <row r="10754" spans="1:2" x14ac:dyDescent="0.25">
      <c r="A10754" s="75">
        <v>43233507</v>
      </c>
      <c r="B10754" s="76" t="s">
        <v>10055</v>
      </c>
    </row>
    <row r="10755" spans="1:2" x14ac:dyDescent="0.25">
      <c r="A10755" s="75">
        <v>43233508</v>
      </c>
      <c r="B10755" s="76" t="s">
        <v>18251</v>
      </c>
    </row>
    <row r="10756" spans="1:2" x14ac:dyDescent="0.25">
      <c r="A10756" s="75">
        <v>43233509</v>
      </c>
      <c r="B10756" s="76" t="s">
        <v>9304</v>
      </c>
    </row>
    <row r="10757" spans="1:2" x14ac:dyDescent="0.25">
      <c r="A10757" s="75">
        <v>43233510</v>
      </c>
      <c r="B10757" s="76" t="s">
        <v>618</v>
      </c>
    </row>
    <row r="10758" spans="1:2" x14ac:dyDescent="0.25">
      <c r="A10758" s="75">
        <v>43233511</v>
      </c>
      <c r="B10758" s="76" t="s">
        <v>11682</v>
      </c>
    </row>
    <row r="10759" spans="1:2" x14ac:dyDescent="0.25">
      <c r="A10759" s="75">
        <v>44101501</v>
      </c>
      <c r="B10759" s="76" t="s">
        <v>3487</v>
      </c>
    </row>
    <row r="10760" spans="1:2" x14ac:dyDescent="0.25">
      <c r="A10760" s="75">
        <v>44101502</v>
      </c>
      <c r="B10760" s="76" t="s">
        <v>3179</v>
      </c>
    </row>
    <row r="10761" spans="1:2" x14ac:dyDescent="0.25">
      <c r="A10761" s="75">
        <v>44101503</v>
      </c>
      <c r="B10761" s="76" t="s">
        <v>10794</v>
      </c>
    </row>
    <row r="10762" spans="1:2" x14ac:dyDescent="0.25">
      <c r="A10762" s="75">
        <v>44101504</v>
      </c>
      <c r="B10762" s="76" t="s">
        <v>7202</v>
      </c>
    </row>
    <row r="10763" spans="1:2" x14ac:dyDescent="0.25">
      <c r="A10763" s="75">
        <v>44101505</v>
      </c>
      <c r="B10763" s="76" t="s">
        <v>6431</v>
      </c>
    </row>
    <row r="10764" spans="1:2" x14ac:dyDescent="0.25">
      <c r="A10764" s="75">
        <v>44101506</v>
      </c>
      <c r="B10764" s="76" t="s">
        <v>8412</v>
      </c>
    </row>
    <row r="10765" spans="1:2" x14ac:dyDescent="0.25">
      <c r="A10765" s="75">
        <v>44101601</v>
      </c>
      <c r="B10765" s="76" t="s">
        <v>19627</v>
      </c>
    </row>
    <row r="10766" spans="1:2" x14ac:dyDescent="0.25">
      <c r="A10766" s="75">
        <v>44101602</v>
      </c>
      <c r="B10766" s="76" t="s">
        <v>4802</v>
      </c>
    </row>
    <row r="10767" spans="1:2" x14ac:dyDescent="0.25">
      <c r="A10767" s="75">
        <v>44101603</v>
      </c>
      <c r="B10767" s="76" t="s">
        <v>19179</v>
      </c>
    </row>
    <row r="10768" spans="1:2" x14ac:dyDescent="0.25">
      <c r="A10768" s="75">
        <v>44101604</v>
      </c>
      <c r="B10768" s="76" t="s">
        <v>11946</v>
      </c>
    </row>
    <row r="10769" spans="1:2" x14ac:dyDescent="0.25">
      <c r="A10769" s="75">
        <v>44101605</v>
      </c>
      <c r="B10769" s="76" t="s">
        <v>13641</v>
      </c>
    </row>
    <row r="10770" spans="1:2" x14ac:dyDescent="0.25">
      <c r="A10770" s="75">
        <v>44101606</v>
      </c>
      <c r="B10770" s="76" t="s">
        <v>5178</v>
      </c>
    </row>
    <row r="10771" spans="1:2" x14ac:dyDescent="0.25">
      <c r="A10771" s="75">
        <v>44101701</v>
      </c>
      <c r="B10771" s="76" t="s">
        <v>18626</v>
      </c>
    </row>
    <row r="10772" spans="1:2" x14ac:dyDescent="0.25">
      <c r="A10772" s="75">
        <v>44101702</v>
      </c>
      <c r="B10772" s="76" t="s">
        <v>12116</v>
      </c>
    </row>
    <row r="10773" spans="1:2" x14ac:dyDescent="0.25">
      <c r="A10773" s="75">
        <v>44101703</v>
      </c>
      <c r="B10773" s="76" t="s">
        <v>18113</v>
      </c>
    </row>
    <row r="10774" spans="1:2" x14ac:dyDescent="0.25">
      <c r="A10774" s="75">
        <v>44101704</v>
      </c>
      <c r="B10774" s="76" t="s">
        <v>3003</v>
      </c>
    </row>
    <row r="10775" spans="1:2" x14ac:dyDescent="0.25">
      <c r="A10775" s="75">
        <v>44101705</v>
      </c>
      <c r="B10775" s="76" t="s">
        <v>9882</v>
      </c>
    </row>
    <row r="10776" spans="1:2" x14ac:dyDescent="0.25">
      <c r="A10776" s="75">
        <v>44101706</v>
      </c>
      <c r="B10776" s="76" t="s">
        <v>16124</v>
      </c>
    </row>
    <row r="10777" spans="1:2" x14ac:dyDescent="0.25">
      <c r="A10777" s="75">
        <v>44101707</v>
      </c>
      <c r="B10777" s="76" t="s">
        <v>7611</v>
      </c>
    </row>
    <row r="10778" spans="1:2" x14ac:dyDescent="0.25">
      <c r="A10778" s="75">
        <v>44101708</v>
      </c>
      <c r="B10778" s="76" t="s">
        <v>1132</v>
      </c>
    </row>
    <row r="10779" spans="1:2" x14ac:dyDescent="0.25">
      <c r="A10779" s="75">
        <v>44101709</v>
      </c>
      <c r="B10779" s="76" t="s">
        <v>15010</v>
      </c>
    </row>
    <row r="10780" spans="1:2" x14ac:dyDescent="0.25">
      <c r="A10780" s="75">
        <v>44101710</v>
      </c>
      <c r="B10780" s="76" t="s">
        <v>130</v>
      </c>
    </row>
    <row r="10781" spans="1:2" x14ac:dyDescent="0.25">
      <c r="A10781" s="75">
        <v>44101711</v>
      </c>
      <c r="B10781" s="76" t="s">
        <v>650</v>
      </c>
    </row>
    <row r="10782" spans="1:2" x14ac:dyDescent="0.25">
      <c r="A10782" s="75">
        <v>44101712</v>
      </c>
      <c r="B10782" s="76" t="s">
        <v>8636</v>
      </c>
    </row>
    <row r="10783" spans="1:2" x14ac:dyDescent="0.25">
      <c r="A10783" s="75">
        <v>44101713</v>
      </c>
      <c r="B10783" s="76" t="s">
        <v>19085</v>
      </c>
    </row>
    <row r="10784" spans="1:2" x14ac:dyDescent="0.25">
      <c r="A10784" s="75">
        <v>44101714</v>
      </c>
      <c r="B10784" s="76" t="s">
        <v>6606</v>
      </c>
    </row>
    <row r="10785" spans="1:2" x14ac:dyDescent="0.25">
      <c r="A10785" s="75">
        <v>44101715</v>
      </c>
      <c r="B10785" s="76" t="s">
        <v>9375</v>
      </c>
    </row>
    <row r="10786" spans="1:2" x14ac:dyDescent="0.25">
      <c r="A10786" s="75">
        <v>44101716</v>
      </c>
      <c r="B10786" s="76" t="s">
        <v>14863</v>
      </c>
    </row>
    <row r="10787" spans="1:2" x14ac:dyDescent="0.25">
      <c r="A10787" s="75">
        <v>44101718</v>
      </c>
      <c r="B10787" s="76" t="s">
        <v>19260</v>
      </c>
    </row>
    <row r="10788" spans="1:2" x14ac:dyDescent="0.25">
      <c r="A10788" s="75">
        <v>44101719</v>
      </c>
      <c r="B10788" s="76" t="s">
        <v>11866</v>
      </c>
    </row>
    <row r="10789" spans="1:2" x14ac:dyDescent="0.25">
      <c r="A10789" s="75">
        <v>44101720</v>
      </c>
      <c r="B10789" s="76" t="s">
        <v>31</v>
      </c>
    </row>
    <row r="10790" spans="1:2" x14ac:dyDescent="0.25">
      <c r="A10790" s="75">
        <v>44101721</v>
      </c>
      <c r="B10790" s="76" t="s">
        <v>18806</v>
      </c>
    </row>
    <row r="10791" spans="1:2" x14ac:dyDescent="0.25">
      <c r="A10791" s="75">
        <v>44101722</v>
      </c>
      <c r="B10791" s="76" t="s">
        <v>16080</v>
      </c>
    </row>
    <row r="10792" spans="1:2" x14ac:dyDescent="0.25">
      <c r="A10792" s="75">
        <v>44101723</v>
      </c>
      <c r="B10792" s="76" t="s">
        <v>2435</v>
      </c>
    </row>
    <row r="10793" spans="1:2" x14ac:dyDescent="0.25">
      <c r="A10793" s="75">
        <v>44101724</v>
      </c>
      <c r="B10793" s="76" t="s">
        <v>14753</v>
      </c>
    </row>
    <row r="10794" spans="1:2" x14ac:dyDescent="0.25">
      <c r="A10794" s="75">
        <v>44101725</v>
      </c>
      <c r="B10794" s="76" t="s">
        <v>13159</v>
      </c>
    </row>
    <row r="10795" spans="1:2" x14ac:dyDescent="0.25">
      <c r="A10795" s="75">
        <v>44101726</v>
      </c>
      <c r="B10795" s="76" t="s">
        <v>8032</v>
      </c>
    </row>
    <row r="10796" spans="1:2" x14ac:dyDescent="0.25">
      <c r="A10796" s="75">
        <v>44101727</v>
      </c>
      <c r="B10796" s="76" t="s">
        <v>3317</v>
      </c>
    </row>
    <row r="10797" spans="1:2" x14ac:dyDescent="0.25">
      <c r="A10797" s="75">
        <v>44101728</v>
      </c>
      <c r="B10797" s="76" t="s">
        <v>16499</v>
      </c>
    </row>
    <row r="10798" spans="1:2" x14ac:dyDescent="0.25">
      <c r="A10798" s="75">
        <v>44101729</v>
      </c>
      <c r="B10798" s="76" t="s">
        <v>17317</v>
      </c>
    </row>
    <row r="10799" spans="1:2" x14ac:dyDescent="0.25">
      <c r="A10799" s="75">
        <v>44101801</v>
      </c>
      <c r="B10799" s="76" t="s">
        <v>863</v>
      </c>
    </row>
    <row r="10800" spans="1:2" x14ac:dyDescent="0.25">
      <c r="A10800" s="75">
        <v>44101802</v>
      </c>
      <c r="B10800" s="76" t="s">
        <v>7352</v>
      </c>
    </row>
    <row r="10801" spans="1:2" x14ac:dyDescent="0.25">
      <c r="A10801" s="75">
        <v>44101803</v>
      </c>
      <c r="B10801" s="76" t="s">
        <v>4</v>
      </c>
    </row>
    <row r="10802" spans="1:2" x14ac:dyDescent="0.25">
      <c r="A10802" s="75">
        <v>44101804</v>
      </c>
      <c r="B10802" s="76" t="s">
        <v>11797</v>
      </c>
    </row>
    <row r="10803" spans="1:2" x14ac:dyDescent="0.25">
      <c r="A10803" s="75">
        <v>44101805</v>
      </c>
      <c r="B10803" s="76" t="s">
        <v>18143</v>
      </c>
    </row>
    <row r="10804" spans="1:2" x14ac:dyDescent="0.25">
      <c r="A10804" s="75">
        <v>44101806</v>
      </c>
      <c r="B10804" s="76" t="s">
        <v>2161</v>
      </c>
    </row>
    <row r="10805" spans="1:2" x14ac:dyDescent="0.25">
      <c r="A10805" s="75">
        <v>44101901</v>
      </c>
      <c r="B10805" s="76" t="s">
        <v>14843</v>
      </c>
    </row>
    <row r="10806" spans="1:2" x14ac:dyDescent="0.25">
      <c r="A10806" s="75">
        <v>44101902</v>
      </c>
      <c r="B10806" s="76" t="s">
        <v>18250</v>
      </c>
    </row>
    <row r="10807" spans="1:2" x14ac:dyDescent="0.25">
      <c r="A10807" s="75">
        <v>44102001</v>
      </c>
      <c r="B10807" s="76" t="s">
        <v>10639</v>
      </c>
    </row>
    <row r="10808" spans="1:2" x14ac:dyDescent="0.25">
      <c r="A10808" s="75">
        <v>44102002</v>
      </c>
      <c r="B10808" s="76" t="s">
        <v>8228</v>
      </c>
    </row>
    <row r="10809" spans="1:2" x14ac:dyDescent="0.25">
      <c r="A10809" s="75">
        <v>44102003</v>
      </c>
      <c r="B10809" s="76" t="s">
        <v>2628</v>
      </c>
    </row>
    <row r="10810" spans="1:2" x14ac:dyDescent="0.25">
      <c r="A10810" s="75">
        <v>44102004</v>
      </c>
      <c r="B10810" s="76" t="s">
        <v>8040</v>
      </c>
    </row>
    <row r="10811" spans="1:2" x14ac:dyDescent="0.25">
      <c r="A10811" s="75">
        <v>44102101</v>
      </c>
      <c r="B10811" s="76" t="s">
        <v>11078</v>
      </c>
    </row>
    <row r="10812" spans="1:2" x14ac:dyDescent="0.25">
      <c r="A10812" s="75">
        <v>44102102</v>
      </c>
      <c r="B10812" s="76" t="s">
        <v>10020</v>
      </c>
    </row>
    <row r="10813" spans="1:2" x14ac:dyDescent="0.25">
      <c r="A10813" s="75">
        <v>44102103</v>
      </c>
      <c r="B10813" s="76" t="s">
        <v>11928</v>
      </c>
    </row>
    <row r="10814" spans="1:2" x14ac:dyDescent="0.25">
      <c r="A10814" s="75">
        <v>44102104</v>
      </c>
      <c r="B10814" s="76" t="s">
        <v>7107</v>
      </c>
    </row>
    <row r="10815" spans="1:2" x14ac:dyDescent="0.25">
      <c r="A10815" s="75">
        <v>44102105</v>
      </c>
      <c r="B10815" s="76" t="s">
        <v>9922</v>
      </c>
    </row>
    <row r="10816" spans="1:2" x14ac:dyDescent="0.25">
      <c r="A10816" s="75">
        <v>44102106</v>
      </c>
      <c r="B10816" s="76" t="s">
        <v>11593</v>
      </c>
    </row>
    <row r="10817" spans="1:2" x14ac:dyDescent="0.25">
      <c r="A10817" s="75">
        <v>44102107</v>
      </c>
      <c r="B10817" s="76" t="s">
        <v>2603</v>
      </c>
    </row>
    <row r="10818" spans="1:2" x14ac:dyDescent="0.25">
      <c r="A10818" s="75">
        <v>44102108</v>
      </c>
      <c r="B10818" s="76" t="s">
        <v>12882</v>
      </c>
    </row>
    <row r="10819" spans="1:2" x14ac:dyDescent="0.25">
      <c r="A10819" s="75">
        <v>44102201</v>
      </c>
      <c r="B10819" s="76" t="s">
        <v>3222</v>
      </c>
    </row>
    <row r="10820" spans="1:2" x14ac:dyDescent="0.25">
      <c r="A10820" s="75">
        <v>44102202</v>
      </c>
      <c r="B10820" s="76" t="s">
        <v>9603</v>
      </c>
    </row>
    <row r="10821" spans="1:2" x14ac:dyDescent="0.25">
      <c r="A10821" s="75">
        <v>44102203</v>
      </c>
      <c r="B10821" s="76" t="s">
        <v>15833</v>
      </c>
    </row>
    <row r="10822" spans="1:2" x14ac:dyDescent="0.25">
      <c r="A10822" s="75">
        <v>44102301</v>
      </c>
      <c r="B10822" s="76" t="s">
        <v>940</v>
      </c>
    </row>
    <row r="10823" spans="1:2" x14ac:dyDescent="0.25">
      <c r="A10823" s="75">
        <v>44102302</v>
      </c>
      <c r="B10823" s="76" t="s">
        <v>3808</v>
      </c>
    </row>
    <row r="10824" spans="1:2" x14ac:dyDescent="0.25">
      <c r="A10824" s="75">
        <v>44102303</v>
      </c>
      <c r="B10824" s="76" t="s">
        <v>3875</v>
      </c>
    </row>
    <row r="10825" spans="1:2" x14ac:dyDescent="0.25">
      <c r="A10825" s="75">
        <v>44102304</v>
      </c>
      <c r="B10825" s="76" t="s">
        <v>17595</v>
      </c>
    </row>
    <row r="10826" spans="1:2" x14ac:dyDescent="0.25">
      <c r="A10826" s="75">
        <v>44102305</v>
      </c>
      <c r="B10826" s="76" t="s">
        <v>13405</v>
      </c>
    </row>
    <row r="10827" spans="1:2" x14ac:dyDescent="0.25">
      <c r="A10827" s="75">
        <v>44102306</v>
      </c>
      <c r="B10827" s="76" t="s">
        <v>19996</v>
      </c>
    </row>
    <row r="10828" spans="1:2" x14ac:dyDescent="0.25">
      <c r="A10828" s="75">
        <v>44102307</v>
      </c>
      <c r="B10828" s="76" t="s">
        <v>535</v>
      </c>
    </row>
    <row r="10829" spans="1:2" x14ac:dyDescent="0.25">
      <c r="A10829" s="75">
        <v>44102402</v>
      </c>
      <c r="B10829" s="76" t="s">
        <v>9110</v>
      </c>
    </row>
    <row r="10830" spans="1:2" x14ac:dyDescent="0.25">
      <c r="A10830" s="75">
        <v>44102403</v>
      </c>
      <c r="B10830" s="76" t="s">
        <v>11775</v>
      </c>
    </row>
    <row r="10831" spans="1:2" x14ac:dyDescent="0.25">
      <c r="A10831" s="75">
        <v>44102404</v>
      </c>
      <c r="B10831" s="76" t="s">
        <v>19283</v>
      </c>
    </row>
    <row r="10832" spans="1:2" x14ac:dyDescent="0.25">
      <c r="A10832" s="75">
        <v>44102405</v>
      </c>
      <c r="B10832" s="76" t="s">
        <v>18358</v>
      </c>
    </row>
    <row r="10833" spans="1:2" x14ac:dyDescent="0.25">
      <c r="A10833" s="75">
        <v>44102406</v>
      </c>
      <c r="B10833" s="76" t="s">
        <v>14615</v>
      </c>
    </row>
    <row r="10834" spans="1:2" x14ac:dyDescent="0.25">
      <c r="A10834" s="75">
        <v>44102407</v>
      </c>
      <c r="B10834" s="76" t="s">
        <v>735</v>
      </c>
    </row>
    <row r="10835" spans="1:2" x14ac:dyDescent="0.25">
      <c r="A10835" s="75">
        <v>44102408</v>
      </c>
      <c r="B10835" s="76" t="s">
        <v>12206</v>
      </c>
    </row>
    <row r="10836" spans="1:2" x14ac:dyDescent="0.25">
      <c r="A10836" s="75">
        <v>44102409</v>
      </c>
      <c r="B10836" s="76" t="s">
        <v>17047</v>
      </c>
    </row>
    <row r="10837" spans="1:2" x14ac:dyDescent="0.25">
      <c r="A10837" s="75">
        <v>44102411</v>
      </c>
      <c r="B10837" s="76" t="s">
        <v>18745</v>
      </c>
    </row>
    <row r="10838" spans="1:2" x14ac:dyDescent="0.25">
      <c r="A10838" s="75">
        <v>44102412</v>
      </c>
      <c r="B10838" s="76" t="s">
        <v>4037</v>
      </c>
    </row>
    <row r="10839" spans="1:2" x14ac:dyDescent="0.25">
      <c r="A10839" s="75">
        <v>44102501</v>
      </c>
      <c r="B10839" s="76" t="s">
        <v>1752</v>
      </c>
    </row>
    <row r="10840" spans="1:2" x14ac:dyDescent="0.25">
      <c r="A10840" s="75">
        <v>44102502</v>
      </c>
      <c r="B10840" s="76" t="s">
        <v>10488</v>
      </c>
    </row>
    <row r="10841" spans="1:2" x14ac:dyDescent="0.25">
      <c r="A10841" s="75">
        <v>44102503</v>
      </c>
      <c r="B10841" s="76" t="s">
        <v>9597</v>
      </c>
    </row>
    <row r="10842" spans="1:2" x14ac:dyDescent="0.25">
      <c r="A10842" s="75">
        <v>44102602</v>
      </c>
      <c r="B10842" s="76" t="s">
        <v>799</v>
      </c>
    </row>
    <row r="10843" spans="1:2" x14ac:dyDescent="0.25">
      <c r="A10843" s="75">
        <v>44102603</v>
      </c>
      <c r="B10843" s="76" t="s">
        <v>8439</v>
      </c>
    </row>
    <row r="10844" spans="1:2" x14ac:dyDescent="0.25">
      <c r="A10844" s="75">
        <v>44102604</v>
      </c>
      <c r="B10844" s="76" t="s">
        <v>17480</v>
      </c>
    </row>
    <row r="10845" spans="1:2" x14ac:dyDescent="0.25">
      <c r="A10845" s="75">
        <v>44102605</v>
      </c>
      <c r="B10845" s="76" t="s">
        <v>15383</v>
      </c>
    </row>
    <row r="10846" spans="1:2" x14ac:dyDescent="0.25">
      <c r="A10846" s="75">
        <v>44102606</v>
      </c>
      <c r="B10846" s="76" t="s">
        <v>1575</v>
      </c>
    </row>
    <row r="10847" spans="1:2" x14ac:dyDescent="0.25">
      <c r="A10847" s="75">
        <v>44102607</v>
      </c>
      <c r="B10847" s="76" t="s">
        <v>12515</v>
      </c>
    </row>
    <row r="10848" spans="1:2" x14ac:dyDescent="0.25">
      <c r="A10848" s="75">
        <v>44102608</v>
      </c>
      <c r="B10848" s="76" t="s">
        <v>11254</v>
      </c>
    </row>
    <row r="10849" spans="1:2" x14ac:dyDescent="0.25">
      <c r="A10849" s="75">
        <v>44102609</v>
      </c>
      <c r="B10849" s="76" t="s">
        <v>11985</v>
      </c>
    </row>
    <row r="10850" spans="1:2" x14ac:dyDescent="0.25">
      <c r="A10850" s="75">
        <v>44102610</v>
      </c>
      <c r="B10850" s="76" t="s">
        <v>9174</v>
      </c>
    </row>
    <row r="10851" spans="1:2" x14ac:dyDescent="0.25">
      <c r="A10851" s="75">
        <v>44102801</v>
      </c>
      <c r="B10851" s="76" t="s">
        <v>15356</v>
      </c>
    </row>
    <row r="10852" spans="1:2" x14ac:dyDescent="0.25">
      <c r="A10852" s="75">
        <v>44102901</v>
      </c>
      <c r="B10852" s="76" t="s">
        <v>9411</v>
      </c>
    </row>
    <row r="10853" spans="1:2" x14ac:dyDescent="0.25">
      <c r="A10853" s="75">
        <v>44102902</v>
      </c>
      <c r="B10853" s="76" t="s">
        <v>812</v>
      </c>
    </row>
    <row r="10854" spans="1:2" x14ac:dyDescent="0.25">
      <c r="A10854" s="75">
        <v>44102903</v>
      </c>
      <c r="B10854" s="76" t="s">
        <v>9840</v>
      </c>
    </row>
    <row r="10855" spans="1:2" x14ac:dyDescent="0.25">
      <c r="A10855" s="75">
        <v>44102904</v>
      </c>
      <c r="B10855" s="76" t="s">
        <v>16321</v>
      </c>
    </row>
    <row r="10856" spans="1:2" x14ac:dyDescent="0.25">
      <c r="A10856" s="75">
        <v>44102905</v>
      </c>
      <c r="B10856" s="76" t="s">
        <v>5469</v>
      </c>
    </row>
    <row r="10857" spans="1:2" x14ac:dyDescent="0.25">
      <c r="A10857" s="75">
        <v>44102906</v>
      </c>
      <c r="B10857" s="76" t="s">
        <v>25</v>
      </c>
    </row>
    <row r="10858" spans="1:2" x14ac:dyDescent="0.25">
      <c r="A10858" s="75">
        <v>44102907</v>
      </c>
      <c r="B10858" s="76" t="s">
        <v>18185</v>
      </c>
    </row>
    <row r="10859" spans="1:2" x14ac:dyDescent="0.25">
      <c r="A10859" s="75">
        <v>44102908</v>
      </c>
      <c r="B10859" s="76" t="s">
        <v>2306</v>
      </c>
    </row>
    <row r="10860" spans="1:2" x14ac:dyDescent="0.25">
      <c r="A10860" s="75">
        <v>44102909</v>
      </c>
      <c r="B10860" s="76" t="s">
        <v>15547</v>
      </c>
    </row>
    <row r="10861" spans="1:2" x14ac:dyDescent="0.25">
      <c r="A10861" s="75">
        <v>44102910</v>
      </c>
      <c r="B10861" s="76" t="s">
        <v>8118</v>
      </c>
    </row>
    <row r="10862" spans="1:2" x14ac:dyDescent="0.25">
      <c r="A10862" s="75">
        <v>44102911</v>
      </c>
      <c r="B10862" s="76" t="s">
        <v>8817</v>
      </c>
    </row>
    <row r="10863" spans="1:2" x14ac:dyDescent="0.25">
      <c r="A10863" s="75">
        <v>44102912</v>
      </c>
      <c r="B10863" s="76" t="s">
        <v>8376</v>
      </c>
    </row>
    <row r="10864" spans="1:2" x14ac:dyDescent="0.25">
      <c r="A10864" s="75">
        <v>44102913</v>
      </c>
      <c r="B10864" s="76" t="s">
        <v>19847</v>
      </c>
    </row>
    <row r="10865" spans="1:2" x14ac:dyDescent="0.25">
      <c r="A10865" s="75">
        <v>44103001</v>
      </c>
      <c r="B10865" s="76" t="s">
        <v>11305</v>
      </c>
    </row>
    <row r="10866" spans="1:2" x14ac:dyDescent="0.25">
      <c r="A10866" s="75">
        <v>44103002</v>
      </c>
      <c r="B10866" s="76" t="s">
        <v>3416</v>
      </c>
    </row>
    <row r="10867" spans="1:2" x14ac:dyDescent="0.25">
      <c r="A10867" s="75">
        <v>44103003</v>
      </c>
      <c r="B10867" s="76" t="s">
        <v>13174</v>
      </c>
    </row>
    <row r="10868" spans="1:2" x14ac:dyDescent="0.25">
      <c r="A10868" s="75">
        <v>44103004</v>
      </c>
      <c r="B10868" s="76" t="s">
        <v>9702</v>
      </c>
    </row>
    <row r="10869" spans="1:2" x14ac:dyDescent="0.25">
      <c r="A10869" s="75">
        <v>44103005</v>
      </c>
      <c r="B10869" s="76" t="s">
        <v>7282</v>
      </c>
    </row>
    <row r="10870" spans="1:2" x14ac:dyDescent="0.25">
      <c r="A10870" s="75">
        <v>44103101</v>
      </c>
      <c r="B10870" s="76" t="s">
        <v>10575</v>
      </c>
    </row>
    <row r="10871" spans="1:2" x14ac:dyDescent="0.25">
      <c r="A10871" s="75">
        <v>44103103</v>
      </c>
      <c r="B10871" s="76" t="s">
        <v>14333</v>
      </c>
    </row>
    <row r="10872" spans="1:2" x14ac:dyDescent="0.25">
      <c r="A10872" s="75">
        <v>44103104</v>
      </c>
      <c r="B10872" s="76" t="s">
        <v>13646</v>
      </c>
    </row>
    <row r="10873" spans="1:2" x14ac:dyDescent="0.25">
      <c r="A10873" s="75">
        <v>44103105</v>
      </c>
      <c r="B10873" s="76" t="s">
        <v>14377</v>
      </c>
    </row>
    <row r="10874" spans="1:2" x14ac:dyDescent="0.25">
      <c r="A10874" s="75">
        <v>44103106</v>
      </c>
      <c r="B10874" s="76" t="s">
        <v>11531</v>
      </c>
    </row>
    <row r="10875" spans="1:2" x14ac:dyDescent="0.25">
      <c r="A10875" s="75">
        <v>44103107</v>
      </c>
      <c r="B10875" s="76" t="s">
        <v>4900</v>
      </c>
    </row>
    <row r="10876" spans="1:2" x14ac:dyDescent="0.25">
      <c r="A10876" s="75">
        <v>44103108</v>
      </c>
      <c r="B10876" s="76" t="s">
        <v>3912</v>
      </c>
    </row>
    <row r="10877" spans="1:2" x14ac:dyDescent="0.25">
      <c r="A10877" s="75">
        <v>44103109</v>
      </c>
      <c r="B10877" s="76" t="s">
        <v>4408</v>
      </c>
    </row>
    <row r="10878" spans="1:2" x14ac:dyDescent="0.25">
      <c r="A10878" s="75">
        <v>44103110</v>
      </c>
      <c r="B10878" s="76" t="s">
        <v>1880</v>
      </c>
    </row>
    <row r="10879" spans="1:2" x14ac:dyDescent="0.25">
      <c r="A10879" s="75">
        <v>44103111</v>
      </c>
      <c r="B10879" s="76" t="s">
        <v>15545</v>
      </c>
    </row>
    <row r="10880" spans="1:2" x14ac:dyDescent="0.25">
      <c r="A10880" s="75">
        <v>44103112</v>
      </c>
      <c r="B10880" s="76" t="s">
        <v>8258</v>
      </c>
    </row>
    <row r="10881" spans="1:2" x14ac:dyDescent="0.25">
      <c r="A10881" s="75">
        <v>44103113</v>
      </c>
      <c r="B10881" s="76" t="s">
        <v>11543</v>
      </c>
    </row>
    <row r="10882" spans="1:2" x14ac:dyDescent="0.25">
      <c r="A10882" s="75">
        <v>44103114</v>
      </c>
      <c r="B10882" s="76" t="s">
        <v>12365</v>
      </c>
    </row>
    <row r="10883" spans="1:2" x14ac:dyDescent="0.25">
      <c r="A10883" s="75">
        <v>44103116</v>
      </c>
      <c r="B10883" s="76" t="s">
        <v>15651</v>
      </c>
    </row>
    <row r="10884" spans="1:2" x14ac:dyDescent="0.25">
      <c r="A10884" s="75">
        <v>44103117</v>
      </c>
      <c r="B10884" s="76" t="s">
        <v>18726</v>
      </c>
    </row>
    <row r="10885" spans="1:2" x14ac:dyDescent="0.25">
      <c r="A10885" s="75">
        <v>44103118</v>
      </c>
      <c r="B10885" s="76" t="s">
        <v>6019</v>
      </c>
    </row>
    <row r="10886" spans="1:2" x14ac:dyDescent="0.25">
      <c r="A10886" s="75">
        <v>44103119</v>
      </c>
      <c r="B10886" s="76" t="s">
        <v>14506</v>
      </c>
    </row>
    <row r="10887" spans="1:2" x14ac:dyDescent="0.25">
      <c r="A10887" s="75">
        <v>44103120</v>
      </c>
      <c r="B10887" s="76" t="s">
        <v>3324</v>
      </c>
    </row>
    <row r="10888" spans="1:2" x14ac:dyDescent="0.25">
      <c r="A10888" s="75">
        <v>44103121</v>
      </c>
      <c r="B10888" s="76" t="s">
        <v>14777</v>
      </c>
    </row>
    <row r="10889" spans="1:2" x14ac:dyDescent="0.25">
      <c r="A10889" s="75">
        <v>44103122</v>
      </c>
      <c r="B10889" s="76" t="s">
        <v>1739</v>
      </c>
    </row>
    <row r="10890" spans="1:2" x14ac:dyDescent="0.25">
      <c r="A10890" s="75">
        <v>44103201</v>
      </c>
      <c r="B10890" s="76" t="s">
        <v>19608</v>
      </c>
    </row>
    <row r="10891" spans="1:2" x14ac:dyDescent="0.25">
      <c r="A10891" s="75">
        <v>44103202</v>
      </c>
      <c r="B10891" s="76" t="s">
        <v>11644</v>
      </c>
    </row>
    <row r="10892" spans="1:2" x14ac:dyDescent="0.25">
      <c r="A10892" s="75">
        <v>44103203</v>
      </c>
      <c r="B10892" s="76" t="s">
        <v>16383</v>
      </c>
    </row>
    <row r="10893" spans="1:2" x14ac:dyDescent="0.25">
      <c r="A10893" s="75">
        <v>44103204</v>
      </c>
      <c r="B10893" s="76" t="s">
        <v>9675</v>
      </c>
    </row>
    <row r="10894" spans="1:2" x14ac:dyDescent="0.25">
      <c r="A10894" s="75">
        <v>44103205</v>
      </c>
      <c r="B10894" s="76" t="s">
        <v>633</v>
      </c>
    </row>
    <row r="10895" spans="1:2" x14ac:dyDescent="0.25">
      <c r="A10895" s="75">
        <v>44103502</v>
      </c>
      <c r="B10895" s="76" t="s">
        <v>3325</v>
      </c>
    </row>
    <row r="10896" spans="1:2" x14ac:dyDescent="0.25">
      <c r="A10896" s="75">
        <v>44103503</v>
      </c>
      <c r="B10896" s="76" t="s">
        <v>802</v>
      </c>
    </row>
    <row r="10897" spans="1:2" x14ac:dyDescent="0.25">
      <c r="A10897" s="75">
        <v>44103504</v>
      </c>
      <c r="B10897" s="76" t="s">
        <v>5324</v>
      </c>
    </row>
    <row r="10898" spans="1:2" x14ac:dyDescent="0.25">
      <c r="A10898" s="75">
        <v>44103505</v>
      </c>
      <c r="B10898" s="76" t="s">
        <v>11888</v>
      </c>
    </row>
    <row r="10899" spans="1:2" x14ac:dyDescent="0.25">
      <c r="A10899" s="75">
        <v>44103506</v>
      </c>
      <c r="B10899" s="76" t="s">
        <v>17491</v>
      </c>
    </row>
    <row r="10900" spans="1:2" x14ac:dyDescent="0.25">
      <c r="A10900" s="75">
        <v>44103507</v>
      </c>
      <c r="B10900" s="76" t="s">
        <v>272</v>
      </c>
    </row>
    <row r="10901" spans="1:2" x14ac:dyDescent="0.25">
      <c r="A10901" s="75">
        <v>44103601</v>
      </c>
      <c r="B10901" s="76" t="s">
        <v>16969</v>
      </c>
    </row>
    <row r="10902" spans="1:2" x14ac:dyDescent="0.25">
      <c r="A10902" s="75">
        <v>44111501</v>
      </c>
      <c r="B10902" s="76" t="s">
        <v>10200</v>
      </c>
    </row>
    <row r="10903" spans="1:2" x14ac:dyDescent="0.25">
      <c r="A10903" s="75">
        <v>44111502</v>
      </c>
      <c r="B10903" s="76" t="s">
        <v>11494</v>
      </c>
    </row>
    <row r="10904" spans="1:2" x14ac:dyDescent="0.25">
      <c r="A10904" s="75">
        <v>44111503</v>
      </c>
      <c r="B10904" s="76" t="s">
        <v>8277</v>
      </c>
    </row>
    <row r="10905" spans="1:2" x14ac:dyDescent="0.25">
      <c r="A10905" s="75">
        <v>44111506</v>
      </c>
      <c r="B10905" s="76" t="s">
        <v>7240</v>
      </c>
    </row>
    <row r="10906" spans="1:2" x14ac:dyDescent="0.25">
      <c r="A10906" s="75">
        <v>44111507</v>
      </c>
      <c r="B10906" s="76" t="s">
        <v>5282</v>
      </c>
    </row>
    <row r="10907" spans="1:2" x14ac:dyDescent="0.25">
      <c r="A10907" s="75">
        <v>44111509</v>
      </c>
      <c r="B10907" s="76" t="s">
        <v>6979</v>
      </c>
    </row>
    <row r="10908" spans="1:2" x14ac:dyDescent="0.25">
      <c r="A10908" s="75">
        <v>44111510</v>
      </c>
      <c r="B10908" s="76" t="s">
        <v>11004</v>
      </c>
    </row>
    <row r="10909" spans="1:2" x14ac:dyDescent="0.25">
      <c r="A10909" s="75">
        <v>44111511</v>
      </c>
      <c r="B10909" s="76" t="s">
        <v>15282</v>
      </c>
    </row>
    <row r="10910" spans="1:2" x14ac:dyDescent="0.25">
      <c r="A10910" s="75">
        <v>44111512</v>
      </c>
      <c r="B10910" s="76" t="s">
        <v>124</v>
      </c>
    </row>
    <row r="10911" spans="1:2" x14ac:dyDescent="0.25">
      <c r="A10911" s="75">
        <v>44111513</v>
      </c>
      <c r="B10911" s="76" t="s">
        <v>13114</v>
      </c>
    </row>
    <row r="10912" spans="1:2" x14ac:dyDescent="0.25">
      <c r="A10912" s="75">
        <v>44111514</v>
      </c>
      <c r="B10912" s="76" t="s">
        <v>9437</v>
      </c>
    </row>
    <row r="10913" spans="1:2" x14ac:dyDescent="0.25">
      <c r="A10913" s="75">
        <v>44111515</v>
      </c>
      <c r="B10913" s="76" t="s">
        <v>8683</v>
      </c>
    </row>
    <row r="10914" spans="1:2" x14ac:dyDescent="0.25">
      <c r="A10914" s="75">
        <v>44111516</v>
      </c>
      <c r="B10914" s="76" t="s">
        <v>4820</v>
      </c>
    </row>
    <row r="10915" spans="1:2" x14ac:dyDescent="0.25">
      <c r="A10915" s="75">
        <v>44111517</v>
      </c>
      <c r="B10915" s="76" t="s">
        <v>3719</v>
      </c>
    </row>
    <row r="10916" spans="1:2" x14ac:dyDescent="0.25">
      <c r="A10916" s="75">
        <v>44111518</v>
      </c>
      <c r="B10916" s="76" t="s">
        <v>19824</v>
      </c>
    </row>
    <row r="10917" spans="1:2" x14ac:dyDescent="0.25">
      <c r="A10917" s="75">
        <v>44111519</v>
      </c>
      <c r="B10917" s="76" t="s">
        <v>4663</v>
      </c>
    </row>
    <row r="10918" spans="1:2" x14ac:dyDescent="0.25">
      <c r="A10918" s="75">
        <v>44111520</v>
      </c>
      <c r="B10918" s="76" t="s">
        <v>7380</v>
      </c>
    </row>
    <row r="10919" spans="1:2" x14ac:dyDescent="0.25">
      <c r="A10919" s="75">
        <v>44111521</v>
      </c>
      <c r="B10919" s="76" t="s">
        <v>11299</v>
      </c>
    </row>
    <row r="10920" spans="1:2" x14ac:dyDescent="0.25">
      <c r="A10920" s="75">
        <v>44111601</v>
      </c>
      <c r="B10920" s="76" t="s">
        <v>3718</v>
      </c>
    </row>
    <row r="10921" spans="1:2" x14ac:dyDescent="0.25">
      <c r="A10921" s="75">
        <v>44111603</v>
      </c>
      <c r="B10921" s="76" t="s">
        <v>14085</v>
      </c>
    </row>
    <row r="10922" spans="1:2" x14ac:dyDescent="0.25">
      <c r="A10922" s="75">
        <v>44111604</v>
      </c>
      <c r="B10922" s="76" t="s">
        <v>14535</v>
      </c>
    </row>
    <row r="10923" spans="1:2" x14ac:dyDescent="0.25">
      <c r="A10923" s="75">
        <v>44111605</v>
      </c>
      <c r="B10923" s="76" t="s">
        <v>13933</v>
      </c>
    </row>
    <row r="10924" spans="1:2" x14ac:dyDescent="0.25">
      <c r="A10924" s="75">
        <v>44111606</v>
      </c>
      <c r="B10924" s="76" t="s">
        <v>4571</v>
      </c>
    </row>
    <row r="10925" spans="1:2" x14ac:dyDescent="0.25">
      <c r="A10925" s="75">
        <v>44111607</v>
      </c>
      <c r="B10925" s="76" t="s">
        <v>15599</v>
      </c>
    </row>
    <row r="10926" spans="1:2" x14ac:dyDescent="0.25">
      <c r="A10926" s="75">
        <v>44111608</v>
      </c>
      <c r="B10926" s="76" t="s">
        <v>8784</v>
      </c>
    </row>
    <row r="10927" spans="1:2" x14ac:dyDescent="0.25">
      <c r="A10927" s="75">
        <v>44111609</v>
      </c>
      <c r="B10927" s="76" t="s">
        <v>16384</v>
      </c>
    </row>
    <row r="10928" spans="1:2" x14ac:dyDescent="0.25">
      <c r="A10928" s="75">
        <v>44111610</v>
      </c>
      <c r="B10928" s="76" t="s">
        <v>10066</v>
      </c>
    </row>
    <row r="10929" spans="1:2" x14ac:dyDescent="0.25">
      <c r="A10929" s="75">
        <v>44111611</v>
      </c>
      <c r="B10929" s="76" t="s">
        <v>7906</v>
      </c>
    </row>
    <row r="10930" spans="1:2" x14ac:dyDescent="0.25">
      <c r="A10930" s="75">
        <v>44111612</v>
      </c>
      <c r="B10930" s="76" t="s">
        <v>1006</v>
      </c>
    </row>
    <row r="10931" spans="1:2" x14ac:dyDescent="0.25">
      <c r="A10931" s="75">
        <v>44111613</v>
      </c>
      <c r="B10931" s="76" t="s">
        <v>16928</v>
      </c>
    </row>
    <row r="10932" spans="1:2" x14ac:dyDescent="0.25">
      <c r="A10932" s="75">
        <v>44111614</v>
      </c>
      <c r="B10932" s="76" t="s">
        <v>2681</v>
      </c>
    </row>
    <row r="10933" spans="1:2" x14ac:dyDescent="0.25">
      <c r="A10933" s="75">
        <v>44111615</v>
      </c>
      <c r="B10933" s="76" t="s">
        <v>17405</v>
      </c>
    </row>
    <row r="10934" spans="1:2" x14ac:dyDescent="0.25">
      <c r="A10934" s="75">
        <v>44111616</v>
      </c>
      <c r="B10934" s="76" t="s">
        <v>12023</v>
      </c>
    </row>
    <row r="10935" spans="1:2" x14ac:dyDescent="0.25">
      <c r="A10935" s="75">
        <v>44111801</v>
      </c>
      <c r="B10935" s="76" t="s">
        <v>6695</v>
      </c>
    </row>
    <row r="10936" spans="1:2" x14ac:dyDescent="0.25">
      <c r="A10936" s="75">
        <v>44111802</v>
      </c>
      <c r="B10936" s="76" t="s">
        <v>11712</v>
      </c>
    </row>
    <row r="10937" spans="1:2" x14ac:dyDescent="0.25">
      <c r="A10937" s="75">
        <v>44111803</v>
      </c>
      <c r="B10937" s="76" t="s">
        <v>12766</v>
      </c>
    </row>
    <row r="10938" spans="1:2" x14ac:dyDescent="0.25">
      <c r="A10938" s="75">
        <v>44111804</v>
      </c>
      <c r="B10938" s="76" t="s">
        <v>3150</v>
      </c>
    </row>
    <row r="10939" spans="1:2" x14ac:dyDescent="0.25">
      <c r="A10939" s="75">
        <v>44111805</v>
      </c>
      <c r="B10939" s="76" t="s">
        <v>6929</v>
      </c>
    </row>
    <row r="10940" spans="1:2" x14ac:dyDescent="0.25">
      <c r="A10940" s="75">
        <v>44111806</v>
      </c>
      <c r="B10940" s="76" t="s">
        <v>7187</v>
      </c>
    </row>
    <row r="10941" spans="1:2" x14ac:dyDescent="0.25">
      <c r="A10941" s="75">
        <v>44111807</v>
      </c>
      <c r="B10941" s="76" t="s">
        <v>13431</v>
      </c>
    </row>
    <row r="10942" spans="1:2" x14ac:dyDescent="0.25">
      <c r="A10942" s="75">
        <v>44111808</v>
      </c>
      <c r="B10942" s="76" t="s">
        <v>6529</v>
      </c>
    </row>
    <row r="10943" spans="1:2" x14ac:dyDescent="0.25">
      <c r="A10943" s="75">
        <v>44111809</v>
      </c>
      <c r="B10943" s="76" t="s">
        <v>9392</v>
      </c>
    </row>
    <row r="10944" spans="1:2" x14ac:dyDescent="0.25">
      <c r="A10944" s="75">
        <v>44111810</v>
      </c>
      <c r="B10944" s="76" t="s">
        <v>17049</v>
      </c>
    </row>
    <row r="10945" spans="1:2" x14ac:dyDescent="0.25">
      <c r="A10945" s="75">
        <v>44111812</v>
      </c>
      <c r="B10945" s="76" t="s">
        <v>19567</v>
      </c>
    </row>
    <row r="10946" spans="1:2" x14ac:dyDescent="0.25">
      <c r="A10946" s="75">
        <v>44111813</v>
      </c>
      <c r="B10946" s="76" t="s">
        <v>6603</v>
      </c>
    </row>
    <row r="10947" spans="1:2" x14ac:dyDescent="0.25">
      <c r="A10947" s="75">
        <v>44111814</v>
      </c>
      <c r="B10947" s="76" t="s">
        <v>17407</v>
      </c>
    </row>
    <row r="10948" spans="1:2" x14ac:dyDescent="0.25">
      <c r="A10948" s="75">
        <v>44111815</v>
      </c>
      <c r="B10948" s="76" t="s">
        <v>11597</v>
      </c>
    </row>
    <row r="10949" spans="1:2" x14ac:dyDescent="0.25">
      <c r="A10949" s="75">
        <v>44111901</v>
      </c>
      <c r="B10949" s="76" t="s">
        <v>10403</v>
      </c>
    </row>
    <row r="10950" spans="1:2" x14ac:dyDescent="0.25">
      <c r="A10950" s="75">
        <v>44111902</v>
      </c>
      <c r="B10950" s="76" t="s">
        <v>17267</v>
      </c>
    </row>
    <row r="10951" spans="1:2" x14ac:dyDescent="0.25">
      <c r="A10951" s="75">
        <v>44111903</v>
      </c>
      <c r="B10951" s="76" t="s">
        <v>19574</v>
      </c>
    </row>
    <row r="10952" spans="1:2" x14ac:dyDescent="0.25">
      <c r="A10952" s="75">
        <v>44111904</v>
      </c>
      <c r="B10952" s="76" t="s">
        <v>5524</v>
      </c>
    </row>
    <row r="10953" spans="1:2" x14ac:dyDescent="0.25">
      <c r="A10953" s="75">
        <v>44111905</v>
      </c>
      <c r="B10953" s="76" t="s">
        <v>5712</v>
      </c>
    </row>
    <row r="10954" spans="1:2" x14ac:dyDescent="0.25">
      <c r="A10954" s="75">
        <v>44111906</v>
      </c>
      <c r="B10954" s="76" t="s">
        <v>9867</v>
      </c>
    </row>
    <row r="10955" spans="1:2" x14ac:dyDescent="0.25">
      <c r="A10955" s="75">
        <v>44111907</v>
      </c>
      <c r="B10955" s="76" t="s">
        <v>5049</v>
      </c>
    </row>
    <row r="10956" spans="1:2" x14ac:dyDescent="0.25">
      <c r="A10956" s="75">
        <v>44111908</v>
      </c>
      <c r="B10956" s="76" t="s">
        <v>14104</v>
      </c>
    </row>
    <row r="10957" spans="1:2" x14ac:dyDescent="0.25">
      <c r="A10957" s="75">
        <v>44111909</v>
      </c>
      <c r="B10957" s="76" t="s">
        <v>14113</v>
      </c>
    </row>
    <row r="10958" spans="1:2" x14ac:dyDescent="0.25">
      <c r="A10958" s="75">
        <v>44111910</v>
      </c>
      <c r="B10958" s="76" t="s">
        <v>8162</v>
      </c>
    </row>
    <row r="10959" spans="1:2" x14ac:dyDescent="0.25">
      <c r="A10959" s="75">
        <v>44111911</v>
      </c>
      <c r="B10959" s="76" t="s">
        <v>16354</v>
      </c>
    </row>
    <row r="10960" spans="1:2" x14ac:dyDescent="0.25">
      <c r="A10960" s="75">
        <v>44112001</v>
      </c>
      <c r="B10960" s="76" t="s">
        <v>12358</v>
      </c>
    </row>
    <row r="10961" spans="1:2" x14ac:dyDescent="0.25">
      <c r="A10961" s="75">
        <v>44112002</v>
      </c>
      <c r="B10961" s="76" t="s">
        <v>9781</v>
      </c>
    </row>
    <row r="10962" spans="1:2" x14ac:dyDescent="0.25">
      <c r="A10962" s="75">
        <v>44112004</v>
      </c>
      <c r="B10962" s="76" t="s">
        <v>15544</v>
      </c>
    </row>
    <row r="10963" spans="1:2" x14ac:dyDescent="0.25">
      <c r="A10963" s="75">
        <v>44112005</v>
      </c>
      <c r="B10963" s="76" t="s">
        <v>15625</v>
      </c>
    </row>
    <row r="10964" spans="1:2" x14ac:dyDescent="0.25">
      <c r="A10964" s="75">
        <v>44112006</v>
      </c>
      <c r="B10964" s="76" t="s">
        <v>9983</v>
      </c>
    </row>
    <row r="10965" spans="1:2" x14ac:dyDescent="0.25">
      <c r="A10965" s="75">
        <v>44112007</v>
      </c>
      <c r="B10965" s="76" t="s">
        <v>9142</v>
      </c>
    </row>
    <row r="10966" spans="1:2" x14ac:dyDescent="0.25">
      <c r="A10966" s="75">
        <v>44112008</v>
      </c>
      <c r="B10966" s="76" t="s">
        <v>8869</v>
      </c>
    </row>
    <row r="10967" spans="1:2" x14ac:dyDescent="0.25">
      <c r="A10967" s="75">
        <v>44121501</v>
      </c>
      <c r="B10967" s="76" t="s">
        <v>14982</v>
      </c>
    </row>
    <row r="10968" spans="1:2" x14ac:dyDescent="0.25">
      <c r="A10968" s="75">
        <v>44121503</v>
      </c>
      <c r="B10968" s="76" t="s">
        <v>10172</v>
      </c>
    </row>
    <row r="10969" spans="1:2" x14ac:dyDescent="0.25">
      <c r="A10969" s="75">
        <v>44121504</v>
      </c>
      <c r="B10969" s="76" t="s">
        <v>10313</v>
      </c>
    </row>
    <row r="10970" spans="1:2" x14ac:dyDescent="0.25">
      <c r="A10970" s="75">
        <v>44121505</v>
      </c>
      <c r="B10970" s="76" t="s">
        <v>8379</v>
      </c>
    </row>
    <row r="10971" spans="1:2" x14ac:dyDescent="0.25">
      <c r="A10971" s="75">
        <v>44121506</v>
      </c>
      <c r="B10971" s="76" t="s">
        <v>12176</v>
      </c>
    </row>
    <row r="10972" spans="1:2" x14ac:dyDescent="0.25">
      <c r="A10972" s="75">
        <v>44121507</v>
      </c>
      <c r="B10972" s="76" t="s">
        <v>414</v>
      </c>
    </row>
    <row r="10973" spans="1:2" x14ac:dyDescent="0.25">
      <c r="A10973" s="75">
        <v>44121508</v>
      </c>
      <c r="B10973" s="76" t="s">
        <v>7519</v>
      </c>
    </row>
    <row r="10974" spans="1:2" x14ac:dyDescent="0.25">
      <c r="A10974" s="75">
        <v>44121509</v>
      </c>
      <c r="B10974" s="76" t="s">
        <v>5422</v>
      </c>
    </row>
    <row r="10975" spans="1:2" x14ac:dyDescent="0.25">
      <c r="A10975" s="75">
        <v>44121510</v>
      </c>
      <c r="B10975" s="76" t="s">
        <v>13359</v>
      </c>
    </row>
    <row r="10976" spans="1:2" x14ac:dyDescent="0.25">
      <c r="A10976" s="75">
        <v>44121511</v>
      </c>
      <c r="B10976" s="76" t="s">
        <v>18182</v>
      </c>
    </row>
    <row r="10977" spans="1:2" x14ac:dyDescent="0.25">
      <c r="A10977" s="75">
        <v>44121512</v>
      </c>
      <c r="B10977" s="76" t="s">
        <v>13347</v>
      </c>
    </row>
    <row r="10978" spans="1:2" x14ac:dyDescent="0.25">
      <c r="A10978" s="75">
        <v>44121604</v>
      </c>
      <c r="B10978" s="76" t="s">
        <v>6015</v>
      </c>
    </row>
    <row r="10979" spans="1:2" x14ac:dyDescent="0.25">
      <c r="A10979" s="75">
        <v>44121605</v>
      </c>
      <c r="B10979" s="76" t="s">
        <v>437</v>
      </c>
    </row>
    <row r="10980" spans="1:2" x14ac:dyDescent="0.25">
      <c r="A10980" s="75">
        <v>44121611</v>
      </c>
      <c r="B10980" s="76" t="s">
        <v>80</v>
      </c>
    </row>
    <row r="10981" spans="1:2" x14ac:dyDescent="0.25">
      <c r="A10981" s="75">
        <v>44121612</v>
      </c>
      <c r="B10981" s="76" t="s">
        <v>4758</v>
      </c>
    </row>
    <row r="10982" spans="1:2" x14ac:dyDescent="0.25">
      <c r="A10982" s="75">
        <v>44121613</v>
      </c>
      <c r="B10982" s="76" t="s">
        <v>12676</v>
      </c>
    </row>
    <row r="10983" spans="1:2" x14ac:dyDescent="0.25">
      <c r="A10983" s="75">
        <v>44121614</v>
      </c>
      <c r="B10983" s="76" t="s">
        <v>5234</v>
      </c>
    </row>
    <row r="10984" spans="1:2" x14ac:dyDescent="0.25">
      <c r="A10984" s="75">
        <v>44121615</v>
      </c>
      <c r="B10984" s="76" t="s">
        <v>13369</v>
      </c>
    </row>
    <row r="10985" spans="1:2" x14ac:dyDescent="0.25">
      <c r="A10985" s="75">
        <v>44121617</v>
      </c>
      <c r="B10985" s="76" t="s">
        <v>14694</v>
      </c>
    </row>
    <row r="10986" spans="1:2" x14ac:dyDescent="0.25">
      <c r="A10986" s="75">
        <v>44121618</v>
      </c>
      <c r="B10986" s="76" t="s">
        <v>5353</v>
      </c>
    </row>
    <row r="10987" spans="1:2" x14ac:dyDescent="0.25">
      <c r="A10987" s="75">
        <v>44121619</v>
      </c>
      <c r="B10987" s="76" t="s">
        <v>15154</v>
      </c>
    </row>
    <row r="10988" spans="1:2" x14ac:dyDescent="0.25">
      <c r="A10988" s="75">
        <v>44121620</v>
      </c>
      <c r="B10988" s="76" t="s">
        <v>8059</v>
      </c>
    </row>
    <row r="10989" spans="1:2" x14ac:dyDescent="0.25">
      <c r="A10989" s="75">
        <v>44121621</v>
      </c>
      <c r="B10989" s="76" t="s">
        <v>3403</v>
      </c>
    </row>
    <row r="10990" spans="1:2" x14ac:dyDescent="0.25">
      <c r="A10990" s="75">
        <v>44121622</v>
      </c>
      <c r="B10990" s="76" t="s">
        <v>10630</v>
      </c>
    </row>
    <row r="10991" spans="1:2" x14ac:dyDescent="0.25">
      <c r="A10991" s="75">
        <v>44121623</v>
      </c>
      <c r="B10991" s="76" t="s">
        <v>13410</v>
      </c>
    </row>
    <row r="10992" spans="1:2" x14ac:dyDescent="0.25">
      <c r="A10992" s="75">
        <v>44121624</v>
      </c>
      <c r="B10992" s="76" t="s">
        <v>15855</v>
      </c>
    </row>
    <row r="10993" spans="1:2" x14ac:dyDescent="0.25">
      <c r="A10993" s="75">
        <v>44121625</v>
      </c>
      <c r="B10993" s="76" t="s">
        <v>13814</v>
      </c>
    </row>
    <row r="10994" spans="1:2" x14ac:dyDescent="0.25">
      <c r="A10994" s="75">
        <v>44121626</v>
      </c>
      <c r="B10994" s="76" t="s">
        <v>8488</v>
      </c>
    </row>
    <row r="10995" spans="1:2" x14ac:dyDescent="0.25">
      <c r="A10995" s="75">
        <v>44121627</v>
      </c>
      <c r="B10995" s="76" t="s">
        <v>15580</v>
      </c>
    </row>
    <row r="10996" spans="1:2" x14ac:dyDescent="0.25">
      <c r="A10996" s="75">
        <v>44121628</v>
      </c>
      <c r="B10996" s="76" t="s">
        <v>5818</v>
      </c>
    </row>
    <row r="10997" spans="1:2" x14ac:dyDescent="0.25">
      <c r="A10997" s="75">
        <v>44121630</v>
      </c>
      <c r="B10997" s="76" t="s">
        <v>9060</v>
      </c>
    </row>
    <row r="10998" spans="1:2" x14ac:dyDescent="0.25">
      <c r="A10998" s="75">
        <v>44121631</v>
      </c>
      <c r="B10998" s="76" t="s">
        <v>11751</v>
      </c>
    </row>
    <row r="10999" spans="1:2" x14ac:dyDescent="0.25">
      <c r="A10999" s="75">
        <v>44121632</v>
      </c>
      <c r="B10999" s="76" t="s">
        <v>15994</v>
      </c>
    </row>
    <row r="11000" spans="1:2" x14ac:dyDescent="0.25">
      <c r="A11000" s="75">
        <v>44121633</v>
      </c>
      <c r="B11000" s="76" t="s">
        <v>6821</v>
      </c>
    </row>
    <row r="11001" spans="1:2" x14ac:dyDescent="0.25">
      <c r="A11001" s="75">
        <v>44121634</v>
      </c>
      <c r="B11001" s="76" t="s">
        <v>8183</v>
      </c>
    </row>
    <row r="11002" spans="1:2" x14ac:dyDescent="0.25">
      <c r="A11002" s="75">
        <v>44121635</v>
      </c>
      <c r="B11002" s="76" t="s">
        <v>8950</v>
      </c>
    </row>
    <row r="11003" spans="1:2" x14ac:dyDescent="0.25">
      <c r="A11003" s="75">
        <v>44121701</v>
      </c>
      <c r="B11003" s="76" t="s">
        <v>2186</v>
      </c>
    </row>
    <row r="11004" spans="1:2" x14ac:dyDescent="0.25">
      <c r="A11004" s="75">
        <v>44121702</v>
      </c>
      <c r="B11004" s="76" t="s">
        <v>16454</v>
      </c>
    </row>
    <row r="11005" spans="1:2" x14ac:dyDescent="0.25">
      <c r="A11005" s="75">
        <v>44121703</v>
      </c>
      <c r="B11005" s="76" t="s">
        <v>9817</v>
      </c>
    </row>
    <row r="11006" spans="1:2" x14ac:dyDescent="0.25">
      <c r="A11006" s="75">
        <v>44121704</v>
      </c>
      <c r="B11006" s="76" t="s">
        <v>10191</v>
      </c>
    </row>
    <row r="11007" spans="1:2" x14ac:dyDescent="0.25">
      <c r="A11007" s="75">
        <v>44121705</v>
      </c>
      <c r="B11007" s="76" t="s">
        <v>7342</v>
      </c>
    </row>
    <row r="11008" spans="1:2" x14ac:dyDescent="0.25">
      <c r="A11008" s="75">
        <v>44121706</v>
      </c>
      <c r="B11008" s="76" t="s">
        <v>3217</v>
      </c>
    </row>
    <row r="11009" spans="1:2" x14ac:dyDescent="0.25">
      <c r="A11009" s="75">
        <v>44121707</v>
      </c>
      <c r="B11009" s="76" t="s">
        <v>6467</v>
      </c>
    </row>
    <row r="11010" spans="1:2" x14ac:dyDescent="0.25">
      <c r="A11010" s="75">
        <v>44121708</v>
      </c>
      <c r="B11010" s="76" t="s">
        <v>8942</v>
      </c>
    </row>
    <row r="11011" spans="1:2" x14ac:dyDescent="0.25">
      <c r="A11011" s="75">
        <v>44121709</v>
      </c>
      <c r="B11011" s="76" t="s">
        <v>18964</v>
      </c>
    </row>
    <row r="11012" spans="1:2" x14ac:dyDescent="0.25">
      <c r="A11012" s="75">
        <v>44121710</v>
      </c>
      <c r="B11012" s="76" t="s">
        <v>15001</v>
      </c>
    </row>
    <row r="11013" spans="1:2" x14ac:dyDescent="0.25">
      <c r="A11013" s="75">
        <v>44121711</v>
      </c>
      <c r="B11013" s="76" t="s">
        <v>5352</v>
      </c>
    </row>
    <row r="11014" spans="1:2" x14ac:dyDescent="0.25">
      <c r="A11014" s="75">
        <v>44121712</v>
      </c>
      <c r="B11014" s="76" t="s">
        <v>3812</v>
      </c>
    </row>
    <row r="11015" spans="1:2" x14ac:dyDescent="0.25">
      <c r="A11015" s="75">
        <v>44121713</v>
      </c>
      <c r="B11015" s="76" t="s">
        <v>16351</v>
      </c>
    </row>
    <row r="11016" spans="1:2" x14ac:dyDescent="0.25">
      <c r="A11016" s="75">
        <v>44121714</v>
      </c>
      <c r="B11016" s="76" t="s">
        <v>8909</v>
      </c>
    </row>
    <row r="11017" spans="1:2" x14ac:dyDescent="0.25">
      <c r="A11017" s="75">
        <v>44121715</v>
      </c>
      <c r="B11017" s="76" t="s">
        <v>3339</v>
      </c>
    </row>
    <row r="11018" spans="1:2" x14ac:dyDescent="0.25">
      <c r="A11018" s="75">
        <v>44121716</v>
      </c>
      <c r="B11018" s="76" t="s">
        <v>3080</v>
      </c>
    </row>
    <row r="11019" spans="1:2" x14ac:dyDescent="0.25">
      <c r="A11019" s="75">
        <v>44121717</v>
      </c>
      <c r="B11019" s="76" t="s">
        <v>1977</v>
      </c>
    </row>
    <row r="11020" spans="1:2" x14ac:dyDescent="0.25">
      <c r="A11020" s="75">
        <v>44121718</v>
      </c>
      <c r="B11020" s="76" t="s">
        <v>9570</v>
      </c>
    </row>
    <row r="11021" spans="1:2" x14ac:dyDescent="0.25">
      <c r="A11021" s="75">
        <v>44121801</v>
      </c>
      <c r="B11021" s="76" t="s">
        <v>2235</v>
      </c>
    </row>
    <row r="11022" spans="1:2" x14ac:dyDescent="0.25">
      <c r="A11022" s="75">
        <v>44121802</v>
      </c>
      <c r="B11022" s="76" t="s">
        <v>16985</v>
      </c>
    </row>
    <row r="11023" spans="1:2" x14ac:dyDescent="0.25">
      <c r="A11023" s="75">
        <v>44121804</v>
      </c>
      <c r="B11023" s="76" t="s">
        <v>265</v>
      </c>
    </row>
    <row r="11024" spans="1:2" x14ac:dyDescent="0.25">
      <c r="A11024" s="75">
        <v>44121805</v>
      </c>
      <c r="B11024" s="76" t="s">
        <v>13825</v>
      </c>
    </row>
    <row r="11025" spans="1:2" x14ac:dyDescent="0.25">
      <c r="A11025" s="75">
        <v>44121806</v>
      </c>
      <c r="B11025" s="76" t="s">
        <v>19263</v>
      </c>
    </row>
    <row r="11026" spans="1:2" x14ac:dyDescent="0.25">
      <c r="A11026" s="75">
        <v>44121807</v>
      </c>
      <c r="B11026" s="76" t="s">
        <v>19745</v>
      </c>
    </row>
    <row r="11027" spans="1:2" x14ac:dyDescent="0.25">
      <c r="A11027" s="75">
        <v>44121808</v>
      </c>
      <c r="B11027" s="76" t="s">
        <v>885</v>
      </c>
    </row>
    <row r="11028" spans="1:2" x14ac:dyDescent="0.25">
      <c r="A11028" s="75">
        <v>44121902</v>
      </c>
      <c r="B11028" s="76" t="s">
        <v>6658</v>
      </c>
    </row>
    <row r="11029" spans="1:2" x14ac:dyDescent="0.25">
      <c r="A11029" s="75">
        <v>44121904</v>
      </c>
      <c r="B11029" s="76" t="s">
        <v>8125</v>
      </c>
    </row>
    <row r="11030" spans="1:2" x14ac:dyDescent="0.25">
      <c r="A11030" s="75">
        <v>44121905</v>
      </c>
      <c r="B11030" s="76" t="s">
        <v>9301</v>
      </c>
    </row>
    <row r="11031" spans="1:2" x14ac:dyDescent="0.25">
      <c r="A11031" s="75">
        <v>44122001</v>
      </c>
      <c r="B11031" s="76" t="s">
        <v>9576</v>
      </c>
    </row>
    <row r="11032" spans="1:2" x14ac:dyDescent="0.25">
      <c r="A11032" s="75">
        <v>44122002</v>
      </c>
      <c r="B11032" s="76" t="s">
        <v>1289</v>
      </c>
    </row>
    <row r="11033" spans="1:2" x14ac:dyDescent="0.25">
      <c r="A11033" s="75">
        <v>44122003</v>
      </c>
      <c r="B11033" s="76" t="s">
        <v>9994</v>
      </c>
    </row>
    <row r="11034" spans="1:2" x14ac:dyDescent="0.25">
      <c r="A11034" s="75">
        <v>44122005</v>
      </c>
      <c r="B11034" s="76" t="s">
        <v>12170</v>
      </c>
    </row>
    <row r="11035" spans="1:2" x14ac:dyDescent="0.25">
      <c r="A11035" s="75">
        <v>44122008</v>
      </c>
      <c r="B11035" s="76" t="s">
        <v>7646</v>
      </c>
    </row>
    <row r="11036" spans="1:2" x14ac:dyDescent="0.25">
      <c r="A11036" s="75">
        <v>44122009</v>
      </c>
      <c r="B11036" s="76" t="s">
        <v>3154</v>
      </c>
    </row>
    <row r="11037" spans="1:2" x14ac:dyDescent="0.25">
      <c r="A11037" s="75">
        <v>44122010</v>
      </c>
      <c r="B11037" s="76" t="s">
        <v>4702</v>
      </c>
    </row>
    <row r="11038" spans="1:2" x14ac:dyDescent="0.25">
      <c r="A11038" s="75">
        <v>44122011</v>
      </c>
      <c r="B11038" s="76" t="s">
        <v>2818</v>
      </c>
    </row>
    <row r="11039" spans="1:2" x14ac:dyDescent="0.25">
      <c r="A11039" s="75">
        <v>44122012</v>
      </c>
      <c r="B11039" s="76" t="s">
        <v>19584</v>
      </c>
    </row>
    <row r="11040" spans="1:2" x14ac:dyDescent="0.25">
      <c r="A11040" s="75">
        <v>44122013</v>
      </c>
      <c r="B11040" s="76" t="s">
        <v>7355</v>
      </c>
    </row>
    <row r="11041" spans="1:2" x14ac:dyDescent="0.25">
      <c r="A11041" s="75">
        <v>44122014</v>
      </c>
      <c r="B11041" s="76" t="s">
        <v>1677</v>
      </c>
    </row>
    <row r="11042" spans="1:2" x14ac:dyDescent="0.25">
      <c r="A11042" s="75">
        <v>44122015</v>
      </c>
      <c r="B11042" s="76" t="s">
        <v>18965</v>
      </c>
    </row>
    <row r="11043" spans="1:2" x14ac:dyDescent="0.25">
      <c r="A11043" s="75">
        <v>44122016</v>
      </c>
      <c r="B11043" s="76" t="s">
        <v>7558</v>
      </c>
    </row>
    <row r="11044" spans="1:2" x14ac:dyDescent="0.25">
      <c r="A11044" s="75">
        <v>44122017</v>
      </c>
      <c r="B11044" s="76" t="s">
        <v>8349</v>
      </c>
    </row>
    <row r="11045" spans="1:2" x14ac:dyDescent="0.25">
      <c r="A11045" s="75">
        <v>44122018</v>
      </c>
      <c r="B11045" s="76" t="s">
        <v>2262</v>
      </c>
    </row>
    <row r="11046" spans="1:2" x14ac:dyDescent="0.25">
      <c r="A11046" s="75">
        <v>44122019</v>
      </c>
      <c r="B11046" s="76" t="s">
        <v>6864</v>
      </c>
    </row>
    <row r="11047" spans="1:2" x14ac:dyDescent="0.25">
      <c r="A11047" s="75">
        <v>44122020</v>
      </c>
      <c r="B11047" s="76" t="s">
        <v>5</v>
      </c>
    </row>
    <row r="11048" spans="1:2" x14ac:dyDescent="0.25">
      <c r="A11048" s="75">
        <v>44122021</v>
      </c>
      <c r="B11048" s="76" t="s">
        <v>6888</v>
      </c>
    </row>
    <row r="11049" spans="1:2" x14ac:dyDescent="0.25">
      <c r="A11049" s="75">
        <v>44122022</v>
      </c>
      <c r="B11049" s="76" t="s">
        <v>6714</v>
      </c>
    </row>
    <row r="11050" spans="1:2" x14ac:dyDescent="0.25">
      <c r="A11050" s="75">
        <v>44122023</v>
      </c>
      <c r="B11050" s="76" t="s">
        <v>10252</v>
      </c>
    </row>
    <row r="11051" spans="1:2" x14ac:dyDescent="0.25">
      <c r="A11051" s="75">
        <v>44122024</v>
      </c>
      <c r="B11051" s="76" t="s">
        <v>7205</v>
      </c>
    </row>
    <row r="11052" spans="1:2" x14ac:dyDescent="0.25">
      <c r="A11052" s="75">
        <v>44122025</v>
      </c>
      <c r="B11052" s="76" t="s">
        <v>14136</v>
      </c>
    </row>
    <row r="11053" spans="1:2" x14ac:dyDescent="0.25">
      <c r="A11053" s="75">
        <v>44122026</v>
      </c>
      <c r="B11053" s="76" t="s">
        <v>18117</v>
      </c>
    </row>
    <row r="11054" spans="1:2" x14ac:dyDescent="0.25">
      <c r="A11054" s="75">
        <v>44122027</v>
      </c>
      <c r="B11054" s="76" t="s">
        <v>4183</v>
      </c>
    </row>
    <row r="11055" spans="1:2" x14ac:dyDescent="0.25">
      <c r="A11055" s="75">
        <v>44122028</v>
      </c>
      <c r="B11055" s="76" t="s">
        <v>2480</v>
      </c>
    </row>
    <row r="11056" spans="1:2" x14ac:dyDescent="0.25">
      <c r="A11056" s="75">
        <v>44122101</v>
      </c>
      <c r="B11056" s="76" t="s">
        <v>16374</v>
      </c>
    </row>
    <row r="11057" spans="1:2" x14ac:dyDescent="0.25">
      <c r="A11057" s="75">
        <v>44122103</v>
      </c>
      <c r="B11057" s="76" t="s">
        <v>3587</v>
      </c>
    </row>
    <row r="11058" spans="1:2" x14ac:dyDescent="0.25">
      <c r="A11058" s="75">
        <v>44122104</v>
      </c>
      <c r="B11058" s="76" t="s">
        <v>18595</v>
      </c>
    </row>
    <row r="11059" spans="1:2" x14ac:dyDescent="0.25">
      <c r="A11059" s="75">
        <v>44122105</v>
      </c>
      <c r="B11059" s="76" t="s">
        <v>7922</v>
      </c>
    </row>
    <row r="11060" spans="1:2" x14ac:dyDescent="0.25">
      <c r="A11060" s="75">
        <v>44122106</v>
      </c>
      <c r="B11060" s="76" t="s">
        <v>2320</v>
      </c>
    </row>
    <row r="11061" spans="1:2" x14ac:dyDescent="0.25">
      <c r="A11061" s="75">
        <v>44122107</v>
      </c>
      <c r="B11061" s="76" t="s">
        <v>14071</v>
      </c>
    </row>
    <row r="11062" spans="1:2" x14ac:dyDescent="0.25">
      <c r="A11062" s="75">
        <v>44122109</v>
      </c>
      <c r="B11062" s="76" t="s">
        <v>7937</v>
      </c>
    </row>
    <row r="11063" spans="1:2" x14ac:dyDescent="0.25">
      <c r="A11063" s="75">
        <v>44122110</v>
      </c>
      <c r="B11063" s="76" t="s">
        <v>4594</v>
      </c>
    </row>
    <row r="11064" spans="1:2" x14ac:dyDescent="0.25">
      <c r="A11064" s="75">
        <v>44122111</v>
      </c>
      <c r="B11064" s="76" t="s">
        <v>6630</v>
      </c>
    </row>
    <row r="11065" spans="1:2" x14ac:dyDescent="0.25">
      <c r="A11065" s="75">
        <v>44122112</v>
      </c>
      <c r="B11065" s="76" t="s">
        <v>12852</v>
      </c>
    </row>
    <row r="11066" spans="1:2" x14ac:dyDescent="0.25">
      <c r="A11066" s="75">
        <v>44122113</v>
      </c>
      <c r="B11066" s="76" t="s">
        <v>11534</v>
      </c>
    </row>
    <row r="11067" spans="1:2" x14ac:dyDescent="0.25">
      <c r="A11067" s="75">
        <v>44122114</v>
      </c>
      <c r="B11067" s="76" t="s">
        <v>10053</v>
      </c>
    </row>
    <row r="11068" spans="1:2" x14ac:dyDescent="0.25">
      <c r="A11068" s="75">
        <v>44122115</v>
      </c>
      <c r="B11068" s="76" t="s">
        <v>8764</v>
      </c>
    </row>
    <row r="11069" spans="1:2" x14ac:dyDescent="0.25">
      <c r="A11069" s="75">
        <v>44122116</v>
      </c>
      <c r="B11069" s="76" t="s">
        <v>8529</v>
      </c>
    </row>
    <row r="11070" spans="1:2" x14ac:dyDescent="0.25">
      <c r="A11070" s="75">
        <v>44122117</v>
      </c>
      <c r="B11070" s="76" t="s">
        <v>16750</v>
      </c>
    </row>
    <row r="11071" spans="1:2" x14ac:dyDescent="0.25">
      <c r="A11071" s="75">
        <v>44122118</v>
      </c>
      <c r="B11071" s="76" t="s">
        <v>7426</v>
      </c>
    </row>
    <row r="11072" spans="1:2" x14ac:dyDescent="0.25">
      <c r="A11072" s="75">
        <v>44122119</v>
      </c>
      <c r="B11072" s="76" t="s">
        <v>13451</v>
      </c>
    </row>
    <row r="11073" spans="1:2" x14ac:dyDescent="0.25">
      <c r="A11073" s="75">
        <v>44122120</v>
      </c>
      <c r="B11073" s="76" t="s">
        <v>10437</v>
      </c>
    </row>
    <row r="11074" spans="1:2" x14ac:dyDescent="0.25">
      <c r="A11074" s="75">
        <v>44122121</v>
      </c>
      <c r="B11074" s="76" t="s">
        <v>16757</v>
      </c>
    </row>
    <row r="11075" spans="1:2" x14ac:dyDescent="0.25">
      <c r="A11075" s="75">
        <v>45101501</v>
      </c>
      <c r="B11075" s="76" t="s">
        <v>14183</v>
      </c>
    </row>
    <row r="11076" spans="1:2" x14ac:dyDescent="0.25">
      <c r="A11076" s="75">
        <v>45101502</v>
      </c>
      <c r="B11076" s="76" t="s">
        <v>8719</v>
      </c>
    </row>
    <row r="11077" spans="1:2" x14ac:dyDescent="0.25">
      <c r="A11077" s="75">
        <v>45101503</v>
      </c>
      <c r="B11077" s="76" t="s">
        <v>3930</v>
      </c>
    </row>
    <row r="11078" spans="1:2" x14ac:dyDescent="0.25">
      <c r="A11078" s="75">
        <v>45101504</v>
      </c>
      <c r="B11078" s="76" t="s">
        <v>3049</v>
      </c>
    </row>
    <row r="11079" spans="1:2" x14ac:dyDescent="0.25">
      <c r="A11079" s="75">
        <v>45101505</v>
      </c>
      <c r="B11079" s="76" t="s">
        <v>6440</v>
      </c>
    </row>
    <row r="11080" spans="1:2" x14ac:dyDescent="0.25">
      <c r="A11080" s="75">
        <v>45101506</v>
      </c>
      <c r="B11080" s="76" t="s">
        <v>5085</v>
      </c>
    </row>
    <row r="11081" spans="1:2" x14ac:dyDescent="0.25">
      <c r="A11081" s="75">
        <v>45101507</v>
      </c>
      <c r="B11081" s="76" t="s">
        <v>12262</v>
      </c>
    </row>
    <row r="11082" spans="1:2" x14ac:dyDescent="0.25">
      <c r="A11082" s="75">
        <v>45101508</v>
      </c>
      <c r="B11082" s="76" t="s">
        <v>5175</v>
      </c>
    </row>
    <row r="11083" spans="1:2" x14ac:dyDescent="0.25">
      <c r="A11083" s="75">
        <v>45101509</v>
      </c>
      <c r="B11083" s="76" t="s">
        <v>19781</v>
      </c>
    </row>
    <row r="11084" spans="1:2" x14ac:dyDescent="0.25">
      <c r="A11084" s="75">
        <v>45101510</v>
      </c>
      <c r="B11084" s="76" t="s">
        <v>7653</v>
      </c>
    </row>
    <row r="11085" spans="1:2" x14ac:dyDescent="0.25">
      <c r="A11085" s="75">
        <v>45101511</v>
      </c>
      <c r="B11085" s="76" t="s">
        <v>7129</v>
      </c>
    </row>
    <row r="11086" spans="1:2" x14ac:dyDescent="0.25">
      <c r="A11086" s="75">
        <v>45101512</v>
      </c>
      <c r="B11086" s="76" t="s">
        <v>11910</v>
      </c>
    </row>
    <row r="11087" spans="1:2" x14ac:dyDescent="0.25">
      <c r="A11087" s="75">
        <v>45101513</v>
      </c>
      <c r="B11087" s="76" t="s">
        <v>16825</v>
      </c>
    </row>
    <row r="11088" spans="1:2" x14ac:dyDescent="0.25">
      <c r="A11088" s="75">
        <v>45101514</v>
      </c>
      <c r="B11088" s="76" t="s">
        <v>18948</v>
      </c>
    </row>
    <row r="11089" spans="1:2" x14ac:dyDescent="0.25">
      <c r="A11089" s="75">
        <v>45101515</v>
      </c>
      <c r="B11089" s="76" t="s">
        <v>9705</v>
      </c>
    </row>
    <row r="11090" spans="1:2" x14ac:dyDescent="0.25">
      <c r="A11090" s="75">
        <v>45101602</v>
      </c>
      <c r="B11090" s="76" t="s">
        <v>9802</v>
      </c>
    </row>
    <row r="11091" spans="1:2" x14ac:dyDescent="0.25">
      <c r="A11091" s="75">
        <v>45101603</v>
      </c>
      <c r="B11091" s="76" t="s">
        <v>13370</v>
      </c>
    </row>
    <row r="11092" spans="1:2" x14ac:dyDescent="0.25">
      <c r="A11092" s="75">
        <v>45101604</v>
      </c>
      <c r="B11092" s="76" t="s">
        <v>8033</v>
      </c>
    </row>
    <row r="11093" spans="1:2" x14ac:dyDescent="0.25">
      <c r="A11093" s="75">
        <v>45101606</v>
      </c>
      <c r="B11093" s="76" t="s">
        <v>12947</v>
      </c>
    </row>
    <row r="11094" spans="1:2" x14ac:dyDescent="0.25">
      <c r="A11094" s="75">
        <v>45101607</v>
      </c>
      <c r="B11094" s="76" t="s">
        <v>14412</v>
      </c>
    </row>
    <row r="11095" spans="1:2" x14ac:dyDescent="0.25">
      <c r="A11095" s="75">
        <v>45101608</v>
      </c>
      <c r="B11095" s="76" t="s">
        <v>2422</v>
      </c>
    </row>
    <row r="11096" spans="1:2" x14ac:dyDescent="0.25">
      <c r="A11096" s="75">
        <v>45101609</v>
      </c>
      <c r="B11096" s="76" t="s">
        <v>1293</v>
      </c>
    </row>
    <row r="11097" spans="1:2" x14ac:dyDescent="0.25">
      <c r="A11097" s="75">
        <v>45101610</v>
      </c>
      <c r="B11097" s="76" t="s">
        <v>20023</v>
      </c>
    </row>
    <row r="11098" spans="1:2" x14ac:dyDescent="0.25">
      <c r="A11098" s="75">
        <v>45101611</v>
      </c>
      <c r="B11098" s="76" t="s">
        <v>15948</v>
      </c>
    </row>
    <row r="11099" spans="1:2" x14ac:dyDescent="0.25">
      <c r="A11099" s="75">
        <v>45101701</v>
      </c>
      <c r="B11099" s="76" t="s">
        <v>14702</v>
      </c>
    </row>
    <row r="11100" spans="1:2" x14ac:dyDescent="0.25">
      <c r="A11100" s="75">
        <v>45101702</v>
      </c>
      <c r="B11100" s="76" t="s">
        <v>15501</v>
      </c>
    </row>
    <row r="11101" spans="1:2" x14ac:dyDescent="0.25">
      <c r="A11101" s="75">
        <v>45101703</v>
      </c>
      <c r="B11101" s="76" t="s">
        <v>2498</v>
      </c>
    </row>
    <row r="11102" spans="1:2" x14ac:dyDescent="0.25">
      <c r="A11102" s="75">
        <v>45101704</v>
      </c>
      <c r="B11102" s="76" t="s">
        <v>9568</v>
      </c>
    </row>
    <row r="11103" spans="1:2" x14ac:dyDescent="0.25">
      <c r="A11103" s="75">
        <v>45101705</v>
      </c>
      <c r="B11103" s="76" t="s">
        <v>19739</v>
      </c>
    </row>
    <row r="11104" spans="1:2" x14ac:dyDescent="0.25">
      <c r="A11104" s="75">
        <v>45101706</v>
      </c>
      <c r="B11104" s="76" t="s">
        <v>19314</v>
      </c>
    </row>
    <row r="11105" spans="1:2" x14ac:dyDescent="0.25">
      <c r="A11105" s="75">
        <v>45101707</v>
      </c>
      <c r="B11105" s="76" t="s">
        <v>2017</v>
      </c>
    </row>
    <row r="11106" spans="1:2" x14ac:dyDescent="0.25">
      <c r="A11106" s="75">
        <v>45101708</v>
      </c>
      <c r="B11106" s="76" t="s">
        <v>9376</v>
      </c>
    </row>
    <row r="11107" spans="1:2" x14ac:dyDescent="0.25">
      <c r="A11107" s="75">
        <v>45101801</v>
      </c>
      <c r="B11107" s="76" t="s">
        <v>19529</v>
      </c>
    </row>
    <row r="11108" spans="1:2" x14ac:dyDescent="0.25">
      <c r="A11108" s="75">
        <v>45101802</v>
      </c>
      <c r="B11108" s="76" t="s">
        <v>17045</v>
      </c>
    </row>
    <row r="11109" spans="1:2" x14ac:dyDescent="0.25">
      <c r="A11109" s="75">
        <v>45101803</v>
      </c>
      <c r="B11109" s="76" t="s">
        <v>3788</v>
      </c>
    </row>
    <row r="11110" spans="1:2" x14ac:dyDescent="0.25">
      <c r="A11110" s="75">
        <v>45101804</v>
      </c>
      <c r="B11110" s="76" t="s">
        <v>10682</v>
      </c>
    </row>
    <row r="11111" spans="1:2" x14ac:dyDescent="0.25">
      <c r="A11111" s="75">
        <v>45101805</v>
      </c>
      <c r="B11111" s="76" t="s">
        <v>6383</v>
      </c>
    </row>
    <row r="11112" spans="1:2" x14ac:dyDescent="0.25">
      <c r="A11112" s="75">
        <v>45101806</v>
      </c>
      <c r="B11112" s="76" t="s">
        <v>7395</v>
      </c>
    </row>
    <row r="11113" spans="1:2" x14ac:dyDescent="0.25">
      <c r="A11113" s="75">
        <v>45101807</v>
      </c>
      <c r="B11113" s="76" t="s">
        <v>16042</v>
      </c>
    </row>
    <row r="11114" spans="1:2" x14ac:dyDescent="0.25">
      <c r="A11114" s="75">
        <v>45101808</v>
      </c>
      <c r="B11114" s="76" t="s">
        <v>8958</v>
      </c>
    </row>
    <row r="11115" spans="1:2" x14ac:dyDescent="0.25">
      <c r="A11115" s="75">
        <v>45101901</v>
      </c>
      <c r="B11115" s="76" t="s">
        <v>15231</v>
      </c>
    </row>
    <row r="11116" spans="1:2" x14ac:dyDescent="0.25">
      <c r="A11116" s="75">
        <v>45101902</v>
      </c>
      <c r="B11116" s="76" t="s">
        <v>18161</v>
      </c>
    </row>
    <row r="11117" spans="1:2" x14ac:dyDescent="0.25">
      <c r="A11117" s="75">
        <v>45101903</v>
      </c>
      <c r="B11117" s="76" t="s">
        <v>13326</v>
      </c>
    </row>
    <row r="11118" spans="1:2" x14ac:dyDescent="0.25">
      <c r="A11118" s="75">
        <v>45101904</v>
      </c>
      <c r="B11118" s="76" t="s">
        <v>8649</v>
      </c>
    </row>
    <row r="11119" spans="1:2" x14ac:dyDescent="0.25">
      <c r="A11119" s="75">
        <v>45101905</v>
      </c>
      <c r="B11119" s="76" t="s">
        <v>7210</v>
      </c>
    </row>
    <row r="11120" spans="1:2" x14ac:dyDescent="0.25">
      <c r="A11120" s="75">
        <v>45102001</v>
      </c>
      <c r="B11120" s="76" t="s">
        <v>14064</v>
      </c>
    </row>
    <row r="11121" spans="1:2" x14ac:dyDescent="0.25">
      <c r="A11121" s="75">
        <v>45102002</v>
      </c>
      <c r="B11121" s="76" t="s">
        <v>14088</v>
      </c>
    </row>
    <row r="11122" spans="1:2" x14ac:dyDescent="0.25">
      <c r="A11122" s="75">
        <v>45102003</v>
      </c>
      <c r="B11122" s="76" t="s">
        <v>2917</v>
      </c>
    </row>
    <row r="11123" spans="1:2" x14ac:dyDescent="0.25">
      <c r="A11123" s="75">
        <v>45102004</v>
      </c>
      <c r="B11123" s="76" t="s">
        <v>5797</v>
      </c>
    </row>
    <row r="11124" spans="1:2" x14ac:dyDescent="0.25">
      <c r="A11124" s="75">
        <v>45102005</v>
      </c>
      <c r="B11124" s="76" t="s">
        <v>7315</v>
      </c>
    </row>
    <row r="11125" spans="1:2" x14ac:dyDescent="0.25">
      <c r="A11125" s="75">
        <v>45111501</v>
      </c>
      <c r="B11125" s="76" t="s">
        <v>12730</v>
      </c>
    </row>
    <row r="11126" spans="1:2" x14ac:dyDescent="0.25">
      <c r="A11126" s="75">
        <v>45111502</v>
      </c>
      <c r="B11126" s="76" t="s">
        <v>13420</v>
      </c>
    </row>
    <row r="11127" spans="1:2" x14ac:dyDescent="0.25">
      <c r="A11127" s="75">
        <v>45111503</v>
      </c>
      <c r="B11127" s="76" t="s">
        <v>380</v>
      </c>
    </row>
    <row r="11128" spans="1:2" x14ac:dyDescent="0.25">
      <c r="A11128" s="75">
        <v>45111504</v>
      </c>
      <c r="B11128" s="76" t="s">
        <v>8813</v>
      </c>
    </row>
    <row r="11129" spans="1:2" x14ac:dyDescent="0.25">
      <c r="A11129" s="75">
        <v>45111601</v>
      </c>
      <c r="B11129" s="76" t="s">
        <v>5224</v>
      </c>
    </row>
    <row r="11130" spans="1:2" x14ac:dyDescent="0.25">
      <c r="A11130" s="75">
        <v>45111602</v>
      </c>
      <c r="B11130" s="76" t="s">
        <v>2307</v>
      </c>
    </row>
    <row r="11131" spans="1:2" x14ac:dyDescent="0.25">
      <c r="A11131" s="75">
        <v>45111603</v>
      </c>
      <c r="B11131" s="76" t="s">
        <v>8612</v>
      </c>
    </row>
    <row r="11132" spans="1:2" x14ac:dyDescent="0.25">
      <c r="A11132" s="75">
        <v>45111604</v>
      </c>
      <c r="B11132" s="76" t="s">
        <v>5902</v>
      </c>
    </row>
    <row r="11133" spans="1:2" x14ac:dyDescent="0.25">
      <c r="A11133" s="75">
        <v>45111605</v>
      </c>
      <c r="B11133" s="76" t="s">
        <v>12835</v>
      </c>
    </row>
    <row r="11134" spans="1:2" x14ac:dyDescent="0.25">
      <c r="A11134" s="75">
        <v>45111606</v>
      </c>
      <c r="B11134" s="76" t="s">
        <v>13231</v>
      </c>
    </row>
    <row r="11135" spans="1:2" x14ac:dyDescent="0.25">
      <c r="A11135" s="75">
        <v>45111607</v>
      </c>
      <c r="B11135" s="76" t="s">
        <v>8892</v>
      </c>
    </row>
    <row r="11136" spans="1:2" x14ac:dyDescent="0.25">
      <c r="A11136" s="75">
        <v>45111608</v>
      </c>
      <c r="B11136" s="76" t="s">
        <v>15027</v>
      </c>
    </row>
    <row r="11137" spans="1:2" x14ac:dyDescent="0.25">
      <c r="A11137" s="75">
        <v>45111609</v>
      </c>
      <c r="B11137" s="76" t="s">
        <v>18631</v>
      </c>
    </row>
    <row r="11138" spans="1:2" x14ac:dyDescent="0.25">
      <c r="A11138" s="75">
        <v>45111610</v>
      </c>
      <c r="B11138" s="76" t="s">
        <v>3314</v>
      </c>
    </row>
    <row r="11139" spans="1:2" x14ac:dyDescent="0.25">
      <c r="A11139" s="75">
        <v>45111612</v>
      </c>
      <c r="B11139" s="76" t="s">
        <v>18440</v>
      </c>
    </row>
    <row r="11140" spans="1:2" x14ac:dyDescent="0.25">
      <c r="A11140" s="75">
        <v>45111613</v>
      </c>
      <c r="B11140" s="76" t="s">
        <v>2849</v>
      </c>
    </row>
    <row r="11141" spans="1:2" x14ac:dyDescent="0.25">
      <c r="A11141" s="75">
        <v>45111614</v>
      </c>
      <c r="B11141" s="76" t="s">
        <v>18788</v>
      </c>
    </row>
    <row r="11142" spans="1:2" x14ac:dyDescent="0.25">
      <c r="A11142" s="75">
        <v>45111615</v>
      </c>
      <c r="B11142" s="76" t="s">
        <v>4797</v>
      </c>
    </row>
    <row r="11143" spans="1:2" x14ac:dyDescent="0.25">
      <c r="A11143" s="75">
        <v>45111616</v>
      </c>
      <c r="B11143" s="76" t="s">
        <v>12754</v>
      </c>
    </row>
    <row r="11144" spans="1:2" x14ac:dyDescent="0.25">
      <c r="A11144" s="75">
        <v>45111617</v>
      </c>
      <c r="B11144" s="76" t="s">
        <v>16816</v>
      </c>
    </row>
    <row r="11145" spans="1:2" x14ac:dyDescent="0.25">
      <c r="A11145" s="75">
        <v>45111618</v>
      </c>
      <c r="B11145" s="76" t="s">
        <v>11222</v>
      </c>
    </row>
    <row r="11146" spans="1:2" x14ac:dyDescent="0.25">
      <c r="A11146" s="75">
        <v>45111620</v>
      </c>
      <c r="B11146" s="76" t="s">
        <v>5506</v>
      </c>
    </row>
    <row r="11147" spans="1:2" x14ac:dyDescent="0.25">
      <c r="A11147" s="75">
        <v>45111701</v>
      </c>
      <c r="B11147" s="76" t="s">
        <v>10463</v>
      </c>
    </row>
    <row r="11148" spans="1:2" x14ac:dyDescent="0.25">
      <c r="A11148" s="75">
        <v>45111702</v>
      </c>
      <c r="B11148" s="76" t="s">
        <v>19363</v>
      </c>
    </row>
    <row r="11149" spans="1:2" x14ac:dyDescent="0.25">
      <c r="A11149" s="75">
        <v>45111703</v>
      </c>
      <c r="B11149" s="76" t="s">
        <v>4152</v>
      </c>
    </row>
    <row r="11150" spans="1:2" x14ac:dyDescent="0.25">
      <c r="A11150" s="75">
        <v>45111704</v>
      </c>
      <c r="B11150" s="76" t="s">
        <v>4036</v>
      </c>
    </row>
    <row r="11151" spans="1:2" x14ac:dyDescent="0.25">
      <c r="A11151" s="75">
        <v>45111705</v>
      </c>
      <c r="B11151" s="76" t="s">
        <v>2410</v>
      </c>
    </row>
    <row r="11152" spans="1:2" x14ac:dyDescent="0.25">
      <c r="A11152" s="75">
        <v>45111801</v>
      </c>
      <c r="B11152" s="76" t="s">
        <v>671</v>
      </c>
    </row>
    <row r="11153" spans="1:2" x14ac:dyDescent="0.25">
      <c r="A11153" s="75">
        <v>45111802</v>
      </c>
      <c r="B11153" s="76" t="s">
        <v>7666</v>
      </c>
    </row>
    <row r="11154" spans="1:2" x14ac:dyDescent="0.25">
      <c r="A11154" s="75">
        <v>45111803</v>
      </c>
      <c r="B11154" s="76" t="s">
        <v>1721</v>
      </c>
    </row>
    <row r="11155" spans="1:2" x14ac:dyDescent="0.25">
      <c r="A11155" s="75">
        <v>45111804</v>
      </c>
      <c r="B11155" s="76" t="s">
        <v>12215</v>
      </c>
    </row>
    <row r="11156" spans="1:2" x14ac:dyDescent="0.25">
      <c r="A11156" s="75">
        <v>45111805</v>
      </c>
      <c r="B11156" s="76" t="s">
        <v>8284</v>
      </c>
    </row>
    <row r="11157" spans="1:2" x14ac:dyDescent="0.25">
      <c r="A11157" s="75">
        <v>45111806</v>
      </c>
      <c r="B11157" s="76" t="s">
        <v>2335</v>
      </c>
    </row>
    <row r="11158" spans="1:2" x14ac:dyDescent="0.25">
      <c r="A11158" s="75">
        <v>45111807</v>
      </c>
      <c r="B11158" s="76" t="s">
        <v>4200</v>
      </c>
    </row>
    <row r="11159" spans="1:2" x14ac:dyDescent="0.25">
      <c r="A11159" s="75">
        <v>45111808</v>
      </c>
      <c r="B11159" s="76" t="s">
        <v>11131</v>
      </c>
    </row>
    <row r="11160" spans="1:2" x14ac:dyDescent="0.25">
      <c r="A11160" s="75">
        <v>45111809</v>
      </c>
      <c r="B11160" s="76" t="s">
        <v>12136</v>
      </c>
    </row>
    <row r="11161" spans="1:2" x14ac:dyDescent="0.25">
      <c r="A11161" s="75">
        <v>45111810</v>
      </c>
      <c r="B11161" s="76" t="s">
        <v>17653</v>
      </c>
    </row>
    <row r="11162" spans="1:2" x14ac:dyDescent="0.25">
      <c r="A11162" s="75">
        <v>45111901</v>
      </c>
      <c r="B11162" s="76" t="s">
        <v>1815</v>
      </c>
    </row>
    <row r="11163" spans="1:2" x14ac:dyDescent="0.25">
      <c r="A11163" s="75">
        <v>45111902</v>
      </c>
      <c r="B11163" s="76" t="s">
        <v>18662</v>
      </c>
    </row>
    <row r="11164" spans="1:2" x14ac:dyDescent="0.25">
      <c r="A11164" s="75">
        <v>45112001</v>
      </c>
      <c r="B11164" s="76" t="s">
        <v>3754</v>
      </c>
    </row>
    <row r="11165" spans="1:2" x14ac:dyDescent="0.25">
      <c r="A11165" s="75">
        <v>45112002</v>
      </c>
      <c r="B11165" s="76" t="s">
        <v>15694</v>
      </c>
    </row>
    <row r="11166" spans="1:2" x14ac:dyDescent="0.25">
      <c r="A11166" s="75">
        <v>45112003</v>
      </c>
      <c r="B11166" s="76" t="s">
        <v>14192</v>
      </c>
    </row>
    <row r="11167" spans="1:2" x14ac:dyDescent="0.25">
      <c r="A11167" s="75">
        <v>45112004</v>
      </c>
      <c r="B11167" s="76" t="s">
        <v>5165</v>
      </c>
    </row>
    <row r="11168" spans="1:2" x14ac:dyDescent="0.25">
      <c r="A11168" s="75">
        <v>45121501</v>
      </c>
      <c r="B11168" s="76" t="s">
        <v>4003</v>
      </c>
    </row>
    <row r="11169" spans="1:2" x14ac:dyDescent="0.25">
      <c r="A11169" s="75">
        <v>45121502</v>
      </c>
      <c r="B11169" s="76" t="s">
        <v>8336</v>
      </c>
    </row>
    <row r="11170" spans="1:2" x14ac:dyDescent="0.25">
      <c r="A11170" s="75">
        <v>45121503</v>
      </c>
      <c r="B11170" s="76" t="s">
        <v>8006</v>
      </c>
    </row>
    <row r="11171" spans="1:2" x14ac:dyDescent="0.25">
      <c r="A11171" s="75">
        <v>45121504</v>
      </c>
      <c r="B11171" s="76" t="s">
        <v>6091</v>
      </c>
    </row>
    <row r="11172" spans="1:2" x14ac:dyDescent="0.25">
      <c r="A11172" s="75">
        <v>45121505</v>
      </c>
      <c r="B11172" s="76" t="s">
        <v>18047</v>
      </c>
    </row>
    <row r="11173" spans="1:2" x14ac:dyDescent="0.25">
      <c r="A11173" s="75">
        <v>45121506</v>
      </c>
      <c r="B11173" s="76" t="s">
        <v>10672</v>
      </c>
    </row>
    <row r="11174" spans="1:2" x14ac:dyDescent="0.25">
      <c r="A11174" s="75">
        <v>45121510</v>
      </c>
      <c r="B11174" s="76" t="s">
        <v>811</v>
      </c>
    </row>
    <row r="11175" spans="1:2" x14ac:dyDescent="0.25">
      <c r="A11175" s="75">
        <v>45121511</v>
      </c>
      <c r="B11175" s="76" t="s">
        <v>17098</v>
      </c>
    </row>
    <row r="11176" spans="1:2" x14ac:dyDescent="0.25">
      <c r="A11176" s="75">
        <v>45121512</v>
      </c>
      <c r="B11176" s="76" t="s">
        <v>2040</v>
      </c>
    </row>
    <row r="11177" spans="1:2" x14ac:dyDescent="0.25">
      <c r="A11177" s="75">
        <v>45121513</v>
      </c>
      <c r="B11177" s="76" t="s">
        <v>13473</v>
      </c>
    </row>
    <row r="11178" spans="1:2" x14ac:dyDescent="0.25">
      <c r="A11178" s="75">
        <v>45121514</v>
      </c>
      <c r="B11178" s="76" t="s">
        <v>13375</v>
      </c>
    </row>
    <row r="11179" spans="1:2" x14ac:dyDescent="0.25">
      <c r="A11179" s="75">
        <v>45121515</v>
      </c>
      <c r="B11179" s="76" t="s">
        <v>10070</v>
      </c>
    </row>
    <row r="11180" spans="1:2" x14ac:dyDescent="0.25">
      <c r="A11180" s="75">
        <v>45121516</v>
      </c>
      <c r="B11180" s="76" t="s">
        <v>15731</v>
      </c>
    </row>
    <row r="11181" spans="1:2" x14ac:dyDescent="0.25">
      <c r="A11181" s="75">
        <v>45121517</v>
      </c>
      <c r="B11181" s="76" t="s">
        <v>16057</v>
      </c>
    </row>
    <row r="11182" spans="1:2" x14ac:dyDescent="0.25">
      <c r="A11182" s="75">
        <v>45121518</v>
      </c>
      <c r="B11182" s="76" t="s">
        <v>2512</v>
      </c>
    </row>
    <row r="11183" spans="1:2" x14ac:dyDescent="0.25">
      <c r="A11183" s="75">
        <v>45121519</v>
      </c>
      <c r="B11183" s="76" t="s">
        <v>14821</v>
      </c>
    </row>
    <row r="11184" spans="1:2" x14ac:dyDescent="0.25">
      <c r="A11184" s="75">
        <v>45121520</v>
      </c>
      <c r="B11184" s="76" t="s">
        <v>17974</v>
      </c>
    </row>
    <row r="11185" spans="1:2" x14ac:dyDescent="0.25">
      <c r="A11185" s="75">
        <v>45121601</v>
      </c>
      <c r="B11185" s="76" t="s">
        <v>40</v>
      </c>
    </row>
    <row r="11186" spans="1:2" x14ac:dyDescent="0.25">
      <c r="A11186" s="75">
        <v>45121602</v>
      </c>
      <c r="B11186" s="76" t="s">
        <v>1790</v>
      </c>
    </row>
    <row r="11187" spans="1:2" x14ac:dyDescent="0.25">
      <c r="A11187" s="75">
        <v>45121603</v>
      </c>
      <c r="B11187" s="76" t="s">
        <v>3711</v>
      </c>
    </row>
    <row r="11188" spans="1:2" x14ac:dyDescent="0.25">
      <c r="A11188" s="75">
        <v>45121604</v>
      </c>
      <c r="B11188" s="76" t="s">
        <v>18153</v>
      </c>
    </row>
    <row r="11189" spans="1:2" x14ac:dyDescent="0.25">
      <c r="A11189" s="75">
        <v>45121605</v>
      </c>
      <c r="B11189" s="76" t="s">
        <v>2856</v>
      </c>
    </row>
    <row r="11190" spans="1:2" x14ac:dyDescent="0.25">
      <c r="A11190" s="75">
        <v>45121606</v>
      </c>
      <c r="B11190" s="76" t="s">
        <v>471</v>
      </c>
    </row>
    <row r="11191" spans="1:2" x14ac:dyDescent="0.25">
      <c r="A11191" s="75">
        <v>45121607</v>
      </c>
      <c r="B11191" s="76" t="s">
        <v>18271</v>
      </c>
    </row>
    <row r="11192" spans="1:2" x14ac:dyDescent="0.25">
      <c r="A11192" s="75">
        <v>45121608</v>
      </c>
      <c r="B11192" s="76" t="s">
        <v>8187</v>
      </c>
    </row>
    <row r="11193" spans="1:2" x14ac:dyDescent="0.25">
      <c r="A11193" s="75">
        <v>45121609</v>
      </c>
      <c r="B11193" s="76" t="s">
        <v>19118</v>
      </c>
    </row>
    <row r="11194" spans="1:2" x14ac:dyDescent="0.25">
      <c r="A11194" s="75">
        <v>45121610</v>
      </c>
      <c r="B11194" s="76" t="s">
        <v>6502</v>
      </c>
    </row>
    <row r="11195" spans="1:2" x14ac:dyDescent="0.25">
      <c r="A11195" s="75">
        <v>45121611</v>
      </c>
      <c r="B11195" s="76" t="s">
        <v>12911</v>
      </c>
    </row>
    <row r="11196" spans="1:2" x14ac:dyDescent="0.25">
      <c r="A11196" s="75">
        <v>45121612</v>
      </c>
      <c r="B11196" s="76" t="s">
        <v>15366</v>
      </c>
    </row>
    <row r="11197" spans="1:2" x14ac:dyDescent="0.25">
      <c r="A11197" s="75">
        <v>45121613</v>
      </c>
      <c r="B11197" s="76" t="s">
        <v>7116</v>
      </c>
    </row>
    <row r="11198" spans="1:2" x14ac:dyDescent="0.25">
      <c r="A11198" s="75">
        <v>45121614</v>
      </c>
      <c r="B11198" s="76" t="s">
        <v>1917</v>
      </c>
    </row>
    <row r="11199" spans="1:2" x14ac:dyDescent="0.25">
      <c r="A11199" s="75">
        <v>45121615</v>
      </c>
      <c r="B11199" s="76" t="s">
        <v>8929</v>
      </c>
    </row>
    <row r="11200" spans="1:2" x14ac:dyDescent="0.25">
      <c r="A11200" s="75">
        <v>45121616</v>
      </c>
      <c r="B11200" s="76" t="s">
        <v>18677</v>
      </c>
    </row>
    <row r="11201" spans="1:2" x14ac:dyDescent="0.25">
      <c r="A11201" s="75">
        <v>45121617</v>
      </c>
      <c r="B11201" s="76" t="s">
        <v>15835</v>
      </c>
    </row>
    <row r="11202" spans="1:2" x14ac:dyDescent="0.25">
      <c r="A11202" s="75">
        <v>45121618</v>
      </c>
      <c r="B11202" s="76" t="s">
        <v>11749</v>
      </c>
    </row>
    <row r="11203" spans="1:2" x14ac:dyDescent="0.25">
      <c r="A11203" s="75">
        <v>45121619</v>
      </c>
      <c r="B11203" s="76" t="s">
        <v>2390</v>
      </c>
    </row>
    <row r="11204" spans="1:2" x14ac:dyDescent="0.25">
      <c r="A11204" s="75">
        <v>45121620</v>
      </c>
      <c r="B11204" s="76" t="s">
        <v>14385</v>
      </c>
    </row>
    <row r="11205" spans="1:2" x14ac:dyDescent="0.25">
      <c r="A11205" s="75">
        <v>45121621</v>
      </c>
      <c r="B11205" s="76" t="s">
        <v>17441</v>
      </c>
    </row>
    <row r="11206" spans="1:2" x14ac:dyDescent="0.25">
      <c r="A11206" s="75">
        <v>45121622</v>
      </c>
      <c r="B11206" s="76" t="s">
        <v>6456</v>
      </c>
    </row>
    <row r="11207" spans="1:2" x14ac:dyDescent="0.25">
      <c r="A11207" s="75">
        <v>45121623</v>
      </c>
      <c r="B11207" s="76" t="s">
        <v>18084</v>
      </c>
    </row>
    <row r="11208" spans="1:2" x14ac:dyDescent="0.25">
      <c r="A11208" s="75">
        <v>45121701</v>
      </c>
      <c r="B11208" s="76" t="s">
        <v>8178</v>
      </c>
    </row>
    <row r="11209" spans="1:2" x14ac:dyDescent="0.25">
      <c r="A11209" s="75">
        <v>45121702</v>
      </c>
      <c r="B11209" s="76" t="s">
        <v>4588</v>
      </c>
    </row>
    <row r="11210" spans="1:2" x14ac:dyDescent="0.25">
      <c r="A11210" s="75">
        <v>45121703</v>
      </c>
      <c r="B11210" s="76" t="s">
        <v>8490</v>
      </c>
    </row>
    <row r="11211" spans="1:2" x14ac:dyDescent="0.25">
      <c r="A11211" s="75">
        <v>45121704</v>
      </c>
      <c r="B11211" s="76" t="s">
        <v>8959</v>
      </c>
    </row>
    <row r="11212" spans="1:2" x14ac:dyDescent="0.25">
      <c r="A11212" s="75">
        <v>45121705</v>
      </c>
      <c r="B11212" s="76" t="s">
        <v>722</v>
      </c>
    </row>
    <row r="11213" spans="1:2" x14ac:dyDescent="0.25">
      <c r="A11213" s="75">
        <v>45121706</v>
      </c>
      <c r="B11213" s="76" t="s">
        <v>3215</v>
      </c>
    </row>
    <row r="11214" spans="1:2" x14ac:dyDescent="0.25">
      <c r="A11214" s="75">
        <v>45121801</v>
      </c>
      <c r="B11214" s="76" t="s">
        <v>10381</v>
      </c>
    </row>
    <row r="11215" spans="1:2" x14ac:dyDescent="0.25">
      <c r="A11215" s="75">
        <v>45121802</v>
      </c>
      <c r="B11215" s="76" t="s">
        <v>14132</v>
      </c>
    </row>
    <row r="11216" spans="1:2" x14ac:dyDescent="0.25">
      <c r="A11216" s="75">
        <v>45121803</v>
      </c>
      <c r="B11216" s="76" t="s">
        <v>9764</v>
      </c>
    </row>
    <row r="11217" spans="1:2" x14ac:dyDescent="0.25">
      <c r="A11217" s="75">
        <v>45121804</v>
      </c>
      <c r="B11217" s="76" t="s">
        <v>3012</v>
      </c>
    </row>
    <row r="11218" spans="1:2" x14ac:dyDescent="0.25">
      <c r="A11218" s="75">
        <v>45121805</v>
      </c>
      <c r="B11218" s="76" t="s">
        <v>10510</v>
      </c>
    </row>
    <row r="11219" spans="1:2" x14ac:dyDescent="0.25">
      <c r="A11219" s="75">
        <v>45121806</v>
      </c>
      <c r="B11219" s="76" t="s">
        <v>14638</v>
      </c>
    </row>
    <row r="11220" spans="1:2" x14ac:dyDescent="0.25">
      <c r="A11220" s="75">
        <v>45121807</v>
      </c>
      <c r="B11220" s="76" t="s">
        <v>8586</v>
      </c>
    </row>
    <row r="11221" spans="1:2" x14ac:dyDescent="0.25">
      <c r="A11221" s="75">
        <v>45121808</v>
      </c>
      <c r="B11221" s="76" t="s">
        <v>11868</v>
      </c>
    </row>
    <row r="11222" spans="1:2" x14ac:dyDescent="0.25">
      <c r="A11222" s="75">
        <v>45121809</v>
      </c>
      <c r="B11222" s="76" t="s">
        <v>12101</v>
      </c>
    </row>
    <row r="11223" spans="1:2" x14ac:dyDescent="0.25">
      <c r="A11223" s="75">
        <v>45121810</v>
      </c>
      <c r="B11223" s="76" t="s">
        <v>11240</v>
      </c>
    </row>
    <row r="11224" spans="1:2" x14ac:dyDescent="0.25">
      <c r="A11224" s="75">
        <v>45131501</v>
      </c>
      <c r="B11224" s="76" t="s">
        <v>14564</v>
      </c>
    </row>
    <row r="11225" spans="1:2" x14ac:dyDescent="0.25">
      <c r="A11225" s="75">
        <v>45131502</v>
      </c>
      <c r="B11225" s="76" t="s">
        <v>1150</v>
      </c>
    </row>
    <row r="11226" spans="1:2" x14ac:dyDescent="0.25">
      <c r="A11226" s="75">
        <v>45131503</v>
      </c>
      <c r="B11226" s="76" t="s">
        <v>721</v>
      </c>
    </row>
    <row r="11227" spans="1:2" x14ac:dyDescent="0.25">
      <c r="A11227" s="75">
        <v>45131505</v>
      </c>
      <c r="B11227" s="76" t="s">
        <v>17347</v>
      </c>
    </row>
    <row r="11228" spans="1:2" x14ac:dyDescent="0.25">
      <c r="A11228" s="75">
        <v>45131601</v>
      </c>
      <c r="B11228" s="76" t="s">
        <v>11054</v>
      </c>
    </row>
    <row r="11229" spans="1:2" x14ac:dyDescent="0.25">
      <c r="A11229" s="75">
        <v>45131604</v>
      </c>
      <c r="B11229" s="76" t="s">
        <v>1296</v>
      </c>
    </row>
    <row r="11230" spans="1:2" x14ac:dyDescent="0.25">
      <c r="A11230" s="75">
        <v>45131701</v>
      </c>
      <c r="B11230" s="76" t="s">
        <v>14166</v>
      </c>
    </row>
    <row r="11231" spans="1:2" x14ac:dyDescent="0.25">
      <c r="A11231" s="75">
        <v>45141501</v>
      </c>
      <c r="B11231" s="76" t="s">
        <v>4924</v>
      </c>
    </row>
    <row r="11232" spans="1:2" x14ac:dyDescent="0.25">
      <c r="A11232" s="75">
        <v>45141502</v>
      </c>
      <c r="B11232" s="76" t="s">
        <v>16358</v>
      </c>
    </row>
    <row r="11233" spans="1:2" x14ac:dyDescent="0.25">
      <c r="A11233" s="75">
        <v>45141601</v>
      </c>
      <c r="B11233" s="76" t="s">
        <v>7010</v>
      </c>
    </row>
    <row r="11234" spans="1:2" x14ac:dyDescent="0.25">
      <c r="A11234" s="75">
        <v>45141602</v>
      </c>
      <c r="B11234" s="76" t="s">
        <v>15215</v>
      </c>
    </row>
    <row r="11235" spans="1:2" x14ac:dyDescent="0.25">
      <c r="A11235" s="75">
        <v>45141603</v>
      </c>
      <c r="B11235" s="76" t="s">
        <v>13075</v>
      </c>
    </row>
    <row r="11236" spans="1:2" x14ac:dyDescent="0.25">
      <c r="A11236" s="75">
        <v>46101501</v>
      </c>
      <c r="B11236" s="76" t="s">
        <v>16464</v>
      </c>
    </row>
    <row r="11237" spans="1:2" x14ac:dyDescent="0.25">
      <c r="A11237" s="75">
        <v>46101502</v>
      </c>
      <c r="B11237" s="76" t="s">
        <v>16997</v>
      </c>
    </row>
    <row r="11238" spans="1:2" x14ac:dyDescent="0.25">
      <c r="A11238" s="75">
        <v>46101503</v>
      </c>
      <c r="B11238" s="76" t="s">
        <v>16593</v>
      </c>
    </row>
    <row r="11239" spans="1:2" x14ac:dyDescent="0.25">
      <c r="A11239" s="75">
        <v>46101504</v>
      </c>
      <c r="B11239" s="76" t="s">
        <v>7050</v>
      </c>
    </row>
    <row r="11240" spans="1:2" x14ac:dyDescent="0.25">
      <c r="A11240" s="75">
        <v>46101505</v>
      </c>
      <c r="B11240" s="76" t="s">
        <v>6275</v>
      </c>
    </row>
    <row r="11241" spans="1:2" x14ac:dyDescent="0.25">
      <c r="A11241" s="75">
        <v>46101506</v>
      </c>
      <c r="B11241" s="76" t="s">
        <v>7895</v>
      </c>
    </row>
    <row r="11242" spans="1:2" x14ac:dyDescent="0.25">
      <c r="A11242" s="75">
        <v>46101601</v>
      </c>
      <c r="B11242" s="76" t="s">
        <v>9941</v>
      </c>
    </row>
    <row r="11243" spans="1:2" x14ac:dyDescent="0.25">
      <c r="A11243" s="75">
        <v>46101701</v>
      </c>
      <c r="B11243" s="76" t="s">
        <v>13907</v>
      </c>
    </row>
    <row r="11244" spans="1:2" x14ac:dyDescent="0.25">
      <c r="A11244" s="75">
        <v>46101702</v>
      </c>
      <c r="B11244" s="76" t="s">
        <v>17484</v>
      </c>
    </row>
    <row r="11245" spans="1:2" x14ac:dyDescent="0.25">
      <c r="A11245" s="75">
        <v>46101801</v>
      </c>
      <c r="B11245" s="76" t="s">
        <v>11094</v>
      </c>
    </row>
    <row r="11246" spans="1:2" x14ac:dyDescent="0.25">
      <c r="A11246" s="75">
        <v>46111501</v>
      </c>
      <c r="B11246" s="76" t="s">
        <v>11615</v>
      </c>
    </row>
    <row r="11247" spans="1:2" x14ac:dyDescent="0.25">
      <c r="A11247" s="75">
        <v>46111502</v>
      </c>
      <c r="B11247" s="76" t="s">
        <v>4750</v>
      </c>
    </row>
    <row r="11248" spans="1:2" x14ac:dyDescent="0.25">
      <c r="A11248" s="75">
        <v>46111503</v>
      </c>
      <c r="B11248" s="76" t="s">
        <v>11614</v>
      </c>
    </row>
    <row r="11249" spans="1:2" x14ac:dyDescent="0.25">
      <c r="A11249" s="75">
        <v>46111601</v>
      </c>
      <c r="B11249" s="76" t="s">
        <v>140</v>
      </c>
    </row>
    <row r="11250" spans="1:2" x14ac:dyDescent="0.25">
      <c r="A11250" s="75">
        <v>46111602</v>
      </c>
      <c r="B11250" s="76" t="s">
        <v>11373</v>
      </c>
    </row>
    <row r="11251" spans="1:2" x14ac:dyDescent="0.25">
      <c r="A11251" s="75">
        <v>46111701</v>
      </c>
      <c r="B11251" s="76" t="s">
        <v>13761</v>
      </c>
    </row>
    <row r="11252" spans="1:2" x14ac:dyDescent="0.25">
      <c r="A11252" s="75">
        <v>46111702</v>
      </c>
      <c r="B11252" s="76" t="s">
        <v>14408</v>
      </c>
    </row>
    <row r="11253" spans="1:2" x14ac:dyDescent="0.25">
      <c r="A11253" s="75">
        <v>46111801</v>
      </c>
      <c r="B11253" s="76" t="s">
        <v>12590</v>
      </c>
    </row>
    <row r="11254" spans="1:2" x14ac:dyDescent="0.25">
      <c r="A11254" s="75">
        <v>46121501</v>
      </c>
      <c r="B11254" s="76" t="s">
        <v>18444</v>
      </c>
    </row>
    <row r="11255" spans="1:2" x14ac:dyDescent="0.25">
      <c r="A11255" s="75">
        <v>46121502</v>
      </c>
      <c r="B11255" s="76" t="s">
        <v>5047</v>
      </c>
    </row>
    <row r="11256" spans="1:2" x14ac:dyDescent="0.25">
      <c r="A11256" s="75">
        <v>46121503</v>
      </c>
      <c r="B11256" s="76" t="s">
        <v>11976</v>
      </c>
    </row>
    <row r="11257" spans="1:2" x14ac:dyDescent="0.25">
      <c r="A11257" s="75">
        <v>46121504</v>
      </c>
      <c r="B11257" s="76" t="s">
        <v>9562</v>
      </c>
    </row>
    <row r="11258" spans="1:2" x14ac:dyDescent="0.25">
      <c r="A11258" s="75">
        <v>46121505</v>
      </c>
      <c r="B11258" s="76" t="s">
        <v>6975</v>
      </c>
    </row>
    <row r="11259" spans="1:2" x14ac:dyDescent="0.25">
      <c r="A11259" s="75">
        <v>46121506</v>
      </c>
      <c r="B11259" s="76" t="s">
        <v>18852</v>
      </c>
    </row>
    <row r="11260" spans="1:2" x14ac:dyDescent="0.25">
      <c r="A11260" s="75">
        <v>46121507</v>
      </c>
      <c r="B11260" s="76" t="s">
        <v>12892</v>
      </c>
    </row>
    <row r="11261" spans="1:2" x14ac:dyDescent="0.25">
      <c r="A11261" s="75">
        <v>46121508</v>
      </c>
      <c r="B11261" s="76" t="s">
        <v>9233</v>
      </c>
    </row>
    <row r="11262" spans="1:2" x14ac:dyDescent="0.25">
      <c r="A11262" s="75">
        <v>46121509</v>
      </c>
      <c r="B11262" s="76" t="s">
        <v>7258</v>
      </c>
    </row>
    <row r="11263" spans="1:2" x14ac:dyDescent="0.25">
      <c r="A11263" s="75">
        <v>46121510</v>
      </c>
      <c r="B11263" s="76" t="s">
        <v>5432</v>
      </c>
    </row>
    <row r="11264" spans="1:2" x14ac:dyDescent="0.25">
      <c r="A11264" s="75">
        <v>46121511</v>
      </c>
      <c r="B11264" s="76" t="s">
        <v>6498</v>
      </c>
    </row>
    <row r="11265" spans="1:2" x14ac:dyDescent="0.25">
      <c r="A11265" s="75">
        <v>46121512</v>
      </c>
      <c r="B11265" s="76" t="s">
        <v>5042</v>
      </c>
    </row>
    <row r="11266" spans="1:2" x14ac:dyDescent="0.25">
      <c r="A11266" s="75">
        <v>46121601</v>
      </c>
      <c r="B11266" s="76" t="s">
        <v>6012</v>
      </c>
    </row>
    <row r="11267" spans="1:2" x14ac:dyDescent="0.25">
      <c r="A11267" s="75">
        <v>46121602</v>
      </c>
      <c r="B11267" s="76" t="s">
        <v>6732</v>
      </c>
    </row>
    <row r="11268" spans="1:2" x14ac:dyDescent="0.25">
      <c r="A11268" s="75">
        <v>46121603</v>
      </c>
      <c r="B11268" s="76" t="s">
        <v>2853</v>
      </c>
    </row>
    <row r="11269" spans="1:2" x14ac:dyDescent="0.25">
      <c r="A11269" s="75">
        <v>46121604</v>
      </c>
      <c r="B11269" s="76" t="s">
        <v>12298</v>
      </c>
    </row>
    <row r="11270" spans="1:2" x14ac:dyDescent="0.25">
      <c r="A11270" s="75">
        <v>46121605</v>
      </c>
      <c r="B11270" s="76" t="s">
        <v>10678</v>
      </c>
    </row>
    <row r="11271" spans="1:2" x14ac:dyDescent="0.25">
      <c r="A11271" s="75">
        <v>46131501</v>
      </c>
      <c r="B11271" s="76" t="s">
        <v>12285</v>
      </c>
    </row>
    <row r="11272" spans="1:2" x14ac:dyDescent="0.25">
      <c r="A11272" s="75">
        <v>46131502</v>
      </c>
      <c r="B11272" s="76" t="s">
        <v>7770</v>
      </c>
    </row>
    <row r="11273" spans="1:2" x14ac:dyDescent="0.25">
      <c r="A11273" s="75">
        <v>46131503</v>
      </c>
      <c r="B11273" s="76" t="s">
        <v>8587</v>
      </c>
    </row>
    <row r="11274" spans="1:2" x14ac:dyDescent="0.25">
      <c r="A11274" s="75">
        <v>46131504</v>
      </c>
      <c r="B11274" s="76" t="s">
        <v>9038</v>
      </c>
    </row>
    <row r="11275" spans="1:2" x14ac:dyDescent="0.25">
      <c r="A11275" s="75">
        <v>46131505</v>
      </c>
      <c r="B11275" s="76" t="s">
        <v>16522</v>
      </c>
    </row>
    <row r="11276" spans="1:2" x14ac:dyDescent="0.25">
      <c r="A11276" s="75">
        <v>46131601</v>
      </c>
      <c r="B11276" s="76" t="s">
        <v>20050</v>
      </c>
    </row>
    <row r="11277" spans="1:2" x14ac:dyDescent="0.25">
      <c r="A11277" s="75">
        <v>46131602</v>
      </c>
      <c r="B11277" s="76" t="s">
        <v>16046</v>
      </c>
    </row>
    <row r="11278" spans="1:2" x14ac:dyDescent="0.25">
      <c r="A11278" s="75">
        <v>46131603</v>
      </c>
      <c r="B11278" s="76" t="s">
        <v>11792</v>
      </c>
    </row>
    <row r="11279" spans="1:2" x14ac:dyDescent="0.25">
      <c r="A11279" s="75">
        <v>46131604</v>
      </c>
      <c r="B11279" s="76" t="s">
        <v>12589</v>
      </c>
    </row>
    <row r="11280" spans="1:2" x14ac:dyDescent="0.25">
      <c r="A11280" s="75">
        <v>46141501</v>
      </c>
      <c r="B11280" s="76" t="s">
        <v>16075</v>
      </c>
    </row>
    <row r="11281" spans="1:2" x14ac:dyDescent="0.25">
      <c r="A11281" s="75">
        <v>46141502</v>
      </c>
      <c r="B11281" s="76" t="s">
        <v>13796</v>
      </c>
    </row>
    <row r="11282" spans="1:2" x14ac:dyDescent="0.25">
      <c r="A11282" s="75">
        <v>46151501</v>
      </c>
      <c r="B11282" s="76" t="s">
        <v>8651</v>
      </c>
    </row>
    <row r="11283" spans="1:2" x14ac:dyDescent="0.25">
      <c r="A11283" s="75">
        <v>46151502</v>
      </c>
      <c r="B11283" s="76" t="s">
        <v>3174</v>
      </c>
    </row>
    <row r="11284" spans="1:2" x14ac:dyDescent="0.25">
      <c r="A11284" s="75">
        <v>46151503</v>
      </c>
      <c r="B11284" s="76" t="s">
        <v>11912</v>
      </c>
    </row>
    <row r="11285" spans="1:2" x14ac:dyDescent="0.25">
      <c r="A11285" s="75">
        <v>46151504</v>
      </c>
      <c r="B11285" s="76" t="s">
        <v>8246</v>
      </c>
    </row>
    <row r="11286" spans="1:2" x14ac:dyDescent="0.25">
      <c r="A11286" s="75">
        <v>46151505</v>
      </c>
      <c r="B11286" s="76" t="s">
        <v>17207</v>
      </c>
    </row>
    <row r="11287" spans="1:2" x14ac:dyDescent="0.25">
      <c r="A11287" s="75">
        <v>46151506</v>
      </c>
      <c r="B11287" s="76" t="s">
        <v>14515</v>
      </c>
    </row>
    <row r="11288" spans="1:2" x14ac:dyDescent="0.25">
      <c r="A11288" s="75">
        <v>46151507</v>
      </c>
      <c r="B11288" s="76" t="s">
        <v>8872</v>
      </c>
    </row>
    <row r="11289" spans="1:2" x14ac:dyDescent="0.25">
      <c r="A11289" s="75">
        <v>46151601</v>
      </c>
      <c r="B11289" s="76" t="s">
        <v>5527</v>
      </c>
    </row>
    <row r="11290" spans="1:2" x14ac:dyDescent="0.25">
      <c r="A11290" s="75">
        <v>46151602</v>
      </c>
      <c r="B11290" s="76" t="s">
        <v>14271</v>
      </c>
    </row>
    <row r="11291" spans="1:2" x14ac:dyDescent="0.25">
      <c r="A11291" s="75">
        <v>46151604</v>
      </c>
      <c r="B11291" s="76" t="s">
        <v>2330</v>
      </c>
    </row>
    <row r="11292" spans="1:2" x14ac:dyDescent="0.25">
      <c r="A11292" s="75">
        <v>46151605</v>
      </c>
      <c r="B11292" s="76" t="s">
        <v>6954</v>
      </c>
    </row>
    <row r="11293" spans="1:2" x14ac:dyDescent="0.25">
      <c r="A11293" s="75">
        <v>46151606</v>
      </c>
      <c r="B11293" s="76" t="s">
        <v>9406</v>
      </c>
    </row>
    <row r="11294" spans="1:2" x14ac:dyDescent="0.25">
      <c r="A11294" s="75">
        <v>46151607</v>
      </c>
      <c r="B11294" s="76" t="s">
        <v>11824</v>
      </c>
    </row>
    <row r="11295" spans="1:2" x14ac:dyDescent="0.25">
      <c r="A11295" s="75">
        <v>46151702</v>
      </c>
      <c r="B11295" s="76" t="s">
        <v>12240</v>
      </c>
    </row>
    <row r="11296" spans="1:2" x14ac:dyDescent="0.25">
      <c r="A11296" s="75">
        <v>46151703</v>
      </c>
      <c r="B11296" s="76" t="s">
        <v>13336</v>
      </c>
    </row>
    <row r="11297" spans="1:2" x14ac:dyDescent="0.25">
      <c r="A11297" s="75">
        <v>46151704</v>
      </c>
      <c r="B11297" s="76" t="s">
        <v>13212</v>
      </c>
    </row>
    <row r="11298" spans="1:2" x14ac:dyDescent="0.25">
      <c r="A11298" s="75">
        <v>46151705</v>
      </c>
      <c r="B11298" s="76" t="s">
        <v>862</v>
      </c>
    </row>
    <row r="11299" spans="1:2" x14ac:dyDescent="0.25">
      <c r="A11299" s="75">
        <v>46151706</v>
      </c>
      <c r="B11299" s="76" t="s">
        <v>11067</v>
      </c>
    </row>
    <row r="11300" spans="1:2" x14ac:dyDescent="0.25">
      <c r="A11300" s="75">
        <v>46151707</v>
      </c>
      <c r="B11300" s="76" t="s">
        <v>3791</v>
      </c>
    </row>
    <row r="11301" spans="1:2" x14ac:dyDescent="0.25">
      <c r="A11301" s="75">
        <v>46151708</v>
      </c>
      <c r="B11301" s="76" t="s">
        <v>14932</v>
      </c>
    </row>
    <row r="11302" spans="1:2" x14ac:dyDescent="0.25">
      <c r="A11302" s="75">
        <v>46151709</v>
      </c>
      <c r="B11302" s="76" t="s">
        <v>14382</v>
      </c>
    </row>
    <row r="11303" spans="1:2" x14ac:dyDescent="0.25">
      <c r="A11303" s="75">
        <v>46151710</v>
      </c>
      <c r="B11303" s="76" t="s">
        <v>16663</v>
      </c>
    </row>
    <row r="11304" spans="1:2" x14ac:dyDescent="0.25">
      <c r="A11304" s="75">
        <v>46151711</v>
      </c>
      <c r="B11304" s="76" t="s">
        <v>9012</v>
      </c>
    </row>
    <row r="11305" spans="1:2" x14ac:dyDescent="0.25">
      <c r="A11305" s="75">
        <v>46151712</v>
      </c>
      <c r="B11305" s="76" t="s">
        <v>16897</v>
      </c>
    </row>
    <row r="11306" spans="1:2" x14ac:dyDescent="0.25">
      <c r="A11306" s="75">
        <v>46151713</v>
      </c>
      <c r="B11306" s="76" t="s">
        <v>2048</v>
      </c>
    </row>
    <row r="11307" spans="1:2" x14ac:dyDescent="0.25">
      <c r="A11307" s="75">
        <v>46151714</v>
      </c>
      <c r="B11307" s="76" t="s">
        <v>15037</v>
      </c>
    </row>
    <row r="11308" spans="1:2" x14ac:dyDescent="0.25">
      <c r="A11308" s="75">
        <v>46151715</v>
      </c>
      <c r="B11308" s="76" t="s">
        <v>11768</v>
      </c>
    </row>
    <row r="11309" spans="1:2" x14ac:dyDescent="0.25">
      <c r="A11309" s="75">
        <v>46161501</v>
      </c>
      <c r="B11309" s="76" t="s">
        <v>4275</v>
      </c>
    </row>
    <row r="11310" spans="1:2" x14ac:dyDescent="0.25">
      <c r="A11310" s="75">
        <v>46161502</v>
      </c>
      <c r="B11310" s="76" t="s">
        <v>9565</v>
      </c>
    </row>
    <row r="11311" spans="1:2" x14ac:dyDescent="0.25">
      <c r="A11311" s="75">
        <v>46161503</v>
      </c>
      <c r="B11311" s="76" t="s">
        <v>12660</v>
      </c>
    </row>
    <row r="11312" spans="1:2" x14ac:dyDescent="0.25">
      <c r="A11312" s="75">
        <v>46161504</v>
      </c>
      <c r="B11312" s="76" t="s">
        <v>14619</v>
      </c>
    </row>
    <row r="11313" spans="1:2" x14ac:dyDescent="0.25">
      <c r="A11313" s="75">
        <v>46161505</v>
      </c>
      <c r="B11313" s="76" t="s">
        <v>2631</v>
      </c>
    </row>
    <row r="11314" spans="1:2" x14ac:dyDescent="0.25">
      <c r="A11314" s="75">
        <v>46161506</v>
      </c>
      <c r="B11314" s="76" t="s">
        <v>1619</v>
      </c>
    </row>
    <row r="11315" spans="1:2" x14ac:dyDescent="0.25">
      <c r="A11315" s="75">
        <v>46161507</v>
      </c>
      <c r="B11315" s="76" t="s">
        <v>16760</v>
      </c>
    </row>
    <row r="11316" spans="1:2" x14ac:dyDescent="0.25">
      <c r="A11316" s="75">
        <v>46161508</v>
      </c>
      <c r="B11316" s="76" t="s">
        <v>7814</v>
      </c>
    </row>
    <row r="11317" spans="1:2" x14ac:dyDescent="0.25">
      <c r="A11317" s="75">
        <v>46161509</v>
      </c>
      <c r="B11317" s="76" t="s">
        <v>19741</v>
      </c>
    </row>
    <row r="11318" spans="1:2" x14ac:dyDescent="0.25">
      <c r="A11318" s="75">
        <v>46161510</v>
      </c>
      <c r="B11318" s="76" t="s">
        <v>10226</v>
      </c>
    </row>
    <row r="11319" spans="1:2" x14ac:dyDescent="0.25">
      <c r="A11319" s="75">
        <v>46161601</v>
      </c>
      <c r="B11319" s="76" t="s">
        <v>6421</v>
      </c>
    </row>
    <row r="11320" spans="1:2" x14ac:dyDescent="0.25">
      <c r="A11320" s="75">
        <v>46161602</v>
      </c>
      <c r="B11320" s="76" t="s">
        <v>4917</v>
      </c>
    </row>
    <row r="11321" spans="1:2" x14ac:dyDescent="0.25">
      <c r="A11321" s="75">
        <v>46161603</v>
      </c>
      <c r="B11321" s="76" t="s">
        <v>8688</v>
      </c>
    </row>
    <row r="11322" spans="1:2" x14ac:dyDescent="0.25">
      <c r="A11322" s="75">
        <v>46161604</v>
      </c>
      <c r="B11322" s="76" t="s">
        <v>6931</v>
      </c>
    </row>
    <row r="11323" spans="1:2" x14ac:dyDescent="0.25">
      <c r="A11323" s="75">
        <v>46171501</v>
      </c>
      <c r="B11323" s="76" t="s">
        <v>879</v>
      </c>
    </row>
    <row r="11324" spans="1:2" x14ac:dyDescent="0.25">
      <c r="A11324" s="75">
        <v>46171502</v>
      </c>
      <c r="B11324" s="76" t="s">
        <v>18085</v>
      </c>
    </row>
    <row r="11325" spans="1:2" x14ac:dyDescent="0.25">
      <c r="A11325" s="75">
        <v>46171503</v>
      </c>
      <c r="B11325" s="76" t="s">
        <v>5623</v>
      </c>
    </row>
    <row r="11326" spans="1:2" x14ac:dyDescent="0.25">
      <c r="A11326" s="75">
        <v>46171504</v>
      </c>
      <c r="B11326" s="76" t="s">
        <v>16571</v>
      </c>
    </row>
    <row r="11327" spans="1:2" x14ac:dyDescent="0.25">
      <c r="A11327" s="75">
        <v>46171505</v>
      </c>
      <c r="B11327" s="76" t="s">
        <v>10546</v>
      </c>
    </row>
    <row r="11328" spans="1:2" x14ac:dyDescent="0.25">
      <c r="A11328" s="75">
        <v>46171506</v>
      </c>
      <c r="B11328" s="76" t="s">
        <v>6711</v>
      </c>
    </row>
    <row r="11329" spans="1:2" x14ac:dyDescent="0.25">
      <c r="A11329" s="75">
        <v>46171507</v>
      </c>
      <c r="B11329" s="76" t="s">
        <v>5542</v>
      </c>
    </row>
    <row r="11330" spans="1:2" x14ac:dyDescent="0.25">
      <c r="A11330" s="75">
        <v>46171508</v>
      </c>
      <c r="B11330" s="76" t="s">
        <v>4608</v>
      </c>
    </row>
    <row r="11331" spans="1:2" x14ac:dyDescent="0.25">
      <c r="A11331" s="75">
        <v>46171509</v>
      </c>
      <c r="B11331" s="76" t="s">
        <v>18453</v>
      </c>
    </row>
    <row r="11332" spans="1:2" x14ac:dyDescent="0.25">
      <c r="A11332" s="75">
        <v>46171510</v>
      </c>
      <c r="B11332" s="76" t="s">
        <v>8990</v>
      </c>
    </row>
    <row r="11333" spans="1:2" x14ac:dyDescent="0.25">
      <c r="A11333" s="75">
        <v>46171511</v>
      </c>
      <c r="B11333" s="76" t="s">
        <v>8675</v>
      </c>
    </row>
    <row r="11334" spans="1:2" x14ac:dyDescent="0.25">
      <c r="A11334" s="75">
        <v>46171512</v>
      </c>
      <c r="B11334" s="76" t="s">
        <v>6338</v>
      </c>
    </row>
    <row r="11335" spans="1:2" x14ac:dyDescent="0.25">
      <c r="A11335" s="75">
        <v>46171513</v>
      </c>
      <c r="B11335" s="76" t="s">
        <v>1678</v>
      </c>
    </row>
    <row r="11336" spans="1:2" x14ac:dyDescent="0.25">
      <c r="A11336" s="75">
        <v>46171514</v>
      </c>
      <c r="B11336" s="76" t="s">
        <v>6049</v>
      </c>
    </row>
    <row r="11337" spans="1:2" x14ac:dyDescent="0.25">
      <c r="A11337" s="75">
        <v>46171515</v>
      </c>
      <c r="B11337" s="76" t="s">
        <v>3986</v>
      </c>
    </row>
    <row r="11338" spans="1:2" x14ac:dyDescent="0.25">
      <c r="A11338" s="75">
        <v>46171516</v>
      </c>
      <c r="B11338" s="76" t="s">
        <v>16621</v>
      </c>
    </row>
    <row r="11339" spans="1:2" x14ac:dyDescent="0.25">
      <c r="A11339" s="75">
        <v>46171517</v>
      </c>
      <c r="B11339" s="76" t="s">
        <v>9007</v>
      </c>
    </row>
    <row r="11340" spans="1:2" x14ac:dyDescent="0.25">
      <c r="A11340" s="75">
        <v>46171602</v>
      </c>
      <c r="B11340" s="76" t="s">
        <v>19929</v>
      </c>
    </row>
    <row r="11341" spans="1:2" x14ac:dyDescent="0.25">
      <c r="A11341" s="75">
        <v>46171603</v>
      </c>
      <c r="B11341" s="76" t="s">
        <v>12219</v>
      </c>
    </row>
    <row r="11342" spans="1:2" x14ac:dyDescent="0.25">
      <c r="A11342" s="75">
        <v>46171604</v>
      </c>
      <c r="B11342" s="76" t="s">
        <v>1609</v>
      </c>
    </row>
    <row r="11343" spans="1:2" x14ac:dyDescent="0.25">
      <c r="A11343" s="75">
        <v>46171605</v>
      </c>
      <c r="B11343" s="76" t="s">
        <v>6277</v>
      </c>
    </row>
    <row r="11344" spans="1:2" x14ac:dyDescent="0.25">
      <c r="A11344" s="75">
        <v>46171606</v>
      </c>
      <c r="B11344" s="76" t="s">
        <v>4795</v>
      </c>
    </row>
    <row r="11345" spans="1:2" x14ac:dyDescent="0.25">
      <c r="A11345" s="75">
        <v>46171607</v>
      </c>
      <c r="B11345" s="76" t="s">
        <v>15996</v>
      </c>
    </row>
    <row r="11346" spans="1:2" x14ac:dyDescent="0.25">
      <c r="A11346" s="75">
        <v>46171608</v>
      </c>
      <c r="B11346" s="76" t="s">
        <v>12252</v>
      </c>
    </row>
    <row r="11347" spans="1:2" x14ac:dyDescent="0.25">
      <c r="A11347" s="75">
        <v>46171609</v>
      </c>
      <c r="B11347" s="76" t="s">
        <v>4093</v>
      </c>
    </row>
    <row r="11348" spans="1:2" x14ac:dyDescent="0.25">
      <c r="A11348" s="75">
        <v>46171610</v>
      </c>
      <c r="B11348" s="76" t="s">
        <v>11475</v>
      </c>
    </row>
    <row r="11349" spans="1:2" x14ac:dyDescent="0.25">
      <c r="A11349" s="75">
        <v>46171611</v>
      </c>
      <c r="B11349" s="76" t="s">
        <v>16938</v>
      </c>
    </row>
    <row r="11350" spans="1:2" x14ac:dyDescent="0.25">
      <c r="A11350" s="75">
        <v>46171612</v>
      </c>
      <c r="B11350" s="76" t="s">
        <v>7147</v>
      </c>
    </row>
    <row r="11351" spans="1:2" x14ac:dyDescent="0.25">
      <c r="A11351" s="75">
        <v>46171613</v>
      </c>
      <c r="B11351" s="76" t="s">
        <v>7206</v>
      </c>
    </row>
    <row r="11352" spans="1:2" x14ac:dyDescent="0.25">
      <c r="A11352" s="75">
        <v>46171615</v>
      </c>
      <c r="B11352" s="76" t="s">
        <v>18865</v>
      </c>
    </row>
    <row r="11353" spans="1:2" x14ac:dyDescent="0.25">
      <c r="A11353" s="75">
        <v>46171616</v>
      </c>
      <c r="B11353" s="76" t="s">
        <v>13244</v>
      </c>
    </row>
    <row r="11354" spans="1:2" x14ac:dyDescent="0.25">
      <c r="A11354" s="75">
        <v>46171617</v>
      </c>
      <c r="B11354" s="76" t="s">
        <v>2395</v>
      </c>
    </row>
    <row r="11355" spans="1:2" x14ac:dyDescent="0.25">
      <c r="A11355" s="75">
        <v>46171618</v>
      </c>
      <c r="B11355" s="76" t="s">
        <v>4347</v>
      </c>
    </row>
    <row r="11356" spans="1:2" x14ac:dyDescent="0.25">
      <c r="A11356" s="75">
        <v>46171619</v>
      </c>
      <c r="B11356" s="76" t="s">
        <v>18623</v>
      </c>
    </row>
    <row r="11357" spans="1:2" x14ac:dyDescent="0.25">
      <c r="A11357" s="75">
        <v>46171620</v>
      </c>
      <c r="B11357" s="76" t="s">
        <v>17598</v>
      </c>
    </row>
    <row r="11358" spans="1:2" x14ac:dyDescent="0.25">
      <c r="A11358" s="75">
        <v>46171621</v>
      </c>
      <c r="B11358" s="76" t="s">
        <v>10404</v>
      </c>
    </row>
    <row r="11359" spans="1:2" x14ac:dyDescent="0.25">
      <c r="A11359" s="75">
        <v>46181501</v>
      </c>
      <c r="B11359" s="76" t="s">
        <v>12371</v>
      </c>
    </row>
    <row r="11360" spans="1:2" x14ac:dyDescent="0.25">
      <c r="A11360" s="75">
        <v>46181502</v>
      </c>
      <c r="B11360" s="76" t="s">
        <v>12618</v>
      </c>
    </row>
    <row r="11361" spans="1:2" x14ac:dyDescent="0.25">
      <c r="A11361" s="75">
        <v>46181503</v>
      </c>
      <c r="B11361" s="76" t="s">
        <v>3276</v>
      </c>
    </row>
    <row r="11362" spans="1:2" x14ac:dyDescent="0.25">
      <c r="A11362" s="75">
        <v>46181504</v>
      </c>
      <c r="B11362" s="76" t="s">
        <v>19862</v>
      </c>
    </row>
    <row r="11363" spans="1:2" x14ac:dyDescent="0.25">
      <c r="A11363" s="75">
        <v>46181505</v>
      </c>
      <c r="B11363" s="76" t="s">
        <v>11060</v>
      </c>
    </row>
    <row r="11364" spans="1:2" x14ac:dyDescent="0.25">
      <c r="A11364" s="75">
        <v>46181506</v>
      </c>
      <c r="B11364" s="76" t="s">
        <v>13294</v>
      </c>
    </row>
    <row r="11365" spans="1:2" x14ac:dyDescent="0.25">
      <c r="A11365" s="75">
        <v>46181507</v>
      </c>
      <c r="B11365" s="76" t="s">
        <v>8070</v>
      </c>
    </row>
    <row r="11366" spans="1:2" x14ac:dyDescent="0.25">
      <c r="A11366" s="75">
        <v>46181508</v>
      </c>
      <c r="B11366" s="76" t="s">
        <v>2121</v>
      </c>
    </row>
    <row r="11367" spans="1:2" x14ac:dyDescent="0.25">
      <c r="A11367" s="75">
        <v>46181509</v>
      </c>
      <c r="B11367" s="76" t="s">
        <v>5405</v>
      </c>
    </row>
    <row r="11368" spans="1:2" x14ac:dyDescent="0.25">
      <c r="A11368" s="75">
        <v>46181512</v>
      </c>
      <c r="B11368" s="76" t="s">
        <v>2106</v>
      </c>
    </row>
    <row r="11369" spans="1:2" x14ac:dyDescent="0.25">
      <c r="A11369" s="75">
        <v>46181514</v>
      </c>
      <c r="B11369" s="76" t="s">
        <v>14558</v>
      </c>
    </row>
    <row r="11370" spans="1:2" x14ac:dyDescent="0.25">
      <c r="A11370" s="75">
        <v>46181516</v>
      </c>
      <c r="B11370" s="76" t="s">
        <v>3959</v>
      </c>
    </row>
    <row r="11371" spans="1:2" x14ac:dyDescent="0.25">
      <c r="A11371" s="75">
        <v>46181517</v>
      </c>
      <c r="B11371" s="76" t="s">
        <v>1225</v>
      </c>
    </row>
    <row r="11372" spans="1:2" x14ac:dyDescent="0.25">
      <c r="A11372" s="75">
        <v>46181518</v>
      </c>
      <c r="B11372" s="76" t="s">
        <v>12173</v>
      </c>
    </row>
    <row r="11373" spans="1:2" x14ac:dyDescent="0.25">
      <c r="A11373" s="75">
        <v>46181520</v>
      </c>
      <c r="B11373" s="76" t="s">
        <v>3336</v>
      </c>
    </row>
    <row r="11374" spans="1:2" x14ac:dyDescent="0.25">
      <c r="A11374" s="75">
        <v>46181522</v>
      </c>
      <c r="B11374" s="76" t="s">
        <v>513</v>
      </c>
    </row>
    <row r="11375" spans="1:2" x14ac:dyDescent="0.25">
      <c r="A11375" s="75">
        <v>46181525</v>
      </c>
      <c r="B11375" s="76" t="s">
        <v>7901</v>
      </c>
    </row>
    <row r="11376" spans="1:2" x14ac:dyDescent="0.25">
      <c r="A11376" s="75">
        <v>46181526</v>
      </c>
      <c r="B11376" s="76" t="s">
        <v>10284</v>
      </c>
    </row>
    <row r="11377" spans="1:2" x14ac:dyDescent="0.25">
      <c r="A11377" s="75">
        <v>46181527</v>
      </c>
      <c r="B11377" s="76" t="s">
        <v>17243</v>
      </c>
    </row>
    <row r="11378" spans="1:2" x14ac:dyDescent="0.25">
      <c r="A11378" s="75">
        <v>46181528</v>
      </c>
      <c r="B11378" s="76" t="s">
        <v>7540</v>
      </c>
    </row>
    <row r="11379" spans="1:2" x14ac:dyDescent="0.25">
      <c r="A11379" s="75">
        <v>46181529</v>
      </c>
      <c r="B11379" s="76" t="s">
        <v>2264</v>
      </c>
    </row>
    <row r="11380" spans="1:2" x14ac:dyDescent="0.25">
      <c r="A11380" s="75">
        <v>46181530</v>
      </c>
      <c r="B11380" s="76" t="s">
        <v>17398</v>
      </c>
    </row>
    <row r="11381" spans="1:2" x14ac:dyDescent="0.25">
      <c r="A11381" s="75">
        <v>46181531</v>
      </c>
      <c r="B11381" s="76" t="s">
        <v>6024</v>
      </c>
    </row>
    <row r="11382" spans="1:2" x14ac:dyDescent="0.25">
      <c r="A11382" s="75">
        <v>46181532</v>
      </c>
      <c r="B11382" s="76" t="s">
        <v>7329</v>
      </c>
    </row>
    <row r="11383" spans="1:2" x14ac:dyDescent="0.25">
      <c r="A11383" s="75">
        <v>46181533</v>
      </c>
      <c r="B11383" s="76" t="s">
        <v>15330</v>
      </c>
    </row>
    <row r="11384" spans="1:2" x14ac:dyDescent="0.25">
      <c r="A11384" s="75">
        <v>46181534</v>
      </c>
      <c r="B11384" s="76" t="s">
        <v>1507</v>
      </c>
    </row>
    <row r="11385" spans="1:2" x14ac:dyDescent="0.25">
      <c r="A11385" s="75">
        <v>46181535</v>
      </c>
      <c r="B11385" s="76" t="s">
        <v>15929</v>
      </c>
    </row>
    <row r="11386" spans="1:2" x14ac:dyDescent="0.25">
      <c r="A11386" s="75">
        <v>46181601</v>
      </c>
      <c r="B11386" s="76" t="s">
        <v>1198</v>
      </c>
    </row>
    <row r="11387" spans="1:2" x14ac:dyDescent="0.25">
      <c r="A11387" s="75">
        <v>46181602</v>
      </c>
      <c r="B11387" s="76" t="s">
        <v>12740</v>
      </c>
    </row>
    <row r="11388" spans="1:2" x14ac:dyDescent="0.25">
      <c r="A11388" s="75">
        <v>46181603</v>
      </c>
      <c r="B11388" s="76" t="s">
        <v>2827</v>
      </c>
    </row>
    <row r="11389" spans="1:2" x14ac:dyDescent="0.25">
      <c r="A11389" s="75">
        <v>46181604</v>
      </c>
      <c r="B11389" s="76" t="s">
        <v>2796</v>
      </c>
    </row>
    <row r="11390" spans="1:2" x14ac:dyDescent="0.25">
      <c r="A11390" s="75">
        <v>46181605</v>
      </c>
      <c r="B11390" s="76" t="s">
        <v>6134</v>
      </c>
    </row>
    <row r="11391" spans="1:2" x14ac:dyDescent="0.25">
      <c r="A11391" s="75">
        <v>46181606</v>
      </c>
      <c r="B11391" s="76" t="s">
        <v>12511</v>
      </c>
    </row>
    <row r="11392" spans="1:2" x14ac:dyDescent="0.25">
      <c r="A11392" s="75">
        <v>46181701</v>
      </c>
      <c r="B11392" s="76" t="s">
        <v>1075</v>
      </c>
    </row>
    <row r="11393" spans="1:2" x14ac:dyDescent="0.25">
      <c r="A11393" s="75">
        <v>46181702</v>
      </c>
      <c r="B11393" s="76" t="s">
        <v>12805</v>
      </c>
    </row>
    <row r="11394" spans="1:2" x14ac:dyDescent="0.25">
      <c r="A11394" s="75">
        <v>46181703</v>
      </c>
      <c r="B11394" s="76" t="s">
        <v>18269</v>
      </c>
    </row>
    <row r="11395" spans="1:2" x14ac:dyDescent="0.25">
      <c r="A11395" s="75">
        <v>46181704</v>
      </c>
      <c r="B11395" s="76" t="s">
        <v>6835</v>
      </c>
    </row>
    <row r="11396" spans="1:2" x14ac:dyDescent="0.25">
      <c r="A11396" s="75">
        <v>46181705</v>
      </c>
      <c r="B11396" s="76" t="s">
        <v>16585</v>
      </c>
    </row>
    <row r="11397" spans="1:2" x14ac:dyDescent="0.25">
      <c r="A11397" s="75">
        <v>46181706</v>
      </c>
      <c r="B11397" s="76" t="s">
        <v>10401</v>
      </c>
    </row>
    <row r="11398" spans="1:2" x14ac:dyDescent="0.25">
      <c r="A11398" s="75">
        <v>46181707</v>
      </c>
      <c r="B11398" s="76" t="s">
        <v>17512</v>
      </c>
    </row>
    <row r="11399" spans="1:2" x14ac:dyDescent="0.25">
      <c r="A11399" s="75">
        <v>46181801</v>
      </c>
      <c r="B11399" s="76" t="s">
        <v>13129</v>
      </c>
    </row>
    <row r="11400" spans="1:2" x14ac:dyDescent="0.25">
      <c r="A11400" s="75">
        <v>46181802</v>
      </c>
      <c r="B11400" s="76" t="s">
        <v>19755</v>
      </c>
    </row>
    <row r="11401" spans="1:2" x14ac:dyDescent="0.25">
      <c r="A11401" s="75">
        <v>46181803</v>
      </c>
      <c r="B11401" s="76" t="s">
        <v>8360</v>
      </c>
    </row>
    <row r="11402" spans="1:2" x14ac:dyDescent="0.25">
      <c r="A11402" s="75">
        <v>46181804</v>
      </c>
      <c r="B11402" s="76" t="s">
        <v>3730</v>
      </c>
    </row>
    <row r="11403" spans="1:2" x14ac:dyDescent="0.25">
      <c r="A11403" s="75">
        <v>46181805</v>
      </c>
      <c r="B11403" s="76" t="s">
        <v>14839</v>
      </c>
    </row>
    <row r="11404" spans="1:2" x14ac:dyDescent="0.25">
      <c r="A11404" s="75">
        <v>46181806</v>
      </c>
      <c r="B11404" s="76" t="s">
        <v>13040</v>
      </c>
    </row>
    <row r="11405" spans="1:2" x14ac:dyDescent="0.25">
      <c r="A11405" s="75">
        <v>46181808</v>
      </c>
      <c r="B11405" s="76" t="s">
        <v>13619</v>
      </c>
    </row>
    <row r="11406" spans="1:2" x14ac:dyDescent="0.25">
      <c r="A11406" s="75">
        <v>46181809</v>
      </c>
      <c r="B11406" s="76" t="s">
        <v>6192</v>
      </c>
    </row>
    <row r="11407" spans="1:2" x14ac:dyDescent="0.25">
      <c r="A11407" s="75">
        <v>46181810</v>
      </c>
      <c r="B11407" s="76" t="s">
        <v>15822</v>
      </c>
    </row>
    <row r="11408" spans="1:2" x14ac:dyDescent="0.25">
      <c r="A11408" s="75">
        <v>46181811</v>
      </c>
      <c r="B11408" s="76" t="s">
        <v>10667</v>
      </c>
    </row>
    <row r="11409" spans="1:2" x14ac:dyDescent="0.25">
      <c r="A11409" s="75">
        <v>46181901</v>
      </c>
      <c r="B11409" s="76" t="s">
        <v>7982</v>
      </c>
    </row>
    <row r="11410" spans="1:2" x14ac:dyDescent="0.25">
      <c r="A11410" s="75">
        <v>46181902</v>
      </c>
      <c r="B11410" s="76" t="s">
        <v>12948</v>
      </c>
    </row>
    <row r="11411" spans="1:2" x14ac:dyDescent="0.25">
      <c r="A11411" s="75">
        <v>46181903</v>
      </c>
      <c r="B11411" s="76" t="s">
        <v>10433</v>
      </c>
    </row>
    <row r="11412" spans="1:2" x14ac:dyDescent="0.25">
      <c r="A11412" s="75">
        <v>46182001</v>
      </c>
      <c r="B11412" s="76" t="s">
        <v>3968</v>
      </c>
    </row>
    <row r="11413" spans="1:2" x14ac:dyDescent="0.25">
      <c r="A11413" s="75">
        <v>46182002</v>
      </c>
      <c r="B11413" s="76" t="s">
        <v>20071</v>
      </c>
    </row>
    <row r="11414" spans="1:2" x14ac:dyDescent="0.25">
      <c r="A11414" s="75">
        <v>46182003</v>
      </c>
      <c r="B11414" s="76" t="s">
        <v>17831</v>
      </c>
    </row>
    <row r="11415" spans="1:2" x14ac:dyDescent="0.25">
      <c r="A11415" s="75">
        <v>46182004</v>
      </c>
      <c r="B11415" s="76" t="s">
        <v>5669</v>
      </c>
    </row>
    <row r="11416" spans="1:2" x14ac:dyDescent="0.25">
      <c r="A11416" s="75">
        <v>46182005</v>
      </c>
      <c r="B11416" s="76" t="s">
        <v>3804</v>
      </c>
    </row>
    <row r="11417" spans="1:2" x14ac:dyDescent="0.25">
      <c r="A11417" s="75">
        <v>46182006</v>
      </c>
      <c r="B11417" s="76" t="s">
        <v>3374</v>
      </c>
    </row>
    <row r="11418" spans="1:2" x14ac:dyDescent="0.25">
      <c r="A11418" s="75">
        <v>46182007</v>
      </c>
      <c r="B11418" s="76" t="s">
        <v>10662</v>
      </c>
    </row>
    <row r="11419" spans="1:2" x14ac:dyDescent="0.25">
      <c r="A11419" s="75">
        <v>46182101</v>
      </c>
      <c r="B11419" s="76" t="s">
        <v>4196</v>
      </c>
    </row>
    <row r="11420" spans="1:2" x14ac:dyDescent="0.25">
      <c r="A11420" s="75">
        <v>46182102</v>
      </c>
      <c r="B11420" s="76" t="s">
        <v>3863</v>
      </c>
    </row>
    <row r="11421" spans="1:2" x14ac:dyDescent="0.25">
      <c r="A11421" s="75">
        <v>46182103</v>
      </c>
      <c r="B11421" s="76" t="s">
        <v>11161</v>
      </c>
    </row>
    <row r="11422" spans="1:2" x14ac:dyDescent="0.25">
      <c r="A11422" s="75">
        <v>46182104</v>
      </c>
      <c r="B11422" s="76" t="s">
        <v>8079</v>
      </c>
    </row>
    <row r="11423" spans="1:2" x14ac:dyDescent="0.25">
      <c r="A11423" s="75">
        <v>46182105</v>
      </c>
      <c r="B11423" s="76" t="s">
        <v>5647</v>
      </c>
    </row>
    <row r="11424" spans="1:2" x14ac:dyDescent="0.25">
      <c r="A11424" s="75">
        <v>46182106</v>
      </c>
      <c r="B11424" s="76" t="s">
        <v>7387</v>
      </c>
    </row>
    <row r="11425" spans="1:2" x14ac:dyDescent="0.25">
      <c r="A11425" s="75">
        <v>46182107</v>
      </c>
      <c r="B11425" s="76" t="s">
        <v>2076</v>
      </c>
    </row>
    <row r="11426" spans="1:2" x14ac:dyDescent="0.25">
      <c r="A11426" s="75">
        <v>46182108</v>
      </c>
      <c r="B11426" s="76" t="s">
        <v>18966</v>
      </c>
    </row>
    <row r="11427" spans="1:2" x14ac:dyDescent="0.25">
      <c r="A11427" s="75">
        <v>46182201</v>
      </c>
      <c r="B11427" s="76" t="s">
        <v>10116</v>
      </c>
    </row>
    <row r="11428" spans="1:2" x14ac:dyDescent="0.25">
      <c r="A11428" s="75">
        <v>46182202</v>
      </c>
      <c r="B11428" s="76" t="s">
        <v>8743</v>
      </c>
    </row>
    <row r="11429" spans="1:2" x14ac:dyDescent="0.25">
      <c r="A11429" s="75">
        <v>46182203</v>
      </c>
      <c r="B11429" s="76" t="s">
        <v>11087</v>
      </c>
    </row>
    <row r="11430" spans="1:2" x14ac:dyDescent="0.25">
      <c r="A11430" s="75">
        <v>46182204</v>
      </c>
      <c r="B11430" s="76" t="s">
        <v>13681</v>
      </c>
    </row>
    <row r="11431" spans="1:2" x14ac:dyDescent="0.25">
      <c r="A11431" s="75">
        <v>46182205</v>
      </c>
      <c r="B11431" s="76" t="s">
        <v>13545</v>
      </c>
    </row>
    <row r="11432" spans="1:2" x14ac:dyDescent="0.25">
      <c r="A11432" s="75">
        <v>46182206</v>
      </c>
      <c r="B11432" s="76" t="s">
        <v>5348</v>
      </c>
    </row>
    <row r="11433" spans="1:2" x14ac:dyDescent="0.25">
      <c r="A11433" s="75">
        <v>46182207</v>
      </c>
      <c r="B11433" s="76" t="s">
        <v>17657</v>
      </c>
    </row>
    <row r="11434" spans="1:2" x14ac:dyDescent="0.25">
      <c r="A11434" s="75">
        <v>46182208</v>
      </c>
      <c r="B11434" s="76" t="s">
        <v>11546</v>
      </c>
    </row>
    <row r="11435" spans="1:2" x14ac:dyDescent="0.25">
      <c r="A11435" s="75">
        <v>46182209</v>
      </c>
      <c r="B11435" s="76" t="s">
        <v>2155</v>
      </c>
    </row>
    <row r="11436" spans="1:2" x14ac:dyDescent="0.25">
      <c r="A11436" s="75">
        <v>46182301</v>
      </c>
      <c r="B11436" s="76" t="s">
        <v>4261</v>
      </c>
    </row>
    <row r="11437" spans="1:2" x14ac:dyDescent="0.25">
      <c r="A11437" s="75">
        <v>46182302</v>
      </c>
      <c r="B11437" s="76" t="s">
        <v>5807</v>
      </c>
    </row>
    <row r="11438" spans="1:2" x14ac:dyDescent="0.25">
      <c r="A11438" s="75">
        <v>46182303</v>
      </c>
      <c r="B11438" s="76" t="s">
        <v>4954</v>
      </c>
    </row>
    <row r="11439" spans="1:2" x14ac:dyDescent="0.25">
      <c r="A11439" s="75">
        <v>46182304</v>
      </c>
      <c r="B11439" s="76" t="s">
        <v>14195</v>
      </c>
    </row>
    <row r="11440" spans="1:2" x14ac:dyDescent="0.25">
      <c r="A11440" s="75">
        <v>46182305</v>
      </c>
      <c r="B11440" s="76" t="s">
        <v>5414</v>
      </c>
    </row>
    <row r="11441" spans="1:2" x14ac:dyDescent="0.25">
      <c r="A11441" s="75">
        <v>46182306</v>
      </c>
      <c r="B11441" s="76" t="s">
        <v>12336</v>
      </c>
    </row>
    <row r="11442" spans="1:2" x14ac:dyDescent="0.25">
      <c r="A11442" s="75">
        <v>46182401</v>
      </c>
      <c r="B11442" s="76" t="s">
        <v>9340</v>
      </c>
    </row>
    <row r="11443" spans="1:2" x14ac:dyDescent="0.25">
      <c r="A11443" s="75">
        <v>46182402</v>
      </c>
      <c r="B11443" s="76" t="s">
        <v>18837</v>
      </c>
    </row>
    <row r="11444" spans="1:2" x14ac:dyDescent="0.25">
      <c r="A11444" s="75">
        <v>46182501</v>
      </c>
      <c r="B11444" s="76" t="s">
        <v>9522</v>
      </c>
    </row>
    <row r="11445" spans="1:2" x14ac:dyDescent="0.25">
      <c r="A11445" s="75">
        <v>46191501</v>
      </c>
      <c r="B11445" s="76" t="s">
        <v>1106</v>
      </c>
    </row>
    <row r="11446" spans="1:2" x14ac:dyDescent="0.25">
      <c r="A11446" s="75">
        <v>46191502</v>
      </c>
      <c r="B11446" s="76" t="s">
        <v>38</v>
      </c>
    </row>
    <row r="11447" spans="1:2" x14ac:dyDescent="0.25">
      <c r="A11447" s="75">
        <v>46191503</v>
      </c>
      <c r="B11447" s="76" t="s">
        <v>6103</v>
      </c>
    </row>
    <row r="11448" spans="1:2" x14ac:dyDescent="0.25">
      <c r="A11448" s="75">
        <v>46191504</v>
      </c>
      <c r="B11448" s="76" t="s">
        <v>11547</v>
      </c>
    </row>
    <row r="11449" spans="1:2" x14ac:dyDescent="0.25">
      <c r="A11449" s="75">
        <v>46191505</v>
      </c>
      <c r="B11449" s="76" t="s">
        <v>12587</v>
      </c>
    </row>
    <row r="11450" spans="1:2" x14ac:dyDescent="0.25">
      <c r="A11450" s="75">
        <v>46191601</v>
      </c>
      <c r="B11450" s="76" t="s">
        <v>5756</v>
      </c>
    </row>
    <row r="11451" spans="1:2" x14ac:dyDescent="0.25">
      <c r="A11451" s="75">
        <v>46191602</v>
      </c>
      <c r="B11451" s="76" t="s">
        <v>14876</v>
      </c>
    </row>
    <row r="11452" spans="1:2" x14ac:dyDescent="0.25">
      <c r="A11452" s="75">
        <v>46191603</v>
      </c>
      <c r="B11452" s="76" t="s">
        <v>8358</v>
      </c>
    </row>
    <row r="11453" spans="1:2" x14ac:dyDescent="0.25">
      <c r="A11453" s="75">
        <v>46191604</v>
      </c>
      <c r="B11453" s="76" t="s">
        <v>4752</v>
      </c>
    </row>
    <row r="11454" spans="1:2" x14ac:dyDescent="0.25">
      <c r="A11454" s="75">
        <v>46191605</v>
      </c>
      <c r="B11454" s="76" t="s">
        <v>392</v>
      </c>
    </row>
    <row r="11455" spans="1:2" x14ac:dyDescent="0.25">
      <c r="A11455" s="75">
        <v>46191606</v>
      </c>
      <c r="B11455" s="76" t="s">
        <v>18905</v>
      </c>
    </row>
    <row r="11456" spans="1:2" x14ac:dyDescent="0.25">
      <c r="A11456" s="75">
        <v>46191607</v>
      </c>
      <c r="B11456" s="76" t="s">
        <v>15935</v>
      </c>
    </row>
    <row r="11457" spans="1:2" x14ac:dyDescent="0.25">
      <c r="A11457" s="75">
        <v>46191608</v>
      </c>
      <c r="B11457" s="76" t="s">
        <v>3111</v>
      </c>
    </row>
    <row r="11458" spans="1:2" x14ac:dyDescent="0.25">
      <c r="A11458" s="75">
        <v>46191609</v>
      </c>
      <c r="B11458" s="76" t="s">
        <v>8084</v>
      </c>
    </row>
    <row r="11459" spans="1:2" x14ac:dyDescent="0.25">
      <c r="A11459" s="75">
        <v>46191610</v>
      </c>
      <c r="B11459" s="76" t="s">
        <v>5041</v>
      </c>
    </row>
    <row r="11460" spans="1:2" x14ac:dyDescent="0.25">
      <c r="A11460" s="75">
        <v>47101501</v>
      </c>
      <c r="B11460" s="76" t="s">
        <v>19842</v>
      </c>
    </row>
    <row r="11461" spans="1:2" x14ac:dyDescent="0.25">
      <c r="A11461" s="75">
        <v>47101502</v>
      </c>
      <c r="B11461" s="76" t="s">
        <v>14986</v>
      </c>
    </row>
    <row r="11462" spans="1:2" x14ac:dyDescent="0.25">
      <c r="A11462" s="75">
        <v>47101503</v>
      </c>
      <c r="B11462" s="76" t="s">
        <v>16</v>
      </c>
    </row>
    <row r="11463" spans="1:2" x14ac:dyDescent="0.25">
      <c r="A11463" s="75">
        <v>47101504</v>
      </c>
      <c r="B11463" s="76" t="s">
        <v>18518</v>
      </c>
    </row>
    <row r="11464" spans="1:2" x14ac:dyDescent="0.25">
      <c r="A11464" s="75">
        <v>47101505</v>
      </c>
      <c r="B11464" s="76" t="s">
        <v>7659</v>
      </c>
    </row>
    <row r="11465" spans="1:2" x14ac:dyDescent="0.25">
      <c r="A11465" s="75">
        <v>47101506</v>
      </c>
      <c r="B11465" s="76" t="s">
        <v>11549</v>
      </c>
    </row>
    <row r="11466" spans="1:2" x14ac:dyDescent="0.25">
      <c r="A11466" s="75">
        <v>47101507</v>
      </c>
      <c r="B11466" s="76" t="s">
        <v>13597</v>
      </c>
    </row>
    <row r="11467" spans="1:2" x14ac:dyDescent="0.25">
      <c r="A11467" s="75">
        <v>47101508</v>
      </c>
      <c r="B11467" s="76" t="s">
        <v>6877</v>
      </c>
    </row>
    <row r="11468" spans="1:2" x14ac:dyDescent="0.25">
      <c r="A11468" s="75">
        <v>47101509</v>
      </c>
      <c r="B11468" s="76" t="s">
        <v>5270</v>
      </c>
    </row>
    <row r="11469" spans="1:2" x14ac:dyDescent="0.25">
      <c r="A11469" s="75">
        <v>47101510</v>
      </c>
      <c r="B11469" s="76" t="s">
        <v>6806</v>
      </c>
    </row>
    <row r="11470" spans="1:2" x14ac:dyDescent="0.25">
      <c r="A11470" s="75">
        <v>47101511</v>
      </c>
      <c r="B11470" s="76" t="s">
        <v>15196</v>
      </c>
    </row>
    <row r="11471" spans="1:2" x14ac:dyDescent="0.25">
      <c r="A11471" s="75">
        <v>47101512</v>
      </c>
      <c r="B11471" s="76" t="s">
        <v>10369</v>
      </c>
    </row>
    <row r="11472" spans="1:2" x14ac:dyDescent="0.25">
      <c r="A11472" s="75">
        <v>47101513</v>
      </c>
      <c r="B11472" s="76" t="s">
        <v>7091</v>
      </c>
    </row>
    <row r="11473" spans="1:2" x14ac:dyDescent="0.25">
      <c r="A11473" s="75">
        <v>47101514</v>
      </c>
      <c r="B11473" s="76" t="s">
        <v>5467</v>
      </c>
    </row>
    <row r="11474" spans="1:2" x14ac:dyDescent="0.25">
      <c r="A11474" s="75">
        <v>47101516</v>
      </c>
      <c r="B11474" s="76" t="s">
        <v>7381</v>
      </c>
    </row>
    <row r="11475" spans="1:2" x14ac:dyDescent="0.25">
      <c r="A11475" s="75">
        <v>47101517</v>
      </c>
      <c r="B11475" s="76" t="s">
        <v>4738</v>
      </c>
    </row>
    <row r="11476" spans="1:2" x14ac:dyDescent="0.25">
      <c r="A11476" s="75">
        <v>47101518</v>
      </c>
      <c r="B11476" s="76" t="s">
        <v>8739</v>
      </c>
    </row>
    <row r="11477" spans="1:2" x14ac:dyDescent="0.25">
      <c r="A11477" s="75">
        <v>47101519</v>
      </c>
      <c r="B11477" s="76" t="s">
        <v>17594</v>
      </c>
    </row>
    <row r="11478" spans="1:2" x14ac:dyDescent="0.25">
      <c r="A11478" s="75">
        <v>47101521</v>
      </c>
      <c r="B11478" s="76" t="s">
        <v>16910</v>
      </c>
    </row>
    <row r="11479" spans="1:2" x14ac:dyDescent="0.25">
      <c r="A11479" s="75">
        <v>47101522</v>
      </c>
      <c r="B11479" s="76" t="s">
        <v>1241</v>
      </c>
    </row>
    <row r="11480" spans="1:2" x14ac:dyDescent="0.25">
      <c r="A11480" s="75">
        <v>47101523</v>
      </c>
      <c r="B11480" s="76" t="s">
        <v>6779</v>
      </c>
    </row>
    <row r="11481" spans="1:2" x14ac:dyDescent="0.25">
      <c r="A11481" s="75">
        <v>47101524</v>
      </c>
      <c r="B11481" s="76" t="s">
        <v>4922</v>
      </c>
    </row>
    <row r="11482" spans="1:2" x14ac:dyDescent="0.25">
      <c r="A11482" s="75">
        <v>47101525</v>
      </c>
      <c r="B11482" s="76" t="s">
        <v>2415</v>
      </c>
    </row>
    <row r="11483" spans="1:2" x14ac:dyDescent="0.25">
      <c r="A11483" s="75">
        <v>47101526</v>
      </c>
      <c r="B11483" s="76" t="s">
        <v>7495</v>
      </c>
    </row>
    <row r="11484" spans="1:2" x14ac:dyDescent="0.25">
      <c r="A11484" s="75">
        <v>47101527</v>
      </c>
      <c r="B11484" s="76" t="s">
        <v>12791</v>
      </c>
    </row>
    <row r="11485" spans="1:2" x14ac:dyDescent="0.25">
      <c r="A11485" s="75">
        <v>47101528</v>
      </c>
      <c r="B11485" s="76" t="s">
        <v>13109</v>
      </c>
    </row>
    <row r="11486" spans="1:2" x14ac:dyDescent="0.25">
      <c r="A11486" s="75">
        <v>47101529</v>
      </c>
      <c r="B11486" s="76" t="s">
        <v>4717</v>
      </c>
    </row>
    <row r="11487" spans="1:2" x14ac:dyDescent="0.25">
      <c r="A11487" s="75">
        <v>47101530</v>
      </c>
      <c r="B11487" s="76" t="s">
        <v>2983</v>
      </c>
    </row>
    <row r="11488" spans="1:2" x14ac:dyDescent="0.25">
      <c r="A11488" s="75">
        <v>47101531</v>
      </c>
      <c r="B11488" s="76" t="s">
        <v>16284</v>
      </c>
    </row>
    <row r="11489" spans="1:2" x14ac:dyDescent="0.25">
      <c r="A11489" s="75">
        <v>47101532</v>
      </c>
      <c r="B11489" s="76" t="s">
        <v>11661</v>
      </c>
    </row>
    <row r="11490" spans="1:2" x14ac:dyDescent="0.25">
      <c r="A11490" s="75">
        <v>47101533</v>
      </c>
      <c r="B11490" s="76" t="s">
        <v>18648</v>
      </c>
    </row>
    <row r="11491" spans="1:2" x14ac:dyDescent="0.25">
      <c r="A11491" s="75">
        <v>47101534</v>
      </c>
      <c r="B11491" s="76" t="s">
        <v>16167</v>
      </c>
    </row>
    <row r="11492" spans="1:2" x14ac:dyDescent="0.25">
      <c r="A11492" s="75">
        <v>47101535</v>
      </c>
      <c r="B11492" s="76" t="s">
        <v>12414</v>
      </c>
    </row>
    <row r="11493" spans="1:2" x14ac:dyDescent="0.25">
      <c r="A11493" s="75">
        <v>47101536</v>
      </c>
      <c r="B11493" s="76" t="s">
        <v>5127</v>
      </c>
    </row>
    <row r="11494" spans="1:2" x14ac:dyDescent="0.25">
      <c r="A11494" s="75">
        <v>47101537</v>
      </c>
      <c r="B11494" s="76" t="s">
        <v>15780</v>
      </c>
    </row>
    <row r="11495" spans="1:2" x14ac:dyDescent="0.25">
      <c r="A11495" s="75">
        <v>47101538</v>
      </c>
      <c r="B11495" s="76" t="s">
        <v>18166</v>
      </c>
    </row>
    <row r="11496" spans="1:2" x14ac:dyDescent="0.25">
      <c r="A11496" s="75">
        <v>47101539</v>
      </c>
      <c r="B11496" s="76" t="s">
        <v>17312</v>
      </c>
    </row>
    <row r="11497" spans="1:2" x14ac:dyDescent="0.25">
      <c r="A11497" s="75">
        <v>47101601</v>
      </c>
      <c r="B11497" s="76" t="s">
        <v>18223</v>
      </c>
    </row>
    <row r="11498" spans="1:2" x14ac:dyDescent="0.25">
      <c r="A11498" s="75">
        <v>47101602</v>
      </c>
      <c r="B11498" s="76" t="s">
        <v>6086</v>
      </c>
    </row>
    <row r="11499" spans="1:2" x14ac:dyDescent="0.25">
      <c r="A11499" s="75">
        <v>47101603</v>
      </c>
      <c r="B11499" s="76" t="s">
        <v>9480</v>
      </c>
    </row>
    <row r="11500" spans="1:2" x14ac:dyDescent="0.25">
      <c r="A11500" s="75">
        <v>47101604</v>
      </c>
      <c r="B11500" s="76" t="s">
        <v>11692</v>
      </c>
    </row>
    <row r="11501" spans="1:2" x14ac:dyDescent="0.25">
      <c r="A11501" s="75">
        <v>47101605</v>
      </c>
      <c r="B11501" s="76" t="s">
        <v>10160</v>
      </c>
    </row>
    <row r="11502" spans="1:2" x14ac:dyDescent="0.25">
      <c r="A11502" s="75">
        <v>47101606</v>
      </c>
      <c r="B11502" s="76" t="s">
        <v>17907</v>
      </c>
    </row>
    <row r="11503" spans="1:2" x14ac:dyDescent="0.25">
      <c r="A11503" s="75">
        <v>47101607</v>
      </c>
      <c r="B11503" s="76" t="s">
        <v>1706</v>
      </c>
    </row>
    <row r="11504" spans="1:2" x14ac:dyDescent="0.25">
      <c r="A11504" s="75">
        <v>47101608</v>
      </c>
      <c r="B11504" s="76" t="s">
        <v>18777</v>
      </c>
    </row>
    <row r="11505" spans="1:2" x14ac:dyDescent="0.25">
      <c r="A11505" s="75">
        <v>47101609</v>
      </c>
      <c r="B11505" s="76" t="s">
        <v>13926</v>
      </c>
    </row>
    <row r="11506" spans="1:2" x14ac:dyDescent="0.25">
      <c r="A11506" s="75">
        <v>47101610</v>
      </c>
      <c r="B11506" s="76" t="s">
        <v>13125</v>
      </c>
    </row>
    <row r="11507" spans="1:2" x14ac:dyDescent="0.25">
      <c r="A11507" s="75">
        <v>47101611</v>
      </c>
      <c r="B11507" s="76" t="s">
        <v>3458</v>
      </c>
    </row>
    <row r="11508" spans="1:2" x14ac:dyDescent="0.25">
      <c r="A11508" s="75">
        <v>47101612</v>
      </c>
      <c r="B11508" s="76" t="s">
        <v>16793</v>
      </c>
    </row>
    <row r="11509" spans="1:2" x14ac:dyDescent="0.25">
      <c r="A11509" s="75">
        <v>47101613</v>
      </c>
      <c r="B11509" s="76" t="s">
        <v>9845</v>
      </c>
    </row>
    <row r="11510" spans="1:2" x14ac:dyDescent="0.25">
      <c r="A11510" s="75">
        <v>47111501</v>
      </c>
      <c r="B11510" s="76" t="s">
        <v>5389</v>
      </c>
    </row>
    <row r="11511" spans="1:2" x14ac:dyDescent="0.25">
      <c r="A11511" s="75">
        <v>47111502</v>
      </c>
      <c r="B11511" s="76" t="s">
        <v>10518</v>
      </c>
    </row>
    <row r="11512" spans="1:2" x14ac:dyDescent="0.25">
      <c r="A11512" s="75">
        <v>47111503</v>
      </c>
      <c r="B11512" s="76" t="s">
        <v>13725</v>
      </c>
    </row>
    <row r="11513" spans="1:2" x14ac:dyDescent="0.25">
      <c r="A11513" s="75">
        <v>47111505</v>
      </c>
      <c r="B11513" s="76" t="s">
        <v>16350</v>
      </c>
    </row>
    <row r="11514" spans="1:2" x14ac:dyDescent="0.25">
      <c r="A11514" s="75">
        <v>47111601</v>
      </c>
      <c r="B11514" s="76" t="s">
        <v>3479</v>
      </c>
    </row>
    <row r="11515" spans="1:2" x14ac:dyDescent="0.25">
      <c r="A11515" s="75">
        <v>47111602</v>
      </c>
      <c r="B11515" s="76" t="s">
        <v>14542</v>
      </c>
    </row>
    <row r="11516" spans="1:2" x14ac:dyDescent="0.25">
      <c r="A11516" s="75">
        <v>47111603</v>
      </c>
      <c r="B11516" s="76" t="s">
        <v>1645</v>
      </c>
    </row>
    <row r="11517" spans="1:2" x14ac:dyDescent="0.25">
      <c r="A11517" s="75">
        <v>47111701</v>
      </c>
      <c r="B11517" s="76" t="s">
        <v>6553</v>
      </c>
    </row>
    <row r="11518" spans="1:2" x14ac:dyDescent="0.25">
      <c r="A11518" s="75">
        <v>47121501</v>
      </c>
      <c r="B11518" s="76" t="s">
        <v>14308</v>
      </c>
    </row>
    <row r="11519" spans="1:2" x14ac:dyDescent="0.25">
      <c r="A11519" s="75">
        <v>47121502</v>
      </c>
      <c r="B11519" s="76" t="s">
        <v>7447</v>
      </c>
    </row>
    <row r="11520" spans="1:2" x14ac:dyDescent="0.25">
      <c r="A11520" s="75">
        <v>47121602</v>
      </c>
      <c r="B11520" s="76" t="s">
        <v>7198</v>
      </c>
    </row>
    <row r="11521" spans="1:2" x14ac:dyDescent="0.25">
      <c r="A11521" s="75">
        <v>47121603</v>
      </c>
      <c r="B11521" s="76" t="s">
        <v>632</v>
      </c>
    </row>
    <row r="11522" spans="1:2" x14ac:dyDescent="0.25">
      <c r="A11522" s="75">
        <v>47121604</v>
      </c>
      <c r="B11522" s="76" t="s">
        <v>9655</v>
      </c>
    </row>
    <row r="11523" spans="1:2" x14ac:dyDescent="0.25">
      <c r="A11523" s="75">
        <v>47121605</v>
      </c>
      <c r="B11523" s="76" t="s">
        <v>19566</v>
      </c>
    </row>
    <row r="11524" spans="1:2" x14ac:dyDescent="0.25">
      <c r="A11524" s="75">
        <v>47121606</v>
      </c>
      <c r="B11524" s="76" t="s">
        <v>1291</v>
      </c>
    </row>
    <row r="11525" spans="1:2" x14ac:dyDescent="0.25">
      <c r="A11525" s="75">
        <v>47121607</v>
      </c>
      <c r="B11525" s="76" t="s">
        <v>1956</v>
      </c>
    </row>
    <row r="11526" spans="1:2" x14ac:dyDescent="0.25">
      <c r="A11526" s="75">
        <v>47121608</v>
      </c>
      <c r="B11526" s="76" t="s">
        <v>16129</v>
      </c>
    </row>
    <row r="11527" spans="1:2" x14ac:dyDescent="0.25">
      <c r="A11527" s="75">
        <v>47121609</v>
      </c>
      <c r="B11527" s="76" t="s">
        <v>1172</v>
      </c>
    </row>
    <row r="11528" spans="1:2" x14ac:dyDescent="0.25">
      <c r="A11528" s="75">
        <v>47121610</v>
      </c>
      <c r="B11528" s="76" t="s">
        <v>8827</v>
      </c>
    </row>
    <row r="11529" spans="1:2" x14ac:dyDescent="0.25">
      <c r="A11529" s="75">
        <v>47121611</v>
      </c>
      <c r="B11529" s="76" t="s">
        <v>8603</v>
      </c>
    </row>
    <row r="11530" spans="1:2" x14ac:dyDescent="0.25">
      <c r="A11530" s="75">
        <v>47121612</v>
      </c>
      <c r="B11530" s="76" t="s">
        <v>1017</v>
      </c>
    </row>
    <row r="11531" spans="1:2" x14ac:dyDescent="0.25">
      <c r="A11531" s="75">
        <v>47121613</v>
      </c>
      <c r="B11531" s="76" t="s">
        <v>13218</v>
      </c>
    </row>
    <row r="11532" spans="1:2" x14ac:dyDescent="0.25">
      <c r="A11532" s="75">
        <v>47121701</v>
      </c>
      <c r="B11532" s="76" t="s">
        <v>8724</v>
      </c>
    </row>
    <row r="11533" spans="1:2" x14ac:dyDescent="0.25">
      <c r="A11533" s="75">
        <v>47121702</v>
      </c>
      <c r="B11533" s="76" t="s">
        <v>1056</v>
      </c>
    </row>
    <row r="11534" spans="1:2" x14ac:dyDescent="0.25">
      <c r="A11534" s="75">
        <v>47121703</v>
      </c>
      <c r="B11534" s="76" t="s">
        <v>20041</v>
      </c>
    </row>
    <row r="11535" spans="1:2" x14ac:dyDescent="0.25">
      <c r="A11535" s="75">
        <v>47121704</v>
      </c>
      <c r="B11535" s="76" t="s">
        <v>18652</v>
      </c>
    </row>
    <row r="11536" spans="1:2" x14ac:dyDescent="0.25">
      <c r="A11536" s="75">
        <v>47121705</v>
      </c>
      <c r="B11536" s="76" t="s">
        <v>13</v>
      </c>
    </row>
    <row r="11537" spans="1:2" x14ac:dyDescent="0.25">
      <c r="A11537" s="75">
        <v>47121706</v>
      </c>
      <c r="B11537" s="76" t="s">
        <v>5086</v>
      </c>
    </row>
    <row r="11538" spans="1:2" x14ac:dyDescent="0.25">
      <c r="A11538" s="75">
        <v>47121707</v>
      </c>
      <c r="B11538" s="76" t="s">
        <v>7865</v>
      </c>
    </row>
    <row r="11539" spans="1:2" x14ac:dyDescent="0.25">
      <c r="A11539" s="75">
        <v>47121708</v>
      </c>
      <c r="B11539" s="76" t="s">
        <v>15413</v>
      </c>
    </row>
    <row r="11540" spans="1:2" x14ac:dyDescent="0.25">
      <c r="A11540" s="75">
        <v>47121801</v>
      </c>
      <c r="B11540" s="76" t="s">
        <v>6939</v>
      </c>
    </row>
    <row r="11541" spans="1:2" x14ac:dyDescent="0.25">
      <c r="A11541" s="75">
        <v>47121802</v>
      </c>
      <c r="B11541" s="76" t="s">
        <v>10474</v>
      </c>
    </row>
    <row r="11542" spans="1:2" x14ac:dyDescent="0.25">
      <c r="A11542" s="75">
        <v>47121803</v>
      </c>
      <c r="B11542" s="76" t="s">
        <v>11275</v>
      </c>
    </row>
    <row r="11543" spans="1:2" x14ac:dyDescent="0.25">
      <c r="A11543" s="75">
        <v>47121804</v>
      </c>
      <c r="B11543" s="76" t="s">
        <v>944</v>
      </c>
    </row>
    <row r="11544" spans="1:2" x14ac:dyDescent="0.25">
      <c r="A11544" s="75">
        <v>47121805</v>
      </c>
      <c r="B11544" s="76" t="s">
        <v>11417</v>
      </c>
    </row>
    <row r="11545" spans="1:2" x14ac:dyDescent="0.25">
      <c r="A11545" s="75">
        <v>47121806</v>
      </c>
      <c r="B11545" s="76" t="s">
        <v>16054</v>
      </c>
    </row>
    <row r="11546" spans="1:2" x14ac:dyDescent="0.25">
      <c r="A11546" s="75">
        <v>47121807</v>
      </c>
      <c r="B11546" s="76" t="s">
        <v>5163</v>
      </c>
    </row>
    <row r="11547" spans="1:2" x14ac:dyDescent="0.25">
      <c r="A11547" s="75">
        <v>47121808</v>
      </c>
      <c r="B11547" s="76" t="s">
        <v>16979</v>
      </c>
    </row>
    <row r="11548" spans="1:2" x14ac:dyDescent="0.25">
      <c r="A11548" s="75">
        <v>47121809</v>
      </c>
      <c r="B11548" s="76" t="s">
        <v>3245</v>
      </c>
    </row>
    <row r="11549" spans="1:2" x14ac:dyDescent="0.25">
      <c r="A11549" s="75">
        <v>47121810</v>
      </c>
      <c r="B11549" s="76" t="s">
        <v>4325</v>
      </c>
    </row>
    <row r="11550" spans="1:2" x14ac:dyDescent="0.25">
      <c r="A11550" s="75">
        <v>47121811</v>
      </c>
      <c r="B11550" s="76" t="s">
        <v>18685</v>
      </c>
    </row>
    <row r="11551" spans="1:2" x14ac:dyDescent="0.25">
      <c r="A11551" s="75">
        <v>47121812</v>
      </c>
      <c r="B11551" s="76" t="s">
        <v>18937</v>
      </c>
    </row>
    <row r="11552" spans="1:2" x14ac:dyDescent="0.25">
      <c r="A11552" s="75">
        <v>47121813</v>
      </c>
      <c r="B11552" s="76" t="s">
        <v>4326</v>
      </c>
    </row>
    <row r="11553" spans="1:2" x14ac:dyDescent="0.25">
      <c r="A11553" s="75">
        <v>47121901</v>
      </c>
      <c r="B11553" s="76" t="s">
        <v>7066</v>
      </c>
    </row>
    <row r="11554" spans="1:2" x14ac:dyDescent="0.25">
      <c r="A11554" s="75">
        <v>47121902</v>
      </c>
      <c r="B11554" s="76" t="s">
        <v>5901</v>
      </c>
    </row>
    <row r="11555" spans="1:2" x14ac:dyDescent="0.25">
      <c r="A11555" s="75">
        <v>47121903</v>
      </c>
      <c r="B11555" s="76" t="s">
        <v>15058</v>
      </c>
    </row>
    <row r="11556" spans="1:2" x14ac:dyDescent="0.25">
      <c r="A11556" s="75">
        <v>47131501</v>
      </c>
      <c r="B11556" s="76" t="s">
        <v>13741</v>
      </c>
    </row>
    <row r="11557" spans="1:2" x14ac:dyDescent="0.25">
      <c r="A11557" s="75">
        <v>47131502</v>
      </c>
      <c r="B11557" s="76" t="s">
        <v>8411</v>
      </c>
    </row>
    <row r="11558" spans="1:2" x14ac:dyDescent="0.25">
      <c r="A11558" s="75">
        <v>47131503</v>
      </c>
      <c r="B11558" s="76" t="s">
        <v>6377</v>
      </c>
    </row>
    <row r="11559" spans="1:2" x14ac:dyDescent="0.25">
      <c r="A11559" s="75">
        <v>47131601</v>
      </c>
      <c r="B11559" s="76" t="s">
        <v>12969</v>
      </c>
    </row>
    <row r="11560" spans="1:2" x14ac:dyDescent="0.25">
      <c r="A11560" s="75">
        <v>47131602</v>
      </c>
      <c r="B11560" s="76" t="s">
        <v>12861</v>
      </c>
    </row>
    <row r="11561" spans="1:2" x14ac:dyDescent="0.25">
      <c r="A11561" s="75">
        <v>47131603</v>
      </c>
      <c r="B11561" s="76" t="s">
        <v>9358</v>
      </c>
    </row>
    <row r="11562" spans="1:2" x14ac:dyDescent="0.25">
      <c r="A11562" s="75">
        <v>47131604</v>
      </c>
      <c r="B11562" s="76" t="s">
        <v>15674</v>
      </c>
    </row>
    <row r="11563" spans="1:2" x14ac:dyDescent="0.25">
      <c r="A11563" s="75">
        <v>47131605</v>
      </c>
      <c r="B11563" s="76" t="s">
        <v>6258</v>
      </c>
    </row>
    <row r="11564" spans="1:2" x14ac:dyDescent="0.25">
      <c r="A11564" s="75">
        <v>47131608</v>
      </c>
      <c r="B11564" s="76" t="s">
        <v>12417</v>
      </c>
    </row>
    <row r="11565" spans="1:2" x14ac:dyDescent="0.25">
      <c r="A11565" s="75">
        <v>47131609</v>
      </c>
      <c r="B11565" s="76" t="s">
        <v>16859</v>
      </c>
    </row>
    <row r="11566" spans="1:2" x14ac:dyDescent="0.25">
      <c r="A11566" s="75">
        <v>47131610</v>
      </c>
      <c r="B11566" s="76" t="s">
        <v>13625</v>
      </c>
    </row>
    <row r="11567" spans="1:2" x14ac:dyDescent="0.25">
      <c r="A11567" s="75">
        <v>47131611</v>
      </c>
      <c r="B11567" s="76" t="s">
        <v>9850</v>
      </c>
    </row>
    <row r="11568" spans="1:2" x14ac:dyDescent="0.25">
      <c r="A11568" s="75">
        <v>47131612</v>
      </c>
      <c r="B11568" s="76" t="s">
        <v>18743</v>
      </c>
    </row>
    <row r="11569" spans="1:2" x14ac:dyDescent="0.25">
      <c r="A11569" s="75">
        <v>47131613</v>
      </c>
      <c r="B11569" s="76" t="s">
        <v>2479</v>
      </c>
    </row>
    <row r="11570" spans="1:2" x14ac:dyDescent="0.25">
      <c r="A11570" s="75">
        <v>47131614</v>
      </c>
      <c r="B11570" s="76" t="s">
        <v>20010</v>
      </c>
    </row>
    <row r="11571" spans="1:2" x14ac:dyDescent="0.25">
      <c r="A11571" s="75">
        <v>47131615</v>
      </c>
      <c r="B11571" s="76" t="s">
        <v>14806</v>
      </c>
    </row>
    <row r="11572" spans="1:2" x14ac:dyDescent="0.25">
      <c r="A11572" s="75">
        <v>47131616</v>
      </c>
      <c r="B11572" s="76" t="s">
        <v>6765</v>
      </c>
    </row>
    <row r="11573" spans="1:2" x14ac:dyDescent="0.25">
      <c r="A11573" s="75">
        <v>47131617</v>
      </c>
      <c r="B11573" s="76" t="s">
        <v>3785</v>
      </c>
    </row>
    <row r="11574" spans="1:2" x14ac:dyDescent="0.25">
      <c r="A11574" s="75">
        <v>47131618</v>
      </c>
      <c r="B11574" s="76" t="s">
        <v>1713</v>
      </c>
    </row>
    <row r="11575" spans="1:2" x14ac:dyDescent="0.25">
      <c r="A11575" s="75">
        <v>47131619</v>
      </c>
      <c r="B11575" s="76" t="s">
        <v>104</v>
      </c>
    </row>
    <row r="11576" spans="1:2" x14ac:dyDescent="0.25">
      <c r="A11576" s="75">
        <v>47131701</v>
      </c>
      <c r="B11576" s="76" t="s">
        <v>10159</v>
      </c>
    </row>
    <row r="11577" spans="1:2" x14ac:dyDescent="0.25">
      <c r="A11577" s="75">
        <v>47131702</v>
      </c>
      <c r="B11577" s="76" t="s">
        <v>15278</v>
      </c>
    </row>
    <row r="11578" spans="1:2" x14ac:dyDescent="0.25">
      <c r="A11578" s="75">
        <v>47131703</v>
      </c>
      <c r="B11578" s="76" t="s">
        <v>4819</v>
      </c>
    </row>
    <row r="11579" spans="1:2" x14ac:dyDescent="0.25">
      <c r="A11579" s="75">
        <v>47131704</v>
      </c>
      <c r="B11579" s="76" t="s">
        <v>16505</v>
      </c>
    </row>
    <row r="11580" spans="1:2" x14ac:dyDescent="0.25">
      <c r="A11580" s="75">
        <v>47131705</v>
      </c>
      <c r="B11580" s="76" t="s">
        <v>5836</v>
      </c>
    </row>
    <row r="11581" spans="1:2" x14ac:dyDescent="0.25">
      <c r="A11581" s="75">
        <v>47131706</v>
      </c>
      <c r="B11581" s="76" t="s">
        <v>9798</v>
      </c>
    </row>
    <row r="11582" spans="1:2" x14ac:dyDescent="0.25">
      <c r="A11582" s="75">
        <v>47131707</v>
      </c>
      <c r="B11582" s="76" t="s">
        <v>13317</v>
      </c>
    </row>
    <row r="11583" spans="1:2" x14ac:dyDescent="0.25">
      <c r="A11583" s="75">
        <v>47131708</v>
      </c>
      <c r="B11583" s="76" t="s">
        <v>3737</v>
      </c>
    </row>
    <row r="11584" spans="1:2" x14ac:dyDescent="0.25">
      <c r="A11584" s="75">
        <v>47131709</v>
      </c>
      <c r="B11584" s="76" t="s">
        <v>8460</v>
      </c>
    </row>
    <row r="11585" spans="1:2" x14ac:dyDescent="0.25">
      <c r="A11585" s="75">
        <v>47131710</v>
      </c>
      <c r="B11585" s="76" t="s">
        <v>18443</v>
      </c>
    </row>
    <row r="11586" spans="1:2" x14ac:dyDescent="0.25">
      <c r="A11586" s="75">
        <v>47131711</v>
      </c>
      <c r="B11586" s="76" t="s">
        <v>8713</v>
      </c>
    </row>
    <row r="11587" spans="1:2" x14ac:dyDescent="0.25">
      <c r="A11587" s="75">
        <v>47131801</v>
      </c>
      <c r="B11587" s="76" t="s">
        <v>14580</v>
      </c>
    </row>
    <row r="11588" spans="1:2" x14ac:dyDescent="0.25">
      <c r="A11588" s="75">
        <v>47131802</v>
      </c>
      <c r="B11588" s="76" t="s">
        <v>5106</v>
      </c>
    </row>
    <row r="11589" spans="1:2" x14ac:dyDescent="0.25">
      <c r="A11589" s="75">
        <v>47131803</v>
      </c>
      <c r="B11589" s="76" t="s">
        <v>9979</v>
      </c>
    </row>
    <row r="11590" spans="1:2" x14ac:dyDescent="0.25">
      <c r="A11590" s="75">
        <v>47131804</v>
      </c>
      <c r="B11590" s="76" t="s">
        <v>8293</v>
      </c>
    </row>
    <row r="11591" spans="1:2" x14ac:dyDescent="0.25">
      <c r="A11591" s="75">
        <v>47131805</v>
      </c>
      <c r="B11591" s="76" t="s">
        <v>11569</v>
      </c>
    </row>
    <row r="11592" spans="1:2" x14ac:dyDescent="0.25">
      <c r="A11592" s="75">
        <v>47131806</v>
      </c>
      <c r="B11592" s="76" t="s">
        <v>7526</v>
      </c>
    </row>
    <row r="11593" spans="1:2" x14ac:dyDescent="0.25">
      <c r="A11593" s="75">
        <v>47131807</v>
      </c>
      <c r="B11593" s="76" t="s">
        <v>7174</v>
      </c>
    </row>
    <row r="11594" spans="1:2" x14ac:dyDescent="0.25">
      <c r="A11594" s="75">
        <v>47131808</v>
      </c>
      <c r="B11594" s="76" t="s">
        <v>2162</v>
      </c>
    </row>
    <row r="11595" spans="1:2" x14ac:dyDescent="0.25">
      <c r="A11595" s="75">
        <v>47131809</v>
      </c>
      <c r="B11595" s="76" t="s">
        <v>13293</v>
      </c>
    </row>
    <row r="11596" spans="1:2" x14ac:dyDescent="0.25">
      <c r="A11596" s="75">
        <v>47131810</v>
      </c>
      <c r="B11596" s="76" t="s">
        <v>14389</v>
      </c>
    </row>
    <row r="11597" spans="1:2" x14ac:dyDescent="0.25">
      <c r="A11597" s="75">
        <v>47131811</v>
      </c>
      <c r="B11597" s="76" t="s">
        <v>17185</v>
      </c>
    </row>
    <row r="11598" spans="1:2" x14ac:dyDescent="0.25">
      <c r="A11598" s="75">
        <v>47131812</v>
      </c>
      <c r="B11598" s="76" t="s">
        <v>18974</v>
      </c>
    </row>
    <row r="11599" spans="1:2" x14ac:dyDescent="0.25">
      <c r="A11599" s="75">
        <v>47131813</v>
      </c>
      <c r="B11599" s="76" t="s">
        <v>10426</v>
      </c>
    </row>
    <row r="11600" spans="1:2" x14ac:dyDescent="0.25">
      <c r="A11600" s="75">
        <v>47131814</v>
      </c>
      <c r="B11600" s="76" t="s">
        <v>7021</v>
      </c>
    </row>
    <row r="11601" spans="1:2" x14ac:dyDescent="0.25">
      <c r="A11601" s="75">
        <v>47131815</v>
      </c>
      <c r="B11601" s="76" t="s">
        <v>6819</v>
      </c>
    </row>
    <row r="11602" spans="1:2" x14ac:dyDescent="0.25">
      <c r="A11602" s="75">
        <v>47131816</v>
      </c>
      <c r="B11602" s="76" t="s">
        <v>1084</v>
      </c>
    </row>
    <row r="11603" spans="1:2" x14ac:dyDescent="0.25">
      <c r="A11603" s="75">
        <v>47131817</v>
      </c>
      <c r="B11603" s="76" t="s">
        <v>9105</v>
      </c>
    </row>
    <row r="11604" spans="1:2" x14ac:dyDescent="0.25">
      <c r="A11604" s="75">
        <v>47131818</v>
      </c>
      <c r="B11604" s="76" t="s">
        <v>3142</v>
      </c>
    </row>
    <row r="11605" spans="1:2" x14ac:dyDescent="0.25">
      <c r="A11605" s="75">
        <v>47131819</v>
      </c>
      <c r="B11605" s="76" t="s">
        <v>2367</v>
      </c>
    </row>
    <row r="11606" spans="1:2" x14ac:dyDescent="0.25">
      <c r="A11606" s="75">
        <v>47131820</v>
      </c>
      <c r="B11606" s="76" t="s">
        <v>655</v>
      </c>
    </row>
    <row r="11607" spans="1:2" x14ac:dyDescent="0.25">
      <c r="A11607" s="75">
        <v>47131821</v>
      </c>
      <c r="B11607" s="76" t="s">
        <v>16471</v>
      </c>
    </row>
    <row r="11608" spans="1:2" x14ac:dyDescent="0.25">
      <c r="A11608" s="75">
        <v>47131822</v>
      </c>
      <c r="B11608" s="76" t="s">
        <v>5002</v>
      </c>
    </row>
    <row r="11609" spans="1:2" x14ac:dyDescent="0.25">
      <c r="A11609" s="75">
        <v>47131823</v>
      </c>
      <c r="B11609" s="76" t="s">
        <v>2632</v>
      </c>
    </row>
    <row r="11610" spans="1:2" x14ac:dyDescent="0.25">
      <c r="A11610" s="75">
        <v>47131824</v>
      </c>
      <c r="B11610" s="76" t="s">
        <v>15909</v>
      </c>
    </row>
    <row r="11611" spans="1:2" x14ac:dyDescent="0.25">
      <c r="A11611" s="75">
        <v>47131825</v>
      </c>
      <c r="B11611" s="76" t="s">
        <v>13039</v>
      </c>
    </row>
    <row r="11612" spans="1:2" x14ac:dyDescent="0.25">
      <c r="A11612" s="75">
        <v>47131826</v>
      </c>
      <c r="B11612" s="76" t="s">
        <v>16232</v>
      </c>
    </row>
    <row r="11613" spans="1:2" x14ac:dyDescent="0.25">
      <c r="A11613" s="75">
        <v>47131827</v>
      </c>
      <c r="B11613" s="76" t="s">
        <v>9582</v>
      </c>
    </row>
    <row r="11614" spans="1:2" x14ac:dyDescent="0.25">
      <c r="A11614" s="75">
        <v>47131828</v>
      </c>
      <c r="B11614" s="76" t="s">
        <v>2016</v>
      </c>
    </row>
    <row r="11615" spans="1:2" x14ac:dyDescent="0.25">
      <c r="A11615" s="75">
        <v>47131829</v>
      </c>
      <c r="B11615" s="76" t="s">
        <v>818</v>
      </c>
    </row>
    <row r="11616" spans="1:2" x14ac:dyDescent="0.25">
      <c r="A11616" s="75">
        <v>47131830</v>
      </c>
      <c r="B11616" s="76" t="s">
        <v>13672</v>
      </c>
    </row>
    <row r="11617" spans="1:2" x14ac:dyDescent="0.25">
      <c r="A11617" s="75">
        <v>47131831</v>
      </c>
      <c r="B11617" s="76" t="s">
        <v>13856</v>
      </c>
    </row>
    <row r="11618" spans="1:2" x14ac:dyDescent="0.25">
      <c r="A11618" s="75">
        <v>47131832</v>
      </c>
      <c r="B11618" s="76" t="s">
        <v>16039</v>
      </c>
    </row>
    <row r="11619" spans="1:2" x14ac:dyDescent="0.25">
      <c r="A11619" s="75">
        <v>47131833</v>
      </c>
      <c r="B11619" s="76" t="s">
        <v>16373</v>
      </c>
    </row>
    <row r="11620" spans="1:2" x14ac:dyDescent="0.25">
      <c r="A11620" s="75">
        <v>47131834</v>
      </c>
      <c r="B11620" s="76" t="s">
        <v>666</v>
      </c>
    </row>
    <row r="11621" spans="1:2" x14ac:dyDescent="0.25">
      <c r="A11621" s="75">
        <v>47131901</v>
      </c>
      <c r="B11621" s="76" t="s">
        <v>5493</v>
      </c>
    </row>
    <row r="11622" spans="1:2" x14ac:dyDescent="0.25">
      <c r="A11622" s="75">
        <v>47131902</v>
      </c>
      <c r="B11622" s="76" t="s">
        <v>2129</v>
      </c>
    </row>
    <row r="11623" spans="1:2" x14ac:dyDescent="0.25">
      <c r="A11623" s="75">
        <v>47131903</v>
      </c>
      <c r="B11623" s="76" t="s">
        <v>19267</v>
      </c>
    </row>
    <row r="11624" spans="1:2" x14ac:dyDescent="0.25">
      <c r="A11624" s="75">
        <v>47131904</v>
      </c>
      <c r="B11624" s="76" t="s">
        <v>5510</v>
      </c>
    </row>
    <row r="11625" spans="1:2" x14ac:dyDescent="0.25">
      <c r="A11625" s="75">
        <v>47131905</v>
      </c>
      <c r="B11625" s="76" t="s">
        <v>9918</v>
      </c>
    </row>
    <row r="11626" spans="1:2" x14ac:dyDescent="0.25">
      <c r="A11626" s="75">
        <v>47131906</v>
      </c>
      <c r="B11626" s="76" t="s">
        <v>18275</v>
      </c>
    </row>
    <row r="11627" spans="1:2" x14ac:dyDescent="0.25">
      <c r="A11627" s="75">
        <v>47131907</v>
      </c>
      <c r="B11627" s="76" t="s">
        <v>11786</v>
      </c>
    </row>
    <row r="11628" spans="1:2" x14ac:dyDescent="0.25">
      <c r="A11628" s="75">
        <v>47131908</v>
      </c>
      <c r="B11628" s="76" t="s">
        <v>2577</v>
      </c>
    </row>
    <row r="11629" spans="1:2" x14ac:dyDescent="0.25">
      <c r="A11629" s="75">
        <v>47131909</v>
      </c>
      <c r="B11629" s="76" t="s">
        <v>11281</v>
      </c>
    </row>
    <row r="11630" spans="1:2" x14ac:dyDescent="0.25">
      <c r="A11630" s="75">
        <v>47132101</v>
      </c>
      <c r="B11630" s="76" t="s">
        <v>7948</v>
      </c>
    </row>
    <row r="11631" spans="1:2" x14ac:dyDescent="0.25">
      <c r="A11631" s="75">
        <v>47132102</v>
      </c>
      <c r="B11631" s="76" t="s">
        <v>5013</v>
      </c>
    </row>
    <row r="11632" spans="1:2" x14ac:dyDescent="0.25">
      <c r="A11632" s="75">
        <v>48101501</v>
      </c>
      <c r="B11632" s="76" t="s">
        <v>1958</v>
      </c>
    </row>
    <row r="11633" spans="1:2" x14ac:dyDescent="0.25">
      <c r="A11633" s="75">
        <v>48101502</v>
      </c>
      <c r="B11633" s="76" t="s">
        <v>3474</v>
      </c>
    </row>
    <row r="11634" spans="1:2" x14ac:dyDescent="0.25">
      <c r="A11634" s="75">
        <v>48101503</v>
      </c>
      <c r="B11634" s="76" t="s">
        <v>17634</v>
      </c>
    </row>
    <row r="11635" spans="1:2" x14ac:dyDescent="0.25">
      <c r="A11635" s="75">
        <v>48101504</v>
      </c>
      <c r="B11635" s="76" t="s">
        <v>11552</v>
      </c>
    </row>
    <row r="11636" spans="1:2" x14ac:dyDescent="0.25">
      <c r="A11636" s="75">
        <v>48101505</v>
      </c>
      <c r="B11636" s="76" t="s">
        <v>18680</v>
      </c>
    </row>
    <row r="11637" spans="1:2" x14ac:dyDescent="0.25">
      <c r="A11637" s="75">
        <v>48101506</v>
      </c>
      <c r="B11637" s="76" t="s">
        <v>14631</v>
      </c>
    </row>
    <row r="11638" spans="1:2" x14ac:dyDescent="0.25">
      <c r="A11638" s="75">
        <v>48101507</v>
      </c>
      <c r="B11638" s="76" t="s">
        <v>15748</v>
      </c>
    </row>
    <row r="11639" spans="1:2" x14ac:dyDescent="0.25">
      <c r="A11639" s="75">
        <v>48101508</v>
      </c>
      <c r="B11639" s="76" t="s">
        <v>5318</v>
      </c>
    </row>
    <row r="11640" spans="1:2" x14ac:dyDescent="0.25">
      <c r="A11640" s="75">
        <v>48101509</v>
      </c>
      <c r="B11640" s="76" t="s">
        <v>2441</v>
      </c>
    </row>
    <row r="11641" spans="1:2" x14ac:dyDescent="0.25">
      <c r="A11641" s="75">
        <v>48101510</v>
      </c>
      <c r="B11641" s="76" t="s">
        <v>4277</v>
      </c>
    </row>
    <row r="11642" spans="1:2" x14ac:dyDescent="0.25">
      <c r="A11642" s="75">
        <v>48101511</v>
      </c>
      <c r="B11642" s="76" t="s">
        <v>7055</v>
      </c>
    </row>
    <row r="11643" spans="1:2" x14ac:dyDescent="0.25">
      <c r="A11643" s="75">
        <v>48101512</v>
      </c>
      <c r="B11643" s="76" t="s">
        <v>15059</v>
      </c>
    </row>
    <row r="11644" spans="1:2" x14ac:dyDescent="0.25">
      <c r="A11644" s="75">
        <v>48101513</v>
      </c>
      <c r="B11644" s="76" t="s">
        <v>3371</v>
      </c>
    </row>
    <row r="11645" spans="1:2" x14ac:dyDescent="0.25">
      <c r="A11645" s="75">
        <v>48101514</v>
      </c>
      <c r="B11645" s="76" t="s">
        <v>18080</v>
      </c>
    </row>
    <row r="11646" spans="1:2" x14ac:dyDescent="0.25">
      <c r="A11646" s="75">
        <v>48101515</v>
      </c>
      <c r="B11646" s="76" t="s">
        <v>10514</v>
      </c>
    </row>
    <row r="11647" spans="1:2" x14ac:dyDescent="0.25">
      <c r="A11647" s="75">
        <v>48101516</v>
      </c>
      <c r="B11647" s="76" t="s">
        <v>4453</v>
      </c>
    </row>
    <row r="11648" spans="1:2" x14ac:dyDescent="0.25">
      <c r="A11648" s="75">
        <v>48101517</v>
      </c>
      <c r="B11648" s="76" t="s">
        <v>3361</v>
      </c>
    </row>
    <row r="11649" spans="1:2" x14ac:dyDescent="0.25">
      <c r="A11649" s="75">
        <v>48101518</v>
      </c>
      <c r="B11649" s="76" t="s">
        <v>5397</v>
      </c>
    </row>
    <row r="11650" spans="1:2" x14ac:dyDescent="0.25">
      <c r="A11650" s="75">
        <v>48101519</v>
      </c>
      <c r="B11650" s="76" t="s">
        <v>8598</v>
      </c>
    </row>
    <row r="11651" spans="1:2" x14ac:dyDescent="0.25">
      <c r="A11651" s="75">
        <v>48101520</v>
      </c>
      <c r="B11651" s="76" t="s">
        <v>4289</v>
      </c>
    </row>
    <row r="11652" spans="1:2" x14ac:dyDescent="0.25">
      <c r="A11652" s="75">
        <v>48101521</v>
      </c>
      <c r="B11652" s="76" t="s">
        <v>20044</v>
      </c>
    </row>
    <row r="11653" spans="1:2" x14ac:dyDescent="0.25">
      <c r="A11653" s="75">
        <v>48101522</v>
      </c>
      <c r="B11653" s="76" t="s">
        <v>19452</v>
      </c>
    </row>
    <row r="11654" spans="1:2" x14ac:dyDescent="0.25">
      <c r="A11654" s="75">
        <v>48101523</v>
      </c>
      <c r="B11654" s="76" t="s">
        <v>2315</v>
      </c>
    </row>
    <row r="11655" spans="1:2" x14ac:dyDescent="0.25">
      <c r="A11655" s="75">
        <v>48101524</v>
      </c>
      <c r="B11655" s="76" t="s">
        <v>6852</v>
      </c>
    </row>
    <row r="11656" spans="1:2" x14ac:dyDescent="0.25">
      <c r="A11656" s="75">
        <v>48101525</v>
      </c>
      <c r="B11656" s="76" t="s">
        <v>6845</v>
      </c>
    </row>
    <row r="11657" spans="1:2" x14ac:dyDescent="0.25">
      <c r="A11657" s="75">
        <v>48101526</v>
      </c>
      <c r="B11657" s="76" t="s">
        <v>12419</v>
      </c>
    </row>
    <row r="11658" spans="1:2" x14ac:dyDescent="0.25">
      <c r="A11658" s="75">
        <v>48101527</v>
      </c>
      <c r="B11658" s="76" t="s">
        <v>3817</v>
      </c>
    </row>
    <row r="11659" spans="1:2" x14ac:dyDescent="0.25">
      <c r="A11659" s="75">
        <v>48101528</v>
      </c>
      <c r="B11659" s="76" t="s">
        <v>8462</v>
      </c>
    </row>
    <row r="11660" spans="1:2" x14ac:dyDescent="0.25">
      <c r="A11660" s="75">
        <v>48101529</v>
      </c>
      <c r="B11660" s="76" t="s">
        <v>17143</v>
      </c>
    </row>
    <row r="11661" spans="1:2" x14ac:dyDescent="0.25">
      <c r="A11661" s="75">
        <v>48101530</v>
      </c>
      <c r="B11661" s="76" t="s">
        <v>6733</v>
      </c>
    </row>
    <row r="11662" spans="1:2" x14ac:dyDescent="0.25">
      <c r="A11662" s="75">
        <v>48101531</v>
      </c>
      <c r="B11662" s="76" t="s">
        <v>2389</v>
      </c>
    </row>
    <row r="11663" spans="1:2" x14ac:dyDescent="0.25">
      <c r="A11663" s="75">
        <v>48101532</v>
      </c>
      <c r="B11663" s="76" t="s">
        <v>4837</v>
      </c>
    </row>
    <row r="11664" spans="1:2" x14ac:dyDescent="0.25">
      <c r="A11664" s="75">
        <v>48101601</v>
      </c>
      <c r="B11664" s="76" t="s">
        <v>18833</v>
      </c>
    </row>
    <row r="11665" spans="1:2" x14ac:dyDescent="0.25">
      <c r="A11665" s="75">
        <v>48101602</v>
      </c>
      <c r="B11665" s="76" t="s">
        <v>4627</v>
      </c>
    </row>
    <row r="11666" spans="1:2" x14ac:dyDescent="0.25">
      <c r="A11666" s="75">
        <v>48101603</v>
      </c>
      <c r="B11666" s="76" t="s">
        <v>17080</v>
      </c>
    </row>
    <row r="11667" spans="1:2" x14ac:dyDescent="0.25">
      <c r="A11667" s="75">
        <v>48101604</v>
      </c>
      <c r="B11667" s="76" t="s">
        <v>18722</v>
      </c>
    </row>
    <row r="11668" spans="1:2" x14ac:dyDescent="0.25">
      <c r="A11668" s="75">
        <v>48101605</v>
      </c>
      <c r="B11668" s="76" t="s">
        <v>11898</v>
      </c>
    </row>
    <row r="11669" spans="1:2" x14ac:dyDescent="0.25">
      <c r="A11669" s="75">
        <v>48101606</v>
      </c>
      <c r="B11669" s="76" t="s">
        <v>9729</v>
      </c>
    </row>
    <row r="11670" spans="1:2" x14ac:dyDescent="0.25">
      <c r="A11670" s="75">
        <v>48101607</v>
      </c>
      <c r="B11670" s="76" t="s">
        <v>12556</v>
      </c>
    </row>
    <row r="11671" spans="1:2" x14ac:dyDescent="0.25">
      <c r="A11671" s="75">
        <v>48101608</v>
      </c>
      <c r="B11671" s="76" t="s">
        <v>13691</v>
      </c>
    </row>
    <row r="11672" spans="1:2" x14ac:dyDescent="0.25">
      <c r="A11672" s="75">
        <v>48101609</v>
      </c>
      <c r="B11672" s="76" t="s">
        <v>11326</v>
      </c>
    </row>
    <row r="11673" spans="1:2" x14ac:dyDescent="0.25">
      <c r="A11673" s="75">
        <v>48101610</v>
      </c>
      <c r="B11673" s="76" t="s">
        <v>17696</v>
      </c>
    </row>
    <row r="11674" spans="1:2" x14ac:dyDescent="0.25">
      <c r="A11674" s="75">
        <v>48101611</v>
      </c>
      <c r="B11674" s="76" t="s">
        <v>5520</v>
      </c>
    </row>
    <row r="11675" spans="1:2" x14ac:dyDescent="0.25">
      <c r="A11675" s="75">
        <v>48101612</v>
      </c>
      <c r="B11675" s="76" t="s">
        <v>13729</v>
      </c>
    </row>
    <row r="11676" spans="1:2" x14ac:dyDescent="0.25">
      <c r="A11676" s="75">
        <v>48101613</v>
      </c>
      <c r="B11676" s="76" t="s">
        <v>18781</v>
      </c>
    </row>
    <row r="11677" spans="1:2" x14ac:dyDescent="0.25">
      <c r="A11677" s="75">
        <v>48101614</v>
      </c>
      <c r="B11677" s="76" t="s">
        <v>17175</v>
      </c>
    </row>
    <row r="11678" spans="1:2" x14ac:dyDescent="0.25">
      <c r="A11678" s="75">
        <v>48101615</v>
      </c>
      <c r="B11678" s="76" t="s">
        <v>375</v>
      </c>
    </row>
    <row r="11679" spans="1:2" x14ac:dyDescent="0.25">
      <c r="A11679" s="75">
        <v>48101616</v>
      </c>
      <c r="B11679" s="76" t="s">
        <v>2299</v>
      </c>
    </row>
    <row r="11680" spans="1:2" x14ac:dyDescent="0.25">
      <c r="A11680" s="75">
        <v>48101617</v>
      </c>
      <c r="B11680" s="76" t="s">
        <v>249</v>
      </c>
    </row>
    <row r="11681" spans="1:2" x14ac:dyDescent="0.25">
      <c r="A11681" s="75">
        <v>48101701</v>
      </c>
      <c r="B11681" s="76" t="s">
        <v>16491</v>
      </c>
    </row>
    <row r="11682" spans="1:2" x14ac:dyDescent="0.25">
      <c r="A11682" s="75">
        <v>48101702</v>
      </c>
      <c r="B11682" s="76" t="s">
        <v>11601</v>
      </c>
    </row>
    <row r="11683" spans="1:2" x14ac:dyDescent="0.25">
      <c r="A11683" s="75">
        <v>48101703</v>
      </c>
      <c r="B11683" s="76" t="s">
        <v>1409</v>
      </c>
    </row>
    <row r="11684" spans="1:2" x14ac:dyDescent="0.25">
      <c r="A11684" s="75">
        <v>48101704</v>
      </c>
      <c r="B11684" s="76" t="s">
        <v>7023</v>
      </c>
    </row>
    <row r="11685" spans="1:2" x14ac:dyDescent="0.25">
      <c r="A11685" s="75">
        <v>48101705</v>
      </c>
      <c r="B11685" s="76" t="s">
        <v>3018</v>
      </c>
    </row>
    <row r="11686" spans="1:2" x14ac:dyDescent="0.25">
      <c r="A11686" s="75">
        <v>48101706</v>
      </c>
      <c r="B11686" s="76" t="s">
        <v>8221</v>
      </c>
    </row>
    <row r="11687" spans="1:2" x14ac:dyDescent="0.25">
      <c r="A11687" s="75">
        <v>48101707</v>
      </c>
      <c r="B11687" s="76" t="s">
        <v>16137</v>
      </c>
    </row>
    <row r="11688" spans="1:2" x14ac:dyDescent="0.25">
      <c r="A11688" s="75">
        <v>48101708</v>
      </c>
      <c r="B11688" s="76" t="s">
        <v>6936</v>
      </c>
    </row>
    <row r="11689" spans="1:2" x14ac:dyDescent="0.25">
      <c r="A11689" s="75">
        <v>48101709</v>
      </c>
      <c r="B11689" s="76" t="s">
        <v>6132</v>
      </c>
    </row>
    <row r="11690" spans="1:2" x14ac:dyDescent="0.25">
      <c r="A11690" s="75">
        <v>48101710</v>
      </c>
      <c r="B11690" s="76" t="s">
        <v>9739</v>
      </c>
    </row>
    <row r="11691" spans="1:2" x14ac:dyDescent="0.25">
      <c r="A11691" s="75">
        <v>48101711</v>
      </c>
      <c r="B11691" s="76" t="s">
        <v>13165</v>
      </c>
    </row>
    <row r="11692" spans="1:2" x14ac:dyDescent="0.25">
      <c r="A11692" s="75">
        <v>48101712</v>
      </c>
      <c r="B11692" s="76" t="s">
        <v>5683</v>
      </c>
    </row>
    <row r="11693" spans="1:2" x14ac:dyDescent="0.25">
      <c r="A11693" s="75">
        <v>48101713</v>
      </c>
      <c r="B11693" s="76" t="s">
        <v>1623</v>
      </c>
    </row>
    <row r="11694" spans="1:2" x14ac:dyDescent="0.25">
      <c r="A11694" s="75">
        <v>48101714</v>
      </c>
      <c r="B11694" s="76" t="s">
        <v>13163</v>
      </c>
    </row>
    <row r="11695" spans="1:2" x14ac:dyDescent="0.25">
      <c r="A11695" s="75">
        <v>48101715</v>
      </c>
      <c r="B11695" s="76" t="s">
        <v>19790</v>
      </c>
    </row>
    <row r="11696" spans="1:2" x14ac:dyDescent="0.25">
      <c r="A11696" s="75">
        <v>48101801</v>
      </c>
      <c r="B11696" s="76" t="s">
        <v>503</v>
      </c>
    </row>
    <row r="11697" spans="1:2" x14ac:dyDescent="0.25">
      <c r="A11697" s="75">
        <v>48101802</v>
      </c>
      <c r="B11697" s="76" t="s">
        <v>3429</v>
      </c>
    </row>
    <row r="11698" spans="1:2" x14ac:dyDescent="0.25">
      <c r="A11698" s="75">
        <v>48101803</v>
      </c>
      <c r="B11698" s="76" t="s">
        <v>14081</v>
      </c>
    </row>
    <row r="11699" spans="1:2" x14ac:dyDescent="0.25">
      <c r="A11699" s="75">
        <v>48101804</v>
      </c>
      <c r="B11699" s="76" t="s">
        <v>2026</v>
      </c>
    </row>
    <row r="11700" spans="1:2" x14ac:dyDescent="0.25">
      <c r="A11700" s="75">
        <v>48101805</v>
      </c>
      <c r="B11700" s="76" t="s">
        <v>16957</v>
      </c>
    </row>
    <row r="11701" spans="1:2" x14ac:dyDescent="0.25">
      <c r="A11701" s="75">
        <v>48101806</v>
      </c>
      <c r="B11701" s="76" t="s">
        <v>4079</v>
      </c>
    </row>
    <row r="11702" spans="1:2" x14ac:dyDescent="0.25">
      <c r="A11702" s="75">
        <v>48101807</v>
      </c>
      <c r="B11702" s="76" t="s">
        <v>794</v>
      </c>
    </row>
    <row r="11703" spans="1:2" x14ac:dyDescent="0.25">
      <c r="A11703" s="75">
        <v>48101808</v>
      </c>
      <c r="B11703" s="76" t="s">
        <v>16719</v>
      </c>
    </row>
    <row r="11704" spans="1:2" x14ac:dyDescent="0.25">
      <c r="A11704" s="75">
        <v>48101809</v>
      </c>
      <c r="B11704" s="76" t="s">
        <v>10219</v>
      </c>
    </row>
    <row r="11705" spans="1:2" x14ac:dyDescent="0.25">
      <c r="A11705" s="75">
        <v>48101810</v>
      </c>
      <c r="B11705" s="76" t="s">
        <v>18415</v>
      </c>
    </row>
    <row r="11706" spans="1:2" x14ac:dyDescent="0.25">
      <c r="A11706" s="75">
        <v>48101811</v>
      </c>
      <c r="B11706" s="76" t="s">
        <v>3615</v>
      </c>
    </row>
    <row r="11707" spans="1:2" x14ac:dyDescent="0.25">
      <c r="A11707" s="75">
        <v>48101812</v>
      </c>
      <c r="B11707" s="76" t="s">
        <v>582</v>
      </c>
    </row>
    <row r="11708" spans="1:2" x14ac:dyDescent="0.25">
      <c r="A11708" s="75">
        <v>48101813</v>
      </c>
      <c r="B11708" s="76" t="s">
        <v>5932</v>
      </c>
    </row>
    <row r="11709" spans="1:2" x14ac:dyDescent="0.25">
      <c r="A11709" s="75">
        <v>48101814</v>
      </c>
      <c r="B11709" s="76" t="s">
        <v>3505</v>
      </c>
    </row>
    <row r="11710" spans="1:2" x14ac:dyDescent="0.25">
      <c r="A11710" s="75">
        <v>48101815</v>
      </c>
      <c r="B11710" s="76" t="s">
        <v>7367</v>
      </c>
    </row>
    <row r="11711" spans="1:2" x14ac:dyDescent="0.25">
      <c r="A11711" s="75">
        <v>48101816</v>
      </c>
      <c r="B11711" s="76" t="s">
        <v>7790</v>
      </c>
    </row>
    <row r="11712" spans="1:2" x14ac:dyDescent="0.25">
      <c r="A11712" s="75">
        <v>48101817</v>
      </c>
      <c r="B11712" s="76" t="s">
        <v>378</v>
      </c>
    </row>
    <row r="11713" spans="1:2" x14ac:dyDescent="0.25">
      <c r="A11713" s="75">
        <v>48101901</v>
      </c>
      <c r="B11713" s="76" t="s">
        <v>8312</v>
      </c>
    </row>
    <row r="11714" spans="1:2" x14ac:dyDescent="0.25">
      <c r="A11714" s="75">
        <v>48101902</v>
      </c>
      <c r="B11714" s="76" t="s">
        <v>8334</v>
      </c>
    </row>
    <row r="11715" spans="1:2" x14ac:dyDescent="0.25">
      <c r="A11715" s="75">
        <v>48101903</v>
      </c>
      <c r="B11715" s="76" t="s">
        <v>17700</v>
      </c>
    </row>
    <row r="11716" spans="1:2" x14ac:dyDescent="0.25">
      <c r="A11716" s="75">
        <v>48101904</v>
      </c>
      <c r="B11716" s="76" t="s">
        <v>15384</v>
      </c>
    </row>
    <row r="11717" spans="1:2" x14ac:dyDescent="0.25">
      <c r="A11717" s="75">
        <v>48101905</v>
      </c>
      <c r="B11717" s="76" t="s">
        <v>3869</v>
      </c>
    </row>
    <row r="11718" spans="1:2" x14ac:dyDescent="0.25">
      <c r="A11718" s="75">
        <v>48101906</v>
      </c>
      <c r="B11718" s="76" t="s">
        <v>18708</v>
      </c>
    </row>
    <row r="11719" spans="1:2" x14ac:dyDescent="0.25">
      <c r="A11719" s="75">
        <v>48101907</v>
      </c>
      <c r="B11719" s="76" t="s">
        <v>8641</v>
      </c>
    </row>
    <row r="11720" spans="1:2" x14ac:dyDescent="0.25">
      <c r="A11720" s="75">
        <v>48101908</v>
      </c>
      <c r="B11720" s="76" t="s">
        <v>5364</v>
      </c>
    </row>
    <row r="11721" spans="1:2" x14ac:dyDescent="0.25">
      <c r="A11721" s="75">
        <v>48101909</v>
      </c>
      <c r="B11721" s="76" t="s">
        <v>12868</v>
      </c>
    </row>
    <row r="11722" spans="1:2" x14ac:dyDescent="0.25">
      <c r="A11722" s="75">
        <v>48101910</v>
      </c>
      <c r="B11722" s="76" t="s">
        <v>6731</v>
      </c>
    </row>
    <row r="11723" spans="1:2" x14ac:dyDescent="0.25">
      <c r="A11723" s="75">
        <v>48101911</v>
      </c>
      <c r="B11723" s="76" t="s">
        <v>9998</v>
      </c>
    </row>
    <row r="11724" spans="1:2" x14ac:dyDescent="0.25">
      <c r="A11724" s="75">
        <v>48101912</v>
      </c>
      <c r="B11724" s="76" t="s">
        <v>15434</v>
      </c>
    </row>
    <row r="11725" spans="1:2" x14ac:dyDescent="0.25">
      <c r="A11725" s="75">
        <v>48101913</v>
      </c>
      <c r="B11725" s="76" t="s">
        <v>585</v>
      </c>
    </row>
    <row r="11726" spans="1:2" x14ac:dyDescent="0.25">
      <c r="A11726" s="75">
        <v>48101914</v>
      </c>
      <c r="B11726" s="76" t="s">
        <v>11332</v>
      </c>
    </row>
    <row r="11727" spans="1:2" x14ac:dyDescent="0.25">
      <c r="A11727" s="75">
        <v>48101915</v>
      </c>
      <c r="B11727" s="76" t="s">
        <v>9141</v>
      </c>
    </row>
    <row r="11728" spans="1:2" x14ac:dyDescent="0.25">
      <c r="A11728" s="75">
        <v>48101916</v>
      </c>
      <c r="B11728" s="76" t="s">
        <v>57</v>
      </c>
    </row>
    <row r="11729" spans="1:2" x14ac:dyDescent="0.25">
      <c r="A11729" s="75">
        <v>48101917</v>
      </c>
      <c r="B11729" s="76" t="s">
        <v>3006</v>
      </c>
    </row>
    <row r="11730" spans="1:2" x14ac:dyDescent="0.25">
      <c r="A11730" s="75">
        <v>48101918</v>
      </c>
      <c r="B11730" s="76" t="s">
        <v>13074</v>
      </c>
    </row>
    <row r="11731" spans="1:2" x14ac:dyDescent="0.25">
      <c r="A11731" s="75">
        <v>48101919</v>
      </c>
      <c r="B11731" s="76" t="s">
        <v>15538</v>
      </c>
    </row>
    <row r="11732" spans="1:2" x14ac:dyDescent="0.25">
      <c r="A11732" s="75">
        <v>48101920</v>
      </c>
      <c r="B11732" s="76" t="s">
        <v>1395</v>
      </c>
    </row>
    <row r="11733" spans="1:2" x14ac:dyDescent="0.25">
      <c r="A11733" s="75">
        <v>48102001</v>
      </c>
      <c r="B11733" s="76" t="s">
        <v>9476</v>
      </c>
    </row>
    <row r="11734" spans="1:2" x14ac:dyDescent="0.25">
      <c r="A11734" s="75">
        <v>48102002</v>
      </c>
      <c r="B11734" s="76" t="s">
        <v>11821</v>
      </c>
    </row>
    <row r="11735" spans="1:2" x14ac:dyDescent="0.25">
      <c r="A11735" s="75">
        <v>48102003</v>
      </c>
      <c r="B11735" s="76" t="s">
        <v>8583</v>
      </c>
    </row>
    <row r="11736" spans="1:2" x14ac:dyDescent="0.25">
      <c r="A11736" s="75">
        <v>48102004</v>
      </c>
      <c r="B11736" s="76" t="s">
        <v>13666</v>
      </c>
    </row>
    <row r="11737" spans="1:2" x14ac:dyDescent="0.25">
      <c r="A11737" s="75">
        <v>48102005</v>
      </c>
      <c r="B11737" s="76" t="s">
        <v>3346</v>
      </c>
    </row>
    <row r="11738" spans="1:2" x14ac:dyDescent="0.25">
      <c r="A11738" s="75">
        <v>48102006</v>
      </c>
      <c r="B11738" s="76" t="s">
        <v>14277</v>
      </c>
    </row>
    <row r="11739" spans="1:2" x14ac:dyDescent="0.25">
      <c r="A11739" s="75">
        <v>48102007</v>
      </c>
      <c r="B11739" s="76" t="s">
        <v>895</v>
      </c>
    </row>
    <row r="11740" spans="1:2" x14ac:dyDescent="0.25">
      <c r="A11740" s="75">
        <v>48102101</v>
      </c>
      <c r="B11740" s="76" t="s">
        <v>3319</v>
      </c>
    </row>
    <row r="11741" spans="1:2" x14ac:dyDescent="0.25">
      <c r="A11741" s="75">
        <v>48102102</v>
      </c>
      <c r="B11741" s="76" t="s">
        <v>11033</v>
      </c>
    </row>
    <row r="11742" spans="1:2" x14ac:dyDescent="0.25">
      <c r="A11742" s="75">
        <v>48102103</v>
      </c>
      <c r="B11742" s="76" t="s">
        <v>1123</v>
      </c>
    </row>
    <row r="11743" spans="1:2" x14ac:dyDescent="0.25">
      <c r="A11743" s="75">
        <v>48102104</v>
      </c>
      <c r="B11743" s="76" t="s">
        <v>19037</v>
      </c>
    </row>
    <row r="11744" spans="1:2" x14ac:dyDescent="0.25">
      <c r="A11744" s="75">
        <v>48102105</v>
      </c>
      <c r="B11744" s="76" t="s">
        <v>13693</v>
      </c>
    </row>
    <row r="11745" spans="1:2" x14ac:dyDescent="0.25">
      <c r="A11745" s="75">
        <v>48102106</v>
      </c>
      <c r="B11745" s="76" t="s">
        <v>824</v>
      </c>
    </row>
    <row r="11746" spans="1:2" x14ac:dyDescent="0.25">
      <c r="A11746" s="75">
        <v>48102107</v>
      </c>
      <c r="B11746" s="76" t="s">
        <v>19957</v>
      </c>
    </row>
    <row r="11747" spans="1:2" x14ac:dyDescent="0.25">
      <c r="A11747" s="75">
        <v>48111001</v>
      </c>
      <c r="B11747" s="76" t="s">
        <v>17226</v>
      </c>
    </row>
    <row r="11748" spans="1:2" x14ac:dyDescent="0.25">
      <c r="A11748" s="75">
        <v>48111002</v>
      </c>
      <c r="B11748" s="76" t="s">
        <v>3550</v>
      </c>
    </row>
    <row r="11749" spans="1:2" x14ac:dyDescent="0.25">
      <c r="A11749" s="75">
        <v>48111101</v>
      </c>
      <c r="B11749" s="76" t="s">
        <v>19367</v>
      </c>
    </row>
    <row r="11750" spans="1:2" x14ac:dyDescent="0.25">
      <c r="A11750" s="75">
        <v>48111102</v>
      </c>
      <c r="B11750" s="76" t="s">
        <v>921</v>
      </c>
    </row>
    <row r="11751" spans="1:2" x14ac:dyDescent="0.25">
      <c r="A11751" s="75">
        <v>48111103</v>
      </c>
      <c r="B11751" s="76" t="s">
        <v>2140</v>
      </c>
    </row>
    <row r="11752" spans="1:2" x14ac:dyDescent="0.25">
      <c r="A11752" s="75">
        <v>48111104</v>
      </c>
      <c r="B11752" s="76" t="s">
        <v>9796</v>
      </c>
    </row>
    <row r="11753" spans="1:2" x14ac:dyDescent="0.25">
      <c r="A11753" s="75">
        <v>48111105</v>
      </c>
      <c r="B11753" s="76" t="s">
        <v>8417</v>
      </c>
    </row>
    <row r="11754" spans="1:2" x14ac:dyDescent="0.25">
      <c r="A11754" s="75">
        <v>48111106</v>
      </c>
      <c r="B11754" s="76" t="s">
        <v>10177</v>
      </c>
    </row>
    <row r="11755" spans="1:2" x14ac:dyDescent="0.25">
      <c r="A11755" s="75">
        <v>48111107</v>
      </c>
      <c r="B11755" s="76" t="s">
        <v>1248</v>
      </c>
    </row>
    <row r="11756" spans="1:2" x14ac:dyDescent="0.25">
      <c r="A11756" s="75">
        <v>48111108</v>
      </c>
      <c r="B11756" s="76" t="s">
        <v>8602</v>
      </c>
    </row>
    <row r="11757" spans="1:2" x14ac:dyDescent="0.25">
      <c r="A11757" s="75">
        <v>48111201</v>
      </c>
      <c r="B11757" s="76" t="s">
        <v>1926</v>
      </c>
    </row>
    <row r="11758" spans="1:2" x14ac:dyDescent="0.25">
      <c r="A11758" s="75">
        <v>48111202</v>
      </c>
      <c r="B11758" s="76" t="s">
        <v>18808</v>
      </c>
    </row>
    <row r="11759" spans="1:2" x14ac:dyDescent="0.25">
      <c r="A11759" s="75">
        <v>48111301</v>
      </c>
      <c r="B11759" s="76" t="s">
        <v>18417</v>
      </c>
    </row>
    <row r="11760" spans="1:2" x14ac:dyDescent="0.25">
      <c r="A11760" s="75">
        <v>48111302</v>
      </c>
      <c r="B11760" s="76" t="s">
        <v>12914</v>
      </c>
    </row>
    <row r="11761" spans="1:2" x14ac:dyDescent="0.25">
      <c r="A11761" s="75">
        <v>48111303</v>
      </c>
      <c r="B11761" s="76" t="s">
        <v>14575</v>
      </c>
    </row>
    <row r="11762" spans="1:2" x14ac:dyDescent="0.25">
      <c r="A11762" s="75">
        <v>48111401</v>
      </c>
      <c r="B11762" s="76" t="s">
        <v>7791</v>
      </c>
    </row>
    <row r="11763" spans="1:2" x14ac:dyDescent="0.25">
      <c r="A11763" s="75">
        <v>48111402</v>
      </c>
      <c r="B11763" s="76" t="s">
        <v>18770</v>
      </c>
    </row>
    <row r="11764" spans="1:2" x14ac:dyDescent="0.25">
      <c r="A11764" s="75">
        <v>48111403</v>
      </c>
      <c r="B11764" s="76" t="s">
        <v>17874</v>
      </c>
    </row>
    <row r="11765" spans="1:2" x14ac:dyDescent="0.25">
      <c r="A11765" s="75">
        <v>48111404</v>
      </c>
      <c r="B11765" s="76" t="s">
        <v>1104</v>
      </c>
    </row>
    <row r="11766" spans="1:2" x14ac:dyDescent="0.25">
      <c r="A11766" s="75">
        <v>48111405</v>
      </c>
      <c r="B11766" s="76" t="s">
        <v>19045</v>
      </c>
    </row>
    <row r="11767" spans="1:2" x14ac:dyDescent="0.25">
      <c r="A11767" s="75">
        <v>48121101</v>
      </c>
      <c r="B11767" s="76" t="s">
        <v>18046</v>
      </c>
    </row>
    <row r="11768" spans="1:2" x14ac:dyDescent="0.25">
      <c r="A11768" s="75">
        <v>48121201</v>
      </c>
      <c r="B11768" s="76" t="s">
        <v>9512</v>
      </c>
    </row>
    <row r="11769" spans="1:2" x14ac:dyDescent="0.25">
      <c r="A11769" s="75">
        <v>48121202</v>
      </c>
      <c r="B11769" s="76" t="s">
        <v>11053</v>
      </c>
    </row>
    <row r="11770" spans="1:2" x14ac:dyDescent="0.25">
      <c r="A11770" s="75">
        <v>48121301</v>
      </c>
      <c r="B11770" s="76" t="s">
        <v>10468</v>
      </c>
    </row>
    <row r="11771" spans="1:2" x14ac:dyDescent="0.25">
      <c r="A11771" s="75">
        <v>48121302</v>
      </c>
      <c r="B11771" s="76" t="s">
        <v>7643</v>
      </c>
    </row>
    <row r="11772" spans="1:2" x14ac:dyDescent="0.25">
      <c r="A11772" s="75">
        <v>49101601</v>
      </c>
      <c r="B11772" s="76" t="s">
        <v>8859</v>
      </c>
    </row>
    <row r="11773" spans="1:2" x14ac:dyDescent="0.25">
      <c r="A11773" s="75">
        <v>49101602</v>
      </c>
      <c r="B11773" s="76" t="s">
        <v>15379</v>
      </c>
    </row>
    <row r="11774" spans="1:2" x14ac:dyDescent="0.25">
      <c r="A11774" s="75">
        <v>49101603</v>
      </c>
      <c r="B11774" s="76" t="s">
        <v>3577</v>
      </c>
    </row>
    <row r="11775" spans="1:2" x14ac:dyDescent="0.25">
      <c r="A11775" s="75">
        <v>49101604</v>
      </c>
      <c r="B11775" s="76" t="s">
        <v>1369</v>
      </c>
    </row>
    <row r="11776" spans="1:2" x14ac:dyDescent="0.25">
      <c r="A11776" s="75">
        <v>49101605</v>
      </c>
      <c r="B11776" s="76" t="s">
        <v>16912</v>
      </c>
    </row>
    <row r="11777" spans="1:2" x14ac:dyDescent="0.25">
      <c r="A11777" s="75">
        <v>49101606</v>
      </c>
      <c r="B11777" s="76" t="s">
        <v>12531</v>
      </c>
    </row>
    <row r="11778" spans="1:2" x14ac:dyDescent="0.25">
      <c r="A11778" s="75">
        <v>49101607</v>
      </c>
      <c r="B11778" s="76" t="s">
        <v>4862</v>
      </c>
    </row>
    <row r="11779" spans="1:2" x14ac:dyDescent="0.25">
      <c r="A11779" s="75">
        <v>49101608</v>
      </c>
      <c r="B11779" s="76" t="s">
        <v>18037</v>
      </c>
    </row>
    <row r="11780" spans="1:2" x14ac:dyDescent="0.25">
      <c r="A11780" s="75">
        <v>49101609</v>
      </c>
      <c r="B11780" s="76" t="s">
        <v>2737</v>
      </c>
    </row>
    <row r="11781" spans="1:2" x14ac:dyDescent="0.25">
      <c r="A11781" s="75">
        <v>49101611</v>
      </c>
      <c r="B11781" s="76" t="s">
        <v>1367</v>
      </c>
    </row>
    <row r="11782" spans="1:2" x14ac:dyDescent="0.25">
      <c r="A11782" s="75">
        <v>49101612</v>
      </c>
      <c r="B11782" s="76" t="s">
        <v>17081</v>
      </c>
    </row>
    <row r="11783" spans="1:2" x14ac:dyDescent="0.25">
      <c r="A11783" s="75">
        <v>49101613</v>
      </c>
      <c r="B11783" s="76" t="s">
        <v>11850</v>
      </c>
    </row>
    <row r="11784" spans="1:2" x14ac:dyDescent="0.25">
      <c r="A11784" s="75">
        <v>49101701</v>
      </c>
      <c r="B11784" s="76" t="s">
        <v>8097</v>
      </c>
    </row>
    <row r="11785" spans="1:2" x14ac:dyDescent="0.25">
      <c r="A11785" s="75">
        <v>49101702</v>
      </c>
      <c r="B11785" s="76" t="s">
        <v>20046</v>
      </c>
    </row>
    <row r="11786" spans="1:2" x14ac:dyDescent="0.25">
      <c r="A11786" s="75">
        <v>49101704</v>
      </c>
      <c r="B11786" s="76" t="s">
        <v>3691</v>
      </c>
    </row>
    <row r="11787" spans="1:2" x14ac:dyDescent="0.25">
      <c r="A11787" s="75">
        <v>49101705</v>
      </c>
      <c r="B11787" s="76" t="s">
        <v>8615</v>
      </c>
    </row>
    <row r="11788" spans="1:2" x14ac:dyDescent="0.25">
      <c r="A11788" s="75">
        <v>49101706</v>
      </c>
      <c r="B11788" s="76" t="s">
        <v>10865</v>
      </c>
    </row>
    <row r="11789" spans="1:2" x14ac:dyDescent="0.25">
      <c r="A11789" s="75">
        <v>49101707</v>
      </c>
      <c r="B11789" s="76" t="s">
        <v>16584</v>
      </c>
    </row>
    <row r="11790" spans="1:2" x14ac:dyDescent="0.25">
      <c r="A11790" s="75">
        <v>49101708</v>
      </c>
      <c r="B11790" s="76" t="s">
        <v>1964</v>
      </c>
    </row>
    <row r="11791" spans="1:2" x14ac:dyDescent="0.25">
      <c r="A11791" s="75">
        <v>49121502</v>
      </c>
      <c r="B11791" s="76" t="s">
        <v>9601</v>
      </c>
    </row>
    <row r="11792" spans="1:2" x14ac:dyDescent="0.25">
      <c r="A11792" s="75">
        <v>49121503</v>
      </c>
      <c r="B11792" s="76" t="s">
        <v>11930</v>
      </c>
    </row>
    <row r="11793" spans="1:2" x14ac:dyDescent="0.25">
      <c r="A11793" s="75">
        <v>49121504</v>
      </c>
      <c r="B11793" s="76" t="s">
        <v>9865</v>
      </c>
    </row>
    <row r="11794" spans="1:2" x14ac:dyDescent="0.25">
      <c r="A11794" s="75">
        <v>49121505</v>
      </c>
      <c r="B11794" s="76" t="s">
        <v>2599</v>
      </c>
    </row>
    <row r="11795" spans="1:2" x14ac:dyDescent="0.25">
      <c r="A11795" s="75">
        <v>49121506</v>
      </c>
      <c r="B11795" s="76" t="s">
        <v>9901</v>
      </c>
    </row>
    <row r="11796" spans="1:2" x14ac:dyDescent="0.25">
      <c r="A11796" s="75">
        <v>49121507</v>
      </c>
      <c r="B11796" s="76" t="s">
        <v>15772</v>
      </c>
    </row>
    <row r="11797" spans="1:2" x14ac:dyDescent="0.25">
      <c r="A11797" s="75">
        <v>49121508</v>
      </c>
      <c r="B11797" s="76" t="s">
        <v>12904</v>
      </c>
    </row>
    <row r="11798" spans="1:2" x14ac:dyDescent="0.25">
      <c r="A11798" s="75">
        <v>49121509</v>
      </c>
      <c r="B11798" s="76" t="s">
        <v>13374</v>
      </c>
    </row>
    <row r="11799" spans="1:2" x14ac:dyDescent="0.25">
      <c r="A11799" s="75">
        <v>49121510</v>
      </c>
      <c r="B11799" s="76" t="s">
        <v>14482</v>
      </c>
    </row>
    <row r="11800" spans="1:2" x14ac:dyDescent="0.25">
      <c r="A11800" s="75">
        <v>49121601</v>
      </c>
      <c r="B11800" s="76" t="s">
        <v>8233</v>
      </c>
    </row>
    <row r="11801" spans="1:2" x14ac:dyDescent="0.25">
      <c r="A11801" s="75">
        <v>49121602</v>
      </c>
      <c r="B11801" s="76" t="s">
        <v>2682</v>
      </c>
    </row>
    <row r="11802" spans="1:2" x14ac:dyDescent="0.25">
      <c r="A11802" s="75">
        <v>49121603</v>
      </c>
      <c r="B11802" s="76" t="s">
        <v>4236</v>
      </c>
    </row>
    <row r="11803" spans="1:2" x14ac:dyDescent="0.25">
      <c r="A11803" s="75">
        <v>49131501</v>
      </c>
      <c r="B11803" s="76" t="s">
        <v>6317</v>
      </c>
    </row>
    <row r="11804" spans="1:2" x14ac:dyDescent="0.25">
      <c r="A11804" s="75">
        <v>49131502</v>
      </c>
      <c r="B11804" s="76" t="s">
        <v>13423</v>
      </c>
    </row>
    <row r="11805" spans="1:2" x14ac:dyDescent="0.25">
      <c r="A11805" s="75">
        <v>49131503</v>
      </c>
      <c r="B11805" s="76" t="s">
        <v>4219</v>
      </c>
    </row>
    <row r="11806" spans="1:2" x14ac:dyDescent="0.25">
      <c r="A11806" s="75">
        <v>49131504</v>
      </c>
      <c r="B11806" s="76" t="s">
        <v>2622</v>
      </c>
    </row>
    <row r="11807" spans="1:2" x14ac:dyDescent="0.25">
      <c r="A11807" s="75">
        <v>49131505</v>
      </c>
      <c r="B11807" s="76" t="s">
        <v>4129</v>
      </c>
    </row>
    <row r="11808" spans="1:2" x14ac:dyDescent="0.25">
      <c r="A11808" s="75">
        <v>49131506</v>
      </c>
      <c r="B11808" s="76" t="s">
        <v>12581</v>
      </c>
    </row>
    <row r="11809" spans="1:2" x14ac:dyDescent="0.25">
      <c r="A11809" s="75">
        <v>49131601</v>
      </c>
      <c r="B11809" s="76" t="s">
        <v>2820</v>
      </c>
    </row>
    <row r="11810" spans="1:2" x14ac:dyDescent="0.25">
      <c r="A11810" s="75">
        <v>49131602</v>
      </c>
      <c r="B11810" s="76" t="s">
        <v>16748</v>
      </c>
    </row>
    <row r="11811" spans="1:2" x14ac:dyDescent="0.25">
      <c r="A11811" s="75">
        <v>49131603</v>
      </c>
      <c r="B11811" s="76" t="s">
        <v>3856</v>
      </c>
    </row>
    <row r="11812" spans="1:2" x14ac:dyDescent="0.25">
      <c r="A11812" s="75">
        <v>49131604</v>
      </c>
      <c r="B11812" s="76" t="s">
        <v>13037</v>
      </c>
    </row>
    <row r="11813" spans="1:2" x14ac:dyDescent="0.25">
      <c r="A11813" s="75">
        <v>49131605</v>
      </c>
      <c r="B11813" s="76" t="s">
        <v>19888</v>
      </c>
    </row>
    <row r="11814" spans="1:2" x14ac:dyDescent="0.25">
      <c r="A11814" s="75">
        <v>49131606</v>
      </c>
      <c r="B11814" s="76" t="s">
        <v>2126</v>
      </c>
    </row>
    <row r="11815" spans="1:2" x14ac:dyDescent="0.25">
      <c r="A11815" s="75">
        <v>49131607</v>
      </c>
      <c r="B11815" s="76" t="s">
        <v>6882</v>
      </c>
    </row>
    <row r="11816" spans="1:2" x14ac:dyDescent="0.25">
      <c r="A11816" s="75">
        <v>49141501</v>
      </c>
      <c r="B11816" s="76" t="s">
        <v>7617</v>
      </c>
    </row>
    <row r="11817" spans="1:2" x14ac:dyDescent="0.25">
      <c r="A11817" s="75">
        <v>49141502</v>
      </c>
      <c r="B11817" s="76" t="s">
        <v>312</v>
      </c>
    </row>
    <row r="11818" spans="1:2" x14ac:dyDescent="0.25">
      <c r="A11818" s="75">
        <v>49141503</v>
      </c>
      <c r="B11818" s="76" t="s">
        <v>10496</v>
      </c>
    </row>
    <row r="11819" spans="1:2" x14ac:dyDescent="0.25">
      <c r="A11819" s="75">
        <v>49141504</v>
      </c>
      <c r="B11819" s="76" t="s">
        <v>10537</v>
      </c>
    </row>
    <row r="11820" spans="1:2" x14ac:dyDescent="0.25">
      <c r="A11820" s="75">
        <v>49141505</v>
      </c>
      <c r="B11820" s="76" t="s">
        <v>15666</v>
      </c>
    </row>
    <row r="11821" spans="1:2" x14ac:dyDescent="0.25">
      <c r="A11821" s="75">
        <v>49141506</v>
      </c>
      <c r="B11821" s="76" t="s">
        <v>1232</v>
      </c>
    </row>
    <row r="11822" spans="1:2" x14ac:dyDescent="0.25">
      <c r="A11822" s="75">
        <v>49141507</v>
      </c>
      <c r="B11822" s="76" t="s">
        <v>9154</v>
      </c>
    </row>
    <row r="11823" spans="1:2" x14ac:dyDescent="0.25">
      <c r="A11823" s="75">
        <v>49141602</v>
      </c>
      <c r="B11823" s="76" t="s">
        <v>123</v>
      </c>
    </row>
    <row r="11824" spans="1:2" x14ac:dyDescent="0.25">
      <c r="A11824" s="75">
        <v>49141603</v>
      </c>
      <c r="B11824" s="76" t="s">
        <v>7985</v>
      </c>
    </row>
    <row r="11825" spans="1:2" x14ac:dyDescent="0.25">
      <c r="A11825" s="75">
        <v>49141604</v>
      </c>
      <c r="B11825" s="76" t="s">
        <v>2773</v>
      </c>
    </row>
    <row r="11826" spans="1:2" x14ac:dyDescent="0.25">
      <c r="A11826" s="75">
        <v>49141605</v>
      </c>
      <c r="B11826" s="76" t="s">
        <v>18508</v>
      </c>
    </row>
    <row r="11827" spans="1:2" x14ac:dyDescent="0.25">
      <c r="A11827" s="75">
        <v>49141606</v>
      </c>
      <c r="B11827" s="76" t="s">
        <v>2291</v>
      </c>
    </row>
    <row r="11828" spans="1:2" x14ac:dyDescent="0.25">
      <c r="A11828" s="75">
        <v>49141607</v>
      </c>
      <c r="B11828" s="76" t="s">
        <v>5054</v>
      </c>
    </row>
    <row r="11829" spans="1:2" x14ac:dyDescent="0.25">
      <c r="A11829" s="75">
        <v>49151501</v>
      </c>
      <c r="B11829" s="76" t="s">
        <v>3366</v>
      </c>
    </row>
    <row r="11830" spans="1:2" x14ac:dyDescent="0.25">
      <c r="A11830" s="75">
        <v>49151502</v>
      </c>
      <c r="B11830" s="76" t="s">
        <v>16470</v>
      </c>
    </row>
    <row r="11831" spans="1:2" x14ac:dyDescent="0.25">
      <c r="A11831" s="75">
        <v>49151503</v>
      </c>
      <c r="B11831" s="76" t="s">
        <v>5032</v>
      </c>
    </row>
    <row r="11832" spans="1:2" x14ac:dyDescent="0.25">
      <c r="A11832" s="75">
        <v>49151504</v>
      </c>
      <c r="B11832" s="76" t="s">
        <v>15124</v>
      </c>
    </row>
    <row r="11833" spans="1:2" x14ac:dyDescent="0.25">
      <c r="A11833" s="75">
        <v>49151505</v>
      </c>
      <c r="B11833" s="76" t="s">
        <v>12335</v>
      </c>
    </row>
    <row r="11834" spans="1:2" x14ac:dyDescent="0.25">
      <c r="A11834" s="75">
        <v>49151601</v>
      </c>
      <c r="B11834" s="76" t="s">
        <v>13764</v>
      </c>
    </row>
    <row r="11835" spans="1:2" x14ac:dyDescent="0.25">
      <c r="A11835" s="75">
        <v>49151602</v>
      </c>
      <c r="B11835" s="76" t="s">
        <v>6950</v>
      </c>
    </row>
    <row r="11836" spans="1:2" x14ac:dyDescent="0.25">
      <c r="A11836" s="75">
        <v>49151603</v>
      </c>
      <c r="B11836" s="76" t="s">
        <v>5248</v>
      </c>
    </row>
    <row r="11837" spans="1:2" x14ac:dyDescent="0.25">
      <c r="A11837" s="75">
        <v>49161501</v>
      </c>
      <c r="B11837" s="76" t="s">
        <v>11201</v>
      </c>
    </row>
    <row r="11838" spans="1:2" x14ac:dyDescent="0.25">
      <c r="A11838" s="75">
        <v>49161502</v>
      </c>
      <c r="B11838" s="76" t="s">
        <v>16070</v>
      </c>
    </row>
    <row r="11839" spans="1:2" x14ac:dyDescent="0.25">
      <c r="A11839" s="75">
        <v>49161503</v>
      </c>
      <c r="B11839" s="76" t="s">
        <v>5650</v>
      </c>
    </row>
    <row r="11840" spans="1:2" x14ac:dyDescent="0.25">
      <c r="A11840" s="75">
        <v>49161504</v>
      </c>
      <c r="B11840" s="76" t="s">
        <v>9894</v>
      </c>
    </row>
    <row r="11841" spans="1:2" x14ac:dyDescent="0.25">
      <c r="A11841" s="75">
        <v>49161505</v>
      </c>
      <c r="B11841" s="76" t="s">
        <v>4522</v>
      </c>
    </row>
    <row r="11842" spans="1:2" x14ac:dyDescent="0.25">
      <c r="A11842" s="75">
        <v>49161506</v>
      </c>
      <c r="B11842" s="76" t="s">
        <v>3698</v>
      </c>
    </row>
    <row r="11843" spans="1:2" x14ac:dyDescent="0.25">
      <c r="A11843" s="75">
        <v>49161507</v>
      </c>
      <c r="B11843" s="76" t="s">
        <v>16493</v>
      </c>
    </row>
    <row r="11844" spans="1:2" x14ac:dyDescent="0.25">
      <c r="A11844" s="75">
        <v>49161508</v>
      </c>
      <c r="B11844" s="76" t="s">
        <v>14094</v>
      </c>
    </row>
    <row r="11845" spans="1:2" x14ac:dyDescent="0.25">
      <c r="A11845" s="75">
        <v>49161509</v>
      </c>
      <c r="B11845" s="76" t="s">
        <v>7826</v>
      </c>
    </row>
    <row r="11846" spans="1:2" x14ac:dyDescent="0.25">
      <c r="A11846" s="75">
        <v>49161510</v>
      </c>
      <c r="B11846" s="76" t="s">
        <v>18896</v>
      </c>
    </row>
    <row r="11847" spans="1:2" x14ac:dyDescent="0.25">
      <c r="A11847" s="75">
        <v>49161511</v>
      </c>
      <c r="B11847" s="76" t="s">
        <v>17112</v>
      </c>
    </row>
    <row r="11848" spans="1:2" x14ac:dyDescent="0.25">
      <c r="A11848" s="75">
        <v>49161512</v>
      </c>
      <c r="B11848" s="76" t="s">
        <v>3238</v>
      </c>
    </row>
    <row r="11849" spans="1:2" x14ac:dyDescent="0.25">
      <c r="A11849" s="75">
        <v>49161513</v>
      </c>
      <c r="B11849" s="76" t="s">
        <v>2752</v>
      </c>
    </row>
    <row r="11850" spans="1:2" x14ac:dyDescent="0.25">
      <c r="A11850" s="75">
        <v>49161514</v>
      </c>
      <c r="B11850" s="76" t="s">
        <v>1131</v>
      </c>
    </row>
    <row r="11851" spans="1:2" x14ac:dyDescent="0.25">
      <c r="A11851" s="75">
        <v>49161515</v>
      </c>
      <c r="B11851" s="76" t="s">
        <v>5907</v>
      </c>
    </row>
    <row r="11852" spans="1:2" x14ac:dyDescent="0.25">
      <c r="A11852" s="75">
        <v>49161516</v>
      </c>
      <c r="B11852" s="76" t="s">
        <v>10347</v>
      </c>
    </row>
    <row r="11853" spans="1:2" x14ac:dyDescent="0.25">
      <c r="A11853" s="75">
        <v>49161517</v>
      </c>
      <c r="B11853" s="76" t="s">
        <v>4009</v>
      </c>
    </row>
    <row r="11854" spans="1:2" x14ac:dyDescent="0.25">
      <c r="A11854" s="75">
        <v>49161518</v>
      </c>
      <c r="B11854" s="76" t="s">
        <v>7632</v>
      </c>
    </row>
    <row r="11855" spans="1:2" x14ac:dyDescent="0.25">
      <c r="A11855" s="75">
        <v>49161519</v>
      </c>
      <c r="B11855" s="76" t="s">
        <v>3992</v>
      </c>
    </row>
    <row r="11856" spans="1:2" x14ac:dyDescent="0.25">
      <c r="A11856" s="75">
        <v>49161520</v>
      </c>
      <c r="B11856" s="76" t="s">
        <v>19960</v>
      </c>
    </row>
    <row r="11857" spans="1:2" x14ac:dyDescent="0.25">
      <c r="A11857" s="75">
        <v>49161521</v>
      </c>
      <c r="B11857" s="76" t="s">
        <v>8177</v>
      </c>
    </row>
    <row r="11858" spans="1:2" x14ac:dyDescent="0.25">
      <c r="A11858" s="75">
        <v>49161522</v>
      </c>
      <c r="B11858" s="76" t="s">
        <v>4143</v>
      </c>
    </row>
    <row r="11859" spans="1:2" x14ac:dyDescent="0.25">
      <c r="A11859" s="75">
        <v>49161523</v>
      </c>
      <c r="B11859" s="76" t="s">
        <v>468</v>
      </c>
    </row>
    <row r="11860" spans="1:2" x14ac:dyDescent="0.25">
      <c r="A11860" s="75">
        <v>49161524</v>
      </c>
      <c r="B11860" s="76" t="s">
        <v>8251</v>
      </c>
    </row>
    <row r="11861" spans="1:2" x14ac:dyDescent="0.25">
      <c r="A11861" s="75">
        <v>49161525</v>
      </c>
      <c r="B11861" s="76" t="s">
        <v>1944</v>
      </c>
    </row>
    <row r="11862" spans="1:2" x14ac:dyDescent="0.25">
      <c r="A11862" s="75">
        <v>49161526</v>
      </c>
      <c r="B11862" s="76" t="s">
        <v>8723</v>
      </c>
    </row>
    <row r="11863" spans="1:2" x14ac:dyDescent="0.25">
      <c r="A11863" s="75">
        <v>49161601</v>
      </c>
      <c r="B11863" s="76" t="s">
        <v>9932</v>
      </c>
    </row>
    <row r="11864" spans="1:2" x14ac:dyDescent="0.25">
      <c r="A11864" s="75">
        <v>49161602</v>
      </c>
      <c r="B11864" s="76" t="s">
        <v>11917</v>
      </c>
    </row>
    <row r="11865" spans="1:2" x14ac:dyDescent="0.25">
      <c r="A11865" s="75">
        <v>49161603</v>
      </c>
      <c r="B11865" s="76" t="s">
        <v>9534</v>
      </c>
    </row>
    <row r="11866" spans="1:2" x14ac:dyDescent="0.25">
      <c r="A11866" s="75">
        <v>49161604</v>
      </c>
      <c r="B11866" s="76" t="s">
        <v>3608</v>
      </c>
    </row>
    <row r="11867" spans="1:2" x14ac:dyDescent="0.25">
      <c r="A11867" s="75">
        <v>49161605</v>
      </c>
      <c r="B11867" s="76" t="s">
        <v>11882</v>
      </c>
    </row>
    <row r="11868" spans="1:2" x14ac:dyDescent="0.25">
      <c r="A11868" s="75">
        <v>49161606</v>
      </c>
      <c r="B11868" s="76" t="s">
        <v>13415</v>
      </c>
    </row>
    <row r="11869" spans="1:2" x14ac:dyDescent="0.25">
      <c r="A11869" s="75">
        <v>49161607</v>
      </c>
      <c r="B11869" s="76" t="s">
        <v>1527</v>
      </c>
    </row>
    <row r="11870" spans="1:2" x14ac:dyDescent="0.25">
      <c r="A11870" s="75">
        <v>49161608</v>
      </c>
      <c r="B11870" s="76" t="s">
        <v>16642</v>
      </c>
    </row>
    <row r="11871" spans="1:2" x14ac:dyDescent="0.25">
      <c r="A11871" s="75">
        <v>49161609</v>
      </c>
      <c r="B11871" s="76" t="s">
        <v>111</v>
      </c>
    </row>
    <row r="11872" spans="1:2" x14ac:dyDescent="0.25">
      <c r="A11872" s="75">
        <v>49161610</v>
      </c>
      <c r="B11872" s="76" t="s">
        <v>8589</v>
      </c>
    </row>
    <row r="11873" spans="1:2" x14ac:dyDescent="0.25">
      <c r="A11873" s="75">
        <v>49161611</v>
      </c>
      <c r="B11873" s="76" t="s">
        <v>9333</v>
      </c>
    </row>
    <row r="11874" spans="1:2" x14ac:dyDescent="0.25">
      <c r="A11874" s="75">
        <v>49161612</v>
      </c>
      <c r="B11874" s="76" t="s">
        <v>9915</v>
      </c>
    </row>
    <row r="11875" spans="1:2" x14ac:dyDescent="0.25">
      <c r="A11875" s="75">
        <v>49161613</v>
      </c>
      <c r="B11875" s="76" t="s">
        <v>1432</v>
      </c>
    </row>
    <row r="11876" spans="1:2" x14ac:dyDescent="0.25">
      <c r="A11876" s="75">
        <v>49161614</v>
      </c>
      <c r="B11876" s="76" t="s">
        <v>7939</v>
      </c>
    </row>
    <row r="11877" spans="1:2" x14ac:dyDescent="0.25">
      <c r="A11877" s="75">
        <v>49161615</v>
      </c>
      <c r="B11877" s="76" t="s">
        <v>17931</v>
      </c>
    </row>
    <row r="11878" spans="1:2" x14ac:dyDescent="0.25">
      <c r="A11878" s="75">
        <v>49161616</v>
      </c>
      <c r="B11878" s="76" t="s">
        <v>7600</v>
      </c>
    </row>
    <row r="11879" spans="1:2" x14ac:dyDescent="0.25">
      <c r="A11879" s="75">
        <v>49161617</v>
      </c>
      <c r="B11879" s="76" t="s">
        <v>7105</v>
      </c>
    </row>
    <row r="11880" spans="1:2" x14ac:dyDescent="0.25">
      <c r="A11880" s="75">
        <v>49161618</v>
      </c>
      <c r="B11880" s="76" t="s">
        <v>17785</v>
      </c>
    </row>
    <row r="11881" spans="1:2" x14ac:dyDescent="0.25">
      <c r="A11881" s="75">
        <v>49161619</v>
      </c>
      <c r="B11881" s="76" t="s">
        <v>17923</v>
      </c>
    </row>
    <row r="11882" spans="1:2" x14ac:dyDescent="0.25">
      <c r="A11882" s="75">
        <v>49161620</v>
      </c>
      <c r="B11882" s="76" t="s">
        <v>10981</v>
      </c>
    </row>
    <row r="11883" spans="1:2" x14ac:dyDescent="0.25">
      <c r="A11883" s="75">
        <v>49161701</v>
      </c>
      <c r="B11883" s="76" t="s">
        <v>1986</v>
      </c>
    </row>
    <row r="11884" spans="1:2" x14ac:dyDescent="0.25">
      <c r="A11884" s="75">
        <v>49161702</v>
      </c>
      <c r="B11884" s="76" t="s">
        <v>9399</v>
      </c>
    </row>
    <row r="11885" spans="1:2" x14ac:dyDescent="0.25">
      <c r="A11885" s="75">
        <v>49161703</v>
      </c>
      <c r="B11885" s="76" t="s">
        <v>16041</v>
      </c>
    </row>
    <row r="11886" spans="1:2" x14ac:dyDescent="0.25">
      <c r="A11886" s="75">
        <v>49161704</v>
      </c>
      <c r="B11886" s="76" t="s">
        <v>8908</v>
      </c>
    </row>
    <row r="11887" spans="1:2" x14ac:dyDescent="0.25">
      <c r="A11887" s="75">
        <v>49161705</v>
      </c>
      <c r="B11887" s="76" t="s">
        <v>13690</v>
      </c>
    </row>
    <row r="11888" spans="1:2" x14ac:dyDescent="0.25">
      <c r="A11888" s="75">
        <v>49161706</v>
      </c>
      <c r="B11888" s="76" t="s">
        <v>13840</v>
      </c>
    </row>
    <row r="11889" spans="1:2" x14ac:dyDescent="0.25">
      <c r="A11889" s="75">
        <v>49161707</v>
      </c>
      <c r="B11889" s="76" t="s">
        <v>16775</v>
      </c>
    </row>
    <row r="11890" spans="1:2" x14ac:dyDescent="0.25">
      <c r="A11890" s="75">
        <v>49171501</v>
      </c>
      <c r="B11890" s="76" t="s">
        <v>19612</v>
      </c>
    </row>
    <row r="11891" spans="1:2" x14ac:dyDescent="0.25">
      <c r="A11891" s="75">
        <v>49171502</v>
      </c>
      <c r="B11891" s="76" t="s">
        <v>10085</v>
      </c>
    </row>
    <row r="11892" spans="1:2" x14ac:dyDescent="0.25">
      <c r="A11892" s="75">
        <v>49171503</v>
      </c>
      <c r="B11892" s="76" t="s">
        <v>18374</v>
      </c>
    </row>
    <row r="11893" spans="1:2" x14ac:dyDescent="0.25">
      <c r="A11893" s="75">
        <v>49171504</v>
      </c>
      <c r="B11893" s="76" t="s">
        <v>13914</v>
      </c>
    </row>
    <row r="11894" spans="1:2" x14ac:dyDescent="0.25">
      <c r="A11894" s="75">
        <v>49171505</v>
      </c>
      <c r="B11894" s="76" t="s">
        <v>1485</v>
      </c>
    </row>
    <row r="11895" spans="1:2" x14ac:dyDescent="0.25">
      <c r="A11895" s="75">
        <v>49171601</v>
      </c>
      <c r="B11895" s="76" t="s">
        <v>4714</v>
      </c>
    </row>
    <row r="11896" spans="1:2" x14ac:dyDescent="0.25">
      <c r="A11896" s="75">
        <v>49171602</v>
      </c>
      <c r="B11896" s="76" t="s">
        <v>15774</v>
      </c>
    </row>
    <row r="11897" spans="1:2" x14ac:dyDescent="0.25">
      <c r="A11897" s="75">
        <v>49171603</v>
      </c>
      <c r="B11897" s="76" t="s">
        <v>19502</v>
      </c>
    </row>
    <row r="11898" spans="1:2" x14ac:dyDescent="0.25">
      <c r="A11898" s="75">
        <v>49181501</v>
      </c>
      <c r="B11898" s="76" t="s">
        <v>2981</v>
      </c>
    </row>
    <row r="11899" spans="1:2" x14ac:dyDescent="0.25">
      <c r="A11899" s="75">
        <v>49181502</v>
      </c>
      <c r="B11899" s="76" t="s">
        <v>10204</v>
      </c>
    </row>
    <row r="11900" spans="1:2" x14ac:dyDescent="0.25">
      <c r="A11900" s="75">
        <v>49181503</v>
      </c>
      <c r="B11900" s="76" t="s">
        <v>19358</v>
      </c>
    </row>
    <row r="11901" spans="1:2" x14ac:dyDescent="0.25">
      <c r="A11901" s="75">
        <v>49181504</v>
      </c>
      <c r="B11901" s="76" t="s">
        <v>9484</v>
      </c>
    </row>
    <row r="11902" spans="1:2" x14ac:dyDescent="0.25">
      <c r="A11902" s="75">
        <v>49181505</v>
      </c>
      <c r="B11902" s="76" t="s">
        <v>13149</v>
      </c>
    </row>
    <row r="11903" spans="1:2" x14ac:dyDescent="0.25">
      <c r="A11903" s="75">
        <v>49181506</v>
      </c>
      <c r="B11903" s="76" t="s">
        <v>2689</v>
      </c>
    </row>
    <row r="11904" spans="1:2" x14ac:dyDescent="0.25">
      <c r="A11904" s="75">
        <v>49181507</v>
      </c>
      <c r="B11904" s="76" t="s">
        <v>7755</v>
      </c>
    </row>
    <row r="11905" spans="1:2" x14ac:dyDescent="0.25">
      <c r="A11905" s="75">
        <v>49181508</v>
      </c>
      <c r="B11905" s="76" t="s">
        <v>4134</v>
      </c>
    </row>
    <row r="11906" spans="1:2" x14ac:dyDescent="0.25">
      <c r="A11906" s="75">
        <v>49181509</v>
      </c>
      <c r="B11906" s="76" t="s">
        <v>264</v>
      </c>
    </row>
    <row r="11907" spans="1:2" x14ac:dyDescent="0.25">
      <c r="A11907" s="75">
        <v>49181510</v>
      </c>
      <c r="B11907" s="76" t="s">
        <v>7500</v>
      </c>
    </row>
    <row r="11908" spans="1:2" x14ac:dyDescent="0.25">
      <c r="A11908" s="75">
        <v>49181511</v>
      </c>
      <c r="B11908" s="76" t="s">
        <v>18154</v>
      </c>
    </row>
    <row r="11909" spans="1:2" x14ac:dyDescent="0.25">
      <c r="A11909" s="75">
        <v>49181512</v>
      </c>
      <c r="B11909" s="76" t="s">
        <v>3035</v>
      </c>
    </row>
    <row r="11910" spans="1:2" x14ac:dyDescent="0.25">
      <c r="A11910" s="75">
        <v>49181513</v>
      </c>
      <c r="B11910" s="76" t="s">
        <v>19504</v>
      </c>
    </row>
    <row r="11911" spans="1:2" x14ac:dyDescent="0.25">
      <c r="A11911" s="75">
        <v>49181514</v>
      </c>
      <c r="B11911" s="76" t="s">
        <v>13133</v>
      </c>
    </row>
    <row r="11912" spans="1:2" x14ac:dyDescent="0.25">
      <c r="A11912" s="75">
        <v>49181515</v>
      </c>
      <c r="B11912" s="76" t="s">
        <v>12727</v>
      </c>
    </row>
    <row r="11913" spans="1:2" x14ac:dyDescent="0.25">
      <c r="A11913" s="75">
        <v>49181601</v>
      </c>
      <c r="B11913" s="76" t="s">
        <v>756</v>
      </c>
    </row>
    <row r="11914" spans="1:2" x14ac:dyDescent="0.25">
      <c r="A11914" s="75">
        <v>49181602</v>
      </c>
      <c r="B11914" s="76" t="s">
        <v>13551</v>
      </c>
    </row>
    <row r="11915" spans="1:2" x14ac:dyDescent="0.25">
      <c r="A11915" s="75">
        <v>49181603</v>
      </c>
      <c r="B11915" s="76" t="s">
        <v>13428</v>
      </c>
    </row>
    <row r="11916" spans="1:2" x14ac:dyDescent="0.25">
      <c r="A11916" s="75">
        <v>49181604</v>
      </c>
      <c r="B11916" s="76" t="s">
        <v>17843</v>
      </c>
    </row>
    <row r="11917" spans="1:2" x14ac:dyDescent="0.25">
      <c r="A11917" s="75">
        <v>49181605</v>
      </c>
      <c r="B11917" s="76" t="s">
        <v>7485</v>
      </c>
    </row>
    <row r="11918" spans="1:2" x14ac:dyDescent="0.25">
      <c r="A11918" s="75">
        <v>49181606</v>
      </c>
      <c r="B11918" s="76" t="s">
        <v>946</v>
      </c>
    </row>
    <row r="11919" spans="1:2" x14ac:dyDescent="0.25">
      <c r="A11919" s="75">
        <v>49181607</v>
      </c>
      <c r="B11919" s="76" t="s">
        <v>6903</v>
      </c>
    </row>
    <row r="11920" spans="1:2" x14ac:dyDescent="0.25">
      <c r="A11920" s="75">
        <v>49181608</v>
      </c>
      <c r="B11920" s="76" t="s">
        <v>5012</v>
      </c>
    </row>
    <row r="11921" spans="1:2" x14ac:dyDescent="0.25">
      <c r="A11921" s="75">
        <v>49181609</v>
      </c>
      <c r="B11921" s="76" t="s">
        <v>4993</v>
      </c>
    </row>
    <row r="11922" spans="1:2" x14ac:dyDescent="0.25">
      <c r="A11922" s="75">
        <v>49181610</v>
      </c>
      <c r="B11922" s="76" t="s">
        <v>16037</v>
      </c>
    </row>
    <row r="11923" spans="1:2" x14ac:dyDescent="0.25">
      <c r="A11923" s="75">
        <v>49181611</v>
      </c>
      <c r="B11923" s="76" t="s">
        <v>2837</v>
      </c>
    </row>
    <row r="11924" spans="1:2" x14ac:dyDescent="0.25">
      <c r="A11924" s="75">
        <v>49181612</v>
      </c>
      <c r="B11924" s="76" t="s">
        <v>6254</v>
      </c>
    </row>
    <row r="11925" spans="1:2" x14ac:dyDescent="0.25">
      <c r="A11925" s="75">
        <v>49201501</v>
      </c>
      <c r="B11925" s="76" t="s">
        <v>1438</v>
      </c>
    </row>
    <row r="11926" spans="1:2" x14ac:dyDescent="0.25">
      <c r="A11926" s="75">
        <v>49201502</v>
      </c>
      <c r="B11926" s="76" t="s">
        <v>2725</v>
      </c>
    </row>
    <row r="11927" spans="1:2" x14ac:dyDescent="0.25">
      <c r="A11927" s="75">
        <v>49201503</v>
      </c>
      <c r="B11927" s="76" t="s">
        <v>14867</v>
      </c>
    </row>
    <row r="11928" spans="1:2" x14ac:dyDescent="0.25">
      <c r="A11928" s="75">
        <v>49201504</v>
      </c>
      <c r="B11928" s="76" t="s">
        <v>12045</v>
      </c>
    </row>
    <row r="11929" spans="1:2" x14ac:dyDescent="0.25">
      <c r="A11929" s="75">
        <v>49201512</v>
      </c>
      <c r="B11929" s="76" t="s">
        <v>4502</v>
      </c>
    </row>
    <row r="11930" spans="1:2" x14ac:dyDescent="0.25">
      <c r="A11930" s="75">
        <v>49201513</v>
      </c>
      <c r="B11930" s="76" t="s">
        <v>7292</v>
      </c>
    </row>
    <row r="11931" spans="1:2" x14ac:dyDescent="0.25">
      <c r="A11931" s="75">
        <v>49201514</v>
      </c>
      <c r="B11931" s="76" t="s">
        <v>11311</v>
      </c>
    </row>
    <row r="11932" spans="1:2" x14ac:dyDescent="0.25">
      <c r="A11932" s="75">
        <v>49201515</v>
      </c>
      <c r="B11932" s="76" t="s">
        <v>18955</v>
      </c>
    </row>
    <row r="11933" spans="1:2" x14ac:dyDescent="0.25">
      <c r="A11933" s="75">
        <v>49201516</v>
      </c>
      <c r="B11933" s="76" t="s">
        <v>17329</v>
      </c>
    </row>
    <row r="11934" spans="1:2" x14ac:dyDescent="0.25">
      <c r="A11934" s="75">
        <v>49201601</v>
      </c>
      <c r="B11934" s="76" t="s">
        <v>14994</v>
      </c>
    </row>
    <row r="11935" spans="1:2" x14ac:dyDescent="0.25">
      <c r="A11935" s="75">
        <v>49201602</v>
      </c>
      <c r="B11935" s="76" t="s">
        <v>10301</v>
      </c>
    </row>
    <row r="11936" spans="1:2" x14ac:dyDescent="0.25">
      <c r="A11936" s="75">
        <v>49201603</v>
      </c>
      <c r="B11936" s="76" t="s">
        <v>2100</v>
      </c>
    </row>
    <row r="11937" spans="1:2" x14ac:dyDescent="0.25">
      <c r="A11937" s="75">
        <v>49201604</v>
      </c>
      <c r="B11937" s="76" t="s">
        <v>4239</v>
      </c>
    </row>
    <row r="11938" spans="1:2" x14ac:dyDescent="0.25">
      <c r="A11938" s="75">
        <v>49201605</v>
      </c>
      <c r="B11938" s="76" t="s">
        <v>925</v>
      </c>
    </row>
    <row r="11939" spans="1:2" x14ac:dyDescent="0.25">
      <c r="A11939" s="75">
        <v>49201606</v>
      </c>
      <c r="B11939" s="76" t="s">
        <v>5563</v>
      </c>
    </row>
    <row r="11940" spans="1:2" x14ac:dyDescent="0.25">
      <c r="A11940" s="75">
        <v>49201607</v>
      </c>
      <c r="B11940" s="76" t="s">
        <v>15457</v>
      </c>
    </row>
    <row r="11941" spans="1:2" x14ac:dyDescent="0.25">
      <c r="A11941" s="75">
        <v>49201608</v>
      </c>
      <c r="B11941" s="76" t="s">
        <v>15189</v>
      </c>
    </row>
    <row r="11942" spans="1:2" x14ac:dyDescent="0.25">
      <c r="A11942" s="75">
        <v>49201609</v>
      </c>
      <c r="B11942" s="76" t="s">
        <v>12058</v>
      </c>
    </row>
    <row r="11943" spans="1:2" x14ac:dyDescent="0.25">
      <c r="A11943" s="75">
        <v>49201610</v>
      </c>
      <c r="B11943" s="76" t="s">
        <v>10963</v>
      </c>
    </row>
    <row r="11944" spans="1:2" x14ac:dyDescent="0.25">
      <c r="A11944" s="75">
        <v>49201611</v>
      </c>
      <c r="B11944" s="76" t="s">
        <v>1025</v>
      </c>
    </row>
    <row r="11945" spans="1:2" x14ac:dyDescent="0.25">
      <c r="A11945" s="75">
        <v>49211601</v>
      </c>
      <c r="B11945" s="76" t="s">
        <v>12242</v>
      </c>
    </row>
    <row r="11946" spans="1:2" x14ac:dyDescent="0.25">
      <c r="A11946" s="75">
        <v>49211602</v>
      </c>
      <c r="B11946" s="76" t="s">
        <v>2259</v>
      </c>
    </row>
    <row r="11947" spans="1:2" x14ac:dyDescent="0.25">
      <c r="A11947" s="75">
        <v>49211603</v>
      </c>
      <c r="B11947" s="76" t="s">
        <v>16444</v>
      </c>
    </row>
    <row r="11948" spans="1:2" x14ac:dyDescent="0.25">
      <c r="A11948" s="75">
        <v>49211604</v>
      </c>
      <c r="B11948" s="76" t="s">
        <v>14711</v>
      </c>
    </row>
    <row r="11949" spans="1:2" x14ac:dyDescent="0.25">
      <c r="A11949" s="75">
        <v>49211605</v>
      </c>
      <c r="B11949" s="76" t="s">
        <v>12921</v>
      </c>
    </row>
    <row r="11950" spans="1:2" x14ac:dyDescent="0.25">
      <c r="A11950" s="75">
        <v>49211606</v>
      </c>
      <c r="B11950" s="76" t="s">
        <v>12109</v>
      </c>
    </row>
    <row r="11951" spans="1:2" x14ac:dyDescent="0.25">
      <c r="A11951" s="75">
        <v>49211607</v>
      </c>
      <c r="B11951" s="76" t="s">
        <v>17772</v>
      </c>
    </row>
    <row r="11952" spans="1:2" x14ac:dyDescent="0.25">
      <c r="A11952" s="75">
        <v>49211608</v>
      </c>
      <c r="B11952" s="76" t="s">
        <v>66</v>
      </c>
    </row>
    <row r="11953" spans="1:2" x14ac:dyDescent="0.25">
      <c r="A11953" s="75">
        <v>49211609</v>
      </c>
      <c r="B11953" s="76" t="s">
        <v>14384</v>
      </c>
    </row>
    <row r="11954" spans="1:2" x14ac:dyDescent="0.25">
      <c r="A11954" s="75">
        <v>49211701</v>
      </c>
      <c r="B11954" s="76" t="s">
        <v>410</v>
      </c>
    </row>
    <row r="11955" spans="1:2" x14ac:dyDescent="0.25">
      <c r="A11955" s="75">
        <v>49211702</v>
      </c>
      <c r="B11955" s="76" t="s">
        <v>3843</v>
      </c>
    </row>
    <row r="11956" spans="1:2" x14ac:dyDescent="0.25">
      <c r="A11956" s="75">
        <v>49211703</v>
      </c>
      <c r="B11956" s="76" t="s">
        <v>9455</v>
      </c>
    </row>
    <row r="11957" spans="1:2" x14ac:dyDescent="0.25">
      <c r="A11957" s="75">
        <v>49211801</v>
      </c>
      <c r="B11957" s="76" t="s">
        <v>1755</v>
      </c>
    </row>
    <row r="11958" spans="1:2" x14ac:dyDescent="0.25">
      <c r="A11958" s="75">
        <v>49211802</v>
      </c>
      <c r="B11958" s="76" t="s">
        <v>18135</v>
      </c>
    </row>
    <row r="11959" spans="1:2" x14ac:dyDescent="0.25">
      <c r="A11959" s="75">
        <v>49211803</v>
      </c>
      <c r="B11959" s="76" t="s">
        <v>8574</v>
      </c>
    </row>
    <row r="11960" spans="1:2" x14ac:dyDescent="0.25">
      <c r="A11960" s="75">
        <v>49211804</v>
      </c>
      <c r="B11960" s="76" t="s">
        <v>1800</v>
      </c>
    </row>
    <row r="11961" spans="1:2" x14ac:dyDescent="0.25">
      <c r="A11961" s="75">
        <v>49211805</v>
      </c>
      <c r="B11961" s="76" t="s">
        <v>9166</v>
      </c>
    </row>
    <row r="11962" spans="1:2" x14ac:dyDescent="0.25">
      <c r="A11962" s="75">
        <v>49211806</v>
      </c>
      <c r="B11962" s="76" t="s">
        <v>13276</v>
      </c>
    </row>
    <row r="11963" spans="1:2" x14ac:dyDescent="0.25">
      <c r="A11963" s="75">
        <v>49211807</v>
      </c>
      <c r="B11963" s="76" t="s">
        <v>10831</v>
      </c>
    </row>
    <row r="11964" spans="1:2" x14ac:dyDescent="0.25">
      <c r="A11964" s="75">
        <v>49221501</v>
      </c>
      <c r="B11964" s="76" t="s">
        <v>11105</v>
      </c>
    </row>
    <row r="11965" spans="1:2" x14ac:dyDescent="0.25">
      <c r="A11965" s="75">
        <v>49221502</v>
      </c>
      <c r="B11965" s="76" t="s">
        <v>5279</v>
      </c>
    </row>
    <row r="11966" spans="1:2" x14ac:dyDescent="0.25">
      <c r="A11966" s="75">
        <v>49221503</v>
      </c>
      <c r="B11966" s="76" t="s">
        <v>6990</v>
      </c>
    </row>
    <row r="11967" spans="1:2" x14ac:dyDescent="0.25">
      <c r="A11967" s="75">
        <v>49221504</v>
      </c>
      <c r="B11967" s="76" t="s">
        <v>18201</v>
      </c>
    </row>
    <row r="11968" spans="1:2" x14ac:dyDescent="0.25">
      <c r="A11968" s="75">
        <v>49221505</v>
      </c>
      <c r="B11968" s="76" t="s">
        <v>7285</v>
      </c>
    </row>
    <row r="11969" spans="1:2" x14ac:dyDescent="0.25">
      <c r="A11969" s="75">
        <v>49221506</v>
      </c>
      <c r="B11969" s="76" t="s">
        <v>3572</v>
      </c>
    </row>
    <row r="11970" spans="1:2" x14ac:dyDescent="0.25">
      <c r="A11970" s="75">
        <v>49221507</v>
      </c>
      <c r="B11970" s="76" t="s">
        <v>19028</v>
      </c>
    </row>
    <row r="11971" spans="1:2" x14ac:dyDescent="0.25">
      <c r="A11971" s="75">
        <v>49221508</v>
      </c>
      <c r="B11971" s="76" t="s">
        <v>6607</v>
      </c>
    </row>
    <row r="11972" spans="1:2" x14ac:dyDescent="0.25">
      <c r="A11972" s="75">
        <v>49221509</v>
      </c>
      <c r="B11972" s="76" t="s">
        <v>19307</v>
      </c>
    </row>
    <row r="11973" spans="1:2" x14ac:dyDescent="0.25">
      <c r="A11973" s="75">
        <v>49221510</v>
      </c>
      <c r="B11973" s="76" t="s">
        <v>1822</v>
      </c>
    </row>
    <row r="11974" spans="1:2" x14ac:dyDescent="0.25">
      <c r="A11974" s="75">
        <v>49221511</v>
      </c>
      <c r="B11974" s="76" t="s">
        <v>5242</v>
      </c>
    </row>
    <row r="11975" spans="1:2" x14ac:dyDescent="0.25">
      <c r="A11975" s="75">
        <v>49241501</v>
      </c>
      <c r="B11975" s="76" t="s">
        <v>359</v>
      </c>
    </row>
    <row r="11976" spans="1:2" x14ac:dyDescent="0.25">
      <c r="A11976" s="75">
        <v>49241502</v>
      </c>
      <c r="B11976" s="76" t="s">
        <v>16023</v>
      </c>
    </row>
    <row r="11977" spans="1:2" x14ac:dyDescent="0.25">
      <c r="A11977" s="75">
        <v>49241503</v>
      </c>
      <c r="B11977" s="76" t="s">
        <v>6293</v>
      </c>
    </row>
    <row r="11978" spans="1:2" x14ac:dyDescent="0.25">
      <c r="A11978" s="75">
        <v>49241504</v>
      </c>
      <c r="B11978" s="76" t="s">
        <v>5840</v>
      </c>
    </row>
    <row r="11979" spans="1:2" x14ac:dyDescent="0.25">
      <c r="A11979" s="75">
        <v>49241505</v>
      </c>
      <c r="B11979" s="76" t="s">
        <v>17213</v>
      </c>
    </row>
    <row r="11980" spans="1:2" x14ac:dyDescent="0.25">
      <c r="A11980" s="75">
        <v>49241506</v>
      </c>
      <c r="B11980" s="76" t="s">
        <v>11609</v>
      </c>
    </row>
    <row r="11981" spans="1:2" x14ac:dyDescent="0.25">
      <c r="A11981" s="75">
        <v>49241507</v>
      </c>
      <c r="B11981" s="76" t="s">
        <v>16740</v>
      </c>
    </row>
    <row r="11982" spans="1:2" x14ac:dyDescent="0.25">
      <c r="A11982" s="75">
        <v>49241508</v>
      </c>
      <c r="B11982" s="76" t="s">
        <v>4244</v>
      </c>
    </row>
    <row r="11983" spans="1:2" x14ac:dyDescent="0.25">
      <c r="A11983" s="75">
        <v>49241509</v>
      </c>
      <c r="B11983" s="76" t="s">
        <v>11861</v>
      </c>
    </row>
    <row r="11984" spans="1:2" x14ac:dyDescent="0.25">
      <c r="A11984" s="75">
        <v>49241510</v>
      </c>
      <c r="B11984" s="76" t="s">
        <v>16490</v>
      </c>
    </row>
    <row r="11985" spans="1:2" x14ac:dyDescent="0.25">
      <c r="A11985" s="75">
        <v>49241601</v>
      </c>
      <c r="B11985" s="76" t="s">
        <v>13510</v>
      </c>
    </row>
    <row r="11986" spans="1:2" x14ac:dyDescent="0.25">
      <c r="A11986" s="75">
        <v>49241602</v>
      </c>
      <c r="B11986" s="76" t="s">
        <v>8901</v>
      </c>
    </row>
    <row r="11987" spans="1:2" x14ac:dyDescent="0.25">
      <c r="A11987" s="75">
        <v>49241603</v>
      </c>
      <c r="B11987" s="76" t="s">
        <v>17152</v>
      </c>
    </row>
    <row r="11988" spans="1:2" x14ac:dyDescent="0.25">
      <c r="A11988" s="75">
        <v>49241604</v>
      </c>
      <c r="B11988" s="76" t="s">
        <v>10937</v>
      </c>
    </row>
    <row r="11989" spans="1:2" x14ac:dyDescent="0.25">
      <c r="A11989" s="75">
        <v>49241701</v>
      </c>
      <c r="B11989" s="76" t="s">
        <v>6651</v>
      </c>
    </row>
    <row r="11990" spans="1:2" x14ac:dyDescent="0.25">
      <c r="A11990" s="75">
        <v>49241702</v>
      </c>
      <c r="B11990" s="76" t="s">
        <v>5230</v>
      </c>
    </row>
    <row r="11991" spans="1:2" x14ac:dyDescent="0.25">
      <c r="A11991" s="75">
        <v>49241703</v>
      </c>
      <c r="B11991" s="76" t="s">
        <v>4403</v>
      </c>
    </row>
    <row r="11992" spans="1:2" x14ac:dyDescent="0.25">
      <c r="A11992" s="75">
        <v>49241704</v>
      </c>
      <c r="B11992" s="76" t="s">
        <v>11880</v>
      </c>
    </row>
    <row r="11993" spans="1:2" x14ac:dyDescent="0.25">
      <c r="A11993" s="75">
        <v>49241705</v>
      </c>
      <c r="B11993" s="76" t="s">
        <v>11742</v>
      </c>
    </row>
    <row r="11994" spans="1:2" x14ac:dyDescent="0.25">
      <c r="A11994" s="75">
        <v>49241706</v>
      </c>
      <c r="B11994" s="76" t="s">
        <v>13645</v>
      </c>
    </row>
    <row r="11995" spans="1:2" x14ac:dyDescent="0.25">
      <c r="A11995" s="75">
        <v>49241707</v>
      </c>
      <c r="B11995" s="76" t="s">
        <v>15287</v>
      </c>
    </row>
    <row r="11996" spans="1:2" x14ac:dyDescent="0.25">
      <c r="A11996" s="75">
        <v>49241708</v>
      </c>
      <c r="B11996" s="76" t="s">
        <v>904</v>
      </c>
    </row>
    <row r="11997" spans="1:2" x14ac:dyDescent="0.25">
      <c r="A11997" s="75">
        <v>49241709</v>
      </c>
      <c r="B11997" s="76" t="s">
        <v>14248</v>
      </c>
    </row>
    <row r="11998" spans="1:2" x14ac:dyDescent="0.25">
      <c r="A11998" s="75">
        <v>50101538</v>
      </c>
      <c r="B11998" s="76" t="s">
        <v>1236</v>
      </c>
    </row>
    <row r="11999" spans="1:2" x14ac:dyDescent="0.25">
      <c r="A11999" s="75">
        <v>50101539</v>
      </c>
      <c r="B11999" s="76" t="s">
        <v>2717</v>
      </c>
    </row>
    <row r="12000" spans="1:2" x14ac:dyDescent="0.25">
      <c r="A12000" s="75">
        <v>50101540</v>
      </c>
      <c r="B12000" s="76" t="s">
        <v>8577</v>
      </c>
    </row>
    <row r="12001" spans="1:2" x14ac:dyDescent="0.25">
      <c r="A12001" s="75">
        <v>50101541</v>
      </c>
      <c r="B12001" s="76" t="s">
        <v>4247</v>
      </c>
    </row>
    <row r="12002" spans="1:2" x14ac:dyDescent="0.25">
      <c r="A12002" s="75">
        <v>50101542</v>
      </c>
      <c r="B12002" s="76" t="s">
        <v>12828</v>
      </c>
    </row>
    <row r="12003" spans="1:2" x14ac:dyDescent="0.25">
      <c r="A12003" s="75">
        <v>50101543</v>
      </c>
      <c r="B12003" s="76" t="s">
        <v>15570</v>
      </c>
    </row>
    <row r="12004" spans="1:2" x14ac:dyDescent="0.25">
      <c r="A12004" s="75">
        <v>50101544</v>
      </c>
      <c r="B12004" s="76" t="s">
        <v>13223</v>
      </c>
    </row>
    <row r="12005" spans="1:2" x14ac:dyDescent="0.25">
      <c r="A12005" s="75">
        <v>50101545</v>
      </c>
      <c r="B12005" s="76" t="s">
        <v>19496</v>
      </c>
    </row>
    <row r="12006" spans="1:2" x14ac:dyDescent="0.25">
      <c r="A12006" s="75">
        <v>50101634</v>
      </c>
      <c r="B12006" s="76" t="s">
        <v>593</v>
      </c>
    </row>
    <row r="12007" spans="1:2" x14ac:dyDescent="0.25">
      <c r="A12007" s="75">
        <v>50101635</v>
      </c>
      <c r="B12007" s="76" t="s">
        <v>14141</v>
      </c>
    </row>
    <row r="12008" spans="1:2" x14ac:dyDescent="0.25">
      <c r="A12008" s="75">
        <v>50101636</v>
      </c>
      <c r="B12008" s="76" t="s">
        <v>2203</v>
      </c>
    </row>
    <row r="12009" spans="1:2" x14ac:dyDescent="0.25">
      <c r="A12009" s="75">
        <v>50101716</v>
      </c>
      <c r="B12009" s="76" t="s">
        <v>14950</v>
      </c>
    </row>
    <row r="12010" spans="1:2" x14ac:dyDescent="0.25">
      <c r="A12010" s="75">
        <v>50101717</v>
      </c>
      <c r="B12010" s="76" t="s">
        <v>3541</v>
      </c>
    </row>
    <row r="12011" spans="1:2" x14ac:dyDescent="0.25">
      <c r="A12011" s="75">
        <v>50111510</v>
      </c>
      <c r="B12011" s="76" t="s">
        <v>16122</v>
      </c>
    </row>
    <row r="12012" spans="1:2" x14ac:dyDescent="0.25">
      <c r="A12012" s="75">
        <v>50111511</v>
      </c>
      <c r="B12012" s="76" t="s">
        <v>1749</v>
      </c>
    </row>
    <row r="12013" spans="1:2" x14ac:dyDescent="0.25">
      <c r="A12013" s="75">
        <v>50111512</v>
      </c>
      <c r="B12013" s="76" t="s">
        <v>3618</v>
      </c>
    </row>
    <row r="12014" spans="1:2" x14ac:dyDescent="0.25">
      <c r="A12014" s="75">
        <v>50112001</v>
      </c>
      <c r="B12014" s="76" t="s">
        <v>6640</v>
      </c>
    </row>
    <row r="12015" spans="1:2" x14ac:dyDescent="0.25">
      <c r="A12015" s="75">
        <v>50112002</v>
      </c>
      <c r="B12015" s="76" t="s">
        <v>5781</v>
      </c>
    </row>
    <row r="12016" spans="1:2" x14ac:dyDescent="0.25">
      <c r="A12016" s="75">
        <v>50112003</v>
      </c>
      <c r="B12016" s="76" t="s">
        <v>15152</v>
      </c>
    </row>
    <row r="12017" spans="1:2" x14ac:dyDescent="0.25">
      <c r="A12017" s="75">
        <v>50121537</v>
      </c>
      <c r="B12017" s="76" t="s">
        <v>9463</v>
      </c>
    </row>
    <row r="12018" spans="1:2" x14ac:dyDescent="0.25">
      <c r="A12018" s="75">
        <v>50121538</v>
      </c>
      <c r="B12018" s="76" t="s">
        <v>19402</v>
      </c>
    </row>
    <row r="12019" spans="1:2" x14ac:dyDescent="0.25">
      <c r="A12019" s="75">
        <v>50121539</v>
      </c>
      <c r="B12019" s="76" t="s">
        <v>8316</v>
      </c>
    </row>
    <row r="12020" spans="1:2" x14ac:dyDescent="0.25">
      <c r="A12020" s="75">
        <v>50121611</v>
      </c>
      <c r="B12020" s="76" t="s">
        <v>7743</v>
      </c>
    </row>
    <row r="12021" spans="1:2" x14ac:dyDescent="0.25">
      <c r="A12021" s="75">
        <v>50121612</v>
      </c>
      <c r="B12021" s="76" t="s">
        <v>10640</v>
      </c>
    </row>
    <row r="12022" spans="1:2" x14ac:dyDescent="0.25">
      <c r="A12022" s="75">
        <v>50121613</v>
      </c>
      <c r="B12022" s="76" t="s">
        <v>2135</v>
      </c>
    </row>
    <row r="12023" spans="1:2" x14ac:dyDescent="0.25">
      <c r="A12023" s="75">
        <v>50121705</v>
      </c>
      <c r="B12023" s="76" t="s">
        <v>6846</v>
      </c>
    </row>
    <row r="12024" spans="1:2" x14ac:dyDescent="0.25">
      <c r="A12024" s="75">
        <v>50121706</v>
      </c>
      <c r="B12024" s="76" t="s">
        <v>16271</v>
      </c>
    </row>
    <row r="12025" spans="1:2" x14ac:dyDescent="0.25">
      <c r="A12025" s="75">
        <v>50121707</v>
      </c>
      <c r="B12025" s="76" t="s">
        <v>18666</v>
      </c>
    </row>
    <row r="12026" spans="1:2" x14ac:dyDescent="0.25">
      <c r="A12026" s="75">
        <v>50121802</v>
      </c>
      <c r="B12026" s="76" t="s">
        <v>4485</v>
      </c>
    </row>
    <row r="12027" spans="1:2" x14ac:dyDescent="0.25">
      <c r="A12027" s="75">
        <v>50121803</v>
      </c>
      <c r="B12027" s="76" t="s">
        <v>12178</v>
      </c>
    </row>
    <row r="12028" spans="1:2" x14ac:dyDescent="0.25">
      <c r="A12028" s="75">
        <v>50121804</v>
      </c>
      <c r="B12028" s="76" t="s">
        <v>1205</v>
      </c>
    </row>
    <row r="12029" spans="1:2" x14ac:dyDescent="0.25">
      <c r="A12029" s="75">
        <v>50131606</v>
      </c>
      <c r="B12029" s="76" t="s">
        <v>2328</v>
      </c>
    </row>
    <row r="12030" spans="1:2" x14ac:dyDescent="0.25">
      <c r="A12030" s="75">
        <v>50131607</v>
      </c>
      <c r="B12030" s="76" t="s">
        <v>2083</v>
      </c>
    </row>
    <row r="12031" spans="1:2" x14ac:dyDescent="0.25">
      <c r="A12031" s="75">
        <v>50131608</v>
      </c>
      <c r="B12031" s="76" t="s">
        <v>18668</v>
      </c>
    </row>
    <row r="12032" spans="1:2" x14ac:dyDescent="0.25">
      <c r="A12032" s="75">
        <v>50131609</v>
      </c>
      <c r="B12032" s="76" t="s">
        <v>14259</v>
      </c>
    </row>
    <row r="12033" spans="1:2" x14ac:dyDescent="0.25">
      <c r="A12033" s="75">
        <v>50131610</v>
      </c>
      <c r="B12033" s="76" t="s">
        <v>14426</v>
      </c>
    </row>
    <row r="12034" spans="1:2" x14ac:dyDescent="0.25">
      <c r="A12034" s="75">
        <v>50131611</v>
      </c>
      <c r="B12034" s="76" t="s">
        <v>14784</v>
      </c>
    </row>
    <row r="12035" spans="1:2" x14ac:dyDescent="0.25">
      <c r="A12035" s="75">
        <v>50131701</v>
      </c>
      <c r="B12035" s="76" t="s">
        <v>8920</v>
      </c>
    </row>
    <row r="12036" spans="1:2" x14ac:dyDescent="0.25">
      <c r="A12036" s="75">
        <v>50131702</v>
      </c>
      <c r="B12036" s="76" t="s">
        <v>12641</v>
      </c>
    </row>
    <row r="12037" spans="1:2" x14ac:dyDescent="0.25">
      <c r="A12037" s="75">
        <v>50131703</v>
      </c>
      <c r="B12037" s="76" t="s">
        <v>8132</v>
      </c>
    </row>
    <row r="12038" spans="1:2" x14ac:dyDescent="0.25">
      <c r="A12038" s="75">
        <v>50131801</v>
      </c>
      <c r="B12038" s="76" t="s">
        <v>12520</v>
      </c>
    </row>
    <row r="12039" spans="1:2" x14ac:dyDescent="0.25">
      <c r="A12039" s="75">
        <v>50131802</v>
      </c>
      <c r="B12039" s="76" t="s">
        <v>18138</v>
      </c>
    </row>
    <row r="12040" spans="1:2" x14ac:dyDescent="0.25">
      <c r="A12040" s="75">
        <v>50131803</v>
      </c>
      <c r="B12040" s="76" t="s">
        <v>11083</v>
      </c>
    </row>
    <row r="12041" spans="1:2" x14ac:dyDescent="0.25">
      <c r="A12041" s="75">
        <v>50151513</v>
      </c>
      <c r="B12041" s="76" t="s">
        <v>13029</v>
      </c>
    </row>
    <row r="12042" spans="1:2" x14ac:dyDescent="0.25">
      <c r="A12042" s="75">
        <v>50151514</v>
      </c>
      <c r="B12042" s="76" t="s">
        <v>5008</v>
      </c>
    </row>
    <row r="12043" spans="1:2" x14ac:dyDescent="0.25">
      <c r="A12043" s="75">
        <v>50151604</v>
      </c>
      <c r="B12043" s="76" t="s">
        <v>17256</v>
      </c>
    </row>
    <row r="12044" spans="1:2" x14ac:dyDescent="0.25">
      <c r="A12044" s="75">
        <v>50151605</v>
      </c>
      <c r="B12044" s="76" t="s">
        <v>4509</v>
      </c>
    </row>
    <row r="12045" spans="1:2" x14ac:dyDescent="0.25">
      <c r="A12045" s="75">
        <v>50161509</v>
      </c>
      <c r="B12045" s="76" t="s">
        <v>17709</v>
      </c>
    </row>
    <row r="12046" spans="1:2" x14ac:dyDescent="0.25">
      <c r="A12046" s="75">
        <v>50161510</v>
      </c>
      <c r="B12046" s="76" t="s">
        <v>12536</v>
      </c>
    </row>
    <row r="12047" spans="1:2" x14ac:dyDescent="0.25">
      <c r="A12047" s="75">
        <v>50161511</v>
      </c>
      <c r="B12047" s="76" t="s">
        <v>19562</v>
      </c>
    </row>
    <row r="12048" spans="1:2" x14ac:dyDescent="0.25">
      <c r="A12048" s="75">
        <v>50161512</v>
      </c>
      <c r="B12048" s="76" t="s">
        <v>4798</v>
      </c>
    </row>
    <row r="12049" spans="1:2" x14ac:dyDescent="0.25">
      <c r="A12049" s="75">
        <v>50161813</v>
      </c>
      <c r="B12049" s="76" t="s">
        <v>9334</v>
      </c>
    </row>
    <row r="12050" spans="1:2" x14ac:dyDescent="0.25">
      <c r="A12050" s="75">
        <v>50161814</v>
      </c>
      <c r="B12050" s="76" t="s">
        <v>11217</v>
      </c>
    </row>
    <row r="12051" spans="1:2" x14ac:dyDescent="0.25">
      <c r="A12051" s="75">
        <v>50161815</v>
      </c>
      <c r="B12051" s="76" t="s">
        <v>779</v>
      </c>
    </row>
    <row r="12052" spans="1:2" x14ac:dyDescent="0.25">
      <c r="A12052" s="75">
        <v>50171548</v>
      </c>
      <c r="B12052" s="76" t="s">
        <v>1177</v>
      </c>
    </row>
    <row r="12053" spans="1:2" x14ac:dyDescent="0.25">
      <c r="A12053" s="75">
        <v>50171549</v>
      </c>
      <c r="B12053" s="76" t="s">
        <v>2018</v>
      </c>
    </row>
    <row r="12054" spans="1:2" x14ac:dyDescent="0.25">
      <c r="A12054" s="75">
        <v>50171550</v>
      </c>
      <c r="B12054" s="76" t="s">
        <v>2247</v>
      </c>
    </row>
    <row r="12055" spans="1:2" x14ac:dyDescent="0.25">
      <c r="A12055" s="75">
        <v>50171551</v>
      </c>
      <c r="B12055" s="76" t="s">
        <v>1890</v>
      </c>
    </row>
    <row r="12056" spans="1:2" x14ac:dyDescent="0.25">
      <c r="A12056" s="75">
        <v>50171552</v>
      </c>
      <c r="B12056" s="76" t="s">
        <v>13793</v>
      </c>
    </row>
    <row r="12057" spans="1:2" x14ac:dyDescent="0.25">
      <c r="A12057" s="75">
        <v>50171707</v>
      </c>
      <c r="B12057" s="76" t="s">
        <v>10646</v>
      </c>
    </row>
    <row r="12058" spans="1:2" x14ac:dyDescent="0.25">
      <c r="A12058" s="75">
        <v>50171708</v>
      </c>
      <c r="B12058" s="76" t="s">
        <v>4614</v>
      </c>
    </row>
    <row r="12059" spans="1:2" x14ac:dyDescent="0.25">
      <c r="A12059" s="75">
        <v>50171830</v>
      </c>
      <c r="B12059" s="76" t="s">
        <v>12152</v>
      </c>
    </row>
    <row r="12060" spans="1:2" x14ac:dyDescent="0.25">
      <c r="A12060" s="75">
        <v>50171831</v>
      </c>
      <c r="B12060" s="76" t="s">
        <v>13117</v>
      </c>
    </row>
    <row r="12061" spans="1:2" x14ac:dyDescent="0.25">
      <c r="A12061" s="75">
        <v>50171832</v>
      </c>
      <c r="B12061" s="76" t="s">
        <v>4130</v>
      </c>
    </row>
    <row r="12062" spans="1:2" x14ac:dyDescent="0.25">
      <c r="A12062" s="75">
        <v>50171833</v>
      </c>
      <c r="B12062" s="76" t="s">
        <v>19690</v>
      </c>
    </row>
    <row r="12063" spans="1:2" x14ac:dyDescent="0.25">
      <c r="A12063" s="75">
        <v>50171901</v>
      </c>
      <c r="B12063" s="76" t="s">
        <v>14781</v>
      </c>
    </row>
    <row r="12064" spans="1:2" x14ac:dyDescent="0.25">
      <c r="A12064" s="75">
        <v>50171902</v>
      </c>
      <c r="B12064" s="76" t="s">
        <v>6251</v>
      </c>
    </row>
    <row r="12065" spans="1:2" x14ac:dyDescent="0.25">
      <c r="A12065" s="75">
        <v>50171903</v>
      </c>
      <c r="B12065" s="76" t="s">
        <v>19700</v>
      </c>
    </row>
    <row r="12066" spans="1:2" x14ac:dyDescent="0.25">
      <c r="A12066" s="75">
        <v>50171904</v>
      </c>
      <c r="B12066" s="76" t="s">
        <v>10772</v>
      </c>
    </row>
    <row r="12067" spans="1:2" x14ac:dyDescent="0.25">
      <c r="A12067" s="75">
        <v>50181708</v>
      </c>
      <c r="B12067" s="76" t="s">
        <v>19035</v>
      </c>
    </row>
    <row r="12068" spans="1:2" x14ac:dyDescent="0.25">
      <c r="A12068" s="75">
        <v>50181709</v>
      </c>
      <c r="B12068" s="76" t="s">
        <v>5003</v>
      </c>
    </row>
    <row r="12069" spans="1:2" x14ac:dyDescent="0.25">
      <c r="A12069" s="75">
        <v>50181901</v>
      </c>
      <c r="B12069" s="76" t="s">
        <v>10127</v>
      </c>
    </row>
    <row r="12070" spans="1:2" x14ac:dyDescent="0.25">
      <c r="A12070" s="75">
        <v>50181902</v>
      </c>
      <c r="B12070" s="76" t="s">
        <v>1821</v>
      </c>
    </row>
    <row r="12071" spans="1:2" x14ac:dyDescent="0.25">
      <c r="A12071" s="75">
        <v>50181903</v>
      </c>
      <c r="B12071" s="76" t="s">
        <v>18503</v>
      </c>
    </row>
    <row r="12072" spans="1:2" x14ac:dyDescent="0.25">
      <c r="A12072" s="75">
        <v>50181904</v>
      </c>
      <c r="B12072" s="76" t="s">
        <v>13392</v>
      </c>
    </row>
    <row r="12073" spans="1:2" x14ac:dyDescent="0.25">
      <c r="A12073" s="75">
        <v>50181905</v>
      </c>
      <c r="B12073" s="76" t="s">
        <v>1202</v>
      </c>
    </row>
    <row r="12074" spans="1:2" x14ac:dyDescent="0.25">
      <c r="A12074" s="75">
        <v>50181906</v>
      </c>
      <c r="B12074" s="76" t="s">
        <v>9748</v>
      </c>
    </row>
    <row r="12075" spans="1:2" x14ac:dyDescent="0.25">
      <c r="A12075" s="75">
        <v>50181907</v>
      </c>
      <c r="B12075" s="76" t="s">
        <v>18155</v>
      </c>
    </row>
    <row r="12076" spans="1:2" x14ac:dyDescent="0.25">
      <c r="A12076" s="75">
        <v>50181908</v>
      </c>
      <c r="B12076" s="76" t="s">
        <v>17664</v>
      </c>
    </row>
    <row r="12077" spans="1:2" x14ac:dyDescent="0.25">
      <c r="A12077" s="75">
        <v>50181909</v>
      </c>
      <c r="B12077" s="76" t="s">
        <v>13649</v>
      </c>
    </row>
    <row r="12078" spans="1:2" x14ac:dyDescent="0.25">
      <c r="A12078" s="75">
        <v>50182001</v>
      </c>
      <c r="B12078" s="76" t="s">
        <v>11966</v>
      </c>
    </row>
    <row r="12079" spans="1:2" x14ac:dyDescent="0.25">
      <c r="A12079" s="75">
        <v>50182002</v>
      </c>
      <c r="B12079" s="76" t="s">
        <v>9602</v>
      </c>
    </row>
    <row r="12080" spans="1:2" x14ac:dyDescent="0.25">
      <c r="A12080" s="75">
        <v>50182003</v>
      </c>
      <c r="B12080" s="76" t="s">
        <v>12052</v>
      </c>
    </row>
    <row r="12081" spans="1:2" x14ac:dyDescent="0.25">
      <c r="A12081" s="75">
        <v>50182004</v>
      </c>
      <c r="B12081" s="76" t="s">
        <v>17684</v>
      </c>
    </row>
    <row r="12082" spans="1:2" x14ac:dyDescent="0.25">
      <c r="A12082" s="75">
        <v>50191505</v>
      </c>
      <c r="B12082" s="76" t="s">
        <v>16030</v>
      </c>
    </row>
    <row r="12083" spans="1:2" x14ac:dyDescent="0.25">
      <c r="A12083" s="75">
        <v>50191506</v>
      </c>
      <c r="B12083" s="76" t="s">
        <v>13816</v>
      </c>
    </row>
    <row r="12084" spans="1:2" x14ac:dyDescent="0.25">
      <c r="A12084" s="75">
        <v>50191507</v>
      </c>
      <c r="B12084" s="76" t="s">
        <v>11480</v>
      </c>
    </row>
    <row r="12085" spans="1:2" x14ac:dyDescent="0.25">
      <c r="A12085" s="75">
        <v>50192109</v>
      </c>
      <c r="B12085" s="76" t="s">
        <v>9917</v>
      </c>
    </row>
    <row r="12086" spans="1:2" x14ac:dyDescent="0.25">
      <c r="A12086" s="75">
        <v>50192110</v>
      </c>
      <c r="B12086" s="76" t="s">
        <v>8622</v>
      </c>
    </row>
    <row r="12087" spans="1:2" x14ac:dyDescent="0.25">
      <c r="A12087" s="75">
        <v>50192111</v>
      </c>
      <c r="B12087" s="76" t="s">
        <v>8996</v>
      </c>
    </row>
    <row r="12088" spans="1:2" x14ac:dyDescent="0.25">
      <c r="A12088" s="75">
        <v>50192112</v>
      </c>
      <c r="B12088" s="76" t="s">
        <v>19338</v>
      </c>
    </row>
    <row r="12089" spans="1:2" x14ac:dyDescent="0.25">
      <c r="A12089" s="75">
        <v>50192301</v>
      </c>
      <c r="B12089" s="76" t="s">
        <v>19188</v>
      </c>
    </row>
    <row r="12090" spans="1:2" x14ac:dyDescent="0.25">
      <c r="A12090" s="75">
        <v>50192302</v>
      </c>
      <c r="B12090" s="76" t="s">
        <v>12452</v>
      </c>
    </row>
    <row r="12091" spans="1:2" x14ac:dyDescent="0.25">
      <c r="A12091" s="75">
        <v>50192303</v>
      </c>
      <c r="B12091" s="76" t="s">
        <v>14462</v>
      </c>
    </row>
    <row r="12092" spans="1:2" x14ac:dyDescent="0.25">
      <c r="A12092" s="75">
        <v>50192304</v>
      </c>
      <c r="B12092" s="76" t="s">
        <v>18276</v>
      </c>
    </row>
    <row r="12093" spans="1:2" x14ac:dyDescent="0.25">
      <c r="A12093" s="75">
        <v>50192401</v>
      </c>
      <c r="B12093" s="76" t="s">
        <v>12650</v>
      </c>
    </row>
    <row r="12094" spans="1:2" x14ac:dyDescent="0.25">
      <c r="A12094" s="75">
        <v>50192402</v>
      </c>
      <c r="B12094" s="76" t="s">
        <v>13824</v>
      </c>
    </row>
    <row r="12095" spans="1:2" x14ac:dyDescent="0.25">
      <c r="A12095" s="75">
        <v>50192403</v>
      </c>
      <c r="B12095" s="76" t="s">
        <v>17453</v>
      </c>
    </row>
    <row r="12096" spans="1:2" x14ac:dyDescent="0.25">
      <c r="A12096" s="75">
        <v>50192404</v>
      </c>
      <c r="B12096" s="76" t="s">
        <v>12585</v>
      </c>
    </row>
    <row r="12097" spans="1:2" x14ac:dyDescent="0.25">
      <c r="A12097" s="75">
        <v>50192501</v>
      </c>
      <c r="B12097" s="76" t="s">
        <v>4429</v>
      </c>
    </row>
    <row r="12098" spans="1:2" x14ac:dyDescent="0.25">
      <c r="A12098" s="75">
        <v>50192502</v>
      </c>
      <c r="B12098" s="76" t="s">
        <v>17328</v>
      </c>
    </row>
    <row r="12099" spans="1:2" x14ac:dyDescent="0.25">
      <c r="A12099" s="75">
        <v>50192503</v>
      </c>
      <c r="B12099" s="76" t="s">
        <v>7239</v>
      </c>
    </row>
    <row r="12100" spans="1:2" x14ac:dyDescent="0.25">
      <c r="A12100" s="75">
        <v>50192504</v>
      </c>
      <c r="B12100" s="76" t="s">
        <v>10800</v>
      </c>
    </row>
    <row r="12101" spans="1:2" x14ac:dyDescent="0.25">
      <c r="A12101" s="75">
        <v>50192601</v>
      </c>
      <c r="B12101" s="76" t="s">
        <v>1220</v>
      </c>
    </row>
    <row r="12102" spans="1:2" x14ac:dyDescent="0.25">
      <c r="A12102" s="75">
        <v>50192602</v>
      </c>
      <c r="B12102" s="76" t="s">
        <v>8085</v>
      </c>
    </row>
    <row r="12103" spans="1:2" x14ac:dyDescent="0.25">
      <c r="A12103" s="75">
        <v>50192603</v>
      </c>
      <c r="B12103" s="76" t="s">
        <v>14128</v>
      </c>
    </row>
    <row r="12104" spans="1:2" x14ac:dyDescent="0.25">
      <c r="A12104" s="75">
        <v>50192701</v>
      </c>
      <c r="B12104" s="76" t="s">
        <v>5805</v>
      </c>
    </row>
    <row r="12105" spans="1:2" x14ac:dyDescent="0.25">
      <c r="A12105" s="75">
        <v>50192702</v>
      </c>
      <c r="B12105" s="76" t="s">
        <v>47</v>
      </c>
    </row>
    <row r="12106" spans="1:2" x14ac:dyDescent="0.25">
      <c r="A12106" s="75">
        <v>50192703</v>
      </c>
      <c r="B12106" s="76" t="s">
        <v>974</v>
      </c>
    </row>
    <row r="12107" spans="1:2" x14ac:dyDescent="0.25">
      <c r="A12107" s="75">
        <v>50192801</v>
      </c>
      <c r="B12107" s="76" t="s">
        <v>6167</v>
      </c>
    </row>
    <row r="12108" spans="1:2" x14ac:dyDescent="0.25">
      <c r="A12108" s="75">
        <v>50192802</v>
      </c>
      <c r="B12108" s="76" t="s">
        <v>14665</v>
      </c>
    </row>
    <row r="12109" spans="1:2" x14ac:dyDescent="0.25">
      <c r="A12109" s="75">
        <v>50192803</v>
      </c>
      <c r="B12109" s="76" t="s">
        <v>6871</v>
      </c>
    </row>
    <row r="12110" spans="1:2" x14ac:dyDescent="0.25">
      <c r="A12110" s="75">
        <v>50192901</v>
      </c>
      <c r="B12110" s="76" t="s">
        <v>1111</v>
      </c>
    </row>
    <row r="12111" spans="1:2" x14ac:dyDescent="0.25">
      <c r="A12111" s="75">
        <v>50192902</v>
      </c>
      <c r="B12111" s="76" t="s">
        <v>5387</v>
      </c>
    </row>
    <row r="12112" spans="1:2" x14ac:dyDescent="0.25">
      <c r="A12112" s="75">
        <v>50193001</v>
      </c>
      <c r="B12112" s="76" t="s">
        <v>15013</v>
      </c>
    </row>
    <row r="12113" spans="1:2" x14ac:dyDescent="0.25">
      <c r="A12113" s="75">
        <v>50193002</v>
      </c>
      <c r="B12113" s="76" t="s">
        <v>3765</v>
      </c>
    </row>
    <row r="12114" spans="1:2" x14ac:dyDescent="0.25">
      <c r="A12114" s="75">
        <v>50193101</v>
      </c>
      <c r="B12114" s="76" t="s">
        <v>476</v>
      </c>
    </row>
    <row r="12115" spans="1:2" x14ac:dyDescent="0.25">
      <c r="A12115" s="75">
        <v>50193102</v>
      </c>
      <c r="B12115" s="76" t="s">
        <v>12559</v>
      </c>
    </row>
    <row r="12116" spans="1:2" x14ac:dyDescent="0.25">
      <c r="A12116" s="75">
        <v>50193103</v>
      </c>
      <c r="B12116" s="76" t="s">
        <v>4622</v>
      </c>
    </row>
    <row r="12117" spans="1:2" x14ac:dyDescent="0.25">
      <c r="A12117" s="75">
        <v>50193104</v>
      </c>
      <c r="B12117" s="76" t="s">
        <v>7678</v>
      </c>
    </row>
    <row r="12118" spans="1:2" x14ac:dyDescent="0.25">
      <c r="A12118" s="75">
        <v>50193105</v>
      </c>
      <c r="B12118" s="76" t="s">
        <v>5892</v>
      </c>
    </row>
    <row r="12119" spans="1:2" x14ac:dyDescent="0.25">
      <c r="A12119" s="75">
        <v>50193201</v>
      </c>
      <c r="B12119" s="76" t="s">
        <v>16903</v>
      </c>
    </row>
    <row r="12120" spans="1:2" x14ac:dyDescent="0.25">
      <c r="A12120" s="75">
        <v>50193202</v>
      </c>
      <c r="B12120" s="76" t="s">
        <v>13136</v>
      </c>
    </row>
    <row r="12121" spans="1:2" x14ac:dyDescent="0.25">
      <c r="A12121" s="75">
        <v>50193203</v>
      </c>
      <c r="B12121" s="76" t="s">
        <v>5342</v>
      </c>
    </row>
    <row r="12122" spans="1:2" x14ac:dyDescent="0.25">
      <c r="A12122" s="75">
        <v>50201706</v>
      </c>
      <c r="B12122" s="76" t="s">
        <v>7186</v>
      </c>
    </row>
    <row r="12123" spans="1:2" x14ac:dyDescent="0.25">
      <c r="A12123" s="75">
        <v>50201707</v>
      </c>
      <c r="B12123" s="76" t="s">
        <v>2300</v>
      </c>
    </row>
    <row r="12124" spans="1:2" x14ac:dyDescent="0.25">
      <c r="A12124" s="75">
        <v>50201708</v>
      </c>
      <c r="B12124" s="76" t="s">
        <v>15543</v>
      </c>
    </row>
    <row r="12125" spans="1:2" x14ac:dyDescent="0.25">
      <c r="A12125" s="75">
        <v>50201709</v>
      </c>
      <c r="B12125" s="76" t="s">
        <v>13386</v>
      </c>
    </row>
    <row r="12126" spans="1:2" x14ac:dyDescent="0.25">
      <c r="A12126" s="75">
        <v>50201710</v>
      </c>
      <c r="B12126" s="76" t="s">
        <v>18404</v>
      </c>
    </row>
    <row r="12127" spans="1:2" x14ac:dyDescent="0.25">
      <c r="A12127" s="75">
        <v>50201711</v>
      </c>
      <c r="B12127" s="76" t="s">
        <v>11718</v>
      </c>
    </row>
    <row r="12128" spans="1:2" x14ac:dyDescent="0.25">
      <c r="A12128" s="75">
        <v>50201712</v>
      </c>
      <c r="B12128" s="76" t="s">
        <v>16381</v>
      </c>
    </row>
    <row r="12129" spans="1:2" x14ac:dyDescent="0.25">
      <c r="A12129" s="75">
        <v>50201713</v>
      </c>
      <c r="B12129" s="76" t="s">
        <v>3267</v>
      </c>
    </row>
    <row r="12130" spans="1:2" x14ac:dyDescent="0.25">
      <c r="A12130" s="75">
        <v>50201714</v>
      </c>
      <c r="B12130" s="76" t="s">
        <v>18124</v>
      </c>
    </row>
    <row r="12131" spans="1:2" x14ac:dyDescent="0.25">
      <c r="A12131" s="75">
        <v>50202201</v>
      </c>
      <c r="B12131" s="76" t="s">
        <v>15364</v>
      </c>
    </row>
    <row r="12132" spans="1:2" x14ac:dyDescent="0.25">
      <c r="A12132" s="75">
        <v>50202202</v>
      </c>
      <c r="B12132" s="76" t="s">
        <v>7514</v>
      </c>
    </row>
    <row r="12133" spans="1:2" x14ac:dyDescent="0.25">
      <c r="A12133" s="75">
        <v>50202203</v>
      </c>
      <c r="B12133" s="76" t="s">
        <v>13968</v>
      </c>
    </row>
    <row r="12134" spans="1:2" x14ac:dyDescent="0.25">
      <c r="A12134" s="75">
        <v>50202204</v>
      </c>
      <c r="B12134" s="76" t="s">
        <v>8843</v>
      </c>
    </row>
    <row r="12135" spans="1:2" x14ac:dyDescent="0.25">
      <c r="A12135" s="75">
        <v>50202205</v>
      </c>
      <c r="B12135" s="76" t="s">
        <v>16732</v>
      </c>
    </row>
    <row r="12136" spans="1:2" x14ac:dyDescent="0.25">
      <c r="A12136" s="75">
        <v>50202206</v>
      </c>
      <c r="B12136" s="76" t="s">
        <v>13668</v>
      </c>
    </row>
    <row r="12137" spans="1:2" x14ac:dyDescent="0.25">
      <c r="A12137" s="75">
        <v>50202207</v>
      </c>
      <c r="B12137" s="76" t="s">
        <v>4111</v>
      </c>
    </row>
    <row r="12138" spans="1:2" x14ac:dyDescent="0.25">
      <c r="A12138" s="75">
        <v>50202301</v>
      </c>
      <c r="B12138" s="76" t="s">
        <v>17509</v>
      </c>
    </row>
    <row r="12139" spans="1:2" x14ac:dyDescent="0.25">
      <c r="A12139" s="75">
        <v>50202302</v>
      </c>
      <c r="B12139" s="76" t="s">
        <v>16809</v>
      </c>
    </row>
    <row r="12140" spans="1:2" x14ac:dyDescent="0.25">
      <c r="A12140" s="75">
        <v>50202303</v>
      </c>
      <c r="B12140" s="76" t="s">
        <v>10780</v>
      </c>
    </row>
    <row r="12141" spans="1:2" x14ac:dyDescent="0.25">
      <c r="A12141" s="75">
        <v>50202304</v>
      </c>
      <c r="B12141" s="76" t="s">
        <v>15796</v>
      </c>
    </row>
    <row r="12142" spans="1:2" x14ac:dyDescent="0.25">
      <c r="A12142" s="75">
        <v>50202305</v>
      </c>
      <c r="B12142" s="76" t="s">
        <v>19546</v>
      </c>
    </row>
    <row r="12143" spans="1:2" x14ac:dyDescent="0.25">
      <c r="A12143" s="75">
        <v>50202306</v>
      </c>
      <c r="B12143" s="76" t="s">
        <v>10596</v>
      </c>
    </row>
    <row r="12144" spans="1:2" x14ac:dyDescent="0.25">
      <c r="A12144" s="75">
        <v>50202307</v>
      </c>
      <c r="B12144" s="76" t="s">
        <v>9536</v>
      </c>
    </row>
    <row r="12145" spans="1:2" x14ac:dyDescent="0.25">
      <c r="A12145" s="75">
        <v>50202308</v>
      </c>
      <c r="B12145" s="76" t="s">
        <v>9214</v>
      </c>
    </row>
    <row r="12146" spans="1:2" x14ac:dyDescent="0.25">
      <c r="A12146" s="75">
        <v>50202309</v>
      </c>
      <c r="B12146" s="76" t="s">
        <v>6514</v>
      </c>
    </row>
    <row r="12147" spans="1:2" x14ac:dyDescent="0.25">
      <c r="A12147" s="75">
        <v>50202310</v>
      </c>
      <c r="B12147" s="76" t="s">
        <v>5934</v>
      </c>
    </row>
    <row r="12148" spans="1:2" x14ac:dyDescent="0.25">
      <c r="A12148" s="75">
        <v>50202311</v>
      </c>
      <c r="B12148" s="76" t="s">
        <v>15244</v>
      </c>
    </row>
    <row r="12149" spans="1:2" x14ac:dyDescent="0.25">
      <c r="A12149" s="75">
        <v>50211502</v>
      </c>
      <c r="B12149" s="76" t="s">
        <v>10362</v>
      </c>
    </row>
    <row r="12150" spans="1:2" x14ac:dyDescent="0.25">
      <c r="A12150" s="75">
        <v>50211503</v>
      </c>
      <c r="B12150" s="76" t="s">
        <v>19687</v>
      </c>
    </row>
    <row r="12151" spans="1:2" x14ac:dyDescent="0.25">
      <c r="A12151" s="75">
        <v>50211504</v>
      </c>
      <c r="B12151" s="76" t="s">
        <v>12845</v>
      </c>
    </row>
    <row r="12152" spans="1:2" x14ac:dyDescent="0.25">
      <c r="A12152" s="75">
        <v>50211505</v>
      </c>
      <c r="B12152" s="76" t="s">
        <v>15044</v>
      </c>
    </row>
    <row r="12153" spans="1:2" x14ac:dyDescent="0.25">
      <c r="A12153" s="75">
        <v>50211506</v>
      </c>
      <c r="B12153" s="76" t="s">
        <v>17793</v>
      </c>
    </row>
    <row r="12154" spans="1:2" x14ac:dyDescent="0.25">
      <c r="A12154" s="75">
        <v>50211607</v>
      </c>
      <c r="B12154" s="76" t="s">
        <v>19133</v>
      </c>
    </row>
    <row r="12155" spans="1:2" x14ac:dyDescent="0.25">
      <c r="A12155" s="75">
        <v>50211608</v>
      </c>
      <c r="B12155" s="76" t="s">
        <v>16536</v>
      </c>
    </row>
    <row r="12156" spans="1:2" x14ac:dyDescent="0.25">
      <c r="A12156" s="75">
        <v>50211609</v>
      </c>
      <c r="B12156" s="76" t="s">
        <v>19993</v>
      </c>
    </row>
    <row r="12157" spans="1:2" x14ac:dyDescent="0.25">
      <c r="A12157" s="75">
        <v>50211610</v>
      </c>
      <c r="B12157" s="76" t="s">
        <v>18606</v>
      </c>
    </row>
    <row r="12158" spans="1:2" x14ac:dyDescent="0.25">
      <c r="A12158" s="75">
        <v>50211611</v>
      </c>
      <c r="B12158" s="76" t="s">
        <v>7851</v>
      </c>
    </row>
    <row r="12159" spans="1:2" x14ac:dyDescent="0.25">
      <c r="A12159" s="75">
        <v>50211612</v>
      </c>
      <c r="B12159" s="76" t="s">
        <v>4047</v>
      </c>
    </row>
    <row r="12160" spans="1:2" x14ac:dyDescent="0.25">
      <c r="A12160" s="75">
        <v>50221001</v>
      </c>
      <c r="B12160" s="76" t="s">
        <v>973</v>
      </c>
    </row>
    <row r="12161" spans="1:2" x14ac:dyDescent="0.25">
      <c r="A12161" s="75">
        <v>50221002</v>
      </c>
      <c r="B12161" s="76" t="s">
        <v>6448</v>
      </c>
    </row>
    <row r="12162" spans="1:2" x14ac:dyDescent="0.25">
      <c r="A12162" s="75">
        <v>50221101</v>
      </c>
      <c r="B12162" s="76" t="s">
        <v>377</v>
      </c>
    </row>
    <row r="12163" spans="1:2" x14ac:dyDescent="0.25">
      <c r="A12163" s="75">
        <v>50221102</v>
      </c>
      <c r="B12163" s="76" t="s">
        <v>2421</v>
      </c>
    </row>
    <row r="12164" spans="1:2" x14ac:dyDescent="0.25">
      <c r="A12164" s="75">
        <v>50221201</v>
      </c>
      <c r="B12164" s="76" t="s">
        <v>6911</v>
      </c>
    </row>
    <row r="12165" spans="1:2" x14ac:dyDescent="0.25">
      <c r="A12165" s="75">
        <v>50221202</v>
      </c>
      <c r="B12165" s="76" t="s">
        <v>18243</v>
      </c>
    </row>
    <row r="12166" spans="1:2" x14ac:dyDescent="0.25">
      <c r="A12166" s="75">
        <v>51101503</v>
      </c>
      <c r="B12166" s="76" t="s">
        <v>12295</v>
      </c>
    </row>
    <row r="12167" spans="1:2" x14ac:dyDescent="0.25">
      <c r="A12167" s="75">
        <v>51101504</v>
      </c>
      <c r="B12167" s="76" t="s">
        <v>17609</v>
      </c>
    </row>
    <row r="12168" spans="1:2" x14ac:dyDescent="0.25">
      <c r="A12168" s="75">
        <v>51101507</v>
      </c>
      <c r="B12168" s="76" t="s">
        <v>19431</v>
      </c>
    </row>
    <row r="12169" spans="1:2" x14ac:dyDescent="0.25">
      <c r="A12169" s="75">
        <v>51101508</v>
      </c>
      <c r="B12169" s="76" t="s">
        <v>2623</v>
      </c>
    </row>
    <row r="12170" spans="1:2" x14ac:dyDescent="0.25">
      <c r="A12170" s="75">
        <v>51101509</v>
      </c>
      <c r="B12170" s="76" t="s">
        <v>12840</v>
      </c>
    </row>
    <row r="12171" spans="1:2" x14ac:dyDescent="0.25">
      <c r="A12171" s="75">
        <v>51101510</v>
      </c>
      <c r="B12171" s="76" t="s">
        <v>6361</v>
      </c>
    </row>
    <row r="12172" spans="1:2" x14ac:dyDescent="0.25">
      <c r="A12172" s="75">
        <v>51101511</v>
      </c>
      <c r="B12172" s="76" t="s">
        <v>10914</v>
      </c>
    </row>
    <row r="12173" spans="1:2" x14ac:dyDescent="0.25">
      <c r="A12173" s="75">
        <v>51101512</v>
      </c>
      <c r="B12173" s="76" t="s">
        <v>7946</v>
      </c>
    </row>
    <row r="12174" spans="1:2" x14ac:dyDescent="0.25">
      <c r="A12174" s="75">
        <v>51101513</v>
      </c>
      <c r="B12174" s="76" t="s">
        <v>9435</v>
      </c>
    </row>
    <row r="12175" spans="1:2" x14ac:dyDescent="0.25">
      <c r="A12175" s="75">
        <v>51101514</v>
      </c>
      <c r="B12175" s="76" t="s">
        <v>17336</v>
      </c>
    </row>
    <row r="12176" spans="1:2" x14ac:dyDescent="0.25">
      <c r="A12176" s="75">
        <v>51101515</v>
      </c>
      <c r="B12176" s="76" t="s">
        <v>16834</v>
      </c>
    </row>
    <row r="12177" spans="1:2" x14ac:dyDescent="0.25">
      <c r="A12177" s="75">
        <v>51101516</v>
      </c>
      <c r="B12177" s="76" t="s">
        <v>3777</v>
      </c>
    </row>
    <row r="12178" spans="1:2" x14ac:dyDescent="0.25">
      <c r="A12178" s="75">
        <v>51101518</v>
      </c>
      <c r="B12178" s="76" t="s">
        <v>17845</v>
      </c>
    </row>
    <row r="12179" spans="1:2" x14ac:dyDescent="0.25">
      <c r="A12179" s="75">
        <v>51101519</v>
      </c>
      <c r="B12179" s="76" t="s">
        <v>5250</v>
      </c>
    </row>
    <row r="12180" spans="1:2" x14ac:dyDescent="0.25">
      <c r="A12180" s="75">
        <v>51101521</v>
      </c>
      <c r="B12180" s="76" t="s">
        <v>6691</v>
      </c>
    </row>
    <row r="12181" spans="1:2" x14ac:dyDescent="0.25">
      <c r="A12181" s="75">
        <v>51101522</v>
      </c>
      <c r="B12181" s="76" t="s">
        <v>20003</v>
      </c>
    </row>
    <row r="12182" spans="1:2" x14ac:dyDescent="0.25">
      <c r="A12182" s="75">
        <v>51101523</v>
      </c>
      <c r="B12182" s="76" t="s">
        <v>6583</v>
      </c>
    </row>
    <row r="12183" spans="1:2" x14ac:dyDescent="0.25">
      <c r="A12183" s="75">
        <v>51101524</v>
      </c>
      <c r="B12183" s="76" t="s">
        <v>11812</v>
      </c>
    </row>
    <row r="12184" spans="1:2" x14ac:dyDescent="0.25">
      <c r="A12184" s="75">
        <v>51101525</v>
      </c>
      <c r="B12184" s="76" t="s">
        <v>18216</v>
      </c>
    </row>
    <row r="12185" spans="1:2" x14ac:dyDescent="0.25">
      <c r="A12185" s="75">
        <v>51101526</v>
      </c>
      <c r="B12185" s="76" t="s">
        <v>10367</v>
      </c>
    </row>
    <row r="12186" spans="1:2" x14ac:dyDescent="0.25">
      <c r="A12186" s="75">
        <v>51101527</v>
      </c>
      <c r="B12186" s="76" t="s">
        <v>2455</v>
      </c>
    </row>
    <row r="12187" spans="1:2" x14ac:dyDescent="0.25">
      <c r="A12187" s="75">
        <v>51101528</v>
      </c>
      <c r="B12187" s="76" t="s">
        <v>6676</v>
      </c>
    </row>
    <row r="12188" spans="1:2" x14ac:dyDescent="0.25">
      <c r="A12188" s="75">
        <v>51101530</v>
      </c>
      <c r="B12188" s="76" t="s">
        <v>767</v>
      </c>
    </row>
    <row r="12189" spans="1:2" x14ac:dyDescent="0.25">
      <c r="A12189" s="75">
        <v>51101531</v>
      </c>
      <c r="B12189" s="76" t="s">
        <v>15939</v>
      </c>
    </row>
    <row r="12190" spans="1:2" x14ac:dyDescent="0.25">
      <c r="A12190" s="75">
        <v>51101532</v>
      </c>
      <c r="B12190" s="76" t="s">
        <v>8143</v>
      </c>
    </row>
    <row r="12191" spans="1:2" x14ac:dyDescent="0.25">
      <c r="A12191" s="75">
        <v>51101533</v>
      </c>
      <c r="B12191" s="76" t="s">
        <v>9099</v>
      </c>
    </row>
    <row r="12192" spans="1:2" x14ac:dyDescent="0.25">
      <c r="A12192" s="75">
        <v>51101534</v>
      </c>
      <c r="B12192" s="76" t="s">
        <v>11008</v>
      </c>
    </row>
    <row r="12193" spans="1:2" x14ac:dyDescent="0.25">
      <c r="A12193" s="75">
        <v>51101535</v>
      </c>
      <c r="B12193" s="76" t="s">
        <v>19372</v>
      </c>
    </row>
    <row r="12194" spans="1:2" x14ac:dyDescent="0.25">
      <c r="A12194" s="75">
        <v>51101536</v>
      </c>
      <c r="B12194" s="76" t="s">
        <v>3450</v>
      </c>
    </row>
    <row r="12195" spans="1:2" x14ac:dyDescent="0.25">
      <c r="A12195" s="75">
        <v>51101537</v>
      </c>
      <c r="B12195" s="76" t="s">
        <v>13093</v>
      </c>
    </row>
    <row r="12196" spans="1:2" x14ac:dyDescent="0.25">
      <c r="A12196" s="75">
        <v>51101538</v>
      </c>
      <c r="B12196" s="76" t="s">
        <v>19788</v>
      </c>
    </row>
    <row r="12197" spans="1:2" x14ac:dyDescent="0.25">
      <c r="A12197" s="75">
        <v>51101539</v>
      </c>
      <c r="B12197" s="76" t="s">
        <v>19783</v>
      </c>
    </row>
    <row r="12198" spans="1:2" x14ac:dyDescent="0.25">
      <c r="A12198" s="75">
        <v>51101540</v>
      </c>
      <c r="B12198" s="76" t="s">
        <v>11725</v>
      </c>
    </row>
    <row r="12199" spans="1:2" x14ac:dyDescent="0.25">
      <c r="A12199" s="75">
        <v>51101541</v>
      </c>
      <c r="B12199" s="76" t="s">
        <v>7167</v>
      </c>
    </row>
    <row r="12200" spans="1:2" x14ac:dyDescent="0.25">
      <c r="A12200" s="75">
        <v>51101542</v>
      </c>
      <c r="B12200" s="76" t="s">
        <v>13452</v>
      </c>
    </row>
    <row r="12201" spans="1:2" x14ac:dyDescent="0.25">
      <c r="A12201" s="75">
        <v>51101543</v>
      </c>
      <c r="B12201" s="76" t="s">
        <v>10129</v>
      </c>
    </row>
    <row r="12202" spans="1:2" x14ac:dyDescent="0.25">
      <c r="A12202" s="75">
        <v>51101544</v>
      </c>
      <c r="B12202" s="76" t="s">
        <v>4334</v>
      </c>
    </row>
    <row r="12203" spans="1:2" x14ac:dyDescent="0.25">
      <c r="A12203" s="75">
        <v>51101545</v>
      </c>
      <c r="B12203" s="76" t="s">
        <v>8421</v>
      </c>
    </row>
    <row r="12204" spans="1:2" x14ac:dyDescent="0.25">
      <c r="A12204" s="75">
        <v>51101546</v>
      </c>
      <c r="B12204" s="76" t="s">
        <v>164</v>
      </c>
    </row>
    <row r="12205" spans="1:2" x14ac:dyDescent="0.25">
      <c r="A12205" s="75">
        <v>51101547</v>
      </c>
      <c r="B12205" s="76" t="s">
        <v>1820</v>
      </c>
    </row>
    <row r="12206" spans="1:2" x14ac:dyDescent="0.25">
      <c r="A12206" s="75">
        <v>51101548</v>
      </c>
      <c r="B12206" s="76" t="s">
        <v>6543</v>
      </c>
    </row>
    <row r="12207" spans="1:2" x14ac:dyDescent="0.25">
      <c r="A12207" s="75">
        <v>51101549</v>
      </c>
      <c r="B12207" s="76" t="s">
        <v>2617</v>
      </c>
    </row>
    <row r="12208" spans="1:2" x14ac:dyDescent="0.25">
      <c r="A12208" s="75">
        <v>51101550</v>
      </c>
      <c r="B12208" s="76" t="s">
        <v>2313</v>
      </c>
    </row>
    <row r="12209" spans="1:2" x14ac:dyDescent="0.25">
      <c r="A12209" s="75">
        <v>51101551</v>
      </c>
      <c r="B12209" s="76" t="s">
        <v>3779</v>
      </c>
    </row>
    <row r="12210" spans="1:2" x14ac:dyDescent="0.25">
      <c r="A12210" s="75">
        <v>51101552</v>
      </c>
      <c r="B12210" s="76" t="s">
        <v>12568</v>
      </c>
    </row>
    <row r="12211" spans="1:2" x14ac:dyDescent="0.25">
      <c r="A12211" s="75">
        <v>51101553</v>
      </c>
      <c r="B12211" s="76" t="s">
        <v>12157</v>
      </c>
    </row>
    <row r="12212" spans="1:2" x14ac:dyDescent="0.25">
      <c r="A12212" s="75">
        <v>51101554</v>
      </c>
      <c r="B12212" s="76" t="s">
        <v>3410</v>
      </c>
    </row>
    <row r="12213" spans="1:2" x14ac:dyDescent="0.25">
      <c r="A12213" s="75">
        <v>51101555</v>
      </c>
      <c r="B12213" s="76" t="s">
        <v>14840</v>
      </c>
    </row>
    <row r="12214" spans="1:2" x14ac:dyDescent="0.25">
      <c r="A12214" s="75">
        <v>51101556</v>
      </c>
      <c r="B12214" s="76" t="s">
        <v>10836</v>
      </c>
    </row>
    <row r="12215" spans="1:2" x14ac:dyDescent="0.25">
      <c r="A12215" s="75">
        <v>51101557</v>
      </c>
      <c r="B12215" s="76" t="s">
        <v>19438</v>
      </c>
    </row>
    <row r="12216" spans="1:2" x14ac:dyDescent="0.25">
      <c r="A12216" s="75">
        <v>51101558</v>
      </c>
      <c r="B12216" s="76" t="s">
        <v>746</v>
      </c>
    </row>
    <row r="12217" spans="1:2" x14ac:dyDescent="0.25">
      <c r="A12217" s="75">
        <v>51101559</v>
      </c>
      <c r="B12217" s="76" t="s">
        <v>19834</v>
      </c>
    </row>
    <row r="12218" spans="1:2" x14ac:dyDescent="0.25">
      <c r="A12218" s="75">
        <v>51101560</v>
      </c>
      <c r="B12218" s="76" t="s">
        <v>5367</v>
      </c>
    </row>
    <row r="12219" spans="1:2" x14ac:dyDescent="0.25">
      <c r="A12219" s="75">
        <v>51101561</v>
      </c>
      <c r="B12219" s="76" t="s">
        <v>5638</v>
      </c>
    </row>
    <row r="12220" spans="1:2" x14ac:dyDescent="0.25">
      <c r="A12220" s="75">
        <v>51101562</v>
      </c>
      <c r="B12220" s="76" t="s">
        <v>19303</v>
      </c>
    </row>
    <row r="12221" spans="1:2" x14ac:dyDescent="0.25">
      <c r="A12221" s="75">
        <v>51101563</v>
      </c>
      <c r="B12221" s="76" t="s">
        <v>11683</v>
      </c>
    </row>
    <row r="12222" spans="1:2" x14ac:dyDescent="0.25">
      <c r="A12222" s="75">
        <v>51101564</v>
      </c>
      <c r="B12222" s="76" t="s">
        <v>9417</v>
      </c>
    </row>
    <row r="12223" spans="1:2" x14ac:dyDescent="0.25">
      <c r="A12223" s="75">
        <v>51101565</v>
      </c>
      <c r="B12223" s="76" t="s">
        <v>10817</v>
      </c>
    </row>
    <row r="12224" spans="1:2" x14ac:dyDescent="0.25">
      <c r="A12224" s="75">
        <v>51101566</v>
      </c>
      <c r="B12224" s="76" t="s">
        <v>3637</v>
      </c>
    </row>
    <row r="12225" spans="1:2" x14ac:dyDescent="0.25">
      <c r="A12225" s="75">
        <v>51101567</v>
      </c>
      <c r="B12225" s="76" t="s">
        <v>7804</v>
      </c>
    </row>
    <row r="12226" spans="1:2" x14ac:dyDescent="0.25">
      <c r="A12226" s="75">
        <v>51101568</v>
      </c>
      <c r="B12226" s="76" t="s">
        <v>17351</v>
      </c>
    </row>
    <row r="12227" spans="1:2" x14ac:dyDescent="0.25">
      <c r="A12227" s="75">
        <v>51101569</v>
      </c>
      <c r="B12227" s="76" t="s">
        <v>18529</v>
      </c>
    </row>
    <row r="12228" spans="1:2" x14ac:dyDescent="0.25">
      <c r="A12228" s="75">
        <v>51101570</v>
      </c>
      <c r="B12228" s="76" t="s">
        <v>13307</v>
      </c>
    </row>
    <row r="12229" spans="1:2" x14ac:dyDescent="0.25">
      <c r="A12229" s="75">
        <v>51101571</v>
      </c>
      <c r="B12229" s="76" t="s">
        <v>15415</v>
      </c>
    </row>
    <row r="12230" spans="1:2" x14ac:dyDescent="0.25">
      <c r="A12230" s="75">
        <v>51101572</v>
      </c>
      <c r="B12230" s="76" t="s">
        <v>4148</v>
      </c>
    </row>
    <row r="12231" spans="1:2" x14ac:dyDescent="0.25">
      <c r="A12231" s="75">
        <v>51101573</v>
      </c>
      <c r="B12231" s="76" t="s">
        <v>17326</v>
      </c>
    </row>
    <row r="12232" spans="1:2" x14ac:dyDescent="0.25">
      <c r="A12232" s="75">
        <v>51101574</v>
      </c>
      <c r="B12232" s="76" t="s">
        <v>2343</v>
      </c>
    </row>
    <row r="12233" spans="1:2" x14ac:dyDescent="0.25">
      <c r="A12233" s="75">
        <v>51101575</v>
      </c>
      <c r="B12233" s="76" t="s">
        <v>1298</v>
      </c>
    </row>
    <row r="12234" spans="1:2" x14ac:dyDescent="0.25">
      <c r="A12234" s="75">
        <v>51101576</v>
      </c>
      <c r="B12234" s="76" t="s">
        <v>18848</v>
      </c>
    </row>
    <row r="12235" spans="1:2" x14ac:dyDescent="0.25">
      <c r="A12235" s="75">
        <v>51101577</v>
      </c>
      <c r="B12235" s="76" t="s">
        <v>3431</v>
      </c>
    </row>
    <row r="12236" spans="1:2" x14ac:dyDescent="0.25">
      <c r="A12236" s="75">
        <v>51101578</v>
      </c>
      <c r="B12236" s="76" t="s">
        <v>9541</v>
      </c>
    </row>
    <row r="12237" spans="1:2" x14ac:dyDescent="0.25">
      <c r="A12237" s="75">
        <v>51101579</v>
      </c>
      <c r="B12237" s="76" t="s">
        <v>13781</v>
      </c>
    </row>
    <row r="12238" spans="1:2" x14ac:dyDescent="0.25">
      <c r="A12238" s="75">
        <v>51101580</v>
      </c>
      <c r="B12238" s="76" t="s">
        <v>12780</v>
      </c>
    </row>
    <row r="12239" spans="1:2" x14ac:dyDescent="0.25">
      <c r="A12239" s="75">
        <v>51101581</v>
      </c>
      <c r="B12239" s="76" t="s">
        <v>15101</v>
      </c>
    </row>
    <row r="12240" spans="1:2" x14ac:dyDescent="0.25">
      <c r="A12240" s="75">
        <v>51101582</v>
      </c>
      <c r="B12240" s="76" t="s">
        <v>18322</v>
      </c>
    </row>
    <row r="12241" spans="1:2" x14ac:dyDescent="0.25">
      <c r="A12241" s="75">
        <v>51101583</v>
      </c>
      <c r="B12241" s="76" t="s">
        <v>15126</v>
      </c>
    </row>
    <row r="12242" spans="1:2" x14ac:dyDescent="0.25">
      <c r="A12242" s="75">
        <v>51101584</v>
      </c>
      <c r="B12242" s="76" t="s">
        <v>11693</v>
      </c>
    </row>
    <row r="12243" spans="1:2" x14ac:dyDescent="0.25">
      <c r="A12243" s="75">
        <v>51101585</v>
      </c>
      <c r="B12243" s="76" t="s">
        <v>12961</v>
      </c>
    </row>
    <row r="12244" spans="1:2" x14ac:dyDescent="0.25">
      <c r="A12244" s="75">
        <v>51101586</v>
      </c>
      <c r="B12244" s="76" t="s">
        <v>1516</v>
      </c>
    </row>
    <row r="12245" spans="1:2" x14ac:dyDescent="0.25">
      <c r="A12245" s="75">
        <v>51101587</v>
      </c>
      <c r="B12245" s="76" t="s">
        <v>16376</v>
      </c>
    </row>
    <row r="12246" spans="1:2" x14ac:dyDescent="0.25">
      <c r="A12246" s="75">
        <v>51101588</v>
      </c>
      <c r="B12246" s="76" t="s">
        <v>9889</v>
      </c>
    </row>
    <row r="12247" spans="1:2" x14ac:dyDescent="0.25">
      <c r="A12247" s="75">
        <v>51101589</v>
      </c>
      <c r="B12247" s="76" t="s">
        <v>4483</v>
      </c>
    </row>
    <row r="12248" spans="1:2" x14ac:dyDescent="0.25">
      <c r="A12248" s="75">
        <v>51101590</v>
      </c>
      <c r="B12248" s="76" t="s">
        <v>19829</v>
      </c>
    </row>
    <row r="12249" spans="1:2" x14ac:dyDescent="0.25">
      <c r="A12249" s="75">
        <v>51101591</v>
      </c>
      <c r="B12249" s="76" t="s">
        <v>16429</v>
      </c>
    </row>
    <row r="12250" spans="1:2" x14ac:dyDescent="0.25">
      <c r="A12250" s="75">
        <v>51101592</v>
      </c>
      <c r="B12250" s="76" t="s">
        <v>9673</v>
      </c>
    </row>
    <row r="12251" spans="1:2" x14ac:dyDescent="0.25">
      <c r="A12251" s="75">
        <v>51101593</v>
      </c>
      <c r="B12251" s="76" t="s">
        <v>4404</v>
      </c>
    </row>
    <row r="12252" spans="1:2" x14ac:dyDescent="0.25">
      <c r="A12252" s="75">
        <v>51101594</v>
      </c>
      <c r="B12252" s="76" t="s">
        <v>4791</v>
      </c>
    </row>
    <row r="12253" spans="1:2" x14ac:dyDescent="0.25">
      <c r="A12253" s="75">
        <v>51101595</v>
      </c>
      <c r="B12253" s="76" t="s">
        <v>549</v>
      </c>
    </row>
    <row r="12254" spans="1:2" x14ac:dyDescent="0.25">
      <c r="A12254" s="75">
        <v>51101596</v>
      </c>
      <c r="B12254" s="76" t="s">
        <v>14596</v>
      </c>
    </row>
    <row r="12255" spans="1:2" x14ac:dyDescent="0.25">
      <c r="A12255" s="75">
        <v>51101597</v>
      </c>
      <c r="B12255" s="76" t="s">
        <v>2014</v>
      </c>
    </row>
    <row r="12256" spans="1:2" x14ac:dyDescent="0.25">
      <c r="A12256" s="75">
        <v>51101598</v>
      </c>
      <c r="B12256" s="76" t="s">
        <v>991</v>
      </c>
    </row>
    <row r="12257" spans="1:2" x14ac:dyDescent="0.25">
      <c r="A12257" s="75">
        <v>51101599</v>
      </c>
      <c r="B12257" s="76" t="s">
        <v>6949</v>
      </c>
    </row>
    <row r="12258" spans="1:2" x14ac:dyDescent="0.25">
      <c r="A12258" s="75">
        <v>51101601</v>
      </c>
      <c r="B12258" s="76" t="s">
        <v>16336</v>
      </c>
    </row>
    <row r="12259" spans="1:2" x14ac:dyDescent="0.25">
      <c r="A12259" s="75">
        <v>51101602</v>
      </c>
      <c r="B12259" s="76" t="s">
        <v>6810</v>
      </c>
    </row>
    <row r="12260" spans="1:2" x14ac:dyDescent="0.25">
      <c r="A12260" s="75">
        <v>51101603</v>
      </c>
      <c r="B12260" s="76" t="s">
        <v>5337</v>
      </c>
    </row>
    <row r="12261" spans="1:2" x14ac:dyDescent="0.25">
      <c r="A12261" s="75">
        <v>51101604</v>
      </c>
      <c r="B12261" s="76" t="s">
        <v>6945</v>
      </c>
    </row>
    <row r="12262" spans="1:2" x14ac:dyDescent="0.25">
      <c r="A12262" s="75">
        <v>51101606</v>
      </c>
      <c r="B12262" s="76" t="s">
        <v>13411</v>
      </c>
    </row>
    <row r="12263" spans="1:2" x14ac:dyDescent="0.25">
      <c r="A12263" s="75">
        <v>51101607</v>
      </c>
      <c r="B12263" s="76" t="s">
        <v>7753</v>
      </c>
    </row>
    <row r="12264" spans="1:2" x14ac:dyDescent="0.25">
      <c r="A12264" s="75">
        <v>51101610</v>
      </c>
      <c r="B12264" s="76" t="s">
        <v>13354</v>
      </c>
    </row>
    <row r="12265" spans="1:2" x14ac:dyDescent="0.25">
      <c r="A12265" s="75">
        <v>51101611</v>
      </c>
      <c r="B12265" s="76" t="s">
        <v>19449</v>
      </c>
    </row>
    <row r="12266" spans="1:2" x14ac:dyDescent="0.25">
      <c r="A12266" s="75">
        <v>51101612</v>
      </c>
      <c r="B12266" s="76" t="s">
        <v>2063</v>
      </c>
    </row>
    <row r="12267" spans="1:2" x14ac:dyDescent="0.25">
      <c r="A12267" s="75">
        <v>51101613</v>
      </c>
      <c r="B12267" s="76" t="s">
        <v>9535</v>
      </c>
    </row>
    <row r="12268" spans="1:2" x14ac:dyDescent="0.25">
      <c r="A12268" s="75">
        <v>51101614</v>
      </c>
      <c r="B12268" s="76" t="s">
        <v>5715</v>
      </c>
    </row>
    <row r="12269" spans="1:2" x14ac:dyDescent="0.25">
      <c r="A12269" s="75">
        <v>51101616</v>
      </c>
      <c r="B12269" s="76" t="s">
        <v>18820</v>
      </c>
    </row>
    <row r="12270" spans="1:2" x14ac:dyDescent="0.25">
      <c r="A12270" s="75">
        <v>51101617</v>
      </c>
      <c r="B12270" s="76" t="s">
        <v>8782</v>
      </c>
    </row>
    <row r="12271" spans="1:2" x14ac:dyDescent="0.25">
      <c r="A12271" s="75">
        <v>51101618</v>
      </c>
      <c r="B12271" s="76" t="s">
        <v>9284</v>
      </c>
    </row>
    <row r="12272" spans="1:2" x14ac:dyDescent="0.25">
      <c r="A12272" s="75">
        <v>51101619</v>
      </c>
      <c r="B12272" s="76" t="s">
        <v>18088</v>
      </c>
    </row>
    <row r="12273" spans="1:2" x14ac:dyDescent="0.25">
      <c r="A12273" s="75">
        <v>51101620</v>
      </c>
      <c r="B12273" s="76" t="s">
        <v>7364</v>
      </c>
    </row>
    <row r="12274" spans="1:2" x14ac:dyDescent="0.25">
      <c r="A12274" s="75">
        <v>51101624</v>
      </c>
      <c r="B12274" s="76" t="s">
        <v>11196</v>
      </c>
    </row>
    <row r="12275" spans="1:2" x14ac:dyDescent="0.25">
      <c r="A12275" s="75">
        <v>51101625</v>
      </c>
      <c r="B12275" s="76" t="s">
        <v>15120</v>
      </c>
    </row>
    <row r="12276" spans="1:2" x14ac:dyDescent="0.25">
      <c r="A12276" s="75">
        <v>51101629</v>
      </c>
      <c r="B12276" s="76" t="s">
        <v>13846</v>
      </c>
    </row>
    <row r="12277" spans="1:2" x14ac:dyDescent="0.25">
      <c r="A12277" s="75">
        <v>51101630</v>
      </c>
      <c r="B12277" s="76" t="s">
        <v>12750</v>
      </c>
    </row>
    <row r="12278" spans="1:2" x14ac:dyDescent="0.25">
      <c r="A12278" s="75">
        <v>51101701</v>
      </c>
      <c r="B12278" s="76" t="s">
        <v>2564</v>
      </c>
    </row>
    <row r="12279" spans="1:2" x14ac:dyDescent="0.25">
      <c r="A12279" s="75">
        <v>51101702</v>
      </c>
      <c r="B12279" s="76" t="s">
        <v>14713</v>
      </c>
    </row>
    <row r="12280" spans="1:2" x14ac:dyDescent="0.25">
      <c r="A12280" s="75">
        <v>51101703</v>
      </c>
      <c r="B12280" s="76" t="s">
        <v>8112</v>
      </c>
    </row>
    <row r="12281" spans="1:2" x14ac:dyDescent="0.25">
      <c r="A12281" s="75">
        <v>51101704</v>
      </c>
      <c r="B12281" s="76" t="s">
        <v>12697</v>
      </c>
    </row>
    <row r="12282" spans="1:2" x14ac:dyDescent="0.25">
      <c r="A12282" s="75">
        <v>51101705</v>
      </c>
      <c r="B12282" s="76" t="s">
        <v>14928</v>
      </c>
    </row>
    <row r="12283" spans="1:2" x14ac:dyDescent="0.25">
      <c r="A12283" s="75">
        <v>51101706</v>
      </c>
      <c r="B12283" s="76" t="s">
        <v>18721</v>
      </c>
    </row>
    <row r="12284" spans="1:2" x14ac:dyDescent="0.25">
      <c r="A12284" s="75">
        <v>51101707</v>
      </c>
      <c r="B12284" s="76" t="s">
        <v>5882</v>
      </c>
    </row>
    <row r="12285" spans="1:2" x14ac:dyDescent="0.25">
      <c r="A12285" s="75">
        <v>51101708</v>
      </c>
      <c r="B12285" s="76" t="s">
        <v>14268</v>
      </c>
    </row>
    <row r="12286" spans="1:2" x14ac:dyDescent="0.25">
      <c r="A12286" s="75">
        <v>51101709</v>
      </c>
      <c r="B12286" s="76" t="s">
        <v>13724</v>
      </c>
    </row>
    <row r="12287" spans="1:2" x14ac:dyDescent="0.25">
      <c r="A12287" s="75">
        <v>51101710</v>
      </c>
      <c r="B12287" s="76" t="s">
        <v>8197</v>
      </c>
    </row>
    <row r="12288" spans="1:2" x14ac:dyDescent="0.25">
      <c r="A12288" s="75">
        <v>51101711</v>
      </c>
      <c r="B12288" s="76" t="s">
        <v>4059</v>
      </c>
    </row>
    <row r="12289" spans="1:2" x14ac:dyDescent="0.25">
      <c r="A12289" s="75">
        <v>51101712</v>
      </c>
      <c r="B12289" s="76" t="s">
        <v>3501</v>
      </c>
    </row>
    <row r="12290" spans="1:2" x14ac:dyDescent="0.25">
      <c r="A12290" s="75">
        <v>51101713</v>
      </c>
      <c r="B12290" s="76" t="s">
        <v>14087</v>
      </c>
    </row>
    <row r="12291" spans="1:2" x14ac:dyDescent="0.25">
      <c r="A12291" s="75">
        <v>51101714</v>
      </c>
      <c r="B12291" s="76" t="s">
        <v>8392</v>
      </c>
    </row>
    <row r="12292" spans="1:2" x14ac:dyDescent="0.25">
      <c r="A12292" s="75">
        <v>51101715</v>
      </c>
      <c r="B12292" s="76" t="s">
        <v>18327</v>
      </c>
    </row>
    <row r="12293" spans="1:2" x14ac:dyDescent="0.25">
      <c r="A12293" s="75">
        <v>51101716</v>
      </c>
      <c r="B12293" s="76" t="s">
        <v>7300</v>
      </c>
    </row>
    <row r="12294" spans="1:2" x14ac:dyDescent="0.25">
      <c r="A12294" s="75">
        <v>51101717</v>
      </c>
      <c r="B12294" s="76" t="s">
        <v>14756</v>
      </c>
    </row>
    <row r="12295" spans="1:2" x14ac:dyDescent="0.25">
      <c r="A12295" s="75">
        <v>51101718</v>
      </c>
      <c r="B12295" s="76" t="s">
        <v>12932</v>
      </c>
    </row>
    <row r="12296" spans="1:2" x14ac:dyDescent="0.25">
      <c r="A12296" s="75">
        <v>51101719</v>
      </c>
      <c r="B12296" s="76" t="s">
        <v>1437</v>
      </c>
    </row>
    <row r="12297" spans="1:2" x14ac:dyDescent="0.25">
      <c r="A12297" s="75">
        <v>51101720</v>
      </c>
      <c r="B12297" s="76" t="s">
        <v>8989</v>
      </c>
    </row>
    <row r="12298" spans="1:2" x14ac:dyDescent="0.25">
      <c r="A12298" s="75">
        <v>51101801</v>
      </c>
      <c r="B12298" s="76" t="s">
        <v>6428</v>
      </c>
    </row>
    <row r="12299" spans="1:2" x14ac:dyDescent="0.25">
      <c r="A12299" s="75">
        <v>51101802</v>
      </c>
      <c r="B12299" s="76" t="s">
        <v>3278</v>
      </c>
    </row>
    <row r="12300" spans="1:2" x14ac:dyDescent="0.25">
      <c r="A12300" s="75">
        <v>51101803</v>
      </c>
      <c r="B12300" s="76" t="s">
        <v>18094</v>
      </c>
    </row>
    <row r="12301" spans="1:2" x14ac:dyDescent="0.25">
      <c r="A12301" s="75">
        <v>51101804</v>
      </c>
      <c r="B12301" s="76" t="s">
        <v>11600</v>
      </c>
    </row>
    <row r="12302" spans="1:2" x14ac:dyDescent="0.25">
      <c r="A12302" s="75">
        <v>51101805</v>
      </c>
      <c r="B12302" s="76" t="s">
        <v>20030</v>
      </c>
    </row>
    <row r="12303" spans="1:2" x14ac:dyDescent="0.25">
      <c r="A12303" s="75">
        <v>51101806</v>
      </c>
      <c r="B12303" s="76" t="s">
        <v>18082</v>
      </c>
    </row>
    <row r="12304" spans="1:2" x14ac:dyDescent="0.25">
      <c r="A12304" s="75">
        <v>51101807</v>
      </c>
      <c r="B12304" s="76" t="s">
        <v>1952</v>
      </c>
    </row>
    <row r="12305" spans="1:2" x14ac:dyDescent="0.25">
      <c r="A12305" s="75">
        <v>51101808</v>
      </c>
      <c r="B12305" s="76" t="s">
        <v>1197</v>
      </c>
    </row>
    <row r="12306" spans="1:2" x14ac:dyDescent="0.25">
      <c r="A12306" s="75">
        <v>51101809</v>
      </c>
      <c r="B12306" s="76" t="s">
        <v>13279</v>
      </c>
    </row>
    <row r="12307" spans="1:2" x14ac:dyDescent="0.25">
      <c r="A12307" s="75">
        <v>51101810</v>
      </c>
      <c r="B12307" s="76" t="s">
        <v>372</v>
      </c>
    </row>
    <row r="12308" spans="1:2" x14ac:dyDescent="0.25">
      <c r="A12308" s="75">
        <v>51101811</v>
      </c>
      <c r="B12308" s="76" t="s">
        <v>15184</v>
      </c>
    </row>
    <row r="12309" spans="1:2" x14ac:dyDescent="0.25">
      <c r="A12309" s="75">
        <v>51101812</v>
      </c>
      <c r="B12309" s="76" t="s">
        <v>5735</v>
      </c>
    </row>
    <row r="12310" spans="1:2" x14ac:dyDescent="0.25">
      <c r="A12310" s="75">
        <v>51101813</v>
      </c>
      <c r="B12310" s="76" t="s">
        <v>7472</v>
      </c>
    </row>
    <row r="12311" spans="1:2" x14ac:dyDescent="0.25">
      <c r="A12311" s="75">
        <v>51101814</v>
      </c>
      <c r="B12311" s="76" t="s">
        <v>9717</v>
      </c>
    </row>
    <row r="12312" spans="1:2" x14ac:dyDescent="0.25">
      <c r="A12312" s="75">
        <v>51101815</v>
      </c>
      <c r="B12312" s="76" t="s">
        <v>6249</v>
      </c>
    </row>
    <row r="12313" spans="1:2" x14ac:dyDescent="0.25">
      <c r="A12313" s="75">
        <v>51101816</v>
      </c>
      <c r="B12313" s="76" t="s">
        <v>19636</v>
      </c>
    </row>
    <row r="12314" spans="1:2" x14ac:dyDescent="0.25">
      <c r="A12314" s="75">
        <v>51101817</v>
      </c>
      <c r="B12314" s="76" t="s">
        <v>13631</v>
      </c>
    </row>
    <row r="12315" spans="1:2" x14ac:dyDescent="0.25">
      <c r="A12315" s="75">
        <v>51101818</v>
      </c>
      <c r="B12315" s="76" t="s">
        <v>4061</v>
      </c>
    </row>
    <row r="12316" spans="1:2" x14ac:dyDescent="0.25">
      <c r="A12316" s="75">
        <v>51101819</v>
      </c>
      <c r="B12316" s="76" t="s">
        <v>18546</v>
      </c>
    </row>
    <row r="12317" spans="1:2" x14ac:dyDescent="0.25">
      <c r="A12317" s="75">
        <v>51101820</v>
      </c>
      <c r="B12317" s="76" t="s">
        <v>18016</v>
      </c>
    </row>
    <row r="12318" spans="1:2" x14ac:dyDescent="0.25">
      <c r="A12318" s="75">
        <v>51101821</v>
      </c>
      <c r="B12318" s="76" t="s">
        <v>15211</v>
      </c>
    </row>
    <row r="12319" spans="1:2" x14ac:dyDescent="0.25">
      <c r="A12319" s="75">
        <v>51101824</v>
      </c>
      <c r="B12319" s="76" t="s">
        <v>19525</v>
      </c>
    </row>
    <row r="12320" spans="1:2" x14ac:dyDescent="0.25">
      <c r="A12320" s="75">
        <v>51101825</v>
      </c>
      <c r="B12320" s="76" t="s">
        <v>10280</v>
      </c>
    </row>
    <row r="12321" spans="1:2" x14ac:dyDescent="0.25">
      <c r="A12321" s="75">
        <v>51101826</v>
      </c>
      <c r="B12321" s="76" t="s">
        <v>10429</v>
      </c>
    </row>
    <row r="12322" spans="1:2" x14ac:dyDescent="0.25">
      <c r="A12322" s="75">
        <v>51101827</v>
      </c>
      <c r="B12322" s="76" t="s">
        <v>12566</v>
      </c>
    </row>
    <row r="12323" spans="1:2" x14ac:dyDescent="0.25">
      <c r="A12323" s="75">
        <v>51101828</v>
      </c>
      <c r="B12323" s="76" t="s">
        <v>11810</v>
      </c>
    </row>
    <row r="12324" spans="1:2" x14ac:dyDescent="0.25">
      <c r="A12324" s="75">
        <v>51101829</v>
      </c>
      <c r="B12324" s="76" t="s">
        <v>3770</v>
      </c>
    </row>
    <row r="12325" spans="1:2" x14ac:dyDescent="0.25">
      <c r="A12325" s="75">
        <v>51101830</v>
      </c>
      <c r="B12325" s="76" t="s">
        <v>7998</v>
      </c>
    </row>
    <row r="12326" spans="1:2" x14ac:dyDescent="0.25">
      <c r="A12326" s="75">
        <v>51101831</v>
      </c>
      <c r="B12326" s="76" t="s">
        <v>15671</v>
      </c>
    </row>
    <row r="12327" spans="1:2" x14ac:dyDescent="0.25">
      <c r="A12327" s="75">
        <v>51101832</v>
      </c>
      <c r="B12327" s="76" t="s">
        <v>14236</v>
      </c>
    </row>
    <row r="12328" spans="1:2" x14ac:dyDescent="0.25">
      <c r="A12328" s="75">
        <v>51101834</v>
      </c>
      <c r="B12328" s="76" t="s">
        <v>9768</v>
      </c>
    </row>
    <row r="12329" spans="1:2" x14ac:dyDescent="0.25">
      <c r="A12329" s="75">
        <v>51101835</v>
      </c>
      <c r="B12329" s="76" t="s">
        <v>645</v>
      </c>
    </row>
    <row r="12330" spans="1:2" x14ac:dyDescent="0.25">
      <c r="A12330" s="75">
        <v>51101836</v>
      </c>
      <c r="B12330" s="76" t="s">
        <v>5209</v>
      </c>
    </row>
    <row r="12331" spans="1:2" x14ac:dyDescent="0.25">
      <c r="A12331" s="75">
        <v>51101901</v>
      </c>
      <c r="B12331" s="76" t="s">
        <v>15398</v>
      </c>
    </row>
    <row r="12332" spans="1:2" x14ac:dyDescent="0.25">
      <c r="A12332" s="75">
        <v>51101902</v>
      </c>
      <c r="B12332" s="76" t="s">
        <v>5931</v>
      </c>
    </row>
    <row r="12333" spans="1:2" x14ac:dyDescent="0.25">
      <c r="A12333" s="75">
        <v>51101903</v>
      </c>
      <c r="B12333" s="76" t="s">
        <v>7736</v>
      </c>
    </row>
    <row r="12334" spans="1:2" x14ac:dyDescent="0.25">
      <c r="A12334" s="75">
        <v>51101904</v>
      </c>
      <c r="B12334" s="76" t="s">
        <v>20012</v>
      </c>
    </row>
    <row r="12335" spans="1:2" x14ac:dyDescent="0.25">
      <c r="A12335" s="75">
        <v>51101905</v>
      </c>
      <c r="B12335" s="76" t="s">
        <v>14906</v>
      </c>
    </row>
    <row r="12336" spans="1:2" x14ac:dyDescent="0.25">
      <c r="A12336" s="75">
        <v>51101906</v>
      </c>
      <c r="B12336" s="76" t="s">
        <v>7229</v>
      </c>
    </row>
    <row r="12337" spans="1:2" x14ac:dyDescent="0.25">
      <c r="A12337" s="75">
        <v>51101907</v>
      </c>
      <c r="B12337" s="76" t="s">
        <v>17861</v>
      </c>
    </row>
    <row r="12338" spans="1:2" x14ac:dyDescent="0.25">
      <c r="A12338" s="75">
        <v>51101908</v>
      </c>
      <c r="B12338" s="76" t="s">
        <v>7015</v>
      </c>
    </row>
    <row r="12339" spans="1:2" x14ac:dyDescent="0.25">
      <c r="A12339" s="75">
        <v>51101909</v>
      </c>
      <c r="B12339" s="76" t="s">
        <v>19906</v>
      </c>
    </row>
    <row r="12340" spans="1:2" x14ac:dyDescent="0.25">
      <c r="A12340" s="75">
        <v>51101910</v>
      </c>
      <c r="B12340" s="76" t="s">
        <v>14524</v>
      </c>
    </row>
    <row r="12341" spans="1:2" x14ac:dyDescent="0.25">
      <c r="A12341" s="75">
        <v>51101911</v>
      </c>
      <c r="B12341" s="76" t="s">
        <v>17937</v>
      </c>
    </row>
    <row r="12342" spans="1:2" x14ac:dyDescent="0.25">
      <c r="A12342" s="75">
        <v>51101912</v>
      </c>
      <c r="B12342" s="76" t="s">
        <v>6693</v>
      </c>
    </row>
    <row r="12343" spans="1:2" x14ac:dyDescent="0.25">
      <c r="A12343" s="75">
        <v>51102001</v>
      </c>
      <c r="B12343" s="76" t="s">
        <v>13763</v>
      </c>
    </row>
    <row r="12344" spans="1:2" x14ac:dyDescent="0.25">
      <c r="A12344" s="75">
        <v>51102002</v>
      </c>
      <c r="B12344" s="76" t="s">
        <v>15065</v>
      </c>
    </row>
    <row r="12345" spans="1:2" x14ac:dyDescent="0.25">
      <c r="A12345" s="75">
        <v>51102003</v>
      </c>
      <c r="B12345" s="76" t="s">
        <v>3138</v>
      </c>
    </row>
    <row r="12346" spans="1:2" x14ac:dyDescent="0.25">
      <c r="A12346" s="75">
        <v>51102004</v>
      </c>
      <c r="B12346" s="76" t="s">
        <v>3574</v>
      </c>
    </row>
    <row r="12347" spans="1:2" x14ac:dyDescent="0.25">
      <c r="A12347" s="75">
        <v>51102005</v>
      </c>
      <c r="B12347" s="76" t="s">
        <v>5220</v>
      </c>
    </row>
    <row r="12348" spans="1:2" x14ac:dyDescent="0.25">
      <c r="A12348" s="75">
        <v>51102006</v>
      </c>
      <c r="B12348" s="76" t="s">
        <v>11118</v>
      </c>
    </row>
    <row r="12349" spans="1:2" x14ac:dyDescent="0.25">
      <c r="A12349" s="75">
        <v>51102007</v>
      </c>
      <c r="B12349" s="76" t="s">
        <v>13080</v>
      </c>
    </row>
    <row r="12350" spans="1:2" x14ac:dyDescent="0.25">
      <c r="A12350" s="75">
        <v>51102008</v>
      </c>
      <c r="B12350" s="76" t="s">
        <v>3981</v>
      </c>
    </row>
    <row r="12351" spans="1:2" x14ac:dyDescent="0.25">
      <c r="A12351" s="75">
        <v>51102009</v>
      </c>
      <c r="B12351" s="76" t="s">
        <v>13821</v>
      </c>
    </row>
    <row r="12352" spans="1:2" x14ac:dyDescent="0.25">
      <c r="A12352" s="75">
        <v>51102101</v>
      </c>
      <c r="B12352" s="76" t="s">
        <v>9075</v>
      </c>
    </row>
    <row r="12353" spans="1:2" x14ac:dyDescent="0.25">
      <c r="A12353" s="75">
        <v>51102102</v>
      </c>
      <c r="B12353" s="76" t="s">
        <v>18784</v>
      </c>
    </row>
    <row r="12354" spans="1:2" x14ac:dyDescent="0.25">
      <c r="A12354" s="75">
        <v>51102201</v>
      </c>
      <c r="B12354" s="76" t="s">
        <v>17617</v>
      </c>
    </row>
    <row r="12355" spans="1:2" x14ac:dyDescent="0.25">
      <c r="A12355" s="75">
        <v>51102202</v>
      </c>
      <c r="B12355" s="76" t="s">
        <v>16724</v>
      </c>
    </row>
    <row r="12356" spans="1:2" x14ac:dyDescent="0.25">
      <c r="A12356" s="75">
        <v>51102203</v>
      </c>
      <c r="B12356" s="76" t="s">
        <v>12471</v>
      </c>
    </row>
    <row r="12357" spans="1:2" x14ac:dyDescent="0.25">
      <c r="A12357" s="75">
        <v>51102204</v>
      </c>
      <c r="B12357" s="76" t="s">
        <v>17997</v>
      </c>
    </row>
    <row r="12358" spans="1:2" x14ac:dyDescent="0.25">
      <c r="A12358" s="75">
        <v>51102205</v>
      </c>
      <c r="B12358" s="76" t="s">
        <v>8049</v>
      </c>
    </row>
    <row r="12359" spans="1:2" x14ac:dyDescent="0.25">
      <c r="A12359" s="75">
        <v>51102206</v>
      </c>
      <c r="B12359" s="76" t="s">
        <v>12313</v>
      </c>
    </row>
    <row r="12360" spans="1:2" x14ac:dyDescent="0.25">
      <c r="A12360" s="75">
        <v>51102207</v>
      </c>
      <c r="B12360" s="76" t="s">
        <v>14766</v>
      </c>
    </row>
    <row r="12361" spans="1:2" x14ac:dyDescent="0.25">
      <c r="A12361" s="75">
        <v>51102208</v>
      </c>
      <c r="B12361" s="76" t="s">
        <v>19677</v>
      </c>
    </row>
    <row r="12362" spans="1:2" x14ac:dyDescent="0.25">
      <c r="A12362" s="75">
        <v>51102209</v>
      </c>
      <c r="B12362" s="76" t="s">
        <v>10635</v>
      </c>
    </row>
    <row r="12363" spans="1:2" x14ac:dyDescent="0.25">
      <c r="A12363" s="75">
        <v>51102211</v>
      </c>
      <c r="B12363" s="76" t="s">
        <v>3185</v>
      </c>
    </row>
    <row r="12364" spans="1:2" x14ac:dyDescent="0.25">
      <c r="A12364" s="75">
        <v>51102212</v>
      </c>
      <c r="B12364" s="76" t="s">
        <v>17363</v>
      </c>
    </row>
    <row r="12365" spans="1:2" x14ac:dyDescent="0.25">
      <c r="A12365" s="75">
        <v>51102213</v>
      </c>
      <c r="B12365" s="76" t="s">
        <v>11873</v>
      </c>
    </row>
    <row r="12366" spans="1:2" x14ac:dyDescent="0.25">
      <c r="A12366" s="75">
        <v>51102301</v>
      </c>
      <c r="B12366" s="76" t="s">
        <v>1532</v>
      </c>
    </row>
    <row r="12367" spans="1:2" x14ac:dyDescent="0.25">
      <c r="A12367" s="75">
        <v>51102302</v>
      </c>
      <c r="B12367" s="76" t="s">
        <v>3855</v>
      </c>
    </row>
    <row r="12368" spans="1:2" x14ac:dyDescent="0.25">
      <c r="A12368" s="75">
        <v>51102304</v>
      </c>
      <c r="B12368" s="76" t="s">
        <v>12838</v>
      </c>
    </row>
    <row r="12369" spans="1:2" x14ac:dyDescent="0.25">
      <c r="A12369" s="75">
        <v>51102305</v>
      </c>
      <c r="B12369" s="76" t="s">
        <v>16239</v>
      </c>
    </row>
    <row r="12370" spans="1:2" x14ac:dyDescent="0.25">
      <c r="A12370" s="75">
        <v>51102306</v>
      </c>
      <c r="B12370" s="76" t="s">
        <v>12862</v>
      </c>
    </row>
    <row r="12371" spans="1:2" x14ac:dyDescent="0.25">
      <c r="A12371" s="75">
        <v>51102307</v>
      </c>
      <c r="B12371" s="76" t="s">
        <v>5847</v>
      </c>
    </row>
    <row r="12372" spans="1:2" x14ac:dyDescent="0.25">
      <c r="A12372" s="75">
        <v>51102308</v>
      </c>
      <c r="B12372" s="76" t="s">
        <v>9059</v>
      </c>
    </row>
    <row r="12373" spans="1:2" x14ac:dyDescent="0.25">
      <c r="A12373" s="75">
        <v>51102309</v>
      </c>
      <c r="B12373" s="76" t="s">
        <v>19068</v>
      </c>
    </row>
    <row r="12374" spans="1:2" x14ac:dyDescent="0.25">
      <c r="A12374" s="75">
        <v>51102310</v>
      </c>
      <c r="B12374" s="76" t="s">
        <v>2011</v>
      </c>
    </row>
    <row r="12375" spans="1:2" x14ac:dyDescent="0.25">
      <c r="A12375" s="75">
        <v>51102311</v>
      </c>
      <c r="B12375" s="76" t="s">
        <v>13963</v>
      </c>
    </row>
    <row r="12376" spans="1:2" x14ac:dyDescent="0.25">
      <c r="A12376" s="75">
        <v>51102312</v>
      </c>
      <c r="B12376" s="76" t="s">
        <v>15714</v>
      </c>
    </row>
    <row r="12377" spans="1:2" x14ac:dyDescent="0.25">
      <c r="A12377" s="75">
        <v>51102313</v>
      </c>
      <c r="B12377" s="76" t="s">
        <v>14677</v>
      </c>
    </row>
    <row r="12378" spans="1:2" x14ac:dyDescent="0.25">
      <c r="A12378" s="75">
        <v>51102314</v>
      </c>
      <c r="B12378" s="76" t="s">
        <v>17582</v>
      </c>
    </row>
    <row r="12379" spans="1:2" x14ac:dyDescent="0.25">
      <c r="A12379" s="75">
        <v>51102315</v>
      </c>
      <c r="B12379" s="76" t="s">
        <v>13712</v>
      </c>
    </row>
    <row r="12380" spans="1:2" x14ac:dyDescent="0.25">
      <c r="A12380" s="75">
        <v>51102316</v>
      </c>
      <c r="B12380" s="76" t="s">
        <v>12950</v>
      </c>
    </row>
    <row r="12381" spans="1:2" x14ac:dyDescent="0.25">
      <c r="A12381" s="75">
        <v>51102317</v>
      </c>
      <c r="B12381" s="76" t="s">
        <v>6968</v>
      </c>
    </row>
    <row r="12382" spans="1:2" x14ac:dyDescent="0.25">
      <c r="A12382" s="75">
        <v>51102318</v>
      </c>
      <c r="B12382" s="76" t="s">
        <v>18255</v>
      </c>
    </row>
    <row r="12383" spans="1:2" x14ac:dyDescent="0.25">
      <c r="A12383" s="75">
        <v>51102319</v>
      </c>
      <c r="B12383" s="76" t="s">
        <v>836</v>
      </c>
    </row>
    <row r="12384" spans="1:2" x14ac:dyDescent="0.25">
      <c r="A12384" s="75">
        <v>51102320</v>
      </c>
      <c r="B12384" s="76" t="s">
        <v>14221</v>
      </c>
    </row>
    <row r="12385" spans="1:2" x14ac:dyDescent="0.25">
      <c r="A12385" s="75">
        <v>51102321</v>
      </c>
      <c r="B12385" s="76" t="s">
        <v>6874</v>
      </c>
    </row>
    <row r="12386" spans="1:2" x14ac:dyDescent="0.25">
      <c r="A12386" s="75">
        <v>51102322</v>
      </c>
      <c r="B12386" s="76" t="s">
        <v>1427</v>
      </c>
    </row>
    <row r="12387" spans="1:2" x14ac:dyDescent="0.25">
      <c r="A12387" s="75">
        <v>51102323</v>
      </c>
      <c r="B12387" s="76" t="s">
        <v>9965</v>
      </c>
    </row>
    <row r="12388" spans="1:2" x14ac:dyDescent="0.25">
      <c r="A12388" s="75">
        <v>51102324</v>
      </c>
      <c r="B12388" s="76" t="s">
        <v>18078</v>
      </c>
    </row>
    <row r="12389" spans="1:2" x14ac:dyDescent="0.25">
      <c r="A12389" s="75">
        <v>51102325</v>
      </c>
      <c r="B12389" s="76" t="s">
        <v>3517</v>
      </c>
    </row>
    <row r="12390" spans="1:2" x14ac:dyDescent="0.25">
      <c r="A12390" s="75">
        <v>51102326</v>
      </c>
      <c r="B12390" s="76" t="s">
        <v>7001</v>
      </c>
    </row>
    <row r="12391" spans="1:2" x14ac:dyDescent="0.25">
      <c r="A12391" s="75">
        <v>51102327</v>
      </c>
      <c r="B12391" s="76" t="s">
        <v>15263</v>
      </c>
    </row>
    <row r="12392" spans="1:2" x14ac:dyDescent="0.25">
      <c r="A12392" s="75">
        <v>51102328</v>
      </c>
      <c r="B12392" s="76" t="s">
        <v>6659</v>
      </c>
    </row>
    <row r="12393" spans="1:2" x14ac:dyDescent="0.25">
      <c r="A12393" s="75">
        <v>51102329</v>
      </c>
      <c r="B12393" s="76" t="s">
        <v>8848</v>
      </c>
    </row>
    <row r="12394" spans="1:2" x14ac:dyDescent="0.25">
      <c r="A12394" s="75">
        <v>51102330</v>
      </c>
      <c r="B12394" s="76" t="s">
        <v>14963</v>
      </c>
    </row>
    <row r="12395" spans="1:2" x14ac:dyDescent="0.25">
      <c r="A12395" s="75">
        <v>51102331</v>
      </c>
      <c r="B12395" s="76" t="s">
        <v>14733</v>
      </c>
    </row>
    <row r="12396" spans="1:2" x14ac:dyDescent="0.25">
      <c r="A12396" s="75">
        <v>51102332</v>
      </c>
      <c r="B12396" s="76" t="s">
        <v>18208</v>
      </c>
    </row>
    <row r="12397" spans="1:2" x14ac:dyDescent="0.25">
      <c r="A12397" s="75">
        <v>51102333</v>
      </c>
      <c r="B12397" s="76" t="s">
        <v>18732</v>
      </c>
    </row>
    <row r="12398" spans="1:2" x14ac:dyDescent="0.25">
      <c r="A12398" s="75">
        <v>51102334</v>
      </c>
      <c r="B12398" s="76" t="s">
        <v>3469</v>
      </c>
    </row>
    <row r="12399" spans="1:2" x14ac:dyDescent="0.25">
      <c r="A12399" s="75">
        <v>51102335</v>
      </c>
      <c r="B12399" s="76" t="s">
        <v>19634</v>
      </c>
    </row>
    <row r="12400" spans="1:2" x14ac:dyDescent="0.25">
      <c r="A12400" s="75">
        <v>51102336</v>
      </c>
      <c r="B12400" s="76" t="s">
        <v>8341</v>
      </c>
    </row>
    <row r="12401" spans="1:2" x14ac:dyDescent="0.25">
      <c r="A12401" s="75">
        <v>51102402</v>
      </c>
      <c r="B12401" s="76" t="s">
        <v>14790</v>
      </c>
    </row>
    <row r="12402" spans="1:2" x14ac:dyDescent="0.25">
      <c r="A12402" s="75">
        <v>51102501</v>
      </c>
      <c r="B12402" s="76" t="s">
        <v>18703</v>
      </c>
    </row>
    <row r="12403" spans="1:2" x14ac:dyDescent="0.25">
      <c r="A12403" s="75">
        <v>51102502</v>
      </c>
      <c r="B12403" s="76" t="s">
        <v>3659</v>
      </c>
    </row>
    <row r="12404" spans="1:2" x14ac:dyDescent="0.25">
      <c r="A12404" s="75">
        <v>51102503</v>
      </c>
      <c r="B12404" s="76" t="s">
        <v>2386</v>
      </c>
    </row>
    <row r="12405" spans="1:2" x14ac:dyDescent="0.25">
      <c r="A12405" s="75">
        <v>51102505</v>
      </c>
      <c r="B12405" s="76" t="s">
        <v>1402</v>
      </c>
    </row>
    <row r="12406" spans="1:2" x14ac:dyDescent="0.25">
      <c r="A12406" s="75">
        <v>51102506</v>
      </c>
      <c r="B12406" s="76" t="s">
        <v>15688</v>
      </c>
    </row>
    <row r="12407" spans="1:2" x14ac:dyDescent="0.25">
      <c r="A12407" s="75">
        <v>51102507</v>
      </c>
      <c r="B12407" s="76" t="s">
        <v>8235</v>
      </c>
    </row>
    <row r="12408" spans="1:2" x14ac:dyDescent="0.25">
      <c r="A12408" s="75">
        <v>51102601</v>
      </c>
      <c r="B12408" s="76" t="s">
        <v>19856</v>
      </c>
    </row>
    <row r="12409" spans="1:2" x14ac:dyDescent="0.25">
      <c r="A12409" s="75">
        <v>51102701</v>
      </c>
      <c r="B12409" s="76" t="s">
        <v>10323</v>
      </c>
    </row>
    <row r="12410" spans="1:2" x14ac:dyDescent="0.25">
      <c r="A12410" s="75">
        <v>51102702</v>
      </c>
      <c r="B12410" s="76" t="s">
        <v>14707</v>
      </c>
    </row>
    <row r="12411" spans="1:2" x14ac:dyDescent="0.25">
      <c r="A12411" s="75">
        <v>51102705</v>
      </c>
      <c r="B12411" s="76" t="s">
        <v>15143</v>
      </c>
    </row>
    <row r="12412" spans="1:2" x14ac:dyDescent="0.25">
      <c r="A12412" s="75">
        <v>51102706</v>
      </c>
      <c r="B12412" s="76" t="s">
        <v>1424</v>
      </c>
    </row>
    <row r="12413" spans="1:2" x14ac:dyDescent="0.25">
      <c r="A12413" s="75">
        <v>51102707</v>
      </c>
      <c r="B12413" s="76" t="s">
        <v>19137</v>
      </c>
    </row>
    <row r="12414" spans="1:2" x14ac:dyDescent="0.25">
      <c r="A12414" s="75">
        <v>51102708</v>
      </c>
      <c r="B12414" s="76" t="s">
        <v>17159</v>
      </c>
    </row>
    <row r="12415" spans="1:2" x14ac:dyDescent="0.25">
      <c r="A12415" s="75">
        <v>51102709</v>
      </c>
      <c r="B12415" s="76" t="s">
        <v>12777</v>
      </c>
    </row>
    <row r="12416" spans="1:2" x14ac:dyDescent="0.25">
      <c r="A12416" s="75">
        <v>51102710</v>
      </c>
      <c r="B12416" s="76" t="s">
        <v>3862</v>
      </c>
    </row>
    <row r="12417" spans="1:2" x14ac:dyDescent="0.25">
      <c r="A12417" s="75">
        <v>51102711</v>
      </c>
      <c r="B12417" s="76" t="s">
        <v>1996</v>
      </c>
    </row>
    <row r="12418" spans="1:2" x14ac:dyDescent="0.25">
      <c r="A12418" s="75">
        <v>51102712</v>
      </c>
      <c r="B12418" s="76" t="s">
        <v>11956</v>
      </c>
    </row>
    <row r="12419" spans="1:2" x14ac:dyDescent="0.25">
      <c r="A12419" s="75">
        <v>51102713</v>
      </c>
      <c r="B12419" s="76" t="s">
        <v>17276</v>
      </c>
    </row>
    <row r="12420" spans="1:2" x14ac:dyDescent="0.25">
      <c r="A12420" s="75">
        <v>51102714</v>
      </c>
      <c r="B12420" s="76" t="s">
        <v>12461</v>
      </c>
    </row>
    <row r="12421" spans="1:2" x14ac:dyDescent="0.25">
      <c r="A12421" s="75">
        <v>51102715</v>
      </c>
      <c r="B12421" s="76" t="s">
        <v>18015</v>
      </c>
    </row>
    <row r="12422" spans="1:2" x14ac:dyDescent="0.25">
      <c r="A12422" s="75">
        <v>51102717</v>
      </c>
      <c r="B12422" s="76" t="s">
        <v>228</v>
      </c>
    </row>
    <row r="12423" spans="1:2" x14ac:dyDescent="0.25">
      <c r="A12423" s="75">
        <v>51102718</v>
      </c>
      <c r="B12423" s="76" t="s">
        <v>7350</v>
      </c>
    </row>
    <row r="12424" spans="1:2" x14ac:dyDescent="0.25">
      <c r="A12424" s="75">
        <v>51102719</v>
      </c>
      <c r="B12424" s="76" t="s">
        <v>6380</v>
      </c>
    </row>
    <row r="12425" spans="1:2" x14ac:dyDescent="0.25">
      <c r="A12425" s="75">
        <v>51102720</v>
      </c>
      <c r="B12425" s="76" t="s">
        <v>18279</v>
      </c>
    </row>
    <row r="12426" spans="1:2" x14ac:dyDescent="0.25">
      <c r="A12426" s="75">
        <v>51102721</v>
      </c>
      <c r="B12426" s="76" t="s">
        <v>4643</v>
      </c>
    </row>
    <row r="12427" spans="1:2" x14ac:dyDescent="0.25">
      <c r="A12427" s="75">
        <v>51102722</v>
      </c>
      <c r="B12427" s="76" t="s">
        <v>4527</v>
      </c>
    </row>
    <row r="12428" spans="1:2" x14ac:dyDescent="0.25">
      <c r="A12428" s="75">
        <v>51102723</v>
      </c>
      <c r="B12428" s="76" t="s">
        <v>3468</v>
      </c>
    </row>
    <row r="12429" spans="1:2" x14ac:dyDescent="0.25">
      <c r="A12429" s="75">
        <v>51102724</v>
      </c>
      <c r="B12429" s="76" t="s">
        <v>6540</v>
      </c>
    </row>
    <row r="12430" spans="1:2" x14ac:dyDescent="0.25">
      <c r="A12430" s="75">
        <v>51102725</v>
      </c>
      <c r="B12430" s="76" t="s">
        <v>7686</v>
      </c>
    </row>
    <row r="12431" spans="1:2" x14ac:dyDescent="0.25">
      <c r="A12431" s="75">
        <v>51102726</v>
      </c>
      <c r="B12431" s="76" t="s">
        <v>16681</v>
      </c>
    </row>
    <row r="12432" spans="1:2" x14ac:dyDescent="0.25">
      <c r="A12432" s="75">
        <v>51102727</v>
      </c>
      <c r="B12432" s="76" t="s">
        <v>4511</v>
      </c>
    </row>
    <row r="12433" spans="1:2" x14ac:dyDescent="0.25">
      <c r="A12433" s="75">
        <v>51102728</v>
      </c>
      <c r="B12433" s="76" t="s">
        <v>2590</v>
      </c>
    </row>
    <row r="12434" spans="1:2" x14ac:dyDescent="0.25">
      <c r="A12434" s="75">
        <v>51102729</v>
      </c>
      <c r="B12434" s="76" t="s">
        <v>6610</v>
      </c>
    </row>
    <row r="12435" spans="1:2" x14ac:dyDescent="0.25">
      <c r="A12435" s="75">
        <v>51102730</v>
      </c>
      <c r="B12435" s="76" t="s">
        <v>14346</v>
      </c>
    </row>
    <row r="12436" spans="1:2" x14ac:dyDescent="0.25">
      <c r="A12436" s="75">
        <v>51111501</v>
      </c>
      <c r="B12436" s="76" t="s">
        <v>3079</v>
      </c>
    </row>
    <row r="12437" spans="1:2" x14ac:dyDescent="0.25">
      <c r="A12437" s="75">
        <v>51111502</v>
      </c>
      <c r="B12437" s="76" t="s">
        <v>10363</v>
      </c>
    </row>
    <row r="12438" spans="1:2" x14ac:dyDescent="0.25">
      <c r="A12438" s="75">
        <v>51111503</v>
      </c>
      <c r="B12438" s="76" t="s">
        <v>5788</v>
      </c>
    </row>
    <row r="12439" spans="1:2" x14ac:dyDescent="0.25">
      <c r="A12439" s="75">
        <v>51111504</v>
      </c>
      <c r="B12439" s="76" t="s">
        <v>19453</v>
      </c>
    </row>
    <row r="12440" spans="1:2" x14ac:dyDescent="0.25">
      <c r="A12440" s="75">
        <v>51111505</v>
      </c>
      <c r="B12440" s="76" t="s">
        <v>19156</v>
      </c>
    </row>
    <row r="12441" spans="1:2" x14ac:dyDescent="0.25">
      <c r="A12441" s="75">
        <v>51111506</v>
      </c>
      <c r="B12441" s="76" t="s">
        <v>9680</v>
      </c>
    </row>
    <row r="12442" spans="1:2" x14ac:dyDescent="0.25">
      <c r="A12442" s="75">
        <v>51111507</v>
      </c>
      <c r="B12442" s="76" t="s">
        <v>16259</v>
      </c>
    </row>
    <row r="12443" spans="1:2" x14ac:dyDescent="0.25">
      <c r="A12443" s="75">
        <v>51111508</v>
      </c>
      <c r="B12443" s="76" t="s">
        <v>19918</v>
      </c>
    </row>
    <row r="12444" spans="1:2" x14ac:dyDescent="0.25">
      <c r="A12444" s="75">
        <v>51111509</v>
      </c>
      <c r="B12444" s="76" t="s">
        <v>5017</v>
      </c>
    </row>
    <row r="12445" spans="1:2" x14ac:dyDescent="0.25">
      <c r="A12445" s="75">
        <v>51111510</v>
      </c>
      <c r="B12445" s="76" t="s">
        <v>13616</v>
      </c>
    </row>
    <row r="12446" spans="1:2" x14ac:dyDescent="0.25">
      <c r="A12446" s="75">
        <v>51111511</v>
      </c>
      <c r="B12446" s="76" t="s">
        <v>2668</v>
      </c>
    </row>
    <row r="12447" spans="1:2" x14ac:dyDescent="0.25">
      <c r="A12447" s="75">
        <v>51111512</v>
      </c>
      <c r="B12447" s="76" t="s">
        <v>9947</v>
      </c>
    </row>
    <row r="12448" spans="1:2" x14ac:dyDescent="0.25">
      <c r="A12448" s="75">
        <v>51111513</v>
      </c>
      <c r="B12448" s="76" t="s">
        <v>14864</v>
      </c>
    </row>
    <row r="12449" spans="1:2" x14ac:dyDescent="0.25">
      <c r="A12449" s="75">
        <v>51111514</v>
      </c>
      <c r="B12449" s="76" t="s">
        <v>13794</v>
      </c>
    </row>
    <row r="12450" spans="1:2" x14ac:dyDescent="0.25">
      <c r="A12450" s="75">
        <v>51111515</v>
      </c>
      <c r="B12450" s="76" t="s">
        <v>17575</v>
      </c>
    </row>
    <row r="12451" spans="1:2" x14ac:dyDescent="0.25">
      <c r="A12451" s="75">
        <v>51111516</v>
      </c>
      <c r="B12451" s="76" t="s">
        <v>3149</v>
      </c>
    </row>
    <row r="12452" spans="1:2" x14ac:dyDescent="0.25">
      <c r="A12452" s="75">
        <v>51111517</v>
      </c>
      <c r="B12452" s="76" t="s">
        <v>14685</v>
      </c>
    </row>
    <row r="12453" spans="1:2" x14ac:dyDescent="0.25">
      <c r="A12453" s="75">
        <v>51111518</v>
      </c>
      <c r="B12453" s="76" t="s">
        <v>4300</v>
      </c>
    </row>
    <row r="12454" spans="1:2" x14ac:dyDescent="0.25">
      <c r="A12454" s="75">
        <v>51111519</v>
      </c>
      <c r="B12454" s="76" t="s">
        <v>46</v>
      </c>
    </row>
    <row r="12455" spans="1:2" x14ac:dyDescent="0.25">
      <c r="A12455" s="75">
        <v>51111520</v>
      </c>
      <c r="B12455" s="76" t="s">
        <v>1690</v>
      </c>
    </row>
    <row r="12456" spans="1:2" x14ac:dyDescent="0.25">
      <c r="A12456" s="75">
        <v>51111521</v>
      </c>
      <c r="B12456" s="76" t="s">
        <v>4481</v>
      </c>
    </row>
    <row r="12457" spans="1:2" x14ac:dyDescent="0.25">
      <c r="A12457" s="75">
        <v>51111601</v>
      </c>
      <c r="B12457" s="76" t="s">
        <v>4170</v>
      </c>
    </row>
    <row r="12458" spans="1:2" x14ac:dyDescent="0.25">
      <c r="A12458" s="75">
        <v>51111602</v>
      </c>
      <c r="B12458" s="76" t="s">
        <v>16792</v>
      </c>
    </row>
    <row r="12459" spans="1:2" x14ac:dyDescent="0.25">
      <c r="A12459" s="75">
        <v>51111603</v>
      </c>
      <c r="B12459" s="76" t="s">
        <v>9350</v>
      </c>
    </row>
    <row r="12460" spans="1:2" x14ac:dyDescent="0.25">
      <c r="A12460" s="75">
        <v>51111604</v>
      </c>
      <c r="B12460" s="76" t="s">
        <v>16404</v>
      </c>
    </row>
    <row r="12461" spans="1:2" x14ac:dyDescent="0.25">
      <c r="A12461" s="75">
        <v>51111605</v>
      </c>
      <c r="B12461" s="76" t="s">
        <v>900</v>
      </c>
    </row>
    <row r="12462" spans="1:2" x14ac:dyDescent="0.25">
      <c r="A12462" s="75">
        <v>51111606</v>
      </c>
      <c r="B12462" s="76" t="s">
        <v>341</v>
      </c>
    </row>
    <row r="12463" spans="1:2" x14ac:dyDescent="0.25">
      <c r="A12463" s="75">
        <v>51111609</v>
      </c>
      <c r="B12463" s="76" t="s">
        <v>16243</v>
      </c>
    </row>
    <row r="12464" spans="1:2" x14ac:dyDescent="0.25">
      <c r="A12464" s="75">
        <v>51111610</v>
      </c>
      <c r="B12464" s="76" t="s">
        <v>3827</v>
      </c>
    </row>
    <row r="12465" spans="1:2" x14ac:dyDescent="0.25">
      <c r="A12465" s="75">
        <v>51111611</v>
      </c>
      <c r="B12465" s="76" t="s">
        <v>6803</v>
      </c>
    </row>
    <row r="12466" spans="1:2" x14ac:dyDescent="0.25">
      <c r="A12466" s="75">
        <v>51111612</v>
      </c>
      <c r="B12466" s="76" t="s">
        <v>12426</v>
      </c>
    </row>
    <row r="12467" spans="1:2" x14ac:dyDescent="0.25">
      <c r="A12467" s="75">
        <v>51111613</v>
      </c>
      <c r="B12467" s="76" t="s">
        <v>16753</v>
      </c>
    </row>
    <row r="12468" spans="1:2" x14ac:dyDescent="0.25">
      <c r="A12468" s="75">
        <v>51111614</v>
      </c>
      <c r="B12468" s="76" t="s">
        <v>82</v>
      </c>
    </row>
    <row r="12469" spans="1:2" x14ac:dyDescent="0.25">
      <c r="A12469" s="75">
        <v>51111615</v>
      </c>
      <c r="B12469" s="76" t="s">
        <v>17478</v>
      </c>
    </row>
    <row r="12470" spans="1:2" x14ac:dyDescent="0.25">
      <c r="A12470" s="75">
        <v>51111616</v>
      </c>
      <c r="B12470" s="76" t="s">
        <v>382</v>
      </c>
    </row>
    <row r="12471" spans="1:2" x14ac:dyDescent="0.25">
      <c r="A12471" s="75">
        <v>51111617</v>
      </c>
      <c r="B12471" s="76" t="s">
        <v>19808</v>
      </c>
    </row>
    <row r="12472" spans="1:2" x14ac:dyDescent="0.25">
      <c r="A12472" s="75">
        <v>51111618</v>
      </c>
      <c r="B12472" s="76" t="s">
        <v>7490</v>
      </c>
    </row>
    <row r="12473" spans="1:2" x14ac:dyDescent="0.25">
      <c r="A12473" s="75">
        <v>51111701</v>
      </c>
      <c r="B12473" s="76" t="s">
        <v>623</v>
      </c>
    </row>
    <row r="12474" spans="1:2" x14ac:dyDescent="0.25">
      <c r="A12474" s="75">
        <v>51111702</v>
      </c>
      <c r="B12474" s="76" t="s">
        <v>18558</v>
      </c>
    </row>
    <row r="12475" spans="1:2" x14ac:dyDescent="0.25">
      <c r="A12475" s="75">
        <v>51111703</v>
      </c>
      <c r="B12475" s="76" t="s">
        <v>14583</v>
      </c>
    </row>
    <row r="12476" spans="1:2" x14ac:dyDescent="0.25">
      <c r="A12476" s="75">
        <v>51111704</v>
      </c>
      <c r="B12476" s="76" t="s">
        <v>7403</v>
      </c>
    </row>
    <row r="12477" spans="1:2" x14ac:dyDescent="0.25">
      <c r="A12477" s="75">
        <v>51111705</v>
      </c>
      <c r="B12477" s="76" t="s">
        <v>17352</v>
      </c>
    </row>
    <row r="12478" spans="1:2" x14ac:dyDescent="0.25">
      <c r="A12478" s="75">
        <v>51111706</v>
      </c>
      <c r="B12478" s="76" t="s">
        <v>12783</v>
      </c>
    </row>
    <row r="12479" spans="1:2" x14ac:dyDescent="0.25">
      <c r="A12479" s="75">
        <v>51111707</v>
      </c>
      <c r="B12479" s="76" t="s">
        <v>19733</v>
      </c>
    </row>
    <row r="12480" spans="1:2" x14ac:dyDescent="0.25">
      <c r="A12480" s="75">
        <v>51111708</v>
      </c>
      <c r="B12480" s="76" t="s">
        <v>17927</v>
      </c>
    </row>
    <row r="12481" spans="1:2" x14ac:dyDescent="0.25">
      <c r="A12481" s="75">
        <v>51111709</v>
      </c>
      <c r="B12481" s="76" t="s">
        <v>13429</v>
      </c>
    </row>
    <row r="12482" spans="1:2" x14ac:dyDescent="0.25">
      <c r="A12482" s="75">
        <v>51111710</v>
      </c>
      <c r="B12482" s="76" t="s">
        <v>14805</v>
      </c>
    </row>
    <row r="12483" spans="1:2" x14ac:dyDescent="0.25">
      <c r="A12483" s="75">
        <v>51111711</v>
      </c>
      <c r="B12483" s="76" t="s">
        <v>3211</v>
      </c>
    </row>
    <row r="12484" spans="1:2" x14ac:dyDescent="0.25">
      <c r="A12484" s="75">
        <v>51111712</v>
      </c>
      <c r="B12484" s="76" t="s">
        <v>15280</v>
      </c>
    </row>
    <row r="12485" spans="1:2" x14ac:dyDescent="0.25">
      <c r="A12485" s="75">
        <v>51111713</v>
      </c>
      <c r="B12485" s="76" t="s">
        <v>7466</v>
      </c>
    </row>
    <row r="12486" spans="1:2" x14ac:dyDescent="0.25">
      <c r="A12486" s="75">
        <v>51111714</v>
      </c>
      <c r="B12486" s="76" t="s">
        <v>15113</v>
      </c>
    </row>
    <row r="12487" spans="1:2" x14ac:dyDescent="0.25">
      <c r="A12487" s="75">
        <v>51111715</v>
      </c>
      <c r="B12487" s="76" t="s">
        <v>5455</v>
      </c>
    </row>
    <row r="12488" spans="1:2" x14ac:dyDescent="0.25">
      <c r="A12488" s="75">
        <v>51111716</v>
      </c>
      <c r="B12488" s="76" t="s">
        <v>3258</v>
      </c>
    </row>
    <row r="12489" spans="1:2" x14ac:dyDescent="0.25">
      <c r="A12489" s="75">
        <v>51111717</v>
      </c>
      <c r="B12489" s="76" t="s">
        <v>8900</v>
      </c>
    </row>
    <row r="12490" spans="1:2" x14ac:dyDescent="0.25">
      <c r="A12490" s="75">
        <v>51111718</v>
      </c>
      <c r="B12490" s="76" t="s">
        <v>3839</v>
      </c>
    </row>
    <row r="12491" spans="1:2" x14ac:dyDescent="0.25">
      <c r="A12491" s="75">
        <v>51111719</v>
      </c>
      <c r="B12491" s="76" t="s">
        <v>5073</v>
      </c>
    </row>
    <row r="12492" spans="1:2" x14ac:dyDescent="0.25">
      <c r="A12492" s="75">
        <v>51111801</v>
      </c>
      <c r="B12492" s="76" t="s">
        <v>3774</v>
      </c>
    </row>
    <row r="12493" spans="1:2" x14ac:dyDescent="0.25">
      <c r="A12493" s="75">
        <v>51111802</v>
      </c>
      <c r="B12493" s="76" t="s">
        <v>7564</v>
      </c>
    </row>
    <row r="12494" spans="1:2" x14ac:dyDescent="0.25">
      <c r="A12494" s="75">
        <v>51111803</v>
      </c>
      <c r="B12494" s="76" t="s">
        <v>6947</v>
      </c>
    </row>
    <row r="12495" spans="1:2" x14ac:dyDescent="0.25">
      <c r="A12495" s="75">
        <v>51111804</v>
      </c>
      <c r="B12495" s="76" t="s">
        <v>4362</v>
      </c>
    </row>
    <row r="12496" spans="1:2" x14ac:dyDescent="0.25">
      <c r="A12496" s="75">
        <v>51111805</v>
      </c>
      <c r="B12496" s="76" t="s">
        <v>5662</v>
      </c>
    </row>
    <row r="12497" spans="1:2" x14ac:dyDescent="0.25">
      <c r="A12497" s="75">
        <v>51111806</v>
      </c>
      <c r="B12497" s="76" t="s">
        <v>17921</v>
      </c>
    </row>
    <row r="12498" spans="1:2" x14ac:dyDescent="0.25">
      <c r="A12498" s="75">
        <v>51111807</v>
      </c>
      <c r="B12498" s="76" t="s">
        <v>127</v>
      </c>
    </row>
    <row r="12499" spans="1:2" x14ac:dyDescent="0.25">
      <c r="A12499" s="75">
        <v>51111808</v>
      </c>
      <c r="B12499" s="76" t="s">
        <v>1606</v>
      </c>
    </row>
    <row r="12500" spans="1:2" x14ac:dyDescent="0.25">
      <c r="A12500" s="75">
        <v>51111809</v>
      </c>
      <c r="B12500" s="76" t="s">
        <v>17515</v>
      </c>
    </row>
    <row r="12501" spans="1:2" x14ac:dyDescent="0.25">
      <c r="A12501" s="75">
        <v>51111810</v>
      </c>
      <c r="B12501" s="76" t="s">
        <v>2575</v>
      </c>
    </row>
    <row r="12502" spans="1:2" x14ac:dyDescent="0.25">
      <c r="A12502" s="75">
        <v>51111811</v>
      </c>
      <c r="B12502" s="76" t="s">
        <v>166</v>
      </c>
    </row>
    <row r="12503" spans="1:2" x14ac:dyDescent="0.25">
      <c r="A12503" s="75">
        <v>51111812</v>
      </c>
      <c r="B12503" s="76" t="s">
        <v>5975</v>
      </c>
    </row>
    <row r="12504" spans="1:2" x14ac:dyDescent="0.25">
      <c r="A12504" s="75">
        <v>51111813</v>
      </c>
      <c r="B12504" s="76" t="s">
        <v>13429</v>
      </c>
    </row>
    <row r="12505" spans="1:2" x14ac:dyDescent="0.25">
      <c r="A12505" s="75">
        <v>51111814</v>
      </c>
      <c r="B12505" s="76" t="s">
        <v>14764</v>
      </c>
    </row>
    <row r="12506" spans="1:2" x14ac:dyDescent="0.25">
      <c r="A12506" s="75">
        <v>51111815</v>
      </c>
      <c r="B12506" s="76" t="s">
        <v>3456</v>
      </c>
    </row>
    <row r="12507" spans="1:2" x14ac:dyDescent="0.25">
      <c r="A12507" s="75">
        <v>51111816</v>
      </c>
      <c r="B12507" s="76" t="s">
        <v>6692</v>
      </c>
    </row>
    <row r="12508" spans="1:2" x14ac:dyDescent="0.25">
      <c r="A12508" s="75">
        <v>51111817</v>
      </c>
      <c r="B12508" s="76" t="s">
        <v>14436</v>
      </c>
    </row>
    <row r="12509" spans="1:2" x14ac:dyDescent="0.25">
      <c r="A12509" s="75">
        <v>51111818</v>
      </c>
      <c r="B12509" s="76" t="s">
        <v>11286</v>
      </c>
    </row>
    <row r="12510" spans="1:2" x14ac:dyDescent="0.25">
      <c r="A12510" s="75">
        <v>51111819</v>
      </c>
      <c r="B12510" s="76" t="s">
        <v>719</v>
      </c>
    </row>
    <row r="12511" spans="1:2" x14ac:dyDescent="0.25">
      <c r="A12511" s="75">
        <v>51111820</v>
      </c>
      <c r="B12511" s="76" t="s">
        <v>14026</v>
      </c>
    </row>
    <row r="12512" spans="1:2" x14ac:dyDescent="0.25">
      <c r="A12512" s="75">
        <v>51111821</v>
      </c>
      <c r="B12512" s="76" t="s">
        <v>6667</v>
      </c>
    </row>
    <row r="12513" spans="1:2" x14ac:dyDescent="0.25">
      <c r="A12513" s="75">
        <v>51111901</v>
      </c>
      <c r="B12513" s="76" t="s">
        <v>9235</v>
      </c>
    </row>
    <row r="12514" spans="1:2" x14ac:dyDescent="0.25">
      <c r="A12514" s="75">
        <v>51111902</v>
      </c>
      <c r="B12514" s="76" t="s">
        <v>2659</v>
      </c>
    </row>
    <row r="12515" spans="1:2" x14ac:dyDescent="0.25">
      <c r="A12515" s="75">
        <v>51111904</v>
      </c>
      <c r="B12515" s="76" t="s">
        <v>17194</v>
      </c>
    </row>
    <row r="12516" spans="1:2" x14ac:dyDescent="0.25">
      <c r="A12516" s="75">
        <v>51111905</v>
      </c>
      <c r="B12516" s="76" t="s">
        <v>19551</v>
      </c>
    </row>
    <row r="12517" spans="1:2" x14ac:dyDescent="0.25">
      <c r="A12517" s="75">
        <v>51111906</v>
      </c>
      <c r="B12517" s="76" t="s">
        <v>17180</v>
      </c>
    </row>
    <row r="12518" spans="1:2" x14ac:dyDescent="0.25">
      <c r="A12518" s="75">
        <v>51111907</v>
      </c>
      <c r="B12518" s="76" t="s">
        <v>10421</v>
      </c>
    </row>
    <row r="12519" spans="1:2" x14ac:dyDescent="0.25">
      <c r="A12519" s="75">
        <v>51121501</v>
      </c>
      <c r="B12519" s="76" t="s">
        <v>2289</v>
      </c>
    </row>
    <row r="12520" spans="1:2" x14ac:dyDescent="0.25">
      <c r="A12520" s="75">
        <v>51121502</v>
      </c>
      <c r="B12520" s="76" t="s">
        <v>15082</v>
      </c>
    </row>
    <row r="12521" spans="1:2" x14ac:dyDescent="0.25">
      <c r="A12521" s="75">
        <v>51121503</v>
      </c>
      <c r="B12521" s="76" t="s">
        <v>13366</v>
      </c>
    </row>
    <row r="12522" spans="1:2" x14ac:dyDescent="0.25">
      <c r="A12522" s="75">
        <v>51121504</v>
      </c>
      <c r="B12522" s="76" t="s">
        <v>2229</v>
      </c>
    </row>
    <row r="12523" spans="1:2" x14ac:dyDescent="0.25">
      <c r="A12523" s="75">
        <v>51121506</v>
      </c>
      <c r="B12523" s="76" t="s">
        <v>8697</v>
      </c>
    </row>
    <row r="12524" spans="1:2" x14ac:dyDescent="0.25">
      <c r="A12524" s="75">
        <v>51121507</v>
      </c>
      <c r="B12524" s="76" t="s">
        <v>17543</v>
      </c>
    </row>
    <row r="12525" spans="1:2" x14ac:dyDescent="0.25">
      <c r="A12525" s="75">
        <v>51121509</v>
      </c>
      <c r="B12525" s="76" t="s">
        <v>5123</v>
      </c>
    </row>
    <row r="12526" spans="1:2" x14ac:dyDescent="0.25">
      <c r="A12526" s="75">
        <v>51121510</v>
      </c>
      <c r="B12526" s="76" t="s">
        <v>7925</v>
      </c>
    </row>
    <row r="12527" spans="1:2" x14ac:dyDescent="0.25">
      <c r="A12527" s="75">
        <v>51121511</v>
      </c>
      <c r="B12527" s="76" t="s">
        <v>4000</v>
      </c>
    </row>
    <row r="12528" spans="1:2" x14ac:dyDescent="0.25">
      <c r="A12528" s="75">
        <v>51121512</v>
      </c>
      <c r="B12528" s="76" t="s">
        <v>4107</v>
      </c>
    </row>
    <row r="12529" spans="1:2" x14ac:dyDescent="0.25">
      <c r="A12529" s="75">
        <v>51121513</v>
      </c>
      <c r="B12529" s="76" t="s">
        <v>569</v>
      </c>
    </row>
    <row r="12530" spans="1:2" x14ac:dyDescent="0.25">
      <c r="A12530" s="75">
        <v>51121514</v>
      </c>
      <c r="B12530" s="76" t="s">
        <v>2317</v>
      </c>
    </row>
    <row r="12531" spans="1:2" x14ac:dyDescent="0.25">
      <c r="A12531" s="75">
        <v>51121515</v>
      </c>
      <c r="B12531" s="76" t="s">
        <v>5111</v>
      </c>
    </row>
    <row r="12532" spans="1:2" x14ac:dyDescent="0.25">
      <c r="A12532" s="75">
        <v>51121516</v>
      </c>
      <c r="B12532" s="76" t="s">
        <v>11242</v>
      </c>
    </row>
    <row r="12533" spans="1:2" x14ac:dyDescent="0.25">
      <c r="A12533" s="75">
        <v>51121517</v>
      </c>
      <c r="B12533" s="76" t="s">
        <v>17316</v>
      </c>
    </row>
    <row r="12534" spans="1:2" x14ac:dyDescent="0.25">
      <c r="A12534" s="75">
        <v>51121518</v>
      </c>
      <c r="B12534" s="76" t="s">
        <v>5564</v>
      </c>
    </row>
    <row r="12535" spans="1:2" x14ac:dyDescent="0.25">
      <c r="A12535" s="75">
        <v>51121519</v>
      </c>
      <c r="B12535" s="76" t="s">
        <v>11934</v>
      </c>
    </row>
    <row r="12536" spans="1:2" x14ac:dyDescent="0.25">
      <c r="A12536" s="75">
        <v>51121520</v>
      </c>
      <c r="B12536" s="76" t="s">
        <v>19398</v>
      </c>
    </row>
    <row r="12537" spans="1:2" x14ac:dyDescent="0.25">
      <c r="A12537" s="75">
        <v>51121521</v>
      </c>
      <c r="B12537" s="76" t="s">
        <v>17486</v>
      </c>
    </row>
    <row r="12538" spans="1:2" x14ac:dyDescent="0.25">
      <c r="A12538" s="75">
        <v>51121522</v>
      </c>
      <c r="B12538" s="76" t="s">
        <v>6699</v>
      </c>
    </row>
    <row r="12539" spans="1:2" x14ac:dyDescent="0.25">
      <c r="A12539" s="75">
        <v>51121523</v>
      </c>
      <c r="B12539" s="76" t="s">
        <v>14521</v>
      </c>
    </row>
    <row r="12540" spans="1:2" x14ac:dyDescent="0.25">
      <c r="A12540" s="75">
        <v>51121601</v>
      </c>
      <c r="B12540" s="76" t="s">
        <v>13220</v>
      </c>
    </row>
    <row r="12541" spans="1:2" x14ac:dyDescent="0.25">
      <c r="A12541" s="75">
        <v>51121602</v>
      </c>
      <c r="B12541" s="76" t="s">
        <v>4902</v>
      </c>
    </row>
    <row r="12542" spans="1:2" x14ac:dyDescent="0.25">
      <c r="A12542" s="75">
        <v>51121603</v>
      </c>
      <c r="B12542" s="76" t="s">
        <v>10448</v>
      </c>
    </row>
    <row r="12543" spans="1:2" x14ac:dyDescent="0.25">
      <c r="A12543" s="75">
        <v>51121604</v>
      </c>
      <c r="B12543" s="76" t="s">
        <v>3024</v>
      </c>
    </row>
    <row r="12544" spans="1:2" x14ac:dyDescent="0.25">
      <c r="A12544" s="75">
        <v>51121607</v>
      </c>
      <c r="B12544" s="76" t="s">
        <v>1591</v>
      </c>
    </row>
    <row r="12545" spans="1:2" x14ac:dyDescent="0.25">
      <c r="A12545" s="75">
        <v>51121608</v>
      </c>
      <c r="B12545" s="76" t="s">
        <v>8972</v>
      </c>
    </row>
    <row r="12546" spans="1:2" x14ac:dyDescent="0.25">
      <c r="A12546" s="75">
        <v>51121609</v>
      </c>
      <c r="B12546" s="76" t="s">
        <v>10566</v>
      </c>
    </row>
    <row r="12547" spans="1:2" x14ac:dyDescent="0.25">
      <c r="A12547" s="75">
        <v>51121610</v>
      </c>
      <c r="B12547" s="76" t="s">
        <v>2569</v>
      </c>
    </row>
    <row r="12548" spans="1:2" x14ac:dyDescent="0.25">
      <c r="A12548" s="75">
        <v>51121611</v>
      </c>
      <c r="B12548" s="76" t="s">
        <v>11937</v>
      </c>
    </row>
    <row r="12549" spans="1:2" x14ac:dyDescent="0.25">
      <c r="A12549" s="75">
        <v>51121614</v>
      </c>
      <c r="B12549" s="76" t="s">
        <v>19985</v>
      </c>
    </row>
    <row r="12550" spans="1:2" x14ac:dyDescent="0.25">
      <c r="A12550" s="75">
        <v>51121615</v>
      </c>
      <c r="B12550" s="76" t="s">
        <v>3504</v>
      </c>
    </row>
    <row r="12551" spans="1:2" x14ac:dyDescent="0.25">
      <c r="A12551" s="75">
        <v>51121616</v>
      </c>
      <c r="B12551" s="76" t="s">
        <v>9481</v>
      </c>
    </row>
    <row r="12552" spans="1:2" x14ac:dyDescent="0.25">
      <c r="A12552" s="75">
        <v>51121701</v>
      </c>
      <c r="B12552" s="76" t="s">
        <v>18616</v>
      </c>
    </row>
    <row r="12553" spans="1:2" x14ac:dyDescent="0.25">
      <c r="A12553" s="75">
        <v>51121702</v>
      </c>
      <c r="B12553" s="76" t="s">
        <v>5097</v>
      </c>
    </row>
    <row r="12554" spans="1:2" x14ac:dyDescent="0.25">
      <c r="A12554" s="75">
        <v>51121703</v>
      </c>
      <c r="B12554" s="76" t="s">
        <v>390</v>
      </c>
    </row>
    <row r="12555" spans="1:2" x14ac:dyDescent="0.25">
      <c r="A12555" s="75">
        <v>51121704</v>
      </c>
      <c r="B12555" s="76" t="s">
        <v>1252</v>
      </c>
    </row>
    <row r="12556" spans="1:2" x14ac:dyDescent="0.25">
      <c r="A12556" s="75">
        <v>51121705</v>
      </c>
      <c r="B12556" s="76" t="s">
        <v>15180</v>
      </c>
    </row>
    <row r="12557" spans="1:2" x14ac:dyDescent="0.25">
      <c r="A12557" s="75">
        <v>51121706</v>
      </c>
      <c r="B12557" s="76" t="s">
        <v>17718</v>
      </c>
    </row>
    <row r="12558" spans="1:2" x14ac:dyDescent="0.25">
      <c r="A12558" s="75">
        <v>51121707</v>
      </c>
      <c r="B12558" s="76" t="s">
        <v>7372</v>
      </c>
    </row>
    <row r="12559" spans="1:2" x14ac:dyDescent="0.25">
      <c r="A12559" s="75">
        <v>51121708</v>
      </c>
      <c r="B12559" s="76" t="s">
        <v>3096</v>
      </c>
    </row>
    <row r="12560" spans="1:2" x14ac:dyDescent="0.25">
      <c r="A12560" s="75">
        <v>51121709</v>
      </c>
      <c r="B12560" s="76" t="s">
        <v>6694</v>
      </c>
    </row>
    <row r="12561" spans="1:2" x14ac:dyDescent="0.25">
      <c r="A12561" s="75">
        <v>51121710</v>
      </c>
      <c r="B12561" s="76" t="s">
        <v>3463</v>
      </c>
    </row>
    <row r="12562" spans="1:2" x14ac:dyDescent="0.25">
      <c r="A12562" s="75">
        <v>51121711</v>
      </c>
      <c r="B12562" s="76" t="s">
        <v>12063</v>
      </c>
    </row>
    <row r="12563" spans="1:2" x14ac:dyDescent="0.25">
      <c r="A12563" s="75">
        <v>51121713</v>
      </c>
      <c r="B12563" s="76" t="s">
        <v>1431</v>
      </c>
    </row>
    <row r="12564" spans="1:2" x14ac:dyDescent="0.25">
      <c r="A12564" s="75">
        <v>51121714</v>
      </c>
      <c r="B12564" s="76" t="s">
        <v>8035</v>
      </c>
    </row>
    <row r="12565" spans="1:2" x14ac:dyDescent="0.25">
      <c r="A12565" s="75">
        <v>51121715</v>
      </c>
      <c r="B12565" s="76" t="s">
        <v>9325</v>
      </c>
    </row>
    <row r="12566" spans="1:2" x14ac:dyDescent="0.25">
      <c r="A12566" s="75">
        <v>51121716</v>
      </c>
      <c r="B12566" s="76" t="s">
        <v>4962</v>
      </c>
    </row>
    <row r="12567" spans="1:2" x14ac:dyDescent="0.25">
      <c r="A12567" s="75">
        <v>51121717</v>
      </c>
      <c r="B12567" s="76" t="s">
        <v>553</v>
      </c>
    </row>
    <row r="12568" spans="1:2" x14ac:dyDescent="0.25">
      <c r="A12568" s="75">
        <v>51121718</v>
      </c>
      <c r="B12568" s="76" t="s">
        <v>14129</v>
      </c>
    </row>
    <row r="12569" spans="1:2" x14ac:dyDescent="0.25">
      <c r="A12569" s="75">
        <v>51121721</v>
      </c>
      <c r="B12569" s="76" t="s">
        <v>15076</v>
      </c>
    </row>
    <row r="12570" spans="1:2" x14ac:dyDescent="0.25">
      <c r="A12570" s="75">
        <v>51121722</v>
      </c>
      <c r="B12570" s="76" t="s">
        <v>18952</v>
      </c>
    </row>
    <row r="12571" spans="1:2" x14ac:dyDescent="0.25">
      <c r="A12571" s="75">
        <v>51121724</v>
      </c>
      <c r="B12571" s="76" t="s">
        <v>10506</v>
      </c>
    </row>
    <row r="12572" spans="1:2" x14ac:dyDescent="0.25">
      <c r="A12572" s="75">
        <v>51121725</v>
      </c>
      <c r="B12572" s="76" t="s">
        <v>2996</v>
      </c>
    </row>
    <row r="12573" spans="1:2" x14ac:dyDescent="0.25">
      <c r="A12573" s="75">
        <v>51121726</v>
      </c>
      <c r="B12573" s="76" t="s">
        <v>16919</v>
      </c>
    </row>
    <row r="12574" spans="1:2" x14ac:dyDescent="0.25">
      <c r="A12574" s="75">
        <v>51121727</v>
      </c>
      <c r="B12574" s="76" t="s">
        <v>19046</v>
      </c>
    </row>
    <row r="12575" spans="1:2" x14ac:dyDescent="0.25">
      <c r="A12575" s="75">
        <v>51121728</v>
      </c>
      <c r="B12575" s="76" t="s">
        <v>13767</v>
      </c>
    </row>
    <row r="12576" spans="1:2" x14ac:dyDescent="0.25">
      <c r="A12576" s="75">
        <v>51121729</v>
      </c>
      <c r="B12576" s="76" t="s">
        <v>1488</v>
      </c>
    </row>
    <row r="12577" spans="1:2" x14ac:dyDescent="0.25">
      <c r="A12577" s="75">
        <v>51121730</v>
      </c>
      <c r="B12577" s="76" t="s">
        <v>1674</v>
      </c>
    </row>
    <row r="12578" spans="1:2" x14ac:dyDescent="0.25">
      <c r="A12578" s="75">
        <v>51121731</v>
      </c>
      <c r="B12578" s="76" t="s">
        <v>4069</v>
      </c>
    </row>
    <row r="12579" spans="1:2" x14ac:dyDescent="0.25">
      <c r="A12579" s="75">
        <v>51121732</v>
      </c>
      <c r="B12579" s="76" t="s">
        <v>9228</v>
      </c>
    </row>
    <row r="12580" spans="1:2" x14ac:dyDescent="0.25">
      <c r="A12580" s="75">
        <v>51121733</v>
      </c>
      <c r="B12580" s="76" t="s">
        <v>9999</v>
      </c>
    </row>
    <row r="12581" spans="1:2" x14ac:dyDescent="0.25">
      <c r="A12581" s="75">
        <v>51121734</v>
      </c>
      <c r="B12581" s="76" t="s">
        <v>1317</v>
      </c>
    </row>
    <row r="12582" spans="1:2" x14ac:dyDescent="0.25">
      <c r="A12582" s="75">
        <v>51121735</v>
      </c>
      <c r="B12582" s="76" t="s">
        <v>10720</v>
      </c>
    </row>
    <row r="12583" spans="1:2" x14ac:dyDescent="0.25">
      <c r="A12583" s="75">
        <v>51121737</v>
      </c>
      <c r="B12583" s="76" t="s">
        <v>5440</v>
      </c>
    </row>
    <row r="12584" spans="1:2" x14ac:dyDescent="0.25">
      <c r="A12584" s="75">
        <v>51121738</v>
      </c>
      <c r="B12584" s="76" t="s">
        <v>807</v>
      </c>
    </row>
    <row r="12585" spans="1:2" x14ac:dyDescent="0.25">
      <c r="A12585" s="75">
        <v>51121739</v>
      </c>
      <c r="B12585" s="76" t="s">
        <v>4149</v>
      </c>
    </row>
    <row r="12586" spans="1:2" x14ac:dyDescent="0.25">
      <c r="A12586" s="75">
        <v>51121740</v>
      </c>
      <c r="B12586" s="76" t="s">
        <v>8572</v>
      </c>
    </row>
    <row r="12587" spans="1:2" x14ac:dyDescent="0.25">
      <c r="A12587" s="75">
        <v>51121741</v>
      </c>
      <c r="B12587" s="76" t="s">
        <v>3117</v>
      </c>
    </row>
    <row r="12588" spans="1:2" x14ac:dyDescent="0.25">
      <c r="A12588" s="75">
        <v>51121742</v>
      </c>
      <c r="B12588" s="76" t="s">
        <v>4734</v>
      </c>
    </row>
    <row r="12589" spans="1:2" x14ac:dyDescent="0.25">
      <c r="A12589" s="75">
        <v>51121743</v>
      </c>
      <c r="B12589" s="76" t="s">
        <v>16081</v>
      </c>
    </row>
    <row r="12590" spans="1:2" x14ac:dyDescent="0.25">
      <c r="A12590" s="75">
        <v>51121744</v>
      </c>
      <c r="B12590" s="76" t="s">
        <v>4329</v>
      </c>
    </row>
    <row r="12591" spans="1:2" x14ac:dyDescent="0.25">
      <c r="A12591" s="75">
        <v>51121745</v>
      </c>
      <c r="B12591" s="76" t="s">
        <v>1264</v>
      </c>
    </row>
    <row r="12592" spans="1:2" x14ac:dyDescent="0.25">
      <c r="A12592" s="75">
        <v>51121746</v>
      </c>
      <c r="B12592" s="76" t="s">
        <v>14395</v>
      </c>
    </row>
    <row r="12593" spans="1:2" x14ac:dyDescent="0.25">
      <c r="A12593" s="75">
        <v>51121747</v>
      </c>
      <c r="B12593" s="76" t="s">
        <v>2028</v>
      </c>
    </row>
    <row r="12594" spans="1:2" x14ac:dyDescent="0.25">
      <c r="A12594" s="75">
        <v>51121748</v>
      </c>
      <c r="B12594" s="76" t="s">
        <v>16622</v>
      </c>
    </row>
    <row r="12595" spans="1:2" x14ac:dyDescent="0.25">
      <c r="A12595" s="75">
        <v>51121749</v>
      </c>
      <c r="B12595" s="76" t="s">
        <v>5561</v>
      </c>
    </row>
    <row r="12596" spans="1:2" x14ac:dyDescent="0.25">
      <c r="A12596" s="75">
        <v>51121750</v>
      </c>
      <c r="B12596" s="76" t="s">
        <v>16664</v>
      </c>
    </row>
    <row r="12597" spans="1:2" x14ac:dyDescent="0.25">
      <c r="A12597" s="75">
        <v>51121751</v>
      </c>
      <c r="B12597" s="76" t="s">
        <v>1001</v>
      </c>
    </row>
    <row r="12598" spans="1:2" x14ac:dyDescent="0.25">
      <c r="A12598" s="75">
        <v>51121752</v>
      </c>
      <c r="B12598" s="76" t="s">
        <v>2840</v>
      </c>
    </row>
    <row r="12599" spans="1:2" x14ac:dyDescent="0.25">
      <c r="A12599" s="75">
        <v>51121753</v>
      </c>
      <c r="B12599" s="76" t="s">
        <v>2033</v>
      </c>
    </row>
    <row r="12600" spans="1:2" x14ac:dyDescent="0.25">
      <c r="A12600" s="75">
        <v>51121754</v>
      </c>
      <c r="B12600" s="76" t="s">
        <v>15019</v>
      </c>
    </row>
    <row r="12601" spans="1:2" x14ac:dyDescent="0.25">
      <c r="A12601" s="75">
        <v>51121755</v>
      </c>
      <c r="B12601" s="76" t="s">
        <v>15454</v>
      </c>
    </row>
    <row r="12602" spans="1:2" x14ac:dyDescent="0.25">
      <c r="A12602" s="75">
        <v>51121756</v>
      </c>
      <c r="B12602" s="76" t="s">
        <v>19952</v>
      </c>
    </row>
    <row r="12603" spans="1:2" x14ac:dyDescent="0.25">
      <c r="A12603" s="75">
        <v>51121757</v>
      </c>
      <c r="B12603" s="76" t="s">
        <v>3343</v>
      </c>
    </row>
    <row r="12604" spans="1:2" x14ac:dyDescent="0.25">
      <c r="A12604" s="75">
        <v>51121758</v>
      </c>
      <c r="B12604" s="76" t="s">
        <v>1797</v>
      </c>
    </row>
    <row r="12605" spans="1:2" x14ac:dyDescent="0.25">
      <c r="A12605" s="75">
        <v>51121759</v>
      </c>
      <c r="B12605" s="76" t="s">
        <v>9921</v>
      </c>
    </row>
    <row r="12606" spans="1:2" x14ac:dyDescent="0.25">
      <c r="A12606" s="75">
        <v>51121760</v>
      </c>
      <c r="B12606" s="76" t="s">
        <v>15763</v>
      </c>
    </row>
    <row r="12607" spans="1:2" x14ac:dyDescent="0.25">
      <c r="A12607" s="75">
        <v>51121761</v>
      </c>
      <c r="B12607" s="76" t="s">
        <v>14130</v>
      </c>
    </row>
    <row r="12608" spans="1:2" x14ac:dyDescent="0.25">
      <c r="A12608" s="75">
        <v>51121762</v>
      </c>
      <c r="B12608" s="76" t="s">
        <v>17043</v>
      </c>
    </row>
    <row r="12609" spans="1:2" x14ac:dyDescent="0.25">
      <c r="A12609" s="75">
        <v>51121763</v>
      </c>
      <c r="B12609" s="76" t="s">
        <v>7032</v>
      </c>
    </row>
    <row r="12610" spans="1:2" x14ac:dyDescent="0.25">
      <c r="A12610" s="75">
        <v>51121764</v>
      </c>
      <c r="B12610" s="76" t="s">
        <v>14529</v>
      </c>
    </row>
    <row r="12611" spans="1:2" x14ac:dyDescent="0.25">
      <c r="A12611" s="75">
        <v>51121765</v>
      </c>
      <c r="B12611" s="76" t="s">
        <v>10759</v>
      </c>
    </row>
    <row r="12612" spans="1:2" x14ac:dyDescent="0.25">
      <c r="A12612" s="75">
        <v>51121801</v>
      </c>
      <c r="B12612" s="76" t="s">
        <v>2409</v>
      </c>
    </row>
    <row r="12613" spans="1:2" x14ac:dyDescent="0.25">
      <c r="A12613" s="75">
        <v>51121802</v>
      </c>
      <c r="B12613" s="76" t="s">
        <v>3121</v>
      </c>
    </row>
    <row r="12614" spans="1:2" x14ac:dyDescent="0.25">
      <c r="A12614" s="75">
        <v>51121803</v>
      </c>
      <c r="B12614" s="76" t="s">
        <v>14307</v>
      </c>
    </row>
    <row r="12615" spans="1:2" x14ac:dyDescent="0.25">
      <c r="A12615" s="75">
        <v>51121804</v>
      </c>
      <c r="B12615" s="76" t="s">
        <v>4606</v>
      </c>
    </row>
    <row r="12616" spans="1:2" x14ac:dyDescent="0.25">
      <c r="A12616" s="75">
        <v>51121805</v>
      </c>
      <c r="B12616" s="76" t="s">
        <v>157</v>
      </c>
    </row>
    <row r="12617" spans="1:2" x14ac:dyDescent="0.25">
      <c r="A12617" s="75">
        <v>51121806</v>
      </c>
      <c r="B12617" s="76" t="s">
        <v>7621</v>
      </c>
    </row>
    <row r="12618" spans="1:2" x14ac:dyDescent="0.25">
      <c r="A12618" s="75">
        <v>51121807</v>
      </c>
      <c r="B12618" s="76" t="s">
        <v>19018</v>
      </c>
    </row>
    <row r="12619" spans="1:2" x14ac:dyDescent="0.25">
      <c r="A12619" s="75">
        <v>51121808</v>
      </c>
      <c r="B12619" s="76" t="s">
        <v>14938</v>
      </c>
    </row>
    <row r="12620" spans="1:2" x14ac:dyDescent="0.25">
      <c r="A12620" s="75">
        <v>51121809</v>
      </c>
      <c r="B12620" s="76" t="s">
        <v>18589</v>
      </c>
    </row>
    <row r="12621" spans="1:2" x14ac:dyDescent="0.25">
      <c r="A12621" s="75">
        <v>51121810</v>
      </c>
      <c r="B12621" s="76" t="s">
        <v>4065</v>
      </c>
    </row>
    <row r="12622" spans="1:2" x14ac:dyDescent="0.25">
      <c r="A12622" s="75">
        <v>51121811</v>
      </c>
      <c r="B12622" s="76" t="s">
        <v>2272</v>
      </c>
    </row>
    <row r="12623" spans="1:2" x14ac:dyDescent="0.25">
      <c r="A12623" s="75">
        <v>51121812</v>
      </c>
      <c r="B12623" s="76" t="s">
        <v>12753</v>
      </c>
    </row>
    <row r="12624" spans="1:2" x14ac:dyDescent="0.25">
      <c r="A12624" s="75">
        <v>51121813</v>
      </c>
      <c r="B12624" s="76" t="s">
        <v>5835</v>
      </c>
    </row>
    <row r="12625" spans="1:2" x14ac:dyDescent="0.25">
      <c r="A12625" s="75">
        <v>51121814</v>
      </c>
      <c r="B12625" s="76" t="s">
        <v>10465</v>
      </c>
    </row>
    <row r="12626" spans="1:2" x14ac:dyDescent="0.25">
      <c r="A12626" s="75">
        <v>51121815</v>
      </c>
      <c r="B12626" s="76" t="s">
        <v>19746</v>
      </c>
    </row>
    <row r="12627" spans="1:2" x14ac:dyDescent="0.25">
      <c r="A12627" s="75">
        <v>51121816</v>
      </c>
      <c r="B12627" s="76" t="s">
        <v>18592</v>
      </c>
    </row>
    <row r="12628" spans="1:2" x14ac:dyDescent="0.25">
      <c r="A12628" s="75">
        <v>51121817</v>
      </c>
      <c r="B12628" s="76" t="s">
        <v>9987</v>
      </c>
    </row>
    <row r="12629" spans="1:2" x14ac:dyDescent="0.25">
      <c r="A12629" s="75">
        <v>51121818</v>
      </c>
      <c r="B12629" s="76" t="s">
        <v>13342</v>
      </c>
    </row>
    <row r="12630" spans="1:2" x14ac:dyDescent="0.25">
      <c r="A12630" s="75">
        <v>51121819</v>
      </c>
      <c r="B12630" s="76" t="s">
        <v>16028</v>
      </c>
    </row>
    <row r="12631" spans="1:2" x14ac:dyDescent="0.25">
      <c r="A12631" s="75">
        <v>51121820</v>
      </c>
      <c r="B12631" s="76" t="s">
        <v>10879</v>
      </c>
    </row>
    <row r="12632" spans="1:2" x14ac:dyDescent="0.25">
      <c r="A12632" s="75">
        <v>51121901</v>
      </c>
      <c r="B12632" s="76" t="s">
        <v>9171</v>
      </c>
    </row>
    <row r="12633" spans="1:2" x14ac:dyDescent="0.25">
      <c r="A12633" s="75">
        <v>51121902</v>
      </c>
      <c r="B12633" s="76" t="s">
        <v>13544</v>
      </c>
    </row>
    <row r="12634" spans="1:2" x14ac:dyDescent="0.25">
      <c r="A12634" s="75">
        <v>51121903</v>
      </c>
      <c r="B12634" s="76" t="s">
        <v>17095</v>
      </c>
    </row>
    <row r="12635" spans="1:2" x14ac:dyDescent="0.25">
      <c r="A12635" s="75">
        <v>51121904</v>
      </c>
      <c r="B12635" s="76" t="s">
        <v>6159</v>
      </c>
    </row>
    <row r="12636" spans="1:2" x14ac:dyDescent="0.25">
      <c r="A12636" s="75">
        <v>51121905</v>
      </c>
      <c r="B12636" s="76" t="s">
        <v>10136</v>
      </c>
    </row>
    <row r="12637" spans="1:2" x14ac:dyDescent="0.25">
      <c r="A12637" s="75">
        <v>51121906</v>
      </c>
      <c r="B12637" s="76" t="s">
        <v>2236</v>
      </c>
    </row>
    <row r="12638" spans="1:2" x14ac:dyDescent="0.25">
      <c r="A12638" s="75">
        <v>51121907</v>
      </c>
      <c r="B12638" s="76" t="s">
        <v>9962</v>
      </c>
    </row>
    <row r="12639" spans="1:2" x14ac:dyDescent="0.25">
      <c r="A12639" s="75">
        <v>51121908</v>
      </c>
      <c r="B12639" s="76" t="s">
        <v>4630</v>
      </c>
    </row>
    <row r="12640" spans="1:2" x14ac:dyDescent="0.25">
      <c r="A12640" s="75">
        <v>51122101</v>
      </c>
      <c r="B12640" s="76" t="s">
        <v>9924</v>
      </c>
    </row>
    <row r="12641" spans="1:2" x14ac:dyDescent="0.25">
      <c r="A12641" s="75">
        <v>51122102</v>
      </c>
      <c r="B12641" s="76" t="s">
        <v>19953</v>
      </c>
    </row>
    <row r="12642" spans="1:2" x14ac:dyDescent="0.25">
      <c r="A12642" s="75">
        <v>51122103</v>
      </c>
      <c r="B12642" s="76" t="s">
        <v>20020</v>
      </c>
    </row>
    <row r="12643" spans="1:2" x14ac:dyDescent="0.25">
      <c r="A12643" s="75">
        <v>51122104</v>
      </c>
      <c r="B12643" s="76" t="s">
        <v>6115</v>
      </c>
    </row>
    <row r="12644" spans="1:2" x14ac:dyDescent="0.25">
      <c r="A12644" s="75">
        <v>51122105</v>
      </c>
      <c r="B12644" s="76" t="s">
        <v>18835</v>
      </c>
    </row>
    <row r="12645" spans="1:2" x14ac:dyDescent="0.25">
      <c r="A12645" s="75">
        <v>51122107</v>
      </c>
      <c r="B12645" s="76" t="s">
        <v>16339</v>
      </c>
    </row>
    <row r="12646" spans="1:2" x14ac:dyDescent="0.25">
      <c r="A12646" s="75">
        <v>51122108</v>
      </c>
      <c r="B12646" s="76" t="s">
        <v>9302</v>
      </c>
    </row>
    <row r="12647" spans="1:2" x14ac:dyDescent="0.25">
      <c r="A12647" s="75">
        <v>51122109</v>
      </c>
      <c r="B12647" s="76" t="s">
        <v>13560</v>
      </c>
    </row>
    <row r="12648" spans="1:2" x14ac:dyDescent="0.25">
      <c r="A12648" s="75">
        <v>51122110</v>
      </c>
      <c r="B12648" s="76" t="s">
        <v>1913</v>
      </c>
    </row>
    <row r="12649" spans="1:2" x14ac:dyDescent="0.25">
      <c r="A12649" s="75">
        <v>51122111</v>
      </c>
      <c r="B12649" s="76" t="s">
        <v>11943</v>
      </c>
    </row>
    <row r="12650" spans="1:2" x14ac:dyDescent="0.25">
      <c r="A12650" s="75">
        <v>51122112</v>
      </c>
      <c r="B12650" s="76" t="s">
        <v>12409</v>
      </c>
    </row>
    <row r="12651" spans="1:2" x14ac:dyDescent="0.25">
      <c r="A12651" s="75">
        <v>51122201</v>
      </c>
      <c r="B12651" s="76" t="s">
        <v>3465</v>
      </c>
    </row>
    <row r="12652" spans="1:2" x14ac:dyDescent="0.25">
      <c r="A12652" s="75">
        <v>51122301</v>
      </c>
      <c r="B12652" s="76" t="s">
        <v>10760</v>
      </c>
    </row>
    <row r="12653" spans="1:2" x14ac:dyDescent="0.25">
      <c r="A12653" s="75">
        <v>51131501</v>
      </c>
      <c r="B12653" s="76" t="s">
        <v>13534</v>
      </c>
    </row>
    <row r="12654" spans="1:2" x14ac:dyDescent="0.25">
      <c r="A12654" s="75">
        <v>51131502</v>
      </c>
      <c r="B12654" s="76" t="s">
        <v>404</v>
      </c>
    </row>
    <row r="12655" spans="1:2" x14ac:dyDescent="0.25">
      <c r="A12655" s="75">
        <v>51131503</v>
      </c>
      <c r="B12655" s="76" t="s">
        <v>1269</v>
      </c>
    </row>
    <row r="12656" spans="1:2" x14ac:dyDescent="0.25">
      <c r="A12656" s="75">
        <v>51131504</v>
      </c>
      <c r="B12656" s="76" t="s">
        <v>8678</v>
      </c>
    </row>
    <row r="12657" spans="1:2" x14ac:dyDescent="0.25">
      <c r="A12657" s="75">
        <v>51131505</v>
      </c>
      <c r="B12657" s="76" t="s">
        <v>16993</v>
      </c>
    </row>
    <row r="12658" spans="1:2" x14ac:dyDescent="0.25">
      <c r="A12658" s="75">
        <v>51131506</v>
      </c>
      <c r="B12658" s="76" t="s">
        <v>19835</v>
      </c>
    </row>
    <row r="12659" spans="1:2" x14ac:dyDescent="0.25">
      <c r="A12659" s="75">
        <v>51131507</v>
      </c>
      <c r="B12659" s="76" t="s">
        <v>15443</v>
      </c>
    </row>
    <row r="12660" spans="1:2" x14ac:dyDescent="0.25">
      <c r="A12660" s="75">
        <v>51131508</v>
      </c>
      <c r="B12660" s="76" t="s">
        <v>11560</v>
      </c>
    </row>
    <row r="12661" spans="1:2" x14ac:dyDescent="0.25">
      <c r="A12661" s="75">
        <v>51131509</v>
      </c>
      <c r="B12661" s="76" t="s">
        <v>1590</v>
      </c>
    </row>
    <row r="12662" spans="1:2" x14ac:dyDescent="0.25">
      <c r="A12662" s="75">
        <v>51131510</v>
      </c>
      <c r="B12662" s="76" t="s">
        <v>432</v>
      </c>
    </row>
    <row r="12663" spans="1:2" x14ac:dyDescent="0.25">
      <c r="A12663" s="75">
        <v>51131511</v>
      </c>
      <c r="B12663" s="76" t="s">
        <v>17083</v>
      </c>
    </row>
    <row r="12664" spans="1:2" x14ac:dyDescent="0.25">
      <c r="A12664" s="75">
        <v>51131512</v>
      </c>
      <c r="B12664" s="76" t="s">
        <v>19916</v>
      </c>
    </row>
    <row r="12665" spans="1:2" x14ac:dyDescent="0.25">
      <c r="A12665" s="75">
        <v>51131513</v>
      </c>
      <c r="B12665" s="76" t="s">
        <v>3624</v>
      </c>
    </row>
    <row r="12666" spans="1:2" x14ac:dyDescent="0.25">
      <c r="A12666" s="75">
        <v>51131514</v>
      </c>
      <c r="B12666" s="76" t="s">
        <v>13960</v>
      </c>
    </row>
    <row r="12667" spans="1:2" x14ac:dyDescent="0.25">
      <c r="A12667" s="75">
        <v>51131515</v>
      </c>
      <c r="B12667" s="76" t="s">
        <v>10657</v>
      </c>
    </row>
    <row r="12668" spans="1:2" x14ac:dyDescent="0.25">
      <c r="A12668" s="75">
        <v>51131516</v>
      </c>
      <c r="B12668" s="76" t="s">
        <v>11321</v>
      </c>
    </row>
    <row r="12669" spans="1:2" x14ac:dyDescent="0.25">
      <c r="A12669" s="75">
        <v>51131601</v>
      </c>
      <c r="B12669" s="76" t="s">
        <v>17721</v>
      </c>
    </row>
    <row r="12670" spans="1:2" x14ac:dyDescent="0.25">
      <c r="A12670" s="75">
        <v>51131602</v>
      </c>
      <c r="B12670" s="76" t="s">
        <v>4895</v>
      </c>
    </row>
    <row r="12671" spans="1:2" x14ac:dyDescent="0.25">
      <c r="A12671" s="75">
        <v>51131603</v>
      </c>
      <c r="B12671" s="76" t="s">
        <v>12652</v>
      </c>
    </row>
    <row r="12672" spans="1:2" x14ac:dyDescent="0.25">
      <c r="A12672" s="75">
        <v>51131604</v>
      </c>
      <c r="B12672" s="76" t="s">
        <v>16196</v>
      </c>
    </row>
    <row r="12673" spans="1:2" x14ac:dyDescent="0.25">
      <c r="A12673" s="75">
        <v>51131605</v>
      </c>
      <c r="B12673" s="76" t="s">
        <v>8775</v>
      </c>
    </row>
    <row r="12674" spans="1:2" x14ac:dyDescent="0.25">
      <c r="A12674" s="75">
        <v>51131606</v>
      </c>
      <c r="B12674" s="76" t="s">
        <v>16053</v>
      </c>
    </row>
    <row r="12675" spans="1:2" x14ac:dyDescent="0.25">
      <c r="A12675" s="75">
        <v>51131607</v>
      </c>
      <c r="B12675" s="76" t="s">
        <v>11427</v>
      </c>
    </row>
    <row r="12676" spans="1:2" x14ac:dyDescent="0.25">
      <c r="A12676" s="75">
        <v>51131608</v>
      </c>
      <c r="B12676" s="76" t="s">
        <v>327</v>
      </c>
    </row>
    <row r="12677" spans="1:2" x14ac:dyDescent="0.25">
      <c r="A12677" s="75">
        <v>51131609</v>
      </c>
      <c r="B12677" s="76" t="s">
        <v>12642</v>
      </c>
    </row>
    <row r="12678" spans="1:2" x14ac:dyDescent="0.25">
      <c r="A12678" s="75">
        <v>51131610</v>
      </c>
      <c r="B12678" s="76" t="s">
        <v>15627</v>
      </c>
    </row>
    <row r="12679" spans="1:2" x14ac:dyDescent="0.25">
      <c r="A12679" s="75">
        <v>51131611</v>
      </c>
      <c r="B12679" s="76" t="s">
        <v>3500</v>
      </c>
    </row>
    <row r="12680" spans="1:2" x14ac:dyDescent="0.25">
      <c r="A12680" s="75">
        <v>51131612</v>
      </c>
      <c r="B12680" s="76" t="s">
        <v>9052</v>
      </c>
    </row>
    <row r="12681" spans="1:2" x14ac:dyDescent="0.25">
      <c r="A12681" s="75">
        <v>51131613</v>
      </c>
      <c r="B12681" s="76" t="s">
        <v>18482</v>
      </c>
    </row>
    <row r="12682" spans="1:2" x14ac:dyDescent="0.25">
      <c r="A12682" s="75">
        <v>51131614</v>
      </c>
      <c r="B12682" s="76" t="s">
        <v>3818</v>
      </c>
    </row>
    <row r="12683" spans="1:2" x14ac:dyDescent="0.25">
      <c r="A12683" s="75">
        <v>51131615</v>
      </c>
      <c r="B12683" s="76" t="s">
        <v>5176</v>
      </c>
    </row>
    <row r="12684" spans="1:2" x14ac:dyDescent="0.25">
      <c r="A12684" s="75">
        <v>51131616</v>
      </c>
      <c r="B12684" s="76" t="s">
        <v>615</v>
      </c>
    </row>
    <row r="12685" spans="1:2" x14ac:dyDescent="0.25">
      <c r="A12685" s="75">
        <v>51131617</v>
      </c>
      <c r="B12685" s="76" t="s">
        <v>11393</v>
      </c>
    </row>
    <row r="12686" spans="1:2" x14ac:dyDescent="0.25">
      <c r="A12686" s="75">
        <v>51131701</v>
      </c>
      <c r="B12686" s="76" t="s">
        <v>19044</v>
      </c>
    </row>
    <row r="12687" spans="1:2" x14ac:dyDescent="0.25">
      <c r="A12687" s="75">
        <v>51131702</v>
      </c>
      <c r="B12687" s="76" t="s">
        <v>15693</v>
      </c>
    </row>
    <row r="12688" spans="1:2" x14ac:dyDescent="0.25">
      <c r="A12688" s="75">
        <v>51131703</v>
      </c>
      <c r="B12688" s="76" t="s">
        <v>16602</v>
      </c>
    </row>
    <row r="12689" spans="1:2" x14ac:dyDescent="0.25">
      <c r="A12689" s="75">
        <v>51131704</v>
      </c>
      <c r="B12689" s="76" t="s">
        <v>7049</v>
      </c>
    </row>
    <row r="12690" spans="1:2" x14ac:dyDescent="0.25">
      <c r="A12690" s="75">
        <v>51131705</v>
      </c>
      <c r="B12690" s="76" t="s">
        <v>7259</v>
      </c>
    </row>
    <row r="12691" spans="1:2" x14ac:dyDescent="0.25">
      <c r="A12691" s="75">
        <v>51131706</v>
      </c>
      <c r="B12691" s="76" t="s">
        <v>13243</v>
      </c>
    </row>
    <row r="12692" spans="1:2" x14ac:dyDescent="0.25">
      <c r="A12692" s="75">
        <v>51131707</v>
      </c>
      <c r="B12692" s="76" t="s">
        <v>9885</v>
      </c>
    </row>
    <row r="12693" spans="1:2" x14ac:dyDescent="0.25">
      <c r="A12693" s="75">
        <v>51131708</v>
      </c>
      <c r="B12693" s="76" t="s">
        <v>2992</v>
      </c>
    </row>
    <row r="12694" spans="1:2" x14ac:dyDescent="0.25">
      <c r="A12694" s="75">
        <v>51131709</v>
      </c>
      <c r="B12694" s="76" t="s">
        <v>9440</v>
      </c>
    </row>
    <row r="12695" spans="1:2" x14ac:dyDescent="0.25">
      <c r="A12695" s="75">
        <v>51131710</v>
      </c>
      <c r="B12695" s="76" t="s">
        <v>17474</v>
      </c>
    </row>
    <row r="12696" spans="1:2" x14ac:dyDescent="0.25">
      <c r="A12696" s="75">
        <v>51131711</v>
      </c>
      <c r="B12696" s="76" t="s">
        <v>15725</v>
      </c>
    </row>
    <row r="12697" spans="1:2" x14ac:dyDescent="0.25">
      <c r="A12697" s="75">
        <v>51131712</v>
      </c>
      <c r="B12697" s="76" t="s">
        <v>5428</v>
      </c>
    </row>
    <row r="12698" spans="1:2" x14ac:dyDescent="0.25">
      <c r="A12698" s="75">
        <v>51131713</v>
      </c>
      <c r="B12698" s="76" t="s">
        <v>13731</v>
      </c>
    </row>
    <row r="12699" spans="1:2" x14ac:dyDescent="0.25">
      <c r="A12699" s="75">
        <v>51131714</v>
      </c>
      <c r="B12699" s="76" t="s">
        <v>14182</v>
      </c>
    </row>
    <row r="12700" spans="1:2" x14ac:dyDescent="0.25">
      <c r="A12700" s="75">
        <v>51131715</v>
      </c>
      <c r="B12700" s="76" t="s">
        <v>9521</v>
      </c>
    </row>
    <row r="12701" spans="1:2" x14ac:dyDescent="0.25">
      <c r="A12701" s="75">
        <v>51131716</v>
      </c>
      <c r="B12701" s="76" t="s">
        <v>4116</v>
      </c>
    </row>
    <row r="12702" spans="1:2" x14ac:dyDescent="0.25">
      <c r="A12702" s="75">
        <v>51131801</v>
      </c>
      <c r="B12702" s="76" t="s">
        <v>18651</v>
      </c>
    </row>
    <row r="12703" spans="1:2" x14ac:dyDescent="0.25">
      <c r="A12703" s="75">
        <v>51131802</v>
      </c>
      <c r="B12703" s="76" t="s">
        <v>16611</v>
      </c>
    </row>
    <row r="12704" spans="1:2" x14ac:dyDescent="0.25">
      <c r="A12704" s="75">
        <v>51131803</v>
      </c>
      <c r="B12704" s="76" t="s">
        <v>9610</v>
      </c>
    </row>
    <row r="12705" spans="1:2" x14ac:dyDescent="0.25">
      <c r="A12705" s="75">
        <v>51131804</v>
      </c>
      <c r="B12705" s="76" t="s">
        <v>12002</v>
      </c>
    </row>
    <row r="12706" spans="1:2" x14ac:dyDescent="0.25">
      <c r="A12706" s="75">
        <v>51131805</v>
      </c>
      <c r="B12706" s="76" t="s">
        <v>12191</v>
      </c>
    </row>
    <row r="12707" spans="1:2" x14ac:dyDescent="0.25">
      <c r="A12707" s="75">
        <v>51131806</v>
      </c>
      <c r="B12707" s="76" t="s">
        <v>12605</v>
      </c>
    </row>
    <row r="12708" spans="1:2" x14ac:dyDescent="0.25">
      <c r="A12708" s="75">
        <v>51131807</v>
      </c>
      <c r="B12708" s="76" t="s">
        <v>3004</v>
      </c>
    </row>
    <row r="12709" spans="1:2" x14ac:dyDescent="0.25">
      <c r="A12709" s="75">
        <v>51131808</v>
      </c>
      <c r="B12709" s="76" t="s">
        <v>2149</v>
      </c>
    </row>
    <row r="12710" spans="1:2" x14ac:dyDescent="0.25">
      <c r="A12710" s="75">
        <v>51131809</v>
      </c>
      <c r="B12710" s="76" t="s">
        <v>16689</v>
      </c>
    </row>
    <row r="12711" spans="1:2" x14ac:dyDescent="0.25">
      <c r="A12711" s="75">
        <v>51131901</v>
      </c>
      <c r="B12711" s="76" t="s">
        <v>15087</v>
      </c>
    </row>
    <row r="12712" spans="1:2" x14ac:dyDescent="0.25">
      <c r="A12712" s="75">
        <v>51131903</v>
      </c>
      <c r="B12712" s="76" t="s">
        <v>11301</v>
      </c>
    </row>
    <row r="12713" spans="1:2" x14ac:dyDescent="0.25">
      <c r="A12713" s="75">
        <v>51131904</v>
      </c>
      <c r="B12713" s="76" t="s">
        <v>3886</v>
      </c>
    </row>
    <row r="12714" spans="1:2" x14ac:dyDescent="0.25">
      <c r="A12714" s="75">
        <v>51131905</v>
      </c>
      <c r="B12714" s="76" t="s">
        <v>8224</v>
      </c>
    </row>
    <row r="12715" spans="1:2" x14ac:dyDescent="0.25">
      <c r="A12715" s="75">
        <v>51131906</v>
      </c>
      <c r="B12715" s="76" t="s">
        <v>4687</v>
      </c>
    </row>
    <row r="12716" spans="1:2" x14ac:dyDescent="0.25">
      <c r="A12716" s="75">
        <v>51131907</v>
      </c>
      <c r="B12716" s="76" t="s">
        <v>5579</v>
      </c>
    </row>
    <row r="12717" spans="1:2" x14ac:dyDescent="0.25">
      <c r="A12717" s="75">
        <v>51131908</v>
      </c>
      <c r="B12717" s="76" t="s">
        <v>6409</v>
      </c>
    </row>
    <row r="12718" spans="1:2" x14ac:dyDescent="0.25">
      <c r="A12718" s="75">
        <v>51131909</v>
      </c>
      <c r="B12718" s="76" t="s">
        <v>4400</v>
      </c>
    </row>
    <row r="12719" spans="1:2" x14ac:dyDescent="0.25">
      <c r="A12719" s="75">
        <v>51131910</v>
      </c>
      <c r="B12719" s="76" t="s">
        <v>2686</v>
      </c>
    </row>
    <row r="12720" spans="1:2" x14ac:dyDescent="0.25">
      <c r="A12720" s="75">
        <v>51132001</v>
      </c>
      <c r="B12720" s="76" t="s">
        <v>14156</v>
      </c>
    </row>
    <row r="12721" spans="1:2" x14ac:dyDescent="0.25">
      <c r="A12721" s="75">
        <v>51141501</v>
      </c>
      <c r="B12721" s="76" t="s">
        <v>15115</v>
      </c>
    </row>
    <row r="12722" spans="1:2" x14ac:dyDescent="0.25">
      <c r="A12722" s="75">
        <v>51141502</v>
      </c>
      <c r="B12722" s="76" t="s">
        <v>9096</v>
      </c>
    </row>
    <row r="12723" spans="1:2" x14ac:dyDescent="0.25">
      <c r="A12723" s="75">
        <v>51141503</v>
      </c>
      <c r="B12723" s="76" t="s">
        <v>9625</v>
      </c>
    </row>
    <row r="12724" spans="1:2" x14ac:dyDescent="0.25">
      <c r="A12724" s="75">
        <v>51141504</v>
      </c>
      <c r="B12724" s="76" t="s">
        <v>14350</v>
      </c>
    </row>
    <row r="12725" spans="1:2" x14ac:dyDescent="0.25">
      <c r="A12725" s="75">
        <v>51141505</v>
      </c>
      <c r="B12725" s="76" t="s">
        <v>11503</v>
      </c>
    </row>
    <row r="12726" spans="1:2" x14ac:dyDescent="0.25">
      <c r="A12726" s="75">
        <v>51141506</v>
      </c>
      <c r="B12726" s="76" t="s">
        <v>10502</v>
      </c>
    </row>
    <row r="12727" spans="1:2" x14ac:dyDescent="0.25">
      <c r="A12727" s="75">
        <v>51141507</v>
      </c>
      <c r="B12727" s="76" t="s">
        <v>8051</v>
      </c>
    </row>
    <row r="12728" spans="1:2" x14ac:dyDescent="0.25">
      <c r="A12728" s="75">
        <v>51141508</v>
      </c>
      <c r="B12728" s="76" t="s">
        <v>17198</v>
      </c>
    </row>
    <row r="12729" spans="1:2" x14ac:dyDescent="0.25">
      <c r="A12729" s="75">
        <v>51141509</v>
      </c>
      <c r="B12729" s="76" t="s">
        <v>2652</v>
      </c>
    </row>
    <row r="12730" spans="1:2" x14ac:dyDescent="0.25">
      <c r="A12730" s="75">
        <v>51141510</v>
      </c>
      <c r="B12730" s="76" t="s">
        <v>7675</v>
      </c>
    </row>
    <row r="12731" spans="1:2" x14ac:dyDescent="0.25">
      <c r="A12731" s="75">
        <v>51141511</v>
      </c>
      <c r="B12731" s="76" t="s">
        <v>8077</v>
      </c>
    </row>
    <row r="12732" spans="1:2" x14ac:dyDescent="0.25">
      <c r="A12732" s="75">
        <v>51141512</v>
      </c>
      <c r="B12732" s="76" t="s">
        <v>13242</v>
      </c>
    </row>
    <row r="12733" spans="1:2" x14ac:dyDescent="0.25">
      <c r="A12733" s="75">
        <v>51141513</v>
      </c>
      <c r="B12733" s="76" t="s">
        <v>9677</v>
      </c>
    </row>
    <row r="12734" spans="1:2" x14ac:dyDescent="0.25">
      <c r="A12734" s="75">
        <v>51141514</v>
      </c>
      <c r="B12734" s="76" t="s">
        <v>2882</v>
      </c>
    </row>
    <row r="12735" spans="1:2" x14ac:dyDescent="0.25">
      <c r="A12735" s="75">
        <v>51141515</v>
      </c>
      <c r="B12735" s="76" t="s">
        <v>19254</v>
      </c>
    </row>
    <row r="12736" spans="1:2" x14ac:dyDescent="0.25">
      <c r="A12736" s="75">
        <v>51141516</v>
      </c>
      <c r="B12736" s="76" t="s">
        <v>13936</v>
      </c>
    </row>
    <row r="12737" spans="1:2" x14ac:dyDescent="0.25">
      <c r="A12737" s="75">
        <v>51141517</v>
      </c>
      <c r="B12737" s="76" t="s">
        <v>15611</v>
      </c>
    </row>
    <row r="12738" spans="1:2" x14ac:dyDescent="0.25">
      <c r="A12738" s="75">
        <v>51141518</v>
      </c>
      <c r="B12738" s="76" t="s">
        <v>16508</v>
      </c>
    </row>
    <row r="12739" spans="1:2" x14ac:dyDescent="0.25">
      <c r="A12739" s="75">
        <v>51141519</v>
      </c>
      <c r="B12739" s="76" t="s">
        <v>11187</v>
      </c>
    </row>
    <row r="12740" spans="1:2" x14ac:dyDescent="0.25">
      <c r="A12740" s="75">
        <v>51141520</v>
      </c>
      <c r="B12740" s="76" t="s">
        <v>8992</v>
      </c>
    </row>
    <row r="12741" spans="1:2" x14ac:dyDescent="0.25">
      <c r="A12741" s="75">
        <v>51141521</v>
      </c>
      <c r="B12741" s="76" t="s">
        <v>18463</v>
      </c>
    </row>
    <row r="12742" spans="1:2" x14ac:dyDescent="0.25">
      <c r="A12742" s="75">
        <v>51141522</v>
      </c>
      <c r="B12742" s="76" t="s">
        <v>7064</v>
      </c>
    </row>
    <row r="12743" spans="1:2" x14ac:dyDescent="0.25">
      <c r="A12743" s="75">
        <v>51141523</v>
      </c>
      <c r="B12743" s="76" t="s">
        <v>19134</v>
      </c>
    </row>
    <row r="12744" spans="1:2" x14ac:dyDescent="0.25">
      <c r="A12744" s="75">
        <v>51141524</v>
      </c>
      <c r="B12744" s="76" t="s">
        <v>11414</v>
      </c>
    </row>
    <row r="12745" spans="1:2" x14ac:dyDescent="0.25">
      <c r="A12745" s="75">
        <v>51141525</v>
      </c>
      <c r="B12745" s="76" t="s">
        <v>13585</v>
      </c>
    </row>
    <row r="12746" spans="1:2" x14ac:dyDescent="0.25">
      <c r="A12746" s="75">
        <v>51141526</v>
      </c>
      <c r="B12746" s="76" t="s">
        <v>6755</v>
      </c>
    </row>
    <row r="12747" spans="1:2" x14ac:dyDescent="0.25">
      <c r="A12747" s="75">
        <v>51141527</v>
      </c>
      <c r="B12747" s="76" t="s">
        <v>12864</v>
      </c>
    </row>
    <row r="12748" spans="1:2" x14ac:dyDescent="0.25">
      <c r="A12748" s="75">
        <v>51141528</v>
      </c>
      <c r="B12748" s="76" t="s">
        <v>7658</v>
      </c>
    </row>
    <row r="12749" spans="1:2" x14ac:dyDescent="0.25">
      <c r="A12749" s="75">
        <v>51141529</v>
      </c>
      <c r="B12749" s="76" t="s">
        <v>15630</v>
      </c>
    </row>
    <row r="12750" spans="1:2" x14ac:dyDescent="0.25">
      <c r="A12750" s="75">
        <v>51141530</v>
      </c>
      <c r="B12750" s="76" t="s">
        <v>12744</v>
      </c>
    </row>
    <row r="12751" spans="1:2" x14ac:dyDescent="0.25">
      <c r="A12751" s="75">
        <v>51141531</v>
      </c>
      <c r="B12751" s="76" t="s">
        <v>13339</v>
      </c>
    </row>
    <row r="12752" spans="1:2" x14ac:dyDescent="0.25">
      <c r="A12752" s="75">
        <v>51141532</v>
      </c>
      <c r="B12752" s="76" t="s">
        <v>6092</v>
      </c>
    </row>
    <row r="12753" spans="1:2" x14ac:dyDescent="0.25">
      <c r="A12753" s="75">
        <v>51141533</v>
      </c>
      <c r="B12753" s="76" t="s">
        <v>13997</v>
      </c>
    </row>
    <row r="12754" spans="1:2" x14ac:dyDescent="0.25">
      <c r="A12754" s="75">
        <v>51141601</v>
      </c>
      <c r="B12754" s="76" t="s">
        <v>9844</v>
      </c>
    </row>
    <row r="12755" spans="1:2" x14ac:dyDescent="0.25">
      <c r="A12755" s="75">
        <v>51141602</v>
      </c>
      <c r="B12755" s="76" t="s">
        <v>7200</v>
      </c>
    </row>
    <row r="12756" spans="1:2" x14ac:dyDescent="0.25">
      <c r="A12756" s="75">
        <v>51141603</v>
      </c>
      <c r="B12756" s="76" t="s">
        <v>4512</v>
      </c>
    </row>
    <row r="12757" spans="1:2" x14ac:dyDescent="0.25">
      <c r="A12757" s="75">
        <v>51141604</v>
      </c>
      <c r="B12757" s="76" t="s">
        <v>14546</v>
      </c>
    </row>
    <row r="12758" spans="1:2" x14ac:dyDescent="0.25">
      <c r="A12758" s="75">
        <v>51141605</v>
      </c>
      <c r="B12758" s="76" t="s">
        <v>20051</v>
      </c>
    </row>
    <row r="12759" spans="1:2" x14ac:dyDescent="0.25">
      <c r="A12759" s="75">
        <v>51141606</v>
      </c>
      <c r="B12759" s="76" t="s">
        <v>11791</v>
      </c>
    </row>
    <row r="12760" spans="1:2" x14ac:dyDescent="0.25">
      <c r="A12760" s="75">
        <v>51141607</v>
      </c>
      <c r="B12760" s="76" t="s">
        <v>3237</v>
      </c>
    </row>
    <row r="12761" spans="1:2" x14ac:dyDescent="0.25">
      <c r="A12761" s="75">
        <v>51141608</v>
      </c>
      <c r="B12761" s="76" t="s">
        <v>23</v>
      </c>
    </row>
    <row r="12762" spans="1:2" x14ac:dyDescent="0.25">
      <c r="A12762" s="75">
        <v>51141609</v>
      </c>
      <c r="B12762" s="76" t="s">
        <v>801</v>
      </c>
    </row>
    <row r="12763" spans="1:2" x14ac:dyDescent="0.25">
      <c r="A12763" s="75">
        <v>51141610</v>
      </c>
      <c r="B12763" s="76" t="s">
        <v>10081</v>
      </c>
    </row>
    <row r="12764" spans="1:2" x14ac:dyDescent="0.25">
      <c r="A12764" s="75">
        <v>51141611</v>
      </c>
      <c r="B12764" s="76" t="s">
        <v>368</v>
      </c>
    </row>
    <row r="12765" spans="1:2" x14ac:dyDescent="0.25">
      <c r="A12765" s="75">
        <v>51141612</v>
      </c>
      <c r="B12765" s="76" t="s">
        <v>4217</v>
      </c>
    </row>
    <row r="12766" spans="1:2" x14ac:dyDescent="0.25">
      <c r="A12766" s="75">
        <v>51141613</v>
      </c>
      <c r="B12766" s="76" t="s">
        <v>15228</v>
      </c>
    </row>
    <row r="12767" spans="1:2" x14ac:dyDescent="0.25">
      <c r="A12767" s="75">
        <v>51141614</v>
      </c>
      <c r="B12767" s="76" t="s">
        <v>8447</v>
      </c>
    </row>
    <row r="12768" spans="1:2" x14ac:dyDescent="0.25">
      <c r="A12768" s="75">
        <v>51141615</v>
      </c>
      <c r="B12768" s="76" t="s">
        <v>14144</v>
      </c>
    </row>
    <row r="12769" spans="1:2" x14ac:dyDescent="0.25">
      <c r="A12769" s="75">
        <v>51141616</v>
      </c>
      <c r="B12769" s="76" t="s">
        <v>19863</v>
      </c>
    </row>
    <row r="12770" spans="1:2" x14ac:dyDescent="0.25">
      <c r="A12770" s="75">
        <v>51141617</v>
      </c>
      <c r="B12770" s="76" t="s">
        <v>4424</v>
      </c>
    </row>
    <row r="12771" spans="1:2" x14ac:dyDescent="0.25">
      <c r="A12771" s="75">
        <v>51141618</v>
      </c>
      <c r="B12771" s="76" t="s">
        <v>2507</v>
      </c>
    </row>
    <row r="12772" spans="1:2" x14ac:dyDescent="0.25">
      <c r="A12772" s="75">
        <v>51141619</v>
      </c>
      <c r="B12772" s="76" t="s">
        <v>5385</v>
      </c>
    </row>
    <row r="12773" spans="1:2" x14ac:dyDescent="0.25">
      <c r="A12773" s="75">
        <v>51141620</v>
      </c>
      <c r="B12773" s="76" t="s">
        <v>49</v>
      </c>
    </row>
    <row r="12774" spans="1:2" x14ac:dyDescent="0.25">
      <c r="A12774" s="75">
        <v>51141621</v>
      </c>
      <c r="B12774" s="76" t="s">
        <v>6141</v>
      </c>
    </row>
    <row r="12775" spans="1:2" x14ac:dyDescent="0.25">
      <c r="A12775" s="75">
        <v>51141622</v>
      </c>
      <c r="B12775" s="76" t="s">
        <v>13363</v>
      </c>
    </row>
    <row r="12776" spans="1:2" x14ac:dyDescent="0.25">
      <c r="A12776" s="75">
        <v>51141623</v>
      </c>
      <c r="B12776" s="76" t="s">
        <v>7392</v>
      </c>
    </row>
    <row r="12777" spans="1:2" x14ac:dyDescent="0.25">
      <c r="A12777" s="75">
        <v>51141624</v>
      </c>
      <c r="B12777" s="76" t="s">
        <v>11290</v>
      </c>
    </row>
    <row r="12778" spans="1:2" x14ac:dyDescent="0.25">
      <c r="A12778" s="75">
        <v>51141625</v>
      </c>
      <c r="B12778" s="76" t="s">
        <v>19393</v>
      </c>
    </row>
    <row r="12779" spans="1:2" x14ac:dyDescent="0.25">
      <c r="A12779" s="75">
        <v>51141626</v>
      </c>
      <c r="B12779" s="76" t="s">
        <v>7416</v>
      </c>
    </row>
    <row r="12780" spans="1:2" x14ac:dyDescent="0.25">
      <c r="A12780" s="75">
        <v>51141627</v>
      </c>
      <c r="B12780" s="76" t="s">
        <v>12315</v>
      </c>
    </row>
    <row r="12781" spans="1:2" x14ac:dyDescent="0.25">
      <c r="A12781" s="75">
        <v>51141628</v>
      </c>
      <c r="B12781" s="76" t="s">
        <v>8375</v>
      </c>
    </row>
    <row r="12782" spans="1:2" x14ac:dyDescent="0.25">
      <c r="A12782" s="75">
        <v>51141629</v>
      </c>
      <c r="B12782" s="76" t="s">
        <v>1819</v>
      </c>
    </row>
    <row r="12783" spans="1:2" x14ac:dyDescent="0.25">
      <c r="A12783" s="75">
        <v>51141630</v>
      </c>
      <c r="B12783" s="76" t="s">
        <v>11621</v>
      </c>
    </row>
    <row r="12784" spans="1:2" x14ac:dyDescent="0.25">
      <c r="A12784" s="75">
        <v>51141631</v>
      </c>
      <c r="B12784" s="76" t="s">
        <v>8580</v>
      </c>
    </row>
    <row r="12785" spans="1:2" x14ac:dyDescent="0.25">
      <c r="A12785" s="75">
        <v>51141632</v>
      </c>
      <c r="B12785" s="76" t="s">
        <v>13775</v>
      </c>
    </row>
    <row r="12786" spans="1:2" x14ac:dyDescent="0.25">
      <c r="A12786" s="75">
        <v>51141633</v>
      </c>
      <c r="B12786" s="76" t="s">
        <v>6078</v>
      </c>
    </row>
    <row r="12787" spans="1:2" x14ac:dyDescent="0.25">
      <c r="A12787" s="75">
        <v>51141701</v>
      </c>
      <c r="B12787" s="76" t="s">
        <v>16050</v>
      </c>
    </row>
    <row r="12788" spans="1:2" x14ac:dyDescent="0.25">
      <c r="A12788" s="75">
        <v>51141702</v>
      </c>
      <c r="B12788" s="76" t="s">
        <v>18471</v>
      </c>
    </row>
    <row r="12789" spans="1:2" x14ac:dyDescent="0.25">
      <c r="A12789" s="75">
        <v>51141703</v>
      </c>
      <c r="B12789" s="76" t="s">
        <v>15489</v>
      </c>
    </row>
    <row r="12790" spans="1:2" x14ac:dyDescent="0.25">
      <c r="A12790" s="75">
        <v>51141704</v>
      </c>
      <c r="B12790" s="76" t="s">
        <v>6969</v>
      </c>
    </row>
    <row r="12791" spans="1:2" x14ac:dyDescent="0.25">
      <c r="A12791" s="75">
        <v>51141705</v>
      </c>
      <c r="B12791" s="76" t="s">
        <v>6904</v>
      </c>
    </row>
    <row r="12792" spans="1:2" x14ac:dyDescent="0.25">
      <c r="A12792" s="75">
        <v>51141706</v>
      </c>
      <c r="B12792" s="76" t="s">
        <v>11175</v>
      </c>
    </row>
    <row r="12793" spans="1:2" x14ac:dyDescent="0.25">
      <c r="A12793" s="75">
        <v>51141707</v>
      </c>
      <c r="B12793" s="76" t="s">
        <v>17753</v>
      </c>
    </row>
    <row r="12794" spans="1:2" x14ac:dyDescent="0.25">
      <c r="A12794" s="75">
        <v>51141708</v>
      </c>
      <c r="B12794" s="76" t="s">
        <v>3645</v>
      </c>
    </row>
    <row r="12795" spans="1:2" x14ac:dyDescent="0.25">
      <c r="A12795" s="75">
        <v>51141709</v>
      </c>
      <c r="B12795" s="76" t="s">
        <v>142</v>
      </c>
    </row>
    <row r="12796" spans="1:2" x14ac:dyDescent="0.25">
      <c r="A12796" s="75">
        <v>51141710</v>
      </c>
      <c r="B12796" s="76" t="s">
        <v>10001</v>
      </c>
    </row>
    <row r="12797" spans="1:2" x14ac:dyDescent="0.25">
      <c r="A12797" s="75">
        <v>51141711</v>
      </c>
      <c r="B12797" s="76" t="s">
        <v>4590</v>
      </c>
    </row>
    <row r="12798" spans="1:2" x14ac:dyDescent="0.25">
      <c r="A12798" s="75">
        <v>51141712</v>
      </c>
      <c r="B12798" s="76" t="s">
        <v>19642</v>
      </c>
    </row>
    <row r="12799" spans="1:2" x14ac:dyDescent="0.25">
      <c r="A12799" s="75">
        <v>51141713</v>
      </c>
      <c r="B12799" s="76" t="s">
        <v>4124</v>
      </c>
    </row>
    <row r="12800" spans="1:2" x14ac:dyDescent="0.25">
      <c r="A12800" s="75">
        <v>51141714</v>
      </c>
      <c r="B12800" s="76" t="s">
        <v>19688</v>
      </c>
    </row>
    <row r="12801" spans="1:2" x14ac:dyDescent="0.25">
      <c r="A12801" s="75">
        <v>51141715</v>
      </c>
      <c r="B12801" s="76" t="s">
        <v>10264</v>
      </c>
    </row>
    <row r="12802" spans="1:2" x14ac:dyDescent="0.25">
      <c r="A12802" s="75">
        <v>51141716</v>
      </c>
      <c r="B12802" s="76" t="s">
        <v>15556</v>
      </c>
    </row>
    <row r="12803" spans="1:2" x14ac:dyDescent="0.25">
      <c r="A12803" s="75">
        <v>51141717</v>
      </c>
      <c r="B12803" s="76" t="s">
        <v>11875</v>
      </c>
    </row>
    <row r="12804" spans="1:2" x14ac:dyDescent="0.25">
      <c r="A12804" s="75">
        <v>51141718</v>
      </c>
      <c r="B12804" s="76" t="s">
        <v>19329</v>
      </c>
    </row>
    <row r="12805" spans="1:2" x14ac:dyDescent="0.25">
      <c r="A12805" s="75">
        <v>51141719</v>
      </c>
      <c r="B12805" s="76" t="s">
        <v>12701</v>
      </c>
    </row>
    <row r="12806" spans="1:2" x14ac:dyDescent="0.25">
      <c r="A12806" s="75">
        <v>51141720</v>
      </c>
      <c r="B12806" s="76" t="s">
        <v>2554</v>
      </c>
    </row>
    <row r="12807" spans="1:2" x14ac:dyDescent="0.25">
      <c r="A12807" s="75">
        <v>51141721</v>
      </c>
      <c r="B12807" s="76" t="s">
        <v>11149</v>
      </c>
    </row>
    <row r="12808" spans="1:2" x14ac:dyDescent="0.25">
      <c r="A12808" s="75">
        <v>51141722</v>
      </c>
      <c r="B12808" s="76" t="s">
        <v>7729</v>
      </c>
    </row>
    <row r="12809" spans="1:2" x14ac:dyDescent="0.25">
      <c r="A12809" s="75">
        <v>51141723</v>
      </c>
      <c r="B12809" s="76" t="s">
        <v>7373</v>
      </c>
    </row>
    <row r="12810" spans="1:2" x14ac:dyDescent="0.25">
      <c r="A12810" s="75">
        <v>51141724</v>
      </c>
      <c r="B12810" s="76" t="s">
        <v>15329</v>
      </c>
    </row>
    <row r="12811" spans="1:2" x14ac:dyDescent="0.25">
      <c r="A12811" s="75">
        <v>51141725</v>
      </c>
      <c r="B12811" s="76" t="s">
        <v>19322</v>
      </c>
    </row>
    <row r="12812" spans="1:2" x14ac:dyDescent="0.25">
      <c r="A12812" s="75">
        <v>51141726</v>
      </c>
      <c r="B12812" s="76" t="s">
        <v>12814</v>
      </c>
    </row>
    <row r="12813" spans="1:2" x14ac:dyDescent="0.25">
      <c r="A12813" s="75">
        <v>51141727</v>
      </c>
      <c r="B12813" s="76" t="s">
        <v>18786</v>
      </c>
    </row>
    <row r="12814" spans="1:2" x14ac:dyDescent="0.25">
      <c r="A12814" s="75">
        <v>51141728</v>
      </c>
      <c r="B12814" s="76" t="s">
        <v>7633</v>
      </c>
    </row>
    <row r="12815" spans="1:2" x14ac:dyDescent="0.25">
      <c r="A12815" s="75">
        <v>51141729</v>
      </c>
      <c r="B12815" s="76" t="s">
        <v>17242</v>
      </c>
    </row>
    <row r="12816" spans="1:2" x14ac:dyDescent="0.25">
      <c r="A12816" s="75">
        <v>51141801</v>
      </c>
      <c r="B12816" s="76" t="s">
        <v>1315</v>
      </c>
    </row>
    <row r="12817" spans="1:2" x14ac:dyDescent="0.25">
      <c r="A12817" s="75">
        <v>51141802</v>
      </c>
      <c r="B12817" s="76" t="s">
        <v>15159</v>
      </c>
    </row>
    <row r="12818" spans="1:2" x14ac:dyDescent="0.25">
      <c r="A12818" s="75">
        <v>51141803</v>
      </c>
      <c r="B12818" s="76" t="s">
        <v>13319</v>
      </c>
    </row>
    <row r="12819" spans="1:2" x14ac:dyDescent="0.25">
      <c r="A12819" s="75">
        <v>51141804</v>
      </c>
      <c r="B12819" s="76" t="s">
        <v>12704</v>
      </c>
    </row>
    <row r="12820" spans="1:2" x14ac:dyDescent="0.25">
      <c r="A12820" s="75">
        <v>51141805</v>
      </c>
      <c r="B12820" s="76" t="s">
        <v>9589</v>
      </c>
    </row>
    <row r="12821" spans="1:2" x14ac:dyDescent="0.25">
      <c r="A12821" s="75">
        <v>51141806</v>
      </c>
      <c r="B12821" s="76" t="s">
        <v>5146</v>
      </c>
    </row>
    <row r="12822" spans="1:2" x14ac:dyDescent="0.25">
      <c r="A12822" s="75">
        <v>51141807</v>
      </c>
      <c r="B12822" s="76" t="s">
        <v>9344</v>
      </c>
    </row>
    <row r="12823" spans="1:2" x14ac:dyDescent="0.25">
      <c r="A12823" s="75">
        <v>51141808</v>
      </c>
      <c r="B12823" s="76" t="s">
        <v>8431</v>
      </c>
    </row>
    <row r="12824" spans="1:2" x14ac:dyDescent="0.25">
      <c r="A12824" s="75">
        <v>51141809</v>
      </c>
      <c r="B12824" s="76" t="s">
        <v>17237</v>
      </c>
    </row>
    <row r="12825" spans="1:2" x14ac:dyDescent="0.25">
      <c r="A12825" s="75">
        <v>51141810</v>
      </c>
      <c r="B12825" s="76" t="s">
        <v>15498</v>
      </c>
    </row>
    <row r="12826" spans="1:2" x14ac:dyDescent="0.25">
      <c r="A12826" s="75">
        <v>51141811</v>
      </c>
      <c r="B12826" s="76" t="s">
        <v>17818</v>
      </c>
    </row>
    <row r="12827" spans="1:2" x14ac:dyDescent="0.25">
      <c r="A12827" s="75">
        <v>51141812</v>
      </c>
      <c r="B12827" s="76" t="s">
        <v>4480</v>
      </c>
    </row>
    <row r="12828" spans="1:2" x14ac:dyDescent="0.25">
      <c r="A12828" s="75">
        <v>51141813</v>
      </c>
      <c r="B12828" s="76" t="s">
        <v>10441</v>
      </c>
    </row>
    <row r="12829" spans="1:2" x14ac:dyDescent="0.25">
      <c r="A12829" s="75">
        <v>51141814</v>
      </c>
      <c r="B12829" s="76" t="s">
        <v>12774</v>
      </c>
    </row>
    <row r="12830" spans="1:2" x14ac:dyDescent="0.25">
      <c r="A12830" s="75">
        <v>51141815</v>
      </c>
      <c r="B12830" s="76" t="s">
        <v>14058</v>
      </c>
    </row>
    <row r="12831" spans="1:2" x14ac:dyDescent="0.25">
      <c r="A12831" s="75">
        <v>51141816</v>
      </c>
      <c r="B12831" s="76" t="s">
        <v>13145</v>
      </c>
    </row>
    <row r="12832" spans="1:2" x14ac:dyDescent="0.25">
      <c r="A12832" s="75">
        <v>51141817</v>
      </c>
      <c r="B12832" s="76" t="s">
        <v>13622</v>
      </c>
    </row>
    <row r="12833" spans="1:2" x14ac:dyDescent="0.25">
      <c r="A12833" s="75">
        <v>51141818</v>
      </c>
      <c r="B12833" s="76" t="s">
        <v>4662</v>
      </c>
    </row>
    <row r="12834" spans="1:2" x14ac:dyDescent="0.25">
      <c r="A12834" s="75">
        <v>51141819</v>
      </c>
      <c r="B12834" s="76" t="s">
        <v>5451</v>
      </c>
    </row>
    <row r="12835" spans="1:2" x14ac:dyDescent="0.25">
      <c r="A12835" s="75">
        <v>51141820</v>
      </c>
      <c r="B12835" s="76" t="s">
        <v>10234</v>
      </c>
    </row>
    <row r="12836" spans="1:2" x14ac:dyDescent="0.25">
      <c r="A12836" s="75">
        <v>51141821</v>
      </c>
      <c r="B12836" s="76" t="s">
        <v>7298</v>
      </c>
    </row>
    <row r="12837" spans="1:2" x14ac:dyDescent="0.25">
      <c r="A12837" s="75">
        <v>51141822</v>
      </c>
      <c r="B12837" s="76" t="s">
        <v>15507</v>
      </c>
    </row>
    <row r="12838" spans="1:2" x14ac:dyDescent="0.25">
      <c r="A12838" s="75">
        <v>51141903</v>
      </c>
      <c r="B12838" s="76" t="s">
        <v>2081</v>
      </c>
    </row>
    <row r="12839" spans="1:2" x14ac:dyDescent="0.25">
      <c r="A12839" s="75">
        <v>51141904</v>
      </c>
      <c r="B12839" s="76" t="s">
        <v>15463</v>
      </c>
    </row>
    <row r="12840" spans="1:2" x14ac:dyDescent="0.25">
      <c r="A12840" s="75">
        <v>51141907</v>
      </c>
      <c r="B12840" s="76" t="s">
        <v>10126</v>
      </c>
    </row>
    <row r="12841" spans="1:2" x14ac:dyDescent="0.25">
      <c r="A12841" s="75">
        <v>51141908</v>
      </c>
      <c r="B12841" s="76" t="s">
        <v>12936</v>
      </c>
    </row>
    <row r="12842" spans="1:2" x14ac:dyDescent="0.25">
      <c r="A12842" s="75">
        <v>51141910</v>
      </c>
      <c r="B12842" s="76" t="s">
        <v>15871</v>
      </c>
    </row>
    <row r="12843" spans="1:2" x14ac:dyDescent="0.25">
      <c r="A12843" s="75">
        <v>51141911</v>
      </c>
      <c r="B12843" s="76" t="s">
        <v>5691</v>
      </c>
    </row>
    <row r="12844" spans="1:2" x14ac:dyDescent="0.25">
      <c r="A12844" s="75">
        <v>51141912</v>
      </c>
      <c r="B12844" s="76" t="s">
        <v>16496</v>
      </c>
    </row>
    <row r="12845" spans="1:2" x14ac:dyDescent="0.25">
      <c r="A12845" s="75">
        <v>51141913</v>
      </c>
      <c r="B12845" s="76" t="s">
        <v>10106</v>
      </c>
    </row>
    <row r="12846" spans="1:2" x14ac:dyDescent="0.25">
      <c r="A12846" s="75">
        <v>51141914</v>
      </c>
      <c r="B12846" s="76" t="s">
        <v>6417</v>
      </c>
    </row>
    <row r="12847" spans="1:2" x14ac:dyDescent="0.25">
      <c r="A12847" s="75">
        <v>51141915</v>
      </c>
      <c r="B12847" s="76" t="s">
        <v>6652</v>
      </c>
    </row>
    <row r="12848" spans="1:2" x14ac:dyDescent="0.25">
      <c r="A12848" s="75">
        <v>51141916</v>
      </c>
      <c r="B12848" s="76" t="s">
        <v>17886</v>
      </c>
    </row>
    <row r="12849" spans="1:2" x14ac:dyDescent="0.25">
      <c r="A12849" s="75">
        <v>51141917</v>
      </c>
      <c r="B12849" s="76" t="s">
        <v>7566</v>
      </c>
    </row>
    <row r="12850" spans="1:2" x14ac:dyDescent="0.25">
      <c r="A12850" s="75">
        <v>51141918</v>
      </c>
      <c r="B12850" s="76" t="s">
        <v>17697</v>
      </c>
    </row>
    <row r="12851" spans="1:2" x14ac:dyDescent="0.25">
      <c r="A12851" s="75">
        <v>51141919</v>
      </c>
      <c r="B12851" s="76" t="s">
        <v>10131</v>
      </c>
    </row>
    <row r="12852" spans="1:2" x14ac:dyDescent="0.25">
      <c r="A12852" s="75">
        <v>51141920</v>
      </c>
      <c r="B12852" s="76" t="s">
        <v>16335</v>
      </c>
    </row>
    <row r="12853" spans="1:2" x14ac:dyDescent="0.25">
      <c r="A12853" s="75">
        <v>51141921</v>
      </c>
      <c r="B12853" s="76" t="s">
        <v>19958</v>
      </c>
    </row>
    <row r="12854" spans="1:2" x14ac:dyDescent="0.25">
      <c r="A12854" s="75">
        <v>51141922</v>
      </c>
      <c r="B12854" s="76" t="s">
        <v>15718</v>
      </c>
    </row>
    <row r="12855" spans="1:2" x14ac:dyDescent="0.25">
      <c r="A12855" s="75">
        <v>51142001</v>
      </c>
      <c r="B12855" s="76" t="s">
        <v>5829</v>
      </c>
    </row>
    <row r="12856" spans="1:2" x14ac:dyDescent="0.25">
      <c r="A12856" s="75">
        <v>51142002</v>
      </c>
      <c r="B12856" s="76" t="s">
        <v>11043</v>
      </c>
    </row>
    <row r="12857" spans="1:2" x14ac:dyDescent="0.25">
      <c r="A12857" s="75">
        <v>51142003</v>
      </c>
      <c r="B12857" s="76" t="s">
        <v>10614</v>
      </c>
    </row>
    <row r="12858" spans="1:2" x14ac:dyDescent="0.25">
      <c r="A12858" s="75">
        <v>51142004</v>
      </c>
      <c r="B12858" s="76" t="s">
        <v>2587</v>
      </c>
    </row>
    <row r="12859" spans="1:2" x14ac:dyDescent="0.25">
      <c r="A12859" s="75">
        <v>51142005</v>
      </c>
      <c r="B12859" s="76" t="s">
        <v>2870</v>
      </c>
    </row>
    <row r="12860" spans="1:2" x14ac:dyDescent="0.25">
      <c r="A12860" s="75">
        <v>51142006</v>
      </c>
      <c r="B12860" s="76" t="s">
        <v>13970</v>
      </c>
    </row>
    <row r="12861" spans="1:2" x14ac:dyDescent="0.25">
      <c r="A12861" s="75">
        <v>51142009</v>
      </c>
      <c r="B12861" s="76" t="s">
        <v>19778</v>
      </c>
    </row>
    <row r="12862" spans="1:2" x14ac:dyDescent="0.25">
      <c r="A12862" s="75">
        <v>51142010</v>
      </c>
      <c r="B12862" s="76" t="s">
        <v>7655</v>
      </c>
    </row>
    <row r="12863" spans="1:2" x14ac:dyDescent="0.25">
      <c r="A12863" s="75">
        <v>51142011</v>
      </c>
      <c r="B12863" s="76" t="s">
        <v>11388</v>
      </c>
    </row>
    <row r="12864" spans="1:2" x14ac:dyDescent="0.25">
      <c r="A12864" s="75">
        <v>51142012</v>
      </c>
      <c r="B12864" s="76" t="s">
        <v>11708</v>
      </c>
    </row>
    <row r="12865" spans="1:2" x14ac:dyDescent="0.25">
      <c r="A12865" s="75">
        <v>51142013</v>
      </c>
      <c r="B12865" s="76" t="s">
        <v>9047</v>
      </c>
    </row>
    <row r="12866" spans="1:2" x14ac:dyDescent="0.25">
      <c r="A12866" s="75">
        <v>51142014</v>
      </c>
      <c r="B12866" s="76" t="s">
        <v>4041</v>
      </c>
    </row>
    <row r="12867" spans="1:2" x14ac:dyDescent="0.25">
      <c r="A12867" s="75">
        <v>51142015</v>
      </c>
      <c r="B12867" s="76" t="s">
        <v>19693</v>
      </c>
    </row>
    <row r="12868" spans="1:2" x14ac:dyDescent="0.25">
      <c r="A12868" s="75">
        <v>51142016</v>
      </c>
      <c r="B12868" s="76" t="s">
        <v>3738</v>
      </c>
    </row>
    <row r="12869" spans="1:2" x14ac:dyDescent="0.25">
      <c r="A12869" s="75">
        <v>51142017</v>
      </c>
      <c r="B12869" s="76" t="s">
        <v>14079</v>
      </c>
    </row>
    <row r="12870" spans="1:2" x14ac:dyDescent="0.25">
      <c r="A12870" s="75">
        <v>51142018</v>
      </c>
      <c r="B12870" s="76" t="s">
        <v>15770</v>
      </c>
    </row>
    <row r="12871" spans="1:2" x14ac:dyDescent="0.25">
      <c r="A12871" s="75">
        <v>51142101</v>
      </c>
      <c r="B12871" s="76" t="s">
        <v>14080</v>
      </c>
    </row>
    <row r="12872" spans="1:2" x14ac:dyDescent="0.25">
      <c r="A12872" s="75">
        <v>51142102</v>
      </c>
      <c r="B12872" s="76" t="s">
        <v>151</v>
      </c>
    </row>
    <row r="12873" spans="1:2" x14ac:dyDescent="0.25">
      <c r="A12873" s="75">
        <v>51142103</v>
      </c>
      <c r="B12873" s="76" t="s">
        <v>5288</v>
      </c>
    </row>
    <row r="12874" spans="1:2" x14ac:dyDescent="0.25">
      <c r="A12874" s="75">
        <v>51142104</v>
      </c>
      <c r="B12874" s="76" t="s">
        <v>2612</v>
      </c>
    </row>
    <row r="12875" spans="1:2" x14ac:dyDescent="0.25">
      <c r="A12875" s="75">
        <v>51142105</v>
      </c>
      <c r="B12875" s="76" t="s">
        <v>11975</v>
      </c>
    </row>
    <row r="12876" spans="1:2" x14ac:dyDescent="0.25">
      <c r="A12876" s="75">
        <v>51142106</v>
      </c>
      <c r="B12876" s="76" t="s">
        <v>18815</v>
      </c>
    </row>
    <row r="12877" spans="1:2" x14ac:dyDescent="0.25">
      <c r="A12877" s="75">
        <v>51142107</v>
      </c>
      <c r="B12877" s="76" t="s">
        <v>482</v>
      </c>
    </row>
    <row r="12878" spans="1:2" x14ac:dyDescent="0.25">
      <c r="A12878" s="75">
        <v>51142108</v>
      </c>
      <c r="B12878" s="76" t="s">
        <v>8643</v>
      </c>
    </row>
    <row r="12879" spans="1:2" x14ac:dyDescent="0.25">
      <c r="A12879" s="75">
        <v>51142109</v>
      </c>
      <c r="B12879" s="76" t="s">
        <v>11351</v>
      </c>
    </row>
    <row r="12880" spans="1:2" x14ac:dyDescent="0.25">
      <c r="A12880" s="75">
        <v>51142110</v>
      </c>
      <c r="B12880" s="76" t="s">
        <v>11237</v>
      </c>
    </row>
    <row r="12881" spans="1:2" x14ac:dyDescent="0.25">
      <c r="A12881" s="75">
        <v>51142111</v>
      </c>
      <c r="B12881" s="76" t="s">
        <v>2503</v>
      </c>
    </row>
    <row r="12882" spans="1:2" x14ac:dyDescent="0.25">
      <c r="A12882" s="75">
        <v>51142112</v>
      </c>
      <c r="B12882" s="76" t="s">
        <v>17442</v>
      </c>
    </row>
    <row r="12883" spans="1:2" x14ac:dyDescent="0.25">
      <c r="A12883" s="75">
        <v>51142113</v>
      </c>
      <c r="B12883" s="76" t="s">
        <v>14628</v>
      </c>
    </row>
    <row r="12884" spans="1:2" x14ac:dyDescent="0.25">
      <c r="A12884" s="75">
        <v>51142114</v>
      </c>
      <c r="B12884" s="76" t="s">
        <v>173</v>
      </c>
    </row>
    <row r="12885" spans="1:2" x14ac:dyDescent="0.25">
      <c r="A12885" s="75">
        <v>51142116</v>
      </c>
      <c r="B12885" s="76" t="s">
        <v>6748</v>
      </c>
    </row>
    <row r="12886" spans="1:2" x14ac:dyDescent="0.25">
      <c r="A12886" s="75">
        <v>51142117</v>
      </c>
      <c r="B12886" s="76" t="s">
        <v>6405</v>
      </c>
    </row>
    <row r="12887" spans="1:2" x14ac:dyDescent="0.25">
      <c r="A12887" s="75">
        <v>51142118</v>
      </c>
      <c r="B12887" s="76" t="s">
        <v>11267</v>
      </c>
    </row>
    <row r="12888" spans="1:2" x14ac:dyDescent="0.25">
      <c r="A12888" s="75">
        <v>51142119</v>
      </c>
      <c r="B12888" s="76" t="s">
        <v>16224</v>
      </c>
    </row>
    <row r="12889" spans="1:2" x14ac:dyDescent="0.25">
      <c r="A12889" s="75">
        <v>51142120</v>
      </c>
      <c r="B12889" s="76" t="s">
        <v>14276</v>
      </c>
    </row>
    <row r="12890" spans="1:2" x14ac:dyDescent="0.25">
      <c r="A12890" s="75">
        <v>51142121</v>
      </c>
      <c r="B12890" s="76" t="s">
        <v>3464</v>
      </c>
    </row>
    <row r="12891" spans="1:2" x14ac:dyDescent="0.25">
      <c r="A12891" s="75">
        <v>51142122</v>
      </c>
      <c r="B12891" s="76" t="s">
        <v>14754</v>
      </c>
    </row>
    <row r="12892" spans="1:2" x14ac:dyDescent="0.25">
      <c r="A12892" s="75">
        <v>51142123</v>
      </c>
      <c r="B12892" s="76" t="s">
        <v>17490</v>
      </c>
    </row>
    <row r="12893" spans="1:2" x14ac:dyDescent="0.25">
      <c r="A12893" s="75">
        <v>51142124</v>
      </c>
      <c r="B12893" s="76" t="s">
        <v>15197</v>
      </c>
    </row>
    <row r="12894" spans="1:2" x14ac:dyDescent="0.25">
      <c r="A12894" s="75">
        <v>51142125</v>
      </c>
      <c r="B12894" s="76" t="s">
        <v>7919</v>
      </c>
    </row>
    <row r="12895" spans="1:2" x14ac:dyDescent="0.25">
      <c r="A12895" s="75">
        <v>51142126</v>
      </c>
      <c r="B12895" s="76" t="s">
        <v>6339</v>
      </c>
    </row>
    <row r="12896" spans="1:2" x14ac:dyDescent="0.25">
      <c r="A12896" s="75">
        <v>51142127</v>
      </c>
      <c r="B12896" s="76" t="s">
        <v>5772</v>
      </c>
    </row>
    <row r="12897" spans="1:2" x14ac:dyDescent="0.25">
      <c r="A12897" s="75">
        <v>51142128</v>
      </c>
      <c r="B12897" s="76" t="s">
        <v>7533</v>
      </c>
    </row>
    <row r="12898" spans="1:2" x14ac:dyDescent="0.25">
      <c r="A12898" s="75">
        <v>51142129</v>
      </c>
      <c r="B12898" s="76" t="s">
        <v>607</v>
      </c>
    </row>
    <row r="12899" spans="1:2" x14ac:dyDescent="0.25">
      <c r="A12899" s="75">
        <v>51142130</v>
      </c>
      <c r="B12899" s="76" t="s">
        <v>13700</v>
      </c>
    </row>
    <row r="12900" spans="1:2" x14ac:dyDescent="0.25">
      <c r="A12900" s="75">
        <v>51142131</v>
      </c>
      <c r="B12900" s="76" t="s">
        <v>17004</v>
      </c>
    </row>
    <row r="12901" spans="1:2" x14ac:dyDescent="0.25">
      <c r="A12901" s="75">
        <v>51142132</v>
      </c>
      <c r="B12901" s="76" t="s">
        <v>7591</v>
      </c>
    </row>
    <row r="12902" spans="1:2" x14ac:dyDescent="0.25">
      <c r="A12902" s="75">
        <v>51142133</v>
      </c>
      <c r="B12902" s="76" t="s">
        <v>16319</v>
      </c>
    </row>
    <row r="12903" spans="1:2" x14ac:dyDescent="0.25">
      <c r="A12903" s="75">
        <v>51142134</v>
      </c>
      <c r="B12903" s="76" t="s">
        <v>2771</v>
      </c>
    </row>
    <row r="12904" spans="1:2" x14ac:dyDescent="0.25">
      <c r="A12904" s="75">
        <v>51142135</v>
      </c>
      <c r="B12904" s="76" t="s">
        <v>9824</v>
      </c>
    </row>
    <row r="12905" spans="1:2" x14ac:dyDescent="0.25">
      <c r="A12905" s="75">
        <v>51142136</v>
      </c>
      <c r="B12905" s="76" t="s">
        <v>1831</v>
      </c>
    </row>
    <row r="12906" spans="1:2" x14ac:dyDescent="0.25">
      <c r="A12906" s="75">
        <v>51142137</v>
      </c>
      <c r="B12906" s="76" t="s">
        <v>14364</v>
      </c>
    </row>
    <row r="12907" spans="1:2" x14ac:dyDescent="0.25">
      <c r="A12907" s="75">
        <v>51142138</v>
      </c>
      <c r="B12907" s="76" t="s">
        <v>2664</v>
      </c>
    </row>
    <row r="12908" spans="1:2" x14ac:dyDescent="0.25">
      <c r="A12908" s="75">
        <v>51142139</v>
      </c>
      <c r="B12908" s="76" t="s">
        <v>9731</v>
      </c>
    </row>
    <row r="12909" spans="1:2" x14ac:dyDescent="0.25">
      <c r="A12909" s="75">
        <v>51142140</v>
      </c>
      <c r="B12909" s="76" t="s">
        <v>6031</v>
      </c>
    </row>
    <row r="12910" spans="1:2" x14ac:dyDescent="0.25">
      <c r="A12910" s="75">
        <v>51142141</v>
      </c>
      <c r="B12910" s="76" t="s">
        <v>3483</v>
      </c>
    </row>
    <row r="12911" spans="1:2" x14ac:dyDescent="0.25">
      <c r="A12911" s="75">
        <v>51142142</v>
      </c>
      <c r="B12911" s="76" t="s">
        <v>17219</v>
      </c>
    </row>
    <row r="12912" spans="1:2" x14ac:dyDescent="0.25">
      <c r="A12912" s="75">
        <v>51142143</v>
      </c>
      <c r="B12912" s="76" t="s">
        <v>3106</v>
      </c>
    </row>
    <row r="12913" spans="1:2" x14ac:dyDescent="0.25">
      <c r="A12913" s="75">
        <v>51142144</v>
      </c>
      <c r="B12913" s="76" t="s">
        <v>1471</v>
      </c>
    </row>
    <row r="12914" spans="1:2" x14ac:dyDescent="0.25">
      <c r="A12914" s="75">
        <v>51142145</v>
      </c>
      <c r="B12914" s="76" t="s">
        <v>16101</v>
      </c>
    </row>
    <row r="12915" spans="1:2" x14ac:dyDescent="0.25">
      <c r="A12915" s="75">
        <v>51142146</v>
      </c>
      <c r="B12915" s="76" t="s">
        <v>10184</v>
      </c>
    </row>
    <row r="12916" spans="1:2" x14ac:dyDescent="0.25">
      <c r="A12916" s="75">
        <v>51142147</v>
      </c>
      <c r="B12916" s="76" t="s">
        <v>19439</v>
      </c>
    </row>
    <row r="12917" spans="1:2" x14ac:dyDescent="0.25">
      <c r="A12917" s="75">
        <v>51142148</v>
      </c>
      <c r="B12917" s="76" t="s">
        <v>6565</v>
      </c>
    </row>
    <row r="12918" spans="1:2" x14ac:dyDescent="0.25">
      <c r="A12918" s="75">
        <v>51142149</v>
      </c>
      <c r="B12918" s="76" t="s">
        <v>9433</v>
      </c>
    </row>
    <row r="12919" spans="1:2" x14ac:dyDescent="0.25">
      <c r="A12919" s="75">
        <v>51142201</v>
      </c>
      <c r="B12919" s="76" t="s">
        <v>7465</v>
      </c>
    </row>
    <row r="12920" spans="1:2" x14ac:dyDescent="0.25">
      <c r="A12920" s="75">
        <v>51142202</v>
      </c>
      <c r="B12920" s="76" t="s">
        <v>18120</v>
      </c>
    </row>
    <row r="12921" spans="1:2" x14ac:dyDescent="0.25">
      <c r="A12921" s="75">
        <v>51142203</v>
      </c>
      <c r="B12921" s="76" t="s">
        <v>6789</v>
      </c>
    </row>
    <row r="12922" spans="1:2" x14ac:dyDescent="0.25">
      <c r="A12922" s="75">
        <v>51142205</v>
      </c>
      <c r="B12922" s="76" t="s">
        <v>17404</v>
      </c>
    </row>
    <row r="12923" spans="1:2" x14ac:dyDescent="0.25">
      <c r="A12923" s="75">
        <v>51142206</v>
      </c>
      <c r="B12923" s="76" t="s">
        <v>15460</v>
      </c>
    </row>
    <row r="12924" spans="1:2" x14ac:dyDescent="0.25">
      <c r="A12924" s="75">
        <v>51142207</v>
      </c>
      <c r="B12924" s="76" t="s">
        <v>18400</v>
      </c>
    </row>
    <row r="12925" spans="1:2" x14ac:dyDescent="0.25">
      <c r="A12925" s="75">
        <v>51142208</v>
      </c>
      <c r="B12925" s="76" t="s">
        <v>18769</v>
      </c>
    </row>
    <row r="12926" spans="1:2" x14ac:dyDescent="0.25">
      <c r="A12926" s="75">
        <v>51142209</v>
      </c>
      <c r="B12926" s="76" t="s">
        <v>8394</v>
      </c>
    </row>
    <row r="12927" spans="1:2" x14ac:dyDescent="0.25">
      <c r="A12927" s="75">
        <v>51142210</v>
      </c>
      <c r="B12927" s="76" t="s">
        <v>4345</v>
      </c>
    </row>
    <row r="12928" spans="1:2" x14ac:dyDescent="0.25">
      <c r="A12928" s="75">
        <v>51142211</v>
      </c>
      <c r="B12928" s="76" t="s">
        <v>19607</v>
      </c>
    </row>
    <row r="12929" spans="1:2" x14ac:dyDescent="0.25">
      <c r="A12929" s="75">
        <v>51142212</v>
      </c>
      <c r="B12929" s="76" t="s">
        <v>2086</v>
      </c>
    </row>
    <row r="12930" spans="1:2" x14ac:dyDescent="0.25">
      <c r="A12930" s="75">
        <v>51142213</v>
      </c>
      <c r="B12930" s="76" t="s">
        <v>19190</v>
      </c>
    </row>
    <row r="12931" spans="1:2" x14ac:dyDescent="0.25">
      <c r="A12931" s="75">
        <v>51142214</v>
      </c>
      <c r="B12931" s="76" t="s">
        <v>425</v>
      </c>
    </row>
    <row r="12932" spans="1:2" x14ac:dyDescent="0.25">
      <c r="A12932" s="75">
        <v>51142215</v>
      </c>
      <c r="B12932" s="76" t="s">
        <v>16952</v>
      </c>
    </row>
    <row r="12933" spans="1:2" x14ac:dyDescent="0.25">
      <c r="A12933" s="75">
        <v>51142216</v>
      </c>
      <c r="B12933" s="76" t="s">
        <v>7677</v>
      </c>
    </row>
    <row r="12934" spans="1:2" x14ac:dyDescent="0.25">
      <c r="A12934" s="75">
        <v>51142217</v>
      </c>
      <c r="B12934" s="76" t="s">
        <v>8005</v>
      </c>
    </row>
    <row r="12935" spans="1:2" x14ac:dyDescent="0.25">
      <c r="A12935" s="75">
        <v>51142218</v>
      </c>
      <c r="B12935" s="76" t="s">
        <v>17796</v>
      </c>
    </row>
    <row r="12936" spans="1:2" x14ac:dyDescent="0.25">
      <c r="A12936" s="75">
        <v>51142219</v>
      </c>
      <c r="B12936" s="76" t="s">
        <v>465</v>
      </c>
    </row>
    <row r="12937" spans="1:2" x14ac:dyDescent="0.25">
      <c r="A12937" s="75">
        <v>51142220</v>
      </c>
      <c r="B12937" s="76" t="s">
        <v>12694</v>
      </c>
    </row>
    <row r="12938" spans="1:2" x14ac:dyDescent="0.25">
      <c r="A12938" s="75">
        <v>51142221</v>
      </c>
      <c r="B12938" s="76" t="s">
        <v>12026</v>
      </c>
    </row>
    <row r="12939" spans="1:2" x14ac:dyDescent="0.25">
      <c r="A12939" s="75">
        <v>51142222</v>
      </c>
      <c r="B12939" s="76" t="s">
        <v>5447</v>
      </c>
    </row>
    <row r="12940" spans="1:2" x14ac:dyDescent="0.25">
      <c r="A12940" s="75">
        <v>51142223</v>
      </c>
      <c r="B12940" s="76" t="s">
        <v>121</v>
      </c>
    </row>
    <row r="12941" spans="1:2" x14ac:dyDescent="0.25">
      <c r="A12941" s="75">
        <v>51142224</v>
      </c>
      <c r="B12941" s="76" t="s">
        <v>5503</v>
      </c>
    </row>
    <row r="12942" spans="1:2" x14ac:dyDescent="0.25">
      <c r="A12942" s="75">
        <v>51142225</v>
      </c>
      <c r="B12942" s="76" t="s">
        <v>4767</v>
      </c>
    </row>
    <row r="12943" spans="1:2" x14ac:dyDescent="0.25">
      <c r="A12943" s="75">
        <v>51142226</v>
      </c>
      <c r="B12943" s="76" t="s">
        <v>8835</v>
      </c>
    </row>
    <row r="12944" spans="1:2" x14ac:dyDescent="0.25">
      <c r="A12944" s="75">
        <v>51142227</v>
      </c>
      <c r="B12944" s="76" t="s">
        <v>4205</v>
      </c>
    </row>
    <row r="12945" spans="1:2" x14ac:dyDescent="0.25">
      <c r="A12945" s="75">
        <v>51142228</v>
      </c>
      <c r="B12945" s="76" t="s">
        <v>10419</v>
      </c>
    </row>
    <row r="12946" spans="1:2" x14ac:dyDescent="0.25">
      <c r="A12946" s="75">
        <v>51142229</v>
      </c>
      <c r="B12946" s="76" t="s">
        <v>193</v>
      </c>
    </row>
    <row r="12947" spans="1:2" x14ac:dyDescent="0.25">
      <c r="A12947" s="75">
        <v>51142230</v>
      </c>
      <c r="B12947" s="76" t="s">
        <v>3904</v>
      </c>
    </row>
    <row r="12948" spans="1:2" x14ac:dyDescent="0.25">
      <c r="A12948" s="75">
        <v>51142231</v>
      </c>
      <c r="B12948" s="76" t="s">
        <v>4441</v>
      </c>
    </row>
    <row r="12949" spans="1:2" x14ac:dyDescent="0.25">
      <c r="A12949" s="75">
        <v>51142232</v>
      </c>
      <c r="B12949" s="76" t="s">
        <v>2568</v>
      </c>
    </row>
    <row r="12950" spans="1:2" x14ac:dyDescent="0.25">
      <c r="A12950" s="75">
        <v>51142233</v>
      </c>
      <c r="B12950" s="76" t="s">
        <v>9008</v>
      </c>
    </row>
    <row r="12951" spans="1:2" x14ac:dyDescent="0.25">
      <c r="A12951" s="75">
        <v>51142234</v>
      </c>
      <c r="B12951" s="76" t="s">
        <v>1548</v>
      </c>
    </row>
    <row r="12952" spans="1:2" x14ac:dyDescent="0.25">
      <c r="A12952" s="75">
        <v>51142235</v>
      </c>
      <c r="B12952" s="76" t="s">
        <v>5018</v>
      </c>
    </row>
    <row r="12953" spans="1:2" x14ac:dyDescent="0.25">
      <c r="A12953" s="75">
        <v>51142236</v>
      </c>
      <c r="B12953" s="76" t="s">
        <v>9191</v>
      </c>
    </row>
    <row r="12954" spans="1:2" x14ac:dyDescent="0.25">
      <c r="A12954" s="75">
        <v>51142237</v>
      </c>
      <c r="B12954" s="76" t="s">
        <v>16027</v>
      </c>
    </row>
    <row r="12955" spans="1:2" x14ac:dyDescent="0.25">
      <c r="A12955" s="75">
        <v>51142301</v>
      </c>
      <c r="B12955" s="76" t="s">
        <v>2600</v>
      </c>
    </row>
    <row r="12956" spans="1:2" x14ac:dyDescent="0.25">
      <c r="A12956" s="75">
        <v>51142302</v>
      </c>
      <c r="B12956" s="76" t="s">
        <v>15405</v>
      </c>
    </row>
    <row r="12957" spans="1:2" x14ac:dyDescent="0.25">
      <c r="A12957" s="75">
        <v>51142303</v>
      </c>
      <c r="B12957" s="76" t="s">
        <v>134</v>
      </c>
    </row>
    <row r="12958" spans="1:2" x14ac:dyDescent="0.25">
      <c r="A12958" s="75">
        <v>51142304</v>
      </c>
      <c r="B12958" s="76" t="s">
        <v>18663</v>
      </c>
    </row>
    <row r="12959" spans="1:2" x14ac:dyDescent="0.25">
      <c r="A12959" s="75">
        <v>51142305</v>
      </c>
      <c r="B12959" s="76" t="s">
        <v>11369</v>
      </c>
    </row>
    <row r="12960" spans="1:2" x14ac:dyDescent="0.25">
      <c r="A12960" s="75">
        <v>51142401</v>
      </c>
      <c r="B12960" s="76" t="s">
        <v>7928</v>
      </c>
    </row>
    <row r="12961" spans="1:2" x14ac:dyDescent="0.25">
      <c r="A12961" s="75">
        <v>51142402</v>
      </c>
      <c r="B12961" s="76" t="s">
        <v>15608</v>
      </c>
    </row>
    <row r="12962" spans="1:2" x14ac:dyDescent="0.25">
      <c r="A12962" s="75">
        <v>51142403</v>
      </c>
      <c r="B12962" s="76" t="s">
        <v>10273</v>
      </c>
    </row>
    <row r="12963" spans="1:2" x14ac:dyDescent="0.25">
      <c r="A12963" s="75">
        <v>51142404</v>
      </c>
      <c r="B12963" s="76" t="s">
        <v>5754</v>
      </c>
    </row>
    <row r="12964" spans="1:2" x14ac:dyDescent="0.25">
      <c r="A12964" s="75">
        <v>51142405</v>
      </c>
      <c r="B12964" s="76" t="s">
        <v>17210</v>
      </c>
    </row>
    <row r="12965" spans="1:2" x14ac:dyDescent="0.25">
      <c r="A12965" s="75">
        <v>51142406</v>
      </c>
      <c r="B12965" s="76" t="s">
        <v>10314</v>
      </c>
    </row>
    <row r="12966" spans="1:2" x14ac:dyDescent="0.25">
      <c r="A12966" s="75">
        <v>51142407</v>
      </c>
      <c r="B12966" s="76" t="s">
        <v>299</v>
      </c>
    </row>
    <row r="12967" spans="1:2" x14ac:dyDescent="0.25">
      <c r="A12967" s="75">
        <v>51142408</v>
      </c>
      <c r="B12967" s="76" t="s">
        <v>12709</v>
      </c>
    </row>
    <row r="12968" spans="1:2" x14ac:dyDescent="0.25">
      <c r="A12968" s="75">
        <v>51142409</v>
      </c>
      <c r="B12968" s="76" t="s">
        <v>8547</v>
      </c>
    </row>
    <row r="12969" spans="1:2" x14ac:dyDescent="0.25">
      <c r="A12969" s="75">
        <v>51142410</v>
      </c>
      <c r="B12969" s="76" t="s">
        <v>14181</v>
      </c>
    </row>
    <row r="12970" spans="1:2" x14ac:dyDescent="0.25">
      <c r="A12970" s="75">
        <v>51142411</v>
      </c>
      <c r="B12970" s="76" t="s">
        <v>5574</v>
      </c>
    </row>
    <row r="12971" spans="1:2" x14ac:dyDescent="0.25">
      <c r="A12971" s="75">
        <v>51142412</v>
      </c>
      <c r="B12971" s="76" t="s">
        <v>17893</v>
      </c>
    </row>
    <row r="12972" spans="1:2" x14ac:dyDescent="0.25">
      <c r="A12972" s="75">
        <v>51142413</v>
      </c>
      <c r="B12972" s="76" t="s">
        <v>9043</v>
      </c>
    </row>
    <row r="12973" spans="1:2" x14ac:dyDescent="0.25">
      <c r="A12973" s="75">
        <v>51142414</v>
      </c>
      <c r="B12973" s="76" t="s">
        <v>19639</v>
      </c>
    </row>
    <row r="12974" spans="1:2" x14ac:dyDescent="0.25">
      <c r="A12974" s="75">
        <v>51142501</v>
      </c>
      <c r="B12974" s="76" t="s">
        <v>6416</v>
      </c>
    </row>
    <row r="12975" spans="1:2" x14ac:dyDescent="0.25">
      <c r="A12975" s="75">
        <v>51142502</v>
      </c>
      <c r="B12975" s="76" t="s">
        <v>18452</v>
      </c>
    </row>
    <row r="12976" spans="1:2" x14ac:dyDescent="0.25">
      <c r="A12976" s="75">
        <v>51142503</v>
      </c>
      <c r="B12976" s="76" t="s">
        <v>13449</v>
      </c>
    </row>
    <row r="12977" spans="1:2" x14ac:dyDescent="0.25">
      <c r="A12977" s="75">
        <v>51142504</v>
      </c>
      <c r="B12977" s="76" t="s">
        <v>7415</v>
      </c>
    </row>
    <row r="12978" spans="1:2" x14ac:dyDescent="0.25">
      <c r="A12978" s="75">
        <v>51142505</v>
      </c>
      <c r="B12978" s="76" t="s">
        <v>5438</v>
      </c>
    </row>
    <row r="12979" spans="1:2" x14ac:dyDescent="0.25">
      <c r="A12979" s="75">
        <v>51142506</v>
      </c>
      <c r="B12979" s="76" t="s">
        <v>14912</v>
      </c>
    </row>
    <row r="12980" spans="1:2" x14ac:dyDescent="0.25">
      <c r="A12980" s="75">
        <v>51142507</v>
      </c>
      <c r="B12980" s="76" t="s">
        <v>12863</v>
      </c>
    </row>
    <row r="12981" spans="1:2" x14ac:dyDescent="0.25">
      <c r="A12981" s="75">
        <v>51142508</v>
      </c>
      <c r="B12981" s="76" t="s">
        <v>17340</v>
      </c>
    </row>
    <row r="12982" spans="1:2" x14ac:dyDescent="0.25">
      <c r="A12982" s="75">
        <v>51142509</v>
      </c>
      <c r="B12982" s="76" t="s">
        <v>14012</v>
      </c>
    </row>
    <row r="12983" spans="1:2" x14ac:dyDescent="0.25">
      <c r="A12983" s="75">
        <v>51142510</v>
      </c>
      <c r="B12983" s="76" t="s">
        <v>678</v>
      </c>
    </row>
    <row r="12984" spans="1:2" x14ac:dyDescent="0.25">
      <c r="A12984" s="75">
        <v>51142601</v>
      </c>
      <c r="B12984" s="76" t="s">
        <v>16433</v>
      </c>
    </row>
    <row r="12985" spans="1:2" x14ac:dyDescent="0.25">
      <c r="A12985" s="75">
        <v>51142602</v>
      </c>
      <c r="B12985" s="76" t="s">
        <v>19145</v>
      </c>
    </row>
    <row r="12986" spans="1:2" x14ac:dyDescent="0.25">
      <c r="A12986" s="75">
        <v>51142603</v>
      </c>
      <c r="B12986" s="76" t="s">
        <v>2178</v>
      </c>
    </row>
    <row r="12987" spans="1:2" x14ac:dyDescent="0.25">
      <c r="A12987" s="75">
        <v>51142604</v>
      </c>
      <c r="B12987" s="76" t="s">
        <v>8862</v>
      </c>
    </row>
    <row r="12988" spans="1:2" x14ac:dyDescent="0.25">
      <c r="A12988" s="75">
        <v>51142605</v>
      </c>
      <c r="B12988" s="76" t="s">
        <v>14005</v>
      </c>
    </row>
    <row r="12989" spans="1:2" x14ac:dyDescent="0.25">
      <c r="A12989" s="75">
        <v>51142606</v>
      </c>
      <c r="B12989" s="76" t="s">
        <v>15779</v>
      </c>
    </row>
    <row r="12990" spans="1:2" x14ac:dyDescent="0.25">
      <c r="A12990" s="75">
        <v>51142607</v>
      </c>
      <c r="B12990" s="76" t="s">
        <v>13529</v>
      </c>
    </row>
    <row r="12991" spans="1:2" x14ac:dyDescent="0.25">
      <c r="A12991" s="75">
        <v>51142608</v>
      </c>
      <c r="B12991" s="76" t="s">
        <v>18535</v>
      </c>
    </row>
    <row r="12992" spans="1:2" x14ac:dyDescent="0.25">
      <c r="A12992" s="75">
        <v>51142609</v>
      </c>
      <c r="B12992" s="76" t="s">
        <v>1070</v>
      </c>
    </row>
    <row r="12993" spans="1:2" x14ac:dyDescent="0.25">
      <c r="A12993" s="75">
        <v>51142610</v>
      </c>
      <c r="B12993" s="76" t="s">
        <v>13888</v>
      </c>
    </row>
    <row r="12994" spans="1:2" x14ac:dyDescent="0.25">
      <c r="A12994" s="75">
        <v>51142611</v>
      </c>
      <c r="B12994" s="76" t="s">
        <v>15316</v>
      </c>
    </row>
    <row r="12995" spans="1:2" x14ac:dyDescent="0.25">
      <c r="A12995" s="75">
        <v>51142612</v>
      </c>
      <c r="B12995" s="76" t="s">
        <v>10862</v>
      </c>
    </row>
    <row r="12996" spans="1:2" x14ac:dyDescent="0.25">
      <c r="A12996" s="75">
        <v>51142613</v>
      </c>
      <c r="B12996" s="76" t="s">
        <v>529</v>
      </c>
    </row>
    <row r="12997" spans="1:2" x14ac:dyDescent="0.25">
      <c r="A12997" s="75">
        <v>51142614</v>
      </c>
      <c r="B12997" s="76" t="s">
        <v>10016</v>
      </c>
    </row>
    <row r="12998" spans="1:2" x14ac:dyDescent="0.25">
      <c r="A12998" s="75">
        <v>51142615</v>
      </c>
      <c r="B12998" s="76" t="s">
        <v>5918</v>
      </c>
    </row>
    <row r="12999" spans="1:2" x14ac:dyDescent="0.25">
      <c r="A12999" s="75">
        <v>51142616</v>
      </c>
      <c r="B12999" s="76" t="s">
        <v>3306</v>
      </c>
    </row>
    <row r="13000" spans="1:2" x14ac:dyDescent="0.25">
      <c r="A13000" s="75">
        <v>51142617</v>
      </c>
      <c r="B13000" s="76" t="s">
        <v>12142</v>
      </c>
    </row>
    <row r="13001" spans="1:2" x14ac:dyDescent="0.25">
      <c r="A13001" s="75">
        <v>51142618</v>
      </c>
      <c r="B13001" s="76" t="s">
        <v>10595</v>
      </c>
    </row>
    <row r="13002" spans="1:2" x14ac:dyDescent="0.25">
      <c r="A13002" s="75">
        <v>51142619</v>
      </c>
      <c r="B13002" s="76" t="s">
        <v>13992</v>
      </c>
    </row>
    <row r="13003" spans="1:2" x14ac:dyDescent="0.25">
      <c r="A13003" s="75">
        <v>51142701</v>
      </c>
      <c r="B13003" s="76" t="s">
        <v>19122</v>
      </c>
    </row>
    <row r="13004" spans="1:2" x14ac:dyDescent="0.25">
      <c r="A13004" s="75">
        <v>51142702</v>
      </c>
      <c r="B13004" s="76" t="s">
        <v>16488</v>
      </c>
    </row>
    <row r="13005" spans="1:2" x14ac:dyDescent="0.25">
      <c r="A13005" s="75">
        <v>51142801</v>
      </c>
      <c r="B13005" s="76" t="s">
        <v>15161</v>
      </c>
    </row>
    <row r="13006" spans="1:2" x14ac:dyDescent="0.25">
      <c r="A13006" s="75">
        <v>51142901</v>
      </c>
      <c r="B13006" s="76" t="s">
        <v>13662</v>
      </c>
    </row>
    <row r="13007" spans="1:2" x14ac:dyDescent="0.25">
      <c r="A13007" s="75">
        <v>51142902</v>
      </c>
      <c r="B13007" s="76" t="s">
        <v>19001</v>
      </c>
    </row>
    <row r="13008" spans="1:2" x14ac:dyDescent="0.25">
      <c r="A13008" s="75">
        <v>51142903</v>
      </c>
      <c r="B13008" s="76" t="s">
        <v>17578</v>
      </c>
    </row>
    <row r="13009" spans="1:2" x14ac:dyDescent="0.25">
      <c r="A13009" s="75">
        <v>51142904</v>
      </c>
      <c r="B13009" s="76" t="s">
        <v>11296</v>
      </c>
    </row>
    <row r="13010" spans="1:2" x14ac:dyDescent="0.25">
      <c r="A13010" s="75">
        <v>51142905</v>
      </c>
      <c r="B13010" s="76" t="s">
        <v>3626</v>
      </c>
    </row>
    <row r="13011" spans="1:2" x14ac:dyDescent="0.25">
      <c r="A13011" s="75">
        <v>51142906</v>
      </c>
      <c r="B13011" s="76" t="s">
        <v>15294</v>
      </c>
    </row>
    <row r="13012" spans="1:2" x14ac:dyDescent="0.25">
      <c r="A13012" s="75">
        <v>51142907</v>
      </c>
      <c r="B13012" s="76" t="s">
        <v>1771</v>
      </c>
    </row>
    <row r="13013" spans="1:2" x14ac:dyDescent="0.25">
      <c r="A13013" s="75">
        <v>51142908</v>
      </c>
      <c r="B13013" s="76" t="s">
        <v>14859</v>
      </c>
    </row>
    <row r="13014" spans="1:2" x14ac:dyDescent="0.25">
      <c r="A13014" s="75">
        <v>51142909</v>
      </c>
      <c r="B13014" s="76" t="s">
        <v>70</v>
      </c>
    </row>
    <row r="13015" spans="1:2" x14ac:dyDescent="0.25">
      <c r="A13015" s="75">
        <v>51142910</v>
      </c>
      <c r="B13015" s="76" t="s">
        <v>13211</v>
      </c>
    </row>
    <row r="13016" spans="1:2" x14ac:dyDescent="0.25">
      <c r="A13016" s="75">
        <v>51142911</v>
      </c>
      <c r="B13016" s="76" t="s">
        <v>11327</v>
      </c>
    </row>
    <row r="13017" spans="1:2" x14ac:dyDescent="0.25">
      <c r="A13017" s="75">
        <v>51142912</v>
      </c>
      <c r="B13017" s="76" t="s">
        <v>13832</v>
      </c>
    </row>
    <row r="13018" spans="1:2" x14ac:dyDescent="0.25">
      <c r="A13018" s="75">
        <v>51142913</v>
      </c>
      <c r="B13018" s="76" t="s">
        <v>14002</v>
      </c>
    </row>
    <row r="13019" spans="1:2" x14ac:dyDescent="0.25">
      <c r="A13019" s="75">
        <v>51142914</v>
      </c>
      <c r="B13019" s="76" t="s">
        <v>1941</v>
      </c>
    </row>
    <row r="13020" spans="1:2" x14ac:dyDescent="0.25">
      <c r="A13020" s="75">
        <v>51142915</v>
      </c>
      <c r="B13020" s="76" t="s">
        <v>15238</v>
      </c>
    </row>
    <row r="13021" spans="1:2" x14ac:dyDescent="0.25">
      <c r="A13021" s="75">
        <v>51142916</v>
      </c>
      <c r="B13021" s="76" t="s">
        <v>19116</v>
      </c>
    </row>
    <row r="13022" spans="1:2" x14ac:dyDescent="0.25">
      <c r="A13022" s="75">
        <v>51142917</v>
      </c>
      <c r="B13022" s="76" t="s">
        <v>370</v>
      </c>
    </row>
    <row r="13023" spans="1:2" x14ac:dyDescent="0.25">
      <c r="A13023" s="75">
        <v>51142918</v>
      </c>
      <c r="B13023" s="76" t="s">
        <v>1846</v>
      </c>
    </row>
    <row r="13024" spans="1:2" x14ac:dyDescent="0.25">
      <c r="A13024" s="75">
        <v>51142919</v>
      </c>
      <c r="B13024" s="76" t="s">
        <v>12082</v>
      </c>
    </row>
    <row r="13025" spans="1:2" x14ac:dyDescent="0.25">
      <c r="A13025" s="75">
        <v>51142920</v>
      </c>
      <c r="B13025" s="76" t="s">
        <v>15713</v>
      </c>
    </row>
    <row r="13026" spans="1:2" x14ac:dyDescent="0.25">
      <c r="A13026" s="75">
        <v>51142921</v>
      </c>
      <c r="B13026" s="76" t="s">
        <v>7551</v>
      </c>
    </row>
    <row r="13027" spans="1:2" x14ac:dyDescent="0.25">
      <c r="A13027" s="75">
        <v>51142922</v>
      </c>
      <c r="B13027" s="76" t="s">
        <v>981</v>
      </c>
    </row>
    <row r="13028" spans="1:2" x14ac:dyDescent="0.25">
      <c r="A13028" s="75">
        <v>51142923</v>
      </c>
      <c r="B13028" s="76" t="s">
        <v>9649</v>
      </c>
    </row>
    <row r="13029" spans="1:2" x14ac:dyDescent="0.25">
      <c r="A13029" s="75">
        <v>51142924</v>
      </c>
      <c r="B13029" s="76" t="s">
        <v>245</v>
      </c>
    </row>
    <row r="13030" spans="1:2" x14ac:dyDescent="0.25">
      <c r="A13030" s="75">
        <v>51142925</v>
      </c>
      <c r="B13030" s="76" t="s">
        <v>18671</v>
      </c>
    </row>
    <row r="13031" spans="1:2" x14ac:dyDescent="0.25">
      <c r="A13031" s="75">
        <v>51142926</v>
      </c>
      <c r="B13031" s="76" t="s">
        <v>13792</v>
      </c>
    </row>
    <row r="13032" spans="1:2" x14ac:dyDescent="0.25">
      <c r="A13032" s="75">
        <v>51142927</v>
      </c>
      <c r="B13032" s="76" t="s">
        <v>19883</v>
      </c>
    </row>
    <row r="13033" spans="1:2" x14ac:dyDescent="0.25">
      <c r="A13033" s="75">
        <v>51142928</v>
      </c>
      <c r="B13033" s="76" t="s">
        <v>3676</v>
      </c>
    </row>
    <row r="13034" spans="1:2" x14ac:dyDescent="0.25">
      <c r="A13034" s="75">
        <v>51142929</v>
      </c>
      <c r="B13034" s="76" t="s">
        <v>15386</v>
      </c>
    </row>
    <row r="13035" spans="1:2" x14ac:dyDescent="0.25">
      <c r="A13035" s="75">
        <v>51142930</v>
      </c>
      <c r="B13035" s="76" t="s">
        <v>4387</v>
      </c>
    </row>
    <row r="13036" spans="1:2" x14ac:dyDescent="0.25">
      <c r="A13036" s="75">
        <v>51142931</v>
      </c>
      <c r="B13036" s="76" t="s">
        <v>11365</v>
      </c>
    </row>
    <row r="13037" spans="1:2" x14ac:dyDescent="0.25">
      <c r="A13037" s="75">
        <v>51142932</v>
      </c>
      <c r="B13037" s="76" t="s">
        <v>10524</v>
      </c>
    </row>
    <row r="13038" spans="1:2" x14ac:dyDescent="0.25">
      <c r="A13038" s="75">
        <v>51142933</v>
      </c>
      <c r="B13038" s="76" t="s">
        <v>15565</v>
      </c>
    </row>
    <row r="13039" spans="1:2" x14ac:dyDescent="0.25">
      <c r="A13039" s="75">
        <v>51142934</v>
      </c>
      <c r="B13039" s="76" t="s">
        <v>16173</v>
      </c>
    </row>
    <row r="13040" spans="1:2" x14ac:dyDescent="0.25">
      <c r="A13040" s="75">
        <v>51142935</v>
      </c>
      <c r="B13040" s="76" t="s">
        <v>1268</v>
      </c>
    </row>
    <row r="13041" spans="1:2" x14ac:dyDescent="0.25">
      <c r="A13041" s="75">
        <v>51142936</v>
      </c>
      <c r="B13041" s="76" t="s">
        <v>14510</v>
      </c>
    </row>
    <row r="13042" spans="1:2" x14ac:dyDescent="0.25">
      <c r="A13042" s="75">
        <v>51142937</v>
      </c>
      <c r="B13042" s="76" t="s">
        <v>17985</v>
      </c>
    </row>
    <row r="13043" spans="1:2" x14ac:dyDescent="0.25">
      <c r="A13043" s="75">
        <v>51142938</v>
      </c>
      <c r="B13043" s="76" t="s">
        <v>19430</v>
      </c>
    </row>
    <row r="13044" spans="1:2" x14ac:dyDescent="0.25">
      <c r="A13044" s="75">
        <v>51142939</v>
      </c>
      <c r="B13044" s="76" t="s">
        <v>13563</v>
      </c>
    </row>
    <row r="13045" spans="1:2" x14ac:dyDescent="0.25">
      <c r="A13045" s="75">
        <v>51142940</v>
      </c>
      <c r="B13045" s="76" t="s">
        <v>13580</v>
      </c>
    </row>
    <row r="13046" spans="1:2" x14ac:dyDescent="0.25">
      <c r="A13046" s="75">
        <v>51142941</v>
      </c>
      <c r="B13046" s="76" t="s">
        <v>10061</v>
      </c>
    </row>
    <row r="13047" spans="1:2" x14ac:dyDescent="0.25">
      <c r="A13047" s="75">
        <v>51142942</v>
      </c>
      <c r="B13047" s="76" t="s">
        <v>295</v>
      </c>
    </row>
    <row r="13048" spans="1:2" x14ac:dyDescent="0.25">
      <c r="A13048" s="75">
        <v>51142943</v>
      </c>
      <c r="B13048" s="76" t="s">
        <v>3586</v>
      </c>
    </row>
    <row r="13049" spans="1:2" x14ac:dyDescent="0.25">
      <c r="A13049" s="75">
        <v>51142944</v>
      </c>
      <c r="B13049" s="76" t="s">
        <v>6500</v>
      </c>
    </row>
    <row r="13050" spans="1:2" x14ac:dyDescent="0.25">
      <c r="A13050" s="75">
        <v>51142945</v>
      </c>
      <c r="B13050" s="76" t="s">
        <v>15069</v>
      </c>
    </row>
    <row r="13051" spans="1:2" x14ac:dyDescent="0.25">
      <c r="A13051" s="75">
        <v>51142946</v>
      </c>
      <c r="B13051" s="76" t="s">
        <v>7765</v>
      </c>
    </row>
    <row r="13052" spans="1:2" x14ac:dyDescent="0.25">
      <c r="A13052" s="75">
        <v>51142947</v>
      </c>
      <c r="B13052" s="76" t="s">
        <v>18297</v>
      </c>
    </row>
    <row r="13053" spans="1:2" x14ac:dyDescent="0.25">
      <c r="A13053" s="75">
        <v>51151501</v>
      </c>
      <c r="B13053" s="76" t="s">
        <v>554</v>
      </c>
    </row>
    <row r="13054" spans="1:2" x14ac:dyDescent="0.25">
      <c r="A13054" s="75">
        <v>51151502</v>
      </c>
      <c r="B13054" s="76" t="s">
        <v>19249</v>
      </c>
    </row>
    <row r="13055" spans="1:2" x14ac:dyDescent="0.25">
      <c r="A13055" s="75">
        <v>51151503</v>
      </c>
      <c r="B13055" s="76" t="s">
        <v>14228</v>
      </c>
    </row>
    <row r="13056" spans="1:2" x14ac:dyDescent="0.25">
      <c r="A13056" s="75">
        <v>51151504</v>
      </c>
      <c r="B13056" s="76" t="s">
        <v>2905</v>
      </c>
    </row>
    <row r="13057" spans="1:2" x14ac:dyDescent="0.25">
      <c r="A13057" s="75">
        <v>51151505</v>
      </c>
      <c r="B13057" s="76" t="s">
        <v>16269</v>
      </c>
    </row>
    <row r="13058" spans="1:2" x14ac:dyDescent="0.25">
      <c r="A13058" s="75">
        <v>51151506</v>
      </c>
      <c r="B13058" s="76" t="s">
        <v>13251</v>
      </c>
    </row>
    <row r="13059" spans="1:2" x14ac:dyDescent="0.25">
      <c r="A13059" s="75">
        <v>51151507</v>
      </c>
      <c r="B13059" s="76" t="s">
        <v>13734</v>
      </c>
    </row>
    <row r="13060" spans="1:2" x14ac:dyDescent="0.25">
      <c r="A13060" s="75">
        <v>51151508</v>
      </c>
      <c r="B13060" s="76" t="s">
        <v>10712</v>
      </c>
    </row>
    <row r="13061" spans="1:2" x14ac:dyDescent="0.25">
      <c r="A13061" s="75">
        <v>51151509</v>
      </c>
      <c r="B13061" s="76" t="s">
        <v>4633</v>
      </c>
    </row>
    <row r="13062" spans="1:2" x14ac:dyDescent="0.25">
      <c r="A13062" s="75">
        <v>51151510</v>
      </c>
      <c r="B13062" s="76" t="s">
        <v>5004</v>
      </c>
    </row>
    <row r="13063" spans="1:2" x14ac:dyDescent="0.25">
      <c r="A13063" s="75">
        <v>51151511</v>
      </c>
      <c r="B13063" s="76" t="s">
        <v>2901</v>
      </c>
    </row>
    <row r="13064" spans="1:2" x14ac:dyDescent="0.25">
      <c r="A13064" s="75">
        <v>51151512</v>
      </c>
      <c r="B13064" s="76" t="s">
        <v>3068</v>
      </c>
    </row>
    <row r="13065" spans="1:2" x14ac:dyDescent="0.25">
      <c r="A13065" s="75">
        <v>51151513</v>
      </c>
      <c r="B13065" s="76" t="s">
        <v>6264</v>
      </c>
    </row>
    <row r="13066" spans="1:2" x14ac:dyDescent="0.25">
      <c r="A13066" s="75">
        <v>51151514</v>
      </c>
      <c r="B13066" s="76" t="s">
        <v>6763</v>
      </c>
    </row>
    <row r="13067" spans="1:2" x14ac:dyDescent="0.25">
      <c r="A13067" s="75">
        <v>51151515</v>
      </c>
      <c r="B13067" s="76" t="s">
        <v>4711</v>
      </c>
    </row>
    <row r="13068" spans="1:2" x14ac:dyDescent="0.25">
      <c r="A13068" s="75">
        <v>51151516</v>
      </c>
      <c r="B13068" s="76" t="s">
        <v>10891</v>
      </c>
    </row>
    <row r="13069" spans="1:2" x14ac:dyDescent="0.25">
      <c r="A13069" s="75">
        <v>51151517</v>
      </c>
      <c r="B13069" s="76" t="s">
        <v>11041</v>
      </c>
    </row>
    <row r="13070" spans="1:2" x14ac:dyDescent="0.25">
      <c r="A13070" s="75">
        <v>51151518</v>
      </c>
      <c r="B13070" s="76" t="s">
        <v>18303</v>
      </c>
    </row>
    <row r="13071" spans="1:2" x14ac:dyDescent="0.25">
      <c r="A13071" s="75">
        <v>51151601</v>
      </c>
      <c r="B13071" s="76" t="s">
        <v>9600</v>
      </c>
    </row>
    <row r="13072" spans="1:2" x14ac:dyDescent="0.25">
      <c r="A13072" s="75">
        <v>51151602</v>
      </c>
      <c r="B13072" s="76" t="s">
        <v>4080</v>
      </c>
    </row>
    <row r="13073" spans="1:2" x14ac:dyDescent="0.25">
      <c r="A13073" s="75">
        <v>51151603</v>
      </c>
      <c r="B13073" s="76" t="s">
        <v>16418</v>
      </c>
    </row>
    <row r="13074" spans="1:2" x14ac:dyDescent="0.25">
      <c r="A13074" s="75">
        <v>51151604</v>
      </c>
      <c r="B13074" s="76" t="s">
        <v>2438</v>
      </c>
    </row>
    <row r="13075" spans="1:2" x14ac:dyDescent="0.25">
      <c r="A13075" s="75">
        <v>51151605</v>
      </c>
      <c r="B13075" s="76" t="s">
        <v>17642</v>
      </c>
    </row>
    <row r="13076" spans="1:2" x14ac:dyDescent="0.25">
      <c r="A13076" s="75">
        <v>51151606</v>
      </c>
      <c r="B13076" s="76" t="s">
        <v>12879</v>
      </c>
    </row>
    <row r="13077" spans="1:2" x14ac:dyDescent="0.25">
      <c r="A13077" s="75">
        <v>51151607</v>
      </c>
      <c r="B13077" s="76" t="s">
        <v>2431</v>
      </c>
    </row>
    <row r="13078" spans="1:2" x14ac:dyDescent="0.25">
      <c r="A13078" s="75">
        <v>51151608</v>
      </c>
      <c r="B13078" s="76" t="s">
        <v>17630</v>
      </c>
    </row>
    <row r="13079" spans="1:2" x14ac:dyDescent="0.25">
      <c r="A13079" s="75">
        <v>51151609</v>
      </c>
      <c r="B13079" s="76" t="s">
        <v>11610</v>
      </c>
    </row>
    <row r="13080" spans="1:2" x14ac:dyDescent="0.25">
      <c r="A13080" s="75">
        <v>51151610</v>
      </c>
      <c r="B13080" s="76" t="s">
        <v>18278</v>
      </c>
    </row>
    <row r="13081" spans="1:2" x14ac:dyDescent="0.25">
      <c r="A13081" s="75">
        <v>51151611</v>
      </c>
      <c r="B13081" s="76" t="s">
        <v>4212</v>
      </c>
    </row>
    <row r="13082" spans="1:2" x14ac:dyDescent="0.25">
      <c r="A13082" s="75">
        <v>51151612</v>
      </c>
      <c r="B13082" s="76" t="s">
        <v>10157</v>
      </c>
    </row>
    <row r="13083" spans="1:2" x14ac:dyDescent="0.25">
      <c r="A13083" s="75">
        <v>51151613</v>
      </c>
      <c r="B13083" s="76" t="s">
        <v>11618</v>
      </c>
    </row>
    <row r="13084" spans="1:2" x14ac:dyDescent="0.25">
      <c r="A13084" s="75">
        <v>51151614</v>
      </c>
      <c r="B13084" s="76" t="s">
        <v>15880</v>
      </c>
    </row>
    <row r="13085" spans="1:2" x14ac:dyDescent="0.25">
      <c r="A13085" s="75">
        <v>51151615</v>
      </c>
      <c r="B13085" s="76" t="s">
        <v>7153</v>
      </c>
    </row>
    <row r="13086" spans="1:2" x14ac:dyDescent="0.25">
      <c r="A13086" s="75">
        <v>51151616</v>
      </c>
      <c r="B13086" s="76" t="s">
        <v>12126</v>
      </c>
    </row>
    <row r="13087" spans="1:2" x14ac:dyDescent="0.25">
      <c r="A13087" s="75">
        <v>51151701</v>
      </c>
      <c r="B13087" s="76" t="s">
        <v>336</v>
      </c>
    </row>
    <row r="13088" spans="1:2" x14ac:dyDescent="0.25">
      <c r="A13088" s="75">
        <v>51151702</v>
      </c>
      <c r="B13088" s="76" t="s">
        <v>2949</v>
      </c>
    </row>
    <row r="13089" spans="1:2" x14ac:dyDescent="0.25">
      <c r="A13089" s="75">
        <v>51151703</v>
      </c>
      <c r="B13089" s="76" t="s">
        <v>19345</v>
      </c>
    </row>
    <row r="13090" spans="1:2" x14ac:dyDescent="0.25">
      <c r="A13090" s="75">
        <v>51151704</v>
      </c>
      <c r="B13090" s="76" t="s">
        <v>6690</v>
      </c>
    </row>
    <row r="13091" spans="1:2" x14ac:dyDescent="0.25">
      <c r="A13091" s="75">
        <v>51151705</v>
      </c>
      <c r="B13091" s="76" t="s">
        <v>14394</v>
      </c>
    </row>
    <row r="13092" spans="1:2" x14ac:dyDescent="0.25">
      <c r="A13092" s="75">
        <v>51151706</v>
      </c>
      <c r="B13092" s="76" t="s">
        <v>15482</v>
      </c>
    </row>
    <row r="13093" spans="1:2" x14ac:dyDescent="0.25">
      <c r="A13093" s="75">
        <v>51151707</v>
      </c>
      <c r="B13093" s="76" t="s">
        <v>5626</v>
      </c>
    </row>
    <row r="13094" spans="1:2" x14ac:dyDescent="0.25">
      <c r="A13094" s="75">
        <v>51151708</v>
      </c>
      <c r="B13094" s="76" t="s">
        <v>14572</v>
      </c>
    </row>
    <row r="13095" spans="1:2" x14ac:dyDescent="0.25">
      <c r="A13095" s="75">
        <v>51151709</v>
      </c>
      <c r="B13095" s="76" t="s">
        <v>19425</v>
      </c>
    </row>
    <row r="13096" spans="1:2" x14ac:dyDescent="0.25">
      <c r="A13096" s="75">
        <v>51151710</v>
      </c>
      <c r="B13096" s="76" t="s">
        <v>4628</v>
      </c>
    </row>
    <row r="13097" spans="1:2" x14ac:dyDescent="0.25">
      <c r="A13097" s="75">
        <v>51151711</v>
      </c>
      <c r="B13097" s="76" t="s">
        <v>8138</v>
      </c>
    </row>
    <row r="13098" spans="1:2" x14ac:dyDescent="0.25">
      <c r="A13098" s="75">
        <v>51151712</v>
      </c>
      <c r="B13098" s="76" t="s">
        <v>18802</v>
      </c>
    </row>
    <row r="13099" spans="1:2" x14ac:dyDescent="0.25">
      <c r="A13099" s="75">
        <v>51151713</v>
      </c>
      <c r="B13099" s="76" t="s">
        <v>2687</v>
      </c>
    </row>
    <row r="13100" spans="1:2" x14ac:dyDescent="0.25">
      <c r="A13100" s="75">
        <v>51151714</v>
      </c>
      <c r="B13100" s="76" t="s">
        <v>12604</v>
      </c>
    </row>
    <row r="13101" spans="1:2" x14ac:dyDescent="0.25">
      <c r="A13101" s="75">
        <v>51151715</v>
      </c>
      <c r="B13101" s="76" t="s">
        <v>18787</v>
      </c>
    </row>
    <row r="13102" spans="1:2" x14ac:dyDescent="0.25">
      <c r="A13102" s="75">
        <v>51151716</v>
      </c>
      <c r="B13102" s="76" t="s">
        <v>6873</v>
      </c>
    </row>
    <row r="13103" spans="1:2" x14ac:dyDescent="0.25">
      <c r="A13103" s="75">
        <v>51151717</v>
      </c>
      <c r="B13103" s="76" t="s">
        <v>12025</v>
      </c>
    </row>
    <row r="13104" spans="1:2" x14ac:dyDescent="0.25">
      <c r="A13104" s="75">
        <v>51151718</v>
      </c>
      <c r="B13104" s="76" t="s">
        <v>18562</v>
      </c>
    </row>
    <row r="13105" spans="1:2" x14ac:dyDescent="0.25">
      <c r="A13105" s="75">
        <v>51151719</v>
      </c>
      <c r="B13105" s="76" t="s">
        <v>5439</v>
      </c>
    </row>
    <row r="13106" spans="1:2" x14ac:dyDescent="0.25">
      <c r="A13106" s="75">
        <v>51151720</v>
      </c>
      <c r="B13106" s="76" t="s">
        <v>13067</v>
      </c>
    </row>
    <row r="13107" spans="1:2" x14ac:dyDescent="0.25">
      <c r="A13107" s="75">
        <v>51151721</v>
      </c>
      <c r="B13107" s="76" t="s">
        <v>5218</v>
      </c>
    </row>
    <row r="13108" spans="1:2" x14ac:dyDescent="0.25">
      <c r="A13108" s="75">
        <v>51151722</v>
      </c>
      <c r="B13108" s="76" t="s">
        <v>17583</v>
      </c>
    </row>
    <row r="13109" spans="1:2" x14ac:dyDescent="0.25">
      <c r="A13109" s="75">
        <v>51151723</v>
      </c>
      <c r="B13109" s="76" t="s">
        <v>13833</v>
      </c>
    </row>
    <row r="13110" spans="1:2" x14ac:dyDescent="0.25">
      <c r="A13110" s="75">
        <v>51151724</v>
      </c>
      <c r="B13110" s="76" t="s">
        <v>1992</v>
      </c>
    </row>
    <row r="13111" spans="1:2" x14ac:dyDescent="0.25">
      <c r="A13111" s="75">
        <v>51151725</v>
      </c>
      <c r="B13111" s="76" t="s">
        <v>16949</v>
      </c>
    </row>
    <row r="13112" spans="1:2" x14ac:dyDescent="0.25">
      <c r="A13112" s="75">
        <v>51151726</v>
      </c>
      <c r="B13112" s="76" t="s">
        <v>7156</v>
      </c>
    </row>
    <row r="13113" spans="1:2" x14ac:dyDescent="0.25">
      <c r="A13113" s="75">
        <v>51151727</v>
      </c>
      <c r="B13113" s="76" t="s">
        <v>4807</v>
      </c>
    </row>
    <row r="13114" spans="1:2" x14ac:dyDescent="0.25">
      <c r="A13114" s="75">
        <v>51151728</v>
      </c>
      <c r="B13114" s="76" t="s">
        <v>710</v>
      </c>
    </row>
    <row r="13115" spans="1:2" x14ac:dyDescent="0.25">
      <c r="A13115" s="75">
        <v>51151729</v>
      </c>
      <c r="B13115" s="76" t="s">
        <v>2553</v>
      </c>
    </row>
    <row r="13116" spans="1:2" x14ac:dyDescent="0.25">
      <c r="A13116" s="75">
        <v>51151730</v>
      </c>
      <c r="B13116" s="76" t="s">
        <v>4029</v>
      </c>
    </row>
    <row r="13117" spans="1:2" x14ac:dyDescent="0.25">
      <c r="A13117" s="75">
        <v>51151731</v>
      </c>
      <c r="B13117" s="76" t="s">
        <v>754</v>
      </c>
    </row>
    <row r="13118" spans="1:2" x14ac:dyDescent="0.25">
      <c r="A13118" s="75">
        <v>51151732</v>
      </c>
      <c r="B13118" s="76" t="s">
        <v>18407</v>
      </c>
    </row>
    <row r="13119" spans="1:2" x14ac:dyDescent="0.25">
      <c r="A13119" s="75">
        <v>51151733</v>
      </c>
      <c r="B13119" s="76" t="s">
        <v>7593</v>
      </c>
    </row>
    <row r="13120" spans="1:2" x14ac:dyDescent="0.25">
      <c r="A13120" s="75">
        <v>51151734</v>
      </c>
      <c r="B13120" s="76" t="s">
        <v>17808</v>
      </c>
    </row>
    <row r="13121" spans="1:2" x14ac:dyDescent="0.25">
      <c r="A13121" s="75">
        <v>51151735</v>
      </c>
      <c r="B13121" s="76" t="s">
        <v>17649</v>
      </c>
    </row>
    <row r="13122" spans="1:2" x14ac:dyDescent="0.25">
      <c r="A13122" s="75">
        <v>51151736</v>
      </c>
      <c r="B13122" s="76" t="s">
        <v>10446</v>
      </c>
    </row>
    <row r="13123" spans="1:2" x14ac:dyDescent="0.25">
      <c r="A13123" s="75">
        <v>51151737</v>
      </c>
      <c r="B13123" s="76" t="s">
        <v>15363</v>
      </c>
    </row>
    <row r="13124" spans="1:2" x14ac:dyDescent="0.25">
      <c r="A13124" s="75">
        <v>51151738</v>
      </c>
      <c r="B13124" s="76" t="s">
        <v>7486</v>
      </c>
    </row>
    <row r="13125" spans="1:2" x14ac:dyDescent="0.25">
      <c r="A13125" s="75">
        <v>51151739</v>
      </c>
      <c r="B13125" s="76" t="s">
        <v>14204</v>
      </c>
    </row>
    <row r="13126" spans="1:2" x14ac:dyDescent="0.25">
      <c r="A13126" s="75">
        <v>51151740</v>
      </c>
      <c r="B13126" s="76" t="s">
        <v>7705</v>
      </c>
    </row>
    <row r="13127" spans="1:2" x14ac:dyDescent="0.25">
      <c r="A13127" s="75">
        <v>51151741</v>
      </c>
      <c r="B13127" s="76" t="s">
        <v>1850</v>
      </c>
    </row>
    <row r="13128" spans="1:2" x14ac:dyDescent="0.25">
      <c r="A13128" s="75">
        <v>51151742</v>
      </c>
      <c r="B13128" s="76" t="s">
        <v>10581</v>
      </c>
    </row>
    <row r="13129" spans="1:2" x14ac:dyDescent="0.25">
      <c r="A13129" s="75">
        <v>51151743</v>
      </c>
      <c r="B13129" s="76" t="s">
        <v>9170</v>
      </c>
    </row>
    <row r="13130" spans="1:2" x14ac:dyDescent="0.25">
      <c r="A13130" s="75">
        <v>51151744</v>
      </c>
      <c r="B13130" s="76" t="s">
        <v>12391</v>
      </c>
    </row>
    <row r="13131" spans="1:2" x14ac:dyDescent="0.25">
      <c r="A13131" s="75">
        <v>51151745</v>
      </c>
      <c r="B13131" s="76" t="s">
        <v>17412</v>
      </c>
    </row>
    <row r="13132" spans="1:2" x14ac:dyDescent="0.25">
      <c r="A13132" s="75">
        <v>51151746</v>
      </c>
      <c r="B13132" s="76" t="s">
        <v>10138</v>
      </c>
    </row>
    <row r="13133" spans="1:2" x14ac:dyDescent="0.25">
      <c r="A13133" s="75">
        <v>51151747</v>
      </c>
      <c r="B13133" s="76" t="s">
        <v>14478</v>
      </c>
    </row>
    <row r="13134" spans="1:2" x14ac:dyDescent="0.25">
      <c r="A13134" s="75">
        <v>51151748</v>
      </c>
      <c r="B13134" s="76" t="s">
        <v>9238</v>
      </c>
    </row>
    <row r="13135" spans="1:2" x14ac:dyDescent="0.25">
      <c r="A13135" s="75">
        <v>51151749</v>
      </c>
      <c r="B13135" s="76" t="s">
        <v>1940</v>
      </c>
    </row>
    <row r="13136" spans="1:2" x14ac:dyDescent="0.25">
      <c r="A13136" s="75">
        <v>51151801</v>
      </c>
      <c r="B13136" s="76" t="s">
        <v>2119</v>
      </c>
    </row>
    <row r="13137" spans="1:2" x14ac:dyDescent="0.25">
      <c r="A13137" s="75">
        <v>51151802</v>
      </c>
      <c r="B13137" s="76" t="s">
        <v>4161</v>
      </c>
    </row>
    <row r="13138" spans="1:2" x14ac:dyDescent="0.25">
      <c r="A13138" s="75">
        <v>51151803</v>
      </c>
      <c r="B13138" s="76" t="s">
        <v>15906</v>
      </c>
    </row>
    <row r="13139" spans="1:2" x14ac:dyDescent="0.25">
      <c r="A13139" s="75">
        <v>51151804</v>
      </c>
      <c r="B13139" s="76" t="s">
        <v>11128</v>
      </c>
    </row>
    <row r="13140" spans="1:2" x14ac:dyDescent="0.25">
      <c r="A13140" s="75">
        <v>51151805</v>
      </c>
      <c r="B13140" s="76" t="s">
        <v>9426</v>
      </c>
    </row>
    <row r="13141" spans="1:2" x14ac:dyDescent="0.25">
      <c r="A13141" s="75">
        <v>51151810</v>
      </c>
      <c r="B13141" s="76" t="s">
        <v>17088</v>
      </c>
    </row>
    <row r="13142" spans="1:2" x14ac:dyDescent="0.25">
      <c r="A13142" s="75">
        <v>51151811</v>
      </c>
      <c r="B13142" s="76" t="s">
        <v>10603</v>
      </c>
    </row>
    <row r="13143" spans="1:2" x14ac:dyDescent="0.25">
      <c r="A13143" s="75">
        <v>51151812</v>
      </c>
      <c r="B13143" s="76" t="s">
        <v>19499</v>
      </c>
    </row>
    <row r="13144" spans="1:2" x14ac:dyDescent="0.25">
      <c r="A13144" s="75">
        <v>51151813</v>
      </c>
      <c r="B13144" s="76" t="s">
        <v>4536</v>
      </c>
    </row>
    <row r="13145" spans="1:2" x14ac:dyDescent="0.25">
      <c r="A13145" s="75">
        <v>51151814</v>
      </c>
      <c r="B13145" s="76" t="s">
        <v>18551</v>
      </c>
    </row>
    <row r="13146" spans="1:2" x14ac:dyDescent="0.25">
      <c r="A13146" s="75">
        <v>51151815</v>
      </c>
      <c r="B13146" s="76" t="s">
        <v>19708</v>
      </c>
    </row>
    <row r="13147" spans="1:2" x14ac:dyDescent="0.25">
      <c r="A13147" s="75">
        <v>51151816</v>
      </c>
      <c r="B13147" s="76" t="s">
        <v>12901</v>
      </c>
    </row>
    <row r="13148" spans="1:2" x14ac:dyDescent="0.25">
      <c r="A13148" s="75">
        <v>51151817</v>
      </c>
      <c r="B13148" s="76" t="s">
        <v>8994</v>
      </c>
    </row>
    <row r="13149" spans="1:2" x14ac:dyDescent="0.25">
      <c r="A13149" s="75">
        <v>51151818</v>
      </c>
      <c r="B13149" s="76" t="s">
        <v>5314</v>
      </c>
    </row>
    <row r="13150" spans="1:2" x14ac:dyDescent="0.25">
      <c r="A13150" s="75">
        <v>51151819</v>
      </c>
      <c r="B13150" s="76" t="s">
        <v>9152</v>
      </c>
    </row>
    <row r="13151" spans="1:2" x14ac:dyDescent="0.25">
      <c r="A13151" s="75">
        <v>51151820</v>
      </c>
      <c r="B13151" s="76" t="s">
        <v>8489</v>
      </c>
    </row>
    <row r="13152" spans="1:2" x14ac:dyDescent="0.25">
      <c r="A13152" s="75">
        <v>51151821</v>
      </c>
      <c r="B13152" s="76" t="s">
        <v>5900</v>
      </c>
    </row>
    <row r="13153" spans="1:2" x14ac:dyDescent="0.25">
      <c r="A13153" s="75">
        <v>51151822</v>
      </c>
      <c r="B13153" s="76" t="s">
        <v>14215</v>
      </c>
    </row>
    <row r="13154" spans="1:2" x14ac:dyDescent="0.25">
      <c r="A13154" s="75">
        <v>51151823</v>
      </c>
      <c r="B13154" s="76" t="s">
        <v>5718</v>
      </c>
    </row>
    <row r="13155" spans="1:2" x14ac:dyDescent="0.25">
      <c r="A13155" s="75">
        <v>51151824</v>
      </c>
      <c r="B13155" s="76" t="s">
        <v>14107</v>
      </c>
    </row>
    <row r="13156" spans="1:2" x14ac:dyDescent="0.25">
      <c r="A13156" s="75">
        <v>51151825</v>
      </c>
      <c r="B13156" s="76" t="s">
        <v>14046</v>
      </c>
    </row>
    <row r="13157" spans="1:2" x14ac:dyDescent="0.25">
      <c r="A13157" s="75">
        <v>51151901</v>
      </c>
      <c r="B13157" s="76" t="s">
        <v>7917</v>
      </c>
    </row>
    <row r="13158" spans="1:2" x14ac:dyDescent="0.25">
      <c r="A13158" s="75">
        <v>51151902</v>
      </c>
      <c r="B13158" s="76" t="s">
        <v>10059</v>
      </c>
    </row>
    <row r="13159" spans="1:2" x14ac:dyDescent="0.25">
      <c r="A13159" s="75">
        <v>51151903</v>
      </c>
      <c r="B13159" s="76" t="s">
        <v>6578</v>
      </c>
    </row>
    <row r="13160" spans="1:2" x14ac:dyDescent="0.25">
      <c r="A13160" s="75">
        <v>51151904</v>
      </c>
      <c r="B13160" s="76" t="s">
        <v>15844</v>
      </c>
    </row>
    <row r="13161" spans="1:2" x14ac:dyDescent="0.25">
      <c r="A13161" s="75">
        <v>51151905</v>
      </c>
      <c r="B13161" s="76" t="s">
        <v>17494</v>
      </c>
    </row>
    <row r="13162" spans="1:2" x14ac:dyDescent="0.25">
      <c r="A13162" s="75">
        <v>51151906</v>
      </c>
      <c r="B13162" s="76" t="s">
        <v>1144</v>
      </c>
    </row>
    <row r="13163" spans="1:2" x14ac:dyDescent="0.25">
      <c r="A13163" s="75">
        <v>51151907</v>
      </c>
      <c r="B13163" s="76" t="s">
        <v>18795</v>
      </c>
    </row>
    <row r="13164" spans="1:2" x14ac:dyDescent="0.25">
      <c r="A13164" s="75">
        <v>51151908</v>
      </c>
      <c r="B13164" s="76" t="s">
        <v>17945</v>
      </c>
    </row>
    <row r="13165" spans="1:2" x14ac:dyDescent="0.25">
      <c r="A13165" s="75">
        <v>51151910</v>
      </c>
      <c r="B13165" s="76" t="s">
        <v>6137</v>
      </c>
    </row>
    <row r="13166" spans="1:2" x14ac:dyDescent="0.25">
      <c r="A13166" s="75">
        <v>51151911</v>
      </c>
      <c r="B13166" s="76" t="s">
        <v>5757</v>
      </c>
    </row>
    <row r="13167" spans="1:2" x14ac:dyDescent="0.25">
      <c r="A13167" s="75">
        <v>51151912</v>
      </c>
      <c r="B13167" s="76" t="s">
        <v>14353</v>
      </c>
    </row>
    <row r="13168" spans="1:2" x14ac:dyDescent="0.25">
      <c r="A13168" s="75">
        <v>51151913</v>
      </c>
      <c r="B13168" s="76" t="s">
        <v>15240</v>
      </c>
    </row>
    <row r="13169" spans="1:2" x14ac:dyDescent="0.25">
      <c r="A13169" s="75">
        <v>51151914</v>
      </c>
      <c r="B13169" s="76" t="s">
        <v>16281</v>
      </c>
    </row>
    <row r="13170" spans="1:2" x14ac:dyDescent="0.25">
      <c r="A13170" s="75">
        <v>51151915</v>
      </c>
      <c r="B13170" s="76" t="s">
        <v>6654</v>
      </c>
    </row>
    <row r="13171" spans="1:2" x14ac:dyDescent="0.25">
      <c r="A13171" s="75">
        <v>51151916</v>
      </c>
      <c r="B13171" s="76" t="s">
        <v>12133</v>
      </c>
    </row>
    <row r="13172" spans="1:2" x14ac:dyDescent="0.25">
      <c r="A13172" s="75">
        <v>51151917</v>
      </c>
      <c r="B13172" s="76" t="s">
        <v>16871</v>
      </c>
    </row>
    <row r="13173" spans="1:2" x14ac:dyDescent="0.25">
      <c r="A13173" s="75">
        <v>51152001</v>
      </c>
      <c r="B13173" s="76" t="s">
        <v>3605</v>
      </c>
    </row>
    <row r="13174" spans="1:2" x14ac:dyDescent="0.25">
      <c r="A13174" s="75">
        <v>51152002</v>
      </c>
      <c r="B13174" s="76" t="s">
        <v>14262</v>
      </c>
    </row>
    <row r="13175" spans="1:2" x14ac:dyDescent="0.25">
      <c r="A13175" s="75">
        <v>51152003</v>
      </c>
      <c r="B13175" s="76" t="s">
        <v>4986</v>
      </c>
    </row>
    <row r="13176" spans="1:2" x14ac:dyDescent="0.25">
      <c r="A13176" s="75">
        <v>51152004</v>
      </c>
      <c r="B13176" s="76" t="s">
        <v>9750</v>
      </c>
    </row>
    <row r="13177" spans="1:2" x14ac:dyDescent="0.25">
      <c r="A13177" s="75">
        <v>51152005</v>
      </c>
      <c r="B13177" s="76" t="s">
        <v>7363</v>
      </c>
    </row>
    <row r="13178" spans="1:2" x14ac:dyDescent="0.25">
      <c r="A13178" s="75">
        <v>51152006</v>
      </c>
      <c r="B13178" s="76" t="s">
        <v>15417</v>
      </c>
    </row>
    <row r="13179" spans="1:2" x14ac:dyDescent="0.25">
      <c r="A13179" s="75">
        <v>51152007</v>
      </c>
      <c r="B13179" s="76" t="s">
        <v>4564</v>
      </c>
    </row>
    <row r="13180" spans="1:2" x14ac:dyDescent="0.25">
      <c r="A13180" s="75">
        <v>51152008</v>
      </c>
      <c r="B13180" s="76" t="s">
        <v>13341</v>
      </c>
    </row>
    <row r="13181" spans="1:2" x14ac:dyDescent="0.25">
      <c r="A13181" s="75">
        <v>51152009</v>
      </c>
      <c r="B13181" s="76" t="s">
        <v>19969</v>
      </c>
    </row>
    <row r="13182" spans="1:2" x14ac:dyDescent="0.25">
      <c r="A13182" s="75">
        <v>51152010</v>
      </c>
      <c r="B13182" s="76" t="s">
        <v>1766</v>
      </c>
    </row>
    <row r="13183" spans="1:2" x14ac:dyDescent="0.25">
      <c r="A13183" s="75">
        <v>51152011</v>
      </c>
      <c r="B13183" s="76" t="s">
        <v>19899</v>
      </c>
    </row>
    <row r="13184" spans="1:2" x14ac:dyDescent="0.25">
      <c r="A13184" s="75">
        <v>51152012</v>
      </c>
      <c r="B13184" s="76" t="s">
        <v>8938</v>
      </c>
    </row>
    <row r="13185" spans="1:2" x14ac:dyDescent="0.25">
      <c r="A13185" s="75">
        <v>51161501</v>
      </c>
      <c r="B13185" s="76" t="s">
        <v>17489</v>
      </c>
    </row>
    <row r="13186" spans="1:2" x14ac:dyDescent="0.25">
      <c r="A13186" s="75">
        <v>51161502</v>
      </c>
      <c r="B13186" s="76" t="s">
        <v>13772</v>
      </c>
    </row>
    <row r="13187" spans="1:2" x14ac:dyDescent="0.25">
      <c r="A13187" s="75">
        <v>51161503</v>
      </c>
      <c r="B13187" s="76" t="s">
        <v>18009</v>
      </c>
    </row>
    <row r="13188" spans="1:2" x14ac:dyDescent="0.25">
      <c r="A13188" s="75">
        <v>51161504</v>
      </c>
      <c r="B13188" s="76" t="s">
        <v>18776</v>
      </c>
    </row>
    <row r="13189" spans="1:2" x14ac:dyDescent="0.25">
      <c r="A13189" s="75">
        <v>51161505</v>
      </c>
      <c r="B13189" s="76" t="s">
        <v>12249</v>
      </c>
    </row>
    <row r="13190" spans="1:2" x14ac:dyDescent="0.25">
      <c r="A13190" s="75">
        <v>51161506</v>
      </c>
      <c r="B13190" s="76" t="s">
        <v>17817</v>
      </c>
    </row>
    <row r="13191" spans="1:2" x14ac:dyDescent="0.25">
      <c r="A13191" s="75">
        <v>51161507</v>
      </c>
      <c r="B13191" s="76" t="s">
        <v>969</v>
      </c>
    </row>
    <row r="13192" spans="1:2" x14ac:dyDescent="0.25">
      <c r="A13192" s="75">
        <v>51161508</v>
      </c>
      <c r="B13192" s="76" t="s">
        <v>4657</v>
      </c>
    </row>
    <row r="13193" spans="1:2" x14ac:dyDescent="0.25">
      <c r="A13193" s="75">
        <v>51161510</v>
      </c>
      <c r="B13193" s="76" t="s">
        <v>12249</v>
      </c>
    </row>
    <row r="13194" spans="1:2" x14ac:dyDescent="0.25">
      <c r="A13194" s="75">
        <v>51161511</v>
      </c>
      <c r="B13194" s="76" t="s">
        <v>3029</v>
      </c>
    </row>
    <row r="13195" spans="1:2" x14ac:dyDescent="0.25">
      <c r="A13195" s="75">
        <v>51161513</v>
      </c>
      <c r="B13195" s="76" t="s">
        <v>17983</v>
      </c>
    </row>
    <row r="13196" spans="1:2" x14ac:dyDescent="0.25">
      <c r="A13196" s="75">
        <v>51161514</v>
      </c>
      <c r="B13196" s="76" t="s">
        <v>132</v>
      </c>
    </row>
    <row r="13197" spans="1:2" x14ac:dyDescent="0.25">
      <c r="A13197" s="75">
        <v>51161515</v>
      </c>
      <c r="B13197" s="76" t="s">
        <v>12283</v>
      </c>
    </row>
    <row r="13198" spans="1:2" x14ac:dyDescent="0.25">
      <c r="A13198" s="75">
        <v>51161516</v>
      </c>
      <c r="B13198" s="76" t="s">
        <v>6869</v>
      </c>
    </row>
    <row r="13199" spans="1:2" x14ac:dyDescent="0.25">
      <c r="A13199" s="75">
        <v>51161517</v>
      </c>
      <c r="B13199" s="76" t="s">
        <v>20001</v>
      </c>
    </row>
    <row r="13200" spans="1:2" x14ac:dyDescent="0.25">
      <c r="A13200" s="75">
        <v>51161601</v>
      </c>
      <c r="B13200" s="76" t="s">
        <v>6757</v>
      </c>
    </row>
    <row r="13201" spans="1:2" x14ac:dyDescent="0.25">
      <c r="A13201" s="75">
        <v>51161602</v>
      </c>
      <c r="B13201" s="76" t="s">
        <v>2570</v>
      </c>
    </row>
    <row r="13202" spans="1:2" x14ac:dyDescent="0.25">
      <c r="A13202" s="75">
        <v>51161603</v>
      </c>
      <c r="B13202" s="76" t="s">
        <v>11561</v>
      </c>
    </row>
    <row r="13203" spans="1:2" x14ac:dyDescent="0.25">
      <c r="A13203" s="75">
        <v>51161605</v>
      </c>
      <c r="B13203" s="76" t="s">
        <v>778</v>
      </c>
    </row>
    <row r="13204" spans="1:2" x14ac:dyDescent="0.25">
      <c r="A13204" s="75">
        <v>51161606</v>
      </c>
      <c r="B13204" s="76" t="s">
        <v>12683</v>
      </c>
    </row>
    <row r="13205" spans="1:2" x14ac:dyDescent="0.25">
      <c r="A13205" s="75">
        <v>51161607</v>
      </c>
      <c r="B13205" s="76" t="s">
        <v>16364</v>
      </c>
    </row>
    <row r="13206" spans="1:2" x14ac:dyDescent="0.25">
      <c r="A13206" s="75">
        <v>51161608</v>
      </c>
      <c r="B13206" s="76" t="s">
        <v>7794</v>
      </c>
    </row>
    <row r="13207" spans="1:2" x14ac:dyDescent="0.25">
      <c r="A13207" s="75">
        <v>51161609</v>
      </c>
      <c r="B13207" s="76" t="s">
        <v>9423</v>
      </c>
    </row>
    <row r="13208" spans="1:2" x14ac:dyDescent="0.25">
      <c r="A13208" s="75">
        <v>51161610</v>
      </c>
      <c r="B13208" s="76" t="s">
        <v>13949</v>
      </c>
    </row>
    <row r="13209" spans="1:2" x14ac:dyDescent="0.25">
      <c r="A13209" s="75">
        <v>51161611</v>
      </c>
      <c r="B13209" s="76" t="s">
        <v>18750</v>
      </c>
    </row>
    <row r="13210" spans="1:2" x14ac:dyDescent="0.25">
      <c r="A13210" s="75">
        <v>51161612</v>
      </c>
      <c r="B13210" s="76" t="s">
        <v>19177</v>
      </c>
    </row>
    <row r="13211" spans="1:2" x14ac:dyDescent="0.25">
      <c r="A13211" s="75">
        <v>51161613</v>
      </c>
      <c r="B13211" s="76" t="s">
        <v>14437</v>
      </c>
    </row>
    <row r="13212" spans="1:2" x14ac:dyDescent="0.25">
      <c r="A13212" s="75">
        <v>51161614</v>
      </c>
      <c r="B13212" s="76" t="s">
        <v>1290</v>
      </c>
    </row>
    <row r="13213" spans="1:2" x14ac:dyDescent="0.25">
      <c r="A13213" s="75">
        <v>51161615</v>
      </c>
      <c r="B13213" s="76" t="s">
        <v>15307</v>
      </c>
    </row>
    <row r="13214" spans="1:2" x14ac:dyDescent="0.25">
      <c r="A13214" s="75">
        <v>51161616</v>
      </c>
      <c r="B13214" s="76" t="s">
        <v>10859</v>
      </c>
    </row>
    <row r="13215" spans="1:2" x14ac:dyDescent="0.25">
      <c r="A13215" s="75">
        <v>51161617</v>
      </c>
      <c r="B13215" s="76" t="s">
        <v>19977</v>
      </c>
    </row>
    <row r="13216" spans="1:2" x14ac:dyDescent="0.25">
      <c r="A13216" s="75">
        <v>51161618</v>
      </c>
      <c r="B13216" s="76" t="s">
        <v>3809</v>
      </c>
    </row>
    <row r="13217" spans="1:2" x14ac:dyDescent="0.25">
      <c r="A13217" s="75">
        <v>51161619</v>
      </c>
      <c r="B13217" s="76" t="s">
        <v>1975</v>
      </c>
    </row>
    <row r="13218" spans="1:2" x14ac:dyDescent="0.25">
      <c r="A13218" s="75">
        <v>51161620</v>
      </c>
      <c r="B13218" s="76" t="s">
        <v>18126</v>
      </c>
    </row>
    <row r="13219" spans="1:2" x14ac:dyDescent="0.25">
      <c r="A13219" s="75">
        <v>51161621</v>
      </c>
      <c r="B13219" s="76" t="s">
        <v>11788</v>
      </c>
    </row>
    <row r="13220" spans="1:2" x14ac:dyDescent="0.25">
      <c r="A13220" s="75">
        <v>51161622</v>
      </c>
      <c r="B13220" s="76" t="s">
        <v>3029</v>
      </c>
    </row>
    <row r="13221" spans="1:2" x14ac:dyDescent="0.25">
      <c r="A13221" s="75">
        <v>51161623</v>
      </c>
      <c r="B13221" s="76" t="s">
        <v>16731</v>
      </c>
    </row>
    <row r="13222" spans="1:2" x14ac:dyDescent="0.25">
      <c r="A13222" s="75">
        <v>51161624</v>
      </c>
      <c r="B13222" s="76" t="s">
        <v>14310</v>
      </c>
    </row>
    <row r="13223" spans="1:2" x14ac:dyDescent="0.25">
      <c r="A13223" s="75">
        <v>51161625</v>
      </c>
      <c r="B13223" s="76" t="s">
        <v>3287</v>
      </c>
    </row>
    <row r="13224" spans="1:2" x14ac:dyDescent="0.25">
      <c r="A13224" s="75">
        <v>51161626</v>
      </c>
      <c r="B13224" s="76" t="s">
        <v>7145</v>
      </c>
    </row>
    <row r="13225" spans="1:2" x14ac:dyDescent="0.25">
      <c r="A13225" s="75">
        <v>51161627</v>
      </c>
      <c r="B13225" s="76" t="s">
        <v>19820</v>
      </c>
    </row>
    <row r="13226" spans="1:2" x14ac:dyDescent="0.25">
      <c r="A13226" s="75">
        <v>51161628</v>
      </c>
      <c r="B13226" s="76" t="s">
        <v>5474</v>
      </c>
    </row>
    <row r="13227" spans="1:2" x14ac:dyDescent="0.25">
      <c r="A13227" s="75">
        <v>51161629</v>
      </c>
      <c r="B13227" s="76" t="s">
        <v>18902</v>
      </c>
    </row>
    <row r="13228" spans="1:2" x14ac:dyDescent="0.25">
      <c r="A13228" s="75">
        <v>51161630</v>
      </c>
      <c r="B13228" s="76" t="s">
        <v>14722</v>
      </c>
    </row>
    <row r="13229" spans="1:2" x14ac:dyDescent="0.25">
      <c r="A13229" s="75">
        <v>51161631</v>
      </c>
      <c r="B13229" s="76" t="s">
        <v>1088</v>
      </c>
    </row>
    <row r="13230" spans="1:2" x14ac:dyDescent="0.25">
      <c r="A13230" s="75">
        <v>51161632</v>
      </c>
      <c r="B13230" s="76" t="s">
        <v>4811</v>
      </c>
    </row>
    <row r="13231" spans="1:2" x14ac:dyDescent="0.25">
      <c r="A13231" s="75">
        <v>51161633</v>
      </c>
      <c r="B13231" s="76" t="s">
        <v>16466</v>
      </c>
    </row>
    <row r="13232" spans="1:2" x14ac:dyDescent="0.25">
      <c r="A13232" s="75">
        <v>51161634</v>
      </c>
      <c r="B13232" s="76" t="s">
        <v>19982</v>
      </c>
    </row>
    <row r="13233" spans="1:2" x14ac:dyDescent="0.25">
      <c r="A13233" s="75">
        <v>51161635</v>
      </c>
      <c r="B13233" s="76" t="s">
        <v>7798</v>
      </c>
    </row>
    <row r="13234" spans="1:2" x14ac:dyDescent="0.25">
      <c r="A13234" s="75">
        <v>51161636</v>
      </c>
      <c r="B13234" s="76" t="s">
        <v>7832</v>
      </c>
    </row>
    <row r="13235" spans="1:2" x14ac:dyDescent="0.25">
      <c r="A13235" s="75">
        <v>51161637</v>
      </c>
      <c r="B13235" s="76" t="s">
        <v>2151</v>
      </c>
    </row>
    <row r="13236" spans="1:2" x14ac:dyDescent="0.25">
      <c r="A13236" s="75">
        <v>51161638</v>
      </c>
      <c r="B13236" s="76" t="s">
        <v>3020</v>
      </c>
    </row>
    <row r="13237" spans="1:2" x14ac:dyDescent="0.25">
      <c r="A13237" s="75">
        <v>51161639</v>
      </c>
      <c r="B13237" s="76" t="s">
        <v>2380</v>
      </c>
    </row>
    <row r="13238" spans="1:2" x14ac:dyDescent="0.25">
      <c r="A13238" s="75">
        <v>51161640</v>
      </c>
      <c r="B13238" s="76" t="s">
        <v>6112</v>
      </c>
    </row>
    <row r="13239" spans="1:2" x14ac:dyDescent="0.25">
      <c r="A13239" s="75">
        <v>51161646</v>
      </c>
      <c r="B13239" s="76" t="s">
        <v>890</v>
      </c>
    </row>
    <row r="13240" spans="1:2" x14ac:dyDescent="0.25">
      <c r="A13240" s="75">
        <v>51161647</v>
      </c>
      <c r="B13240" s="76" t="s">
        <v>16895</v>
      </c>
    </row>
    <row r="13241" spans="1:2" x14ac:dyDescent="0.25">
      <c r="A13241" s="75">
        <v>51161648</v>
      </c>
      <c r="B13241" s="76" t="s">
        <v>7784</v>
      </c>
    </row>
    <row r="13242" spans="1:2" x14ac:dyDescent="0.25">
      <c r="A13242" s="75">
        <v>51161649</v>
      </c>
      <c r="B13242" s="76" t="s">
        <v>8209</v>
      </c>
    </row>
    <row r="13243" spans="1:2" x14ac:dyDescent="0.25">
      <c r="A13243" s="75">
        <v>51161650</v>
      </c>
      <c r="B13243" s="76" t="s">
        <v>8175</v>
      </c>
    </row>
    <row r="13244" spans="1:2" x14ac:dyDescent="0.25">
      <c r="A13244" s="75">
        <v>51161651</v>
      </c>
      <c r="B13244" s="76" t="s">
        <v>2860</v>
      </c>
    </row>
    <row r="13245" spans="1:2" x14ac:dyDescent="0.25">
      <c r="A13245" s="75">
        <v>51161701</v>
      </c>
      <c r="B13245" s="76" t="s">
        <v>18607</v>
      </c>
    </row>
    <row r="13246" spans="1:2" x14ac:dyDescent="0.25">
      <c r="A13246" s="75">
        <v>51161702</v>
      </c>
      <c r="B13246" s="76" t="s">
        <v>9181</v>
      </c>
    </row>
    <row r="13247" spans="1:2" x14ac:dyDescent="0.25">
      <c r="A13247" s="75">
        <v>51161703</v>
      </c>
      <c r="B13247" s="76" t="s">
        <v>10894</v>
      </c>
    </row>
    <row r="13248" spans="1:2" x14ac:dyDescent="0.25">
      <c r="A13248" s="75">
        <v>51161704</v>
      </c>
      <c r="B13248" s="76" t="s">
        <v>7797</v>
      </c>
    </row>
    <row r="13249" spans="1:2" x14ac:dyDescent="0.25">
      <c r="A13249" s="75">
        <v>51161705</v>
      </c>
      <c r="B13249" s="76" t="s">
        <v>14249</v>
      </c>
    </row>
    <row r="13250" spans="1:2" x14ac:dyDescent="0.25">
      <c r="A13250" s="75">
        <v>51161706</v>
      </c>
      <c r="B13250" s="76" t="s">
        <v>12464</v>
      </c>
    </row>
    <row r="13251" spans="1:2" x14ac:dyDescent="0.25">
      <c r="A13251" s="75">
        <v>51161707</v>
      </c>
      <c r="B13251" s="76" t="s">
        <v>10953</v>
      </c>
    </row>
    <row r="13252" spans="1:2" x14ac:dyDescent="0.25">
      <c r="A13252" s="75">
        <v>51161708</v>
      </c>
      <c r="B13252" s="76" t="s">
        <v>13157</v>
      </c>
    </row>
    <row r="13253" spans="1:2" x14ac:dyDescent="0.25">
      <c r="A13253" s="75">
        <v>51161709</v>
      </c>
      <c r="B13253" s="76" t="s">
        <v>10428</v>
      </c>
    </row>
    <row r="13254" spans="1:2" x14ac:dyDescent="0.25">
      <c r="A13254" s="75">
        <v>51161710</v>
      </c>
      <c r="B13254" s="76" t="s">
        <v>11591</v>
      </c>
    </row>
    <row r="13255" spans="1:2" x14ac:dyDescent="0.25">
      <c r="A13255" s="75">
        <v>51161801</v>
      </c>
      <c r="B13255" s="76" t="s">
        <v>13015</v>
      </c>
    </row>
    <row r="13256" spans="1:2" x14ac:dyDescent="0.25">
      <c r="A13256" s="75">
        <v>51161802</v>
      </c>
      <c r="B13256" s="76" t="s">
        <v>10289</v>
      </c>
    </row>
    <row r="13257" spans="1:2" x14ac:dyDescent="0.25">
      <c r="A13257" s="75">
        <v>51161803</v>
      </c>
      <c r="B13257" s="76" t="s">
        <v>12205</v>
      </c>
    </row>
    <row r="13258" spans="1:2" x14ac:dyDescent="0.25">
      <c r="A13258" s="75">
        <v>51161805</v>
      </c>
      <c r="B13258" s="76" t="s">
        <v>4933</v>
      </c>
    </row>
    <row r="13259" spans="1:2" x14ac:dyDescent="0.25">
      <c r="A13259" s="75">
        <v>51161806</v>
      </c>
      <c r="B13259" s="76" t="s">
        <v>10213</v>
      </c>
    </row>
    <row r="13260" spans="1:2" x14ac:dyDescent="0.25">
      <c r="A13260" s="75">
        <v>51161808</v>
      </c>
      <c r="B13260" s="76" t="s">
        <v>9887</v>
      </c>
    </row>
    <row r="13261" spans="1:2" x14ac:dyDescent="0.25">
      <c r="A13261" s="75">
        <v>51161809</v>
      </c>
      <c r="B13261" s="76" t="s">
        <v>2836</v>
      </c>
    </row>
    <row r="13262" spans="1:2" x14ac:dyDescent="0.25">
      <c r="A13262" s="75">
        <v>51161810</v>
      </c>
      <c r="B13262" s="76" t="s">
        <v>17323</v>
      </c>
    </row>
    <row r="13263" spans="1:2" x14ac:dyDescent="0.25">
      <c r="A13263" s="75">
        <v>51161811</v>
      </c>
      <c r="B13263" s="76" t="s">
        <v>13885</v>
      </c>
    </row>
    <row r="13264" spans="1:2" x14ac:dyDescent="0.25">
      <c r="A13264" s="75">
        <v>51161812</v>
      </c>
      <c r="B13264" s="76" t="s">
        <v>12817</v>
      </c>
    </row>
    <row r="13265" spans="1:2" x14ac:dyDescent="0.25">
      <c r="A13265" s="75">
        <v>51161813</v>
      </c>
      <c r="B13265" s="76" t="s">
        <v>16313</v>
      </c>
    </row>
    <row r="13266" spans="1:2" x14ac:dyDescent="0.25">
      <c r="A13266" s="75">
        <v>51161814</v>
      </c>
      <c r="B13266" s="76" t="s">
        <v>5030</v>
      </c>
    </row>
    <row r="13267" spans="1:2" x14ac:dyDescent="0.25">
      <c r="A13267" s="75">
        <v>51161815</v>
      </c>
      <c r="B13267" s="76" t="s">
        <v>11399</v>
      </c>
    </row>
    <row r="13268" spans="1:2" x14ac:dyDescent="0.25">
      <c r="A13268" s="75">
        <v>51161817</v>
      </c>
      <c r="B13268" s="76" t="s">
        <v>10799</v>
      </c>
    </row>
    <row r="13269" spans="1:2" x14ac:dyDescent="0.25">
      <c r="A13269" s="75">
        <v>51161818</v>
      </c>
      <c r="B13269" s="76" t="s">
        <v>5722</v>
      </c>
    </row>
    <row r="13270" spans="1:2" x14ac:dyDescent="0.25">
      <c r="A13270" s="75">
        <v>51161819</v>
      </c>
      <c r="B13270" s="76" t="s">
        <v>14244</v>
      </c>
    </row>
    <row r="13271" spans="1:2" x14ac:dyDescent="0.25">
      <c r="A13271" s="75">
        <v>51161820</v>
      </c>
      <c r="B13271" s="76" t="s">
        <v>11637</v>
      </c>
    </row>
    <row r="13272" spans="1:2" x14ac:dyDescent="0.25">
      <c r="A13272" s="75">
        <v>51161901</v>
      </c>
      <c r="B13272" s="76" t="s">
        <v>5637</v>
      </c>
    </row>
    <row r="13273" spans="1:2" x14ac:dyDescent="0.25">
      <c r="A13273" s="75">
        <v>51161903</v>
      </c>
      <c r="B13273" s="76" t="s">
        <v>15887</v>
      </c>
    </row>
    <row r="13274" spans="1:2" x14ac:dyDescent="0.25">
      <c r="A13274" s="75">
        <v>51171501</v>
      </c>
      <c r="B13274" s="76" t="s">
        <v>2468</v>
      </c>
    </row>
    <row r="13275" spans="1:2" x14ac:dyDescent="0.25">
      <c r="A13275" s="75">
        <v>51171502</v>
      </c>
      <c r="B13275" s="76" t="s">
        <v>10785</v>
      </c>
    </row>
    <row r="13276" spans="1:2" x14ac:dyDescent="0.25">
      <c r="A13276" s="75">
        <v>51171503</v>
      </c>
      <c r="B13276" s="76" t="s">
        <v>16430</v>
      </c>
    </row>
    <row r="13277" spans="1:2" x14ac:dyDescent="0.25">
      <c r="A13277" s="75">
        <v>51171504</v>
      </c>
      <c r="B13277" s="76" t="s">
        <v>5213</v>
      </c>
    </row>
    <row r="13278" spans="1:2" x14ac:dyDescent="0.25">
      <c r="A13278" s="75">
        <v>51171505</v>
      </c>
      <c r="B13278" s="76" t="s">
        <v>10308</v>
      </c>
    </row>
    <row r="13279" spans="1:2" x14ac:dyDescent="0.25">
      <c r="A13279" s="75">
        <v>51171507</v>
      </c>
      <c r="B13279" s="76" t="s">
        <v>19023</v>
      </c>
    </row>
    <row r="13280" spans="1:2" x14ac:dyDescent="0.25">
      <c r="A13280" s="75">
        <v>51171508</v>
      </c>
      <c r="B13280" s="76" t="s">
        <v>12621</v>
      </c>
    </row>
    <row r="13281" spans="1:2" x14ac:dyDescent="0.25">
      <c r="A13281" s="75">
        <v>51171509</v>
      </c>
      <c r="B13281" s="76" t="s">
        <v>8273</v>
      </c>
    </row>
    <row r="13282" spans="1:2" x14ac:dyDescent="0.25">
      <c r="A13282" s="75">
        <v>51171510</v>
      </c>
      <c r="B13282" s="76" t="s">
        <v>11316</v>
      </c>
    </row>
    <row r="13283" spans="1:2" x14ac:dyDescent="0.25">
      <c r="A13283" s="75">
        <v>51171511</v>
      </c>
      <c r="B13283" s="76" t="s">
        <v>14030</v>
      </c>
    </row>
    <row r="13284" spans="1:2" x14ac:dyDescent="0.25">
      <c r="A13284" s="75">
        <v>51171513</v>
      </c>
      <c r="B13284" s="76" t="s">
        <v>7787</v>
      </c>
    </row>
    <row r="13285" spans="1:2" x14ac:dyDescent="0.25">
      <c r="A13285" s="75">
        <v>51171601</v>
      </c>
      <c r="B13285" s="76" t="s">
        <v>1226</v>
      </c>
    </row>
    <row r="13286" spans="1:2" x14ac:dyDescent="0.25">
      <c r="A13286" s="75">
        <v>51171602</v>
      </c>
      <c r="B13286" s="76" t="s">
        <v>4656</v>
      </c>
    </row>
    <row r="13287" spans="1:2" x14ac:dyDescent="0.25">
      <c r="A13287" s="75">
        <v>51171603</v>
      </c>
      <c r="B13287" s="76" t="s">
        <v>13871</v>
      </c>
    </row>
    <row r="13288" spans="1:2" x14ac:dyDescent="0.25">
      <c r="A13288" s="75">
        <v>51171604</v>
      </c>
      <c r="B13288" s="76" t="s">
        <v>3340</v>
      </c>
    </row>
    <row r="13289" spans="1:2" x14ac:dyDescent="0.25">
      <c r="A13289" s="75">
        <v>51171605</v>
      </c>
      <c r="B13289" s="76" t="s">
        <v>13004</v>
      </c>
    </row>
    <row r="13290" spans="1:2" x14ac:dyDescent="0.25">
      <c r="A13290" s="75">
        <v>51171606</v>
      </c>
      <c r="B13290" s="76" t="s">
        <v>16520</v>
      </c>
    </row>
    <row r="13291" spans="1:2" x14ac:dyDescent="0.25">
      <c r="A13291" s="75">
        <v>51171607</v>
      </c>
      <c r="B13291" s="76" t="s">
        <v>12550</v>
      </c>
    </row>
    <row r="13292" spans="1:2" x14ac:dyDescent="0.25">
      <c r="A13292" s="75">
        <v>51171608</v>
      </c>
      <c r="B13292" s="76" t="s">
        <v>16639</v>
      </c>
    </row>
    <row r="13293" spans="1:2" x14ac:dyDescent="0.25">
      <c r="A13293" s="75">
        <v>51171609</v>
      </c>
      <c r="B13293" s="76" t="s">
        <v>7452</v>
      </c>
    </row>
    <row r="13294" spans="1:2" x14ac:dyDescent="0.25">
      <c r="A13294" s="75">
        <v>51171610</v>
      </c>
      <c r="B13294" s="76" t="s">
        <v>14686</v>
      </c>
    </row>
    <row r="13295" spans="1:2" x14ac:dyDescent="0.25">
      <c r="A13295" s="75">
        <v>51171611</v>
      </c>
      <c r="B13295" s="76" t="s">
        <v>579</v>
      </c>
    </row>
    <row r="13296" spans="1:2" x14ac:dyDescent="0.25">
      <c r="A13296" s="75">
        <v>51171612</v>
      </c>
      <c r="B13296" s="76" t="s">
        <v>2464</v>
      </c>
    </row>
    <row r="13297" spans="1:2" x14ac:dyDescent="0.25">
      <c r="A13297" s="75">
        <v>51171613</v>
      </c>
      <c r="B13297" s="76" t="s">
        <v>18390</v>
      </c>
    </row>
    <row r="13298" spans="1:2" x14ac:dyDescent="0.25">
      <c r="A13298" s="75">
        <v>51171614</v>
      </c>
      <c r="B13298" s="76" t="s">
        <v>13735</v>
      </c>
    </row>
    <row r="13299" spans="1:2" x14ac:dyDescent="0.25">
      <c r="A13299" s="75">
        <v>51171615</v>
      </c>
      <c r="B13299" s="76" t="s">
        <v>13842</v>
      </c>
    </row>
    <row r="13300" spans="1:2" x14ac:dyDescent="0.25">
      <c r="A13300" s="75">
        <v>51171616</v>
      </c>
      <c r="B13300" s="76" t="s">
        <v>9427</v>
      </c>
    </row>
    <row r="13301" spans="1:2" x14ac:dyDescent="0.25">
      <c r="A13301" s="75">
        <v>51171617</v>
      </c>
      <c r="B13301" s="76" t="s">
        <v>4822</v>
      </c>
    </row>
    <row r="13302" spans="1:2" x14ac:dyDescent="0.25">
      <c r="A13302" s="75">
        <v>51171618</v>
      </c>
      <c r="B13302" s="76" t="s">
        <v>8422</v>
      </c>
    </row>
    <row r="13303" spans="1:2" x14ac:dyDescent="0.25">
      <c r="A13303" s="75">
        <v>51171619</v>
      </c>
      <c r="B13303" s="76" t="s">
        <v>16483</v>
      </c>
    </row>
    <row r="13304" spans="1:2" x14ac:dyDescent="0.25">
      <c r="A13304" s="75">
        <v>51171620</v>
      </c>
      <c r="B13304" s="76" t="s">
        <v>10927</v>
      </c>
    </row>
    <row r="13305" spans="1:2" x14ac:dyDescent="0.25">
      <c r="A13305" s="75">
        <v>51171621</v>
      </c>
      <c r="B13305" s="76" t="s">
        <v>16831</v>
      </c>
    </row>
    <row r="13306" spans="1:2" x14ac:dyDescent="0.25">
      <c r="A13306" s="75">
        <v>51171622</v>
      </c>
      <c r="B13306" s="76" t="s">
        <v>14317</v>
      </c>
    </row>
    <row r="13307" spans="1:2" x14ac:dyDescent="0.25">
      <c r="A13307" s="75">
        <v>51171623</v>
      </c>
      <c r="B13307" s="76" t="s">
        <v>12076</v>
      </c>
    </row>
    <row r="13308" spans="1:2" x14ac:dyDescent="0.25">
      <c r="A13308" s="75">
        <v>51171624</v>
      </c>
      <c r="B13308" s="76" t="s">
        <v>17561</v>
      </c>
    </row>
    <row r="13309" spans="1:2" x14ac:dyDescent="0.25">
      <c r="A13309" s="75">
        <v>51171626</v>
      </c>
      <c r="B13309" s="76" t="s">
        <v>10824</v>
      </c>
    </row>
    <row r="13310" spans="1:2" x14ac:dyDescent="0.25">
      <c r="A13310" s="75">
        <v>51171627</v>
      </c>
      <c r="B13310" s="76" t="s">
        <v>17386</v>
      </c>
    </row>
    <row r="13311" spans="1:2" x14ac:dyDescent="0.25">
      <c r="A13311" s="75">
        <v>51171628</v>
      </c>
      <c r="B13311" s="76" t="s">
        <v>19753</v>
      </c>
    </row>
    <row r="13312" spans="1:2" x14ac:dyDescent="0.25">
      <c r="A13312" s="75">
        <v>51171629</v>
      </c>
      <c r="B13312" s="76" t="s">
        <v>10892</v>
      </c>
    </row>
    <row r="13313" spans="1:2" x14ac:dyDescent="0.25">
      <c r="A13313" s="75">
        <v>51171630</v>
      </c>
      <c r="B13313" s="76" t="s">
        <v>16485</v>
      </c>
    </row>
    <row r="13314" spans="1:2" x14ac:dyDescent="0.25">
      <c r="A13314" s="75">
        <v>51171631</v>
      </c>
      <c r="B13314" s="76" t="s">
        <v>19817</v>
      </c>
    </row>
    <row r="13315" spans="1:2" x14ac:dyDescent="0.25">
      <c r="A13315" s="75">
        <v>51171632</v>
      </c>
      <c r="B13315" s="76" t="s">
        <v>11642</v>
      </c>
    </row>
    <row r="13316" spans="1:2" x14ac:dyDescent="0.25">
      <c r="A13316" s="75">
        <v>51171701</v>
      </c>
      <c r="B13316" s="76" t="s">
        <v>11766</v>
      </c>
    </row>
    <row r="13317" spans="1:2" x14ac:dyDescent="0.25">
      <c r="A13317" s="75">
        <v>51171702</v>
      </c>
      <c r="B13317" s="76" t="s">
        <v>17034</v>
      </c>
    </row>
    <row r="13318" spans="1:2" x14ac:dyDescent="0.25">
      <c r="A13318" s="75">
        <v>51171703</v>
      </c>
      <c r="B13318" s="76" t="s">
        <v>12836</v>
      </c>
    </row>
    <row r="13319" spans="1:2" x14ac:dyDescent="0.25">
      <c r="A13319" s="75">
        <v>51171704</v>
      </c>
      <c r="B13319" s="76" t="s">
        <v>12386</v>
      </c>
    </row>
    <row r="13320" spans="1:2" x14ac:dyDescent="0.25">
      <c r="A13320" s="75">
        <v>51171706</v>
      </c>
      <c r="B13320" s="76" t="s">
        <v>6823</v>
      </c>
    </row>
    <row r="13321" spans="1:2" x14ac:dyDescent="0.25">
      <c r="A13321" s="75">
        <v>51171707</v>
      </c>
      <c r="B13321" s="76" t="s">
        <v>13273</v>
      </c>
    </row>
    <row r="13322" spans="1:2" x14ac:dyDescent="0.25">
      <c r="A13322" s="75">
        <v>51171708</v>
      </c>
      <c r="B13322" s="76" t="s">
        <v>18101</v>
      </c>
    </row>
    <row r="13323" spans="1:2" x14ac:dyDescent="0.25">
      <c r="A13323" s="75">
        <v>51171709</v>
      </c>
      <c r="B13323" s="76" t="s">
        <v>6491</v>
      </c>
    </row>
    <row r="13324" spans="1:2" x14ac:dyDescent="0.25">
      <c r="A13324" s="75">
        <v>51171710</v>
      </c>
      <c r="B13324" s="76" t="s">
        <v>17723</v>
      </c>
    </row>
    <row r="13325" spans="1:2" x14ac:dyDescent="0.25">
      <c r="A13325" s="75">
        <v>51171711</v>
      </c>
      <c r="B13325" s="76" t="s">
        <v>12155</v>
      </c>
    </row>
    <row r="13326" spans="1:2" x14ac:dyDescent="0.25">
      <c r="A13326" s="75">
        <v>51171712</v>
      </c>
      <c r="B13326" s="76" t="s">
        <v>11335</v>
      </c>
    </row>
    <row r="13327" spans="1:2" x14ac:dyDescent="0.25">
      <c r="A13327" s="75">
        <v>51171801</v>
      </c>
      <c r="B13327" s="76" t="s">
        <v>1775</v>
      </c>
    </row>
    <row r="13328" spans="1:2" x14ac:dyDescent="0.25">
      <c r="A13328" s="75">
        <v>51171802</v>
      </c>
      <c r="B13328" s="76" t="s">
        <v>19730</v>
      </c>
    </row>
    <row r="13329" spans="1:2" x14ac:dyDescent="0.25">
      <c r="A13329" s="75">
        <v>51171803</v>
      </c>
      <c r="B13329" s="76" t="s">
        <v>2609</v>
      </c>
    </row>
    <row r="13330" spans="1:2" x14ac:dyDescent="0.25">
      <c r="A13330" s="75">
        <v>51171804</v>
      </c>
      <c r="B13330" s="76" t="s">
        <v>17981</v>
      </c>
    </row>
    <row r="13331" spans="1:2" x14ac:dyDescent="0.25">
      <c r="A13331" s="75">
        <v>51171805</v>
      </c>
      <c r="B13331" s="76" t="s">
        <v>4863</v>
      </c>
    </row>
    <row r="13332" spans="1:2" x14ac:dyDescent="0.25">
      <c r="A13332" s="75">
        <v>51171806</v>
      </c>
      <c r="B13332" s="76" t="s">
        <v>2908</v>
      </c>
    </row>
    <row r="13333" spans="1:2" x14ac:dyDescent="0.25">
      <c r="A13333" s="75">
        <v>51171807</v>
      </c>
      <c r="B13333" s="76" t="s">
        <v>14044</v>
      </c>
    </row>
    <row r="13334" spans="1:2" x14ac:dyDescent="0.25">
      <c r="A13334" s="75">
        <v>51171808</v>
      </c>
      <c r="B13334" s="76" t="s">
        <v>7443</v>
      </c>
    </row>
    <row r="13335" spans="1:2" x14ac:dyDescent="0.25">
      <c r="A13335" s="75">
        <v>51171809</v>
      </c>
      <c r="B13335" s="76" t="s">
        <v>10843</v>
      </c>
    </row>
    <row r="13336" spans="1:2" x14ac:dyDescent="0.25">
      <c r="A13336" s="75">
        <v>51171811</v>
      </c>
      <c r="B13336" s="76" t="s">
        <v>87</v>
      </c>
    </row>
    <row r="13337" spans="1:2" x14ac:dyDescent="0.25">
      <c r="A13337" s="75">
        <v>51171812</v>
      </c>
      <c r="B13337" s="76" t="s">
        <v>16223</v>
      </c>
    </row>
    <row r="13338" spans="1:2" x14ac:dyDescent="0.25">
      <c r="A13338" s="75">
        <v>51171813</v>
      </c>
      <c r="B13338" s="76" t="s">
        <v>280</v>
      </c>
    </row>
    <row r="13339" spans="1:2" x14ac:dyDescent="0.25">
      <c r="A13339" s="75">
        <v>51171814</v>
      </c>
      <c r="B13339" s="76" t="s">
        <v>10574</v>
      </c>
    </row>
    <row r="13340" spans="1:2" x14ac:dyDescent="0.25">
      <c r="A13340" s="75">
        <v>51171815</v>
      </c>
      <c r="B13340" s="76" t="s">
        <v>15612</v>
      </c>
    </row>
    <row r="13341" spans="1:2" x14ac:dyDescent="0.25">
      <c r="A13341" s="75">
        <v>51171816</v>
      </c>
      <c r="B13341" s="76" t="s">
        <v>18544</v>
      </c>
    </row>
    <row r="13342" spans="1:2" x14ac:dyDescent="0.25">
      <c r="A13342" s="75">
        <v>51171817</v>
      </c>
      <c r="B13342" s="76" t="s">
        <v>8442</v>
      </c>
    </row>
    <row r="13343" spans="1:2" x14ac:dyDescent="0.25">
      <c r="A13343" s="75">
        <v>51171818</v>
      </c>
      <c r="B13343" s="76" t="s">
        <v>12325</v>
      </c>
    </row>
    <row r="13344" spans="1:2" x14ac:dyDescent="0.25">
      <c r="A13344" s="75">
        <v>51171819</v>
      </c>
      <c r="B13344" s="76" t="s">
        <v>8367</v>
      </c>
    </row>
    <row r="13345" spans="1:2" x14ac:dyDescent="0.25">
      <c r="A13345" s="75">
        <v>51171820</v>
      </c>
      <c r="B13345" s="76" t="s">
        <v>11328</v>
      </c>
    </row>
    <row r="13346" spans="1:2" x14ac:dyDescent="0.25">
      <c r="A13346" s="75">
        <v>51171821</v>
      </c>
      <c r="B13346" s="76" t="s">
        <v>4039</v>
      </c>
    </row>
    <row r="13347" spans="1:2" x14ac:dyDescent="0.25">
      <c r="A13347" s="75">
        <v>51171822</v>
      </c>
      <c r="B13347" s="76" t="s">
        <v>11684</v>
      </c>
    </row>
    <row r="13348" spans="1:2" x14ac:dyDescent="0.25">
      <c r="A13348" s="75">
        <v>51171901</v>
      </c>
      <c r="B13348" s="76" t="s">
        <v>16726</v>
      </c>
    </row>
    <row r="13349" spans="1:2" x14ac:dyDescent="0.25">
      <c r="A13349" s="75">
        <v>51171902</v>
      </c>
      <c r="B13349" s="76" t="s">
        <v>7346</v>
      </c>
    </row>
    <row r="13350" spans="1:2" x14ac:dyDescent="0.25">
      <c r="A13350" s="75">
        <v>51171903</v>
      </c>
      <c r="B13350" s="76" t="s">
        <v>2800</v>
      </c>
    </row>
    <row r="13351" spans="1:2" x14ac:dyDescent="0.25">
      <c r="A13351" s="75">
        <v>51171904</v>
      </c>
      <c r="B13351" s="76" t="s">
        <v>3594</v>
      </c>
    </row>
    <row r="13352" spans="1:2" x14ac:dyDescent="0.25">
      <c r="A13352" s="75">
        <v>51171905</v>
      </c>
      <c r="B13352" s="76" t="s">
        <v>641</v>
      </c>
    </row>
    <row r="13353" spans="1:2" x14ac:dyDescent="0.25">
      <c r="A13353" s="75">
        <v>51171906</v>
      </c>
      <c r="B13353" s="76" t="s">
        <v>1326</v>
      </c>
    </row>
    <row r="13354" spans="1:2" x14ac:dyDescent="0.25">
      <c r="A13354" s="75">
        <v>51171907</v>
      </c>
      <c r="B13354" s="76" t="s">
        <v>15416</v>
      </c>
    </row>
    <row r="13355" spans="1:2" x14ac:dyDescent="0.25">
      <c r="A13355" s="75">
        <v>51171908</v>
      </c>
      <c r="B13355" s="76" t="s">
        <v>1030</v>
      </c>
    </row>
    <row r="13356" spans="1:2" x14ac:dyDescent="0.25">
      <c r="A13356" s="75">
        <v>51171909</v>
      </c>
      <c r="B13356" s="76" t="s">
        <v>8762</v>
      </c>
    </row>
    <row r="13357" spans="1:2" x14ac:dyDescent="0.25">
      <c r="A13357" s="75">
        <v>51171910</v>
      </c>
      <c r="B13357" s="76" t="s">
        <v>11746</v>
      </c>
    </row>
    <row r="13358" spans="1:2" x14ac:dyDescent="0.25">
      <c r="A13358" s="75">
        <v>51171911</v>
      </c>
      <c r="B13358" s="76" t="s">
        <v>11714</v>
      </c>
    </row>
    <row r="13359" spans="1:2" x14ac:dyDescent="0.25">
      <c r="A13359" s="75">
        <v>51171912</v>
      </c>
      <c r="B13359" s="76" t="s">
        <v>19914</v>
      </c>
    </row>
    <row r="13360" spans="1:2" x14ac:dyDescent="0.25">
      <c r="A13360" s="75">
        <v>51171913</v>
      </c>
      <c r="B13360" s="76" t="s">
        <v>19889</v>
      </c>
    </row>
    <row r="13361" spans="1:2" x14ac:dyDescent="0.25">
      <c r="A13361" s="75">
        <v>51171914</v>
      </c>
      <c r="B13361" s="76" t="s">
        <v>10833</v>
      </c>
    </row>
    <row r="13362" spans="1:2" x14ac:dyDescent="0.25">
      <c r="A13362" s="75">
        <v>51171915</v>
      </c>
      <c r="B13362" s="76" t="s">
        <v>16814</v>
      </c>
    </row>
    <row r="13363" spans="1:2" x14ac:dyDescent="0.25">
      <c r="A13363" s="75">
        <v>51171916</v>
      </c>
      <c r="B13363" s="76" t="s">
        <v>6738</v>
      </c>
    </row>
    <row r="13364" spans="1:2" x14ac:dyDescent="0.25">
      <c r="A13364" s="75">
        <v>51171917</v>
      </c>
      <c r="B13364" s="76" t="s">
        <v>3549</v>
      </c>
    </row>
    <row r="13365" spans="1:2" x14ac:dyDescent="0.25">
      <c r="A13365" s="75">
        <v>51171918</v>
      </c>
      <c r="B13365" s="76" t="s">
        <v>11409</v>
      </c>
    </row>
    <row r="13366" spans="1:2" x14ac:dyDescent="0.25">
      <c r="A13366" s="75">
        <v>51172001</v>
      </c>
      <c r="B13366" s="76" t="s">
        <v>11250</v>
      </c>
    </row>
    <row r="13367" spans="1:2" x14ac:dyDescent="0.25">
      <c r="A13367" s="75">
        <v>51172002</v>
      </c>
      <c r="B13367" s="76" t="s">
        <v>2346</v>
      </c>
    </row>
    <row r="13368" spans="1:2" x14ac:dyDescent="0.25">
      <c r="A13368" s="75">
        <v>51172003</v>
      </c>
      <c r="B13368" s="76" t="s">
        <v>19896</v>
      </c>
    </row>
    <row r="13369" spans="1:2" x14ac:dyDescent="0.25">
      <c r="A13369" s="75">
        <v>51172004</v>
      </c>
      <c r="B13369" s="76" t="s">
        <v>13584</v>
      </c>
    </row>
    <row r="13370" spans="1:2" x14ac:dyDescent="0.25">
      <c r="A13370" s="75">
        <v>51172101</v>
      </c>
      <c r="B13370" s="76" t="s">
        <v>15218</v>
      </c>
    </row>
    <row r="13371" spans="1:2" x14ac:dyDescent="0.25">
      <c r="A13371" s="75">
        <v>51172102</v>
      </c>
      <c r="B13371" s="76" t="s">
        <v>4618</v>
      </c>
    </row>
    <row r="13372" spans="1:2" x14ac:dyDescent="0.25">
      <c r="A13372" s="75">
        <v>51172103</v>
      </c>
      <c r="B13372" s="76" t="s">
        <v>7037</v>
      </c>
    </row>
    <row r="13373" spans="1:2" x14ac:dyDescent="0.25">
      <c r="A13373" s="75">
        <v>51172105</v>
      </c>
      <c r="B13373" s="76" t="s">
        <v>14502</v>
      </c>
    </row>
    <row r="13374" spans="1:2" x14ac:dyDescent="0.25">
      <c r="A13374" s="75">
        <v>51172106</v>
      </c>
      <c r="B13374" s="76" t="s">
        <v>16263</v>
      </c>
    </row>
    <row r="13375" spans="1:2" x14ac:dyDescent="0.25">
      <c r="A13375" s="75">
        <v>51172107</v>
      </c>
      <c r="B13375" s="76" t="s">
        <v>1496</v>
      </c>
    </row>
    <row r="13376" spans="1:2" x14ac:dyDescent="0.25">
      <c r="A13376" s="75">
        <v>51172108</v>
      </c>
      <c r="B13376" s="76" t="s">
        <v>13169</v>
      </c>
    </row>
    <row r="13377" spans="1:2" x14ac:dyDescent="0.25">
      <c r="A13377" s="75">
        <v>51172109</v>
      </c>
      <c r="B13377" s="76" t="s">
        <v>1729</v>
      </c>
    </row>
    <row r="13378" spans="1:2" x14ac:dyDescent="0.25">
      <c r="A13378" s="75">
        <v>51172110</v>
      </c>
      <c r="B13378" s="76" t="s">
        <v>9089</v>
      </c>
    </row>
    <row r="13379" spans="1:2" x14ac:dyDescent="0.25">
      <c r="A13379" s="75">
        <v>51172111</v>
      </c>
      <c r="B13379" s="76" t="s">
        <v>18073</v>
      </c>
    </row>
    <row r="13380" spans="1:2" x14ac:dyDescent="0.25">
      <c r="A13380" s="75">
        <v>51181501</v>
      </c>
      <c r="B13380" s="76" t="s">
        <v>12200</v>
      </c>
    </row>
    <row r="13381" spans="1:2" x14ac:dyDescent="0.25">
      <c r="A13381" s="75">
        <v>51181502</v>
      </c>
      <c r="B13381" s="76" t="s">
        <v>11608</v>
      </c>
    </row>
    <row r="13382" spans="1:2" x14ac:dyDescent="0.25">
      <c r="A13382" s="75">
        <v>51181503</v>
      </c>
      <c r="B13382" s="76" t="s">
        <v>16282</v>
      </c>
    </row>
    <row r="13383" spans="1:2" x14ac:dyDescent="0.25">
      <c r="A13383" s="75">
        <v>51181504</v>
      </c>
      <c r="B13383" s="76" t="s">
        <v>11545</v>
      </c>
    </row>
    <row r="13384" spans="1:2" x14ac:dyDescent="0.25">
      <c r="A13384" s="75">
        <v>51181505</v>
      </c>
      <c r="B13384" s="76" t="s">
        <v>9619</v>
      </c>
    </row>
    <row r="13385" spans="1:2" x14ac:dyDescent="0.25">
      <c r="A13385" s="75">
        <v>51181506</v>
      </c>
      <c r="B13385" s="76" t="s">
        <v>9194</v>
      </c>
    </row>
    <row r="13386" spans="1:2" x14ac:dyDescent="0.25">
      <c r="A13386" s="75">
        <v>51181508</v>
      </c>
      <c r="B13386" s="76" t="s">
        <v>3460</v>
      </c>
    </row>
    <row r="13387" spans="1:2" x14ac:dyDescent="0.25">
      <c r="A13387" s="75">
        <v>51181509</v>
      </c>
      <c r="B13387" s="76" t="s">
        <v>9092</v>
      </c>
    </row>
    <row r="13388" spans="1:2" x14ac:dyDescent="0.25">
      <c r="A13388" s="75">
        <v>51181510</v>
      </c>
      <c r="B13388" s="76" t="s">
        <v>17427</v>
      </c>
    </row>
    <row r="13389" spans="1:2" x14ac:dyDescent="0.25">
      <c r="A13389" s="75">
        <v>51181511</v>
      </c>
      <c r="B13389" s="76" t="s">
        <v>13927</v>
      </c>
    </row>
    <row r="13390" spans="1:2" x14ac:dyDescent="0.25">
      <c r="A13390" s="75">
        <v>51181513</v>
      </c>
      <c r="B13390" s="76" t="s">
        <v>19448</v>
      </c>
    </row>
    <row r="13391" spans="1:2" x14ac:dyDescent="0.25">
      <c r="A13391" s="75">
        <v>51181514</v>
      </c>
      <c r="B13391" s="76" t="s">
        <v>12182</v>
      </c>
    </row>
    <row r="13392" spans="1:2" x14ac:dyDescent="0.25">
      <c r="A13392" s="75">
        <v>51181515</v>
      </c>
      <c r="B13392" s="76" t="s">
        <v>10840</v>
      </c>
    </row>
    <row r="13393" spans="1:2" x14ac:dyDescent="0.25">
      <c r="A13393" s="75">
        <v>51181516</v>
      </c>
      <c r="B13393" s="76" t="s">
        <v>2783</v>
      </c>
    </row>
    <row r="13394" spans="1:2" x14ac:dyDescent="0.25">
      <c r="A13394" s="75">
        <v>51181517</v>
      </c>
      <c r="B13394" s="76" t="s">
        <v>12712</v>
      </c>
    </row>
    <row r="13395" spans="1:2" x14ac:dyDescent="0.25">
      <c r="A13395" s="75">
        <v>51181519</v>
      </c>
      <c r="B13395" s="76" t="s">
        <v>7716</v>
      </c>
    </row>
    <row r="13396" spans="1:2" x14ac:dyDescent="0.25">
      <c r="A13396" s="75">
        <v>51181520</v>
      </c>
      <c r="B13396" s="76" t="s">
        <v>10873</v>
      </c>
    </row>
    <row r="13397" spans="1:2" x14ac:dyDescent="0.25">
      <c r="A13397" s="75">
        <v>51181521</v>
      </c>
      <c r="B13397" s="76" t="s">
        <v>2646</v>
      </c>
    </row>
    <row r="13398" spans="1:2" x14ac:dyDescent="0.25">
      <c r="A13398" s="75">
        <v>51181522</v>
      </c>
      <c r="B13398" s="76" t="s">
        <v>7956</v>
      </c>
    </row>
    <row r="13399" spans="1:2" x14ac:dyDescent="0.25">
      <c r="A13399" s="75">
        <v>51181523</v>
      </c>
      <c r="B13399" s="76" t="s">
        <v>9223</v>
      </c>
    </row>
    <row r="13400" spans="1:2" x14ac:dyDescent="0.25">
      <c r="A13400" s="75">
        <v>51181524</v>
      </c>
      <c r="B13400" s="76" t="s">
        <v>14329</v>
      </c>
    </row>
    <row r="13401" spans="1:2" x14ac:dyDescent="0.25">
      <c r="A13401" s="75">
        <v>51181601</v>
      </c>
      <c r="B13401" s="76" t="s">
        <v>14642</v>
      </c>
    </row>
    <row r="13402" spans="1:2" x14ac:dyDescent="0.25">
      <c r="A13402" s="75">
        <v>51181602</v>
      </c>
      <c r="B13402" s="76" t="s">
        <v>12795</v>
      </c>
    </row>
    <row r="13403" spans="1:2" x14ac:dyDescent="0.25">
      <c r="A13403" s="75">
        <v>51181603</v>
      </c>
      <c r="B13403" s="76" t="s">
        <v>13747</v>
      </c>
    </row>
    <row r="13404" spans="1:2" x14ac:dyDescent="0.25">
      <c r="A13404" s="75">
        <v>51181604</v>
      </c>
      <c r="B13404" s="76" t="s">
        <v>9712</v>
      </c>
    </row>
    <row r="13405" spans="1:2" x14ac:dyDescent="0.25">
      <c r="A13405" s="75">
        <v>51181605</v>
      </c>
      <c r="B13405" s="76" t="s">
        <v>12980</v>
      </c>
    </row>
    <row r="13406" spans="1:2" x14ac:dyDescent="0.25">
      <c r="A13406" s="75">
        <v>51181606</v>
      </c>
      <c r="B13406" s="76" t="s">
        <v>5498</v>
      </c>
    </row>
    <row r="13407" spans="1:2" x14ac:dyDescent="0.25">
      <c r="A13407" s="75">
        <v>51181607</v>
      </c>
      <c r="B13407" s="76" t="s">
        <v>17302</v>
      </c>
    </row>
    <row r="13408" spans="1:2" x14ac:dyDescent="0.25">
      <c r="A13408" s="75">
        <v>51181608</v>
      </c>
      <c r="B13408" s="76" t="s">
        <v>13064</v>
      </c>
    </row>
    <row r="13409" spans="1:2" x14ac:dyDescent="0.25">
      <c r="A13409" s="75">
        <v>51181609</v>
      </c>
      <c r="B13409" s="76" t="s">
        <v>13041</v>
      </c>
    </row>
    <row r="13410" spans="1:2" x14ac:dyDescent="0.25">
      <c r="A13410" s="75">
        <v>51181701</v>
      </c>
      <c r="B13410" s="76" t="s">
        <v>3854</v>
      </c>
    </row>
    <row r="13411" spans="1:2" x14ac:dyDescent="0.25">
      <c r="A13411" s="75">
        <v>51181702</v>
      </c>
      <c r="B13411" s="76" t="s">
        <v>169</v>
      </c>
    </row>
    <row r="13412" spans="1:2" x14ac:dyDescent="0.25">
      <c r="A13412" s="75">
        <v>51181703</v>
      </c>
      <c r="B13412" s="76" t="s">
        <v>19718</v>
      </c>
    </row>
    <row r="13413" spans="1:2" x14ac:dyDescent="0.25">
      <c r="A13413" s="75">
        <v>51181704</v>
      </c>
      <c r="B13413" s="76" t="s">
        <v>1915</v>
      </c>
    </row>
    <row r="13414" spans="1:2" x14ac:dyDescent="0.25">
      <c r="A13414" s="75">
        <v>51181705</v>
      </c>
      <c r="B13414" s="76" t="s">
        <v>6941</v>
      </c>
    </row>
    <row r="13415" spans="1:2" x14ac:dyDescent="0.25">
      <c r="A13415" s="75">
        <v>51181706</v>
      </c>
      <c r="B13415" s="76" t="s">
        <v>6528</v>
      </c>
    </row>
    <row r="13416" spans="1:2" x14ac:dyDescent="0.25">
      <c r="A13416" s="75">
        <v>51181707</v>
      </c>
      <c r="B13416" s="76" t="s">
        <v>13395</v>
      </c>
    </row>
    <row r="13417" spans="1:2" x14ac:dyDescent="0.25">
      <c r="A13417" s="75">
        <v>51181708</v>
      </c>
      <c r="B13417" s="76" t="s">
        <v>17544</v>
      </c>
    </row>
    <row r="13418" spans="1:2" x14ac:dyDescent="0.25">
      <c r="A13418" s="75">
        <v>51181709</v>
      </c>
      <c r="B13418" s="76" t="s">
        <v>10332</v>
      </c>
    </row>
    <row r="13419" spans="1:2" x14ac:dyDescent="0.25">
      <c r="A13419" s="75">
        <v>51181710</v>
      </c>
      <c r="B13419" s="76" t="s">
        <v>12562</v>
      </c>
    </row>
    <row r="13420" spans="1:2" x14ac:dyDescent="0.25">
      <c r="A13420" s="75">
        <v>51181711</v>
      </c>
      <c r="B13420" s="76" t="s">
        <v>982</v>
      </c>
    </row>
    <row r="13421" spans="1:2" x14ac:dyDescent="0.25">
      <c r="A13421" s="75">
        <v>51181712</v>
      </c>
      <c r="B13421" s="76" t="s">
        <v>11265</v>
      </c>
    </row>
    <row r="13422" spans="1:2" x14ac:dyDescent="0.25">
      <c r="A13422" s="75">
        <v>51181713</v>
      </c>
      <c r="B13422" s="76" t="s">
        <v>15527</v>
      </c>
    </row>
    <row r="13423" spans="1:2" x14ac:dyDescent="0.25">
      <c r="A13423" s="75">
        <v>51181714</v>
      </c>
      <c r="B13423" s="76" t="s">
        <v>19795</v>
      </c>
    </row>
    <row r="13424" spans="1:2" x14ac:dyDescent="0.25">
      <c r="A13424" s="75">
        <v>51181715</v>
      </c>
      <c r="B13424" s="76" t="s">
        <v>14486</v>
      </c>
    </row>
    <row r="13425" spans="1:2" x14ac:dyDescent="0.25">
      <c r="A13425" s="75">
        <v>51181716</v>
      </c>
      <c r="B13425" s="76" t="s">
        <v>1338</v>
      </c>
    </row>
    <row r="13426" spans="1:2" x14ac:dyDescent="0.25">
      <c r="A13426" s="75">
        <v>51181717</v>
      </c>
      <c r="B13426" s="76" t="s">
        <v>19483</v>
      </c>
    </row>
    <row r="13427" spans="1:2" x14ac:dyDescent="0.25">
      <c r="A13427" s="75">
        <v>51181718</v>
      </c>
      <c r="B13427" s="76" t="s">
        <v>2216</v>
      </c>
    </row>
    <row r="13428" spans="1:2" x14ac:dyDescent="0.25">
      <c r="A13428" s="75">
        <v>51181719</v>
      </c>
      <c r="B13428" s="76" t="s">
        <v>8305</v>
      </c>
    </row>
    <row r="13429" spans="1:2" x14ac:dyDescent="0.25">
      <c r="A13429" s="75">
        <v>51181720</v>
      </c>
      <c r="B13429" s="76" t="s">
        <v>17087</v>
      </c>
    </row>
    <row r="13430" spans="1:2" x14ac:dyDescent="0.25">
      <c r="A13430" s="75">
        <v>51181721</v>
      </c>
      <c r="B13430" s="76" t="s">
        <v>14161</v>
      </c>
    </row>
    <row r="13431" spans="1:2" x14ac:dyDescent="0.25">
      <c r="A13431" s="75">
        <v>51181722</v>
      </c>
      <c r="B13431" s="76" t="s">
        <v>17693</v>
      </c>
    </row>
    <row r="13432" spans="1:2" x14ac:dyDescent="0.25">
      <c r="A13432" s="75">
        <v>51181723</v>
      </c>
      <c r="B13432" s="76" t="s">
        <v>16142</v>
      </c>
    </row>
    <row r="13433" spans="1:2" x14ac:dyDescent="0.25">
      <c r="A13433" s="75">
        <v>51181724</v>
      </c>
      <c r="B13433" s="76" t="s">
        <v>2287</v>
      </c>
    </row>
    <row r="13434" spans="1:2" x14ac:dyDescent="0.25">
      <c r="A13434" s="75">
        <v>51181725</v>
      </c>
      <c r="B13434" s="76" t="s">
        <v>542</v>
      </c>
    </row>
    <row r="13435" spans="1:2" x14ac:dyDescent="0.25">
      <c r="A13435" s="75">
        <v>51181726</v>
      </c>
      <c r="B13435" s="76" t="s">
        <v>8362</v>
      </c>
    </row>
    <row r="13436" spans="1:2" x14ac:dyDescent="0.25">
      <c r="A13436" s="75">
        <v>51181727</v>
      </c>
      <c r="B13436" s="76" t="s">
        <v>10165</v>
      </c>
    </row>
    <row r="13437" spans="1:2" x14ac:dyDescent="0.25">
      <c r="A13437" s="75">
        <v>51181728</v>
      </c>
      <c r="B13437" s="76" t="s">
        <v>4961</v>
      </c>
    </row>
    <row r="13438" spans="1:2" x14ac:dyDescent="0.25">
      <c r="A13438" s="75">
        <v>51181729</v>
      </c>
      <c r="B13438" s="76" t="s">
        <v>19067</v>
      </c>
    </row>
    <row r="13439" spans="1:2" x14ac:dyDescent="0.25">
      <c r="A13439" s="75">
        <v>51181730</v>
      </c>
      <c r="B13439" s="76" t="s">
        <v>7180</v>
      </c>
    </row>
    <row r="13440" spans="1:2" x14ac:dyDescent="0.25">
      <c r="A13440" s="75">
        <v>51181731</v>
      </c>
      <c r="B13440" s="76" t="s">
        <v>14917</v>
      </c>
    </row>
    <row r="13441" spans="1:2" x14ac:dyDescent="0.25">
      <c r="A13441" s="75">
        <v>51181732</v>
      </c>
      <c r="B13441" s="76" t="s">
        <v>18622</v>
      </c>
    </row>
    <row r="13442" spans="1:2" x14ac:dyDescent="0.25">
      <c r="A13442" s="75">
        <v>51181733</v>
      </c>
      <c r="B13442" s="76" t="s">
        <v>9108</v>
      </c>
    </row>
    <row r="13443" spans="1:2" x14ac:dyDescent="0.25">
      <c r="A13443" s="75">
        <v>51181734</v>
      </c>
      <c r="B13443" s="76" t="s">
        <v>9109</v>
      </c>
    </row>
    <row r="13444" spans="1:2" x14ac:dyDescent="0.25">
      <c r="A13444" s="75">
        <v>51181735</v>
      </c>
      <c r="B13444" s="76" t="s">
        <v>16265</v>
      </c>
    </row>
    <row r="13445" spans="1:2" x14ac:dyDescent="0.25">
      <c r="A13445" s="75">
        <v>51181736</v>
      </c>
      <c r="B13445" s="76" t="s">
        <v>17553</v>
      </c>
    </row>
    <row r="13446" spans="1:2" x14ac:dyDescent="0.25">
      <c r="A13446" s="75">
        <v>51181737</v>
      </c>
      <c r="B13446" s="76" t="s">
        <v>15969</v>
      </c>
    </row>
    <row r="13447" spans="1:2" x14ac:dyDescent="0.25">
      <c r="A13447" s="75">
        <v>51181738</v>
      </c>
      <c r="B13447" s="76" t="s">
        <v>4948</v>
      </c>
    </row>
    <row r="13448" spans="1:2" x14ac:dyDescent="0.25">
      <c r="A13448" s="75">
        <v>51181739</v>
      </c>
      <c r="B13448" s="76" t="s">
        <v>18420</v>
      </c>
    </row>
    <row r="13449" spans="1:2" x14ac:dyDescent="0.25">
      <c r="A13449" s="75">
        <v>51181740</v>
      </c>
      <c r="B13449" s="76" t="s">
        <v>17525</v>
      </c>
    </row>
    <row r="13450" spans="1:2" x14ac:dyDescent="0.25">
      <c r="A13450" s="75">
        <v>51181741</v>
      </c>
      <c r="B13450" s="76" t="s">
        <v>17585</v>
      </c>
    </row>
    <row r="13451" spans="1:2" x14ac:dyDescent="0.25">
      <c r="A13451" s="75">
        <v>51181742</v>
      </c>
      <c r="B13451" s="76" t="s">
        <v>5144</v>
      </c>
    </row>
    <row r="13452" spans="1:2" x14ac:dyDescent="0.25">
      <c r="A13452" s="75">
        <v>51181743</v>
      </c>
      <c r="B13452" s="76" t="s">
        <v>17754</v>
      </c>
    </row>
    <row r="13453" spans="1:2" x14ac:dyDescent="0.25">
      <c r="A13453" s="75">
        <v>51181744</v>
      </c>
      <c r="B13453" s="76" t="s">
        <v>17023</v>
      </c>
    </row>
    <row r="13454" spans="1:2" x14ac:dyDescent="0.25">
      <c r="A13454" s="75">
        <v>51181745</v>
      </c>
      <c r="B13454" s="76" t="s">
        <v>12756</v>
      </c>
    </row>
    <row r="13455" spans="1:2" x14ac:dyDescent="0.25">
      <c r="A13455" s="75">
        <v>51181746</v>
      </c>
      <c r="B13455" s="76" t="s">
        <v>9252</v>
      </c>
    </row>
    <row r="13456" spans="1:2" x14ac:dyDescent="0.25">
      <c r="A13456" s="75">
        <v>51181747</v>
      </c>
      <c r="B13456" s="76" t="s">
        <v>18549</v>
      </c>
    </row>
    <row r="13457" spans="1:2" x14ac:dyDescent="0.25">
      <c r="A13457" s="75">
        <v>51181748</v>
      </c>
      <c r="B13457" s="76" t="s">
        <v>8783</v>
      </c>
    </row>
    <row r="13458" spans="1:2" x14ac:dyDescent="0.25">
      <c r="A13458" s="75">
        <v>51181749</v>
      </c>
      <c r="B13458" s="76" t="s">
        <v>15873</v>
      </c>
    </row>
    <row r="13459" spans="1:2" x14ac:dyDescent="0.25">
      <c r="A13459" s="75">
        <v>51181750</v>
      </c>
      <c r="B13459" s="76" t="s">
        <v>18436</v>
      </c>
    </row>
    <row r="13460" spans="1:2" x14ac:dyDescent="0.25">
      <c r="A13460" s="75">
        <v>51181751</v>
      </c>
      <c r="B13460" s="76" t="s">
        <v>994</v>
      </c>
    </row>
    <row r="13461" spans="1:2" x14ac:dyDescent="0.25">
      <c r="A13461" s="75">
        <v>51181752</v>
      </c>
      <c r="B13461" s="76" t="s">
        <v>11340</v>
      </c>
    </row>
    <row r="13462" spans="1:2" x14ac:dyDescent="0.25">
      <c r="A13462" s="75">
        <v>51181753</v>
      </c>
      <c r="B13462" s="76" t="s">
        <v>3163</v>
      </c>
    </row>
    <row r="13463" spans="1:2" x14ac:dyDescent="0.25">
      <c r="A13463" s="75">
        <v>51181754</v>
      </c>
      <c r="B13463" s="76" t="s">
        <v>17557</v>
      </c>
    </row>
    <row r="13464" spans="1:2" x14ac:dyDescent="0.25">
      <c r="A13464" s="75">
        <v>51181755</v>
      </c>
      <c r="B13464" s="76" t="s">
        <v>16763</v>
      </c>
    </row>
    <row r="13465" spans="1:2" x14ac:dyDescent="0.25">
      <c r="A13465" s="75">
        <v>51181801</v>
      </c>
      <c r="B13465" s="76" t="s">
        <v>14645</v>
      </c>
    </row>
    <row r="13466" spans="1:2" x14ac:dyDescent="0.25">
      <c r="A13466" s="75">
        <v>51181802</v>
      </c>
      <c r="B13466" s="76" t="s">
        <v>6555</v>
      </c>
    </row>
    <row r="13467" spans="1:2" x14ac:dyDescent="0.25">
      <c r="A13467" s="75">
        <v>51181803</v>
      </c>
      <c r="B13467" s="76" t="s">
        <v>5592</v>
      </c>
    </row>
    <row r="13468" spans="1:2" x14ac:dyDescent="0.25">
      <c r="A13468" s="75">
        <v>51181804</v>
      </c>
      <c r="B13468" s="76" t="s">
        <v>11406</v>
      </c>
    </row>
    <row r="13469" spans="1:2" x14ac:dyDescent="0.25">
      <c r="A13469" s="75">
        <v>51181805</v>
      </c>
      <c r="B13469" s="76" t="s">
        <v>17067</v>
      </c>
    </row>
    <row r="13470" spans="1:2" x14ac:dyDescent="0.25">
      <c r="A13470" s="75">
        <v>51181806</v>
      </c>
      <c r="B13470" s="76" t="s">
        <v>13204</v>
      </c>
    </row>
    <row r="13471" spans="1:2" x14ac:dyDescent="0.25">
      <c r="A13471" s="75">
        <v>51181807</v>
      </c>
      <c r="B13471" s="76" t="s">
        <v>8578</v>
      </c>
    </row>
    <row r="13472" spans="1:2" x14ac:dyDescent="0.25">
      <c r="A13472" s="75">
        <v>51181808</v>
      </c>
      <c r="B13472" s="76" t="s">
        <v>1522</v>
      </c>
    </row>
    <row r="13473" spans="1:2" x14ac:dyDescent="0.25">
      <c r="A13473" s="75">
        <v>51181810</v>
      </c>
      <c r="B13473" s="76" t="s">
        <v>10821</v>
      </c>
    </row>
    <row r="13474" spans="1:2" x14ac:dyDescent="0.25">
      <c r="A13474" s="75">
        <v>51181811</v>
      </c>
      <c r="B13474" s="76" t="s">
        <v>5679</v>
      </c>
    </row>
    <row r="13475" spans="1:2" x14ac:dyDescent="0.25">
      <c r="A13475" s="75">
        <v>51181812</v>
      </c>
      <c r="B13475" s="76" t="s">
        <v>20015</v>
      </c>
    </row>
    <row r="13476" spans="1:2" x14ac:dyDescent="0.25">
      <c r="A13476" s="75">
        <v>51181813</v>
      </c>
      <c r="B13476" s="76" t="s">
        <v>2572</v>
      </c>
    </row>
    <row r="13477" spans="1:2" x14ac:dyDescent="0.25">
      <c r="A13477" s="75">
        <v>51181814</v>
      </c>
      <c r="B13477" s="76" t="s">
        <v>9672</v>
      </c>
    </row>
    <row r="13478" spans="1:2" x14ac:dyDescent="0.25">
      <c r="A13478" s="75">
        <v>51181815</v>
      </c>
      <c r="B13478" s="76" t="s">
        <v>11268</v>
      </c>
    </row>
    <row r="13479" spans="1:2" x14ac:dyDescent="0.25">
      <c r="A13479" s="75">
        <v>51181816</v>
      </c>
      <c r="B13479" s="76" t="s">
        <v>19011</v>
      </c>
    </row>
    <row r="13480" spans="1:2" x14ac:dyDescent="0.25">
      <c r="A13480" s="75">
        <v>51181817</v>
      </c>
      <c r="B13480" s="76" t="s">
        <v>17263</v>
      </c>
    </row>
    <row r="13481" spans="1:2" x14ac:dyDescent="0.25">
      <c r="A13481" s="75">
        <v>51181818</v>
      </c>
      <c r="B13481" s="76" t="s">
        <v>9578</v>
      </c>
    </row>
    <row r="13482" spans="1:2" x14ac:dyDescent="0.25">
      <c r="A13482" s="75">
        <v>51181819</v>
      </c>
      <c r="B13482" s="76" t="s">
        <v>610</v>
      </c>
    </row>
    <row r="13483" spans="1:2" x14ac:dyDescent="0.25">
      <c r="A13483" s="75">
        <v>51181820</v>
      </c>
      <c r="B13483" s="76" t="s">
        <v>12945</v>
      </c>
    </row>
    <row r="13484" spans="1:2" x14ac:dyDescent="0.25">
      <c r="A13484" s="75">
        <v>51181821</v>
      </c>
      <c r="B13484" s="76" t="s">
        <v>677</v>
      </c>
    </row>
    <row r="13485" spans="1:2" x14ac:dyDescent="0.25">
      <c r="A13485" s="75">
        <v>51181822</v>
      </c>
      <c r="B13485" s="76" t="s">
        <v>1337</v>
      </c>
    </row>
    <row r="13486" spans="1:2" x14ac:dyDescent="0.25">
      <c r="A13486" s="75">
        <v>51181823</v>
      </c>
      <c r="B13486" s="76" t="s">
        <v>789</v>
      </c>
    </row>
    <row r="13487" spans="1:2" x14ac:dyDescent="0.25">
      <c r="A13487" s="75">
        <v>51181824</v>
      </c>
      <c r="B13487" s="76" t="s">
        <v>8072</v>
      </c>
    </row>
    <row r="13488" spans="1:2" x14ac:dyDescent="0.25">
      <c r="A13488" s="75">
        <v>51181825</v>
      </c>
      <c r="B13488" s="76" t="s">
        <v>18493</v>
      </c>
    </row>
    <row r="13489" spans="1:2" x14ac:dyDescent="0.25">
      <c r="A13489" s="75">
        <v>51181826</v>
      </c>
      <c r="B13489" s="76" t="s">
        <v>17969</v>
      </c>
    </row>
    <row r="13490" spans="1:2" x14ac:dyDescent="0.25">
      <c r="A13490" s="75">
        <v>51181827</v>
      </c>
      <c r="B13490" s="76" t="s">
        <v>18736</v>
      </c>
    </row>
    <row r="13491" spans="1:2" x14ac:dyDescent="0.25">
      <c r="A13491" s="75">
        <v>51181828</v>
      </c>
      <c r="B13491" s="76" t="s">
        <v>14980</v>
      </c>
    </row>
    <row r="13492" spans="1:2" x14ac:dyDescent="0.25">
      <c r="A13492" s="75">
        <v>51181829</v>
      </c>
      <c r="B13492" s="76" t="s">
        <v>19121</v>
      </c>
    </row>
    <row r="13493" spans="1:2" x14ac:dyDescent="0.25">
      <c r="A13493" s="75">
        <v>51181830</v>
      </c>
      <c r="B13493" s="76" t="s">
        <v>1246</v>
      </c>
    </row>
    <row r="13494" spans="1:2" x14ac:dyDescent="0.25">
      <c r="A13494" s="75">
        <v>51181831</v>
      </c>
      <c r="B13494" s="76" t="s">
        <v>4919</v>
      </c>
    </row>
    <row r="13495" spans="1:2" x14ac:dyDescent="0.25">
      <c r="A13495" s="75">
        <v>51181832</v>
      </c>
      <c r="B13495" s="76" t="s">
        <v>13607</v>
      </c>
    </row>
    <row r="13496" spans="1:2" x14ac:dyDescent="0.25">
      <c r="A13496" s="75">
        <v>51181833</v>
      </c>
      <c r="B13496" s="76" t="s">
        <v>8928</v>
      </c>
    </row>
    <row r="13497" spans="1:2" x14ac:dyDescent="0.25">
      <c r="A13497" s="75">
        <v>51181834</v>
      </c>
      <c r="B13497" s="76" t="s">
        <v>13694</v>
      </c>
    </row>
    <row r="13498" spans="1:2" x14ac:dyDescent="0.25">
      <c r="A13498" s="75">
        <v>51181901</v>
      </c>
      <c r="B13498" s="76" t="s">
        <v>16555</v>
      </c>
    </row>
    <row r="13499" spans="1:2" x14ac:dyDescent="0.25">
      <c r="A13499" s="75">
        <v>51181902</v>
      </c>
      <c r="B13499" s="76" t="s">
        <v>5061</v>
      </c>
    </row>
    <row r="13500" spans="1:2" x14ac:dyDescent="0.25">
      <c r="A13500" s="75">
        <v>51181903</v>
      </c>
      <c r="B13500" s="76" t="s">
        <v>18007</v>
      </c>
    </row>
    <row r="13501" spans="1:2" x14ac:dyDescent="0.25">
      <c r="A13501" s="75">
        <v>51181904</v>
      </c>
      <c r="B13501" s="76" t="s">
        <v>13595</v>
      </c>
    </row>
    <row r="13502" spans="1:2" x14ac:dyDescent="0.25">
      <c r="A13502" s="75">
        <v>51181905</v>
      </c>
      <c r="B13502" s="76" t="s">
        <v>7044</v>
      </c>
    </row>
    <row r="13503" spans="1:2" x14ac:dyDescent="0.25">
      <c r="A13503" s="75">
        <v>51181906</v>
      </c>
      <c r="B13503" s="76" t="s">
        <v>7450</v>
      </c>
    </row>
    <row r="13504" spans="1:2" x14ac:dyDescent="0.25">
      <c r="A13504" s="75">
        <v>51181908</v>
      </c>
      <c r="B13504" s="76" t="s">
        <v>2953</v>
      </c>
    </row>
    <row r="13505" spans="1:2" x14ac:dyDescent="0.25">
      <c r="A13505" s="75">
        <v>51181911</v>
      </c>
      <c r="B13505" s="76" t="s">
        <v>6662</v>
      </c>
    </row>
    <row r="13506" spans="1:2" x14ac:dyDescent="0.25">
      <c r="A13506" s="75">
        <v>51181912</v>
      </c>
      <c r="B13506" s="76" t="s">
        <v>11705</v>
      </c>
    </row>
    <row r="13507" spans="1:2" x14ac:dyDescent="0.25">
      <c r="A13507" s="75">
        <v>51181913</v>
      </c>
      <c r="B13507" s="76" t="s">
        <v>16916</v>
      </c>
    </row>
    <row r="13508" spans="1:2" x14ac:dyDescent="0.25">
      <c r="A13508" s="75">
        <v>51182001</v>
      </c>
      <c r="B13508" s="76" t="s">
        <v>8632</v>
      </c>
    </row>
    <row r="13509" spans="1:2" x14ac:dyDescent="0.25">
      <c r="A13509" s="75">
        <v>51182002</v>
      </c>
      <c r="B13509" s="76" t="s">
        <v>13311</v>
      </c>
    </row>
    <row r="13510" spans="1:2" x14ac:dyDescent="0.25">
      <c r="A13510" s="75">
        <v>51182003</v>
      </c>
      <c r="B13510" s="76" t="s">
        <v>16153</v>
      </c>
    </row>
    <row r="13511" spans="1:2" x14ac:dyDescent="0.25">
      <c r="A13511" s="75">
        <v>51182004</v>
      </c>
      <c r="B13511" s="76" t="s">
        <v>20040</v>
      </c>
    </row>
    <row r="13512" spans="1:2" x14ac:dyDescent="0.25">
      <c r="A13512" s="75">
        <v>51182005</v>
      </c>
      <c r="B13512" s="76" t="s">
        <v>15716</v>
      </c>
    </row>
    <row r="13513" spans="1:2" x14ac:dyDescent="0.25">
      <c r="A13513" s="75">
        <v>51182006</v>
      </c>
      <c r="B13513" s="76" t="s">
        <v>4926</v>
      </c>
    </row>
    <row r="13514" spans="1:2" x14ac:dyDescent="0.25">
      <c r="A13514" s="75">
        <v>51182007</v>
      </c>
      <c r="B13514" s="76" t="s">
        <v>3929</v>
      </c>
    </row>
    <row r="13515" spans="1:2" x14ac:dyDescent="0.25">
      <c r="A13515" s="75">
        <v>51182008</v>
      </c>
      <c r="B13515" s="76" t="s">
        <v>16204</v>
      </c>
    </row>
    <row r="13516" spans="1:2" x14ac:dyDescent="0.25">
      <c r="A13516" s="75">
        <v>51182009</v>
      </c>
      <c r="B13516" s="76" t="s">
        <v>11855</v>
      </c>
    </row>
    <row r="13517" spans="1:2" x14ac:dyDescent="0.25">
      <c r="A13517" s="75">
        <v>51182010</v>
      </c>
      <c r="B13517" s="76" t="s">
        <v>1563</v>
      </c>
    </row>
    <row r="13518" spans="1:2" x14ac:dyDescent="0.25">
      <c r="A13518" s="75">
        <v>51182011</v>
      </c>
      <c r="B13518" s="76" t="s">
        <v>11658</v>
      </c>
    </row>
    <row r="13519" spans="1:2" x14ac:dyDescent="0.25">
      <c r="A13519" s="75">
        <v>51182012</v>
      </c>
      <c r="B13519" s="76" t="s">
        <v>15919</v>
      </c>
    </row>
    <row r="13520" spans="1:2" x14ac:dyDescent="0.25">
      <c r="A13520" s="75">
        <v>51182013</v>
      </c>
      <c r="B13520" s="76" t="s">
        <v>5446</v>
      </c>
    </row>
    <row r="13521" spans="1:2" x14ac:dyDescent="0.25">
      <c r="A13521" s="75">
        <v>51182014</v>
      </c>
      <c r="B13521" s="76" t="s">
        <v>10934</v>
      </c>
    </row>
    <row r="13522" spans="1:2" x14ac:dyDescent="0.25">
      <c r="A13522" s="75">
        <v>51182101</v>
      </c>
      <c r="B13522" s="76" t="s">
        <v>8955</v>
      </c>
    </row>
    <row r="13523" spans="1:2" x14ac:dyDescent="0.25">
      <c r="A13523" s="75">
        <v>51182102</v>
      </c>
      <c r="B13523" s="76" t="s">
        <v>7947</v>
      </c>
    </row>
    <row r="13524" spans="1:2" x14ac:dyDescent="0.25">
      <c r="A13524" s="75">
        <v>51182201</v>
      </c>
      <c r="B13524" s="76" t="s">
        <v>12577</v>
      </c>
    </row>
    <row r="13525" spans="1:2" x14ac:dyDescent="0.25">
      <c r="A13525" s="75">
        <v>51182202</v>
      </c>
      <c r="B13525" s="76" t="s">
        <v>17369</v>
      </c>
    </row>
    <row r="13526" spans="1:2" x14ac:dyDescent="0.25">
      <c r="A13526" s="75">
        <v>51182203</v>
      </c>
      <c r="B13526" s="76" t="s">
        <v>10023</v>
      </c>
    </row>
    <row r="13527" spans="1:2" x14ac:dyDescent="0.25">
      <c r="A13527" s="75">
        <v>51182204</v>
      </c>
      <c r="B13527" s="76" t="s">
        <v>16274</v>
      </c>
    </row>
    <row r="13528" spans="1:2" x14ac:dyDescent="0.25">
      <c r="A13528" s="75">
        <v>51182301</v>
      </c>
      <c r="B13528" s="76" t="s">
        <v>16727</v>
      </c>
    </row>
    <row r="13529" spans="1:2" x14ac:dyDescent="0.25">
      <c r="A13529" s="75">
        <v>51182302</v>
      </c>
      <c r="B13529" s="76" t="s">
        <v>14358</v>
      </c>
    </row>
    <row r="13530" spans="1:2" x14ac:dyDescent="0.25">
      <c r="A13530" s="75">
        <v>51182303</v>
      </c>
      <c r="B13530" s="76" t="s">
        <v>2359</v>
      </c>
    </row>
    <row r="13531" spans="1:2" x14ac:dyDescent="0.25">
      <c r="A13531" s="75">
        <v>51182304</v>
      </c>
      <c r="B13531" s="76" t="s">
        <v>732</v>
      </c>
    </row>
    <row r="13532" spans="1:2" x14ac:dyDescent="0.25">
      <c r="A13532" s="75">
        <v>51182401</v>
      </c>
      <c r="B13532" s="76" t="s">
        <v>7650</v>
      </c>
    </row>
    <row r="13533" spans="1:2" x14ac:dyDescent="0.25">
      <c r="A13533" s="75">
        <v>51182403</v>
      </c>
      <c r="B13533" s="76" t="s">
        <v>8397</v>
      </c>
    </row>
    <row r="13534" spans="1:2" x14ac:dyDescent="0.25">
      <c r="A13534" s="75">
        <v>51182404</v>
      </c>
      <c r="B13534" s="76" t="s">
        <v>6586</v>
      </c>
    </row>
    <row r="13535" spans="1:2" x14ac:dyDescent="0.25">
      <c r="A13535" s="75">
        <v>51182405</v>
      </c>
      <c r="B13535" s="76" t="s">
        <v>9241</v>
      </c>
    </row>
    <row r="13536" spans="1:2" x14ac:dyDescent="0.25">
      <c r="A13536" s="75">
        <v>51182406</v>
      </c>
      <c r="B13536" s="76" t="s">
        <v>3997</v>
      </c>
    </row>
    <row r="13537" spans="1:2" x14ac:dyDescent="0.25">
      <c r="A13537" s="75">
        <v>51182407</v>
      </c>
      <c r="B13537" s="76" t="s">
        <v>10478</v>
      </c>
    </row>
    <row r="13538" spans="1:2" x14ac:dyDescent="0.25">
      <c r="A13538" s="75">
        <v>51182408</v>
      </c>
      <c r="B13538" s="76" t="s">
        <v>17257</v>
      </c>
    </row>
    <row r="13539" spans="1:2" x14ac:dyDescent="0.25">
      <c r="A13539" s="75">
        <v>51182409</v>
      </c>
      <c r="B13539" s="76" t="s">
        <v>5823</v>
      </c>
    </row>
    <row r="13540" spans="1:2" x14ac:dyDescent="0.25">
      <c r="A13540" s="75">
        <v>51182410</v>
      </c>
      <c r="B13540" s="76" t="s">
        <v>12281</v>
      </c>
    </row>
    <row r="13541" spans="1:2" x14ac:dyDescent="0.25">
      <c r="A13541" s="75">
        <v>51182411</v>
      </c>
      <c r="B13541" s="76" t="s">
        <v>14880</v>
      </c>
    </row>
    <row r="13542" spans="1:2" x14ac:dyDescent="0.25">
      <c r="A13542" s="75">
        <v>51182412</v>
      </c>
      <c r="B13542" s="76" t="s">
        <v>17529</v>
      </c>
    </row>
    <row r="13543" spans="1:2" x14ac:dyDescent="0.25">
      <c r="A13543" s="75">
        <v>51182413</v>
      </c>
      <c r="B13543" s="76" t="s">
        <v>16034</v>
      </c>
    </row>
    <row r="13544" spans="1:2" x14ac:dyDescent="0.25">
      <c r="A13544" s="75">
        <v>51182415</v>
      </c>
      <c r="B13544" s="76" t="s">
        <v>16222</v>
      </c>
    </row>
    <row r="13545" spans="1:2" x14ac:dyDescent="0.25">
      <c r="A13545" s="75">
        <v>51182416</v>
      </c>
      <c r="B13545" s="76" t="s">
        <v>14714</v>
      </c>
    </row>
    <row r="13546" spans="1:2" x14ac:dyDescent="0.25">
      <c r="A13546" s="75">
        <v>51182417</v>
      </c>
      <c r="B13546" s="76" t="s">
        <v>19255</v>
      </c>
    </row>
    <row r="13547" spans="1:2" x14ac:dyDescent="0.25">
      <c r="A13547" s="75">
        <v>51182418</v>
      </c>
      <c r="B13547" s="76" t="s">
        <v>3656</v>
      </c>
    </row>
    <row r="13548" spans="1:2" x14ac:dyDescent="0.25">
      <c r="A13548" s="75">
        <v>51182419</v>
      </c>
      <c r="B13548" s="76" t="s">
        <v>12731</v>
      </c>
    </row>
    <row r="13549" spans="1:2" x14ac:dyDescent="0.25">
      <c r="A13549" s="75">
        <v>51182420</v>
      </c>
      <c r="B13549" s="76" t="s">
        <v>14306</v>
      </c>
    </row>
    <row r="13550" spans="1:2" x14ac:dyDescent="0.25">
      <c r="A13550" s="75">
        <v>51191501</v>
      </c>
      <c r="B13550" s="76" t="s">
        <v>5038</v>
      </c>
    </row>
    <row r="13551" spans="1:2" x14ac:dyDescent="0.25">
      <c r="A13551" s="75">
        <v>51191502</v>
      </c>
      <c r="B13551" s="76" t="s">
        <v>13224</v>
      </c>
    </row>
    <row r="13552" spans="1:2" x14ac:dyDescent="0.25">
      <c r="A13552" s="75">
        <v>51191503</v>
      </c>
      <c r="B13552" s="76" t="s">
        <v>5993</v>
      </c>
    </row>
    <row r="13553" spans="1:2" x14ac:dyDescent="0.25">
      <c r="A13553" s="75">
        <v>51191504</v>
      </c>
      <c r="B13553" s="76" t="s">
        <v>20021</v>
      </c>
    </row>
    <row r="13554" spans="1:2" x14ac:dyDescent="0.25">
      <c r="A13554" s="75">
        <v>51191505</v>
      </c>
      <c r="B13554" s="76" t="s">
        <v>15469</v>
      </c>
    </row>
    <row r="13555" spans="1:2" x14ac:dyDescent="0.25">
      <c r="A13555" s="75">
        <v>51191506</v>
      </c>
      <c r="B13555" s="76" t="s">
        <v>16462</v>
      </c>
    </row>
    <row r="13556" spans="1:2" x14ac:dyDescent="0.25">
      <c r="A13556" s="75">
        <v>51191507</v>
      </c>
      <c r="B13556" s="76" t="s">
        <v>10660</v>
      </c>
    </row>
    <row r="13557" spans="1:2" x14ac:dyDescent="0.25">
      <c r="A13557" s="75">
        <v>51191508</v>
      </c>
      <c r="B13557" s="76" t="s">
        <v>18466</v>
      </c>
    </row>
    <row r="13558" spans="1:2" x14ac:dyDescent="0.25">
      <c r="A13558" s="75">
        <v>51191509</v>
      </c>
      <c r="B13558" s="76" t="s">
        <v>8191</v>
      </c>
    </row>
    <row r="13559" spans="1:2" x14ac:dyDescent="0.25">
      <c r="A13559" s="75">
        <v>51191510</v>
      </c>
      <c r="B13559" s="76" t="s">
        <v>13314</v>
      </c>
    </row>
    <row r="13560" spans="1:2" x14ac:dyDescent="0.25">
      <c r="A13560" s="75">
        <v>51191511</v>
      </c>
      <c r="B13560" s="76" t="s">
        <v>19002</v>
      </c>
    </row>
    <row r="13561" spans="1:2" x14ac:dyDescent="0.25">
      <c r="A13561" s="75">
        <v>51191512</v>
      </c>
      <c r="B13561" s="76" t="s">
        <v>9342</v>
      </c>
    </row>
    <row r="13562" spans="1:2" x14ac:dyDescent="0.25">
      <c r="A13562" s="75">
        <v>51191513</v>
      </c>
      <c r="B13562" s="76" t="s">
        <v>11750</v>
      </c>
    </row>
    <row r="13563" spans="1:2" x14ac:dyDescent="0.25">
      <c r="A13563" s="75">
        <v>51191514</v>
      </c>
      <c r="B13563" s="76" t="s">
        <v>6333</v>
      </c>
    </row>
    <row r="13564" spans="1:2" x14ac:dyDescent="0.25">
      <c r="A13564" s="75">
        <v>51191515</v>
      </c>
      <c r="B13564" s="76" t="s">
        <v>17105</v>
      </c>
    </row>
    <row r="13565" spans="1:2" x14ac:dyDescent="0.25">
      <c r="A13565" s="75">
        <v>51191516</v>
      </c>
      <c r="B13565" s="76" t="s">
        <v>2722</v>
      </c>
    </row>
    <row r="13566" spans="1:2" x14ac:dyDescent="0.25">
      <c r="A13566" s="75">
        <v>51191517</v>
      </c>
      <c r="B13566" s="76" t="s">
        <v>7562</v>
      </c>
    </row>
    <row r="13567" spans="1:2" x14ac:dyDescent="0.25">
      <c r="A13567" s="75">
        <v>51191518</v>
      </c>
      <c r="B13567" s="76" t="s">
        <v>17531</v>
      </c>
    </row>
    <row r="13568" spans="1:2" x14ac:dyDescent="0.25">
      <c r="A13568" s="75">
        <v>51191519</v>
      </c>
      <c r="B13568" s="76" t="s">
        <v>6219</v>
      </c>
    </row>
    <row r="13569" spans="1:2" x14ac:dyDescent="0.25">
      <c r="A13569" s="75">
        <v>51191520</v>
      </c>
      <c r="B13569" s="76" t="s">
        <v>18617</v>
      </c>
    </row>
    <row r="13570" spans="1:2" x14ac:dyDescent="0.25">
      <c r="A13570" s="75">
        <v>51191521</v>
      </c>
      <c r="B13570" s="76" t="s">
        <v>0</v>
      </c>
    </row>
    <row r="13571" spans="1:2" x14ac:dyDescent="0.25">
      <c r="A13571" s="75">
        <v>51191522</v>
      </c>
      <c r="B13571" s="76" t="s">
        <v>11056</v>
      </c>
    </row>
    <row r="13572" spans="1:2" x14ac:dyDescent="0.25">
      <c r="A13572" s="75">
        <v>51191523</v>
      </c>
      <c r="B13572" s="76" t="s">
        <v>14239</v>
      </c>
    </row>
    <row r="13573" spans="1:2" x14ac:dyDescent="0.25">
      <c r="A13573" s="75">
        <v>51191601</v>
      </c>
      <c r="B13573" s="76" t="s">
        <v>17929</v>
      </c>
    </row>
    <row r="13574" spans="1:2" x14ac:dyDescent="0.25">
      <c r="A13574" s="75">
        <v>51191602</v>
      </c>
      <c r="B13574" s="76" t="s">
        <v>4155</v>
      </c>
    </row>
    <row r="13575" spans="1:2" x14ac:dyDescent="0.25">
      <c r="A13575" s="75">
        <v>51191603</v>
      </c>
      <c r="B13575" s="76" t="s">
        <v>17176</v>
      </c>
    </row>
    <row r="13576" spans="1:2" x14ac:dyDescent="0.25">
      <c r="A13576" s="75">
        <v>51191604</v>
      </c>
      <c r="B13576" s="76" t="s">
        <v>8798</v>
      </c>
    </row>
    <row r="13577" spans="1:2" x14ac:dyDescent="0.25">
      <c r="A13577" s="75">
        <v>51191701</v>
      </c>
      <c r="B13577" s="76" t="s">
        <v>1950</v>
      </c>
    </row>
    <row r="13578" spans="1:2" x14ac:dyDescent="0.25">
      <c r="A13578" s="75">
        <v>51191702</v>
      </c>
      <c r="B13578" s="76" t="s">
        <v>5944</v>
      </c>
    </row>
    <row r="13579" spans="1:2" x14ac:dyDescent="0.25">
      <c r="A13579" s="75">
        <v>51191703</v>
      </c>
      <c r="B13579" s="76" t="s">
        <v>15846</v>
      </c>
    </row>
    <row r="13580" spans="1:2" x14ac:dyDescent="0.25">
      <c r="A13580" s="75">
        <v>51191704</v>
      </c>
      <c r="B13580" s="76" t="s">
        <v>6238</v>
      </c>
    </row>
    <row r="13581" spans="1:2" x14ac:dyDescent="0.25">
      <c r="A13581" s="75">
        <v>51191705</v>
      </c>
      <c r="B13581" s="76" t="s">
        <v>1366</v>
      </c>
    </row>
    <row r="13582" spans="1:2" x14ac:dyDescent="0.25">
      <c r="A13582" s="75">
        <v>51191706</v>
      </c>
      <c r="B13582" s="76" t="s">
        <v>19742</v>
      </c>
    </row>
    <row r="13583" spans="1:2" x14ac:dyDescent="0.25">
      <c r="A13583" s="75">
        <v>51191801</v>
      </c>
      <c r="B13583" s="76" t="s">
        <v>2885</v>
      </c>
    </row>
    <row r="13584" spans="1:2" x14ac:dyDescent="0.25">
      <c r="A13584" s="75">
        <v>51191802</v>
      </c>
      <c r="B13584" s="76" t="s">
        <v>9322</v>
      </c>
    </row>
    <row r="13585" spans="1:2" x14ac:dyDescent="0.25">
      <c r="A13585" s="75">
        <v>51191803</v>
      </c>
      <c r="B13585" s="76" t="s">
        <v>13441</v>
      </c>
    </row>
    <row r="13586" spans="1:2" x14ac:dyDescent="0.25">
      <c r="A13586" s="75">
        <v>51191804</v>
      </c>
      <c r="B13586" s="76" t="s">
        <v>15814</v>
      </c>
    </row>
    <row r="13587" spans="1:2" x14ac:dyDescent="0.25">
      <c r="A13587" s="75">
        <v>51191805</v>
      </c>
      <c r="B13587" s="76" t="s">
        <v>4581</v>
      </c>
    </row>
    <row r="13588" spans="1:2" x14ac:dyDescent="0.25">
      <c r="A13588" s="75">
        <v>51191901</v>
      </c>
      <c r="B13588" s="76" t="s">
        <v>5430</v>
      </c>
    </row>
    <row r="13589" spans="1:2" x14ac:dyDescent="0.25">
      <c r="A13589" s="75">
        <v>51191902</v>
      </c>
      <c r="B13589" s="76" t="s">
        <v>8486</v>
      </c>
    </row>
    <row r="13590" spans="1:2" x14ac:dyDescent="0.25">
      <c r="A13590" s="75">
        <v>51191903</v>
      </c>
      <c r="B13590" s="76" t="s">
        <v>15310</v>
      </c>
    </row>
    <row r="13591" spans="1:2" x14ac:dyDescent="0.25">
      <c r="A13591" s="75">
        <v>51191904</v>
      </c>
      <c r="B13591" s="76" t="s">
        <v>17624</v>
      </c>
    </row>
    <row r="13592" spans="1:2" x14ac:dyDescent="0.25">
      <c r="A13592" s="75">
        <v>51191905</v>
      </c>
      <c r="B13592" s="76" t="s">
        <v>5973</v>
      </c>
    </row>
    <row r="13593" spans="1:2" x14ac:dyDescent="0.25">
      <c r="A13593" s="75">
        <v>51191906</v>
      </c>
      <c r="B13593" s="76" t="s">
        <v>13053</v>
      </c>
    </row>
    <row r="13594" spans="1:2" x14ac:dyDescent="0.25">
      <c r="A13594" s="75">
        <v>51191907</v>
      </c>
      <c r="B13594" s="76" t="s">
        <v>15399</v>
      </c>
    </row>
    <row r="13595" spans="1:2" x14ac:dyDescent="0.25">
      <c r="A13595" s="75">
        <v>51201501</v>
      </c>
      <c r="B13595" s="76" t="s">
        <v>5053</v>
      </c>
    </row>
    <row r="13596" spans="1:2" x14ac:dyDescent="0.25">
      <c r="A13596" s="75">
        <v>51201502</v>
      </c>
      <c r="B13596" s="76" t="s">
        <v>3590</v>
      </c>
    </row>
    <row r="13597" spans="1:2" x14ac:dyDescent="0.25">
      <c r="A13597" s="75">
        <v>51201503</v>
      </c>
      <c r="B13597" s="76" t="s">
        <v>13323</v>
      </c>
    </row>
    <row r="13598" spans="1:2" x14ac:dyDescent="0.25">
      <c r="A13598" s="75">
        <v>51201504</v>
      </c>
      <c r="B13598" s="76" t="s">
        <v>10677</v>
      </c>
    </row>
    <row r="13599" spans="1:2" x14ac:dyDescent="0.25">
      <c r="A13599" s="75">
        <v>51201505</v>
      </c>
      <c r="B13599" s="76" t="s">
        <v>17911</v>
      </c>
    </row>
    <row r="13600" spans="1:2" x14ac:dyDescent="0.25">
      <c r="A13600" s="75">
        <v>51201506</v>
      </c>
      <c r="B13600" s="76" t="s">
        <v>6400</v>
      </c>
    </row>
    <row r="13601" spans="1:2" x14ac:dyDescent="0.25">
      <c r="A13601" s="75">
        <v>51201507</v>
      </c>
      <c r="B13601" s="76" t="s">
        <v>17365</v>
      </c>
    </row>
    <row r="13602" spans="1:2" x14ac:dyDescent="0.25">
      <c r="A13602" s="75">
        <v>51201508</v>
      </c>
      <c r="B13602" s="76" t="s">
        <v>3060</v>
      </c>
    </row>
    <row r="13603" spans="1:2" x14ac:dyDescent="0.25">
      <c r="A13603" s="75">
        <v>51201509</v>
      </c>
      <c r="B13603" s="76" t="s">
        <v>18409</v>
      </c>
    </row>
    <row r="13604" spans="1:2" x14ac:dyDescent="0.25">
      <c r="A13604" s="75">
        <v>51201510</v>
      </c>
      <c r="B13604" s="76" t="s">
        <v>12878</v>
      </c>
    </row>
    <row r="13605" spans="1:2" x14ac:dyDescent="0.25">
      <c r="A13605" s="75">
        <v>51201511</v>
      </c>
      <c r="B13605" s="76" t="s">
        <v>17218</v>
      </c>
    </row>
    <row r="13606" spans="1:2" x14ac:dyDescent="0.25">
      <c r="A13606" s="75">
        <v>51201512</v>
      </c>
      <c r="B13606" s="76" t="s">
        <v>4393</v>
      </c>
    </row>
    <row r="13607" spans="1:2" x14ac:dyDescent="0.25">
      <c r="A13607" s="75">
        <v>51201513</v>
      </c>
      <c r="B13607" s="76" t="s">
        <v>17446</v>
      </c>
    </row>
    <row r="13608" spans="1:2" x14ac:dyDescent="0.25">
      <c r="A13608" s="75">
        <v>51201514</v>
      </c>
      <c r="B13608" s="76" t="s">
        <v>12115</v>
      </c>
    </row>
    <row r="13609" spans="1:2" x14ac:dyDescent="0.25">
      <c r="A13609" s="75">
        <v>51201515</v>
      </c>
      <c r="B13609" s="76" t="s">
        <v>3062</v>
      </c>
    </row>
    <row r="13610" spans="1:2" x14ac:dyDescent="0.25">
      <c r="A13610" s="75">
        <v>51201516</v>
      </c>
      <c r="B13610" s="76" t="s">
        <v>4991</v>
      </c>
    </row>
    <row r="13611" spans="1:2" x14ac:dyDescent="0.25">
      <c r="A13611" s="75">
        <v>51201517</v>
      </c>
      <c r="B13611" s="76" t="s">
        <v>14728</v>
      </c>
    </row>
    <row r="13612" spans="1:2" x14ac:dyDescent="0.25">
      <c r="A13612" s="75">
        <v>51201518</v>
      </c>
      <c r="B13612" s="76" t="s">
        <v>16460</v>
      </c>
    </row>
    <row r="13613" spans="1:2" x14ac:dyDescent="0.25">
      <c r="A13613" s="75">
        <v>51201601</v>
      </c>
      <c r="B13613" s="76" t="s">
        <v>12423</v>
      </c>
    </row>
    <row r="13614" spans="1:2" x14ac:dyDescent="0.25">
      <c r="A13614" s="75">
        <v>51201602</v>
      </c>
      <c r="B13614" s="76" t="s">
        <v>7990</v>
      </c>
    </row>
    <row r="13615" spans="1:2" x14ac:dyDescent="0.25">
      <c r="A13615" s="75">
        <v>51201603</v>
      </c>
      <c r="B13615" s="76" t="s">
        <v>273</v>
      </c>
    </row>
    <row r="13616" spans="1:2" x14ac:dyDescent="0.25">
      <c r="A13616" s="75">
        <v>51201604</v>
      </c>
      <c r="B13616" s="76" t="s">
        <v>6121</v>
      </c>
    </row>
    <row r="13617" spans="1:2" x14ac:dyDescent="0.25">
      <c r="A13617" s="75">
        <v>51201605</v>
      </c>
      <c r="B13617" s="76" t="s">
        <v>16783</v>
      </c>
    </row>
    <row r="13618" spans="1:2" x14ac:dyDescent="0.25">
      <c r="A13618" s="75">
        <v>51201606</v>
      </c>
      <c r="B13618" s="76" t="s">
        <v>11226</v>
      </c>
    </row>
    <row r="13619" spans="1:2" x14ac:dyDescent="0.25">
      <c r="A13619" s="75">
        <v>51201607</v>
      </c>
      <c r="B13619" s="76" t="s">
        <v>13171</v>
      </c>
    </row>
    <row r="13620" spans="1:2" x14ac:dyDescent="0.25">
      <c r="A13620" s="75">
        <v>51201608</v>
      </c>
      <c r="B13620" s="76" t="s">
        <v>1891</v>
      </c>
    </row>
    <row r="13621" spans="1:2" x14ac:dyDescent="0.25">
      <c r="A13621" s="75">
        <v>51201609</v>
      </c>
      <c r="B13621" s="76" t="s">
        <v>2715</v>
      </c>
    </row>
    <row r="13622" spans="1:2" x14ac:dyDescent="0.25">
      <c r="A13622" s="75">
        <v>51201610</v>
      </c>
      <c r="B13622" s="76" t="s">
        <v>2281</v>
      </c>
    </row>
    <row r="13623" spans="1:2" x14ac:dyDescent="0.25">
      <c r="A13623" s="75">
        <v>51201611</v>
      </c>
      <c r="B13623" s="76" t="s">
        <v>1178</v>
      </c>
    </row>
    <row r="13624" spans="1:2" x14ac:dyDescent="0.25">
      <c r="A13624" s="75">
        <v>51201612</v>
      </c>
      <c r="B13624" s="76" t="s">
        <v>13688</v>
      </c>
    </row>
    <row r="13625" spans="1:2" x14ac:dyDescent="0.25">
      <c r="A13625" s="75">
        <v>51201613</v>
      </c>
      <c r="B13625" s="76" t="s">
        <v>6783</v>
      </c>
    </row>
    <row r="13626" spans="1:2" x14ac:dyDescent="0.25">
      <c r="A13626" s="75">
        <v>51201614</v>
      </c>
      <c r="B13626" s="76" t="s">
        <v>18288</v>
      </c>
    </row>
    <row r="13627" spans="1:2" x14ac:dyDescent="0.25">
      <c r="A13627" s="75">
        <v>51201615</v>
      </c>
      <c r="B13627" s="76" t="s">
        <v>3188</v>
      </c>
    </row>
    <row r="13628" spans="1:2" x14ac:dyDescent="0.25">
      <c r="A13628" s="75">
        <v>51201616</v>
      </c>
      <c r="B13628" s="76" t="s">
        <v>7462</v>
      </c>
    </row>
    <row r="13629" spans="1:2" x14ac:dyDescent="0.25">
      <c r="A13629" s="75">
        <v>51201617</v>
      </c>
      <c r="B13629" s="76" t="s">
        <v>680</v>
      </c>
    </row>
    <row r="13630" spans="1:2" x14ac:dyDescent="0.25">
      <c r="A13630" s="75">
        <v>51201618</v>
      </c>
      <c r="B13630" s="76" t="s">
        <v>5265</v>
      </c>
    </row>
    <row r="13631" spans="1:2" x14ac:dyDescent="0.25">
      <c r="A13631" s="75">
        <v>51201619</v>
      </c>
      <c r="B13631" s="76" t="s">
        <v>13050</v>
      </c>
    </row>
    <row r="13632" spans="1:2" x14ac:dyDescent="0.25">
      <c r="A13632" s="75">
        <v>51201620</v>
      </c>
      <c r="B13632" s="76" t="s">
        <v>16157</v>
      </c>
    </row>
    <row r="13633" spans="1:2" x14ac:dyDescent="0.25">
      <c r="A13633" s="75">
        <v>51201621</v>
      </c>
      <c r="B13633" s="76" t="s">
        <v>13338</v>
      </c>
    </row>
    <row r="13634" spans="1:2" x14ac:dyDescent="0.25">
      <c r="A13634" s="75">
        <v>51201622</v>
      </c>
      <c r="B13634" s="76" t="s">
        <v>15232</v>
      </c>
    </row>
    <row r="13635" spans="1:2" x14ac:dyDescent="0.25">
      <c r="A13635" s="75">
        <v>51201623</v>
      </c>
      <c r="B13635" s="76" t="s">
        <v>9386</v>
      </c>
    </row>
    <row r="13636" spans="1:2" x14ac:dyDescent="0.25">
      <c r="A13636" s="75">
        <v>51201624</v>
      </c>
      <c r="B13636" s="76" t="s">
        <v>18756</v>
      </c>
    </row>
    <row r="13637" spans="1:2" x14ac:dyDescent="0.25">
      <c r="A13637" s="75">
        <v>51201625</v>
      </c>
      <c r="B13637" s="76" t="s">
        <v>7429</v>
      </c>
    </row>
    <row r="13638" spans="1:2" x14ac:dyDescent="0.25">
      <c r="A13638" s="75">
        <v>51201626</v>
      </c>
      <c r="B13638" s="76" t="s">
        <v>5844</v>
      </c>
    </row>
    <row r="13639" spans="1:2" x14ac:dyDescent="0.25">
      <c r="A13639" s="75">
        <v>51201627</v>
      </c>
      <c r="B13639" s="76" t="s">
        <v>13663</v>
      </c>
    </row>
    <row r="13640" spans="1:2" x14ac:dyDescent="0.25">
      <c r="A13640" s="75">
        <v>51201628</v>
      </c>
      <c r="B13640" s="76" t="s">
        <v>14048</v>
      </c>
    </row>
    <row r="13641" spans="1:2" x14ac:dyDescent="0.25">
      <c r="A13641" s="75">
        <v>51201629</v>
      </c>
      <c r="B13641" s="76" t="s">
        <v>15118</v>
      </c>
    </row>
    <row r="13642" spans="1:2" x14ac:dyDescent="0.25">
      <c r="A13642" s="75">
        <v>51201631</v>
      </c>
      <c r="B13642" s="76" t="s">
        <v>2589</v>
      </c>
    </row>
    <row r="13643" spans="1:2" x14ac:dyDescent="0.25">
      <c r="A13643" s="75">
        <v>51201632</v>
      </c>
      <c r="B13643" s="76" t="s">
        <v>7082</v>
      </c>
    </row>
    <row r="13644" spans="1:2" x14ac:dyDescent="0.25">
      <c r="A13644" s="75">
        <v>51201633</v>
      </c>
      <c r="B13644" s="76" t="s">
        <v>7072</v>
      </c>
    </row>
    <row r="13645" spans="1:2" x14ac:dyDescent="0.25">
      <c r="A13645" s="75">
        <v>51201634</v>
      </c>
      <c r="B13645" s="76" t="s">
        <v>14498</v>
      </c>
    </row>
    <row r="13646" spans="1:2" x14ac:dyDescent="0.25">
      <c r="A13646" s="75">
        <v>51201635</v>
      </c>
      <c r="B13646" s="76" t="s">
        <v>129</v>
      </c>
    </row>
    <row r="13647" spans="1:2" x14ac:dyDescent="0.25">
      <c r="A13647" s="75">
        <v>51201636</v>
      </c>
      <c r="B13647" s="76" t="s">
        <v>19103</v>
      </c>
    </row>
    <row r="13648" spans="1:2" x14ac:dyDescent="0.25">
      <c r="A13648" s="75">
        <v>51201638</v>
      </c>
      <c r="B13648" s="76" t="s">
        <v>9100</v>
      </c>
    </row>
    <row r="13649" spans="1:2" x14ac:dyDescent="0.25">
      <c r="A13649" s="75">
        <v>51201639</v>
      </c>
      <c r="B13649" s="76" t="s">
        <v>16961</v>
      </c>
    </row>
    <row r="13650" spans="1:2" x14ac:dyDescent="0.25">
      <c r="A13650" s="75">
        <v>51201646</v>
      </c>
      <c r="B13650" s="76" t="s">
        <v>16502</v>
      </c>
    </row>
    <row r="13651" spans="1:2" x14ac:dyDescent="0.25">
      <c r="A13651" s="75">
        <v>51201647</v>
      </c>
      <c r="B13651" s="76" t="s">
        <v>14255</v>
      </c>
    </row>
    <row r="13652" spans="1:2" x14ac:dyDescent="0.25">
      <c r="A13652" s="75">
        <v>51201648</v>
      </c>
      <c r="B13652" s="76" t="s">
        <v>8634</v>
      </c>
    </row>
    <row r="13653" spans="1:2" x14ac:dyDescent="0.25">
      <c r="A13653" s="75">
        <v>51201701</v>
      </c>
      <c r="B13653" s="76" t="s">
        <v>10420</v>
      </c>
    </row>
    <row r="13654" spans="1:2" x14ac:dyDescent="0.25">
      <c r="A13654" s="75">
        <v>51201702</v>
      </c>
      <c r="B13654" s="76" t="s">
        <v>13803</v>
      </c>
    </row>
    <row r="13655" spans="1:2" x14ac:dyDescent="0.25">
      <c r="A13655" s="75">
        <v>51201703</v>
      </c>
      <c r="B13655" s="76" t="s">
        <v>6252</v>
      </c>
    </row>
    <row r="13656" spans="1:2" x14ac:dyDescent="0.25">
      <c r="A13656" s="75">
        <v>51201704</v>
      </c>
      <c r="B13656" s="76" t="s">
        <v>12856</v>
      </c>
    </row>
    <row r="13657" spans="1:2" x14ac:dyDescent="0.25">
      <c r="A13657" s="75">
        <v>51201705</v>
      </c>
      <c r="B13657" s="76" t="s">
        <v>15974</v>
      </c>
    </row>
    <row r="13658" spans="1:2" x14ac:dyDescent="0.25">
      <c r="A13658" s="75">
        <v>51201801</v>
      </c>
      <c r="B13658" s="76" t="s">
        <v>4032</v>
      </c>
    </row>
    <row r="13659" spans="1:2" x14ac:dyDescent="0.25">
      <c r="A13659" s="75">
        <v>51201802</v>
      </c>
      <c r="B13659" s="76" t="s">
        <v>10164</v>
      </c>
    </row>
    <row r="13660" spans="1:2" x14ac:dyDescent="0.25">
      <c r="A13660" s="75">
        <v>51201803</v>
      </c>
      <c r="B13660" s="76" t="s">
        <v>18581</v>
      </c>
    </row>
    <row r="13661" spans="1:2" x14ac:dyDescent="0.25">
      <c r="A13661" s="75">
        <v>51201804</v>
      </c>
      <c r="B13661" s="76" t="s">
        <v>1642</v>
      </c>
    </row>
    <row r="13662" spans="1:2" x14ac:dyDescent="0.25">
      <c r="A13662" s="75">
        <v>51201805</v>
      </c>
      <c r="B13662" s="76" t="s">
        <v>13200</v>
      </c>
    </row>
    <row r="13663" spans="1:2" x14ac:dyDescent="0.25">
      <c r="A13663" s="75">
        <v>51201806</v>
      </c>
      <c r="B13663" s="76" t="s">
        <v>9032</v>
      </c>
    </row>
    <row r="13664" spans="1:2" x14ac:dyDescent="0.25">
      <c r="A13664" s="75">
        <v>51201807</v>
      </c>
      <c r="B13664" s="76" t="s">
        <v>4814</v>
      </c>
    </row>
    <row r="13665" spans="1:2" x14ac:dyDescent="0.25">
      <c r="A13665" s="75">
        <v>51201808</v>
      </c>
      <c r="B13665" s="76" t="s">
        <v>12012</v>
      </c>
    </row>
    <row r="13666" spans="1:2" x14ac:dyDescent="0.25">
      <c r="A13666" s="75">
        <v>51201809</v>
      </c>
      <c r="B13666" s="76" t="s">
        <v>9487</v>
      </c>
    </row>
    <row r="13667" spans="1:2" x14ac:dyDescent="0.25">
      <c r="A13667" s="75">
        <v>51201901</v>
      </c>
      <c r="B13667" s="76" t="s">
        <v>3514</v>
      </c>
    </row>
    <row r="13668" spans="1:2" x14ac:dyDescent="0.25">
      <c r="A13668" s="75">
        <v>51211501</v>
      </c>
      <c r="B13668" s="76" t="s">
        <v>14850</v>
      </c>
    </row>
    <row r="13669" spans="1:2" x14ac:dyDescent="0.25">
      <c r="A13669" s="75">
        <v>51211502</v>
      </c>
      <c r="B13669" s="76" t="s">
        <v>7831</v>
      </c>
    </row>
    <row r="13670" spans="1:2" x14ac:dyDescent="0.25">
      <c r="A13670" s="75">
        <v>51211503</v>
      </c>
      <c r="B13670" s="76" t="s">
        <v>15464</v>
      </c>
    </row>
    <row r="13671" spans="1:2" x14ac:dyDescent="0.25">
      <c r="A13671" s="75">
        <v>51211504</v>
      </c>
      <c r="B13671" s="76" t="s">
        <v>18524</v>
      </c>
    </row>
    <row r="13672" spans="1:2" x14ac:dyDescent="0.25">
      <c r="A13672" s="75">
        <v>51211505</v>
      </c>
      <c r="B13672" s="76" t="s">
        <v>12775</v>
      </c>
    </row>
    <row r="13673" spans="1:2" x14ac:dyDescent="0.25">
      <c r="A13673" s="75">
        <v>51211601</v>
      </c>
      <c r="B13673" s="76" t="s">
        <v>4944</v>
      </c>
    </row>
    <row r="13674" spans="1:2" x14ac:dyDescent="0.25">
      <c r="A13674" s="75">
        <v>51211602</v>
      </c>
      <c r="B13674" s="76" t="s">
        <v>10246</v>
      </c>
    </row>
    <row r="13675" spans="1:2" x14ac:dyDescent="0.25">
      <c r="A13675" s="75">
        <v>51211603</v>
      </c>
      <c r="B13675" s="76" t="s">
        <v>2894</v>
      </c>
    </row>
    <row r="13676" spans="1:2" x14ac:dyDescent="0.25">
      <c r="A13676" s="75">
        <v>51211604</v>
      </c>
      <c r="B13676" s="76" t="s">
        <v>13008</v>
      </c>
    </row>
    <row r="13677" spans="1:2" x14ac:dyDescent="0.25">
      <c r="A13677" s="75">
        <v>51211605</v>
      </c>
      <c r="B13677" s="76" t="s">
        <v>11524</v>
      </c>
    </row>
    <row r="13678" spans="1:2" x14ac:dyDescent="0.25">
      <c r="A13678" s="75">
        <v>51211606</v>
      </c>
      <c r="B13678" s="76" t="s">
        <v>17614</v>
      </c>
    </row>
    <row r="13679" spans="1:2" x14ac:dyDescent="0.25">
      <c r="A13679" s="75">
        <v>51211607</v>
      </c>
      <c r="B13679" s="76" t="s">
        <v>2332</v>
      </c>
    </row>
    <row r="13680" spans="1:2" x14ac:dyDescent="0.25">
      <c r="A13680" s="75">
        <v>51211608</v>
      </c>
      <c r="B13680" s="76" t="s">
        <v>9960</v>
      </c>
    </row>
    <row r="13681" spans="1:2" x14ac:dyDescent="0.25">
      <c r="A13681" s="75">
        <v>51211609</v>
      </c>
      <c r="B13681" s="76" t="s">
        <v>13484</v>
      </c>
    </row>
    <row r="13682" spans="1:2" x14ac:dyDescent="0.25">
      <c r="A13682" s="75">
        <v>51211610</v>
      </c>
      <c r="B13682" s="76" t="s">
        <v>966</v>
      </c>
    </row>
    <row r="13683" spans="1:2" x14ac:dyDescent="0.25">
      <c r="A13683" s="75">
        <v>51211611</v>
      </c>
      <c r="B13683" s="76" t="s">
        <v>8057</v>
      </c>
    </row>
    <row r="13684" spans="1:2" x14ac:dyDescent="0.25">
      <c r="A13684" s="75">
        <v>51211612</v>
      </c>
      <c r="B13684" s="76" t="s">
        <v>7699</v>
      </c>
    </row>
    <row r="13685" spans="1:2" x14ac:dyDescent="0.25">
      <c r="A13685" s="75">
        <v>51211613</v>
      </c>
      <c r="B13685" s="76" t="s">
        <v>13750</v>
      </c>
    </row>
    <row r="13686" spans="1:2" x14ac:dyDescent="0.25">
      <c r="A13686" s="75">
        <v>51211615</v>
      </c>
      <c r="B13686" s="76" t="s">
        <v>8245</v>
      </c>
    </row>
    <row r="13687" spans="1:2" x14ac:dyDescent="0.25">
      <c r="A13687" s="75">
        <v>51211616</v>
      </c>
      <c r="B13687" s="76" t="s">
        <v>11313</v>
      </c>
    </row>
    <row r="13688" spans="1:2" x14ac:dyDescent="0.25">
      <c r="A13688" s="75">
        <v>51211617</v>
      </c>
      <c r="B13688" s="76" t="s">
        <v>501</v>
      </c>
    </row>
    <row r="13689" spans="1:2" x14ac:dyDescent="0.25">
      <c r="A13689" s="75">
        <v>51211618</v>
      </c>
      <c r="B13689" s="76" t="s">
        <v>8539</v>
      </c>
    </row>
    <row r="13690" spans="1:2" x14ac:dyDescent="0.25">
      <c r="A13690" s="75">
        <v>51211619</v>
      </c>
      <c r="B13690" s="76" t="s">
        <v>8472</v>
      </c>
    </row>
    <row r="13691" spans="1:2" x14ac:dyDescent="0.25">
      <c r="A13691" s="75">
        <v>51211620</v>
      </c>
      <c r="B13691" s="76" t="s">
        <v>10445</v>
      </c>
    </row>
    <row r="13692" spans="1:2" x14ac:dyDescent="0.25">
      <c r="A13692" s="75">
        <v>51211621</v>
      </c>
      <c r="B13692" s="76" t="s">
        <v>14996</v>
      </c>
    </row>
    <row r="13693" spans="1:2" x14ac:dyDescent="0.25">
      <c r="A13693" s="75">
        <v>51211622</v>
      </c>
      <c r="B13693" s="76" t="s">
        <v>10860</v>
      </c>
    </row>
    <row r="13694" spans="1:2" x14ac:dyDescent="0.25">
      <c r="A13694" s="75">
        <v>51211623</v>
      </c>
      <c r="B13694" s="76" t="s">
        <v>11059</v>
      </c>
    </row>
    <row r="13695" spans="1:2" x14ac:dyDescent="0.25">
      <c r="A13695" s="75">
        <v>51211624</v>
      </c>
      <c r="B13695" s="76" t="s">
        <v>8382</v>
      </c>
    </row>
    <row r="13696" spans="1:2" x14ac:dyDescent="0.25">
      <c r="A13696" s="75">
        <v>51211625</v>
      </c>
      <c r="B13696" s="76" t="s">
        <v>3903</v>
      </c>
    </row>
    <row r="13697" spans="1:2" x14ac:dyDescent="0.25">
      <c r="A13697" s="75">
        <v>51211901</v>
      </c>
      <c r="B13697" s="76" t="s">
        <v>3663</v>
      </c>
    </row>
    <row r="13698" spans="1:2" x14ac:dyDescent="0.25">
      <c r="A13698" s="75">
        <v>51212001</v>
      </c>
      <c r="B13698" s="76" t="s">
        <v>11183</v>
      </c>
    </row>
    <row r="13699" spans="1:2" x14ac:dyDescent="0.25">
      <c r="A13699" s="75">
        <v>51212002</v>
      </c>
      <c r="B13699" s="76" t="s">
        <v>8122</v>
      </c>
    </row>
    <row r="13700" spans="1:2" x14ac:dyDescent="0.25">
      <c r="A13700" s="75">
        <v>51212003</v>
      </c>
      <c r="B13700" s="76" t="s">
        <v>16482</v>
      </c>
    </row>
    <row r="13701" spans="1:2" x14ac:dyDescent="0.25">
      <c r="A13701" s="75">
        <v>51212004</v>
      </c>
      <c r="B13701" s="76" t="s">
        <v>4027</v>
      </c>
    </row>
    <row r="13702" spans="1:2" x14ac:dyDescent="0.25">
      <c r="A13702" s="75">
        <v>51212005</v>
      </c>
      <c r="B13702" s="76" t="s">
        <v>18868</v>
      </c>
    </row>
    <row r="13703" spans="1:2" x14ac:dyDescent="0.25">
      <c r="A13703" s="75">
        <v>51212006</v>
      </c>
      <c r="B13703" s="76" t="s">
        <v>2123</v>
      </c>
    </row>
    <row r="13704" spans="1:2" x14ac:dyDescent="0.25">
      <c r="A13704" s="75">
        <v>51212007</v>
      </c>
      <c r="B13704" s="76" t="s">
        <v>11404</v>
      </c>
    </row>
    <row r="13705" spans="1:2" x14ac:dyDescent="0.25">
      <c r="A13705" s="75">
        <v>51212008</v>
      </c>
      <c r="B13705" s="76" t="s">
        <v>10243</v>
      </c>
    </row>
    <row r="13706" spans="1:2" x14ac:dyDescent="0.25">
      <c r="A13706" s="75">
        <v>51212009</v>
      </c>
      <c r="B13706" s="76" t="s">
        <v>4870</v>
      </c>
    </row>
    <row r="13707" spans="1:2" x14ac:dyDescent="0.25">
      <c r="A13707" s="75">
        <v>51212010</v>
      </c>
      <c r="B13707" s="76" t="s">
        <v>146</v>
      </c>
    </row>
    <row r="13708" spans="1:2" x14ac:dyDescent="0.25">
      <c r="A13708" s="75">
        <v>51212011</v>
      </c>
      <c r="B13708" s="76" t="s">
        <v>5858</v>
      </c>
    </row>
    <row r="13709" spans="1:2" x14ac:dyDescent="0.25">
      <c r="A13709" s="75">
        <v>51212012</v>
      </c>
      <c r="B13709" s="76" t="s">
        <v>8620</v>
      </c>
    </row>
    <row r="13710" spans="1:2" x14ac:dyDescent="0.25">
      <c r="A13710" s="75">
        <v>51212013</v>
      </c>
      <c r="B13710" s="76" t="s">
        <v>11141</v>
      </c>
    </row>
    <row r="13711" spans="1:2" x14ac:dyDescent="0.25">
      <c r="A13711" s="75">
        <v>51212014</v>
      </c>
      <c r="B13711" s="76" t="s">
        <v>17139</v>
      </c>
    </row>
    <row r="13712" spans="1:2" x14ac:dyDescent="0.25">
      <c r="A13712" s="75">
        <v>51212015</v>
      </c>
      <c r="B13712" s="76" t="s">
        <v>15810</v>
      </c>
    </row>
    <row r="13713" spans="1:2" x14ac:dyDescent="0.25">
      <c r="A13713" s="75">
        <v>51212016</v>
      </c>
      <c r="B13713" s="76" t="s">
        <v>2173</v>
      </c>
    </row>
    <row r="13714" spans="1:2" x14ac:dyDescent="0.25">
      <c r="A13714" s="75">
        <v>51212017</v>
      </c>
      <c r="B13714" s="76" t="s">
        <v>11492</v>
      </c>
    </row>
    <row r="13715" spans="1:2" x14ac:dyDescent="0.25">
      <c r="A13715" s="75">
        <v>51212018</v>
      </c>
      <c r="B13715" s="76" t="s">
        <v>15167</v>
      </c>
    </row>
    <row r="13716" spans="1:2" x14ac:dyDescent="0.25">
      <c r="A13716" s="75">
        <v>51212020</v>
      </c>
      <c r="B13716" s="76" t="s">
        <v>16581</v>
      </c>
    </row>
    <row r="13717" spans="1:2" x14ac:dyDescent="0.25">
      <c r="A13717" s="75">
        <v>51212021</v>
      </c>
      <c r="B13717" s="76" t="s">
        <v>9836</v>
      </c>
    </row>
    <row r="13718" spans="1:2" x14ac:dyDescent="0.25">
      <c r="A13718" s="75">
        <v>51212022</v>
      </c>
      <c r="B13718" s="76" t="s">
        <v>19721</v>
      </c>
    </row>
    <row r="13719" spans="1:2" x14ac:dyDescent="0.25">
      <c r="A13719" s="75">
        <v>51212023</v>
      </c>
      <c r="B13719" s="76" t="s">
        <v>7477</v>
      </c>
    </row>
    <row r="13720" spans="1:2" x14ac:dyDescent="0.25">
      <c r="A13720" s="75">
        <v>51212024</v>
      </c>
      <c r="B13720" s="76" t="s">
        <v>13213</v>
      </c>
    </row>
    <row r="13721" spans="1:2" x14ac:dyDescent="0.25">
      <c r="A13721" s="75">
        <v>51212025</v>
      </c>
      <c r="B13721" s="76" t="s">
        <v>9119</v>
      </c>
    </row>
    <row r="13722" spans="1:2" x14ac:dyDescent="0.25">
      <c r="A13722" s="75">
        <v>51212026</v>
      </c>
      <c r="B13722" s="76" t="s">
        <v>4397</v>
      </c>
    </row>
    <row r="13723" spans="1:2" x14ac:dyDescent="0.25">
      <c r="A13723" s="75">
        <v>51212027</v>
      </c>
      <c r="B13723" s="76" t="s">
        <v>2363</v>
      </c>
    </row>
    <row r="13724" spans="1:2" x14ac:dyDescent="0.25">
      <c r="A13724" s="75">
        <v>51212028</v>
      </c>
      <c r="B13724" s="76" t="s">
        <v>10147</v>
      </c>
    </row>
    <row r="13725" spans="1:2" x14ac:dyDescent="0.25">
      <c r="A13725" s="75">
        <v>51212029</v>
      </c>
      <c r="B13725" s="76" t="s">
        <v>13902</v>
      </c>
    </row>
    <row r="13726" spans="1:2" x14ac:dyDescent="0.25">
      <c r="A13726" s="75">
        <v>51212030</v>
      </c>
      <c r="B13726" s="76" t="s">
        <v>4855</v>
      </c>
    </row>
    <row r="13727" spans="1:2" x14ac:dyDescent="0.25">
      <c r="A13727" s="75">
        <v>51212031</v>
      </c>
      <c r="B13727" s="76" t="s">
        <v>14873</v>
      </c>
    </row>
    <row r="13728" spans="1:2" x14ac:dyDescent="0.25">
      <c r="A13728" s="75">
        <v>51212032</v>
      </c>
      <c r="B13728" s="76" t="s">
        <v>12622</v>
      </c>
    </row>
    <row r="13729" spans="1:2" x14ac:dyDescent="0.25">
      <c r="A13729" s="75">
        <v>51212033</v>
      </c>
      <c r="B13729" s="76" t="s">
        <v>14739</v>
      </c>
    </row>
    <row r="13730" spans="1:2" x14ac:dyDescent="0.25">
      <c r="A13730" s="75">
        <v>51212034</v>
      </c>
      <c r="B13730" s="76" t="s">
        <v>1547</v>
      </c>
    </row>
    <row r="13731" spans="1:2" x14ac:dyDescent="0.25">
      <c r="A13731" s="75">
        <v>51212035</v>
      </c>
      <c r="B13731" s="76" t="s">
        <v>2022</v>
      </c>
    </row>
    <row r="13732" spans="1:2" x14ac:dyDescent="0.25">
      <c r="A13732" s="75">
        <v>51212036</v>
      </c>
      <c r="B13732" s="76" t="s">
        <v>13447</v>
      </c>
    </row>
    <row r="13733" spans="1:2" x14ac:dyDescent="0.25">
      <c r="A13733" s="75">
        <v>51212101</v>
      </c>
      <c r="B13733" s="76" t="s">
        <v>2776</v>
      </c>
    </row>
    <row r="13734" spans="1:2" x14ac:dyDescent="0.25">
      <c r="A13734" s="75">
        <v>51212201</v>
      </c>
      <c r="B13734" s="76" t="s">
        <v>8725</v>
      </c>
    </row>
    <row r="13735" spans="1:2" x14ac:dyDescent="0.25">
      <c r="A13735" s="75">
        <v>51212202</v>
      </c>
      <c r="B13735" s="76" t="s">
        <v>2786</v>
      </c>
    </row>
    <row r="13736" spans="1:2" x14ac:dyDescent="0.25">
      <c r="A13736" s="75">
        <v>51212203</v>
      </c>
      <c r="B13736" s="76" t="s">
        <v>15961</v>
      </c>
    </row>
    <row r="13737" spans="1:2" x14ac:dyDescent="0.25">
      <c r="A13737" s="75">
        <v>51212301</v>
      </c>
      <c r="B13737" s="76" t="s">
        <v>15141</v>
      </c>
    </row>
    <row r="13738" spans="1:2" x14ac:dyDescent="0.25">
      <c r="A13738" s="75">
        <v>51212302</v>
      </c>
      <c r="B13738" s="76" t="s">
        <v>13289</v>
      </c>
    </row>
    <row r="13739" spans="1:2" x14ac:dyDescent="0.25">
      <c r="A13739" s="75">
        <v>51212303</v>
      </c>
      <c r="B13739" s="76" t="s">
        <v>11273</v>
      </c>
    </row>
    <row r="13740" spans="1:2" x14ac:dyDescent="0.25">
      <c r="A13740" s="75">
        <v>51212304</v>
      </c>
      <c r="B13740" s="76" t="s">
        <v>17524</v>
      </c>
    </row>
    <row r="13741" spans="1:2" x14ac:dyDescent="0.25">
      <c r="A13741" s="75">
        <v>51212305</v>
      </c>
      <c r="B13741" s="76" t="s">
        <v>3801</v>
      </c>
    </row>
    <row r="13742" spans="1:2" x14ac:dyDescent="0.25">
      <c r="A13742" s="75">
        <v>51212306</v>
      </c>
      <c r="B13742" s="76" t="s">
        <v>12413</v>
      </c>
    </row>
    <row r="13743" spans="1:2" x14ac:dyDescent="0.25">
      <c r="A13743" s="75">
        <v>51212307</v>
      </c>
      <c r="B13743" s="76" t="s">
        <v>12658</v>
      </c>
    </row>
    <row r="13744" spans="1:2" x14ac:dyDescent="0.25">
      <c r="A13744" s="75">
        <v>51212308</v>
      </c>
      <c r="B13744" s="76" t="s">
        <v>12305</v>
      </c>
    </row>
    <row r="13745" spans="1:2" x14ac:dyDescent="0.25">
      <c r="A13745" s="75">
        <v>51212309</v>
      </c>
      <c r="B13745" s="76" t="s">
        <v>8811</v>
      </c>
    </row>
    <row r="13746" spans="1:2" x14ac:dyDescent="0.25">
      <c r="A13746" s="75">
        <v>51212401</v>
      </c>
      <c r="B13746" s="76" t="s">
        <v>11186</v>
      </c>
    </row>
    <row r="13747" spans="1:2" x14ac:dyDescent="0.25">
      <c r="A13747" s="75">
        <v>51212402</v>
      </c>
      <c r="B13747" s="76" t="s">
        <v>2912</v>
      </c>
    </row>
    <row r="13748" spans="1:2" x14ac:dyDescent="0.25">
      <c r="A13748" s="75">
        <v>51241001</v>
      </c>
      <c r="B13748" s="76" t="s">
        <v>14816</v>
      </c>
    </row>
    <row r="13749" spans="1:2" x14ac:dyDescent="0.25">
      <c r="A13749" s="75">
        <v>51241002</v>
      </c>
      <c r="B13749" s="76" t="s">
        <v>428</v>
      </c>
    </row>
    <row r="13750" spans="1:2" x14ac:dyDescent="0.25">
      <c r="A13750" s="75">
        <v>51241101</v>
      </c>
      <c r="B13750" s="76" t="s">
        <v>7905</v>
      </c>
    </row>
    <row r="13751" spans="1:2" x14ac:dyDescent="0.25">
      <c r="A13751" s="75">
        <v>51241102</v>
      </c>
      <c r="B13751" s="76" t="s">
        <v>5929</v>
      </c>
    </row>
    <row r="13752" spans="1:2" x14ac:dyDescent="0.25">
      <c r="A13752" s="75">
        <v>51241103</v>
      </c>
      <c r="B13752" s="76" t="s">
        <v>8344</v>
      </c>
    </row>
    <row r="13753" spans="1:2" x14ac:dyDescent="0.25">
      <c r="A13753" s="75">
        <v>51241104</v>
      </c>
      <c r="B13753" s="76" t="s">
        <v>17674</v>
      </c>
    </row>
    <row r="13754" spans="1:2" x14ac:dyDescent="0.25">
      <c r="A13754" s="75">
        <v>51241105</v>
      </c>
      <c r="B13754" s="76" t="s">
        <v>3203</v>
      </c>
    </row>
    <row r="13755" spans="1:2" x14ac:dyDescent="0.25">
      <c r="A13755" s="75">
        <v>51241106</v>
      </c>
      <c r="B13755" s="76" t="s">
        <v>11701</v>
      </c>
    </row>
    <row r="13756" spans="1:2" x14ac:dyDescent="0.25">
      <c r="A13756" s="75">
        <v>51241107</v>
      </c>
      <c r="B13756" s="76" t="s">
        <v>5972</v>
      </c>
    </row>
    <row r="13757" spans="1:2" x14ac:dyDescent="0.25">
      <c r="A13757" s="75">
        <v>51241108</v>
      </c>
      <c r="B13757" s="76" t="s">
        <v>13215</v>
      </c>
    </row>
    <row r="13758" spans="1:2" x14ac:dyDescent="0.25">
      <c r="A13758" s="75">
        <v>51241109</v>
      </c>
      <c r="B13758" s="76" t="s">
        <v>15646</v>
      </c>
    </row>
    <row r="13759" spans="1:2" x14ac:dyDescent="0.25">
      <c r="A13759" s="75">
        <v>51241110</v>
      </c>
      <c r="B13759" s="76" t="s">
        <v>7959</v>
      </c>
    </row>
    <row r="13760" spans="1:2" x14ac:dyDescent="0.25">
      <c r="A13760" s="75">
        <v>51241111</v>
      </c>
      <c r="B13760" s="76" t="s">
        <v>524</v>
      </c>
    </row>
    <row r="13761" spans="1:2" x14ac:dyDescent="0.25">
      <c r="A13761" s="75">
        <v>51241112</v>
      </c>
      <c r="B13761" s="76" t="s">
        <v>17534</v>
      </c>
    </row>
    <row r="13762" spans="1:2" x14ac:dyDescent="0.25">
      <c r="A13762" s="75">
        <v>51241113</v>
      </c>
      <c r="B13762" s="76" t="s">
        <v>949</v>
      </c>
    </row>
    <row r="13763" spans="1:2" x14ac:dyDescent="0.25">
      <c r="A13763" s="75">
        <v>51241114</v>
      </c>
      <c r="B13763" s="76" t="s">
        <v>2581</v>
      </c>
    </row>
    <row r="13764" spans="1:2" x14ac:dyDescent="0.25">
      <c r="A13764" s="75">
        <v>51241115</v>
      </c>
      <c r="B13764" s="76" t="s">
        <v>18142</v>
      </c>
    </row>
    <row r="13765" spans="1:2" x14ac:dyDescent="0.25">
      <c r="A13765" s="75">
        <v>51241116</v>
      </c>
      <c r="B13765" s="76" t="s">
        <v>3877</v>
      </c>
    </row>
    <row r="13766" spans="1:2" x14ac:dyDescent="0.25">
      <c r="A13766" s="75">
        <v>51241117</v>
      </c>
      <c r="B13766" s="76" t="s">
        <v>10834</v>
      </c>
    </row>
    <row r="13767" spans="1:2" x14ac:dyDescent="0.25">
      <c r="A13767" s="75">
        <v>51241118</v>
      </c>
      <c r="B13767" s="76" t="s">
        <v>7648</v>
      </c>
    </row>
    <row r="13768" spans="1:2" x14ac:dyDescent="0.25">
      <c r="A13768" s="75">
        <v>51241119</v>
      </c>
      <c r="B13768" s="76" t="s">
        <v>8761</v>
      </c>
    </row>
    <row r="13769" spans="1:2" x14ac:dyDescent="0.25">
      <c r="A13769" s="75">
        <v>51241120</v>
      </c>
      <c r="B13769" s="76" t="s">
        <v>5743</v>
      </c>
    </row>
    <row r="13770" spans="1:2" x14ac:dyDescent="0.25">
      <c r="A13770" s="75">
        <v>51241201</v>
      </c>
      <c r="B13770" s="76" t="s">
        <v>17001</v>
      </c>
    </row>
    <row r="13771" spans="1:2" x14ac:dyDescent="0.25">
      <c r="A13771" s="75">
        <v>51241202</v>
      </c>
      <c r="B13771" s="76" t="s">
        <v>8944</v>
      </c>
    </row>
    <row r="13772" spans="1:2" x14ac:dyDescent="0.25">
      <c r="A13772" s="75">
        <v>51241203</v>
      </c>
      <c r="B13772" s="76" t="s">
        <v>17241</v>
      </c>
    </row>
    <row r="13773" spans="1:2" x14ac:dyDescent="0.25">
      <c r="A13773" s="75">
        <v>51241204</v>
      </c>
      <c r="B13773" s="76" t="s">
        <v>16616</v>
      </c>
    </row>
    <row r="13774" spans="1:2" x14ac:dyDescent="0.25">
      <c r="A13774" s="75">
        <v>51241205</v>
      </c>
      <c r="B13774" s="76" t="s">
        <v>11932</v>
      </c>
    </row>
    <row r="13775" spans="1:2" x14ac:dyDescent="0.25">
      <c r="A13775" s="75">
        <v>51241206</v>
      </c>
      <c r="B13775" s="76" t="s">
        <v>17101</v>
      </c>
    </row>
    <row r="13776" spans="1:2" x14ac:dyDescent="0.25">
      <c r="A13776" s="75">
        <v>51241207</v>
      </c>
      <c r="B13776" s="76" t="s">
        <v>8968</v>
      </c>
    </row>
    <row r="13777" spans="1:2" x14ac:dyDescent="0.25">
      <c r="A13777" s="75">
        <v>51241208</v>
      </c>
      <c r="B13777" s="76" t="s">
        <v>9971</v>
      </c>
    </row>
    <row r="13778" spans="1:2" x14ac:dyDescent="0.25">
      <c r="A13778" s="75">
        <v>51241209</v>
      </c>
      <c r="B13778" s="76" t="s">
        <v>15297</v>
      </c>
    </row>
    <row r="13779" spans="1:2" x14ac:dyDescent="0.25">
      <c r="A13779" s="75">
        <v>51241210</v>
      </c>
      <c r="B13779" s="76" t="s">
        <v>591</v>
      </c>
    </row>
    <row r="13780" spans="1:2" x14ac:dyDescent="0.25">
      <c r="A13780" s="75">
        <v>51241211</v>
      </c>
      <c r="B13780" s="76" t="s">
        <v>6805</v>
      </c>
    </row>
    <row r="13781" spans="1:2" x14ac:dyDescent="0.25">
      <c r="A13781" s="75">
        <v>51241212</v>
      </c>
      <c r="B13781" s="76" t="s">
        <v>8517</v>
      </c>
    </row>
    <row r="13782" spans="1:2" x14ac:dyDescent="0.25">
      <c r="A13782" s="75">
        <v>51241213</v>
      </c>
      <c r="B13782" s="76" t="s">
        <v>7929</v>
      </c>
    </row>
    <row r="13783" spans="1:2" x14ac:dyDescent="0.25">
      <c r="A13783" s="75">
        <v>51241214</v>
      </c>
      <c r="B13783" s="76" t="s">
        <v>18029</v>
      </c>
    </row>
    <row r="13784" spans="1:2" x14ac:dyDescent="0.25">
      <c r="A13784" s="75">
        <v>51241215</v>
      </c>
      <c r="B13784" s="76" t="s">
        <v>11660</v>
      </c>
    </row>
    <row r="13785" spans="1:2" x14ac:dyDescent="0.25">
      <c r="A13785" s="75">
        <v>51241216</v>
      </c>
      <c r="B13785" s="76" t="s">
        <v>6424</v>
      </c>
    </row>
    <row r="13786" spans="1:2" x14ac:dyDescent="0.25">
      <c r="A13786" s="75">
        <v>51241217</v>
      </c>
      <c r="B13786" s="76" t="s">
        <v>19633</v>
      </c>
    </row>
    <row r="13787" spans="1:2" x14ac:dyDescent="0.25">
      <c r="A13787" s="75">
        <v>51241218</v>
      </c>
      <c r="B13787" s="76" t="s">
        <v>10498</v>
      </c>
    </row>
    <row r="13788" spans="1:2" x14ac:dyDescent="0.25">
      <c r="A13788" s="75">
        <v>51241219</v>
      </c>
      <c r="B13788" s="76" t="s">
        <v>10244</v>
      </c>
    </row>
    <row r="13789" spans="1:2" x14ac:dyDescent="0.25">
      <c r="A13789" s="75">
        <v>51241220</v>
      </c>
      <c r="B13789" s="76" t="s">
        <v>4515</v>
      </c>
    </row>
    <row r="13790" spans="1:2" x14ac:dyDescent="0.25">
      <c r="A13790" s="75">
        <v>51241221</v>
      </c>
      <c r="B13790" s="76" t="s">
        <v>2012</v>
      </c>
    </row>
    <row r="13791" spans="1:2" x14ac:dyDescent="0.25">
      <c r="A13791" s="75">
        <v>51241222</v>
      </c>
      <c r="B13791" s="76" t="s">
        <v>5453</v>
      </c>
    </row>
    <row r="13792" spans="1:2" x14ac:dyDescent="0.25">
      <c r="A13792" s="75">
        <v>51241223</v>
      </c>
      <c r="B13792" s="76" t="s">
        <v>4308</v>
      </c>
    </row>
    <row r="13793" spans="1:2" x14ac:dyDescent="0.25">
      <c r="A13793" s="75">
        <v>51241224</v>
      </c>
      <c r="B13793" s="76" t="s">
        <v>14809</v>
      </c>
    </row>
    <row r="13794" spans="1:2" x14ac:dyDescent="0.25">
      <c r="A13794" s="75">
        <v>51241225</v>
      </c>
      <c r="B13794" s="76" t="s">
        <v>7025</v>
      </c>
    </row>
    <row r="13795" spans="1:2" x14ac:dyDescent="0.25">
      <c r="A13795" s="75">
        <v>51241226</v>
      </c>
      <c r="B13795" s="76" t="s">
        <v>14089</v>
      </c>
    </row>
    <row r="13796" spans="1:2" x14ac:dyDescent="0.25">
      <c r="A13796" s="75">
        <v>51241227</v>
      </c>
      <c r="B13796" s="76" t="s">
        <v>19518</v>
      </c>
    </row>
    <row r="13797" spans="1:2" x14ac:dyDescent="0.25">
      <c r="A13797" s="75">
        <v>51241228</v>
      </c>
      <c r="B13797" s="76" t="s">
        <v>18641</v>
      </c>
    </row>
    <row r="13798" spans="1:2" x14ac:dyDescent="0.25">
      <c r="A13798" s="75">
        <v>51241229</v>
      </c>
      <c r="B13798" s="76" t="s">
        <v>12454</v>
      </c>
    </row>
    <row r="13799" spans="1:2" x14ac:dyDescent="0.25">
      <c r="A13799" s="75">
        <v>51241301</v>
      </c>
      <c r="B13799" s="76" t="s">
        <v>5814</v>
      </c>
    </row>
    <row r="13800" spans="1:2" x14ac:dyDescent="0.25">
      <c r="A13800" s="75">
        <v>51241302</v>
      </c>
      <c r="B13800" s="76" t="s">
        <v>6827</v>
      </c>
    </row>
    <row r="13801" spans="1:2" x14ac:dyDescent="0.25">
      <c r="A13801" s="75">
        <v>51241303</v>
      </c>
      <c r="B13801" s="76" t="s">
        <v>19845</v>
      </c>
    </row>
    <row r="13802" spans="1:2" x14ac:dyDescent="0.25">
      <c r="A13802" s="75">
        <v>51241304</v>
      </c>
      <c r="B13802" s="76" t="s">
        <v>16589</v>
      </c>
    </row>
    <row r="13803" spans="1:2" x14ac:dyDescent="0.25">
      <c r="A13803" s="75">
        <v>51241305</v>
      </c>
      <c r="B13803" s="76" t="s">
        <v>7005</v>
      </c>
    </row>
    <row r="13804" spans="1:2" x14ac:dyDescent="0.25">
      <c r="A13804" s="75">
        <v>51251001</v>
      </c>
      <c r="B13804" s="76" t="s">
        <v>16325</v>
      </c>
    </row>
    <row r="13805" spans="1:2" x14ac:dyDescent="0.25">
      <c r="A13805" s="75">
        <v>52101501</v>
      </c>
      <c r="B13805" s="76" t="s">
        <v>10617</v>
      </c>
    </row>
    <row r="13806" spans="1:2" x14ac:dyDescent="0.25">
      <c r="A13806" s="75">
        <v>52101502</v>
      </c>
      <c r="B13806" s="76" t="s">
        <v>11908</v>
      </c>
    </row>
    <row r="13807" spans="1:2" x14ac:dyDescent="0.25">
      <c r="A13807" s="75">
        <v>52101503</v>
      </c>
      <c r="B13807" s="76" t="s">
        <v>9763</v>
      </c>
    </row>
    <row r="13808" spans="1:2" x14ac:dyDescent="0.25">
      <c r="A13808" s="75">
        <v>52101504</v>
      </c>
      <c r="B13808" s="76" t="s">
        <v>8573</v>
      </c>
    </row>
    <row r="13809" spans="1:2" x14ac:dyDescent="0.25">
      <c r="A13809" s="75">
        <v>52101505</v>
      </c>
      <c r="B13809" s="76" t="s">
        <v>4782</v>
      </c>
    </row>
    <row r="13810" spans="1:2" x14ac:dyDescent="0.25">
      <c r="A13810" s="75">
        <v>52101506</v>
      </c>
      <c r="B13810" s="76" t="s">
        <v>5591</v>
      </c>
    </row>
    <row r="13811" spans="1:2" x14ac:dyDescent="0.25">
      <c r="A13811" s="75">
        <v>52101507</v>
      </c>
      <c r="B13811" s="76" t="s">
        <v>3225</v>
      </c>
    </row>
    <row r="13812" spans="1:2" x14ac:dyDescent="0.25">
      <c r="A13812" s="75">
        <v>52101508</v>
      </c>
      <c r="B13812" s="76" t="s">
        <v>11259</v>
      </c>
    </row>
    <row r="13813" spans="1:2" x14ac:dyDescent="0.25">
      <c r="A13813" s="75">
        <v>52101509</v>
      </c>
      <c r="B13813" s="76" t="s">
        <v>6489</v>
      </c>
    </row>
    <row r="13814" spans="1:2" x14ac:dyDescent="0.25">
      <c r="A13814" s="75">
        <v>52101510</v>
      </c>
      <c r="B13814" s="76" t="s">
        <v>16087</v>
      </c>
    </row>
    <row r="13815" spans="1:2" x14ac:dyDescent="0.25">
      <c r="A13815" s="75">
        <v>52101511</v>
      </c>
      <c r="B13815" s="76" t="s">
        <v>19728</v>
      </c>
    </row>
    <row r="13816" spans="1:2" x14ac:dyDescent="0.25">
      <c r="A13816" s="75">
        <v>52101512</v>
      </c>
      <c r="B13816" s="76" t="s">
        <v>2482</v>
      </c>
    </row>
    <row r="13817" spans="1:2" x14ac:dyDescent="0.25">
      <c r="A13817" s="75">
        <v>52101513</v>
      </c>
      <c r="B13817" s="76" t="s">
        <v>5677</v>
      </c>
    </row>
    <row r="13818" spans="1:2" x14ac:dyDescent="0.25">
      <c r="A13818" s="75">
        <v>52121501</v>
      </c>
      <c r="B13818" s="76" t="s">
        <v>12976</v>
      </c>
    </row>
    <row r="13819" spans="1:2" x14ac:dyDescent="0.25">
      <c r="A13819" s="75">
        <v>52121502</v>
      </c>
      <c r="B13819" s="76" t="s">
        <v>11804</v>
      </c>
    </row>
    <row r="13820" spans="1:2" x14ac:dyDescent="0.25">
      <c r="A13820" s="75">
        <v>52121503</v>
      </c>
      <c r="B13820" s="76" t="s">
        <v>6007</v>
      </c>
    </row>
    <row r="13821" spans="1:2" x14ac:dyDescent="0.25">
      <c r="A13821" s="75">
        <v>52121504</v>
      </c>
      <c r="B13821" s="76" t="s">
        <v>11892</v>
      </c>
    </row>
    <row r="13822" spans="1:2" x14ac:dyDescent="0.25">
      <c r="A13822" s="75">
        <v>52121505</v>
      </c>
      <c r="B13822" s="76" t="s">
        <v>10031</v>
      </c>
    </row>
    <row r="13823" spans="1:2" x14ac:dyDescent="0.25">
      <c r="A13823" s="75">
        <v>52121506</v>
      </c>
      <c r="B13823" s="76" t="s">
        <v>4023</v>
      </c>
    </row>
    <row r="13824" spans="1:2" x14ac:dyDescent="0.25">
      <c r="A13824" s="75">
        <v>52121507</v>
      </c>
      <c r="B13824" s="76" t="s">
        <v>17632</v>
      </c>
    </row>
    <row r="13825" spans="1:2" x14ac:dyDescent="0.25">
      <c r="A13825" s="75">
        <v>52121508</v>
      </c>
      <c r="B13825" s="76" t="s">
        <v>14568</v>
      </c>
    </row>
    <row r="13826" spans="1:2" x14ac:dyDescent="0.25">
      <c r="A13826" s="75">
        <v>52121509</v>
      </c>
      <c r="B13826" s="76" t="s">
        <v>8140</v>
      </c>
    </row>
    <row r="13827" spans="1:2" x14ac:dyDescent="0.25">
      <c r="A13827" s="75">
        <v>52121510</v>
      </c>
      <c r="B13827" s="76" t="s">
        <v>9752</v>
      </c>
    </row>
    <row r="13828" spans="1:2" x14ac:dyDescent="0.25">
      <c r="A13828" s="75">
        <v>52121511</v>
      </c>
      <c r="B13828" s="76" t="s">
        <v>14601</v>
      </c>
    </row>
    <row r="13829" spans="1:2" x14ac:dyDescent="0.25">
      <c r="A13829" s="75">
        <v>52121512</v>
      </c>
      <c r="B13829" s="76" t="s">
        <v>17310</v>
      </c>
    </row>
    <row r="13830" spans="1:2" x14ac:dyDescent="0.25">
      <c r="A13830" s="75">
        <v>52121513</v>
      </c>
      <c r="B13830" s="76" t="s">
        <v>12317</v>
      </c>
    </row>
    <row r="13831" spans="1:2" x14ac:dyDescent="0.25">
      <c r="A13831" s="75">
        <v>52121601</v>
      </c>
      <c r="B13831" s="76" t="s">
        <v>4021</v>
      </c>
    </row>
    <row r="13832" spans="1:2" x14ac:dyDescent="0.25">
      <c r="A13832" s="75">
        <v>52121602</v>
      </c>
      <c r="B13832" s="76" t="s">
        <v>13697</v>
      </c>
    </row>
    <row r="13833" spans="1:2" x14ac:dyDescent="0.25">
      <c r="A13833" s="75">
        <v>52121603</v>
      </c>
      <c r="B13833" s="76" t="s">
        <v>15953</v>
      </c>
    </row>
    <row r="13834" spans="1:2" x14ac:dyDescent="0.25">
      <c r="A13834" s="75">
        <v>52121604</v>
      </c>
      <c r="B13834" s="76" t="s">
        <v>1047</v>
      </c>
    </row>
    <row r="13835" spans="1:2" x14ac:dyDescent="0.25">
      <c r="A13835" s="75">
        <v>52121605</v>
      </c>
      <c r="B13835" s="76" t="s">
        <v>10399</v>
      </c>
    </row>
    <row r="13836" spans="1:2" x14ac:dyDescent="0.25">
      <c r="A13836" s="75">
        <v>52121606</v>
      </c>
      <c r="B13836" s="76" t="s">
        <v>18501</v>
      </c>
    </row>
    <row r="13837" spans="1:2" x14ac:dyDescent="0.25">
      <c r="A13837" s="75">
        <v>52121607</v>
      </c>
      <c r="B13837" s="76" t="s">
        <v>13574</v>
      </c>
    </row>
    <row r="13838" spans="1:2" x14ac:dyDescent="0.25">
      <c r="A13838" s="75">
        <v>52121608</v>
      </c>
      <c r="B13838" s="76" t="s">
        <v>3554</v>
      </c>
    </row>
    <row r="13839" spans="1:2" x14ac:dyDescent="0.25">
      <c r="A13839" s="75">
        <v>52121701</v>
      </c>
      <c r="B13839" s="76" t="s">
        <v>4697</v>
      </c>
    </row>
    <row r="13840" spans="1:2" x14ac:dyDescent="0.25">
      <c r="A13840" s="75">
        <v>52121702</v>
      </c>
      <c r="B13840" s="76" t="s">
        <v>4108</v>
      </c>
    </row>
    <row r="13841" spans="1:2" x14ac:dyDescent="0.25">
      <c r="A13841" s="75">
        <v>52121703</v>
      </c>
      <c r="B13841" s="76" t="s">
        <v>1999</v>
      </c>
    </row>
    <row r="13842" spans="1:2" x14ac:dyDescent="0.25">
      <c r="A13842" s="75">
        <v>52121704</v>
      </c>
      <c r="B13842" s="76" t="s">
        <v>13091</v>
      </c>
    </row>
    <row r="13843" spans="1:2" x14ac:dyDescent="0.25">
      <c r="A13843" s="75">
        <v>52131501</v>
      </c>
      <c r="B13843" s="76" t="s">
        <v>6454</v>
      </c>
    </row>
    <row r="13844" spans="1:2" x14ac:dyDescent="0.25">
      <c r="A13844" s="75">
        <v>52131503</v>
      </c>
      <c r="B13844" s="76" t="s">
        <v>19269</v>
      </c>
    </row>
    <row r="13845" spans="1:2" x14ac:dyDescent="0.25">
      <c r="A13845" s="75">
        <v>52131601</v>
      </c>
      <c r="B13845" s="76" t="s">
        <v>19794</v>
      </c>
    </row>
    <row r="13846" spans="1:2" x14ac:dyDescent="0.25">
      <c r="A13846" s="75">
        <v>52131602</v>
      </c>
      <c r="B13846" s="76" t="s">
        <v>8453</v>
      </c>
    </row>
    <row r="13847" spans="1:2" x14ac:dyDescent="0.25">
      <c r="A13847" s="75">
        <v>52131603</v>
      </c>
      <c r="B13847" s="76" t="s">
        <v>11112</v>
      </c>
    </row>
    <row r="13848" spans="1:2" x14ac:dyDescent="0.25">
      <c r="A13848" s="75">
        <v>52131604</v>
      </c>
      <c r="B13848" s="76" t="s">
        <v>15277</v>
      </c>
    </row>
    <row r="13849" spans="1:2" x14ac:dyDescent="0.25">
      <c r="A13849" s="75">
        <v>52131701</v>
      </c>
      <c r="B13849" s="76" t="s">
        <v>19006</v>
      </c>
    </row>
    <row r="13850" spans="1:2" x14ac:dyDescent="0.25">
      <c r="A13850" s="75">
        <v>52131702</v>
      </c>
      <c r="B13850" s="76" t="s">
        <v>17059</v>
      </c>
    </row>
    <row r="13851" spans="1:2" x14ac:dyDescent="0.25">
      <c r="A13851" s="75">
        <v>52131703</v>
      </c>
      <c r="B13851" s="76" t="s">
        <v>3206</v>
      </c>
    </row>
    <row r="13852" spans="1:2" x14ac:dyDescent="0.25">
      <c r="A13852" s="75">
        <v>52131704</v>
      </c>
      <c r="B13852" s="76" t="s">
        <v>19881</v>
      </c>
    </row>
    <row r="13853" spans="1:2" x14ac:dyDescent="0.25">
      <c r="A13853" s="75">
        <v>52141501</v>
      </c>
      <c r="B13853" s="76" t="s">
        <v>18980</v>
      </c>
    </row>
    <row r="13854" spans="1:2" x14ac:dyDescent="0.25">
      <c r="A13854" s="75">
        <v>52141502</v>
      </c>
      <c r="B13854" s="76" t="s">
        <v>3427</v>
      </c>
    </row>
    <row r="13855" spans="1:2" x14ac:dyDescent="0.25">
      <c r="A13855" s="75">
        <v>52141503</v>
      </c>
      <c r="B13855" s="76" t="s">
        <v>8234</v>
      </c>
    </row>
    <row r="13856" spans="1:2" x14ac:dyDescent="0.25">
      <c r="A13856" s="75">
        <v>52141504</v>
      </c>
      <c r="B13856" s="76" t="s">
        <v>13815</v>
      </c>
    </row>
    <row r="13857" spans="1:2" x14ac:dyDescent="0.25">
      <c r="A13857" s="75">
        <v>52141505</v>
      </c>
      <c r="B13857" s="76" t="s">
        <v>490</v>
      </c>
    </row>
    <row r="13858" spans="1:2" x14ac:dyDescent="0.25">
      <c r="A13858" s="75">
        <v>52141506</v>
      </c>
      <c r="B13858" s="76" t="s">
        <v>7215</v>
      </c>
    </row>
    <row r="13859" spans="1:2" x14ac:dyDescent="0.25">
      <c r="A13859" s="75">
        <v>52141507</v>
      </c>
      <c r="B13859" s="76" t="s">
        <v>18408</v>
      </c>
    </row>
    <row r="13860" spans="1:2" x14ac:dyDescent="0.25">
      <c r="A13860" s="75">
        <v>52141508</v>
      </c>
      <c r="B13860" s="76" t="s">
        <v>19550</v>
      </c>
    </row>
    <row r="13861" spans="1:2" x14ac:dyDescent="0.25">
      <c r="A13861" s="75">
        <v>52141509</v>
      </c>
      <c r="B13861" s="76" t="s">
        <v>2824</v>
      </c>
    </row>
    <row r="13862" spans="1:2" x14ac:dyDescent="0.25">
      <c r="A13862" s="75">
        <v>52141510</v>
      </c>
      <c r="B13862" s="76" t="s">
        <v>14814</v>
      </c>
    </row>
    <row r="13863" spans="1:2" x14ac:dyDescent="0.25">
      <c r="A13863" s="75">
        <v>52141511</v>
      </c>
      <c r="B13863" s="76" t="s">
        <v>5613</v>
      </c>
    </row>
    <row r="13864" spans="1:2" x14ac:dyDescent="0.25">
      <c r="A13864" s="75">
        <v>52141512</v>
      </c>
      <c r="B13864" s="76" t="s">
        <v>16014</v>
      </c>
    </row>
    <row r="13865" spans="1:2" x14ac:dyDescent="0.25">
      <c r="A13865" s="75">
        <v>52141513</v>
      </c>
      <c r="B13865" s="76" t="s">
        <v>16285</v>
      </c>
    </row>
    <row r="13866" spans="1:2" x14ac:dyDescent="0.25">
      <c r="A13866" s="75">
        <v>52141514</v>
      </c>
      <c r="B13866" s="76" t="s">
        <v>6161</v>
      </c>
    </row>
    <row r="13867" spans="1:2" x14ac:dyDescent="0.25">
      <c r="A13867" s="75">
        <v>52141515</v>
      </c>
      <c r="B13867" s="76" t="s">
        <v>4966</v>
      </c>
    </row>
    <row r="13868" spans="1:2" x14ac:dyDescent="0.25">
      <c r="A13868" s="75">
        <v>52141516</v>
      </c>
      <c r="B13868" s="76" t="s">
        <v>19051</v>
      </c>
    </row>
    <row r="13869" spans="1:2" x14ac:dyDescent="0.25">
      <c r="A13869" s="75">
        <v>52141517</v>
      </c>
      <c r="B13869" s="76" t="s">
        <v>8899</v>
      </c>
    </row>
    <row r="13870" spans="1:2" x14ac:dyDescent="0.25">
      <c r="A13870" s="75">
        <v>52141518</v>
      </c>
      <c r="B13870" s="76" t="s">
        <v>9575</v>
      </c>
    </row>
    <row r="13871" spans="1:2" x14ac:dyDescent="0.25">
      <c r="A13871" s="75">
        <v>52141519</v>
      </c>
      <c r="B13871" s="76" t="s">
        <v>15290</v>
      </c>
    </row>
    <row r="13872" spans="1:2" x14ac:dyDescent="0.25">
      <c r="A13872" s="75">
        <v>52141520</v>
      </c>
      <c r="B13872" s="76" t="s">
        <v>19970</v>
      </c>
    </row>
    <row r="13873" spans="1:2" x14ac:dyDescent="0.25">
      <c r="A13873" s="75">
        <v>52141521</v>
      </c>
      <c r="B13873" s="76" t="s">
        <v>18565</v>
      </c>
    </row>
    <row r="13874" spans="1:2" x14ac:dyDescent="0.25">
      <c r="A13874" s="75">
        <v>52141522</v>
      </c>
      <c r="B13874" s="76" t="s">
        <v>15680</v>
      </c>
    </row>
    <row r="13875" spans="1:2" x14ac:dyDescent="0.25">
      <c r="A13875" s="75">
        <v>52141523</v>
      </c>
      <c r="B13875" s="76" t="s">
        <v>16135</v>
      </c>
    </row>
    <row r="13876" spans="1:2" x14ac:dyDescent="0.25">
      <c r="A13876" s="75">
        <v>52141524</v>
      </c>
      <c r="B13876" s="76" t="s">
        <v>15764</v>
      </c>
    </row>
    <row r="13877" spans="1:2" x14ac:dyDescent="0.25">
      <c r="A13877" s="75">
        <v>52141525</v>
      </c>
      <c r="B13877" s="76" t="s">
        <v>18870</v>
      </c>
    </row>
    <row r="13878" spans="1:2" x14ac:dyDescent="0.25">
      <c r="A13878" s="75">
        <v>52141526</v>
      </c>
      <c r="B13878" s="76" t="s">
        <v>3370</v>
      </c>
    </row>
    <row r="13879" spans="1:2" x14ac:dyDescent="0.25">
      <c r="A13879" s="75">
        <v>52141527</v>
      </c>
      <c r="B13879" s="76" t="s">
        <v>5336</v>
      </c>
    </row>
    <row r="13880" spans="1:2" x14ac:dyDescent="0.25">
      <c r="A13880" s="75">
        <v>52141528</v>
      </c>
      <c r="B13880" s="76" t="s">
        <v>17593</v>
      </c>
    </row>
    <row r="13881" spans="1:2" x14ac:dyDescent="0.25">
      <c r="A13881" s="75">
        <v>52141529</v>
      </c>
      <c r="B13881" s="76" t="s">
        <v>11835</v>
      </c>
    </row>
    <row r="13882" spans="1:2" x14ac:dyDescent="0.25">
      <c r="A13882" s="75">
        <v>52141530</v>
      </c>
      <c r="B13882" s="76" t="s">
        <v>11551</v>
      </c>
    </row>
    <row r="13883" spans="1:2" x14ac:dyDescent="0.25">
      <c r="A13883" s="75">
        <v>52141531</v>
      </c>
      <c r="B13883" s="76" t="s">
        <v>10077</v>
      </c>
    </row>
    <row r="13884" spans="1:2" x14ac:dyDescent="0.25">
      <c r="A13884" s="75">
        <v>52141532</v>
      </c>
      <c r="B13884" s="76" t="s">
        <v>18418</v>
      </c>
    </row>
    <row r="13885" spans="1:2" x14ac:dyDescent="0.25">
      <c r="A13885" s="75">
        <v>52141533</v>
      </c>
      <c r="B13885" s="76" t="s">
        <v>2858</v>
      </c>
    </row>
    <row r="13886" spans="1:2" x14ac:dyDescent="0.25">
      <c r="A13886" s="75">
        <v>52141534</v>
      </c>
      <c r="B13886" s="76" t="s">
        <v>10718</v>
      </c>
    </row>
    <row r="13887" spans="1:2" x14ac:dyDescent="0.25">
      <c r="A13887" s="75">
        <v>52141535</v>
      </c>
      <c r="B13887" s="76" t="s">
        <v>11390</v>
      </c>
    </row>
    <row r="13888" spans="1:2" x14ac:dyDescent="0.25">
      <c r="A13888" s="75">
        <v>52141536</v>
      </c>
      <c r="B13888" s="76" t="s">
        <v>15348</v>
      </c>
    </row>
    <row r="13889" spans="1:2" x14ac:dyDescent="0.25">
      <c r="A13889" s="75">
        <v>52141537</v>
      </c>
      <c r="B13889" s="76" t="s">
        <v>7855</v>
      </c>
    </row>
    <row r="13890" spans="1:2" x14ac:dyDescent="0.25">
      <c r="A13890" s="75">
        <v>52141538</v>
      </c>
      <c r="B13890" s="76" t="s">
        <v>18644</v>
      </c>
    </row>
    <row r="13891" spans="1:2" x14ac:dyDescent="0.25">
      <c r="A13891" s="75">
        <v>52141539</v>
      </c>
      <c r="B13891" s="76" t="s">
        <v>5129</v>
      </c>
    </row>
    <row r="13892" spans="1:2" x14ac:dyDescent="0.25">
      <c r="A13892" s="75">
        <v>52141601</v>
      </c>
      <c r="B13892" s="76" t="s">
        <v>7293</v>
      </c>
    </row>
    <row r="13893" spans="1:2" x14ac:dyDescent="0.25">
      <c r="A13893" s="75">
        <v>52141602</v>
      </c>
      <c r="B13893" s="76" t="s">
        <v>15371</v>
      </c>
    </row>
    <row r="13894" spans="1:2" x14ac:dyDescent="0.25">
      <c r="A13894" s="75">
        <v>52141603</v>
      </c>
      <c r="B13894" s="76" t="s">
        <v>11688</v>
      </c>
    </row>
    <row r="13895" spans="1:2" x14ac:dyDescent="0.25">
      <c r="A13895" s="75">
        <v>52141604</v>
      </c>
      <c r="B13895" s="76" t="s">
        <v>14258</v>
      </c>
    </row>
    <row r="13896" spans="1:2" x14ac:dyDescent="0.25">
      <c r="A13896" s="75">
        <v>52141605</v>
      </c>
      <c r="B13896" s="76" t="s">
        <v>9656</v>
      </c>
    </row>
    <row r="13897" spans="1:2" x14ac:dyDescent="0.25">
      <c r="A13897" s="75">
        <v>52141606</v>
      </c>
      <c r="B13897" s="76" t="s">
        <v>552</v>
      </c>
    </row>
    <row r="13898" spans="1:2" x14ac:dyDescent="0.25">
      <c r="A13898" s="75">
        <v>52141607</v>
      </c>
      <c r="B13898" s="76" t="s">
        <v>17359</v>
      </c>
    </row>
    <row r="13899" spans="1:2" x14ac:dyDescent="0.25">
      <c r="A13899" s="75">
        <v>52141608</v>
      </c>
      <c r="B13899" s="76" t="s">
        <v>11405</v>
      </c>
    </row>
    <row r="13900" spans="1:2" x14ac:dyDescent="0.25">
      <c r="A13900" s="75">
        <v>52141701</v>
      </c>
      <c r="B13900" s="76" t="s">
        <v>17343</v>
      </c>
    </row>
    <row r="13901" spans="1:2" x14ac:dyDescent="0.25">
      <c r="A13901" s="75">
        <v>52141703</v>
      </c>
      <c r="B13901" s="76" t="s">
        <v>9172</v>
      </c>
    </row>
    <row r="13902" spans="1:2" x14ac:dyDescent="0.25">
      <c r="A13902" s="75">
        <v>52141704</v>
      </c>
      <c r="B13902" s="76" t="s">
        <v>8463</v>
      </c>
    </row>
    <row r="13903" spans="1:2" x14ac:dyDescent="0.25">
      <c r="A13903" s="75">
        <v>52141705</v>
      </c>
      <c r="B13903" s="76" t="s">
        <v>11433</v>
      </c>
    </row>
    <row r="13904" spans="1:2" x14ac:dyDescent="0.25">
      <c r="A13904" s="75">
        <v>52141706</v>
      </c>
      <c r="B13904" s="76" t="s">
        <v>12872</v>
      </c>
    </row>
    <row r="13905" spans="1:2" x14ac:dyDescent="0.25">
      <c r="A13905" s="75">
        <v>52141801</v>
      </c>
      <c r="B13905" s="76" t="s">
        <v>18089</v>
      </c>
    </row>
    <row r="13906" spans="1:2" x14ac:dyDescent="0.25">
      <c r="A13906" s="75">
        <v>52141802</v>
      </c>
      <c r="B13906" s="76" t="s">
        <v>7732</v>
      </c>
    </row>
    <row r="13907" spans="1:2" x14ac:dyDescent="0.25">
      <c r="A13907" s="75">
        <v>52141803</v>
      </c>
      <c r="B13907" s="76" t="s">
        <v>7473</v>
      </c>
    </row>
    <row r="13908" spans="1:2" x14ac:dyDescent="0.25">
      <c r="A13908" s="75">
        <v>52151501</v>
      </c>
      <c r="B13908" s="76" t="s">
        <v>1345</v>
      </c>
    </row>
    <row r="13909" spans="1:2" x14ac:dyDescent="0.25">
      <c r="A13909" s="75">
        <v>52151502</v>
      </c>
      <c r="B13909" s="76" t="s">
        <v>16521</v>
      </c>
    </row>
    <row r="13910" spans="1:2" x14ac:dyDescent="0.25">
      <c r="A13910" s="75">
        <v>52151503</v>
      </c>
      <c r="B13910" s="76" t="s">
        <v>563</v>
      </c>
    </row>
    <row r="13911" spans="1:2" x14ac:dyDescent="0.25">
      <c r="A13911" s="75">
        <v>52151504</v>
      </c>
      <c r="B13911" s="76" t="s">
        <v>17720</v>
      </c>
    </row>
    <row r="13912" spans="1:2" x14ac:dyDescent="0.25">
      <c r="A13912" s="75">
        <v>52151505</v>
      </c>
      <c r="B13912" s="76" t="s">
        <v>18005</v>
      </c>
    </row>
    <row r="13913" spans="1:2" x14ac:dyDescent="0.25">
      <c r="A13913" s="75">
        <v>52151506</v>
      </c>
      <c r="B13913" s="76" t="s">
        <v>13559</v>
      </c>
    </row>
    <row r="13914" spans="1:2" x14ac:dyDescent="0.25">
      <c r="A13914" s="75">
        <v>52151507</v>
      </c>
      <c r="B13914" s="76" t="s">
        <v>8066</v>
      </c>
    </row>
    <row r="13915" spans="1:2" x14ac:dyDescent="0.25">
      <c r="A13915" s="75">
        <v>52151601</v>
      </c>
      <c r="B13915" s="76" t="s">
        <v>17888</v>
      </c>
    </row>
    <row r="13916" spans="1:2" x14ac:dyDescent="0.25">
      <c r="A13916" s="75">
        <v>52151602</v>
      </c>
      <c r="B13916" s="76" t="s">
        <v>17518</v>
      </c>
    </row>
    <row r="13917" spans="1:2" x14ac:dyDescent="0.25">
      <c r="A13917" s="75">
        <v>52151603</v>
      </c>
      <c r="B13917" s="76" t="s">
        <v>3828</v>
      </c>
    </row>
    <row r="13918" spans="1:2" x14ac:dyDescent="0.25">
      <c r="A13918" s="75">
        <v>52151604</v>
      </c>
      <c r="B13918" s="76" t="s">
        <v>2586</v>
      </c>
    </row>
    <row r="13919" spans="1:2" x14ac:dyDescent="0.25">
      <c r="A13919" s="75">
        <v>52151605</v>
      </c>
      <c r="B13919" s="76" t="s">
        <v>4789</v>
      </c>
    </row>
    <row r="13920" spans="1:2" x14ac:dyDescent="0.25">
      <c r="A13920" s="75">
        <v>52151606</v>
      </c>
      <c r="B13920" s="76" t="s">
        <v>6981</v>
      </c>
    </row>
    <row r="13921" spans="1:2" x14ac:dyDescent="0.25">
      <c r="A13921" s="75">
        <v>52151607</v>
      </c>
      <c r="B13921" s="76" t="s">
        <v>17266</v>
      </c>
    </row>
    <row r="13922" spans="1:2" x14ac:dyDescent="0.25">
      <c r="A13922" s="75">
        <v>52151608</v>
      </c>
      <c r="B13922" s="76" t="s">
        <v>19340</v>
      </c>
    </row>
    <row r="13923" spans="1:2" x14ac:dyDescent="0.25">
      <c r="A13923" s="75">
        <v>52151609</v>
      </c>
      <c r="B13923" s="76" t="s">
        <v>18497</v>
      </c>
    </row>
    <row r="13924" spans="1:2" x14ac:dyDescent="0.25">
      <c r="A13924" s="75">
        <v>52151610</v>
      </c>
      <c r="B13924" s="76" t="s">
        <v>15395</v>
      </c>
    </row>
    <row r="13925" spans="1:2" x14ac:dyDescent="0.25">
      <c r="A13925" s="75">
        <v>52151611</v>
      </c>
      <c r="B13925" s="76" t="s">
        <v>4554</v>
      </c>
    </row>
    <row r="13926" spans="1:2" x14ac:dyDescent="0.25">
      <c r="A13926" s="75">
        <v>52151612</v>
      </c>
      <c r="B13926" s="76" t="s">
        <v>16102</v>
      </c>
    </row>
    <row r="13927" spans="1:2" x14ac:dyDescent="0.25">
      <c r="A13927" s="75">
        <v>52151613</v>
      </c>
      <c r="B13927" s="76" t="s">
        <v>412</v>
      </c>
    </row>
    <row r="13928" spans="1:2" x14ac:dyDescent="0.25">
      <c r="A13928" s="75">
        <v>52151614</v>
      </c>
      <c r="B13928" s="76" t="s">
        <v>6422</v>
      </c>
    </row>
    <row r="13929" spans="1:2" x14ac:dyDescent="0.25">
      <c r="A13929" s="75">
        <v>52151615</v>
      </c>
      <c r="B13929" s="76" t="s">
        <v>16677</v>
      </c>
    </row>
    <row r="13930" spans="1:2" x14ac:dyDescent="0.25">
      <c r="A13930" s="75">
        <v>52151616</v>
      </c>
      <c r="B13930" s="76" t="s">
        <v>10029</v>
      </c>
    </row>
    <row r="13931" spans="1:2" x14ac:dyDescent="0.25">
      <c r="A13931" s="75">
        <v>52151617</v>
      </c>
      <c r="B13931" s="76" t="s">
        <v>19235</v>
      </c>
    </row>
    <row r="13932" spans="1:2" x14ac:dyDescent="0.25">
      <c r="A13932" s="75">
        <v>52151618</v>
      </c>
      <c r="B13932" s="76" t="s">
        <v>15812</v>
      </c>
    </row>
    <row r="13933" spans="1:2" x14ac:dyDescent="0.25">
      <c r="A13933" s="75">
        <v>52151619</v>
      </c>
      <c r="B13933" s="76" t="s">
        <v>1436</v>
      </c>
    </row>
    <row r="13934" spans="1:2" x14ac:dyDescent="0.25">
      <c r="A13934" s="75">
        <v>52151620</v>
      </c>
      <c r="B13934" s="76" t="s">
        <v>5497</v>
      </c>
    </row>
    <row r="13935" spans="1:2" x14ac:dyDescent="0.25">
      <c r="A13935" s="75">
        <v>52151621</v>
      </c>
      <c r="B13935" s="76" t="s">
        <v>7571</v>
      </c>
    </row>
    <row r="13936" spans="1:2" x14ac:dyDescent="0.25">
      <c r="A13936" s="75">
        <v>52151622</v>
      </c>
      <c r="B13936" s="76" t="s">
        <v>18302</v>
      </c>
    </row>
    <row r="13937" spans="1:2" x14ac:dyDescent="0.25">
      <c r="A13937" s="75">
        <v>52151623</v>
      </c>
      <c r="B13937" s="76" t="s">
        <v>16978</v>
      </c>
    </row>
    <row r="13938" spans="1:2" x14ac:dyDescent="0.25">
      <c r="A13938" s="75">
        <v>52151624</v>
      </c>
      <c r="B13938" s="76" t="s">
        <v>13494</v>
      </c>
    </row>
    <row r="13939" spans="1:2" x14ac:dyDescent="0.25">
      <c r="A13939" s="75">
        <v>52151625</v>
      </c>
      <c r="B13939" s="76" t="s">
        <v>16175</v>
      </c>
    </row>
    <row r="13940" spans="1:2" x14ac:dyDescent="0.25">
      <c r="A13940" s="75">
        <v>52151626</v>
      </c>
      <c r="B13940" s="76" t="s">
        <v>17836</v>
      </c>
    </row>
    <row r="13941" spans="1:2" x14ac:dyDescent="0.25">
      <c r="A13941" s="75">
        <v>52151627</v>
      </c>
      <c r="B13941" s="76" t="s">
        <v>18108</v>
      </c>
    </row>
    <row r="13942" spans="1:2" x14ac:dyDescent="0.25">
      <c r="A13942" s="75">
        <v>52151628</v>
      </c>
      <c r="B13942" s="76" t="s">
        <v>16049</v>
      </c>
    </row>
    <row r="13943" spans="1:2" x14ac:dyDescent="0.25">
      <c r="A13943" s="75">
        <v>52151629</v>
      </c>
      <c r="B13943" s="76" t="s">
        <v>208</v>
      </c>
    </row>
    <row r="13944" spans="1:2" x14ac:dyDescent="0.25">
      <c r="A13944" s="75">
        <v>52151630</v>
      </c>
      <c r="B13944" s="76" t="s">
        <v>8849</v>
      </c>
    </row>
    <row r="13945" spans="1:2" x14ac:dyDescent="0.25">
      <c r="A13945" s="75">
        <v>52151631</v>
      </c>
      <c r="B13945" s="76" t="s">
        <v>2582</v>
      </c>
    </row>
    <row r="13946" spans="1:2" x14ac:dyDescent="0.25">
      <c r="A13946" s="75">
        <v>52151632</v>
      </c>
      <c r="B13946" s="76" t="s">
        <v>7226</v>
      </c>
    </row>
    <row r="13947" spans="1:2" x14ac:dyDescent="0.25">
      <c r="A13947" s="75">
        <v>52151633</v>
      </c>
      <c r="B13947" s="76" t="s">
        <v>10754</v>
      </c>
    </row>
    <row r="13948" spans="1:2" x14ac:dyDescent="0.25">
      <c r="A13948" s="75">
        <v>52151634</v>
      </c>
      <c r="B13948" s="76" t="s">
        <v>17504</v>
      </c>
    </row>
    <row r="13949" spans="1:2" x14ac:dyDescent="0.25">
      <c r="A13949" s="75">
        <v>52151635</v>
      </c>
      <c r="B13949" s="76" t="s">
        <v>16943</v>
      </c>
    </row>
    <row r="13950" spans="1:2" x14ac:dyDescent="0.25">
      <c r="A13950" s="75">
        <v>52151636</v>
      </c>
      <c r="B13950" s="76" t="s">
        <v>10205</v>
      </c>
    </row>
    <row r="13951" spans="1:2" x14ac:dyDescent="0.25">
      <c r="A13951" s="75">
        <v>52151637</v>
      </c>
      <c r="B13951" s="76" t="s">
        <v>17956</v>
      </c>
    </row>
    <row r="13952" spans="1:2" x14ac:dyDescent="0.25">
      <c r="A13952" s="75">
        <v>52151638</v>
      </c>
      <c r="B13952" s="76" t="s">
        <v>13471</v>
      </c>
    </row>
    <row r="13953" spans="1:2" x14ac:dyDescent="0.25">
      <c r="A13953" s="75">
        <v>52151639</v>
      </c>
      <c r="B13953" s="76" t="s">
        <v>13703</v>
      </c>
    </row>
    <row r="13954" spans="1:2" x14ac:dyDescent="0.25">
      <c r="A13954" s="75">
        <v>52151640</v>
      </c>
      <c r="B13954" s="76" t="s">
        <v>6324</v>
      </c>
    </row>
    <row r="13955" spans="1:2" x14ac:dyDescent="0.25">
      <c r="A13955" s="75">
        <v>52151641</v>
      </c>
      <c r="B13955" s="76" t="s">
        <v>2675</v>
      </c>
    </row>
    <row r="13956" spans="1:2" x14ac:dyDescent="0.25">
      <c r="A13956" s="75">
        <v>52151642</v>
      </c>
      <c r="B13956" s="76" t="s">
        <v>17782</v>
      </c>
    </row>
    <row r="13957" spans="1:2" x14ac:dyDescent="0.25">
      <c r="A13957" s="75">
        <v>52151643</v>
      </c>
      <c r="B13957" s="76" t="s">
        <v>7481</v>
      </c>
    </row>
    <row r="13958" spans="1:2" x14ac:dyDescent="0.25">
      <c r="A13958" s="75">
        <v>52151644</v>
      </c>
      <c r="B13958" s="76" t="s">
        <v>13706</v>
      </c>
    </row>
    <row r="13959" spans="1:2" x14ac:dyDescent="0.25">
      <c r="A13959" s="75">
        <v>52151645</v>
      </c>
      <c r="B13959" s="76" t="s">
        <v>4669</v>
      </c>
    </row>
    <row r="13960" spans="1:2" x14ac:dyDescent="0.25">
      <c r="A13960" s="75">
        <v>52151646</v>
      </c>
      <c r="B13960" s="76" t="s">
        <v>4316</v>
      </c>
    </row>
    <row r="13961" spans="1:2" x14ac:dyDescent="0.25">
      <c r="A13961" s="75">
        <v>52151647</v>
      </c>
      <c r="B13961" s="76" t="s">
        <v>8646</v>
      </c>
    </row>
    <row r="13962" spans="1:2" x14ac:dyDescent="0.25">
      <c r="A13962" s="75">
        <v>52151648</v>
      </c>
      <c r="B13962" s="76" t="s">
        <v>1984</v>
      </c>
    </row>
    <row r="13963" spans="1:2" x14ac:dyDescent="0.25">
      <c r="A13963" s="75">
        <v>52151649</v>
      </c>
      <c r="B13963" s="76" t="s">
        <v>12339</v>
      </c>
    </row>
    <row r="13964" spans="1:2" x14ac:dyDescent="0.25">
      <c r="A13964" s="75">
        <v>52151650</v>
      </c>
      <c r="B13964" s="76" t="s">
        <v>1911</v>
      </c>
    </row>
    <row r="13965" spans="1:2" x14ac:dyDescent="0.25">
      <c r="A13965" s="75">
        <v>52151701</v>
      </c>
      <c r="B13965" s="76" t="s">
        <v>10187</v>
      </c>
    </row>
    <row r="13966" spans="1:2" x14ac:dyDescent="0.25">
      <c r="A13966" s="75">
        <v>52151702</v>
      </c>
      <c r="B13966" s="76" t="s">
        <v>14582</v>
      </c>
    </row>
    <row r="13967" spans="1:2" x14ac:dyDescent="0.25">
      <c r="A13967" s="75">
        <v>52151703</v>
      </c>
      <c r="B13967" s="76" t="s">
        <v>9948</v>
      </c>
    </row>
    <row r="13968" spans="1:2" x14ac:dyDescent="0.25">
      <c r="A13968" s="75">
        <v>52151704</v>
      </c>
      <c r="B13968" s="76" t="s">
        <v>1146</v>
      </c>
    </row>
    <row r="13969" spans="1:2" x14ac:dyDescent="0.25">
      <c r="A13969" s="75">
        <v>52151705</v>
      </c>
      <c r="B13969" s="76" t="s">
        <v>18584</v>
      </c>
    </row>
    <row r="13970" spans="1:2" x14ac:dyDescent="0.25">
      <c r="A13970" s="75">
        <v>52151706</v>
      </c>
      <c r="B13970" s="76" t="s">
        <v>17189</v>
      </c>
    </row>
    <row r="13971" spans="1:2" x14ac:dyDescent="0.25">
      <c r="A13971" s="75">
        <v>52151707</v>
      </c>
      <c r="B13971" s="76" t="s">
        <v>4406</v>
      </c>
    </row>
    <row r="13972" spans="1:2" x14ac:dyDescent="0.25">
      <c r="A13972" s="75">
        <v>52151708</v>
      </c>
      <c r="B13972" s="76" t="s">
        <v>2449</v>
      </c>
    </row>
    <row r="13973" spans="1:2" x14ac:dyDescent="0.25">
      <c r="A13973" s="75">
        <v>52151709</v>
      </c>
      <c r="B13973" s="76" t="s">
        <v>7024</v>
      </c>
    </row>
    <row r="13974" spans="1:2" x14ac:dyDescent="0.25">
      <c r="A13974" s="75">
        <v>52151801</v>
      </c>
      <c r="B13974" s="76" t="s">
        <v>18240</v>
      </c>
    </row>
    <row r="13975" spans="1:2" x14ac:dyDescent="0.25">
      <c r="A13975" s="75">
        <v>52151802</v>
      </c>
      <c r="B13975" s="76" t="s">
        <v>1693</v>
      </c>
    </row>
    <row r="13976" spans="1:2" x14ac:dyDescent="0.25">
      <c r="A13976" s="75">
        <v>52151803</v>
      </c>
      <c r="B13976" s="76" t="s">
        <v>6907</v>
      </c>
    </row>
    <row r="13977" spans="1:2" x14ac:dyDescent="0.25">
      <c r="A13977" s="75">
        <v>52151804</v>
      </c>
      <c r="B13977" s="76" t="s">
        <v>9076</v>
      </c>
    </row>
    <row r="13978" spans="1:2" x14ac:dyDescent="0.25">
      <c r="A13978" s="75">
        <v>52151805</v>
      </c>
      <c r="B13978" s="76" t="s">
        <v>733</v>
      </c>
    </row>
    <row r="13979" spans="1:2" x14ac:dyDescent="0.25">
      <c r="A13979" s="75">
        <v>52151806</v>
      </c>
      <c r="B13979" s="76" t="s">
        <v>18059</v>
      </c>
    </row>
    <row r="13980" spans="1:2" x14ac:dyDescent="0.25">
      <c r="A13980" s="75">
        <v>52151807</v>
      </c>
      <c r="B13980" s="76" t="s">
        <v>3705</v>
      </c>
    </row>
    <row r="13981" spans="1:2" x14ac:dyDescent="0.25">
      <c r="A13981" s="75">
        <v>52151808</v>
      </c>
      <c r="B13981" s="76" t="s">
        <v>455</v>
      </c>
    </row>
    <row r="13982" spans="1:2" x14ac:dyDescent="0.25">
      <c r="A13982" s="75">
        <v>52151809</v>
      </c>
      <c r="B13982" s="76" t="s">
        <v>10178</v>
      </c>
    </row>
    <row r="13983" spans="1:2" x14ac:dyDescent="0.25">
      <c r="A13983" s="75">
        <v>52151810</v>
      </c>
      <c r="B13983" s="76" t="s">
        <v>1078</v>
      </c>
    </row>
    <row r="13984" spans="1:2" x14ac:dyDescent="0.25">
      <c r="A13984" s="75">
        <v>52151811</v>
      </c>
      <c r="B13984" s="76" t="s">
        <v>1425</v>
      </c>
    </row>
    <row r="13985" spans="1:2" x14ac:dyDescent="0.25">
      <c r="A13985" s="75">
        <v>52151812</v>
      </c>
      <c r="B13985" s="76" t="s">
        <v>2425</v>
      </c>
    </row>
    <row r="13986" spans="1:2" x14ac:dyDescent="0.25">
      <c r="A13986" s="75">
        <v>52151813</v>
      </c>
      <c r="B13986" s="76" t="s">
        <v>5827</v>
      </c>
    </row>
    <row r="13987" spans="1:2" x14ac:dyDescent="0.25">
      <c r="A13987" s="75">
        <v>52151901</v>
      </c>
      <c r="B13987" s="76" t="s">
        <v>12280</v>
      </c>
    </row>
    <row r="13988" spans="1:2" x14ac:dyDescent="0.25">
      <c r="A13988" s="75">
        <v>52151902</v>
      </c>
      <c r="B13988" s="76" t="s">
        <v>2574</v>
      </c>
    </row>
    <row r="13989" spans="1:2" x14ac:dyDescent="0.25">
      <c r="A13989" s="75">
        <v>52151903</v>
      </c>
      <c r="B13989" s="76" t="s">
        <v>15403</v>
      </c>
    </row>
    <row r="13990" spans="1:2" x14ac:dyDescent="0.25">
      <c r="A13990" s="75">
        <v>52151904</v>
      </c>
      <c r="B13990" s="76" t="s">
        <v>19419</v>
      </c>
    </row>
    <row r="13991" spans="1:2" x14ac:dyDescent="0.25">
      <c r="A13991" s="75">
        <v>52151905</v>
      </c>
      <c r="B13991" s="76" t="s">
        <v>8405</v>
      </c>
    </row>
    <row r="13992" spans="1:2" x14ac:dyDescent="0.25">
      <c r="A13992" s="75">
        <v>52151906</v>
      </c>
      <c r="B13992" s="76" t="s">
        <v>12189</v>
      </c>
    </row>
    <row r="13993" spans="1:2" x14ac:dyDescent="0.25">
      <c r="A13993" s="75">
        <v>52151907</v>
      </c>
      <c r="B13993" s="76" t="s">
        <v>12089</v>
      </c>
    </row>
    <row r="13994" spans="1:2" x14ac:dyDescent="0.25">
      <c r="A13994" s="75">
        <v>52151908</v>
      </c>
      <c r="B13994" s="76" t="s">
        <v>13606</v>
      </c>
    </row>
    <row r="13995" spans="1:2" x14ac:dyDescent="0.25">
      <c r="A13995" s="75">
        <v>52151909</v>
      </c>
      <c r="B13995" s="76" t="s">
        <v>16702</v>
      </c>
    </row>
    <row r="13996" spans="1:2" x14ac:dyDescent="0.25">
      <c r="A13996" s="75">
        <v>52152001</v>
      </c>
      <c r="B13996" s="76" t="s">
        <v>13371</v>
      </c>
    </row>
    <row r="13997" spans="1:2" x14ac:dyDescent="0.25">
      <c r="A13997" s="75">
        <v>52152002</v>
      </c>
      <c r="B13997" s="76" t="s">
        <v>3100</v>
      </c>
    </row>
    <row r="13998" spans="1:2" x14ac:dyDescent="0.25">
      <c r="A13998" s="75">
        <v>52152003</v>
      </c>
      <c r="B13998" s="76" t="s">
        <v>7016</v>
      </c>
    </row>
    <row r="13999" spans="1:2" x14ac:dyDescent="0.25">
      <c r="A13999" s="75">
        <v>52152004</v>
      </c>
      <c r="B13999" s="76" t="s">
        <v>17984</v>
      </c>
    </row>
    <row r="14000" spans="1:2" x14ac:dyDescent="0.25">
      <c r="A14000" s="75">
        <v>52152005</v>
      </c>
      <c r="B14000" s="76" t="s">
        <v>7354</v>
      </c>
    </row>
    <row r="14001" spans="1:2" x14ac:dyDescent="0.25">
      <c r="A14001" s="75">
        <v>52152006</v>
      </c>
      <c r="B14001" s="76" t="s">
        <v>10041</v>
      </c>
    </row>
    <row r="14002" spans="1:2" x14ac:dyDescent="0.25">
      <c r="A14002" s="75">
        <v>52152007</v>
      </c>
      <c r="B14002" s="76" t="s">
        <v>7507</v>
      </c>
    </row>
    <row r="14003" spans="1:2" x14ac:dyDescent="0.25">
      <c r="A14003" s="75">
        <v>52152008</v>
      </c>
      <c r="B14003" s="76" t="s">
        <v>2477</v>
      </c>
    </row>
    <row r="14004" spans="1:2" x14ac:dyDescent="0.25">
      <c r="A14004" s="75">
        <v>52152009</v>
      </c>
      <c r="B14004" s="76" t="s">
        <v>17612</v>
      </c>
    </row>
    <row r="14005" spans="1:2" x14ac:dyDescent="0.25">
      <c r="A14005" s="75">
        <v>52152010</v>
      </c>
      <c r="B14005" s="76" t="s">
        <v>7841</v>
      </c>
    </row>
    <row r="14006" spans="1:2" x14ac:dyDescent="0.25">
      <c r="A14006" s="75">
        <v>52152011</v>
      </c>
      <c r="B14006" s="76" t="s">
        <v>9526</v>
      </c>
    </row>
    <row r="14007" spans="1:2" x14ac:dyDescent="0.25">
      <c r="A14007" s="75">
        <v>52152012</v>
      </c>
      <c r="B14007" s="76" t="s">
        <v>5183</v>
      </c>
    </row>
    <row r="14008" spans="1:2" x14ac:dyDescent="0.25">
      <c r="A14008" s="75">
        <v>52152013</v>
      </c>
      <c r="B14008" s="76" t="s">
        <v>3352</v>
      </c>
    </row>
    <row r="14009" spans="1:2" x14ac:dyDescent="0.25">
      <c r="A14009" s="75">
        <v>52152014</v>
      </c>
      <c r="B14009" s="76" t="s">
        <v>7694</v>
      </c>
    </row>
    <row r="14010" spans="1:2" x14ac:dyDescent="0.25">
      <c r="A14010" s="75">
        <v>52152015</v>
      </c>
      <c r="B14010" s="76" t="s">
        <v>19272</v>
      </c>
    </row>
    <row r="14011" spans="1:2" x14ac:dyDescent="0.25">
      <c r="A14011" s="75">
        <v>52152016</v>
      </c>
      <c r="B14011" s="76" t="s">
        <v>9073</v>
      </c>
    </row>
    <row r="14012" spans="1:2" x14ac:dyDescent="0.25">
      <c r="A14012" s="75">
        <v>52152101</v>
      </c>
      <c r="B14012" s="76" t="s">
        <v>18566</v>
      </c>
    </row>
    <row r="14013" spans="1:2" x14ac:dyDescent="0.25">
      <c r="A14013" s="75">
        <v>52152102</v>
      </c>
      <c r="B14013" s="76" t="s">
        <v>13567</v>
      </c>
    </row>
    <row r="14014" spans="1:2" x14ac:dyDescent="0.25">
      <c r="A14014" s="75">
        <v>52152103</v>
      </c>
      <c r="B14014" s="76" t="s">
        <v>6605</v>
      </c>
    </row>
    <row r="14015" spans="1:2" x14ac:dyDescent="0.25">
      <c r="A14015" s="75">
        <v>52152104</v>
      </c>
      <c r="B14015" s="76" t="s">
        <v>11185</v>
      </c>
    </row>
    <row r="14016" spans="1:2" x14ac:dyDescent="0.25">
      <c r="A14016" s="75">
        <v>52152105</v>
      </c>
      <c r="B14016" s="76" t="s">
        <v>10923</v>
      </c>
    </row>
    <row r="14017" spans="1:2" x14ac:dyDescent="0.25">
      <c r="A14017" s="75">
        <v>52152201</v>
      </c>
      <c r="B14017" s="76" t="s">
        <v>13942</v>
      </c>
    </row>
    <row r="14018" spans="1:2" x14ac:dyDescent="0.25">
      <c r="A14018" s="75">
        <v>52152202</v>
      </c>
      <c r="B14018" s="76" t="s">
        <v>16935</v>
      </c>
    </row>
    <row r="14019" spans="1:2" x14ac:dyDescent="0.25">
      <c r="A14019" s="75">
        <v>52152203</v>
      </c>
      <c r="B14019" s="76" t="s">
        <v>4442</v>
      </c>
    </row>
    <row r="14020" spans="1:2" x14ac:dyDescent="0.25">
      <c r="A14020" s="75">
        <v>52161502</v>
      </c>
      <c r="B14020" s="76" t="s">
        <v>2209</v>
      </c>
    </row>
    <row r="14021" spans="1:2" x14ac:dyDescent="0.25">
      <c r="A14021" s="75">
        <v>52161505</v>
      </c>
      <c r="B14021" s="76" t="s">
        <v>14609</v>
      </c>
    </row>
    <row r="14022" spans="1:2" x14ac:dyDescent="0.25">
      <c r="A14022" s="75">
        <v>52161507</v>
      </c>
      <c r="B14022" s="76" t="s">
        <v>12743</v>
      </c>
    </row>
    <row r="14023" spans="1:2" x14ac:dyDescent="0.25">
      <c r="A14023" s="75">
        <v>52161508</v>
      </c>
      <c r="B14023" s="76" t="s">
        <v>9303</v>
      </c>
    </row>
    <row r="14024" spans="1:2" x14ac:dyDescent="0.25">
      <c r="A14024" s="75">
        <v>52161509</v>
      </c>
      <c r="B14024" s="76" t="s">
        <v>6584</v>
      </c>
    </row>
    <row r="14025" spans="1:2" x14ac:dyDescent="0.25">
      <c r="A14025" s="75">
        <v>52161510</v>
      </c>
      <c r="B14025" s="76" t="s">
        <v>17123</v>
      </c>
    </row>
    <row r="14026" spans="1:2" x14ac:dyDescent="0.25">
      <c r="A14026" s="75">
        <v>52161511</v>
      </c>
      <c r="B14026" s="76" t="s">
        <v>13953</v>
      </c>
    </row>
    <row r="14027" spans="1:2" x14ac:dyDescent="0.25">
      <c r="A14027" s="75">
        <v>52161512</v>
      </c>
      <c r="B14027" s="76" t="s">
        <v>5293</v>
      </c>
    </row>
    <row r="14028" spans="1:2" x14ac:dyDescent="0.25">
      <c r="A14028" s="75">
        <v>52161513</v>
      </c>
      <c r="B14028" s="76" t="s">
        <v>19919</v>
      </c>
    </row>
    <row r="14029" spans="1:2" x14ac:dyDescent="0.25">
      <c r="A14029" s="75">
        <v>52161514</v>
      </c>
      <c r="B14029" s="76" t="s">
        <v>6359</v>
      </c>
    </row>
    <row r="14030" spans="1:2" x14ac:dyDescent="0.25">
      <c r="A14030" s="75">
        <v>52161515</v>
      </c>
      <c r="B14030" s="76" t="s">
        <v>1175</v>
      </c>
    </row>
    <row r="14031" spans="1:2" x14ac:dyDescent="0.25">
      <c r="A14031" s="75">
        <v>52161516</v>
      </c>
      <c r="B14031" s="76" t="s">
        <v>8912</v>
      </c>
    </row>
    <row r="14032" spans="1:2" x14ac:dyDescent="0.25">
      <c r="A14032" s="75">
        <v>52161517</v>
      </c>
      <c r="B14032" s="76" t="s">
        <v>5472</v>
      </c>
    </row>
    <row r="14033" spans="1:2" x14ac:dyDescent="0.25">
      <c r="A14033" s="75">
        <v>52161518</v>
      </c>
      <c r="B14033" s="76" t="s">
        <v>1550</v>
      </c>
    </row>
    <row r="14034" spans="1:2" x14ac:dyDescent="0.25">
      <c r="A14034" s="75">
        <v>52161520</v>
      </c>
      <c r="B14034" s="76" t="s">
        <v>5361</v>
      </c>
    </row>
    <row r="14035" spans="1:2" x14ac:dyDescent="0.25">
      <c r="A14035" s="75">
        <v>52161521</v>
      </c>
      <c r="B14035" s="76" t="s">
        <v>10880</v>
      </c>
    </row>
    <row r="14036" spans="1:2" x14ac:dyDescent="0.25">
      <c r="A14036" s="75">
        <v>52161522</v>
      </c>
      <c r="B14036" s="76" t="s">
        <v>15162</v>
      </c>
    </row>
    <row r="14037" spans="1:2" x14ac:dyDescent="0.25">
      <c r="A14037" s="75">
        <v>52161523</v>
      </c>
      <c r="B14037" s="76" t="s">
        <v>19382</v>
      </c>
    </row>
    <row r="14038" spans="1:2" x14ac:dyDescent="0.25">
      <c r="A14038" s="75">
        <v>52161524</v>
      </c>
      <c r="B14038" s="76" t="s">
        <v>16758</v>
      </c>
    </row>
    <row r="14039" spans="1:2" x14ac:dyDescent="0.25">
      <c r="A14039" s="75">
        <v>52161525</v>
      </c>
      <c r="B14039" s="76" t="s">
        <v>12421</v>
      </c>
    </row>
    <row r="14040" spans="1:2" x14ac:dyDescent="0.25">
      <c r="A14040" s="75">
        <v>52161526</v>
      </c>
      <c r="B14040" s="76" t="s">
        <v>5551</v>
      </c>
    </row>
    <row r="14041" spans="1:2" x14ac:dyDescent="0.25">
      <c r="A14041" s="75">
        <v>52161527</v>
      </c>
      <c r="B14041" s="76" t="s">
        <v>13978</v>
      </c>
    </row>
    <row r="14042" spans="1:2" x14ac:dyDescent="0.25">
      <c r="A14042" s="75">
        <v>52161529</v>
      </c>
      <c r="B14042" s="76" t="s">
        <v>18096</v>
      </c>
    </row>
    <row r="14043" spans="1:2" x14ac:dyDescent="0.25">
      <c r="A14043" s="75">
        <v>52161531</v>
      </c>
      <c r="B14043" s="76" t="s">
        <v>6021</v>
      </c>
    </row>
    <row r="14044" spans="1:2" x14ac:dyDescent="0.25">
      <c r="A14044" s="75">
        <v>52161532</v>
      </c>
      <c r="B14044" s="76" t="s">
        <v>17812</v>
      </c>
    </row>
    <row r="14045" spans="1:2" x14ac:dyDescent="0.25">
      <c r="A14045" s="75">
        <v>52161533</v>
      </c>
      <c r="B14045" s="76" t="s">
        <v>14691</v>
      </c>
    </row>
    <row r="14046" spans="1:2" x14ac:dyDescent="0.25">
      <c r="A14046" s="75">
        <v>52161534</v>
      </c>
      <c r="B14046" s="76" t="s">
        <v>6842</v>
      </c>
    </row>
    <row r="14047" spans="1:2" x14ac:dyDescent="0.25">
      <c r="A14047" s="75">
        <v>52161535</v>
      </c>
      <c r="B14047" s="76" t="s">
        <v>14473</v>
      </c>
    </row>
    <row r="14048" spans="1:2" x14ac:dyDescent="0.25">
      <c r="A14048" s="75">
        <v>52161536</v>
      </c>
      <c r="B14048" s="76" t="s">
        <v>15309</v>
      </c>
    </row>
    <row r="14049" spans="1:2" x14ac:dyDescent="0.25">
      <c r="A14049" s="75">
        <v>52161537</v>
      </c>
      <c r="B14049" s="76" t="s">
        <v>12399</v>
      </c>
    </row>
    <row r="14050" spans="1:2" x14ac:dyDescent="0.25">
      <c r="A14050" s="75">
        <v>52161538</v>
      </c>
      <c r="B14050" s="76" t="s">
        <v>19515</v>
      </c>
    </row>
    <row r="14051" spans="1:2" x14ac:dyDescent="0.25">
      <c r="A14051" s="75">
        <v>52161539</v>
      </c>
      <c r="B14051" s="76" t="s">
        <v>6124</v>
      </c>
    </row>
    <row r="14052" spans="1:2" x14ac:dyDescent="0.25">
      <c r="A14052" s="75">
        <v>52161540</v>
      </c>
      <c r="B14052" s="76" t="s">
        <v>5877</v>
      </c>
    </row>
    <row r="14053" spans="1:2" x14ac:dyDescent="0.25">
      <c r="A14053" s="75">
        <v>52161541</v>
      </c>
      <c r="B14053" s="76" t="s">
        <v>1213</v>
      </c>
    </row>
    <row r="14054" spans="1:2" x14ac:dyDescent="0.25">
      <c r="A14054" s="75">
        <v>52161542</v>
      </c>
      <c r="B14054" s="76" t="s">
        <v>11020</v>
      </c>
    </row>
    <row r="14055" spans="1:2" x14ac:dyDescent="0.25">
      <c r="A14055" s="75">
        <v>52161543</v>
      </c>
      <c r="B14055" s="76" t="s">
        <v>1676</v>
      </c>
    </row>
    <row r="14056" spans="1:2" x14ac:dyDescent="0.25">
      <c r="A14056" s="75">
        <v>52161544</v>
      </c>
      <c r="B14056" s="76" t="s">
        <v>10917</v>
      </c>
    </row>
    <row r="14057" spans="1:2" x14ac:dyDescent="0.25">
      <c r="A14057" s="75">
        <v>52161601</v>
      </c>
      <c r="B14057" s="76" t="s">
        <v>5854</v>
      </c>
    </row>
    <row r="14058" spans="1:2" x14ac:dyDescent="0.25">
      <c r="A14058" s="75">
        <v>52161602</v>
      </c>
      <c r="B14058" s="76" t="s">
        <v>15806</v>
      </c>
    </row>
    <row r="14059" spans="1:2" x14ac:dyDescent="0.25">
      <c r="A14059" s="75">
        <v>52161603</v>
      </c>
      <c r="B14059" s="76" t="s">
        <v>11014</v>
      </c>
    </row>
    <row r="14060" spans="1:2" x14ac:dyDescent="0.25">
      <c r="A14060" s="75">
        <v>52161604</v>
      </c>
      <c r="B14060" s="76" t="s">
        <v>16099</v>
      </c>
    </row>
    <row r="14061" spans="1:2" x14ac:dyDescent="0.25">
      <c r="A14061" s="75">
        <v>52171001</v>
      </c>
      <c r="B14061" s="76" t="s">
        <v>6666</v>
      </c>
    </row>
    <row r="14062" spans="1:2" x14ac:dyDescent="0.25">
      <c r="A14062" s="75">
        <v>53101501</v>
      </c>
      <c r="B14062" s="76" t="s">
        <v>7989</v>
      </c>
    </row>
    <row r="14063" spans="1:2" x14ac:dyDescent="0.25">
      <c r="A14063" s="75">
        <v>53101502</v>
      </c>
      <c r="B14063" s="76" t="s">
        <v>9953</v>
      </c>
    </row>
    <row r="14064" spans="1:2" x14ac:dyDescent="0.25">
      <c r="A14064" s="75">
        <v>53101503</v>
      </c>
      <c r="B14064" s="76" t="s">
        <v>18920</v>
      </c>
    </row>
    <row r="14065" spans="1:2" x14ac:dyDescent="0.25">
      <c r="A14065" s="75">
        <v>53101504</v>
      </c>
      <c r="B14065" s="76" t="s">
        <v>19951</v>
      </c>
    </row>
    <row r="14066" spans="1:2" x14ac:dyDescent="0.25">
      <c r="A14066" s="75">
        <v>53101505</v>
      </c>
      <c r="B14066" s="76" t="s">
        <v>12324</v>
      </c>
    </row>
    <row r="14067" spans="1:2" x14ac:dyDescent="0.25">
      <c r="A14067" s="75">
        <v>53101601</v>
      </c>
      <c r="B14067" s="76" t="s">
        <v>8773</v>
      </c>
    </row>
    <row r="14068" spans="1:2" x14ac:dyDescent="0.25">
      <c r="A14068" s="75">
        <v>53101602</v>
      </c>
      <c r="B14068" s="76" t="s">
        <v>17017</v>
      </c>
    </row>
    <row r="14069" spans="1:2" x14ac:dyDescent="0.25">
      <c r="A14069" s="75">
        <v>53101603</v>
      </c>
      <c r="B14069" s="76" t="s">
        <v>4786</v>
      </c>
    </row>
    <row r="14070" spans="1:2" x14ac:dyDescent="0.25">
      <c r="A14070" s="75">
        <v>53101604</v>
      </c>
      <c r="B14070" s="76" t="s">
        <v>19802</v>
      </c>
    </row>
    <row r="14071" spans="1:2" x14ac:dyDescent="0.25">
      <c r="A14071" s="75">
        <v>53101605</v>
      </c>
      <c r="B14071" s="76" t="s">
        <v>13784</v>
      </c>
    </row>
    <row r="14072" spans="1:2" x14ac:dyDescent="0.25">
      <c r="A14072" s="75">
        <v>53101701</v>
      </c>
      <c r="B14072" s="76" t="s">
        <v>9725</v>
      </c>
    </row>
    <row r="14073" spans="1:2" x14ac:dyDescent="0.25">
      <c r="A14073" s="75">
        <v>53101702</v>
      </c>
      <c r="B14073" s="76" t="s">
        <v>9343</v>
      </c>
    </row>
    <row r="14074" spans="1:2" x14ac:dyDescent="0.25">
      <c r="A14074" s="75">
        <v>53101703</v>
      </c>
      <c r="B14074" s="76" t="s">
        <v>5768</v>
      </c>
    </row>
    <row r="14075" spans="1:2" x14ac:dyDescent="0.25">
      <c r="A14075" s="75">
        <v>53101704</v>
      </c>
      <c r="B14075" s="76" t="s">
        <v>3709</v>
      </c>
    </row>
    <row r="14076" spans="1:2" x14ac:dyDescent="0.25">
      <c r="A14076" s="75">
        <v>53101705</v>
      </c>
      <c r="B14076" s="76" t="s">
        <v>16894</v>
      </c>
    </row>
    <row r="14077" spans="1:2" x14ac:dyDescent="0.25">
      <c r="A14077" s="75">
        <v>53101801</v>
      </c>
      <c r="B14077" s="76" t="s">
        <v>16723</v>
      </c>
    </row>
    <row r="14078" spans="1:2" x14ac:dyDescent="0.25">
      <c r="A14078" s="75">
        <v>53101802</v>
      </c>
      <c r="B14078" s="76" t="s">
        <v>3399</v>
      </c>
    </row>
    <row r="14079" spans="1:2" x14ac:dyDescent="0.25">
      <c r="A14079" s="75">
        <v>53101803</v>
      </c>
      <c r="B14079" s="76" t="s">
        <v>16735</v>
      </c>
    </row>
    <row r="14080" spans="1:2" x14ac:dyDescent="0.25">
      <c r="A14080" s="75">
        <v>53101804</v>
      </c>
      <c r="B14080" s="76" t="s">
        <v>18315</v>
      </c>
    </row>
    <row r="14081" spans="1:2" x14ac:dyDescent="0.25">
      <c r="A14081" s="75">
        <v>53101805</v>
      </c>
      <c r="B14081" s="76" t="s">
        <v>15657</v>
      </c>
    </row>
    <row r="14082" spans="1:2" x14ac:dyDescent="0.25">
      <c r="A14082" s="75">
        <v>53101901</v>
      </c>
      <c r="B14082" s="76" t="s">
        <v>4930</v>
      </c>
    </row>
    <row r="14083" spans="1:2" x14ac:dyDescent="0.25">
      <c r="A14083" s="75">
        <v>53101902</v>
      </c>
      <c r="B14083" s="76" t="s">
        <v>19828</v>
      </c>
    </row>
    <row r="14084" spans="1:2" x14ac:dyDescent="0.25">
      <c r="A14084" s="75">
        <v>53101903</v>
      </c>
      <c r="B14084" s="76" t="s">
        <v>18102</v>
      </c>
    </row>
    <row r="14085" spans="1:2" x14ac:dyDescent="0.25">
      <c r="A14085" s="75">
        <v>53101904</v>
      </c>
      <c r="B14085" s="76" t="s">
        <v>16331</v>
      </c>
    </row>
    <row r="14086" spans="1:2" x14ac:dyDescent="0.25">
      <c r="A14086" s="75">
        <v>53101905</v>
      </c>
      <c r="B14086" s="76" t="s">
        <v>1018</v>
      </c>
    </row>
    <row r="14087" spans="1:2" x14ac:dyDescent="0.25">
      <c r="A14087" s="75">
        <v>53102001</v>
      </c>
      <c r="B14087" s="76" t="s">
        <v>3899</v>
      </c>
    </row>
    <row r="14088" spans="1:2" x14ac:dyDescent="0.25">
      <c r="A14088" s="75">
        <v>53102002</v>
      </c>
      <c r="B14088" s="76" t="s">
        <v>5619</v>
      </c>
    </row>
    <row r="14089" spans="1:2" x14ac:dyDescent="0.25">
      <c r="A14089" s="75">
        <v>53102003</v>
      </c>
      <c r="B14089" s="76" t="s">
        <v>7212</v>
      </c>
    </row>
    <row r="14090" spans="1:2" x14ac:dyDescent="0.25">
      <c r="A14090" s="75">
        <v>53102101</v>
      </c>
      <c r="B14090" s="76" t="s">
        <v>7464</v>
      </c>
    </row>
    <row r="14091" spans="1:2" x14ac:dyDescent="0.25">
      <c r="A14091" s="75">
        <v>53102102</v>
      </c>
      <c r="B14091" s="76" t="s">
        <v>7861</v>
      </c>
    </row>
    <row r="14092" spans="1:2" x14ac:dyDescent="0.25">
      <c r="A14092" s="75">
        <v>53102103</v>
      </c>
      <c r="B14092" s="76" t="s">
        <v>19777</v>
      </c>
    </row>
    <row r="14093" spans="1:2" x14ac:dyDescent="0.25">
      <c r="A14093" s="75">
        <v>53102104</v>
      </c>
      <c r="B14093" s="76" t="s">
        <v>12445</v>
      </c>
    </row>
    <row r="14094" spans="1:2" x14ac:dyDescent="0.25">
      <c r="A14094" s="75">
        <v>53102105</v>
      </c>
      <c r="B14094" s="76" t="s">
        <v>12323</v>
      </c>
    </row>
    <row r="14095" spans="1:2" x14ac:dyDescent="0.25">
      <c r="A14095" s="75">
        <v>53102201</v>
      </c>
      <c r="B14095" s="76" t="s">
        <v>1100</v>
      </c>
    </row>
    <row r="14096" spans="1:2" x14ac:dyDescent="0.25">
      <c r="A14096" s="75">
        <v>53102202</v>
      </c>
      <c r="B14096" s="76" t="s">
        <v>18826</v>
      </c>
    </row>
    <row r="14097" spans="1:2" x14ac:dyDescent="0.25">
      <c r="A14097" s="75">
        <v>53102203</v>
      </c>
      <c r="B14097" s="76" t="s">
        <v>546</v>
      </c>
    </row>
    <row r="14098" spans="1:2" x14ac:dyDescent="0.25">
      <c r="A14098" s="75">
        <v>53102204</v>
      </c>
      <c r="B14098" s="76" t="s">
        <v>18311</v>
      </c>
    </row>
    <row r="14099" spans="1:2" x14ac:dyDescent="0.25">
      <c r="A14099" s="75">
        <v>53102205</v>
      </c>
      <c r="B14099" s="76" t="s">
        <v>2217</v>
      </c>
    </row>
    <row r="14100" spans="1:2" x14ac:dyDescent="0.25">
      <c r="A14100" s="75">
        <v>53102301</v>
      </c>
      <c r="B14100" s="76" t="s">
        <v>3180</v>
      </c>
    </row>
    <row r="14101" spans="1:2" x14ac:dyDescent="0.25">
      <c r="A14101" s="75">
        <v>53102302</v>
      </c>
      <c r="B14101" s="76" t="s">
        <v>3664</v>
      </c>
    </row>
    <row r="14102" spans="1:2" x14ac:dyDescent="0.25">
      <c r="A14102" s="75">
        <v>53102303</v>
      </c>
      <c r="B14102" s="76" t="s">
        <v>6174</v>
      </c>
    </row>
    <row r="14103" spans="1:2" x14ac:dyDescent="0.25">
      <c r="A14103" s="75">
        <v>53102304</v>
      </c>
      <c r="B14103" s="76" t="s">
        <v>20058</v>
      </c>
    </row>
    <row r="14104" spans="1:2" x14ac:dyDescent="0.25">
      <c r="A14104" s="75">
        <v>53102305</v>
      </c>
      <c r="B14104" s="76" t="s">
        <v>18215</v>
      </c>
    </row>
    <row r="14105" spans="1:2" x14ac:dyDescent="0.25">
      <c r="A14105" s="75">
        <v>53102306</v>
      </c>
      <c r="B14105" s="76" t="s">
        <v>12982</v>
      </c>
    </row>
    <row r="14106" spans="1:2" x14ac:dyDescent="0.25">
      <c r="A14106" s="75">
        <v>53102307</v>
      </c>
      <c r="B14106" s="76" t="s">
        <v>5033</v>
      </c>
    </row>
    <row r="14107" spans="1:2" x14ac:dyDescent="0.25">
      <c r="A14107" s="75">
        <v>53102308</v>
      </c>
      <c r="B14107" s="76" t="s">
        <v>14966</v>
      </c>
    </row>
    <row r="14108" spans="1:2" x14ac:dyDescent="0.25">
      <c r="A14108" s="75">
        <v>53102401</v>
      </c>
      <c r="B14108" s="76" t="s">
        <v>15048</v>
      </c>
    </row>
    <row r="14109" spans="1:2" x14ac:dyDescent="0.25">
      <c r="A14109" s="75">
        <v>53102402</v>
      </c>
      <c r="B14109" s="76" t="s">
        <v>2571</v>
      </c>
    </row>
    <row r="14110" spans="1:2" x14ac:dyDescent="0.25">
      <c r="A14110" s="75">
        <v>53102403</v>
      </c>
      <c r="B14110" s="76" t="s">
        <v>783</v>
      </c>
    </row>
    <row r="14111" spans="1:2" x14ac:dyDescent="0.25">
      <c r="A14111" s="75">
        <v>53102404</v>
      </c>
      <c r="B14111" s="76" t="s">
        <v>16443</v>
      </c>
    </row>
    <row r="14112" spans="1:2" x14ac:dyDescent="0.25">
      <c r="A14112" s="75">
        <v>53102501</v>
      </c>
      <c r="B14112" s="76" t="s">
        <v>6010</v>
      </c>
    </row>
    <row r="14113" spans="1:2" x14ac:dyDescent="0.25">
      <c r="A14113" s="75">
        <v>53102502</v>
      </c>
      <c r="B14113" s="76" t="s">
        <v>18526</v>
      </c>
    </row>
    <row r="14114" spans="1:2" x14ac:dyDescent="0.25">
      <c r="A14114" s="75">
        <v>53102503</v>
      </c>
      <c r="B14114" s="76" t="s">
        <v>11476</v>
      </c>
    </row>
    <row r="14115" spans="1:2" x14ac:dyDescent="0.25">
      <c r="A14115" s="75">
        <v>53102504</v>
      </c>
      <c r="B14115" s="76" t="s">
        <v>1549</v>
      </c>
    </row>
    <row r="14116" spans="1:2" x14ac:dyDescent="0.25">
      <c r="A14116" s="75">
        <v>53102505</v>
      </c>
      <c r="B14116" s="76" t="s">
        <v>7635</v>
      </c>
    </row>
    <row r="14117" spans="1:2" x14ac:dyDescent="0.25">
      <c r="A14117" s="75">
        <v>53102506</v>
      </c>
      <c r="B14117" s="76" t="s">
        <v>466</v>
      </c>
    </row>
    <row r="14118" spans="1:2" x14ac:dyDescent="0.25">
      <c r="A14118" s="75">
        <v>53102507</v>
      </c>
      <c r="B14118" s="76" t="s">
        <v>19433</v>
      </c>
    </row>
    <row r="14119" spans="1:2" x14ac:dyDescent="0.25">
      <c r="A14119" s="75">
        <v>53102508</v>
      </c>
      <c r="B14119" s="76" t="s">
        <v>14110</v>
      </c>
    </row>
    <row r="14120" spans="1:2" x14ac:dyDescent="0.25">
      <c r="A14120" s="75">
        <v>53102509</v>
      </c>
      <c r="B14120" s="76" t="s">
        <v>17334</v>
      </c>
    </row>
    <row r="14121" spans="1:2" x14ac:dyDescent="0.25">
      <c r="A14121" s="75">
        <v>53102510</v>
      </c>
      <c r="B14121" s="76" t="s">
        <v>11334</v>
      </c>
    </row>
    <row r="14122" spans="1:2" x14ac:dyDescent="0.25">
      <c r="A14122" s="75">
        <v>53102511</v>
      </c>
      <c r="B14122" s="76" t="s">
        <v>8812</v>
      </c>
    </row>
    <row r="14123" spans="1:2" x14ac:dyDescent="0.25">
      <c r="A14123" s="75">
        <v>53102512</v>
      </c>
      <c r="B14123" s="76" t="s">
        <v>17293</v>
      </c>
    </row>
    <row r="14124" spans="1:2" x14ac:dyDescent="0.25">
      <c r="A14124" s="75">
        <v>53102513</v>
      </c>
      <c r="B14124" s="76" t="s">
        <v>2521</v>
      </c>
    </row>
    <row r="14125" spans="1:2" x14ac:dyDescent="0.25">
      <c r="A14125" s="75">
        <v>53102514</v>
      </c>
      <c r="B14125" s="76" t="s">
        <v>397</v>
      </c>
    </row>
    <row r="14126" spans="1:2" x14ac:dyDescent="0.25">
      <c r="A14126" s="75">
        <v>53102515</v>
      </c>
      <c r="B14126" s="76" t="s">
        <v>1731</v>
      </c>
    </row>
    <row r="14127" spans="1:2" x14ac:dyDescent="0.25">
      <c r="A14127" s="75">
        <v>53102516</v>
      </c>
      <c r="B14127" s="76" t="s">
        <v>18782</v>
      </c>
    </row>
    <row r="14128" spans="1:2" x14ac:dyDescent="0.25">
      <c r="A14128" s="75">
        <v>53102517</v>
      </c>
      <c r="B14128" s="76" t="s">
        <v>14682</v>
      </c>
    </row>
    <row r="14129" spans="1:2" x14ac:dyDescent="0.25">
      <c r="A14129" s="75">
        <v>53102518</v>
      </c>
      <c r="B14129" s="76" t="s">
        <v>8515</v>
      </c>
    </row>
    <row r="14130" spans="1:2" x14ac:dyDescent="0.25">
      <c r="A14130" s="75">
        <v>53102519</v>
      </c>
      <c r="B14130" s="76" t="s">
        <v>11080</v>
      </c>
    </row>
    <row r="14131" spans="1:2" x14ac:dyDescent="0.25">
      <c r="A14131" s="75">
        <v>53102520</v>
      </c>
      <c r="B14131" s="76" t="s">
        <v>558</v>
      </c>
    </row>
    <row r="14132" spans="1:2" x14ac:dyDescent="0.25">
      <c r="A14132" s="75">
        <v>53102601</v>
      </c>
      <c r="B14132" s="76" t="s">
        <v>1449</v>
      </c>
    </row>
    <row r="14133" spans="1:2" x14ac:dyDescent="0.25">
      <c r="A14133" s="75">
        <v>53102602</v>
      </c>
      <c r="B14133" s="76" t="s">
        <v>8307</v>
      </c>
    </row>
    <row r="14134" spans="1:2" x14ac:dyDescent="0.25">
      <c r="A14134" s="75">
        <v>53102603</v>
      </c>
      <c r="B14134" s="76" t="s">
        <v>1442</v>
      </c>
    </row>
    <row r="14135" spans="1:2" x14ac:dyDescent="0.25">
      <c r="A14135" s="75">
        <v>53102604</v>
      </c>
      <c r="B14135" s="76" t="s">
        <v>14782</v>
      </c>
    </row>
    <row r="14136" spans="1:2" x14ac:dyDescent="0.25">
      <c r="A14136" s="75">
        <v>53102605</v>
      </c>
      <c r="B14136" s="76" t="s">
        <v>2528</v>
      </c>
    </row>
    <row r="14137" spans="1:2" x14ac:dyDescent="0.25">
      <c r="A14137" s="75">
        <v>53102606</v>
      </c>
      <c r="B14137" s="76" t="s">
        <v>1587</v>
      </c>
    </row>
    <row r="14138" spans="1:2" x14ac:dyDescent="0.25">
      <c r="A14138" s="75">
        <v>53102701</v>
      </c>
      <c r="B14138" s="76" t="s">
        <v>4626</v>
      </c>
    </row>
    <row r="14139" spans="1:2" x14ac:dyDescent="0.25">
      <c r="A14139" s="75">
        <v>53102702</v>
      </c>
      <c r="B14139" s="76" t="s">
        <v>19891</v>
      </c>
    </row>
    <row r="14140" spans="1:2" x14ac:dyDescent="0.25">
      <c r="A14140" s="75">
        <v>53102703</v>
      </c>
      <c r="B14140" s="76" t="s">
        <v>12970</v>
      </c>
    </row>
    <row r="14141" spans="1:2" x14ac:dyDescent="0.25">
      <c r="A14141" s="75">
        <v>53102704</v>
      </c>
      <c r="B14141" s="76" t="s">
        <v>17408</v>
      </c>
    </row>
    <row r="14142" spans="1:2" x14ac:dyDescent="0.25">
      <c r="A14142" s="75">
        <v>53102705</v>
      </c>
      <c r="B14142" s="76" t="s">
        <v>10561</v>
      </c>
    </row>
    <row r="14143" spans="1:2" x14ac:dyDescent="0.25">
      <c r="A14143" s="75">
        <v>53102706</v>
      </c>
      <c r="B14143" s="76" t="s">
        <v>13702</v>
      </c>
    </row>
    <row r="14144" spans="1:2" x14ac:dyDescent="0.25">
      <c r="A14144" s="75">
        <v>53102707</v>
      </c>
      <c r="B14144" s="76" t="s">
        <v>10028</v>
      </c>
    </row>
    <row r="14145" spans="1:2" x14ac:dyDescent="0.25">
      <c r="A14145" s="75">
        <v>53102708</v>
      </c>
      <c r="B14145" s="76" t="s">
        <v>7418</v>
      </c>
    </row>
    <row r="14146" spans="1:2" x14ac:dyDescent="0.25">
      <c r="A14146" s="75">
        <v>53102709</v>
      </c>
      <c r="B14146" s="76" t="s">
        <v>1894</v>
      </c>
    </row>
    <row r="14147" spans="1:2" x14ac:dyDescent="0.25">
      <c r="A14147" s="75">
        <v>53102710</v>
      </c>
      <c r="B14147" s="76" t="s">
        <v>12435</v>
      </c>
    </row>
    <row r="14148" spans="1:2" x14ac:dyDescent="0.25">
      <c r="A14148" s="75">
        <v>53102711</v>
      </c>
      <c r="B14148" s="76" t="s">
        <v>7405</v>
      </c>
    </row>
    <row r="14149" spans="1:2" x14ac:dyDescent="0.25">
      <c r="A14149" s="75">
        <v>53102712</v>
      </c>
      <c r="B14149" s="76" t="s">
        <v>11809</v>
      </c>
    </row>
    <row r="14150" spans="1:2" x14ac:dyDescent="0.25">
      <c r="A14150" s="75">
        <v>53102801</v>
      </c>
      <c r="B14150" s="76" t="s">
        <v>16069</v>
      </c>
    </row>
    <row r="14151" spans="1:2" x14ac:dyDescent="0.25">
      <c r="A14151" s="75">
        <v>53102802</v>
      </c>
      <c r="B14151" s="76" t="s">
        <v>18635</v>
      </c>
    </row>
    <row r="14152" spans="1:2" x14ac:dyDescent="0.25">
      <c r="A14152" s="75">
        <v>53102803</v>
      </c>
      <c r="B14152" s="76" t="s">
        <v>16901</v>
      </c>
    </row>
    <row r="14153" spans="1:2" x14ac:dyDescent="0.25">
      <c r="A14153" s="75">
        <v>53102804</v>
      </c>
      <c r="B14153" s="76" t="s">
        <v>12241</v>
      </c>
    </row>
    <row r="14154" spans="1:2" x14ac:dyDescent="0.25">
      <c r="A14154" s="75">
        <v>53102805</v>
      </c>
      <c r="B14154" s="76" t="s">
        <v>11631</v>
      </c>
    </row>
    <row r="14155" spans="1:2" x14ac:dyDescent="0.25">
      <c r="A14155" s="75">
        <v>53102901</v>
      </c>
      <c r="B14155" s="76" t="s">
        <v>19907</v>
      </c>
    </row>
    <row r="14156" spans="1:2" x14ac:dyDescent="0.25">
      <c r="A14156" s="75">
        <v>53102902</v>
      </c>
      <c r="B14156" s="76" t="s">
        <v>1734</v>
      </c>
    </row>
    <row r="14157" spans="1:2" x14ac:dyDescent="0.25">
      <c r="A14157" s="75">
        <v>53102903</v>
      </c>
      <c r="B14157" s="76" t="s">
        <v>3164</v>
      </c>
    </row>
    <row r="14158" spans="1:2" x14ac:dyDescent="0.25">
      <c r="A14158" s="75">
        <v>53102904</v>
      </c>
      <c r="B14158" s="76" t="s">
        <v>12225</v>
      </c>
    </row>
    <row r="14159" spans="1:2" x14ac:dyDescent="0.25">
      <c r="A14159" s="75">
        <v>53103001</v>
      </c>
      <c r="B14159" s="76" t="s">
        <v>10101</v>
      </c>
    </row>
    <row r="14160" spans="1:2" x14ac:dyDescent="0.25">
      <c r="A14160" s="75">
        <v>53103101</v>
      </c>
      <c r="B14160" s="76" t="s">
        <v>2951</v>
      </c>
    </row>
    <row r="14161" spans="1:2" x14ac:dyDescent="0.25">
      <c r="A14161" s="75">
        <v>53111501</v>
      </c>
      <c r="B14161" s="76" t="s">
        <v>17482</v>
      </c>
    </row>
    <row r="14162" spans="1:2" x14ac:dyDescent="0.25">
      <c r="A14162" s="75">
        <v>53111502</v>
      </c>
      <c r="B14162" s="76" t="s">
        <v>18843</v>
      </c>
    </row>
    <row r="14163" spans="1:2" x14ac:dyDescent="0.25">
      <c r="A14163" s="75">
        <v>53111503</v>
      </c>
      <c r="B14163" s="76" t="s">
        <v>13360</v>
      </c>
    </row>
    <row r="14164" spans="1:2" x14ac:dyDescent="0.25">
      <c r="A14164" s="75">
        <v>53111504</v>
      </c>
      <c r="B14164" s="76" t="s">
        <v>2130</v>
      </c>
    </row>
    <row r="14165" spans="1:2" x14ac:dyDescent="0.25">
      <c r="A14165" s="75">
        <v>53111505</v>
      </c>
      <c r="B14165" s="76" t="s">
        <v>9818</v>
      </c>
    </row>
    <row r="14166" spans="1:2" x14ac:dyDescent="0.25">
      <c r="A14166" s="75">
        <v>53111601</v>
      </c>
      <c r="B14166" s="76" t="s">
        <v>12388</v>
      </c>
    </row>
    <row r="14167" spans="1:2" x14ac:dyDescent="0.25">
      <c r="A14167" s="75">
        <v>53111602</v>
      </c>
      <c r="B14167" s="76" t="s">
        <v>11446</v>
      </c>
    </row>
    <row r="14168" spans="1:2" x14ac:dyDescent="0.25">
      <c r="A14168" s="75">
        <v>53111603</v>
      </c>
      <c r="B14168" s="76" t="s">
        <v>11380</v>
      </c>
    </row>
    <row r="14169" spans="1:2" x14ac:dyDescent="0.25">
      <c r="A14169" s="75">
        <v>53111604</v>
      </c>
      <c r="B14169" s="76" t="s">
        <v>11376</v>
      </c>
    </row>
    <row r="14170" spans="1:2" x14ac:dyDescent="0.25">
      <c r="A14170" s="75">
        <v>53111605</v>
      </c>
      <c r="B14170" s="76" t="s">
        <v>15380</v>
      </c>
    </row>
    <row r="14171" spans="1:2" x14ac:dyDescent="0.25">
      <c r="A14171" s="75">
        <v>53111701</v>
      </c>
      <c r="B14171" s="76" t="s">
        <v>13427</v>
      </c>
    </row>
    <row r="14172" spans="1:2" x14ac:dyDescent="0.25">
      <c r="A14172" s="75">
        <v>53111702</v>
      </c>
      <c r="B14172" s="76" t="s">
        <v>8795</v>
      </c>
    </row>
    <row r="14173" spans="1:2" x14ac:dyDescent="0.25">
      <c r="A14173" s="75">
        <v>53111703</v>
      </c>
      <c r="B14173" s="76" t="s">
        <v>14916</v>
      </c>
    </row>
    <row r="14174" spans="1:2" x14ac:dyDescent="0.25">
      <c r="A14174" s="75">
        <v>53111704</v>
      </c>
      <c r="B14174" s="76" t="s">
        <v>1856</v>
      </c>
    </row>
    <row r="14175" spans="1:2" x14ac:dyDescent="0.25">
      <c r="A14175" s="75">
        <v>53111705</v>
      </c>
      <c r="B14175" s="76" t="s">
        <v>14834</v>
      </c>
    </row>
    <row r="14176" spans="1:2" x14ac:dyDescent="0.25">
      <c r="A14176" s="75">
        <v>53111801</v>
      </c>
      <c r="B14176" s="76" t="s">
        <v>5681</v>
      </c>
    </row>
    <row r="14177" spans="1:2" x14ac:dyDescent="0.25">
      <c r="A14177" s="75">
        <v>53111802</v>
      </c>
      <c r="B14177" s="76" t="s">
        <v>10007</v>
      </c>
    </row>
    <row r="14178" spans="1:2" x14ac:dyDescent="0.25">
      <c r="A14178" s="75">
        <v>53111803</v>
      </c>
      <c r="B14178" s="76" t="s">
        <v>13934</v>
      </c>
    </row>
    <row r="14179" spans="1:2" x14ac:dyDescent="0.25">
      <c r="A14179" s="75">
        <v>53111804</v>
      </c>
      <c r="B14179" s="76" t="s">
        <v>8747</v>
      </c>
    </row>
    <row r="14180" spans="1:2" x14ac:dyDescent="0.25">
      <c r="A14180" s="75">
        <v>53111805</v>
      </c>
      <c r="B14180" s="76" t="s">
        <v>6672</v>
      </c>
    </row>
    <row r="14181" spans="1:2" x14ac:dyDescent="0.25">
      <c r="A14181" s="75">
        <v>53111901</v>
      </c>
      <c r="B14181" s="76" t="s">
        <v>7056</v>
      </c>
    </row>
    <row r="14182" spans="1:2" x14ac:dyDescent="0.25">
      <c r="A14182" s="75">
        <v>53111902</v>
      </c>
      <c r="B14182" s="76" t="s">
        <v>10930</v>
      </c>
    </row>
    <row r="14183" spans="1:2" x14ac:dyDescent="0.25">
      <c r="A14183" s="75">
        <v>53111903</v>
      </c>
      <c r="B14183" s="76" t="s">
        <v>6661</v>
      </c>
    </row>
    <row r="14184" spans="1:2" x14ac:dyDescent="0.25">
      <c r="A14184" s="75">
        <v>53111904</v>
      </c>
      <c r="B14184" s="76" t="s">
        <v>11358</v>
      </c>
    </row>
    <row r="14185" spans="1:2" x14ac:dyDescent="0.25">
      <c r="A14185" s="75">
        <v>53111905</v>
      </c>
      <c r="B14185" s="76" t="s">
        <v>3758</v>
      </c>
    </row>
    <row r="14186" spans="1:2" x14ac:dyDescent="0.25">
      <c r="A14186" s="75">
        <v>53112001</v>
      </c>
      <c r="B14186" s="76" t="s">
        <v>7478</v>
      </c>
    </row>
    <row r="14187" spans="1:2" x14ac:dyDescent="0.25">
      <c r="A14187" s="75">
        <v>53112002</v>
      </c>
      <c r="B14187" s="76" t="s">
        <v>2326</v>
      </c>
    </row>
    <row r="14188" spans="1:2" x14ac:dyDescent="0.25">
      <c r="A14188" s="75">
        <v>53112003</v>
      </c>
      <c r="B14188" s="76" t="s">
        <v>16241</v>
      </c>
    </row>
    <row r="14189" spans="1:2" x14ac:dyDescent="0.25">
      <c r="A14189" s="75">
        <v>53112004</v>
      </c>
      <c r="B14189" s="76" t="s">
        <v>7303</v>
      </c>
    </row>
    <row r="14190" spans="1:2" x14ac:dyDescent="0.25">
      <c r="A14190" s="75">
        <v>53112005</v>
      </c>
      <c r="B14190" s="76" t="s">
        <v>5942</v>
      </c>
    </row>
    <row r="14191" spans="1:2" x14ac:dyDescent="0.25">
      <c r="A14191" s="75">
        <v>53112101</v>
      </c>
      <c r="B14191" s="76" t="s">
        <v>7987</v>
      </c>
    </row>
    <row r="14192" spans="1:2" x14ac:dyDescent="0.25">
      <c r="A14192" s="75">
        <v>53112102</v>
      </c>
      <c r="B14192" s="76" t="s">
        <v>9898</v>
      </c>
    </row>
    <row r="14193" spans="1:2" x14ac:dyDescent="0.25">
      <c r="A14193" s="75">
        <v>53112103</v>
      </c>
      <c r="B14193" s="76" t="s">
        <v>6764</v>
      </c>
    </row>
    <row r="14194" spans="1:2" x14ac:dyDescent="0.25">
      <c r="A14194" s="75">
        <v>53112104</v>
      </c>
      <c r="B14194" s="76" t="s">
        <v>16026</v>
      </c>
    </row>
    <row r="14195" spans="1:2" x14ac:dyDescent="0.25">
      <c r="A14195" s="75">
        <v>53112105</v>
      </c>
      <c r="B14195" s="76" t="s">
        <v>931</v>
      </c>
    </row>
    <row r="14196" spans="1:2" x14ac:dyDescent="0.25">
      <c r="A14196" s="75">
        <v>53121501</v>
      </c>
      <c r="B14196" s="76" t="s">
        <v>1663</v>
      </c>
    </row>
    <row r="14197" spans="1:2" x14ac:dyDescent="0.25">
      <c r="A14197" s="75">
        <v>53121502</v>
      </c>
      <c r="B14197" s="76" t="s">
        <v>14284</v>
      </c>
    </row>
    <row r="14198" spans="1:2" x14ac:dyDescent="0.25">
      <c r="A14198" s="75">
        <v>53121503</v>
      </c>
      <c r="B14198" s="76" t="s">
        <v>11125</v>
      </c>
    </row>
    <row r="14199" spans="1:2" x14ac:dyDescent="0.25">
      <c r="A14199" s="75">
        <v>53121601</v>
      </c>
      <c r="B14199" s="76" t="s">
        <v>2766</v>
      </c>
    </row>
    <row r="14200" spans="1:2" x14ac:dyDescent="0.25">
      <c r="A14200" s="75">
        <v>53121602</v>
      </c>
      <c r="B14200" s="76" t="s">
        <v>10371</v>
      </c>
    </row>
    <row r="14201" spans="1:2" x14ac:dyDescent="0.25">
      <c r="A14201" s="75">
        <v>53121603</v>
      </c>
      <c r="B14201" s="76" t="s">
        <v>10972</v>
      </c>
    </row>
    <row r="14202" spans="1:2" x14ac:dyDescent="0.25">
      <c r="A14202" s="75">
        <v>53121605</v>
      </c>
      <c r="B14202" s="76" t="s">
        <v>14584</v>
      </c>
    </row>
    <row r="14203" spans="1:2" x14ac:dyDescent="0.25">
      <c r="A14203" s="75">
        <v>53121606</v>
      </c>
      <c r="B14203" s="76" t="s">
        <v>7410</v>
      </c>
    </row>
    <row r="14204" spans="1:2" x14ac:dyDescent="0.25">
      <c r="A14204" s="75">
        <v>53121607</v>
      </c>
      <c r="B14204" s="76" t="s">
        <v>16106</v>
      </c>
    </row>
    <row r="14205" spans="1:2" x14ac:dyDescent="0.25">
      <c r="A14205" s="75">
        <v>53121608</v>
      </c>
      <c r="B14205" s="76" t="s">
        <v>15635</v>
      </c>
    </row>
    <row r="14206" spans="1:2" x14ac:dyDescent="0.25">
      <c r="A14206" s="75">
        <v>53121701</v>
      </c>
      <c r="B14206" s="76" t="s">
        <v>4775</v>
      </c>
    </row>
    <row r="14207" spans="1:2" x14ac:dyDescent="0.25">
      <c r="A14207" s="75">
        <v>53121702</v>
      </c>
      <c r="B14207" s="76" t="s">
        <v>8429</v>
      </c>
    </row>
    <row r="14208" spans="1:2" x14ac:dyDescent="0.25">
      <c r="A14208" s="75">
        <v>53121704</v>
      </c>
      <c r="B14208" s="76" t="s">
        <v>19184</v>
      </c>
    </row>
    <row r="14209" spans="1:2" x14ac:dyDescent="0.25">
      <c r="A14209" s="75">
        <v>53121705</v>
      </c>
      <c r="B14209" s="76" t="s">
        <v>16950</v>
      </c>
    </row>
    <row r="14210" spans="1:2" x14ac:dyDescent="0.25">
      <c r="A14210" s="75">
        <v>53121706</v>
      </c>
      <c r="B14210" s="76" t="s">
        <v>13830</v>
      </c>
    </row>
    <row r="14211" spans="1:2" x14ac:dyDescent="0.25">
      <c r="A14211" s="75">
        <v>53121801</v>
      </c>
      <c r="B14211" s="76" t="s">
        <v>13378</v>
      </c>
    </row>
    <row r="14212" spans="1:2" x14ac:dyDescent="0.25">
      <c r="A14212" s="75">
        <v>53121802</v>
      </c>
      <c r="B14212" s="76" t="s">
        <v>12212</v>
      </c>
    </row>
    <row r="14213" spans="1:2" x14ac:dyDescent="0.25">
      <c r="A14213" s="75">
        <v>53121803</v>
      </c>
      <c r="B14213" s="76" t="s">
        <v>19583</v>
      </c>
    </row>
    <row r="14214" spans="1:2" x14ac:dyDescent="0.25">
      <c r="A14214" s="75">
        <v>53121804</v>
      </c>
      <c r="B14214" s="76" t="s">
        <v>9414</v>
      </c>
    </row>
    <row r="14215" spans="1:2" x14ac:dyDescent="0.25">
      <c r="A14215" s="75">
        <v>53131501</v>
      </c>
      <c r="B14215" s="76" t="s">
        <v>1286</v>
      </c>
    </row>
    <row r="14216" spans="1:2" x14ac:dyDescent="0.25">
      <c r="A14216" s="75">
        <v>53131502</v>
      </c>
      <c r="B14216" s="76" t="s">
        <v>15977</v>
      </c>
    </row>
    <row r="14217" spans="1:2" x14ac:dyDescent="0.25">
      <c r="A14217" s="75">
        <v>53131503</v>
      </c>
      <c r="B14217" s="76" t="s">
        <v>16038</v>
      </c>
    </row>
    <row r="14218" spans="1:2" x14ac:dyDescent="0.25">
      <c r="A14218" s="75">
        <v>53131504</v>
      </c>
      <c r="B14218" s="76" t="s">
        <v>10893</v>
      </c>
    </row>
    <row r="14219" spans="1:2" x14ac:dyDescent="0.25">
      <c r="A14219" s="75">
        <v>53131505</v>
      </c>
      <c r="B14219" s="76" t="s">
        <v>19838</v>
      </c>
    </row>
    <row r="14220" spans="1:2" x14ac:dyDescent="0.25">
      <c r="A14220" s="75">
        <v>53131506</v>
      </c>
      <c r="B14220" s="76" t="s">
        <v>7375</v>
      </c>
    </row>
    <row r="14221" spans="1:2" x14ac:dyDescent="0.25">
      <c r="A14221" s="75">
        <v>53131507</v>
      </c>
      <c r="B14221" s="76" t="s">
        <v>16779</v>
      </c>
    </row>
    <row r="14222" spans="1:2" x14ac:dyDescent="0.25">
      <c r="A14222" s="75">
        <v>53131508</v>
      </c>
      <c r="B14222" s="76" t="s">
        <v>6104</v>
      </c>
    </row>
    <row r="14223" spans="1:2" x14ac:dyDescent="0.25">
      <c r="A14223" s="75">
        <v>53131509</v>
      </c>
      <c r="B14223" s="76" t="s">
        <v>4015</v>
      </c>
    </row>
    <row r="14224" spans="1:2" x14ac:dyDescent="0.25">
      <c r="A14224" s="75">
        <v>53131601</v>
      </c>
      <c r="B14224" s="76" t="s">
        <v>8714</v>
      </c>
    </row>
    <row r="14225" spans="1:2" x14ac:dyDescent="0.25">
      <c r="A14225" s="75">
        <v>53131602</v>
      </c>
      <c r="B14225" s="76" t="s">
        <v>18473</v>
      </c>
    </row>
    <row r="14226" spans="1:2" x14ac:dyDescent="0.25">
      <c r="A14226" s="75">
        <v>53131603</v>
      </c>
      <c r="B14226" s="76" t="s">
        <v>11368</v>
      </c>
    </row>
    <row r="14227" spans="1:2" x14ac:dyDescent="0.25">
      <c r="A14227" s="75">
        <v>53131604</v>
      </c>
      <c r="B14227" s="76" t="s">
        <v>16504</v>
      </c>
    </row>
    <row r="14228" spans="1:2" x14ac:dyDescent="0.25">
      <c r="A14228" s="75">
        <v>53131605</v>
      </c>
      <c r="B14228" s="76" t="s">
        <v>1048</v>
      </c>
    </row>
    <row r="14229" spans="1:2" x14ac:dyDescent="0.25">
      <c r="A14229" s="75">
        <v>53131606</v>
      </c>
      <c r="B14229" s="76" t="s">
        <v>1084</v>
      </c>
    </row>
    <row r="14230" spans="1:2" x14ac:dyDescent="0.25">
      <c r="A14230" s="75">
        <v>53131607</v>
      </c>
      <c r="B14230" s="76" t="s">
        <v>19887</v>
      </c>
    </row>
    <row r="14231" spans="1:2" x14ac:dyDescent="0.25">
      <c r="A14231" s="75">
        <v>53131608</v>
      </c>
      <c r="B14231" s="76" t="s">
        <v>16770</v>
      </c>
    </row>
    <row r="14232" spans="1:2" x14ac:dyDescent="0.25">
      <c r="A14232" s="75">
        <v>53131609</v>
      </c>
      <c r="B14232" s="76" t="s">
        <v>17211</v>
      </c>
    </row>
    <row r="14233" spans="1:2" x14ac:dyDescent="0.25">
      <c r="A14233" s="75">
        <v>53131610</v>
      </c>
      <c r="B14233" s="76" t="s">
        <v>2142</v>
      </c>
    </row>
    <row r="14234" spans="1:2" x14ac:dyDescent="0.25">
      <c r="A14234" s="75">
        <v>53131611</v>
      </c>
      <c r="B14234" s="76" t="s">
        <v>19564</v>
      </c>
    </row>
    <row r="14235" spans="1:2" x14ac:dyDescent="0.25">
      <c r="A14235" s="75">
        <v>53131612</v>
      </c>
      <c r="B14235" s="76" t="s">
        <v>1843</v>
      </c>
    </row>
    <row r="14236" spans="1:2" x14ac:dyDescent="0.25">
      <c r="A14236" s="75">
        <v>53131613</v>
      </c>
      <c r="B14236" s="76" t="s">
        <v>6438</v>
      </c>
    </row>
    <row r="14237" spans="1:2" x14ac:dyDescent="0.25">
      <c r="A14237" s="75">
        <v>53131614</v>
      </c>
      <c r="B14237" s="76" t="s">
        <v>1626</v>
      </c>
    </row>
    <row r="14238" spans="1:2" x14ac:dyDescent="0.25">
      <c r="A14238" s="75">
        <v>53131615</v>
      </c>
      <c r="B14238" s="76" t="s">
        <v>16251</v>
      </c>
    </row>
    <row r="14239" spans="1:2" x14ac:dyDescent="0.25">
      <c r="A14239" s="75">
        <v>53131616</v>
      </c>
      <c r="B14239" s="76" t="s">
        <v>5634</v>
      </c>
    </row>
    <row r="14240" spans="1:2" x14ac:dyDescent="0.25">
      <c r="A14240" s="75">
        <v>53131617</v>
      </c>
      <c r="B14240" s="76" t="s">
        <v>15429</v>
      </c>
    </row>
    <row r="14241" spans="1:2" x14ac:dyDescent="0.25">
      <c r="A14241" s="75">
        <v>53131618</v>
      </c>
      <c r="B14241" s="76" t="s">
        <v>15008</v>
      </c>
    </row>
    <row r="14242" spans="1:2" x14ac:dyDescent="0.25">
      <c r="A14242" s="75">
        <v>53131619</v>
      </c>
      <c r="B14242" s="76" t="s">
        <v>19736</v>
      </c>
    </row>
    <row r="14243" spans="1:2" x14ac:dyDescent="0.25">
      <c r="A14243" s="75">
        <v>53131620</v>
      </c>
      <c r="B14243" s="76" t="s">
        <v>11142</v>
      </c>
    </row>
    <row r="14244" spans="1:2" x14ac:dyDescent="0.25">
      <c r="A14244" s="75">
        <v>53131621</v>
      </c>
      <c r="B14244" s="76" t="s">
        <v>14855</v>
      </c>
    </row>
    <row r="14245" spans="1:2" x14ac:dyDescent="0.25">
      <c r="A14245" s="75">
        <v>53131622</v>
      </c>
      <c r="B14245" s="76" t="s">
        <v>6411</v>
      </c>
    </row>
    <row r="14246" spans="1:2" x14ac:dyDescent="0.25">
      <c r="A14246" s="75">
        <v>53131623</v>
      </c>
      <c r="B14246" s="76" t="s">
        <v>14549</v>
      </c>
    </row>
    <row r="14247" spans="1:2" x14ac:dyDescent="0.25">
      <c r="A14247" s="75">
        <v>53131624</v>
      </c>
      <c r="B14247" s="76" t="s">
        <v>17413</v>
      </c>
    </row>
    <row r="14248" spans="1:2" x14ac:dyDescent="0.25">
      <c r="A14248" s="75">
        <v>53131625</v>
      </c>
      <c r="B14248" s="76" t="s">
        <v>10182</v>
      </c>
    </row>
    <row r="14249" spans="1:2" x14ac:dyDescent="0.25">
      <c r="A14249" s="75">
        <v>53131626</v>
      </c>
      <c r="B14249" s="76" t="s">
        <v>16861</v>
      </c>
    </row>
    <row r="14250" spans="1:2" x14ac:dyDescent="0.25">
      <c r="A14250" s="75">
        <v>53131627</v>
      </c>
      <c r="B14250" s="76" t="s">
        <v>19432</v>
      </c>
    </row>
    <row r="14251" spans="1:2" x14ac:dyDescent="0.25">
      <c r="A14251" s="75">
        <v>53131628</v>
      </c>
      <c r="B14251" s="76" t="s">
        <v>13367</v>
      </c>
    </row>
    <row r="14252" spans="1:2" x14ac:dyDescent="0.25">
      <c r="A14252" s="75">
        <v>53131629</v>
      </c>
      <c r="B14252" s="76" t="s">
        <v>9722</v>
      </c>
    </row>
    <row r="14253" spans="1:2" x14ac:dyDescent="0.25">
      <c r="A14253" s="75">
        <v>53131630</v>
      </c>
      <c r="B14253" s="76" t="s">
        <v>13013</v>
      </c>
    </row>
    <row r="14254" spans="1:2" x14ac:dyDescent="0.25">
      <c r="A14254" s="75">
        <v>53131631</v>
      </c>
      <c r="B14254" s="76" t="s">
        <v>19396</v>
      </c>
    </row>
    <row r="14255" spans="1:2" x14ac:dyDescent="0.25">
      <c r="A14255" s="75">
        <v>53131632</v>
      </c>
      <c r="B14255" s="76" t="s">
        <v>2484</v>
      </c>
    </row>
    <row r="14256" spans="1:2" x14ac:dyDescent="0.25">
      <c r="A14256" s="75">
        <v>53131633</v>
      </c>
      <c r="B14256" s="76" t="s">
        <v>18984</v>
      </c>
    </row>
    <row r="14257" spans="1:2" x14ac:dyDescent="0.25">
      <c r="A14257" s="75">
        <v>53131634</v>
      </c>
      <c r="B14257" s="76" t="s">
        <v>3806</v>
      </c>
    </row>
    <row r="14258" spans="1:2" x14ac:dyDescent="0.25">
      <c r="A14258" s="75">
        <v>53131635</v>
      </c>
      <c r="B14258" s="76" t="s">
        <v>100</v>
      </c>
    </row>
    <row r="14259" spans="1:2" x14ac:dyDescent="0.25">
      <c r="A14259" s="75">
        <v>53131636</v>
      </c>
      <c r="B14259" s="76" t="s">
        <v>4445</v>
      </c>
    </row>
    <row r="14260" spans="1:2" x14ac:dyDescent="0.25">
      <c r="A14260" s="75">
        <v>53131637</v>
      </c>
      <c r="B14260" s="76" t="s">
        <v>16691</v>
      </c>
    </row>
    <row r="14261" spans="1:2" x14ac:dyDescent="0.25">
      <c r="A14261" s="75">
        <v>53131638</v>
      </c>
      <c r="B14261" s="76" t="s">
        <v>3958</v>
      </c>
    </row>
    <row r="14262" spans="1:2" x14ac:dyDescent="0.25">
      <c r="A14262" s="75">
        <v>53141501</v>
      </c>
      <c r="B14262" s="76" t="s">
        <v>10613</v>
      </c>
    </row>
    <row r="14263" spans="1:2" x14ac:dyDescent="0.25">
      <c r="A14263" s="75">
        <v>53141502</v>
      </c>
      <c r="B14263" s="76" t="s">
        <v>8998</v>
      </c>
    </row>
    <row r="14264" spans="1:2" x14ac:dyDescent="0.25">
      <c r="A14264" s="75">
        <v>53141503</v>
      </c>
      <c r="B14264" s="76" t="s">
        <v>12794</v>
      </c>
    </row>
    <row r="14265" spans="1:2" x14ac:dyDescent="0.25">
      <c r="A14265" s="75">
        <v>53141504</v>
      </c>
      <c r="B14265" s="76" t="s">
        <v>7262</v>
      </c>
    </row>
    <row r="14266" spans="1:2" x14ac:dyDescent="0.25">
      <c r="A14266" s="75">
        <v>53141505</v>
      </c>
      <c r="B14266" s="76" t="s">
        <v>11527</v>
      </c>
    </row>
    <row r="14267" spans="1:2" x14ac:dyDescent="0.25">
      <c r="A14267" s="75">
        <v>53141506</v>
      </c>
      <c r="B14267" s="76" t="s">
        <v>18740</v>
      </c>
    </row>
    <row r="14268" spans="1:2" x14ac:dyDescent="0.25">
      <c r="A14268" s="75">
        <v>53141507</v>
      </c>
      <c r="B14268" s="76" t="s">
        <v>4412</v>
      </c>
    </row>
    <row r="14269" spans="1:2" x14ac:dyDescent="0.25">
      <c r="A14269" s="75">
        <v>53141508</v>
      </c>
      <c r="B14269" s="76" t="s">
        <v>2027</v>
      </c>
    </row>
    <row r="14270" spans="1:2" x14ac:dyDescent="0.25">
      <c r="A14270" s="75">
        <v>53141601</v>
      </c>
      <c r="B14270" s="76" t="s">
        <v>6505</v>
      </c>
    </row>
    <row r="14271" spans="1:2" x14ac:dyDescent="0.25">
      <c r="A14271" s="75">
        <v>53141602</v>
      </c>
      <c r="B14271" s="76" t="s">
        <v>6036</v>
      </c>
    </row>
    <row r="14272" spans="1:2" x14ac:dyDescent="0.25">
      <c r="A14272" s="75">
        <v>53141603</v>
      </c>
      <c r="B14272" s="76" t="s">
        <v>16713</v>
      </c>
    </row>
    <row r="14273" spans="1:2" x14ac:dyDescent="0.25">
      <c r="A14273" s="75">
        <v>53141604</v>
      </c>
      <c r="B14273" s="76" t="s">
        <v>16388</v>
      </c>
    </row>
    <row r="14274" spans="1:2" x14ac:dyDescent="0.25">
      <c r="A14274" s="75">
        <v>53141605</v>
      </c>
      <c r="B14274" s="76" t="s">
        <v>8640</v>
      </c>
    </row>
    <row r="14275" spans="1:2" x14ac:dyDescent="0.25">
      <c r="A14275" s="75">
        <v>53141606</v>
      </c>
      <c r="B14275" s="76" t="s">
        <v>1231</v>
      </c>
    </row>
    <row r="14276" spans="1:2" x14ac:dyDescent="0.25">
      <c r="A14276" s="75">
        <v>53141607</v>
      </c>
      <c r="B14276" s="76" t="s">
        <v>8081</v>
      </c>
    </row>
    <row r="14277" spans="1:2" x14ac:dyDescent="0.25">
      <c r="A14277" s="75">
        <v>53141608</v>
      </c>
      <c r="B14277" s="76" t="s">
        <v>11077</v>
      </c>
    </row>
    <row r="14278" spans="1:2" x14ac:dyDescent="0.25">
      <c r="A14278" s="75">
        <v>53141609</v>
      </c>
      <c r="B14278" s="76" t="s">
        <v>17637</v>
      </c>
    </row>
    <row r="14279" spans="1:2" x14ac:dyDescent="0.25">
      <c r="A14279" s="75">
        <v>53141610</v>
      </c>
      <c r="B14279" s="76" t="s">
        <v>14194</v>
      </c>
    </row>
    <row r="14280" spans="1:2" x14ac:dyDescent="0.25">
      <c r="A14280" s="75">
        <v>53141611</v>
      </c>
      <c r="B14280" s="76" t="s">
        <v>6495</v>
      </c>
    </row>
    <row r="14281" spans="1:2" x14ac:dyDescent="0.25">
      <c r="A14281" s="75">
        <v>53141612</v>
      </c>
      <c r="B14281" s="76" t="s">
        <v>2327</v>
      </c>
    </row>
    <row r="14282" spans="1:2" x14ac:dyDescent="0.25">
      <c r="A14282" s="75">
        <v>53141613</v>
      </c>
      <c r="B14282" s="76" t="s">
        <v>1768</v>
      </c>
    </row>
    <row r="14283" spans="1:2" x14ac:dyDescent="0.25">
      <c r="A14283" s="75">
        <v>53141614</v>
      </c>
      <c r="B14283" s="76" t="s">
        <v>1299</v>
      </c>
    </row>
    <row r="14284" spans="1:2" x14ac:dyDescent="0.25">
      <c r="A14284" s="75">
        <v>53141615</v>
      </c>
      <c r="B14284" s="76" t="s">
        <v>6356</v>
      </c>
    </row>
    <row r="14285" spans="1:2" x14ac:dyDescent="0.25">
      <c r="A14285" s="75">
        <v>53141616</v>
      </c>
      <c r="B14285" s="76" t="s">
        <v>12334</v>
      </c>
    </row>
    <row r="14286" spans="1:2" x14ac:dyDescent="0.25">
      <c r="A14286" s="75">
        <v>53141617</v>
      </c>
      <c r="B14286" s="76" t="s">
        <v>16119</v>
      </c>
    </row>
    <row r="14287" spans="1:2" x14ac:dyDescent="0.25">
      <c r="A14287" s="75">
        <v>53141618</v>
      </c>
      <c r="B14287" s="76" t="s">
        <v>7846</v>
      </c>
    </row>
    <row r="14288" spans="1:2" x14ac:dyDescent="0.25">
      <c r="A14288" s="75">
        <v>53141619</v>
      </c>
      <c r="B14288" s="76" t="s">
        <v>18151</v>
      </c>
    </row>
    <row r="14289" spans="1:2" x14ac:dyDescent="0.25">
      <c r="A14289" s="75">
        <v>53141620</v>
      </c>
      <c r="B14289" s="76" t="s">
        <v>12038</v>
      </c>
    </row>
    <row r="14290" spans="1:2" x14ac:dyDescent="0.25">
      <c r="A14290" s="75">
        <v>53141621</v>
      </c>
      <c r="B14290" s="76" t="s">
        <v>18973</v>
      </c>
    </row>
    <row r="14291" spans="1:2" x14ac:dyDescent="0.25">
      <c r="A14291" s="75">
        <v>53141622</v>
      </c>
      <c r="B14291" s="76" t="s">
        <v>8664</v>
      </c>
    </row>
    <row r="14292" spans="1:2" x14ac:dyDescent="0.25">
      <c r="A14292" s="75">
        <v>53141623</v>
      </c>
      <c r="B14292" s="76" t="s">
        <v>14339</v>
      </c>
    </row>
    <row r="14293" spans="1:2" x14ac:dyDescent="0.25">
      <c r="A14293" s="75">
        <v>53141624</v>
      </c>
      <c r="B14293" s="76" t="s">
        <v>10154</v>
      </c>
    </row>
    <row r="14294" spans="1:2" x14ac:dyDescent="0.25">
      <c r="A14294" s="75">
        <v>53141625</v>
      </c>
      <c r="B14294" s="76" t="s">
        <v>14060</v>
      </c>
    </row>
    <row r="14295" spans="1:2" x14ac:dyDescent="0.25">
      <c r="A14295" s="75">
        <v>53141626</v>
      </c>
      <c r="B14295" s="76" t="s">
        <v>18572</v>
      </c>
    </row>
    <row r="14296" spans="1:2" x14ac:dyDescent="0.25">
      <c r="A14296" s="75">
        <v>53141627</v>
      </c>
      <c r="B14296" s="76" t="s">
        <v>15195</v>
      </c>
    </row>
    <row r="14297" spans="1:2" x14ac:dyDescent="0.25">
      <c r="A14297" s="75">
        <v>53141628</v>
      </c>
      <c r="B14297" s="76" t="s">
        <v>18235</v>
      </c>
    </row>
    <row r="14298" spans="1:2" x14ac:dyDescent="0.25">
      <c r="A14298" s="75">
        <v>53141629</v>
      </c>
      <c r="B14298" s="76" t="s">
        <v>5104</v>
      </c>
    </row>
    <row r="14299" spans="1:2" x14ac:dyDescent="0.25">
      <c r="A14299" s="75">
        <v>53141630</v>
      </c>
      <c r="B14299" s="76" t="s">
        <v>13329</v>
      </c>
    </row>
    <row r="14300" spans="1:2" x14ac:dyDescent="0.25">
      <c r="A14300" s="75">
        <v>54101501</v>
      </c>
      <c r="B14300" s="76" t="s">
        <v>3614</v>
      </c>
    </row>
    <row r="14301" spans="1:2" x14ac:dyDescent="0.25">
      <c r="A14301" s="75">
        <v>54101502</v>
      </c>
      <c r="B14301" s="76" t="s">
        <v>16821</v>
      </c>
    </row>
    <row r="14302" spans="1:2" x14ac:dyDescent="0.25">
      <c r="A14302" s="75">
        <v>54101503</v>
      </c>
      <c r="B14302" s="76" t="s">
        <v>424</v>
      </c>
    </row>
    <row r="14303" spans="1:2" x14ac:dyDescent="0.25">
      <c r="A14303" s="75">
        <v>54101504</v>
      </c>
      <c r="B14303" s="76" t="s">
        <v>13195</v>
      </c>
    </row>
    <row r="14304" spans="1:2" x14ac:dyDescent="0.25">
      <c r="A14304" s="75">
        <v>54101505</v>
      </c>
      <c r="B14304" s="76" t="s">
        <v>19526</v>
      </c>
    </row>
    <row r="14305" spans="1:2" x14ac:dyDescent="0.25">
      <c r="A14305" s="75">
        <v>54101506</v>
      </c>
      <c r="B14305" s="76" t="s">
        <v>10842</v>
      </c>
    </row>
    <row r="14306" spans="1:2" x14ac:dyDescent="0.25">
      <c r="A14306" s="75">
        <v>54101507</v>
      </c>
      <c r="B14306" s="76" t="s">
        <v>9093</v>
      </c>
    </row>
    <row r="14307" spans="1:2" x14ac:dyDescent="0.25">
      <c r="A14307" s="75">
        <v>54101508</v>
      </c>
      <c r="B14307" s="76" t="s">
        <v>13463</v>
      </c>
    </row>
    <row r="14308" spans="1:2" x14ac:dyDescent="0.25">
      <c r="A14308" s="75">
        <v>54101509</v>
      </c>
      <c r="B14308" s="76" t="s">
        <v>9900</v>
      </c>
    </row>
    <row r="14309" spans="1:2" x14ac:dyDescent="0.25">
      <c r="A14309" s="75">
        <v>54101510</v>
      </c>
      <c r="B14309" s="76" t="s">
        <v>19158</v>
      </c>
    </row>
    <row r="14310" spans="1:2" x14ac:dyDescent="0.25">
      <c r="A14310" s="75">
        <v>54101511</v>
      </c>
      <c r="B14310" s="76" t="s">
        <v>9257</v>
      </c>
    </row>
    <row r="14311" spans="1:2" x14ac:dyDescent="0.25">
      <c r="A14311" s="75">
        <v>54101512</v>
      </c>
      <c r="B14311" s="76" t="s">
        <v>1344</v>
      </c>
    </row>
    <row r="14312" spans="1:2" x14ac:dyDescent="0.25">
      <c r="A14312" s="75">
        <v>54101601</v>
      </c>
      <c r="B14312" s="76" t="s">
        <v>9063</v>
      </c>
    </row>
    <row r="14313" spans="1:2" x14ac:dyDescent="0.25">
      <c r="A14313" s="75">
        <v>54101602</v>
      </c>
      <c r="B14313" s="76" t="s">
        <v>14587</v>
      </c>
    </row>
    <row r="14314" spans="1:2" x14ac:dyDescent="0.25">
      <c r="A14314" s="75">
        <v>54101603</v>
      </c>
      <c r="B14314" s="76" t="s">
        <v>5246</v>
      </c>
    </row>
    <row r="14315" spans="1:2" x14ac:dyDescent="0.25">
      <c r="A14315" s="75">
        <v>54101604</v>
      </c>
      <c r="B14315" s="76" t="s">
        <v>15741</v>
      </c>
    </row>
    <row r="14316" spans="1:2" x14ac:dyDescent="0.25">
      <c r="A14316" s="75">
        <v>54101605</v>
      </c>
      <c r="B14316" s="76" t="s">
        <v>15165</v>
      </c>
    </row>
    <row r="14317" spans="1:2" x14ac:dyDescent="0.25">
      <c r="A14317" s="75">
        <v>54101701</v>
      </c>
      <c r="B14317" s="76" t="s">
        <v>16708</v>
      </c>
    </row>
    <row r="14318" spans="1:2" x14ac:dyDescent="0.25">
      <c r="A14318" s="75">
        <v>54101702</v>
      </c>
      <c r="B14318" s="76" t="s">
        <v>6681</v>
      </c>
    </row>
    <row r="14319" spans="1:2" x14ac:dyDescent="0.25">
      <c r="A14319" s="75">
        <v>54101703</v>
      </c>
      <c r="B14319" s="76" t="s">
        <v>7774</v>
      </c>
    </row>
    <row r="14320" spans="1:2" x14ac:dyDescent="0.25">
      <c r="A14320" s="75">
        <v>54101704</v>
      </c>
      <c r="B14320" s="76" t="s">
        <v>8374</v>
      </c>
    </row>
    <row r="14321" spans="1:2" x14ac:dyDescent="0.25">
      <c r="A14321" s="75">
        <v>54101705</v>
      </c>
      <c r="B14321" s="76" t="s">
        <v>11353</v>
      </c>
    </row>
    <row r="14322" spans="1:2" x14ac:dyDescent="0.25">
      <c r="A14322" s="75">
        <v>54101706</v>
      </c>
      <c r="B14322" s="76" t="s">
        <v>1556</v>
      </c>
    </row>
    <row r="14323" spans="1:2" x14ac:dyDescent="0.25">
      <c r="A14323" s="75">
        <v>54111501</v>
      </c>
      <c r="B14323" s="76" t="s">
        <v>18494</v>
      </c>
    </row>
    <row r="14324" spans="1:2" x14ac:dyDescent="0.25">
      <c r="A14324" s="75">
        <v>54111502</v>
      </c>
      <c r="B14324" s="76" t="s">
        <v>149</v>
      </c>
    </row>
    <row r="14325" spans="1:2" x14ac:dyDescent="0.25">
      <c r="A14325" s="75">
        <v>54111601</v>
      </c>
      <c r="B14325" s="76" t="s">
        <v>4558</v>
      </c>
    </row>
    <row r="14326" spans="1:2" x14ac:dyDescent="0.25">
      <c r="A14326" s="75">
        <v>54111602</v>
      </c>
      <c r="B14326" s="76" t="s">
        <v>6608</v>
      </c>
    </row>
    <row r="14327" spans="1:2" x14ac:dyDescent="0.25">
      <c r="A14327" s="75">
        <v>54111603</v>
      </c>
      <c r="B14327" s="76" t="s">
        <v>13582</v>
      </c>
    </row>
    <row r="14328" spans="1:2" x14ac:dyDescent="0.25">
      <c r="A14328" s="75">
        <v>54111604</v>
      </c>
      <c r="B14328" s="76" t="s">
        <v>5905</v>
      </c>
    </row>
    <row r="14329" spans="1:2" x14ac:dyDescent="0.25">
      <c r="A14329" s="75">
        <v>54111701</v>
      </c>
      <c r="B14329" s="76" t="s">
        <v>15321</v>
      </c>
    </row>
    <row r="14330" spans="1:2" x14ac:dyDescent="0.25">
      <c r="A14330" s="75">
        <v>54111702</v>
      </c>
      <c r="B14330" s="76" t="s">
        <v>15191</v>
      </c>
    </row>
    <row r="14331" spans="1:2" x14ac:dyDescent="0.25">
      <c r="A14331" s="75">
        <v>54111703</v>
      </c>
      <c r="B14331" s="76" t="s">
        <v>9959</v>
      </c>
    </row>
    <row r="14332" spans="1:2" x14ac:dyDescent="0.25">
      <c r="A14332" s="75">
        <v>54111704</v>
      </c>
      <c r="B14332" s="76" t="s">
        <v>8377</v>
      </c>
    </row>
    <row r="14333" spans="1:2" x14ac:dyDescent="0.25">
      <c r="A14333" s="75">
        <v>54111705</v>
      </c>
      <c r="B14333" s="76" t="s">
        <v>13305</v>
      </c>
    </row>
    <row r="14334" spans="1:2" x14ac:dyDescent="0.25">
      <c r="A14334" s="75">
        <v>54111706</v>
      </c>
      <c r="B14334" s="76" t="s">
        <v>10958</v>
      </c>
    </row>
    <row r="14335" spans="1:2" x14ac:dyDescent="0.25">
      <c r="A14335" s="75">
        <v>54111707</v>
      </c>
      <c r="B14335" s="76" t="s">
        <v>4002</v>
      </c>
    </row>
    <row r="14336" spans="1:2" x14ac:dyDescent="0.25">
      <c r="A14336" s="75">
        <v>54111708</v>
      </c>
      <c r="B14336" s="76" t="s">
        <v>16856</v>
      </c>
    </row>
    <row r="14337" spans="1:2" x14ac:dyDescent="0.25">
      <c r="A14337" s="75">
        <v>54111709</v>
      </c>
      <c r="B14337" s="76" t="s">
        <v>17170</v>
      </c>
    </row>
    <row r="14338" spans="1:2" x14ac:dyDescent="0.25">
      <c r="A14338" s="75">
        <v>54121501</v>
      </c>
      <c r="B14338" s="76" t="s">
        <v>5687</v>
      </c>
    </row>
    <row r="14339" spans="1:2" x14ac:dyDescent="0.25">
      <c r="A14339" s="75">
        <v>54121502</v>
      </c>
      <c r="B14339" s="76" t="s">
        <v>13576</v>
      </c>
    </row>
    <row r="14340" spans="1:2" x14ac:dyDescent="0.25">
      <c r="A14340" s="75">
        <v>54121503</v>
      </c>
      <c r="B14340" s="76" t="s">
        <v>16145</v>
      </c>
    </row>
    <row r="14341" spans="1:2" x14ac:dyDescent="0.25">
      <c r="A14341" s="75">
        <v>54121504</v>
      </c>
      <c r="B14341" s="76" t="s">
        <v>7598</v>
      </c>
    </row>
    <row r="14342" spans="1:2" x14ac:dyDescent="0.25">
      <c r="A14342" s="75">
        <v>54121601</v>
      </c>
      <c r="B14342" s="76" t="s">
        <v>4477</v>
      </c>
    </row>
    <row r="14343" spans="1:2" x14ac:dyDescent="0.25">
      <c r="A14343" s="75">
        <v>54121602</v>
      </c>
      <c r="B14343" s="76" t="s">
        <v>18299</v>
      </c>
    </row>
    <row r="14344" spans="1:2" x14ac:dyDescent="0.25">
      <c r="A14344" s="75">
        <v>54121603</v>
      </c>
      <c r="B14344" s="76" t="s">
        <v>3492</v>
      </c>
    </row>
    <row r="14345" spans="1:2" x14ac:dyDescent="0.25">
      <c r="A14345" s="75">
        <v>54121701</v>
      </c>
      <c r="B14345" s="76" t="s">
        <v>13766</v>
      </c>
    </row>
    <row r="14346" spans="1:2" x14ac:dyDescent="0.25">
      <c r="A14346" s="75">
        <v>54121702</v>
      </c>
      <c r="B14346" s="76" t="s">
        <v>18115</v>
      </c>
    </row>
    <row r="14347" spans="1:2" x14ac:dyDescent="0.25">
      <c r="A14347" s="75">
        <v>54121801</v>
      </c>
      <c r="B14347" s="76" t="s">
        <v>1617</v>
      </c>
    </row>
    <row r="14348" spans="1:2" x14ac:dyDescent="0.25">
      <c r="A14348" s="75">
        <v>54121802</v>
      </c>
      <c r="B14348" s="76" t="s">
        <v>13985</v>
      </c>
    </row>
    <row r="14349" spans="1:2" x14ac:dyDescent="0.25">
      <c r="A14349" s="75">
        <v>55101501</v>
      </c>
      <c r="B14349" s="76" t="s">
        <v>15569</v>
      </c>
    </row>
    <row r="14350" spans="1:2" x14ac:dyDescent="0.25">
      <c r="A14350" s="75">
        <v>55101502</v>
      </c>
      <c r="B14350" s="76" t="s">
        <v>19626</v>
      </c>
    </row>
    <row r="14351" spans="1:2" x14ac:dyDescent="0.25">
      <c r="A14351" s="75">
        <v>55101503</v>
      </c>
      <c r="B14351" s="76" t="s">
        <v>13110</v>
      </c>
    </row>
    <row r="14352" spans="1:2" x14ac:dyDescent="0.25">
      <c r="A14352" s="75">
        <v>55101504</v>
      </c>
      <c r="B14352" s="76" t="s">
        <v>3253</v>
      </c>
    </row>
    <row r="14353" spans="1:2" x14ac:dyDescent="0.25">
      <c r="A14353" s="75">
        <v>55101505</v>
      </c>
      <c r="B14353" s="76" t="s">
        <v>1967</v>
      </c>
    </row>
    <row r="14354" spans="1:2" x14ac:dyDescent="0.25">
      <c r="A14354" s="75">
        <v>55101506</v>
      </c>
      <c r="B14354" s="76" t="s">
        <v>3070</v>
      </c>
    </row>
    <row r="14355" spans="1:2" x14ac:dyDescent="0.25">
      <c r="A14355" s="75">
        <v>55101507</v>
      </c>
      <c r="B14355" s="76" t="s">
        <v>14220</v>
      </c>
    </row>
    <row r="14356" spans="1:2" x14ac:dyDescent="0.25">
      <c r="A14356" s="75">
        <v>55101509</v>
      </c>
      <c r="B14356" s="76" t="s">
        <v>14537</v>
      </c>
    </row>
    <row r="14357" spans="1:2" x14ac:dyDescent="0.25">
      <c r="A14357" s="75">
        <v>55101510</v>
      </c>
      <c r="B14357" s="76" t="s">
        <v>13657</v>
      </c>
    </row>
    <row r="14358" spans="1:2" x14ac:dyDescent="0.25">
      <c r="A14358" s="75">
        <v>55101513</v>
      </c>
      <c r="B14358" s="76" t="s">
        <v>16838</v>
      </c>
    </row>
    <row r="14359" spans="1:2" x14ac:dyDescent="0.25">
      <c r="A14359" s="75">
        <v>55101514</v>
      </c>
      <c r="B14359" s="76" t="s">
        <v>17813</v>
      </c>
    </row>
    <row r="14360" spans="1:2" x14ac:dyDescent="0.25">
      <c r="A14360" s="75">
        <v>55101515</v>
      </c>
      <c r="B14360" s="76" t="s">
        <v>12631</v>
      </c>
    </row>
    <row r="14361" spans="1:2" x14ac:dyDescent="0.25">
      <c r="A14361" s="75">
        <v>55101516</v>
      </c>
      <c r="B14361" s="76" t="s">
        <v>14390</v>
      </c>
    </row>
    <row r="14362" spans="1:2" x14ac:dyDescent="0.25">
      <c r="A14362" s="75">
        <v>55101517</v>
      </c>
      <c r="B14362" s="76" t="s">
        <v>10089</v>
      </c>
    </row>
    <row r="14363" spans="1:2" x14ac:dyDescent="0.25">
      <c r="A14363" s="75">
        <v>55101518</v>
      </c>
      <c r="B14363" s="76" t="s">
        <v>2456</v>
      </c>
    </row>
    <row r="14364" spans="1:2" x14ac:dyDescent="0.25">
      <c r="A14364" s="75">
        <v>55101519</v>
      </c>
      <c r="B14364" s="76" t="s">
        <v>2116</v>
      </c>
    </row>
    <row r="14365" spans="1:2" x14ac:dyDescent="0.25">
      <c r="A14365" s="75">
        <v>55101520</v>
      </c>
      <c r="B14365" s="76" t="s">
        <v>242</v>
      </c>
    </row>
    <row r="14366" spans="1:2" x14ac:dyDescent="0.25">
      <c r="A14366" s="75">
        <v>55101521</v>
      </c>
      <c r="B14366" s="76" t="s">
        <v>16998</v>
      </c>
    </row>
    <row r="14367" spans="1:2" x14ac:dyDescent="0.25">
      <c r="A14367" s="75">
        <v>55101522</v>
      </c>
      <c r="B14367" s="76" t="s">
        <v>1966</v>
      </c>
    </row>
    <row r="14368" spans="1:2" x14ac:dyDescent="0.25">
      <c r="A14368" s="75">
        <v>55101523</v>
      </c>
      <c r="B14368" s="76" t="s">
        <v>13987</v>
      </c>
    </row>
    <row r="14369" spans="1:2" x14ac:dyDescent="0.25">
      <c r="A14369" s="75">
        <v>55101524</v>
      </c>
      <c r="B14369" s="76" t="s">
        <v>3985</v>
      </c>
    </row>
    <row r="14370" spans="1:2" x14ac:dyDescent="0.25">
      <c r="A14370" s="75">
        <v>55101525</v>
      </c>
      <c r="B14370" s="76" t="s">
        <v>15475</v>
      </c>
    </row>
    <row r="14371" spans="1:2" x14ac:dyDescent="0.25">
      <c r="A14371" s="75">
        <v>55101526</v>
      </c>
      <c r="B14371" s="76" t="s">
        <v>7991</v>
      </c>
    </row>
    <row r="14372" spans="1:2" x14ac:dyDescent="0.25">
      <c r="A14372" s="75">
        <v>55101527</v>
      </c>
      <c r="B14372" s="76" t="s">
        <v>1597</v>
      </c>
    </row>
    <row r="14373" spans="1:2" x14ac:dyDescent="0.25">
      <c r="A14373" s="75">
        <v>55101528</v>
      </c>
      <c r="B14373" s="76" t="s">
        <v>12143</v>
      </c>
    </row>
    <row r="14374" spans="1:2" x14ac:dyDescent="0.25">
      <c r="A14374" s="75">
        <v>55111501</v>
      </c>
      <c r="B14374" s="76" t="s">
        <v>18643</v>
      </c>
    </row>
    <row r="14375" spans="1:2" x14ac:dyDescent="0.25">
      <c r="A14375" s="75">
        <v>55111502</v>
      </c>
      <c r="B14375" s="76" t="s">
        <v>7446</v>
      </c>
    </row>
    <row r="14376" spans="1:2" x14ac:dyDescent="0.25">
      <c r="A14376" s="75">
        <v>55111503</v>
      </c>
      <c r="B14376" s="76" t="s">
        <v>744</v>
      </c>
    </row>
    <row r="14377" spans="1:2" x14ac:dyDescent="0.25">
      <c r="A14377" s="75">
        <v>55111504</v>
      </c>
      <c r="B14377" s="76" t="s">
        <v>10470</v>
      </c>
    </row>
    <row r="14378" spans="1:2" x14ac:dyDescent="0.25">
      <c r="A14378" s="75">
        <v>55111505</v>
      </c>
      <c r="B14378" s="76" t="s">
        <v>16570</v>
      </c>
    </row>
    <row r="14379" spans="1:2" x14ac:dyDescent="0.25">
      <c r="A14379" s="75">
        <v>55111506</v>
      </c>
      <c r="B14379" s="76" t="s">
        <v>15601</v>
      </c>
    </row>
    <row r="14380" spans="1:2" x14ac:dyDescent="0.25">
      <c r="A14380" s="75">
        <v>55111507</v>
      </c>
      <c r="B14380" s="76" t="s">
        <v>18841</v>
      </c>
    </row>
    <row r="14381" spans="1:2" x14ac:dyDescent="0.25">
      <c r="A14381" s="75">
        <v>55111508</v>
      </c>
      <c r="B14381" s="76" t="s">
        <v>441</v>
      </c>
    </row>
    <row r="14382" spans="1:2" x14ac:dyDescent="0.25">
      <c r="A14382" s="75">
        <v>55111509</v>
      </c>
      <c r="B14382" s="76" t="s">
        <v>5333</v>
      </c>
    </row>
    <row r="14383" spans="1:2" x14ac:dyDescent="0.25">
      <c r="A14383" s="75">
        <v>55111510</v>
      </c>
      <c r="B14383" s="76" t="s">
        <v>12625</v>
      </c>
    </row>
    <row r="14384" spans="1:2" x14ac:dyDescent="0.25">
      <c r="A14384" s="75">
        <v>55111511</v>
      </c>
      <c r="B14384" s="76" t="s">
        <v>17005</v>
      </c>
    </row>
    <row r="14385" spans="1:2" x14ac:dyDescent="0.25">
      <c r="A14385" s="75">
        <v>55111512</v>
      </c>
      <c r="B14385" s="76" t="s">
        <v>4309</v>
      </c>
    </row>
    <row r="14386" spans="1:2" x14ac:dyDescent="0.25">
      <c r="A14386" s="75">
        <v>55111513</v>
      </c>
      <c r="B14386" s="76" t="s">
        <v>15239</v>
      </c>
    </row>
    <row r="14387" spans="1:2" x14ac:dyDescent="0.25">
      <c r="A14387" s="75">
        <v>55111514</v>
      </c>
      <c r="B14387" s="76" t="s">
        <v>2222</v>
      </c>
    </row>
    <row r="14388" spans="1:2" x14ac:dyDescent="0.25">
      <c r="A14388" s="75">
        <v>55111601</v>
      </c>
      <c r="B14388" s="76" t="s">
        <v>15103</v>
      </c>
    </row>
    <row r="14389" spans="1:2" x14ac:dyDescent="0.25">
      <c r="A14389" s="75">
        <v>55121501</v>
      </c>
      <c r="B14389" s="76" t="s">
        <v>8219</v>
      </c>
    </row>
    <row r="14390" spans="1:2" x14ac:dyDescent="0.25">
      <c r="A14390" s="75">
        <v>55121502</v>
      </c>
      <c r="B14390" s="76" t="s">
        <v>4529</v>
      </c>
    </row>
    <row r="14391" spans="1:2" x14ac:dyDescent="0.25">
      <c r="A14391" s="75">
        <v>55121503</v>
      </c>
      <c r="B14391" s="76" t="s">
        <v>1258</v>
      </c>
    </row>
    <row r="14392" spans="1:2" x14ac:dyDescent="0.25">
      <c r="A14392" s="75">
        <v>55121504</v>
      </c>
      <c r="B14392" s="76" t="s">
        <v>2522</v>
      </c>
    </row>
    <row r="14393" spans="1:2" x14ac:dyDescent="0.25">
      <c r="A14393" s="75">
        <v>55121505</v>
      </c>
      <c r="B14393" s="76" t="s">
        <v>4726</v>
      </c>
    </row>
    <row r="14394" spans="1:2" x14ac:dyDescent="0.25">
      <c r="A14394" s="75">
        <v>55121506</v>
      </c>
      <c r="B14394" s="76" t="s">
        <v>17165</v>
      </c>
    </row>
    <row r="14395" spans="1:2" x14ac:dyDescent="0.25">
      <c r="A14395" s="75">
        <v>55121601</v>
      </c>
      <c r="B14395" s="76" t="s">
        <v>316</v>
      </c>
    </row>
    <row r="14396" spans="1:2" x14ac:dyDescent="0.25">
      <c r="A14396" s="75">
        <v>55121602</v>
      </c>
      <c r="B14396" s="76" t="s">
        <v>14911</v>
      </c>
    </row>
    <row r="14397" spans="1:2" x14ac:dyDescent="0.25">
      <c r="A14397" s="75">
        <v>55121604</v>
      </c>
      <c r="B14397" s="76" t="s">
        <v>11782</v>
      </c>
    </row>
    <row r="14398" spans="1:2" x14ac:dyDescent="0.25">
      <c r="A14398" s="75">
        <v>55121605</v>
      </c>
      <c r="B14398" s="76" t="s">
        <v>3665</v>
      </c>
    </row>
    <row r="14399" spans="1:2" x14ac:dyDescent="0.25">
      <c r="A14399" s="75">
        <v>55121606</v>
      </c>
      <c r="B14399" s="76" t="s">
        <v>9851</v>
      </c>
    </row>
    <row r="14400" spans="1:2" x14ac:dyDescent="0.25">
      <c r="A14400" s="75">
        <v>55121607</v>
      </c>
      <c r="B14400" s="76" t="s">
        <v>2056</v>
      </c>
    </row>
    <row r="14401" spans="1:2" x14ac:dyDescent="0.25">
      <c r="A14401" s="75">
        <v>55121608</v>
      </c>
      <c r="B14401" s="76" t="s">
        <v>9636</v>
      </c>
    </row>
    <row r="14402" spans="1:2" x14ac:dyDescent="0.25">
      <c r="A14402" s="75">
        <v>55121609</v>
      </c>
      <c r="B14402" s="76" t="s">
        <v>11805</v>
      </c>
    </row>
    <row r="14403" spans="1:2" x14ac:dyDescent="0.25">
      <c r="A14403" s="75">
        <v>55121610</v>
      </c>
      <c r="B14403" s="76" t="s">
        <v>20029</v>
      </c>
    </row>
    <row r="14404" spans="1:2" x14ac:dyDescent="0.25">
      <c r="A14404" s="75">
        <v>55121611</v>
      </c>
      <c r="B14404" s="76" t="s">
        <v>4676</v>
      </c>
    </row>
    <row r="14405" spans="1:2" x14ac:dyDescent="0.25">
      <c r="A14405" s="75">
        <v>55121612</v>
      </c>
      <c r="B14405" s="76" t="s">
        <v>19296</v>
      </c>
    </row>
    <row r="14406" spans="1:2" x14ac:dyDescent="0.25">
      <c r="A14406" s="75">
        <v>55121613</v>
      </c>
      <c r="B14406" s="76" t="s">
        <v>18048</v>
      </c>
    </row>
    <row r="14407" spans="1:2" x14ac:dyDescent="0.25">
      <c r="A14407" s="75">
        <v>55121614</v>
      </c>
      <c r="B14407" s="76" t="s">
        <v>4070</v>
      </c>
    </row>
    <row r="14408" spans="1:2" x14ac:dyDescent="0.25">
      <c r="A14408" s="75">
        <v>55121615</v>
      </c>
      <c r="B14408" s="76" t="s">
        <v>9361</v>
      </c>
    </row>
    <row r="14409" spans="1:2" x14ac:dyDescent="0.25">
      <c r="A14409" s="75">
        <v>55121616</v>
      </c>
      <c r="B14409" s="76" t="s">
        <v>8104</v>
      </c>
    </row>
    <row r="14410" spans="1:2" x14ac:dyDescent="0.25">
      <c r="A14410" s="75">
        <v>55121617</v>
      </c>
      <c r="B14410" s="76" t="s">
        <v>15049</v>
      </c>
    </row>
    <row r="14411" spans="1:2" x14ac:dyDescent="0.25">
      <c r="A14411" s="75">
        <v>55121618</v>
      </c>
      <c r="B14411" s="76" t="s">
        <v>16238</v>
      </c>
    </row>
    <row r="14412" spans="1:2" x14ac:dyDescent="0.25">
      <c r="A14412" s="75">
        <v>55121619</v>
      </c>
      <c r="B14412" s="76" t="s">
        <v>277</v>
      </c>
    </row>
    <row r="14413" spans="1:2" x14ac:dyDescent="0.25">
      <c r="A14413" s="75">
        <v>55121620</v>
      </c>
      <c r="B14413" s="76" t="s">
        <v>10049</v>
      </c>
    </row>
    <row r="14414" spans="1:2" x14ac:dyDescent="0.25">
      <c r="A14414" s="75">
        <v>55121621</v>
      </c>
      <c r="B14414" s="76" t="s">
        <v>10967</v>
      </c>
    </row>
    <row r="14415" spans="1:2" x14ac:dyDescent="0.25">
      <c r="A14415" s="75">
        <v>55121701</v>
      </c>
      <c r="B14415" s="76" t="s">
        <v>9969</v>
      </c>
    </row>
    <row r="14416" spans="1:2" x14ac:dyDescent="0.25">
      <c r="A14416" s="75">
        <v>55121702</v>
      </c>
      <c r="B14416" s="76" t="s">
        <v>9387</v>
      </c>
    </row>
    <row r="14417" spans="1:2" x14ac:dyDescent="0.25">
      <c r="A14417" s="75">
        <v>55121703</v>
      </c>
      <c r="B14417" s="76" t="s">
        <v>3667</v>
      </c>
    </row>
    <row r="14418" spans="1:2" x14ac:dyDescent="0.25">
      <c r="A14418" s="75">
        <v>55121704</v>
      </c>
      <c r="B14418" s="76" t="s">
        <v>3750</v>
      </c>
    </row>
    <row r="14419" spans="1:2" x14ac:dyDescent="0.25">
      <c r="A14419" s="75">
        <v>55121705</v>
      </c>
      <c r="B14419" s="76" t="s">
        <v>19320</v>
      </c>
    </row>
    <row r="14420" spans="1:2" x14ac:dyDescent="0.25">
      <c r="A14420" s="75">
        <v>55121706</v>
      </c>
      <c r="B14420" s="76" t="s">
        <v>19442</v>
      </c>
    </row>
    <row r="14421" spans="1:2" x14ac:dyDescent="0.25">
      <c r="A14421" s="75">
        <v>55121707</v>
      </c>
      <c r="B14421" s="76" t="s">
        <v>3212</v>
      </c>
    </row>
    <row r="14422" spans="1:2" x14ac:dyDescent="0.25">
      <c r="A14422" s="75">
        <v>55121708</v>
      </c>
      <c r="B14422" s="76" t="s">
        <v>15275</v>
      </c>
    </row>
    <row r="14423" spans="1:2" x14ac:dyDescent="0.25">
      <c r="A14423" s="75">
        <v>55121709</v>
      </c>
      <c r="B14423" s="76" t="s">
        <v>718</v>
      </c>
    </row>
    <row r="14424" spans="1:2" x14ac:dyDescent="0.25">
      <c r="A14424" s="75">
        <v>55121710</v>
      </c>
      <c r="B14424" s="76" t="s">
        <v>4909</v>
      </c>
    </row>
    <row r="14425" spans="1:2" x14ac:dyDescent="0.25">
      <c r="A14425" s="75">
        <v>55121711</v>
      </c>
      <c r="B14425" s="76" t="s">
        <v>12234</v>
      </c>
    </row>
    <row r="14426" spans="1:2" x14ac:dyDescent="0.25">
      <c r="A14426" s="75">
        <v>55121712</v>
      </c>
      <c r="B14426" s="76" t="s">
        <v>14072</v>
      </c>
    </row>
    <row r="14427" spans="1:2" x14ac:dyDescent="0.25">
      <c r="A14427" s="75">
        <v>55121713</v>
      </c>
      <c r="B14427" s="76" t="s">
        <v>16645</v>
      </c>
    </row>
    <row r="14428" spans="1:2" x14ac:dyDescent="0.25">
      <c r="A14428" s="75">
        <v>55121714</v>
      </c>
      <c r="B14428" s="76" t="s">
        <v>16827</v>
      </c>
    </row>
    <row r="14429" spans="1:2" x14ac:dyDescent="0.25">
      <c r="A14429" s="75">
        <v>55121715</v>
      </c>
      <c r="B14429" s="76" t="s">
        <v>16840</v>
      </c>
    </row>
    <row r="14430" spans="1:2" x14ac:dyDescent="0.25">
      <c r="A14430" s="75">
        <v>55121716</v>
      </c>
      <c r="B14430" s="76" t="s">
        <v>12056</v>
      </c>
    </row>
    <row r="14431" spans="1:2" x14ac:dyDescent="0.25">
      <c r="A14431" s="75">
        <v>55121717</v>
      </c>
      <c r="B14431" s="76" t="s">
        <v>6123</v>
      </c>
    </row>
    <row r="14432" spans="1:2" x14ac:dyDescent="0.25">
      <c r="A14432" s="75">
        <v>55121718</v>
      </c>
      <c r="B14432" s="76" t="s">
        <v>8670</v>
      </c>
    </row>
    <row r="14433" spans="1:2" x14ac:dyDescent="0.25">
      <c r="A14433" s="75">
        <v>55121719</v>
      </c>
      <c r="B14433" s="76" t="s">
        <v>17601</v>
      </c>
    </row>
    <row r="14434" spans="1:2" x14ac:dyDescent="0.25">
      <c r="A14434" s="75">
        <v>55121720</v>
      </c>
      <c r="B14434" s="76" t="s">
        <v>17307</v>
      </c>
    </row>
    <row r="14435" spans="1:2" x14ac:dyDescent="0.25">
      <c r="A14435" s="75">
        <v>55121721</v>
      </c>
      <c r="B14435" s="76" t="s">
        <v>4499</v>
      </c>
    </row>
    <row r="14436" spans="1:2" x14ac:dyDescent="0.25">
      <c r="A14436" s="75">
        <v>55121722</v>
      </c>
      <c r="B14436" s="76" t="s">
        <v>19075</v>
      </c>
    </row>
    <row r="14437" spans="1:2" x14ac:dyDescent="0.25">
      <c r="A14437" s="75">
        <v>55121723</v>
      </c>
      <c r="B14437" s="76" t="s">
        <v>18789</v>
      </c>
    </row>
    <row r="14438" spans="1:2" x14ac:dyDescent="0.25">
      <c r="A14438" s="75">
        <v>55121724</v>
      </c>
      <c r="B14438" s="76" t="s">
        <v>19941</v>
      </c>
    </row>
    <row r="14439" spans="1:2" x14ac:dyDescent="0.25">
      <c r="A14439" s="75">
        <v>55121725</v>
      </c>
      <c r="B14439" s="76" t="s">
        <v>7858</v>
      </c>
    </row>
    <row r="14440" spans="1:2" x14ac:dyDescent="0.25">
      <c r="A14440" s="75">
        <v>55121726</v>
      </c>
      <c r="B14440" s="76" t="s">
        <v>1021</v>
      </c>
    </row>
    <row r="14441" spans="1:2" x14ac:dyDescent="0.25">
      <c r="A14441" s="75">
        <v>55121727</v>
      </c>
      <c r="B14441" s="76" t="s">
        <v>13549</v>
      </c>
    </row>
    <row r="14442" spans="1:2" x14ac:dyDescent="0.25">
      <c r="A14442" s="75">
        <v>55121728</v>
      </c>
      <c r="B14442" s="76" t="s">
        <v>19221</v>
      </c>
    </row>
    <row r="14443" spans="1:2" x14ac:dyDescent="0.25">
      <c r="A14443" s="75">
        <v>55121729</v>
      </c>
      <c r="B14443" s="76" t="s">
        <v>3647</v>
      </c>
    </row>
    <row r="14444" spans="1:2" x14ac:dyDescent="0.25">
      <c r="A14444" s="75">
        <v>55121730</v>
      </c>
      <c r="B14444" s="76" t="s">
        <v>13346</v>
      </c>
    </row>
    <row r="14445" spans="1:2" x14ac:dyDescent="0.25">
      <c r="A14445" s="75">
        <v>55121731</v>
      </c>
      <c r="B14445" s="76" t="s">
        <v>5838</v>
      </c>
    </row>
    <row r="14446" spans="1:2" x14ac:dyDescent="0.25">
      <c r="A14446" s="75">
        <v>55121732</v>
      </c>
      <c r="B14446" s="76" t="s">
        <v>9135</v>
      </c>
    </row>
    <row r="14447" spans="1:2" x14ac:dyDescent="0.25">
      <c r="A14447" s="75">
        <v>55121801</v>
      </c>
      <c r="B14447" s="76" t="s">
        <v>19981</v>
      </c>
    </row>
    <row r="14448" spans="1:2" x14ac:dyDescent="0.25">
      <c r="A14448" s="75">
        <v>55121802</v>
      </c>
      <c r="B14448" s="76" t="s">
        <v>9460</v>
      </c>
    </row>
    <row r="14449" spans="1:2" x14ac:dyDescent="0.25">
      <c r="A14449" s="75">
        <v>55121803</v>
      </c>
      <c r="B14449" s="76" t="s">
        <v>1398</v>
      </c>
    </row>
    <row r="14450" spans="1:2" x14ac:dyDescent="0.25">
      <c r="A14450" s="75">
        <v>55121804</v>
      </c>
      <c r="B14450" s="76" t="s">
        <v>16553</v>
      </c>
    </row>
    <row r="14451" spans="1:2" x14ac:dyDescent="0.25">
      <c r="A14451" s="75">
        <v>55121806</v>
      </c>
      <c r="B14451" s="76" t="s">
        <v>19787</v>
      </c>
    </row>
    <row r="14452" spans="1:2" x14ac:dyDescent="0.25">
      <c r="A14452" s="75">
        <v>55121807</v>
      </c>
      <c r="B14452" s="76" t="s">
        <v>8207</v>
      </c>
    </row>
    <row r="14453" spans="1:2" x14ac:dyDescent="0.25">
      <c r="A14453" s="75">
        <v>56101501</v>
      </c>
      <c r="B14453" s="76" t="s">
        <v>2077</v>
      </c>
    </row>
    <row r="14454" spans="1:2" x14ac:dyDescent="0.25">
      <c r="A14454" s="75">
        <v>56101502</v>
      </c>
      <c r="B14454" s="76" t="s">
        <v>7780</v>
      </c>
    </row>
    <row r="14455" spans="1:2" x14ac:dyDescent="0.25">
      <c r="A14455" s="75">
        <v>56101503</v>
      </c>
      <c r="B14455" s="76" t="s">
        <v>16206</v>
      </c>
    </row>
    <row r="14456" spans="1:2" x14ac:dyDescent="0.25">
      <c r="A14456" s="75">
        <v>56101504</v>
      </c>
      <c r="B14456" s="76" t="s">
        <v>17508</v>
      </c>
    </row>
    <row r="14457" spans="1:2" x14ac:dyDescent="0.25">
      <c r="A14457" s="75">
        <v>56101505</v>
      </c>
      <c r="B14457" s="76" t="s">
        <v>5795</v>
      </c>
    </row>
    <row r="14458" spans="1:2" x14ac:dyDescent="0.25">
      <c r="A14458" s="75">
        <v>56101506</v>
      </c>
      <c r="B14458" s="76" t="s">
        <v>7672</v>
      </c>
    </row>
    <row r="14459" spans="1:2" x14ac:dyDescent="0.25">
      <c r="A14459" s="75">
        <v>56101507</v>
      </c>
      <c r="B14459" s="76" t="s">
        <v>6235</v>
      </c>
    </row>
    <row r="14460" spans="1:2" x14ac:dyDescent="0.25">
      <c r="A14460" s="75">
        <v>56101508</v>
      </c>
      <c r="B14460" s="76" t="s">
        <v>14219</v>
      </c>
    </row>
    <row r="14461" spans="1:2" x14ac:dyDescent="0.25">
      <c r="A14461" s="75">
        <v>56101509</v>
      </c>
      <c r="B14461" s="76" t="s">
        <v>15851</v>
      </c>
    </row>
    <row r="14462" spans="1:2" x14ac:dyDescent="0.25">
      <c r="A14462" s="75">
        <v>56101510</v>
      </c>
      <c r="B14462" s="76" t="s">
        <v>7095</v>
      </c>
    </row>
    <row r="14463" spans="1:2" x14ac:dyDescent="0.25">
      <c r="A14463" s="75">
        <v>56101513</v>
      </c>
      <c r="B14463" s="76" t="s">
        <v>8390</v>
      </c>
    </row>
    <row r="14464" spans="1:2" x14ac:dyDescent="0.25">
      <c r="A14464" s="75">
        <v>56101514</v>
      </c>
      <c r="B14464" s="76" t="s">
        <v>13837</v>
      </c>
    </row>
    <row r="14465" spans="1:2" x14ac:dyDescent="0.25">
      <c r="A14465" s="75">
        <v>56101515</v>
      </c>
      <c r="B14465" s="76" t="s">
        <v>5299</v>
      </c>
    </row>
    <row r="14466" spans="1:2" x14ac:dyDescent="0.25">
      <c r="A14466" s="75">
        <v>56101516</v>
      </c>
      <c r="B14466" s="76" t="s">
        <v>19874</v>
      </c>
    </row>
    <row r="14467" spans="1:2" x14ac:dyDescent="0.25">
      <c r="A14467" s="75">
        <v>56101518</v>
      </c>
      <c r="B14467" s="76" t="s">
        <v>13948</v>
      </c>
    </row>
    <row r="14468" spans="1:2" x14ac:dyDescent="0.25">
      <c r="A14468" s="75">
        <v>56101519</v>
      </c>
      <c r="B14468" s="76" t="s">
        <v>3129</v>
      </c>
    </row>
    <row r="14469" spans="1:2" x14ac:dyDescent="0.25">
      <c r="A14469" s="75">
        <v>56101520</v>
      </c>
      <c r="B14469" s="76" t="s">
        <v>13924</v>
      </c>
    </row>
    <row r="14470" spans="1:2" x14ac:dyDescent="0.25">
      <c r="A14470" s="75">
        <v>56101521</v>
      </c>
      <c r="B14470" s="76" t="s">
        <v>3485</v>
      </c>
    </row>
    <row r="14471" spans="1:2" x14ac:dyDescent="0.25">
      <c r="A14471" s="75">
        <v>56101522</v>
      </c>
      <c r="B14471" s="76" t="s">
        <v>18605</v>
      </c>
    </row>
    <row r="14472" spans="1:2" x14ac:dyDescent="0.25">
      <c r="A14472" s="75">
        <v>56101523</v>
      </c>
      <c r="B14472" s="76" t="s">
        <v>10728</v>
      </c>
    </row>
    <row r="14473" spans="1:2" x14ac:dyDescent="0.25">
      <c r="A14473" s="75">
        <v>56101524</v>
      </c>
      <c r="B14473" s="76" t="s">
        <v>44</v>
      </c>
    </row>
    <row r="14474" spans="1:2" x14ac:dyDescent="0.25">
      <c r="A14474" s="75">
        <v>56101525</v>
      </c>
      <c r="B14474" s="76" t="s">
        <v>1393</v>
      </c>
    </row>
    <row r="14475" spans="1:2" x14ac:dyDescent="0.25">
      <c r="A14475" s="75">
        <v>56101526</v>
      </c>
      <c r="B14475" s="76" t="s">
        <v>2914</v>
      </c>
    </row>
    <row r="14476" spans="1:2" x14ac:dyDescent="0.25">
      <c r="A14476" s="75">
        <v>56101527</v>
      </c>
      <c r="B14476" s="76" t="s">
        <v>18683</v>
      </c>
    </row>
    <row r="14477" spans="1:2" x14ac:dyDescent="0.25">
      <c r="A14477" s="75">
        <v>56101528</v>
      </c>
      <c r="B14477" s="76" t="s">
        <v>6817</v>
      </c>
    </row>
    <row r="14478" spans="1:2" x14ac:dyDescent="0.25">
      <c r="A14478" s="75">
        <v>56101529</v>
      </c>
      <c r="B14478" s="76" t="s">
        <v>5887</v>
      </c>
    </row>
    <row r="14479" spans="1:2" x14ac:dyDescent="0.25">
      <c r="A14479" s="75">
        <v>56101530</v>
      </c>
      <c r="B14479" s="76" t="s">
        <v>8716</v>
      </c>
    </row>
    <row r="14480" spans="1:2" x14ac:dyDescent="0.25">
      <c r="A14480" s="75">
        <v>56101531</v>
      </c>
      <c r="B14480" s="76" t="s">
        <v>18534</v>
      </c>
    </row>
    <row r="14481" spans="1:2" x14ac:dyDescent="0.25">
      <c r="A14481" s="75">
        <v>56101532</v>
      </c>
      <c r="B14481" s="76" t="s">
        <v>260</v>
      </c>
    </row>
    <row r="14482" spans="1:2" x14ac:dyDescent="0.25">
      <c r="A14482" s="75">
        <v>56101533</v>
      </c>
      <c r="B14482" s="76" t="s">
        <v>6898</v>
      </c>
    </row>
    <row r="14483" spans="1:2" x14ac:dyDescent="0.25">
      <c r="A14483" s="75">
        <v>56101535</v>
      </c>
      <c r="B14483" s="76" t="s">
        <v>13097</v>
      </c>
    </row>
    <row r="14484" spans="1:2" x14ac:dyDescent="0.25">
      <c r="A14484" s="75">
        <v>56101536</v>
      </c>
      <c r="B14484" s="76" t="s">
        <v>12527</v>
      </c>
    </row>
    <row r="14485" spans="1:2" x14ac:dyDescent="0.25">
      <c r="A14485" s="75">
        <v>56101537</v>
      </c>
      <c r="B14485" s="76" t="s">
        <v>19537</v>
      </c>
    </row>
    <row r="14486" spans="1:2" x14ac:dyDescent="0.25">
      <c r="A14486" s="75">
        <v>56101538</v>
      </c>
      <c r="B14486" s="76" t="s">
        <v>5093</v>
      </c>
    </row>
    <row r="14487" spans="1:2" x14ac:dyDescent="0.25">
      <c r="A14487" s="75">
        <v>56101539</v>
      </c>
      <c r="B14487" s="76" t="s">
        <v>6962</v>
      </c>
    </row>
    <row r="14488" spans="1:2" x14ac:dyDescent="0.25">
      <c r="A14488" s="75">
        <v>56101540</v>
      </c>
      <c r="B14488" s="76" t="s">
        <v>13921</v>
      </c>
    </row>
    <row r="14489" spans="1:2" x14ac:dyDescent="0.25">
      <c r="A14489" s="75">
        <v>56101541</v>
      </c>
      <c r="B14489" s="76" t="s">
        <v>12738</v>
      </c>
    </row>
    <row r="14490" spans="1:2" x14ac:dyDescent="0.25">
      <c r="A14490" s="75">
        <v>56101601</v>
      </c>
      <c r="B14490" s="76" t="s">
        <v>7853</v>
      </c>
    </row>
    <row r="14491" spans="1:2" x14ac:dyDescent="0.25">
      <c r="A14491" s="75">
        <v>56101602</v>
      </c>
      <c r="B14491" s="76" t="s">
        <v>1901</v>
      </c>
    </row>
    <row r="14492" spans="1:2" x14ac:dyDescent="0.25">
      <c r="A14492" s="75">
        <v>56101603</v>
      </c>
      <c r="B14492" s="76" t="s">
        <v>4346</v>
      </c>
    </row>
    <row r="14493" spans="1:2" x14ac:dyDescent="0.25">
      <c r="A14493" s="75">
        <v>56101604</v>
      </c>
      <c r="B14493" s="76" t="s">
        <v>18386</v>
      </c>
    </row>
    <row r="14494" spans="1:2" x14ac:dyDescent="0.25">
      <c r="A14494" s="75">
        <v>56101605</v>
      </c>
      <c r="B14494" s="76" t="s">
        <v>11169</v>
      </c>
    </row>
    <row r="14495" spans="1:2" x14ac:dyDescent="0.25">
      <c r="A14495" s="75">
        <v>56101606</v>
      </c>
      <c r="B14495" s="76" t="s">
        <v>15581</v>
      </c>
    </row>
    <row r="14496" spans="1:2" x14ac:dyDescent="0.25">
      <c r="A14496" s="75">
        <v>56101607</v>
      </c>
      <c r="B14496" s="76" t="s">
        <v>14602</v>
      </c>
    </row>
    <row r="14497" spans="1:2" x14ac:dyDescent="0.25">
      <c r="A14497" s="75">
        <v>56101608</v>
      </c>
      <c r="B14497" s="76" t="s">
        <v>16556</v>
      </c>
    </row>
    <row r="14498" spans="1:2" x14ac:dyDescent="0.25">
      <c r="A14498" s="75">
        <v>56101701</v>
      </c>
      <c r="B14498" s="76" t="s">
        <v>7900</v>
      </c>
    </row>
    <row r="14499" spans="1:2" x14ac:dyDescent="0.25">
      <c r="A14499" s="75">
        <v>56101702</v>
      </c>
      <c r="B14499" s="76" t="s">
        <v>17039</v>
      </c>
    </row>
    <row r="14500" spans="1:2" x14ac:dyDescent="0.25">
      <c r="A14500" s="75">
        <v>56101703</v>
      </c>
      <c r="B14500" s="76" t="s">
        <v>5358</v>
      </c>
    </row>
    <row r="14501" spans="1:2" x14ac:dyDescent="0.25">
      <c r="A14501" s="75">
        <v>56101704</v>
      </c>
      <c r="B14501" s="76" t="s">
        <v>16698</v>
      </c>
    </row>
    <row r="14502" spans="1:2" x14ac:dyDescent="0.25">
      <c r="A14502" s="75">
        <v>56101705</v>
      </c>
      <c r="B14502" s="76" t="s">
        <v>7193</v>
      </c>
    </row>
    <row r="14503" spans="1:2" x14ac:dyDescent="0.25">
      <c r="A14503" s="75">
        <v>56101706</v>
      </c>
      <c r="B14503" s="76" t="s">
        <v>6797</v>
      </c>
    </row>
    <row r="14504" spans="1:2" x14ac:dyDescent="0.25">
      <c r="A14504" s="75">
        <v>56101707</v>
      </c>
      <c r="B14504" s="76" t="s">
        <v>19773</v>
      </c>
    </row>
    <row r="14505" spans="1:2" x14ac:dyDescent="0.25">
      <c r="A14505" s="75">
        <v>56101708</v>
      </c>
      <c r="B14505" s="76" t="s">
        <v>10388</v>
      </c>
    </row>
    <row r="14506" spans="1:2" x14ac:dyDescent="0.25">
      <c r="A14506" s="75">
        <v>56101710</v>
      </c>
      <c r="B14506" s="76" t="s">
        <v>11106</v>
      </c>
    </row>
    <row r="14507" spans="1:2" x14ac:dyDescent="0.25">
      <c r="A14507" s="75">
        <v>56101711</v>
      </c>
      <c r="B14507" s="76" t="s">
        <v>13496</v>
      </c>
    </row>
    <row r="14508" spans="1:2" x14ac:dyDescent="0.25">
      <c r="A14508" s="75">
        <v>56101712</v>
      </c>
      <c r="B14508" s="76" t="s">
        <v>7219</v>
      </c>
    </row>
    <row r="14509" spans="1:2" x14ac:dyDescent="0.25">
      <c r="A14509" s="75">
        <v>56101713</v>
      </c>
      <c r="B14509" s="76" t="s">
        <v>16754</v>
      </c>
    </row>
    <row r="14510" spans="1:2" x14ac:dyDescent="0.25">
      <c r="A14510" s="75">
        <v>56101714</v>
      </c>
      <c r="B14510" s="76" t="s">
        <v>9689</v>
      </c>
    </row>
    <row r="14511" spans="1:2" x14ac:dyDescent="0.25">
      <c r="A14511" s="75">
        <v>56101715</v>
      </c>
      <c r="B14511" s="76" t="s">
        <v>6001</v>
      </c>
    </row>
    <row r="14512" spans="1:2" x14ac:dyDescent="0.25">
      <c r="A14512" s="75">
        <v>56101716</v>
      </c>
      <c r="B14512" s="76" t="s">
        <v>3570</v>
      </c>
    </row>
    <row r="14513" spans="1:2" x14ac:dyDescent="0.25">
      <c r="A14513" s="75">
        <v>56101717</v>
      </c>
      <c r="B14513" s="76" t="s">
        <v>8976</v>
      </c>
    </row>
    <row r="14514" spans="1:2" x14ac:dyDescent="0.25">
      <c r="A14514" s="75">
        <v>56101803</v>
      </c>
      <c r="B14514" s="76" t="s">
        <v>5822</v>
      </c>
    </row>
    <row r="14515" spans="1:2" x14ac:dyDescent="0.25">
      <c r="A14515" s="75">
        <v>56101804</v>
      </c>
      <c r="B14515" s="76" t="s">
        <v>16305</v>
      </c>
    </row>
    <row r="14516" spans="1:2" x14ac:dyDescent="0.25">
      <c r="A14516" s="75">
        <v>56101805</v>
      </c>
      <c r="B14516" s="76" t="s">
        <v>6426</v>
      </c>
    </row>
    <row r="14517" spans="1:2" x14ac:dyDescent="0.25">
      <c r="A14517" s="75">
        <v>56101806</v>
      </c>
      <c r="B14517" s="76" t="s">
        <v>1249</v>
      </c>
    </row>
    <row r="14518" spans="1:2" x14ac:dyDescent="0.25">
      <c r="A14518" s="75">
        <v>56101807</v>
      </c>
      <c r="B14518" s="76" t="s">
        <v>13177</v>
      </c>
    </row>
    <row r="14519" spans="1:2" x14ac:dyDescent="0.25">
      <c r="A14519" s="75">
        <v>56101808</v>
      </c>
      <c r="B14519" s="76" t="s">
        <v>1936</v>
      </c>
    </row>
    <row r="14520" spans="1:2" x14ac:dyDescent="0.25">
      <c r="A14520" s="75">
        <v>56101809</v>
      </c>
      <c r="B14520" s="76" t="s">
        <v>15619</v>
      </c>
    </row>
    <row r="14521" spans="1:2" x14ac:dyDescent="0.25">
      <c r="A14521" s="75">
        <v>56101810</v>
      </c>
      <c r="B14521" s="76" t="s">
        <v>1419</v>
      </c>
    </row>
    <row r="14522" spans="1:2" x14ac:dyDescent="0.25">
      <c r="A14522" s="75">
        <v>56101811</v>
      </c>
      <c r="B14522" s="76" t="s">
        <v>5566</v>
      </c>
    </row>
    <row r="14523" spans="1:2" x14ac:dyDescent="0.25">
      <c r="A14523" s="75">
        <v>56101812</v>
      </c>
      <c r="B14523" s="76" t="s">
        <v>11061</v>
      </c>
    </row>
    <row r="14524" spans="1:2" x14ac:dyDescent="0.25">
      <c r="A14524" s="75">
        <v>56101813</v>
      </c>
      <c r="B14524" s="76" t="s">
        <v>19735</v>
      </c>
    </row>
    <row r="14525" spans="1:2" x14ac:dyDescent="0.25">
      <c r="A14525" s="75">
        <v>56101901</v>
      </c>
      <c r="B14525" s="76" t="s">
        <v>19696</v>
      </c>
    </row>
    <row r="14526" spans="1:2" x14ac:dyDescent="0.25">
      <c r="A14526" s="75">
        <v>56101902</v>
      </c>
      <c r="B14526" s="76" t="s">
        <v>20057</v>
      </c>
    </row>
    <row r="14527" spans="1:2" x14ac:dyDescent="0.25">
      <c r="A14527" s="75">
        <v>56101903</v>
      </c>
      <c r="B14527" s="76" t="s">
        <v>8437</v>
      </c>
    </row>
    <row r="14528" spans="1:2" x14ac:dyDescent="0.25">
      <c r="A14528" s="75">
        <v>56101904</v>
      </c>
      <c r="B14528" s="76" t="s">
        <v>1307</v>
      </c>
    </row>
    <row r="14529" spans="1:2" x14ac:dyDescent="0.25">
      <c r="A14529" s="75">
        <v>56101905</v>
      </c>
      <c r="B14529" s="76" t="s">
        <v>20039</v>
      </c>
    </row>
    <row r="14530" spans="1:2" x14ac:dyDescent="0.25">
      <c r="A14530" s="75">
        <v>56101906</v>
      </c>
      <c r="B14530" s="76" t="s">
        <v>4010</v>
      </c>
    </row>
    <row r="14531" spans="1:2" x14ac:dyDescent="0.25">
      <c r="A14531" s="75">
        <v>56101907</v>
      </c>
      <c r="B14531" s="76" t="s">
        <v>16898</v>
      </c>
    </row>
    <row r="14532" spans="1:2" x14ac:dyDescent="0.25">
      <c r="A14532" s="75">
        <v>56111501</v>
      </c>
      <c r="B14532" s="76" t="s">
        <v>8119</v>
      </c>
    </row>
    <row r="14533" spans="1:2" x14ac:dyDescent="0.25">
      <c r="A14533" s="75">
        <v>56111502</v>
      </c>
      <c r="B14533" s="76" t="s">
        <v>853</v>
      </c>
    </row>
    <row r="14534" spans="1:2" x14ac:dyDescent="0.25">
      <c r="A14534" s="75">
        <v>56111503</v>
      </c>
      <c r="B14534" s="76" t="s">
        <v>14344</v>
      </c>
    </row>
    <row r="14535" spans="1:2" x14ac:dyDescent="0.25">
      <c r="A14535" s="75">
        <v>56111504</v>
      </c>
      <c r="B14535" s="76" t="s">
        <v>5830</v>
      </c>
    </row>
    <row r="14536" spans="1:2" x14ac:dyDescent="0.25">
      <c r="A14536" s="75">
        <v>56111505</v>
      </c>
      <c r="B14536" s="76" t="s">
        <v>840</v>
      </c>
    </row>
    <row r="14537" spans="1:2" x14ac:dyDescent="0.25">
      <c r="A14537" s="75">
        <v>56111506</v>
      </c>
      <c r="B14537" s="76" t="s">
        <v>13745</v>
      </c>
    </row>
    <row r="14538" spans="1:2" x14ac:dyDescent="0.25">
      <c r="A14538" s="75">
        <v>56111507</v>
      </c>
      <c r="B14538" s="76" t="s">
        <v>19839</v>
      </c>
    </row>
    <row r="14539" spans="1:2" x14ac:dyDescent="0.25">
      <c r="A14539" s="75">
        <v>56111508</v>
      </c>
      <c r="B14539" s="76" t="s">
        <v>10486</v>
      </c>
    </row>
    <row r="14540" spans="1:2" x14ac:dyDescent="0.25">
      <c r="A14540" s="75">
        <v>56111509</v>
      </c>
      <c r="B14540" s="76" t="s">
        <v>18187</v>
      </c>
    </row>
    <row r="14541" spans="1:2" x14ac:dyDescent="0.25">
      <c r="A14541" s="75">
        <v>56111510</v>
      </c>
      <c r="B14541" s="76" t="s">
        <v>1653</v>
      </c>
    </row>
    <row r="14542" spans="1:2" x14ac:dyDescent="0.25">
      <c r="A14542" s="75">
        <v>56111511</v>
      </c>
      <c r="B14542" s="76" t="s">
        <v>8046</v>
      </c>
    </row>
    <row r="14543" spans="1:2" x14ac:dyDescent="0.25">
      <c r="A14543" s="75">
        <v>56111512</v>
      </c>
      <c r="B14543" s="76" t="s">
        <v>8014</v>
      </c>
    </row>
    <row r="14544" spans="1:2" x14ac:dyDescent="0.25">
      <c r="A14544" s="75">
        <v>56111513</v>
      </c>
      <c r="B14544" s="76" t="s">
        <v>12874</v>
      </c>
    </row>
    <row r="14545" spans="1:2" x14ac:dyDescent="0.25">
      <c r="A14545" s="75">
        <v>56111514</v>
      </c>
      <c r="B14545" s="76" t="s">
        <v>7967</v>
      </c>
    </row>
    <row r="14546" spans="1:2" x14ac:dyDescent="0.25">
      <c r="A14546" s="75">
        <v>56111601</v>
      </c>
      <c r="B14546" s="76" t="s">
        <v>11954</v>
      </c>
    </row>
    <row r="14547" spans="1:2" x14ac:dyDescent="0.25">
      <c r="A14547" s="75">
        <v>56111602</v>
      </c>
      <c r="B14547" s="76" t="s">
        <v>19414</v>
      </c>
    </row>
    <row r="14548" spans="1:2" x14ac:dyDescent="0.25">
      <c r="A14548" s="75">
        <v>56111603</v>
      </c>
      <c r="B14548" s="76" t="s">
        <v>13744</v>
      </c>
    </row>
    <row r="14549" spans="1:2" x14ac:dyDescent="0.25">
      <c r="A14549" s="75">
        <v>56111604</v>
      </c>
      <c r="B14549" s="76" t="s">
        <v>17671</v>
      </c>
    </row>
    <row r="14550" spans="1:2" x14ac:dyDescent="0.25">
      <c r="A14550" s="75">
        <v>56111605</v>
      </c>
      <c r="B14550" s="76" t="s">
        <v>8628</v>
      </c>
    </row>
    <row r="14551" spans="1:2" x14ac:dyDescent="0.25">
      <c r="A14551" s="75">
        <v>56111606</v>
      </c>
      <c r="B14551" s="76" t="s">
        <v>19890</v>
      </c>
    </row>
    <row r="14552" spans="1:2" x14ac:dyDescent="0.25">
      <c r="A14552" s="75">
        <v>56111701</v>
      </c>
      <c r="B14552" s="76" t="s">
        <v>16355</v>
      </c>
    </row>
    <row r="14553" spans="1:2" x14ac:dyDescent="0.25">
      <c r="A14553" s="75">
        <v>56111702</v>
      </c>
      <c r="B14553" s="76" t="s">
        <v>12093</v>
      </c>
    </row>
    <row r="14554" spans="1:2" x14ac:dyDescent="0.25">
      <c r="A14554" s="75">
        <v>56111703</v>
      </c>
      <c r="B14554" s="76" t="s">
        <v>2787</v>
      </c>
    </row>
    <row r="14555" spans="1:2" x14ac:dyDescent="0.25">
      <c r="A14555" s="75">
        <v>56111704</v>
      </c>
      <c r="B14555" s="76" t="s">
        <v>15840</v>
      </c>
    </row>
    <row r="14556" spans="1:2" x14ac:dyDescent="0.25">
      <c r="A14556" s="75">
        <v>56111705</v>
      </c>
      <c r="B14556" s="76" t="s">
        <v>9892</v>
      </c>
    </row>
    <row r="14557" spans="1:2" x14ac:dyDescent="0.25">
      <c r="A14557" s="75">
        <v>56111706</v>
      </c>
      <c r="B14557" s="76" t="s">
        <v>2256</v>
      </c>
    </row>
    <row r="14558" spans="1:2" x14ac:dyDescent="0.25">
      <c r="A14558" s="75">
        <v>56111707</v>
      </c>
      <c r="B14558" s="76" t="s">
        <v>2283</v>
      </c>
    </row>
    <row r="14559" spans="1:2" x14ac:dyDescent="0.25">
      <c r="A14559" s="75">
        <v>56111801</v>
      </c>
      <c r="B14559" s="76" t="s">
        <v>6079</v>
      </c>
    </row>
    <row r="14560" spans="1:2" x14ac:dyDescent="0.25">
      <c r="A14560" s="75">
        <v>56111802</v>
      </c>
      <c r="B14560" s="76" t="s">
        <v>17247</v>
      </c>
    </row>
    <row r="14561" spans="1:2" x14ac:dyDescent="0.25">
      <c r="A14561" s="75">
        <v>56111803</v>
      </c>
      <c r="B14561" s="76" t="s">
        <v>3034</v>
      </c>
    </row>
    <row r="14562" spans="1:2" x14ac:dyDescent="0.25">
      <c r="A14562" s="75">
        <v>56111804</v>
      </c>
      <c r="B14562" s="76" t="s">
        <v>2312</v>
      </c>
    </row>
    <row r="14563" spans="1:2" x14ac:dyDescent="0.25">
      <c r="A14563" s="75">
        <v>56111805</v>
      </c>
      <c r="B14563" s="76" t="s">
        <v>4765</v>
      </c>
    </row>
    <row r="14564" spans="1:2" x14ac:dyDescent="0.25">
      <c r="A14564" s="75">
        <v>56111901</v>
      </c>
      <c r="B14564" s="76" t="s">
        <v>13558</v>
      </c>
    </row>
    <row r="14565" spans="1:2" x14ac:dyDescent="0.25">
      <c r="A14565" s="75">
        <v>56111902</v>
      </c>
      <c r="B14565" s="76" t="s">
        <v>7506</v>
      </c>
    </row>
    <row r="14566" spans="1:2" x14ac:dyDescent="0.25">
      <c r="A14566" s="75">
        <v>56111903</v>
      </c>
      <c r="B14566" s="76" t="s">
        <v>6892</v>
      </c>
    </row>
    <row r="14567" spans="1:2" x14ac:dyDescent="0.25">
      <c r="A14567" s="75">
        <v>56111904</v>
      </c>
      <c r="B14567" s="76" t="s">
        <v>18943</v>
      </c>
    </row>
    <row r="14568" spans="1:2" x14ac:dyDescent="0.25">
      <c r="A14568" s="75">
        <v>56111905</v>
      </c>
      <c r="B14568" s="76" t="s">
        <v>12122</v>
      </c>
    </row>
    <row r="14569" spans="1:2" x14ac:dyDescent="0.25">
      <c r="A14569" s="75">
        <v>56111906</v>
      </c>
      <c r="B14569" s="76" t="s">
        <v>9978</v>
      </c>
    </row>
    <row r="14570" spans="1:2" x14ac:dyDescent="0.25">
      <c r="A14570" s="75">
        <v>56111907</v>
      </c>
      <c r="B14570" s="76" t="s">
        <v>18883</v>
      </c>
    </row>
    <row r="14571" spans="1:2" x14ac:dyDescent="0.25">
      <c r="A14571" s="75">
        <v>56112001</v>
      </c>
      <c r="B14571" s="76" t="s">
        <v>6076</v>
      </c>
    </row>
    <row r="14572" spans="1:2" x14ac:dyDescent="0.25">
      <c r="A14572" s="75">
        <v>56112002</v>
      </c>
      <c r="B14572" s="76" t="s">
        <v>18239</v>
      </c>
    </row>
    <row r="14573" spans="1:2" x14ac:dyDescent="0.25">
      <c r="A14573" s="75">
        <v>56112003</v>
      </c>
      <c r="B14573" s="76" t="s">
        <v>6572</v>
      </c>
    </row>
    <row r="14574" spans="1:2" x14ac:dyDescent="0.25">
      <c r="A14574" s="75">
        <v>56112004</v>
      </c>
      <c r="B14574" s="76" t="s">
        <v>10380</v>
      </c>
    </row>
    <row r="14575" spans="1:2" x14ac:dyDescent="0.25">
      <c r="A14575" s="75">
        <v>56112005</v>
      </c>
      <c r="B14575" s="76" t="s">
        <v>2227</v>
      </c>
    </row>
    <row r="14576" spans="1:2" x14ac:dyDescent="0.25">
      <c r="A14576" s="75">
        <v>56112101</v>
      </c>
      <c r="B14576" s="76" t="s">
        <v>19810</v>
      </c>
    </row>
    <row r="14577" spans="1:2" x14ac:dyDescent="0.25">
      <c r="A14577" s="75">
        <v>56112102</v>
      </c>
      <c r="B14577" s="76" t="s">
        <v>19924</v>
      </c>
    </row>
    <row r="14578" spans="1:2" x14ac:dyDescent="0.25">
      <c r="A14578" s="75">
        <v>56112103</v>
      </c>
      <c r="B14578" s="76" t="s">
        <v>11947</v>
      </c>
    </row>
    <row r="14579" spans="1:2" x14ac:dyDescent="0.25">
      <c r="A14579" s="75">
        <v>56112104</v>
      </c>
      <c r="B14579" s="76" t="s">
        <v>5560</v>
      </c>
    </row>
    <row r="14580" spans="1:2" x14ac:dyDescent="0.25">
      <c r="A14580" s="75">
        <v>56112105</v>
      </c>
      <c r="B14580" s="76" t="s">
        <v>8681</v>
      </c>
    </row>
    <row r="14581" spans="1:2" x14ac:dyDescent="0.25">
      <c r="A14581" s="75">
        <v>56112106</v>
      </c>
      <c r="B14581" s="76" t="s">
        <v>5682</v>
      </c>
    </row>
    <row r="14582" spans="1:2" x14ac:dyDescent="0.25">
      <c r="A14582" s="75">
        <v>56112107</v>
      </c>
      <c r="B14582" s="76" t="s">
        <v>11573</v>
      </c>
    </row>
    <row r="14583" spans="1:2" x14ac:dyDescent="0.25">
      <c r="A14583" s="75">
        <v>56112108</v>
      </c>
      <c r="B14583" s="76" t="s">
        <v>7164</v>
      </c>
    </row>
    <row r="14584" spans="1:2" x14ac:dyDescent="0.25">
      <c r="A14584" s="75">
        <v>56112109</v>
      </c>
      <c r="B14584" s="76" t="s">
        <v>2321</v>
      </c>
    </row>
    <row r="14585" spans="1:2" x14ac:dyDescent="0.25">
      <c r="A14585" s="75">
        <v>56112110</v>
      </c>
      <c r="B14585" s="76" t="s">
        <v>16707</v>
      </c>
    </row>
    <row r="14586" spans="1:2" x14ac:dyDescent="0.25">
      <c r="A14586" s="75">
        <v>56121001</v>
      </c>
      <c r="B14586" s="76" t="s">
        <v>1410</v>
      </c>
    </row>
    <row r="14587" spans="1:2" x14ac:dyDescent="0.25">
      <c r="A14587" s="75">
        <v>56121002</v>
      </c>
      <c r="B14587" s="76" t="s">
        <v>12576</v>
      </c>
    </row>
    <row r="14588" spans="1:2" x14ac:dyDescent="0.25">
      <c r="A14588" s="75">
        <v>56121003</v>
      </c>
      <c r="B14588" s="76" t="s">
        <v>19074</v>
      </c>
    </row>
    <row r="14589" spans="1:2" x14ac:dyDescent="0.25">
      <c r="A14589" s="75">
        <v>56121004</v>
      </c>
      <c r="B14589" s="76" t="s">
        <v>2329</v>
      </c>
    </row>
    <row r="14590" spans="1:2" x14ac:dyDescent="0.25">
      <c r="A14590" s="75">
        <v>56121005</v>
      </c>
      <c r="B14590" s="76" t="s">
        <v>11623</v>
      </c>
    </row>
    <row r="14591" spans="1:2" x14ac:dyDescent="0.25">
      <c r="A14591" s="75">
        <v>56121006</v>
      </c>
      <c r="B14591" s="76" t="s">
        <v>962</v>
      </c>
    </row>
    <row r="14592" spans="1:2" x14ac:dyDescent="0.25">
      <c r="A14592" s="75">
        <v>56121007</v>
      </c>
      <c r="B14592" s="76" t="s">
        <v>2448</v>
      </c>
    </row>
    <row r="14593" spans="1:2" x14ac:dyDescent="0.25">
      <c r="A14593" s="75">
        <v>56121008</v>
      </c>
      <c r="B14593" s="76" t="s">
        <v>17959</v>
      </c>
    </row>
    <row r="14594" spans="1:2" x14ac:dyDescent="0.25">
      <c r="A14594" s="75">
        <v>56121009</v>
      </c>
      <c r="B14594" s="76" t="s">
        <v>7176</v>
      </c>
    </row>
    <row r="14595" spans="1:2" x14ac:dyDescent="0.25">
      <c r="A14595" s="75">
        <v>56121010</v>
      </c>
      <c r="B14595" s="76" t="s">
        <v>118</v>
      </c>
    </row>
    <row r="14596" spans="1:2" x14ac:dyDescent="0.25">
      <c r="A14596" s="75">
        <v>56121011</v>
      </c>
      <c r="B14596" s="76" t="s">
        <v>19391</v>
      </c>
    </row>
    <row r="14597" spans="1:2" x14ac:dyDescent="0.25">
      <c r="A14597" s="75">
        <v>56121012</v>
      </c>
      <c r="B14597" s="76" t="s">
        <v>8135</v>
      </c>
    </row>
    <row r="14598" spans="1:2" x14ac:dyDescent="0.25">
      <c r="A14598" s="75">
        <v>56121014</v>
      </c>
      <c r="B14598" s="76" t="s">
        <v>970</v>
      </c>
    </row>
    <row r="14599" spans="1:2" x14ac:dyDescent="0.25">
      <c r="A14599" s="75">
        <v>56121101</v>
      </c>
      <c r="B14599" s="76" t="s">
        <v>2790</v>
      </c>
    </row>
    <row r="14600" spans="1:2" x14ac:dyDescent="0.25">
      <c r="A14600" s="75">
        <v>56121102</v>
      </c>
      <c r="B14600" s="76" t="s">
        <v>11111</v>
      </c>
    </row>
    <row r="14601" spans="1:2" x14ac:dyDescent="0.25">
      <c r="A14601" s="75">
        <v>56121201</v>
      </c>
      <c r="B14601" s="76" t="s">
        <v>3666</v>
      </c>
    </row>
    <row r="14602" spans="1:2" x14ac:dyDescent="0.25">
      <c r="A14602" s="75">
        <v>56121301</v>
      </c>
      <c r="B14602" s="76" t="s">
        <v>12046</v>
      </c>
    </row>
    <row r="14603" spans="1:2" x14ac:dyDescent="0.25">
      <c r="A14603" s="75">
        <v>56121302</v>
      </c>
      <c r="B14603" s="76" t="s">
        <v>12514</v>
      </c>
    </row>
    <row r="14604" spans="1:2" x14ac:dyDescent="0.25">
      <c r="A14604" s="75">
        <v>56121303</v>
      </c>
      <c r="B14604" s="76" t="s">
        <v>15340</v>
      </c>
    </row>
    <row r="14605" spans="1:2" x14ac:dyDescent="0.25">
      <c r="A14605" s="75">
        <v>56121304</v>
      </c>
      <c r="B14605" s="76" t="s">
        <v>1559</v>
      </c>
    </row>
    <row r="14606" spans="1:2" x14ac:dyDescent="0.25">
      <c r="A14606" s="75">
        <v>56121401</v>
      </c>
      <c r="B14606" s="76" t="s">
        <v>5685</v>
      </c>
    </row>
    <row r="14607" spans="1:2" x14ac:dyDescent="0.25">
      <c r="A14607" s="75">
        <v>56121402</v>
      </c>
      <c r="B14607" s="76" t="s">
        <v>10997</v>
      </c>
    </row>
    <row r="14608" spans="1:2" x14ac:dyDescent="0.25">
      <c r="A14608" s="75">
        <v>56121403</v>
      </c>
      <c r="B14608" s="76" t="s">
        <v>12985</v>
      </c>
    </row>
    <row r="14609" spans="1:2" x14ac:dyDescent="0.25">
      <c r="A14609" s="75">
        <v>56121501</v>
      </c>
      <c r="B14609" s="76" t="s">
        <v>17320</v>
      </c>
    </row>
    <row r="14610" spans="1:2" x14ac:dyDescent="0.25">
      <c r="A14610" s="75">
        <v>56121502</v>
      </c>
      <c r="B14610" s="76" t="s">
        <v>14055</v>
      </c>
    </row>
    <row r="14611" spans="1:2" x14ac:dyDescent="0.25">
      <c r="A14611" s="75">
        <v>56121503</v>
      </c>
      <c r="B14611" s="76" t="s">
        <v>8906</v>
      </c>
    </row>
    <row r="14612" spans="1:2" x14ac:dyDescent="0.25">
      <c r="A14612" s="75">
        <v>56121504</v>
      </c>
      <c r="B14612" s="76" t="s">
        <v>4088</v>
      </c>
    </row>
    <row r="14613" spans="1:2" x14ac:dyDescent="0.25">
      <c r="A14613" s="75">
        <v>56121505</v>
      </c>
      <c r="B14613" s="76" t="s">
        <v>5843</v>
      </c>
    </row>
    <row r="14614" spans="1:2" x14ac:dyDescent="0.25">
      <c r="A14614" s="75">
        <v>56121506</v>
      </c>
      <c r="B14614" s="76" t="s">
        <v>18343</v>
      </c>
    </row>
    <row r="14615" spans="1:2" x14ac:dyDescent="0.25">
      <c r="A14615" s="75">
        <v>56121507</v>
      </c>
      <c r="B14615" s="76" t="s">
        <v>13434</v>
      </c>
    </row>
    <row r="14616" spans="1:2" x14ac:dyDescent="0.25">
      <c r="A14616" s="75">
        <v>56121508</v>
      </c>
      <c r="B14616" s="76" t="s">
        <v>17354</v>
      </c>
    </row>
    <row r="14617" spans="1:2" x14ac:dyDescent="0.25">
      <c r="A14617" s="75">
        <v>56121509</v>
      </c>
      <c r="B14617" s="76" t="s">
        <v>19330</v>
      </c>
    </row>
    <row r="14618" spans="1:2" x14ac:dyDescent="0.25">
      <c r="A14618" s="75">
        <v>56121601</v>
      </c>
      <c r="B14618" s="76" t="s">
        <v>15055</v>
      </c>
    </row>
    <row r="14619" spans="1:2" x14ac:dyDescent="0.25">
      <c r="A14619" s="75">
        <v>56121602</v>
      </c>
      <c r="B14619" s="76" t="s">
        <v>19234</v>
      </c>
    </row>
    <row r="14620" spans="1:2" x14ac:dyDescent="0.25">
      <c r="A14620" s="75">
        <v>56121603</v>
      </c>
      <c r="B14620" s="76" t="s">
        <v>17289</v>
      </c>
    </row>
    <row r="14621" spans="1:2" x14ac:dyDescent="0.25">
      <c r="A14621" s="75">
        <v>56121604</v>
      </c>
      <c r="B14621" s="76" t="s">
        <v>13976</v>
      </c>
    </row>
    <row r="14622" spans="1:2" x14ac:dyDescent="0.25">
      <c r="A14622" s="75">
        <v>56121605</v>
      </c>
      <c r="B14622" s="76" t="s">
        <v>2825</v>
      </c>
    </row>
    <row r="14623" spans="1:2" x14ac:dyDescent="0.25">
      <c r="A14623" s="75">
        <v>56121606</v>
      </c>
      <c r="B14623" s="76" t="s">
        <v>5435</v>
      </c>
    </row>
    <row r="14624" spans="1:2" x14ac:dyDescent="0.25">
      <c r="A14624" s="75">
        <v>56121607</v>
      </c>
      <c r="B14624" s="76" t="s">
        <v>9083</v>
      </c>
    </row>
    <row r="14625" spans="1:2" x14ac:dyDescent="0.25">
      <c r="A14625" s="75">
        <v>56121608</v>
      </c>
      <c r="B14625" s="76" t="s">
        <v>11899</v>
      </c>
    </row>
    <row r="14626" spans="1:2" x14ac:dyDescent="0.25">
      <c r="A14626" s="75">
        <v>56121609</v>
      </c>
      <c r="B14626" s="76" t="s">
        <v>3446</v>
      </c>
    </row>
    <row r="14627" spans="1:2" x14ac:dyDescent="0.25">
      <c r="A14627" s="75">
        <v>56121610</v>
      </c>
      <c r="B14627" s="76" t="s">
        <v>12091</v>
      </c>
    </row>
    <row r="14628" spans="1:2" x14ac:dyDescent="0.25">
      <c r="A14628" s="75">
        <v>56121701</v>
      </c>
      <c r="B14628" s="76" t="s">
        <v>10650</v>
      </c>
    </row>
    <row r="14629" spans="1:2" x14ac:dyDescent="0.25">
      <c r="A14629" s="75">
        <v>56121702</v>
      </c>
      <c r="B14629" s="76" t="s">
        <v>15511</v>
      </c>
    </row>
    <row r="14630" spans="1:2" x14ac:dyDescent="0.25">
      <c r="A14630" s="75">
        <v>56121703</v>
      </c>
      <c r="B14630" s="76" t="s">
        <v>12586</v>
      </c>
    </row>
    <row r="14631" spans="1:2" x14ac:dyDescent="0.25">
      <c r="A14631" s="75">
        <v>56121704</v>
      </c>
      <c r="B14631" s="76" t="s">
        <v>8893</v>
      </c>
    </row>
    <row r="14632" spans="1:2" x14ac:dyDescent="0.25">
      <c r="A14632" s="75">
        <v>56121801</v>
      </c>
      <c r="B14632" s="76" t="s">
        <v>5302</v>
      </c>
    </row>
    <row r="14633" spans="1:2" x14ac:dyDescent="0.25">
      <c r="A14633" s="75">
        <v>56121802</v>
      </c>
      <c r="B14633" s="76" t="s">
        <v>17792</v>
      </c>
    </row>
    <row r="14634" spans="1:2" x14ac:dyDescent="0.25">
      <c r="A14634" s="75">
        <v>56121803</v>
      </c>
      <c r="B14634" s="76" t="s">
        <v>2302</v>
      </c>
    </row>
    <row r="14635" spans="1:2" x14ac:dyDescent="0.25">
      <c r="A14635" s="75">
        <v>56121804</v>
      </c>
      <c r="B14635" s="76" t="s">
        <v>8182</v>
      </c>
    </row>
    <row r="14636" spans="1:2" x14ac:dyDescent="0.25">
      <c r="A14636" s="75">
        <v>56121805</v>
      </c>
      <c r="B14636" s="76" t="s">
        <v>3359</v>
      </c>
    </row>
    <row r="14637" spans="1:2" x14ac:dyDescent="0.25">
      <c r="A14637" s="75">
        <v>56121901</v>
      </c>
      <c r="B14637" s="76" t="s">
        <v>15838</v>
      </c>
    </row>
    <row r="14638" spans="1:2" x14ac:dyDescent="0.25">
      <c r="A14638" s="75">
        <v>56122001</v>
      </c>
      <c r="B14638" s="76" t="s">
        <v>2732</v>
      </c>
    </row>
    <row r="14639" spans="1:2" x14ac:dyDescent="0.25">
      <c r="A14639" s="75">
        <v>56122002</v>
      </c>
      <c r="B14639" s="76" t="s">
        <v>19527</v>
      </c>
    </row>
    <row r="14640" spans="1:2" x14ac:dyDescent="0.25">
      <c r="A14640" s="75">
        <v>56122003</v>
      </c>
      <c r="B14640" s="76" t="s">
        <v>9819</v>
      </c>
    </row>
    <row r="14641" spans="1:2" x14ac:dyDescent="0.25">
      <c r="A14641" s="75">
        <v>56122004</v>
      </c>
      <c r="B14641" s="76" t="s">
        <v>12497</v>
      </c>
    </row>
    <row r="14642" spans="1:2" x14ac:dyDescent="0.25">
      <c r="A14642" s="75">
        <v>60101001</v>
      </c>
      <c r="B14642" s="76" t="s">
        <v>13184</v>
      </c>
    </row>
    <row r="14643" spans="1:2" x14ac:dyDescent="0.25">
      <c r="A14643" s="75">
        <v>60101002</v>
      </c>
      <c r="B14643" s="76" t="s">
        <v>17459</v>
      </c>
    </row>
    <row r="14644" spans="1:2" x14ac:dyDescent="0.25">
      <c r="A14644" s="75">
        <v>60101003</v>
      </c>
      <c r="B14644" s="76" t="s">
        <v>6568</v>
      </c>
    </row>
    <row r="14645" spans="1:2" x14ac:dyDescent="0.25">
      <c r="A14645" s="75">
        <v>60101004</v>
      </c>
      <c r="B14645" s="76" t="s">
        <v>3728</v>
      </c>
    </row>
    <row r="14646" spans="1:2" x14ac:dyDescent="0.25">
      <c r="A14646" s="75">
        <v>60101005</v>
      </c>
      <c r="B14646" s="76" t="s">
        <v>2245</v>
      </c>
    </row>
    <row r="14647" spans="1:2" x14ac:dyDescent="0.25">
      <c r="A14647" s="75">
        <v>60101006</v>
      </c>
      <c r="B14647" s="76" t="s">
        <v>3693</v>
      </c>
    </row>
    <row r="14648" spans="1:2" x14ac:dyDescent="0.25">
      <c r="A14648" s="75">
        <v>60101007</v>
      </c>
      <c r="B14648" s="76" t="s">
        <v>3128</v>
      </c>
    </row>
    <row r="14649" spans="1:2" x14ac:dyDescent="0.25">
      <c r="A14649" s="75">
        <v>60101008</v>
      </c>
      <c r="B14649" s="76" t="s">
        <v>6449</v>
      </c>
    </row>
    <row r="14650" spans="1:2" x14ac:dyDescent="0.25">
      <c r="A14650" s="75">
        <v>60101009</v>
      </c>
      <c r="B14650" s="76" t="s">
        <v>10700</v>
      </c>
    </row>
    <row r="14651" spans="1:2" x14ac:dyDescent="0.25">
      <c r="A14651" s="75">
        <v>60101010</v>
      </c>
      <c r="B14651" s="76" t="s">
        <v>5792</v>
      </c>
    </row>
    <row r="14652" spans="1:2" x14ac:dyDescent="0.25">
      <c r="A14652" s="75">
        <v>60101101</v>
      </c>
      <c r="B14652" s="76" t="s">
        <v>1092</v>
      </c>
    </row>
    <row r="14653" spans="1:2" x14ac:dyDescent="0.25">
      <c r="A14653" s="75">
        <v>60101102</v>
      </c>
      <c r="B14653" s="76" t="s">
        <v>13503</v>
      </c>
    </row>
    <row r="14654" spans="1:2" x14ac:dyDescent="0.25">
      <c r="A14654" s="75">
        <v>60101103</v>
      </c>
      <c r="B14654" s="76" t="s">
        <v>18490</v>
      </c>
    </row>
    <row r="14655" spans="1:2" x14ac:dyDescent="0.25">
      <c r="A14655" s="75">
        <v>60101104</v>
      </c>
      <c r="B14655" s="76" t="s">
        <v>4774</v>
      </c>
    </row>
    <row r="14656" spans="1:2" x14ac:dyDescent="0.25">
      <c r="A14656" s="75">
        <v>60101201</v>
      </c>
      <c r="B14656" s="76" t="s">
        <v>2869</v>
      </c>
    </row>
    <row r="14657" spans="1:2" x14ac:dyDescent="0.25">
      <c r="A14657" s="75">
        <v>60101202</v>
      </c>
      <c r="B14657" s="76" t="s">
        <v>14533</v>
      </c>
    </row>
    <row r="14658" spans="1:2" x14ac:dyDescent="0.25">
      <c r="A14658" s="75">
        <v>60101203</v>
      </c>
      <c r="B14658" s="76" t="s">
        <v>14301</v>
      </c>
    </row>
    <row r="14659" spans="1:2" x14ac:dyDescent="0.25">
      <c r="A14659" s="75">
        <v>60101204</v>
      </c>
      <c r="B14659" s="76" t="s">
        <v>16512</v>
      </c>
    </row>
    <row r="14660" spans="1:2" x14ac:dyDescent="0.25">
      <c r="A14660" s="75">
        <v>60101205</v>
      </c>
      <c r="B14660" s="76" t="s">
        <v>6213</v>
      </c>
    </row>
    <row r="14661" spans="1:2" x14ac:dyDescent="0.25">
      <c r="A14661" s="75">
        <v>60101301</v>
      </c>
      <c r="B14661" s="76" t="s">
        <v>2191</v>
      </c>
    </row>
    <row r="14662" spans="1:2" x14ac:dyDescent="0.25">
      <c r="A14662" s="75">
        <v>60101302</v>
      </c>
      <c r="B14662" s="76" t="s">
        <v>20070</v>
      </c>
    </row>
    <row r="14663" spans="1:2" x14ac:dyDescent="0.25">
      <c r="A14663" s="75">
        <v>60101304</v>
      </c>
      <c r="B14663" s="76" t="s">
        <v>19016</v>
      </c>
    </row>
    <row r="14664" spans="1:2" x14ac:dyDescent="0.25">
      <c r="A14664" s="75">
        <v>60101305</v>
      </c>
      <c r="B14664" s="76" t="s">
        <v>18768</v>
      </c>
    </row>
    <row r="14665" spans="1:2" x14ac:dyDescent="0.25">
      <c r="A14665" s="75">
        <v>60101306</v>
      </c>
      <c r="B14665" s="76" t="s">
        <v>10034</v>
      </c>
    </row>
    <row r="14666" spans="1:2" x14ac:dyDescent="0.25">
      <c r="A14666" s="75">
        <v>60101307</v>
      </c>
      <c r="B14666" s="76" t="s">
        <v>17506</v>
      </c>
    </row>
    <row r="14667" spans="1:2" x14ac:dyDescent="0.25">
      <c r="A14667" s="75">
        <v>60101308</v>
      </c>
      <c r="B14667" s="76" t="s">
        <v>1830</v>
      </c>
    </row>
    <row r="14668" spans="1:2" x14ac:dyDescent="0.25">
      <c r="A14668" s="75">
        <v>60101309</v>
      </c>
      <c r="B14668" s="76" t="s">
        <v>596</v>
      </c>
    </row>
    <row r="14669" spans="1:2" x14ac:dyDescent="0.25">
      <c r="A14669" s="75">
        <v>60101310</v>
      </c>
      <c r="B14669" s="76" t="s">
        <v>14456</v>
      </c>
    </row>
    <row r="14670" spans="1:2" x14ac:dyDescent="0.25">
      <c r="A14670" s="75">
        <v>60101311</v>
      </c>
      <c r="B14670" s="76" t="s">
        <v>12532</v>
      </c>
    </row>
    <row r="14671" spans="1:2" x14ac:dyDescent="0.25">
      <c r="A14671" s="75">
        <v>60101312</v>
      </c>
      <c r="B14671" s="76" t="s">
        <v>19399</v>
      </c>
    </row>
    <row r="14672" spans="1:2" x14ac:dyDescent="0.25">
      <c r="A14672" s="75">
        <v>60101313</v>
      </c>
      <c r="B14672" s="76" t="s">
        <v>18564</v>
      </c>
    </row>
    <row r="14673" spans="1:2" x14ac:dyDescent="0.25">
      <c r="A14673" s="75">
        <v>60101314</v>
      </c>
      <c r="B14673" s="76" t="s">
        <v>15442</v>
      </c>
    </row>
    <row r="14674" spans="1:2" x14ac:dyDescent="0.25">
      <c r="A14674" s="75">
        <v>60101315</v>
      </c>
      <c r="B14674" s="76" t="s">
        <v>7439</v>
      </c>
    </row>
    <row r="14675" spans="1:2" x14ac:dyDescent="0.25">
      <c r="A14675" s="75">
        <v>60101316</v>
      </c>
      <c r="B14675" s="76" t="s">
        <v>16883</v>
      </c>
    </row>
    <row r="14676" spans="1:2" x14ac:dyDescent="0.25">
      <c r="A14676" s="75">
        <v>60101317</v>
      </c>
      <c r="B14676" s="76" t="s">
        <v>11151</v>
      </c>
    </row>
    <row r="14677" spans="1:2" x14ac:dyDescent="0.25">
      <c r="A14677" s="75">
        <v>60101318</v>
      </c>
      <c r="B14677" s="76" t="s">
        <v>475</v>
      </c>
    </row>
    <row r="14678" spans="1:2" x14ac:dyDescent="0.25">
      <c r="A14678" s="75">
        <v>60101319</v>
      </c>
      <c r="B14678" s="76" t="s">
        <v>5059</v>
      </c>
    </row>
    <row r="14679" spans="1:2" x14ac:dyDescent="0.25">
      <c r="A14679" s="75">
        <v>60101320</v>
      </c>
      <c r="B14679" s="76" t="s">
        <v>10597</v>
      </c>
    </row>
    <row r="14680" spans="1:2" x14ac:dyDescent="0.25">
      <c r="A14680" s="75">
        <v>60101321</v>
      </c>
      <c r="B14680" s="76" t="s">
        <v>7528</v>
      </c>
    </row>
    <row r="14681" spans="1:2" x14ac:dyDescent="0.25">
      <c r="A14681" s="75">
        <v>60101322</v>
      </c>
      <c r="B14681" s="76" t="s">
        <v>19313</v>
      </c>
    </row>
    <row r="14682" spans="1:2" x14ac:dyDescent="0.25">
      <c r="A14682" s="75">
        <v>60101323</v>
      </c>
      <c r="B14682" s="76" t="s">
        <v>12971</v>
      </c>
    </row>
    <row r="14683" spans="1:2" x14ac:dyDescent="0.25">
      <c r="A14683" s="75">
        <v>60101324</v>
      </c>
      <c r="B14683" s="76" t="s">
        <v>9300</v>
      </c>
    </row>
    <row r="14684" spans="1:2" x14ac:dyDescent="0.25">
      <c r="A14684" s="75">
        <v>60101325</v>
      </c>
      <c r="B14684" s="76" t="s">
        <v>4457</v>
      </c>
    </row>
    <row r="14685" spans="1:2" x14ac:dyDescent="0.25">
      <c r="A14685" s="75">
        <v>60101326</v>
      </c>
      <c r="B14685" s="76" t="s">
        <v>17348</v>
      </c>
    </row>
    <row r="14686" spans="1:2" x14ac:dyDescent="0.25">
      <c r="A14686" s="75">
        <v>60101327</v>
      </c>
      <c r="B14686" s="76" t="s">
        <v>13733</v>
      </c>
    </row>
    <row r="14687" spans="1:2" x14ac:dyDescent="0.25">
      <c r="A14687" s="75">
        <v>60101328</v>
      </c>
      <c r="B14687" s="76" t="s">
        <v>7294</v>
      </c>
    </row>
    <row r="14688" spans="1:2" x14ac:dyDescent="0.25">
      <c r="A14688" s="75">
        <v>60101329</v>
      </c>
      <c r="B14688" s="76" t="s">
        <v>10196</v>
      </c>
    </row>
    <row r="14689" spans="1:2" x14ac:dyDescent="0.25">
      <c r="A14689" s="75">
        <v>60101330</v>
      </c>
      <c r="B14689" s="76" t="s">
        <v>15497</v>
      </c>
    </row>
    <row r="14690" spans="1:2" x14ac:dyDescent="0.25">
      <c r="A14690" s="75">
        <v>60101331</v>
      </c>
      <c r="B14690" s="76" t="s">
        <v>17672</v>
      </c>
    </row>
    <row r="14691" spans="1:2" x14ac:dyDescent="0.25">
      <c r="A14691" s="75">
        <v>60101401</v>
      </c>
      <c r="B14691" s="76" t="s">
        <v>10056</v>
      </c>
    </row>
    <row r="14692" spans="1:2" x14ac:dyDescent="0.25">
      <c r="A14692" s="75">
        <v>60101402</v>
      </c>
      <c r="B14692" s="76" t="s">
        <v>14241</v>
      </c>
    </row>
    <row r="14693" spans="1:2" x14ac:dyDescent="0.25">
      <c r="A14693" s="75">
        <v>60101403</v>
      </c>
      <c r="B14693" s="76" t="s">
        <v>13704</v>
      </c>
    </row>
    <row r="14694" spans="1:2" x14ac:dyDescent="0.25">
      <c r="A14694" s="75">
        <v>60101404</v>
      </c>
      <c r="B14694" s="76" t="s">
        <v>7561</v>
      </c>
    </row>
    <row r="14695" spans="1:2" x14ac:dyDescent="0.25">
      <c r="A14695" s="75">
        <v>60101405</v>
      </c>
      <c r="B14695" s="76" t="s">
        <v>6636</v>
      </c>
    </row>
    <row r="14696" spans="1:2" x14ac:dyDescent="0.25">
      <c r="A14696" s="75">
        <v>60101601</v>
      </c>
      <c r="B14696" s="76" t="s">
        <v>11758</v>
      </c>
    </row>
    <row r="14697" spans="1:2" x14ac:dyDescent="0.25">
      <c r="A14697" s="75">
        <v>60101602</v>
      </c>
      <c r="B14697" s="76" t="s">
        <v>10158</v>
      </c>
    </row>
    <row r="14698" spans="1:2" x14ac:dyDescent="0.25">
      <c r="A14698" s="75">
        <v>60101603</v>
      </c>
      <c r="B14698" s="76" t="s">
        <v>8717</v>
      </c>
    </row>
    <row r="14699" spans="1:2" x14ac:dyDescent="0.25">
      <c r="A14699" s="75">
        <v>60101604</v>
      </c>
      <c r="B14699" s="76" t="s">
        <v>17727</v>
      </c>
    </row>
    <row r="14700" spans="1:2" x14ac:dyDescent="0.25">
      <c r="A14700" s="75">
        <v>60101605</v>
      </c>
      <c r="B14700" s="76" t="s">
        <v>3658</v>
      </c>
    </row>
    <row r="14701" spans="1:2" x14ac:dyDescent="0.25">
      <c r="A14701" s="75">
        <v>60101606</v>
      </c>
      <c r="B14701" s="76" t="s">
        <v>13836</v>
      </c>
    </row>
    <row r="14702" spans="1:2" x14ac:dyDescent="0.25">
      <c r="A14702" s="75">
        <v>60101607</v>
      </c>
      <c r="B14702" s="76" t="s">
        <v>17716</v>
      </c>
    </row>
    <row r="14703" spans="1:2" x14ac:dyDescent="0.25">
      <c r="A14703" s="75">
        <v>60101608</v>
      </c>
      <c r="B14703" s="76" t="s">
        <v>13458</v>
      </c>
    </row>
    <row r="14704" spans="1:2" x14ac:dyDescent="0.25">
      <c r="A14704" s="75">
        <v>60101609</v>
      </c>
      <c r="B14704" s="76" t="s">
        <v>2757</v>
      </c>
    </row>
    <row r="14705" spans="1:2" x14ac:dyDescent="0.25">
      <c r="A14705" s="75">
        <v>60101610</v>
      </c>
      <c r="B14705" s="76" t="s">
        <v>11055</v>
      </c>
    </row>
    <row r="14706" spans="1:2" x14ac:dyDescent="0.25">
      <c r="A14706" s="75">
        <v>60101701</v>
      </c>
      <c r="B14706" s="76" t="s">
        <v>19468</v>
      </c>
    </row>
    <row r="14707" spans="1:2" x14ac:dyDescent="0.25">
      <c r="A14707" s="75">
        <v>60101702</v>
      </c>
      <c r="B14707" s="76" t="s">
        <v>15169</v>
      </c>
    </row>
    <row r="14708" spans="1:2" x14ac:dyDescent="0.25">
      <c r="A14708" s="75">
        <v>60101703</v>
      </c>
      <c r="B14708" s="76" t="s">
        <v>1292</v>
      </c>
    </row>
    <row r="14709" spans="1:2" x14ac:dyDescent="0.25">
      <c r="A14709" s="75">
        <v>60101704</v>
      </c>
      <c r="B14709" s="76" t="s">
        <v>2703</v>
      </c>
    </row>
    <row r="14710" spans="1:2" x14ac:dyDescent="0.25">
      <c r="A14710" s="75">
        <v>60101705</v>
      </c>
      <c r="B14710" s="76" t="s">
        <v>16755</v>
      </c>
    </row>
    <row r="14711" spans="1:2" x14ac:dyDescent="0.25">
      <c r="A14711" s="75">
        <v>60101706</v>
      </c>
      <c r="B14711" s="76" t="s">
        <v>6101</v>
      </c>
    </row>
    <row r="14712" spans="1:2" x14ac:dyDescent="0.25">
      <c r="A14712" s="75">
        <v>60101707</v>
      </c>
      <c r="B14712" s="76" t="s">
        <v>349</v>
      </c>
    </row>
    <row r="14713" spans="1:2" x14ac:dyDescent="0.25">
      <c r="A14713" s="75">
        <v>60101708</v>
      </c>
      <c r="B14713" s="76" t="s">
        <v>4443</v>
      </c>
    </row>
    <row r="14714" spans="1:2" x14ac:dyDescent="0.25">
      <c r="A14714" s="75">
        <v>60101709</v>
      </c>
      <c r="B14714" s="76" t="s">
        <v>7799</v>
      </c>
    </row>
    <row r="14715" spans="1:2" x14ac:dyDescent="0.25">
      <c r="A14715" s="75">
        <v>60101710</v>
      </c>
      <c r="B14715" s="76" t="s">
        <v>9084</v>
      </c>
    </row>
    <row r="14716" spans="1:2" x14ac:dyDescent="0.25">
      <c r="A14716" s="75">
        <v>60101711</v>
      </c>
      <c r="B14716" s="76" t="s">
        <v>3388</v>
      </c>
    </row>
    <row r="14717" spans="1:2" x14ac:dyDescent="0.25">
      <c r="A14717" s="75">
        <v>60101712</v>
      </c>
      <c r="B14717" s="76" t="s">
        <v>9167</v>
      </c>
    </row>
    <row r="14718" spans="1:2" x14ac:dyDescent="0.25">
      <c r="A14718" s="75">
        <v>60101713</v>
      </c>
      <c r="B14718" s="76" t="s">
        <v>9591</v>
      </c>
    </row>
    <row r="14719" spans="1:2" x14ac:dyDescent="0.25">
      <c r="A14719" s="75">
        <v>60101714</v>
      </c>
      <c r="B14719" s="76" t="s">
        <v>13937</v>
      </c>
    </row>
    <row r="14720" spans="1:2" x14ac:dyDescent="0.25">
      <c r="A14720" s="75">
        <v>60101715</v>
      </c>
      <c r="B14720" s="76" t="s">
        <v>18422</v>
      </c>
    </row>
    <row r="14721" spans="1:2" x14ac:dyDescent="0.25">
      <c r="A14721" s="75">
        <v>60101716</v>
      </c>
      <c r="B14721" s="76" t="s">
        <v>11626</v>
      </c>
    </row>
    <row r="14722" spans="1:2" x14ac:dyDescent="0.25">
      <c r="A14722" s="75">
        <v>60101717</v>
      </c>
      <c r="B14722" s="76" t="s">
        <v>9769</v>
      </c>
    </row>
    <row r="14723" spans="1:2" x14ac:dyDescent="0.25">
      <c r="A14723" s="75">
        <v>60101718</v>
      </c>
      <c r="B14723" s="76" t="s">
        <v>942</v>
      </c>
    </row>
    <row r="14724" spans="1:2" x14ac:dyDescent="0.25">
      <c r="A14724" s="75">
        <v>60101719</v>
      </c>
      <c r="B14724" s="76" t="s">
        <v>18890</v>
      </c>
    </row>
    <row r="14725" spans="1:2" x14ac:dyDescent="0.25">
      <c r="A14725" s="75">
        <v>60101720</v>
      </c>
      <c r="B14725" s="76" t="s">
        <v>5325</v>
      </c>
    </row>
    <row r="14726" spans="1:2" x14ac:dyDescent="0.25">
      <c r="A14726" s="75">
        <v>60101721</v>
      </c>
      <c r="B14726" s="76" t="s">
        <v>16977</v>
      </c>
    </row>
    <row r="14727" spans="1:2" x14ac:dyDescent="0.25">
      <c r="A14727" s="75">
        <v>60101722</v>
      </c>
      <c r="B14727" s="76" t="s">
        <v>19171</v>
      </c>
    </row>
    <row r="14728" spans="1:2" x14ac:dyDescent="0.25">
      <c r="A14728" s="75">
        <v>60101723</v>
      </c>
      <c r="B14728" s="76" t="s">
        <v>4621</v>
      </c>
    </row>
    <row r="14729" spans="1:2" x14ac:dyDescent="0.25">
      <c r="A14729" s="75">
        <v>60101724</v>
      </c>
      <c r="B14729" s="76" t="s">
        <v>19411</v>
      </c>
    </row>
    <row r="14730" spans="1:2" x14ac:dyDescent="0.25">
      <c r="A14730" s="75">
        <v>60101725</v>
      </c>
      <c r="B14730" s="76" t="s">
        <v>9505</v>
      </c>
    </row>
    <row r="14731" spans="1:2" x14ac:dyDescent="0.25">
      <c r="A14731" s="75">
        <v>60101726</v>
      </c>
      <c r="B14731" s="76" t="s">
        <v>14852</v>
      </c>
    </row>
    <row r="14732" spans="1:2" x14ac:dyDescent="0.25">
      <c r="A14732" s="75">
        <v>60101727</v>
      </c>
      <c r="B14732" s="76" t="s">
        <v>772</v>
      </c>
    </row>
    <row r="14733" spans="1:2" x14ac:dyDescent="0.25">
      <c r="A14733" s="75">
        <v>60101728</v>
      </c>
      <c r="B14733" s="76" t="s">
        <v>9643</v>
      </c>
    </row>
    <row r="14734" spans="1:2" x14ac:dyDescent="0.25">
      <c r="A14734" s="75">
        <v>60101729</v>
      </c>
      <c r="B14734" s="76" t="s">
        <v>16477</v>
      </c>
    </row>
    <row r="14735" spans="1:2" x14ac:dyDescent="0.25">
      <c r="A14735" s="75">
        <v>60101730</v>
      </c>
      <c r="B14735" s="76" t="s">
        <v>5600</v>
      </c>
    </row>
    <row r="14736" spans="1:2" x14ac:dyDescent="0.25">
      <c r="A14736" s="75">
        <v>60101731</v>
      </c>
      <c r="B14736" s="76" t="s">
        <v>11784</v>
      </c>
    </row>
    <row r="14737" spans="1:2" x14ac:dyDescent="0.25">
      <c r="A14737" s="75">
        <v>60101732</v>
      </c>
      <c r="B14737" s="76" t="s">
        <v>17941</v>
      </c>
    </row>
    <row r="14738" spans="1:2" x14ac:dyDescent="0.25">
      <c r="A14738" s="75">
        <v>60101801</v>
      </c>
      <c r="B14738" s="76" t="s">
        <v>9511</v>
      </c>
    </row>
    <row r="14739" spans="1:2" x14ac:dyDescent="0.25">
      <c r="A14739" s="75">
        <v>60101802</v>
      </c>
      <c r="B14739" s="76" t="s">
        <v>3378</v>
      </c>
    </row>
    <row r="14740" spans="1:2" x14ac:dyDescent="0.25">
      <c r="A14740" s="75">
        <v>60101803</v>
      </c>
      <c r="B14740" s="76" t="s">
        <v>1003</v>
      </c>
    </row>
    <row r="14741" spans="1:2" x14ac:dyDescent="0.25">
      <c r="A14741" s="75">
        <v>60101804</v>
      </c>
      <c r="B14741" s="76" t="s">
        <v>6387</v>
      </c>
    </row>
    <row r="14742" spans="1:2" x14ac:dyDescent="0.25">
      <c r="A14742" s="75">
        <v>60101805</v>
      </c>
      <c r="B14742" s="76" t="s">
        <v>9937</v>
      </c>
    </row>
    <row r="14743" spans="1:2" x14ac:dyDescent="0.25">
      <c r="A14743" s="75">
        <v>60101806</v>
      </c>
      <c r="B14743" s="76" t="s">
        <v>17376</v>
      </c>
    </row>
    <row r="14744" spans="1:2" x14ac:dyDescent="0.25">
      <c r="A14744" s="75">
        <v>60101807</v>
      </c>
      <c r="B14744" s="76" t="s">
        <v>9143</v>
      </c>
    </row>
    <row r="14745" spans="1:2" x14ac:dyDescent="0.25">
      <c r="A14745" s="75">
        <v>60101808</v>
      </c>
      <c r="B14745" s="76" t="s">
        <v>1724</v>
      </c>
    </row>
    <row r="14746" spans="1:2" x14ac:dyDescent="0.25">
      <c r="A14746" s="75">
        <v>60101809</v>
      </c>
      <c r="B14746" s="76" t="s">
        <v>7835</v>
      </c>
    </row>
    <row r="14747" spans="1:2" x14ac:dyDescent="0.25">
      <c r="A14747" s="75">
        <v>60101810</v>
      </c>
      <c r="B14747" s="76" t="s">
        <v>14708</v>
      </c>
    </row>
    <row r="14748" spans="1:2" x14ac:dyDescent="0.25">
      <c r="A14748" s="75">
        <v>60101811</v>
      </c>
      <c r="B14748" s="76" t="s">
        <v>13299</v>
      </c>
    </row>
    <row r="14749" spans="1:2" x14ac:dyDescent="0.25">
      <c r="A14749" s="75">
        <v>60101901</v>
      </c>
      <c r="B14749" s="76" t="s">
        <v>1896</v>
      </c>
    </row>
    <row r="14750" spans="1:2" x14ac:dyDescent="0.25">
      <c r="A14750" s="75">
        <v>60101902</v>
      </c>
      <c r="B14750" s="76" t="s">
        <v>11497</v>
      </c>
    </row>
    <row r="14751" spans="1:2" x14ac:dyDescent="0.25">
      <c r="A14751" s="75">
        <v>60101903</v>
      </c>
      <c r="B14751" s="76" t="s">
        <v>4489</v>
      </c>
    </row>
    <row r="14752" spans="1:2" x14ac:dyDescent="0.25">
      <c r="A14752" s="75">
        <v>60101904</v>
      </c>
      <c r="B14752" s="76" t="s">
        <v>10888</v>
      </c>
    </row>
    <row r="14753" spans="1:2" x14ac:dyDescent="0.25">
      <c r="A14753" s="75">
        <v>60101905</v>
      </c>
      <c r="B14753" s="76" t="s">
        <v>15458</v>
      </c>
    </row>
    <row r="14754" spans="1:2" x14ac:dyDescent="0.25">
      <c r="A14754" s="75">
        <v>60101906</v>
      </c>
      <c r="B14754" s="76" t="s">
        <v>19389</v>
      </c>
    </row>
    <row r="14755" spans="1:2" x14ac:dyDescent="0.25">
      <c r="A14755" s="75">
        <v>60101907</v>
      </c>
      <c r="B14755" s="76" t="s">
        <v>14788</v>
      </c>
    </row>
    <row r="14756" spans="1:2" x14ac:dyDescent="0.25">
      <c r="A14756" s="75">
        <v>60101908</v>
      </c>
      <c r="B14756" s="76" t="s">
        <v>7614</v>
      </c>
    </row>
    <row r="14757" spans="1:2" x14ac:dyDescent="0.25">
      <c r="A14757" s="75">
        <v>60101909</v>
      </c>
      <c r="B14757" s="76" t="s">
        <v>11842</v>
      </c>
    </row>
    <row r="14758" spans="1:2" x14ac:dyDescent="0.25">
      <c r="A14758" s="75">
        <v>60101910</v>
      </c>
      <c r="B14758" s="76" t="s">
        <v>2550</v>
      </c>
    </row>
    <row r="14759" spans="1:2" x14ac:dyDescent="0.25">
      <c r="A14759" s="75">
        <v>60101911</v>
      </c>
      <c r="B14759" s="76" t="s">
        <v>5523</v>
      </c>
    </row>
    <row r="14760" spans="1:2" x14ac:dyDescent="0.25">
      <c r="A14760" s="75">
        <v>60102001</v>
      </c>
      <c r="B14760" s="76" t="s">
        <v>11469</v>
      </c>
    </row>
    <row r="14761" spans="1:2" x14ac:dyDescent="0.25">
      <c r="A14761" s="75">
        <v>60102002</v>
      </c>
      <c r="B14761" s="76" t="s">
        <v>3745</v>
      </c>
    </row>
    <row r="14762" spans="1:2" x14ac:dyDescent="0.25">
      <c r="A14762" s="75">
        <v>60102003</v>
      </c>
      <c r="B14762" s="76" t="s">
        <v>4754</v>
      </c>
    </row>
    <row r="14763" spans="1:2" x14ac:dyDescent="0.25">
      <c r="A14763" s="75">
        <v>60102004</v>
      </c>
      <c r="B14763" s="76" t="s">
        <v>8943</v>
      </c>
    </row>
    <row r="14764" spans="1:2" x14ac:dyDescent="0.25">
      <c r="A14764" s="75">
        <v>60102005</v>
      </c>
      <c r="B14764" s="76" t="s">
        <v>17296</v>
      </c>
    </row>
    <row r="14765" spans="1:2" x14ac:dyDescent="0.25">
      <c r="A14765" s="75">
        <v>60102006</v>
      </c>
      <c r="B14765" s="76" t="s">
        <v>15285</v>
      </c>
    </row>
    <row r="14766" spans="1:2" x14ac:dyDescent="0.25">
      <c r="A14766" s="75">
        <v>60102007</v>
      </c>
      <c r="B14766" s="76" t="s">
        <v>1428</v>
      </c>
    </row>
    <row r="14767" spans="1:2" x14ac:dyDescent="0.25">
      <c r="A14767" s="75">
        <v>60102101</v>
      </c>
      <c r="B14767" s="76" t="s">
        <v>2913</v>
      </c>
    </row>
    <row r="14768" spans="1:2" x14ac:dyDescent="0.25">
      <c r="A14768" s="75">
        <v>60102102</v>
      </c>
      <c r="B14768" s="76" t="s">
        <v>18140</v>
      </c>
    </row>
    <row r="14769" spans="1:2" x14ac:dyDescent="0.25">
      <c r="A14769" s="75">
        <v>60102103</v>
      </c>
      <c r="B14769" s="76" t="s">
        <v>1297</v>
      </c>
    </row>
    <row r="14770" spans="1:2" x14ac:dyDescent="0.25">
      <c r="A14770" s="75">
        <v>60102104</v>
      </c>
      <c r="B14770" s="76" t="s">
        <v>7943</v>
      </c>
    </row>
    <row r="14771" spans="1:2" x14ac:dyDescent="0.25">
      <c r="A14771" s="75">
        <v>60102105</v>
      </c>
      <c r="B14771" s="76" t="s">
        <v>9213</v>
      </c>
    </row>
    <row r="14772" spans="1:2" x14ac:dyDescent="0.25">
      <c r="A14772" s="75">
        <v>60102106</v>
      </c>
      <c r="B14772" s="76" t="s">
        <v>1825</v>
      </c>
    </row>
    <row r="14773" spans="1:2" x14ac:dyDescent="0.25">
      <c r="A14773" s="75">
        <v>60102201</v>
      </c>
      <c r="B14773" s="76" t="s">
        <v>456</v>
      </c>
    </row>
    <row r="14774" spans="1:2" x14ac:dyDescent="0.25">
      <c r="A14774" s="75">
        <v>60102202</v>
      </c>
      <c r="B14774" s="76" t="s">
        <v>16149</v>
      </c>
    </row>
    <row r="14775" spans="1:2" x14ac:dyDescent="0.25">
      <c r="A14775" s="75">
        <v>60102203</v>
      </c>
      <c r="B14775" s="76" t="s">
        <v>7155</v>
      </c>
    </row>
    <row r="14776" spans="1:2" x14ac:dyDescent="0.25">
      <c r="A14776" s="75">
        <v>60102204</v>
      </c>
      <c r="B14776" s="76" t="s">
        <v>4542</v>
      </c>
    </row>
    <row r="14777" spans="1:2" x14ac:dyDescent="0.25">
      <c r="A14777" s="75">
        <v>60102205</v>
      </c>
      <c r="B14777" s="76" t="s">
        <v>4968</v>
      </c>
    </row>
    <row r="14778" spans="1:2" x14ac:dyDescent="0.25">
      <c r="A14778" s="75">
        <v>60102206</v>
      </c>
      <c r="B14778" s="76" t="s">
        <v>12781</v>
      </c>
    </row>
    <row r="14779" spans="1:2" x14ac:dyDescent="0.25">
      <c r="A14779" s="75">
        <v>60102301</v>
      </c>
      <c r="B14779" s="76" t="s">
        <v>14999</v>
      </c>
    </row>
    <row r="14780" spans="1:2" x14ac:dyDescent="0.25">
      <c r="A14780" s="75">
        <v>60102302</v>
      </c>
      <c r="B14780" s="76" t="s">
        <v>8871</v>
      </c>
    </row>
    <row r="14781" spans="1:2" x14ac:dyDescent="0.25">
      <c r="A14781" s="75">
        <v>60102303</v>
      </c>
      <c r="B14781" s="76" t="s">
        <v>7263</v>
      </c>
    </row>
    <row r="14782" spans="1:2" x14ac:dyDescent="0.25">
      <c r="A14782" s="75">
        <v>60102304</v>
      </c>
      <c r="B14782" s="76" t="s">
        <v>8650</v>
      </c>
    </row>
    <row r="14783" spans="1:2" x14ac:dyDescent="0.25">
      <c r="A14783" s="75">
        <v>60102305</v>
      </c>
      <c r="B14783" s="76" t="s">
        <v>7978</v>
      </c>
    </row>
    <row r="14784" spans="1:2" x14ac:dyDescent="0.25">
      <c r="A14784" s="75">
        <v>60102306</v>
      </c>
      <c r="B14784" s="76" t="s">
        <v>17758</v>
      </c>
    </row>
    <row r="14785" spans="1:2" x14ac:dyDescent="0.25">
      <c r="A14785" s="75">
        <v>60102307</v>
      </c>
      <c r="B14785" s="76" t="s">
        <v>3832</v>
      </c>
    </row>
    <row r="14786" spans="1:2" x14ac:dyDescent="0.25">
      <c r="A14786" s="75">
        <v>60102308</v>
      </c>
      <c r="B14786" s="76" t="s">
        <v>2778</v>
      </c>
    </row>
    <row r="14787" spans="1:2" x14ac:dyDescent="0.25">
      <c r="A14787" s="75">
        <v>60102309</v>
      </c>
      <c r="B14787" s="76" t="s">
        <v>6991</v>
      </c>
    </row>
    <row r="14788" spans="1:2" x14ac:dyDescent="0.25">
      <c r="A14788" s="75">
        <v>60102310</v>
      </c>
      <c r="B14788" s="76" t="s">
        <v>5238</v>
      </c>
    </row>
    <row r="14789" spans="1:2" x14ac:dyDescent="0.25">
      <c r="A14789" s="75">
        <v>60102311</v>
      </c>
      <c r="B14789" s="76" t="s">
        <v>18749</v>
      </c>
    </row>
    <row r="14790" spans="1:2" x14ac:dyDescent="0.25">
      <c r="A14790" s="75">
        <v>60102312</v>
      </c>
      <c r="B14790" s="76" t="s">
        <v>13906</v>
      </c>
    </row>
    <row r="14791" spans="1:2" x14ac:dyDescent="0.25">
      <c r="A14791" s="75">
        <v>60102401</v>
      </c>
      <c r="B14791" s="76" t="s">
        <v>52</v>
      </c>
    </row>
    <row r="14792" spans="1:2" x14ac:dyDescent="0.25">
      <c r="A14792" s="75">
        <v>60102402</v>
      </c>
      <c r="B14792" s="76" t="s">
        <v>9438</v>
      </c>
    </row>
    <row r="14793" spans="1:2" x14ac:dyDescent="0.25">
      <c r="A14793" s="75">
        <v>60102403</v>
      </c>
      <c r="B14793" s="76" t="s">
        <v>1838</v>
      </c>
    </row>
    <row r="14794" spans="1:2" x14ac:dyDescent="0.25">
      <c r="A14794" s="75">
        <v>60102404</v>
      </c>
      <c r="B14794" s="76" t="s">
        <v>16962</v>
      </c>
    </row>
    <row r="14795" spans="1:2" x14ac:dyDescent="0.25">
      <c r="A14795" s="75">
        <v>60102405</v>
      </c>
      <c r="B14795" s="76" t="s">
        <v>17026</v>
      </c>
    </row>
    <row r="14796" spans="1:2" x14ac:dyDescent="0.25">
      <c r="A14796" s="75">
        <v>60102406</v>
      </c>
      <c r="B14796" s="76" t="s">
        <v>5101</v>
      </c>
    </row>
    <row r="14797" spans="1:2" x14ac:dyDescent="0.25">
      <c r="A14797" s="75">
        <v>60102407</v>
      </c>
      <c r="B14797" s="76" t="s">
        <v>17061</v>
      </c>
    </row>
    <row r="14798" spans="1:2" x14ac:dyDescent="0.25">
      <c r="A14798" s="75">
        <v>60102408</v>
      </c>
      <c r="B14798" s="76" t="s">
        <v>14441</v>
      </c>
    </row>
    <row r="14799" spans="1:2" x14ac:dyDescent="0.25">
      <c r="A14799" s="75">
        <v>60102409</v>
      </c>
      <c r="B14799" s="76" t="s">
        <v>18983</v>
      </c>
    </row>
    <row r="14800" spans="1:2" x14ac:dyDescent="0.25">
      <c r="A14800" s="75">
        <v>60102410</v>
      </c>
      <c r="B14800" s="76" t="s">
        <v>17282</v>
      </c>
    </row>
    <row r="14801" spans="1:2" x14ac:dyDescent="0.25">
      <c r="A14801" s="75">
        <v>60102411</v>
      </c>
      <c r="B14801" s="76" t="s">
        <v>5403</v>
      </c>
    </row>
    <row r="14802" spans="1:2" x14ac:dyDescent="0.25">
      <c r="A14802" s="75">
        <v>60102412</v>
      </c>
      <c r="B14802" s="76" t="s">
        <v>385</v>
      </c>
    </row>
    <row r="14803" spans="1:2" x14ac:dyDescent="0.25">
      <c r="A14803" s="75">
        <v>60102413</v>
      </c>
      <c r="B14803" s="76" t="s">
        <v>10582</v>
      </c>
    </row>
    <row r="14804" spans="1:2" x14ac:dyDescent="0.25">
      <c r="A14804" s="75">
        <v>60102414</v>
      </c>
      <c r="B14804" s="76" t="s">
        <v>3726</v>
      </c>
    </row>
    <row r="14805" spans="1:2" x14ac:dyDescent="0.25">
      <c r="A14805" s="75">
        <v>60102501</v>
      </c>
      <c r="B14805" s="76" t="s">
        <v>4613</v>
      </c>
    </row>
    <row r="14806" spans="1:2" x14ac:dyDescent="0.25">
      <c r="A14806" s="75">
        <v>60102502</v>
      </c>
      <c r="B14806" s="76" t="s">
        <v>12490</v>
      </c>
    </row>
    <row r="14807" spans="1:2" x14ac:dyDescent="0.25">
      <c r="A14807" s="75">
        <v>60102503</v>
      </c>
      <c r="B14807" s="76" t="s">
        <v>6000</v>
      </c>
    </row>
    <row r="14808" spans="1:2" x14ac:dyDescent="0.25">
      <c r="A14808" s="75">
        <v>60102504</v>
      </c>
      <c r="B14808" s="76" t="s">
        <v>8963</v>
      </c>
    </row>
    <row r="14809" spans="1:2" x14ac:dyDescent="0.25">
      <c r="A14809" s="75">
        <v>60102505</v>
      </c>
      <c r="B14809" s="76" t="s">
        <v>8356</v>
      </c>
    </row>
    <row r="14810" spans="1:2" x14ac:dyDescent="0.25">
      <c r="A14810" s="75">
        <v>60102506</v>
      </c>
      <c r="B14810" s="76" t="s">
        <v>19851</v>
      </c>
    </row>
    <row r="14811" spans="1:2" x14ac:dyDescent="0.25">
      <c r="A14811" s="75">
        <v>60102507</v>
      </c>
      <c r="B14811" s="76" t="s">
        <v>18600</v>
      </c>
    </row>
    <row r="14812" spans="1:2" x14ac:dyDescent="0.25">
      <c r="A14812" s="75">
        <v>60102508</v>
      </c>
      <c r="B14812" s="76" t="s">
        <v>11198</v>
      </c>
    </row>
    <row r="14813" spans="1:2" x14ac:dyDescent="0.25">
      <c r="A14813" s="75">
        <v>60102509</v>
      </c>
      <c r="B14813" s="76" t="s">
        <v>2986</v>
      </c>
    </row>
    <row r="14814" spans="1:2" x14ac:dyDescent="0.25">
      <c r="A14814" s="75">
        <v>60102510</v>
      </c>
      <c r="B14814" s="76" t="s">
        <v>17883</v>
      </c>
    </row>
    <row r="14815" spans="1:2" x14ac:dyDescent="0.25">
      <c r="A14815" s="75">
        <v>60102511</v>
      </c>
      <c r="B14815" s="76" t="s">
        <v>14378</v>
      </c>
    </row>
    <row r="14816" spans="1:2" x14ac:dyDescent="0.25">
      <c r="A14816" s="75">
        <v>60102512</v>
      </c>
      <c r="B14816" s="76" t="s">
        <v>2848</v>
      </c>
    </row>
    <row r="14817" spans="1:2" x14ac:dyDescent="0.25">
      <c r="A14817" s="75">
        <v>60102513</v>
      </c>
      <c r="B14817" s="76" t="s">
        <v>1339</v>
      </c>
    </row>
    <row r="14818" spans="1:2" x14ac:dyDescent="0.25">
      <c r="A14818" s="75">
        <v>60102601</v>
      </c>
      <c r="B14818" s="76" t="s">
        <v>2739</v>
      </c>
    </row>
    <row r="14819" spans="1:2" x14ac:dyDescent="0.25">
      <c r="A14819" s="75">
        <v>60102602</v>
      </c>
      <c r="B14819" s="76" t="s">
        <v>19689</v>
      </c>
    </row>
    <row r="14820" spans="1:2" x14ac:dyDescent="0.25">
      <c r="A14820" s="75">
        <v>60102603</v>
      </c>
      <c r="B14820" s="76" t="s">
        <v>10217</v>
      </c>
    </row>
    <row r="14821" spans="1:2" x14ac:dyDescent="0.25">
      <c r="A14821" s="75">
        <v>60102604</v>
      </c>
      <c r="B14821" s="76" t="s">
        <v>675</v>
      </c>
    </row>
    <row r="14822" spans="1:2" x14ac:dyDescent="0.25">
      <c r="A14822" s="75">
        <v>60102605</v>
      </c>
      <c r="B14822" s="76" t="s">
        <v>15261</v>
      </c>
    </row>
    <row r="14823" spans="1:2" x14ac:dyDescent="0.25">
      <c r="A14823" s="75">
        <v>60102606</v>
      </c>
      <c r="B14823" s="76" t="s">
        <v>11571</v>
      </c>
    </row>
    <row r="14824" spans="1:2" x14ac:dyDescent="0.25">
      <c r="A14824" s="75">
        <v>60102607</v>
      </c>
      <c r="B14824" s="76" t="s">
        <v>6227</v>
      </c>
    </row>
    <row r="14825" spans="1:2" x14ac:dyDescent="0.25">
      <c r="A14825" s="75">
        <v>60102608</v>
      </c>
      <c r="B14825" s="76" t="s">
        <v>15907</v>
      </c>
    </row>
    <row r="14826" spans="1:2" x14ac:dyDescent="0.25">
      <c r="A14826" s="75">
        <v>60102609</v>
      </c>
      <c r="B14826" s="76" t="s">
        <v>5881</v>
      </c>
    </row>
    <row r="14827" spans="1:2" x14ac:dyDescent="0.25">
      <c r="A14827" s="75">
        <v>60102610</v>
      </c>
      <c r="B14827" s="76" t="s">
        <v>13958</v>
      </c>
    </row>
    <row r="14828" spans="1:2" x14ac:dyDescent="0.25">
      <c r="A14828" s="75">
        <v>60102611</v>
      </c>
      <c r="B14828" s="76" t="s">
        <v>8455</v>
      </c>
    </row>
    <row r="14829" spans="1:2" x14ac:dyDescent="0.25">
      <c r="A14829" s="75">
        <v>60102612</v>
      </c>
      <c r="B14829" s="76" t="s">
        <v>11442</v>
      </c>
    </row>
    <row r="14830" spans="1:2" x14ac:dyDescent="0.25">
      <c r="A14830" s="75">
        <v>60102613</v>
      </c>
      <c r="B14830" s="76" t="s">
        <v>17058</v>
      </c>
    </row>
    <row r="14831" spans="1:2" x14ac:dyDescent="0.25">
      <c r="A14831" s="75">
        <v>60102614</v>
      </c>
      <c r="B14831" s="76" t="s">
        <v>4087</v>
      </c>
    </row>
    <row r="14832" spans="1:2" x14ac:dyDescent="0.25">
      <c r="A14832" s="75">
        <v>60102701</v>
      </c>
      <c r="B14832" s="76" t="s">
        <v>3790</v>
      </c>
    </row>
    <row r="14833" spans="1:2" x14ac:dyDescent="0.25">
      <c r="A14833" s="75">
        <v>60102702</v>
      </c>
      <c r="B14833" s="76" t="s">
        <v>11670</v>
      </c>
    </row>
    <row r="14834" spans="1:2" x14ac:dyDescent="0.25">
      <c r="A14834" s="75">
        <v>60102703</v>
      </c>
      <c r="B14834" s="76" t="s">
        <v>12180</v>
      </c>
    </row>
    <row r="14835" spans="1:2" x14ac:dyDescent="0.25">
      <c r="A14835" s="75">
        <v>60102704</v>
      </c>
      <c r="B14835" s="76" t="s">
        <v>3736</v>
      </c>
    </row>
    <row r="14836" spans="1:2" x14ac:dyDescent="0.25">
      <c r="A14836" s="75">
        <v>60102705</v>
      </c>
      <c r="B14836" s="76" t="s">
        <v>9201</v>
      </c>
    </row>
    <row r="14837" spans="1:2" x14ac:dyDescent="0.25">
      <c r="A14837" s="75">
        <v>60102706</v>
      </c>
      <c r="B14837" s="76" t="s">
        <v>1919</v>
      </c>
    </row>
    <row r="14838" spans="1:2" x14ac:dyDescent="0.25">
      <c r="A14838" s="75">
        <v>60102707</v>
      </c>
      <c r="B14838" s="76" t="s">
        <v>18888</v>
      </c>
    </row>
    <row r="14839" spans="1:2" x14ac:dyDescent="0.25">
      <c r="A14839" s="75">
        <v>60102708</v>
      </c>
      <c r="B14839" s="76" t="s">
        <v>15025</v>
      </c>
    </row>
    <row r="14840" spans="1:2" x14ac:dyDescent="0.25">
      <c r="A14840" s="75">
        <v>60102709</v>
      </c>
      <c r="B14840" s="76" t="s">
        <v>18203</v>
      </c>
    </row>
    <row r="14841" spans="1:2" x14ac:dyDescent="0.25">
      <c r="A14841" s="75">
        <v>60102710</v>
      </c>
      <c r="B14841" s="76" t="s">
        <v>8975</v>
      </c>
    </row>
    <row r="14842" spans="1:2" x14ac:dyDescent="0.25">
      <c r="A14842" s="75">
        <v>60102711</v>
      </c>
      <c r="B14842" s="76" t="s">
        <v>6893</v>
      </c>
    </row>
    <row r="14843" spans="1:2" x14ac:dyDescent="0.25">
      <c r="A14843" s="75">
        <v>60102712</v>
      </c>
      <c r="B14843" s="76" t="s">
        <v>11464</v>
      </c>
    </row>
    <row r="14844" spans="1:2" x14ac:dyDescent="0.25">
      <c r="A14844" s="75">
        <v>60102713</v>
      </c>
      <c r="B14844" s="76" t="s">
        <v>19762</v>
      </c>
    </row>
    <row r="14845" spans="1:2" x14ac:dyDescent="0.25">
      <c r="A14845" s="75">
        <v>60102714</v>
      </c>
      <c r="B14845" s="76" t="s">
        <v>6122</v>
      </c>
    </row>
    <row r="14846" spans="1:2" x14ac:dyDescent="0.25">
      <c r="A14846" s="75">
        <v>60102715</v>
      </c>
      <c r="B14846" s="76" t="s">
        <v>3643</v>
      </c>
    </row>
    <row r="14847" spans="1:2" x14ac:dyDescent="0.25">
      <c r="A14847" s="75">
        <v>60102717</v>
      </c>
      <c r="B14847" s="76" t="s">
        <v>10867</v>
      </c>
    </row>
    <row r="14848" spans="1:2" x14ac:dyDescent="0.25">
      <c r="A14848" s="75">
        <v>60102718</v>
      </c>
      <c r="B14848" s="76" t="s">
        <v>16172</v>
      </c>
    </row>
    <row r="14849" spans="1:2" x14ac:dyDescent="0.25">
      <c r="A14849" s="75">
        <v>60102801</v>
      </c>
      <c r="B14849" s="76" t="s">
        <v>18629</v>
      </c>
    </row>
    <row r="14850" spans="1:2" x14ac:dyDescent="0.25">
      <c r="A14850" s="75">
        <v>60102802</v>
      </c>
      <c r="B14850" s="76" t="s">
        <v>9054</v>
      </c>
    </row>
    <row r="14851" spans="1:2" x14ac:dyDescent="0.25">
      <c r="A14851" s="75">
        <v>60102803</v>
      </c>
      <c r="B14851" s="76" t="s">
        <v>6966</v>
      </c>
    </row>
    <row r="14852" spans="1:2" x14ac:dyDescent="0.25">
      <c r="A14852" s="75">
        <v>60102804</v>
      </c>
      <c r="B14852" s="76" t="s">
        <v>4853</v>
      </c>
    </row>
    <row r="14853" spans="1:2" x14ac:dyDescent="0.25">
      <c r="A14853" s="75">
        <v>60102805</v>
      </c>
      <c r="B14853" s="76" t="s">
        <v>8737</v>
      </c>
    </row>
    <row r="14854" spans="1:2" x14ac:dyDescent="0.25">
      <c r="A14854" s="75">
        <v>60102806</v>
      </c>
      <c r="B14854" s="76" t="s">
        <v>883</v>
      </c>
    </row>
    <row r="14855" spans="1:2" x14ac:dyDescent="0.25">
      <c r="A14855" s="75">
        <v>60102807</v>
      </c>
      <c r="B14855" s="76" t="s">
        <v>4704</v>
      </c>
    </row>
    <row r="14856" spans="1:2" x14ac:dyDescent="0.25">
      <c r="A14856" s="75">
        <v>60102901</v>
      </c>
      <c r="B14856" s="76" t="s">
        <v>16975</v>
      </c>
    </row>
    <row r="14857" spans="1:2" x14ac:dyDescent="0.25">
      <c r="A14857" s="75">
        <v>60102902</v>
      </c>
      <c r="B14857" s="76" t="s">
        <v>10593</v>
      </c>
    </row>
    <row r="14858" spans="1:2" x14ac:dyDescent="0.25">
      <c r="A14858" s="75">
        <v>60102903</v>
      </c>
      <c r="B14858" s="76" t="s">
        <v>14140</v>
      </c>
    </row>
    <row r="14859" spans="1:2" x14ac:dyDescent="0.25">
      <c r="A14859" s="75">
        <v>60102904</v>
      </c>
      <c r="B14859" s="76" t="s">
        <v>19596</v>
      </c>
    </row>
    <row r="14860" spans="1:2" x14ac:dyDescent="0.25">
      <c r="A14860" s="75">
        <v>60102905</v>
      </c>
      <c r="B14860" s="76" t="s">
        <v>8561</v>
      </c>
    </row>
    <row r="14861" spans="1:2" x14ac:dyDescent="0.25">
      <c r="A14861" s="75">
        <v>60102906</v>
      </c>
      <c r="B14861" s="76" t="s">
        <v>14779</v>
      </c>
    </row>
    <row r="14862" spans="1:2" x14ac:dyDescent="0.25">
      <c r="A14862" s="75">
        <v>60102907</v>
      </c>
      <c r="B14862" s="76" t="s">
        <v>3405</v>
      </c>
    </row>
    <row r="14863" spans="1:2" x14ac:dyDescent="0.25">
      <c r="A14863" s="75">
        <v>60102908</v>
      </c>
      <c r="B14863" s="76" t="s">
        <v>12284</v>
      </c>
    </row>
    <row r="14864" spans="1:2" x14ac:dyDescent="0.25">
      <c r="A14864" s="75">
        <v>60102909</v>
      </c>
      <c r="B14864" s="76" t="s">
        <v>19590</v>
      </c>
    </row>
    <row r="14865" spans="1:2" x14ac:dyDescent="0.25">
      <c r="A14865" s="75">
        <v>60102910</v>
      </c>
      <c r="B14865" s="76" t="s">
        <v>11152</v>
      </c>
    </row>
    <row r="14866" spans="1:2" x14ac:dyDescent="0.25">
      <c r="A14866" s="75">
        <v>60102911</v>
      </c>
      <c r="B14866" s="76" t="s">
        <v>11519</v>
      </c>
    </row>
    <row r="14867" spans="1:2" x14ac:dyDescent="0.25">
      <c r="A14867" s="75">
        <v>60102912</v>
      </c>
      <c r="B14867" s="76" t="s">
        <v>13785</v>
      </c>
    </row>
    <row r="14868" spans="1:2" x14ac:dyDescent="0.25">
      <c r="A14868" s="75">
        <v>60102913</v>
      </c>
      <c r="B14868" s="76" t="s">
        <v>14797</v>
      </c>
    </row>
    <row r="14869" spans="1:2" x14ac:dyDescent="0.25">
      <c r="A14869" s="75">
        <v>60102914</v>
      </c>
      <c r="B14869" s="76" t="s">
        <v>10516</v>
      </c>
    </row>
    <row r="14870" spans="1:2" x14ac:dyDescent="0.25">
      <c r="A14870" s="75">
        <v>60102915</v>
      </c>
      <c r="B14870" s="76" t="s">
        <v>12736</v>
      </c>
    </row>
    <row r="14871" spans="1:2" x14ac:dyDescent="0.25">
      <c r="A14871" s="75">
        <v>60102916</v>
      </c>
      <c r="B14871" s="76" t="s">
        <v>11411</v>
      </c>
    </row>
    <row r="14872" spans="1:2" x14ac:dyDescent="0.25">
      <c r="A14872" s="75">
        <v>60102917</v>
      </c>
      <c r="B14872" s="76" t="s">
        <v>13401</v>
      </c>
    </row>
    <row r="14873" spans="1:2" x14ac:dyDescent="0.25">
      <c r="A14873" s="75">
        <v>60103001</v>
      </c>
      <c r="B14873" s="76" t="s">
        <v>4186</v>
      </c>
    </row>
    <row r="14874" spans="1:2" x14ac:dyDescent="0.25">
      <c r="A14874" s="75">
        <v>60103002</v>
      </c>
      <c r="B14874" s="76" t="s">
        <v>15958</v>
      </c>
    </row>
    <row r="14875" spans="1:2" x14ac:dyDescent="0.25">
      <c r="A14875" s="75">
        <v>60103003</v>
      </c>
      <c r="B14875" s="76" t="s">
        <v>2746</v>
      </c>
    </row>
    <row r="14876" spans="1:2" x14ac:dyDescent="0.25">
      <c r="A14876" s="75">
        <v>60103004</v>
      </c>
      <c r="B14876" s="76" t="s">
        <v>5305</v>
      </c>
    </row>
    <row r="14877" spans="1:2" x14ac:dyDescent="0.25">
      <c r="A14877" s="75">
        <v>60103005</v>
      </c>
      <c r="B14877" s="76" t="s">
        <v>8170</v>
      </c>
    </row>
    <row r="14878" spans="1:2" x14ac:dyDescent="0.25">
      <c r="A14878" s="75">
        <v>60103006</v>
      </c>
      <c r="B14878" s="76" t="s">
        <v>20037</v>
      </c>
    </row>
    <row r="14879" spans="1:2" x14ac:dyDescent="0.25">
      <c r="A14879" s="75">
        <v>60103007</v>
      </c>
      <c r="B14879" s="76" t="s">
        <v>14573</v>
      </c>
    </row>
    <row r="14880" spans="1:2" x14ac:dyDescent="0.25">
      <c r="A14880" s="75">
        <v>60103008</v>
      </c>
      <c r="B14880" s="76" t="s">
        <v>17894</v>
      </c>
    </row>
    <row r="14881" spans="1:2" x14ac:dyDescent="0.25">
      <c r="A14881" s="75">
        <v>60103009</v>
      </c>
      <c r="B14881" s="76" t="s">
        <v>3043</v>
      </c>
    </row>
    <row r="14882" spans="1:2" x14ac:dyDescent="0.25">
      <c r="A14882" s="75">
        <v>60103010</v>
      </c>
      <c r="B14882" s="76" t="s">
        <v>11948</v>
      </c>
    </row>
    <row r="14883" spans="1:2" x14ac:dyDescent="0.25">
      <c r="A14883" s="75">
        <v>60103012</v>
      </c>
      <c r="B14883" s="76" t="s">
        <v>18801</v>
      </c>
    </row>
    <row r="14884" spans="1:2" x14ac:dyDescent="0.25">
      <c r="A14884" s="75">
        <v>60103013</v>
      </c>
      <c r="B14884" s="76" t="s">
        <v>17691</v>
      </c>
    </row>
    <row r="14885" spans="1:2" x14ac:dyDescent="0.25">
      <c r="A14885" s="75">
        <v>60103101</v>
      </c>
      <c r="B14885" s="76" t="s">
        <v>16458</v>
      </c>
    </row>
    <row r="14886" spans="1:2" x14ac:dyDescent="0.25">
      <c r="A14886" s="75">
        <v>60103102</v>
      </c>
      <c r="B14886" s="76" t="s">
        <v>18909</v>
      </c>
    </row>
    <row r="14887" spans="1:2" x14ac:dyDescent="0.25">
      <c r="A14887" s="75">
        <v>60103103</v>
      </c>
      <c r="B14887" s="76" t="s">
        <v>19621</v>
      </c>
    </row>
    <row r="14888" spans="1:2" x14ac:dyDescent="0.25">
      <c r="A14888" s="75">
        <v>60103104</v>
      </c>
      <c r="B14888" s="76" t="s">
        <v>14212</v>
      </c>
    </row>
    <row r="14889" spans="1:2" x14ac:dyDescent="0.25">
      <c r="A14889" s="75">
        <v>60103105</v>
      </c>
      <c r="B14889" s="76" t="s">
        <v>13717</v>
      </c>
    </row>
    <row r="14890" spans="1:2" x14ac:dyDescent="0.25">
      <c r="A14890" s="75">
        <v>60103106</v>
      </c>
      <c r="B14890" s="76" t="s">
        <v>499</v>
      </c>
    </row>
    <row r="14891" spans="1:2" x14ac:dyDescent="0.25">
      <c r="A14891" s="75">
        <v>60103107</v>
      </c>
      <c r="B14891" s="76" t="s">
        <v>15178</v>
      </c>
    </row>
    <row r="14892" spans="1:2" x14ac:dyDescent="0.25">
      <c r="A14892" s="75">
        <v>60103108</v>
      </c>
      <c r="B14892" s="76" t="s">
        <v>5851</v>
      </c>
    </row>
    <row r="14893" spans="1:2" x14ac:dyDescent="0.25">
      <c r="A14893" s="75">
        <v>60103109</v>
      </c>
      <c r="B14893" s="76" t="s">
        <v>9633</v>
      </c>
    </row>
    <row r="14894" spans="1:2" x14ac:dyDescent="0.25">
      <c r="A14894" s="75">
        <v>60103110</v>
      </c>
      <c r="B14894" s="76" t="s">
        <v>12930</v>
      </c>
    </row>
    <row r="14895" spans="1:2" x14ac:dyDescent="0.25">
      <c r="A14895" s="75">
        <v>60103111</v>
      </c>
      <c r="B14895" s="76" t="s">
        <v>16341</v>
      </c>
    </row>
    <row r="14896" spans="1:2" x14ac:dyDescent="0.25">
      <c r="A14896" s="75">
        <v>60103112</v>
      </c>
      <c r="B14896" s="76" t="s">
        <v>1605</v>
      </c>
    </row>
    <row r="14897" spans="1:2" x14ac:dyDescent="0.25">
      <c r="A14897" s="75">
        <v>60103201</v>
      </c>
      <c r="B14897" s="76" t="s">
        <v>12907</v>
      </c>
    </row>
    <row r="14898" spans="1:2" x14ac:dyDescent="0.25">
      <c r="A14898" s="75">
        <v>60103202</v>
      </c>
      <c r="B14898" s="76" t="s">
        <v>14062</v>
      </c>
    </row>
    <row r="14899" spans="1:2" x14ac:dyDescent="0.25">
      <c r="A14899" s="75">
        <v>60103203</v>
      </c>
      <c r="B14899" s="76" t="s">
        <v>11288</v>
      </c>
    </row>
    <row r="14900" spans="1:2" x14ac:dyDescent="0.25">
      <c r="A14900" s="75">
        <v>60103204</v>
      </c>
      <c r="B14900" s="76" t="s">
        <v>15885</v>
      </c>
    </row>
    <row r="14901" spans="1:2" x14ac:dyDescent="0.25">
      <c r="A14901" s="75">
        <v>60103301</v>
      </c>
      <c r="B14901" s="76" t="s">
        <v>14550</v>
      </c>
    </row>
    <row r="14902" spans="1:2" x14ac:dyDescent="0.25">
      <c r="A14902" s="75">
        <v>60103302</v>
      </c>
      <c r="B14902" s="76" t="s">
        <v>19036</v>
      </c>
    </row>
    <row r="14903" spans="1:2" x14ac:dyDescent="0.25">
      <c r="A14903" s="75">
        <v>60103303</v>
      </c>
      <c r="B14903" s="76" t="s">
        <v>17466</v>
      </c>
    </row>
    <row r="14904" spans="1:2" x14ac:dyDescent="0.25">
      <c r="A14904" s="75">
        <v>60103401</v>
      </c>
      <c r="B14904" s="76" t="s">
        <v>18395</v>
      </c>
    </row>
    <row r="14905" spans="1:2" x14ac:dyDescent="0.25">
      <c r="A14905" s="75">
        <v>60103402</v>
      </c>
      <c r="B14905" s="76" t="s">
        <v>421</v>
      </c>
    </row>
    <row r="14906" spans="1:2" x14ac:dyDescent="0.25">
      <c r="A14906" s="75">
        <v>60103403</v>
      </c>
      <c r="B14906" s="76" t="s">
        <v>5617</v>
      </c>
    </row>
    <row r="14907" spans="1:2" x14ac:dyDescent="0.25">
      <c r="A14907" s="75">
        <v>60103404</v>
      </c>
      <c r="B14907" s="76" t="s">
        <v>18470</v>
      </c>
    </row>
    <row r="14908" spans="1:2" x14ac:dyDescent="0.25">
      <c r="A14908" s="75">
        <v>60103405</v>
      </c>
      <c r="B14908" s="76" t="s">
        <v>7894</v>
      </c>
    </row>
    <row r="14909" spans="1:2" x14ac:dyDescent="0.25">
      <c r="A14909" s="75">
        <v>60103406</v>
      </c>
      <c r="B14909" s="76" t="s">
        <v>13088</v>
      </c>
    </row>
    <row r="14910" spans="1:2" x14ac:dyDescent="0.25">
      <c r="A14910" s="75">
        <v>60103407</v>
      </c>
      <c r="B14910" s="76" t="s">
        <v>17406</v>
      </c>
    </row>
    <row r="14911" spans="1:2" x14ac:dyDescent="0.25">
      <c r="A14911" s="75">
        <v>60103408</v>
      </c>
      <c r="B14911" s="76" t="s">
        <v>3308</v>
      </c>
    </row>
    <row r="14912" spans="1:2" x14ac:dyDescent="0.25">
      <c r="A14912" s="75">
        <v>60103409</v>
      </c>
      <c r="B14912" s="76" t="s">
        <v>15865</v>
      </c>
    </row>
    <row r="14913" spans="1:2" x14ac:dyDescent="0.25">
      <c r="A14913" s="75">
        <v>60103410</v>
      </c>
      <c r="B14913" s="76" t="s">
        <v>7280</v>
      </c>
    </row>
    <row r="14914" spans="1:2" x14ac:dyDescent="0.25">
      <c r="A14914" s="75">
        <v>60103501</v>
      </c>
      <c r="B14914" s="76" t="s">
        <v>11421</v>
      </c>
    </row>
    <row r="14915" spans="1:2" x14ac:dyDescent="0.25">
      <c r="A14915" s="75">
        <v>60103502</v>
      </c>
      <c r="B14915" s="76" t="s">
        <v>4376</v>
      </c>
    </row>
    <row r="14916" spans="1:2" x14ac:dyDescent="0.25">
      <c r="A14916" s="75">
        <v>60103503</v>
      </c>
      <c r="B14916" s="76" t="s">
        <v>5711</v>
      </c>
    </row>
    <row r="14917" spans="1:2" x14ac:dyDescent="0.25">
      <c r="A14917" s="75">
        <v>60103504</v>
      </c>
      <c r="B14917" s="76" t="s">
        <v>11367</v>
      </c>
    </row>
    <row r="14918" spans="1:2" x14ac:dyDescent="0.25">
      <c r="A14918" s="75">
        <v>60103601</v>
      </c>
      <c r="B14918" s="76" t="s">
        <v>12523</v>
      </c>
    </row>
    <row r="14919" spans="1:2" x14ac:dyDescent="0.25">
      <c r="A14919" s="75">
        <v>60103602</v>
      </c>
      <c r="B14919" s="76" t="s">
        <v>14158</v>
      </c>
    </row>
    <row r="14920" spans="1:2" x14ac:dyDescent="0.25">
      <c r="A14920" s="75">
        <v>60103603</v>
      </c>
      <c r="B14920" s="76" t="s">
        <v>8386</v>
      </c>
    </row>
    <row r="14921" spans="1:2" x14ac:dyDescent="0.25">
      <c r="A14921" s="75">
        <v>60103604</v>
      </c>
      <c r="B14921" s="76" t="s">
        <v>5670</v>
      </c>
    </row>
    <row r="14922" spans="1:2" x14ac:dyDescent="0.25">
      <c r="A14922" s="75">
        <v>60103605</v>
      </c>
      <c r="B14922" s="76" t="s">
        <v>8558</v>
      </c>
    </row>
    <row r="14923" spans="1:2" x14ac:dyDescent="0.25">
      <c r="A14923" s="75">
        <v>60103606</v>
      </c>
      <c r="B14923" s="76" t="s">
        <v>19737</v>
      </c>
    </row>
    <row r="14924" spans="1:2" x14ac:dyDescent="0.25">
      <c r="A14924" s="75">
        <v>60103701</v>
      </c>
      <c r="B14924" s="76" t="s">
        <v>19477</v>
      </c>
    </row>
    <row r="14925" spans="1:2" x14ac:dyDescent="0.25">
      <c r="A14925" s="75">
        <v>60103702</v>
      </c>
      <c r="B14925" s="76" t="s">
        <v>10339</v>
      </c>
    </row>
    <row r="14926" spans="1:2" x14ac:dyDescent="0.25">
      <c r="A14926" s="75">
        <v>60103703</v>
      </c>
      <c r="B14926" s="76" t="s">
        <v>18030</v>
      </c>
    </row>
    <row r="14927" spans="1:2" x14ac:dyDescent="0.25">
      <c r="A14927" s="75">
        <v>60103704</v>
      </c>
      <c r="B14927" s="76" t="s">
        <v>12535</v>
      </c>
    </row>
    <row r="14928" spans="1:2" x14ac:dyDescent="0.25">
      <c r="A14928" s="75">
        <v>60103705</v>
      </c>
      <c r="B14928" s="76" t="s">
        <v>2504</v>
      </c>
    </row>
    <row r="14929" spans="1:2" x14ac:dyDescent="0.25">
      <c r="A14929" s="75">
        <v>60103706</v>
      </c>
      <c r="B14929" s="76" t="s">
        <v>2579</v>
      </c>
    </row>
    <row r="14930" spans="1:2" x14ac:dyDescent="0.25">
      <c r="A14930" s="75">
        <v>60103801</v>
      </c>
      <c r="B14930" s="76" t="s">
        <v>15396</v>
      </c>
    </row>
    <row r="14931" spans="1:2" x14ac:dyDescent="0.25">
      <c r="A14931" s="75">
        <v>60103802</v>
      </c>
      <c r="B14931" s="76" t="s">
        <v>12877</v>
      </c>
    </row>
    <row r="14932" spans="1:2" x14ac:dyDescent="0.25">
      <c r="A14932" s="75">
        <v>60103803</v>
      </c>
      <c r="B14932" s="76" t="s">
        <v>9659</v>
      </c>
    </row>
    <row r="14933" spans="1:2" x14ac:dyDescent="0.25">
      <c r="A14933" s="75">
        <v>60103804</v>
      </c>
      <c r="B14933" s="76" t="s">
        <v>11845</v>
      </c>
    </row>
    <row r="14934" spans="1:2" x14ac:dyDescent="0.25">
      <c r="A14934" s="75">
        <v>60103805</v>
      </c>
      <c r="B14934" s="76" t="s">
        <v>2936</v>
      </c>
    </row>
    <row r="14935" spans="1:2" x14ac:dyDescent="0.25">
      <c r="A14935" s="75">
        <v>60103806</v>
      </c>
      <c r="B14935" s="76" t="s">
        <v>17938</v>
      </c>
    </row>
    <row r="14936" spans="1:2" x14ac:dyDescent="0.25">
      <c r="A14936" s="75">
        <v>60103807</v>
      </c>
      <c r="B14936" s="76" t="s">
        <v>1840</v>
      </c>
    </row>
    <row r="14937" spans="1:2" x14ac:dyDescent="0.25">
      <c r="A14937" s="75">
        <v>60103808</v>
      </c>
      <c r="B14937" s="76" t="s">
        <v>5538</v>
      </c>
    </row>
    <row r="14938" spans="1:2" x14ac:dyDescent="0.25">
      <c r="A14938" s="75">
        <v>60103809</v>
      </c>
      <c r="B14938" s="76" t="s">
        <v>19850</v>
      </c>
    </row>
    <row r="14939" spans="1:2" x14ac:dyDescent="0.25">
      <c r="A14939" s="75">
        <v>60103903</v>
      </c>
      <c r="B14939" s="76" t="s">
        <v>17699</v>
      </c>
    </row>
    <row r="14940" spans="1:2" x14ac:dyDescent="0.25">
      <c r="A14940" s="75">
        <v>60103904</v>
      </c>
      <c r="B14940" s="76" t="s">
        <v>14218</v>
      </c>
    </row>
    <row r="14941" spans="1:2" x14ac:dyDescent="0.25">
      <c r="A14941" s="75">
        <v>60103905</v>
      </c>
      <c r="B14941" s="76" t="s">
        <v>4488</v>
      </c>
    </row>
    <row r="14942" spans="1:2" x14ac:dyDescent="0.25">
      <c r="A14942" s="75">
        <v>60103906</v>
      </c>
      <c r="B14942" s="76" t="s">
        <v>4046</v>
      </c>
    </row>
    <row r="14943" spans="1:2" x14ac:dyDescent="0.25">
      <c r="A14943" s="75">
        <v>60103907</v>
      </c>
      <c r="B14943" s="76" t="s">
        <v>17962</v>
      </c>
    </row>
    <row r="14944" spans="1:2" x14ac:dyDescent="0.25">
      <c r="A14944" s="75">
        <v>60103908</v>
      </c>
      <c r="B14944" s="76" t="s">
        <v>8522</v>
      </c>
    </row>
    <row r="14945" spans="1:2" x14ac:dyDescent="0.25">
      <c r="A14945" s="75">
        <v>60103909</v>
      </c>
      <c r="B14945" s="76" t="s">
        <v>14391</v>
      </c>
    </row>
    <row r="14946" spans="1:2" x14ac:dyDescent="0.25">
      <c r="A14946" s="75">
        <v>60103911</v>
      </c>
      <c r="B14946" s="76" t="s">
        <v>15510</v>
      </c>
    </row>
    <row r="14947" spans="1:2" x14ac:dyDescent="0.25">
      <c r="A14947" s="75">
        <v>60103915</v>
      </c>
      <c r="B14947" s="76" t="s">
        <v>1914</v>
      </c>
    </row>
    <row r="14948" spans="1:2" x14ac:dyDescent="0.25">
      <c r="A14948" s="75">
        <v>60103916</v>
      </c>
      <c r="B14948" s="76" t="s">
        <v>5996</v>
      </c>
    </row>
    <row r="14949" spans="1:2" x14ac:dyDescent="0.25">
      <c r="A14949" s="75">
        <v>60103918</v>
      </c>
      <c r="B14949" s="76" t="s">
        <v>9289</v>
      </c>
    </row>
    <row r="14950" spans="1:2" x14ac:dyDescent="0.25">
      <c r="A14950" s="75">
        <v>60103919</v>
      </c>
      <c r="B14950" s="76" t="s">
        <v>10167</v>
      </c>
    </row>
    <row r="14951" spans="1:2" x14ac:dyDescent="0.25">
      <c r="A14951" s="75">
        <v>60103920</v>
      </c>
      <c r="B14951" s="76" t="s">
        <v>19723</v>
      </c>
    </row>
    <row r="14952" spans="1:2" x14ac:dyDescent="0.25">
      <c r="A14952" s="75">
        <v>60103921</v>
      </c>
      <c r="B14952" s="76" t="s">
        <v>10009</v>
      </c>
    </row>
    <row r="14953" spans="1:2" x14ac:dyDescent="0.25">
      <c r="A14953" s="75">
        <v>60103922</v>
      </c>
      <c r="B14953" s="76" t="s">
        <v>15066</v>
      </c>
    </row>
    <row r="14954" spans="1:2" x14ac:dyDescent="0.25">
      <c r="A14954" s="75">
        <v>60103923</v>
      </c>
      <c r="B14954" s="76" t="s">
        <v>3998</v>
      </c>
    </row>
    <row r="14955" spans="1:2" x14ac:dyDescent="0.25">
      <c r="A14955" s="75">
        <v>60103924</v>
      </c>
      <c r="B14955" s="76" t="s">
        <v>17099</v>
      </c>
    </row>
    <row r="14956" spans="1:2" x14ac:dyDescent="0.25">
      <c r="A14956" s="75">
        <v>60103925</v>
      </c>
      <c r="B14956" s="76" t="s">
        <v>14134</v>
      </c>
    </row>
    <row r="14957" spans="1:2" x14ac:dyDescent="0.25">
      <c r="A14957" s="75">
        <v>60103926</v>
      </c>
      <c r="B14957" s="76" t="s">
        <v>7670</v>
      </c>
    </row>
    <row r="14958" spans="1:2" x14ac:dyDescent="0.25">
      <c r="A14958" s="75">
        <v>60103927</v>
      </c>
      <c r="B14958" s="76" t="s">
        <v>19543</v>
      </c>
    </row>
    <row r="14959" spans="1:2" x14ac:dyDescent="0.25">
      <c r="A14959" s="75">
        <v>60103928</v>
      </c>
      <c r="B14959" s="76" t="s">
        <v>7337</v>
      </c>
    </row>
    <row r="14960" spans="1:2" x14ac:dyDescent="0.25">
      <c r="A14960" s="75">
        <v>60103929</v>
      </c>
      <c r="B14960" s="76" t="s">
        <v>9291</v>
      </c>
    </row>
    <row r="14961" spans="1:2" x14ac:dyDescent="0.25">
      <c r="A14961" s="75">
        <v>60103930</v>
      </c>
      <c r="B14961" s="76" t="s">
        <v>12095</v>
      </c>
    </row>
    <row r="14962" spans="1:2" x14ac:dyDescent="0.25">
      <c r="A14962" s="75">
        <v>60103931</v>
      </c>
      <c r="B14962" s="76" t="s">
        <v>10844</v>
      </c>
    </row>
    <row r="14963" spans="1:2" x14ac:dyDescent="0.25">
      <c r="A14963" s="75">
        <v>60103932</v>
      </c>
      <c r="B14963" s="76" t="s">
        <v>14061</v>
      </c>
    </row>
    <row r="14964" spans="1:2" x14ac:dyDescent="0.25">
      <c r="A14964" s="75">
        <v>60103933</v>
      </c>
      <c r="B14964" s="76" t="s">
        <v>8108</v>
      </c>
    </row>
    <row r="14965" spans="1:2" x14ac:dyDescent="0.25">
      <c r="A14965" s="75">
        <v>60103934</v>
      </c>
      <c r="B14965" s="76" t="s">
        <v>9024</v>
      </c>
    </row>
    <row r="14966" spans="1:2" x14ac:dyDescent="0.25">
      <c r="A14966" s="75">
        <v>60103936</v>
      </c>
      <c r="B14966" s="76" t="s">
        <v>6768</v>
      </c>
    </row>
    <row r="14967" spans="1:2" x14ac:dyDescent="0.25">
      <c r="A14967" s="75">
        <v>60104001</v>
      </c>
      <c r="B14967" s="76" t="s">
        <v>16202</v>
      </c>
    </row>
    <row r="14968" spans="1:2" x14ac:dyDescent="0.25">
      <c r="A14968" s="75">
        <v>60104002</v>
      </c>
      <c r="B14968" s="76" t="s">
        <v>4546</v>
      </c>
    </row>
    <row r="14969" spans="1:2" x14ac:dyDescent="0.25">
      <c r="A14969" s="75">
        <v>60104003</v>
      </c>
      <c r="B14969" s="76" t="s">
        <v>12675</v>
      </c>
    </row>
    <row r="14970" spans="1:2" x14ac:dyDescent="0.25">
      <c r="A14970" s="75">
        <v>60104004</v>
      </c>
      <c r="B14970" s="76" t="s">
        <v>3830</v>
      </c>
    </row>
    <row r="14971" spans="1:2" x14ac:dyDescent="0.25">
      <c r="A14971" s="75">
        <v>60104005</v>
      </c>
      <c r="B14971" s="76" t="s">
        <v>19300</v>
      </c>
    </row>
    <row r="14972" spans="1:2" x14ac:dyDescent="0.25">
      <c r="A14972" s="75">
        <v>60104006</v>
      </c>
      <c r="B14972" s="76" t="s">
        <v>14680</v>
      </c>
    </row>
    <row r="14973" spans="1:2" x14ac:dyDescent="0.25">
      <c r="A14973" s="75">
        <v>60104007</v>
      </c>
      <c r="B14973" s="76" t="s">
        <v>13396</v>
      </c>
    </row>
    <row r="14974" spans="1:2" x14ac:dyDescent="0.25">
      <c r="A14974" s="75">
        <v>60104008</v>
      </c>
      <c r="B14974" s="76" t="s">
        <v>8426</v>
      </c>
    </row>
    <row r="14975" spans="1:2" x14ac:dyDescent="0.25">
      <c r="A14975" s="75">
        <v>60104101</v>
      </c>
      <c r="B14975" s="76" t="s">
        <v>4017</v>
      </c>
    </row>
    <row r="14976" spans="1:2" x14ac:dyDescent="0.25">
      <c r="A14976" s="75">
        <v>60104102</v>
      </c>
      <c r="B14976" s="76" t="s">
        <v>5940</v>
      </c>
    </row>
    <row r="14977" spans="1:2" x14ac:dyDescent="0.25">
      <c r="A14977" s="75">
        <v>60104103</v>
      </c>
      <c r="B14977" s="76" t="s">
        <v>14452</v>
      </c>
    </row>
    <row r="14978" spans="1:2" x14ac:dyDescent="0.25">
      <c r="A14978" s="75">
        <v>60104104</v>
      </c>
      <c r="B14978" s="76" t="s">
        <v>17368</v>
      </c>
    </row>
    <row r="14979" spans="1:2" x14ac:dyDescent="0.25">
      <c r="A14979" s="75">
        <v>60104105</v>
      </c>
      <c r="B14979" s="76" t="s">
        <v>13630</v>
      </c>
    </row>
    <row r="14980" spans="1:2" x14ac:dyDescent="0.25">
      <c r="A14980" s="75">
        <v>60104106</v>
      </c>
      <c r="B14980" s="76" t="s">
        <v>603</v>
      </c>
    </row>
    <row r="14981" spans="1:2" x14ac:dyDescent="0.25">
      <c r="A14981" s="75">
        <v>60104107</v>
      </c>
      <c r="B14981" s="76" t="s">
        <v>17349</v>
      </c>
    </row>
    <row r="14982" spans="1:2" x14ac:dyDescent="0.25">
      <c r="A14982" s="75">
        <v>60104201</v>
      </c>
      <c r="B14982" s="76" t="s">
        <v>16837</v>
      </c>
    </row>
    <row r="14983" spans="1:2" x14ac:dyDescent="0.25">
      <c r="A14983" s="75">
        <v>60104202</v>
      </c>
      <c r="B14983" s="76" t="s">
        <v>16316</v>
      </c>
    </row>
    <row r="14984" spans="1:2" x14ac:dyDescent="0.25">
      <c r="A14984" s="75">
        <v>60104203</v>
      </c>
      <c r="B14984" s="76" t="s">
        <v>19257</v>
      </c>
    </row>
    <row r="14985" spans="1:2" x14ac:dyDescent="0.25">
      <c r="A14985" s="75">
        <v>60104204</v>
      </c>
      <c r="B14985" s="76" t="s">
        <v>6118</v>
      </c>
    </row>
    <row r="14986" spans="1:2" x14ac:dyDescent="0.25">
      <c r="A14986" s="75">
        <v>60104301</v>
      </c>
      <c r="B14986" s="76" t="s">
        <v>235</v>
      </c>
    </row>
    <row r="14987" spans="1:2" x14ac:dyDescent="0.25">
      <c r="A14987" s="75">
        <v>60104302</v>
      </c>
      <c r="B14987" s="76" t="s">
        <v>1745</v>
      </c>
    </row>
    <row r="14988" spans="1:2" x14ac:dyDescent="0.25">
      <c r="A14988" s="75">
        <v>60104303</v>
      </c>
      <c r="B14988" s="76" t="s">
        <v>15203</v>
      </c>
    </row>
    <row r="14989" spans="1:2" x14ac:dyDescent="0.25">
      <c r="A14989" s="75">
        <v>60104401</v>
      </c>
      <c r="B14989" s="76" t="s">
        <v>17488</v>
      </c>
    </row>
    <row r="14990" spans="1:2" x14ac:dyDescent="0.25">
      <c r="A14990" s="75">
        <v>60104402</v>
      </c>
      <c r="B14990" s="76" t="s">
        <v>16728</v>
      </c>
    </row>
    <row r="14991" spans="1:2" x14ac:dyDescent="0.25">
      <c r="A14991" s="75">
        <v>60104403</v>
      </c>
      <c r="B14991" s="76" t="s">
        <v>9348</v>
      </c>
    </row>
    <row r="14992" spans="1:2" x14ac:dyDescent="0.25">
      <c r="A14992" s="75">
        <v>60104404</v>
      </c>
      <c r="B14992" s="76" t="s">
        <v>5671</v>
      </c>
    </row>
    <row r="14993" spans="1:2" x14ac:dyDescent="0.25">
      <c r="A14993" s="75">
        <v>60104405</v>
      </c>
      <c r="B14993" s="76" t="s">
        <v>11017</v>
      </c>
    </row>
    <row r="14994" spans="1:2" x14ac:dyDescent="0.25">
      <c r="A14994" s="75">
        <v>60104406</v>
      </c>
      <c r="B14994" s="76" t="s">
        <v>14375</v>
      </c>
    </row>
    <row r="14995" spans="1:2" x14ac:dyDescent="0.25">
      <c r="A14995" s="75">
        <v>60104407</v>
      </c>
      <c r="B14995" s="76" t="s">
        <v>2694</v>
      </c>
    </row>
    <row r="14996" spans="1:2" x14ac:dyDescent="0.25">
      <c r="A14996" s="75">
        <v>60104408</v>
      </c>
      <c r="B14996" s="76" t="s">
        <v>2855</v>
      </c>
    </row>
    <row r="14997" spans="1:2" x14ac:dyDescent="0.25">
      <c r="A14997" s="75">
        <v>60104501</v>
      </c>
      <c r="B14997" s="76" t="s">
        <v>11303</v>
      </c>
    </row>
    <row r="14998" spans="1:2" x14ac:dyDescent="0.25">
      <c r="A14998" s="75">
        <v>60104502</v>
      </c>
      <c r="B14998" s="76" t="s">
        <v>5424</v>
      </c>
    </row>
    <row r="14999" spans="1:2" x14ac:dyDescent="0.25">
      <c r="A14999" s="75">
        <v>60104503</v>
      </c>
      <c r="B14999" s="76" t="s">
        <v>12513</v>
      </c>
    </row>
    <row r="15000" spans="1:2" x14ac:dyDescent="0.25">
      <c r="A15000" s="75">
        <v>60104504</v>
      </c>
      <c r="B15000" s="76" t="s">
        <v>6005</v>
      </c>
    </row>
    <row r="15001" spans="1:2" x14ac:dyDescent="0.25">
      <c r="A15001" s="75">
        <v>60104505</v>
      </c>
      <c r="B15001" s="76" t="s">
        <v>15661</v>
      </c>
    </row>
    <row r="15002" spans="1:2" x14ac:dyDescent="0.25">
      <c r="A15002" s="75">
        <v>60104506</v>
      </c>
      <c r="B15002" s="76" t="s">
        <v>14511</v>
      </c>
    </row>
    <row r="15003" spans="1:2" x14ac:dyDescent="0.25">
      <c r="A15003" s="75">
        <v>60104507</v>
      </c>
      <c r="B15003" s="76" t="s">
        <v>9299</v>
      </c>
    </row>
    <row r="15004" spans="1:2" x14ac:dyDescent="0.25">
      <c r="A15004" s="75">
        <v>60104508</v>
      </c>
      <c r="B15004" s="76" t="s">
        <v>14145</v>
      </c>
    </row>
    <row r="15005" spans="1:2" x14ac:dyDescent="0.25">
      <c r="A15005" s="75">
        <v>60104509</v>
      </c>
      <c r="B15005" s="76" t="s">
        <v>10356</v>
      </c>
    </row>
    <row r="15006" spans="1:2" x14ac:dyDescent="0.25">
      <c r="A15006" s="75">
        <v>60104511</v>
      </c>
      <c r="B15006" s="76" t="s">
        <v>356</v>
      </c>
    </row>
    <row r="15007" spans="1:2" x14ac:dyDescent="0.25">
      <c r="A15007" s="75">
        <v>60104601</v>
      </c>
      <c r="B15007" s="76" t="s">
        <v>14947</v>
      </c>
    </row>
    <row r="15008" spans="1:2" x14ac:dyDescent="0.25">
      <c r="A15008" s="75">
        <v>60104602</v>
      </c>
      <c r="B15008" s="76" t="s">
        <v>8525</v>
      </c>
    </row>
    <row r="15009" spans="1:2" x14ac:dyDescent="0.25">
      <c r="A15009" s="75">
        <v>60104604</v>
      </c>
      <c r="B15009" s="76" t="s">
        <v>8054</v>
      </c>
    </row>
    <row r="15010" spans="1:2" x14ac:dyDescent="0.25">
      <c r="A15010" s="75">
        <v>60104605</v>
      </c>
      <c r="B15010" s="76" t="s">
        <v>3354</v>
      </c>
    </row>
    <row r="15011" spans="1:2" x14ac:dyDescent="0.25">
      <c r="A15011" s="75">
        <v>60104606</v>
      </c>
      <c r="B15011" s="76" t="s">
        <v>15170</v>
      </c>
    </row>
    <row r="15012" spans="1:2" x14ac:dyDescent="0.25">
      <c r="A15012" s="75">
        <v>60104607</v>
      </c>
      <c r="B15012" s="76" t="s">
        <v>15361</v>
      </c>
    </row>
    <row r="15013" spans="1:2" x14ac:dyDescent="0.25">
      <c r="A15013" s="75">
        <v>60104608</v>
      </c>
      <c r="B15013" s="76" t="s">
        <v>8988</v>
      </c>
    </row>
    <row r="15014" spans="1:2" x14ac:dyDescent="0.25">
      <c r="A15014" s="75">
        <v>60104609</v>
      </c>
      <c r="B15014" s="76" t="s">
        <v>14200</v>
      </c>
    </row>
    <row r="15015" spans="1:2" x14ac:dyDescent="0.25">
      <c r="A15015" s="75">
        <v>60104610</v>
      </c>
      <c r="B15015" s="76" t="s">
        <v>4092</v>
      </c>
    </row>
    <row r="15016" spans="1:2" x14ac:dyDescent="0.25">
      <c r="A15016" s="75">
        <v>60104611</v>
      </c>
      <c r="B15016" s="76" t="s">
        <v>19095</v>
      </c>
    </row>
    <row r="15017" spans="1:2" x14ac:dyDescent="0.25">
      <c r="A15017" s="75">
        <v>60104612</v>
      </c>
      <c r="B15017" s="76" t="s">
        <v>19470</v>
      </c>
    </row>
    <row r="15018" spans="1:2" x14ac:dyDescent="0.25">
      <c r="A15018" s="75">
        <v>60104701</v>
      </c>
      <c r="B15018" s="76" t="s">
        <v>17309</v>
      </c>
    </row>
    <row r="15019" spans="1:2" x14ac:dyDescent="0.25">
      <c r="A15019" s="75">
        <v>60104702</v>
      </c>
      <c r="B15019" s="76" t="s">
        <v>12544</v>
      </c>
    </row>
    <row r="15020" spans="1:2" x14ac:dyDescent="0.25">
      <c r="A15020" s="75">
        <v>60104703</v>
      </c>
      <c r="B15020" s="76" t="s">
        <v>17258</v>
      </c>
    </row>
    <row r="15021" spans="1:2" x14ac:dyDescent="0.25">
      <c r="A15021" s="75">
        <v>60104704</v>
      </c>
      <c r="B15021" s="76" t="s">
        <v>7244</v>
      </c>
    </row>
    <row r="15022" spans="1:2" x14ac:dyDescent="0.25">
      <c r="A15022" s="75">
        <v>60104705</v>
      </c>
      <c r="B15022" s="76" t="s">
        <v>13077</v>
      </c>
    </row>
    <row r="15023" spans="1:2" x14ac:dyDescent="0.25">
      <c r="A15023" s="75">
        <v>60104706</v>
      </c>
      <c r="B15023" s="76" t="s">
        <v>6184</v>
      </c>
    </row>
    <row r="15024" spans="1:2" x14ac:dyDescent="0.25">
      <c r="A15024" s="75">
        <v>60104707</v>
      </c>
      <c r="B15024" s="76" t="s">
        <v>17009</v>
      </c>
    </row>
    <row r="15025" spans="1:2" x14ac:dyDescent="0.25">
      <c r="A15025" s="75">
        <v>60104708</v>
      </c>
      <c r="B15025" s="76" t="s">
        <v>18550</v>
      </c>
    </row>
    <row r="15026" spans="1:2" x14ac:dyDescent="0.25">
      <c r="A15026" s="75">
        <v>60104801</v>
      </c>
      <c r="B15026" s="76" t="s">
        <v>14352</v>
      </c>
    </row>
    <row r="15027" spans="1:2" x14ac:dyDescent="0.25">
      <c r="A15027" s="75">
        <v>60104802</v>
      </c>
      <c r="B15027" s="76" t="s">
        <v>18866</v>
      </c>
    </row>
    <row r="15028" spans="1:2" x14ac:dyDescent="0.25">
      <c r="A15028" s="75">
        <v>60104803</v>
      </c>
      <c r="B15028" s="76" t="s">
        <v>5546</v>
      </c>
    </row>
    <row r="15029" spans="1:2" x14ac:dyDescent="0.25">
      <c r="A15029" s="75">
        <v>60104804</v>
      </c>
      <c r="B15029" s="76" t="s">
        <v>352</v>
      </c>
    </row>
    <row r="15030" spans="1:2" x14ac:dyDescent="0.25">
      <c r="A15030" s="75">
        <v>60104805</v>
      </c>
      <c r="B15030" s="76" t="s">
        <v>1870</v>
      </c>
    </row>
    <row r="15031" spans="1:2" x14ac:dyDescent="0.25">
      <c r="A15031" s="75">
        <v>60104806</v>
      </c>
      <c r="B15031" s="76" t="s">
        <v>7047</v>
      </c>
    </row>
    <row r="15032" spans="1:2" x14ac:dyDescent="0.25">
      <c r="A15032" s="75">
        <v>60104807</v>
      </c>
      <c r="B15032" s="76" t="s">
        <v>6697</v>
      </c>
    </row>
    <row r="15033" spans="1:2" x14ac:dyDescent="0.25">
      <c r="A15033" s="75">
        <v>60104808</v>
      </c>
      <c r="B15033" s="76" t="s">
        <v>11391</v>
      </c>
    </row>
    <row r="15034" spans="1:2" x14ac:dyDescent="0.25">
      <c r="A15034" s="75">
        <v>60104809</v>
      </c>
      <c r="B15034" s="76" t="s">
        <v>14729</v>
      </c>
    </row>
    <row r="15035" spans="1:2" x14ac:dyDescent="0.25">
      <c r="A15035" s="75">
        <v>60104810</v>
      </c>
      <c r="B15035" s="76" t="s">
        <v>9483</v>
      </c>
    </row>
    <row r="15036" spans="1:2" x14ac:dyDescent="0.25">
      <c r="A15036" s="75">
        <v>60104811</v>
      </c>
      <c r="B15036" s="76" t="s">
        <v>16323</v>
      </c>
    </row>
    <row r="15037" spans="1:2" x14ac:dyDescent="0.25">
      <c r="A15037" s="75">
        <v>60104812</v>
      </c>
      <c r="B15037" s="76" t="s">
        <v>2649</v>
      </c>
    </row>
    <row r="15038" spans="1:2" x14ac:dyDescent="0.25">
      <c r="A15038" s="75">
        <v>60104813</v>
      </c>
      <c r="B15038" s="76" t="s">
        <v>8971</v>
      </c>
    </row>
    <row r="15039" spans="1:2" x14ac:dyDescent="0.25">
      <c r="A15039" s="75">
        <v>60104814</v>
      </c>
      <c r="B15039" s="76" t="s">
        <v>18405</v>
      </c>
    </row>
    <row r="15040" spans="1:2" x14ac:dyDescent="0.25">
      <c r="A15040" s="75">
        <v>60104815</v>
      </c>
      <c r="B15040" s="76" t="s">
        <v>10744</v>
      </c>
    </row>
    <row r="15041" spans="1:2" x14ac:dyDescent="0.25">
      <c r="A15041" s="75">
        <v>60104816</v>
      </c>
      <c r="B15041" s="76" t="s">
        <v>9074</v>
      </c>
    </row>
    <row r="15042" spans="1:2" x14ac:dyDescent="0.25">
      <c r="A15042" s="75">
        <v>60104901</v>
      </c>
      <c r="B15042" s="76" t="s">
        <v>14101</v>
      </c>
    </row>
    <row r="15043" spans="1:2" x14ac:dyDescent="0.25">
      <c r="A15043" s="75">
        <v>60104902</v>
      </c>
      <c r="B15043" s="76" t="s">
        <v>14414</v>
      </c>
    </row>
    <row r="15044" spans="1:2" x14ac:dyDescent="0.25">
      <c r="A15044" s="75">
        <v>60104903</v>
      </c>
      <c r="B15044" s="76" t="s">
        <v>12812</v>
      </c>
    </row>
    <row r="15045" spans="1:2" x14ac:dyDescent="0.25">
      <c r="A15045" s="75">
        <v>60104904</v>
      </c>
      <c r="B15045" s="76" t="s">
        <v>9234</v>
      </c>
    </row>
    <row r="15046" spans="1:2" x14ac:dyDescent="0.25">
      <c r="A15046" s="75">
        <v>60104905</v>
      </c>
      <c r="B15046" s="76" t="s">
        <v>7442</v>
      </c>
    </row>
    <row r="15047" spans="1:2" x14ac:dyDescent="0.25">
      <c r="A15047" s="75">
        <v>60104906</v>
      </c>
      <c r="B15047" s="76" t="s">
        <v>6881</v>
      </c>
    </row>
    <row r="15048" spans="1:2" x14ac:dyDescent="0.25">
      <c r="A15048" s="75">
        <v>60104907</v>
      </c>
      <c r="B15048" s="76" t="s">
        <v>8399</v>
      </c>
    </row>
    <row r="15049" spans="1:2" x14ac:dyDescent="0.25">
      <c r="A15049" s="75">
        <v>60104908</v>
      </c>
      <c r="B15049" s="76" t="s">
        <v>8240</v>
      </c>
    </row>
    <row r="15050" spans="1:2" x14ac:dyDescent="0.25">
      <c r="A15050" s="75">
        <v>60104909</v>
      </c>
      <c r="B15050" s="76" t="s">
        <v>14804</v>
      </c>
    </row>
    <row r="15051" spans="1:2" x14ac:dyDescent="0.25">
      <c r="A15051" s="75">
        <v>60104910</v>
      </c>
      <c r="B15051" s="76" t="s">
        <v>14305</v>
      </c>
    </row>
    <row r="15052" spans="1:2" x14ac:dyDescent="0.25">
      <c r="A15052" s="75">
        <v>60104911</v>
      </c>
      <c r="B15052" s="76" t="s">
        <v>8304</v>
      </c>
    </row>
    <row r="15053" spans="1:2" x14ac:dyDescent="0.25">
      <c r="A15053" s="75">
        <v>60104912</v>
      </c>
      <c r="B15053" s="76" t="s">
        <v>8614</v>
      </c>
    </row>
    <row r="15054" spans="1:2" x14ac:dyDescent="0.25">
      <c r="A15054" s="75">
        <v>60105001</v>
      </c>
      <c r="B15054" s="76" t="s">
        <v>8150</v>
      </c>
    </row>
    <row r="15055" spans="1:2" x14ac:dyDescent="0.25">
      <c r="A15055" s="75">
        <v>60105002</v>
      </c>
      <c r="B15055" s="76" t="s">
        <v>2884</v>
      </c>
    </row>
    <row r="15056" spans="1:2" x14ac:dyDescent="0.25">
      <c r="A15056" s="75">
        <v>60105003</v>
      </c>
      <c r="B15056" s="76" t="s">
        <v>12401</v>
      </c>
    </row>
    <row r="15057" spans="1:2" x14ac:dyDescent="0.25">
      <c r="A15057" s="75">
        <v>60105004</v>
      </c>
      <c r="B15057" s="76" t="s">
        <v>11616</v>
      </c>
    </row>
    <row r="15058" spans="1:2" x14ac:dyDescent="0.25">
      <c r="A15058" s="75">
        <v>60105005</v>
      </c>
      <c r="B15058" s="76" t="s">
        <v>2429</v>
      </c>
    </row>
    <row r="15059" spans="1:2" x14ac:dyDescent="0.25">
      <c r="A15059" s="75">
        <v>60105006</v>
      </c>
      <c r="B15059" s="76" t="s">
        <v>1053</v>
      </c>
    </row>
    <row r="15060" spans="1:2" x14ac:dyDescent="0.25">
      <c r="A15060" s="75">
        <v>60105101</v>
      </c>
      <c r="B15060" s="76" t="s">
        <v>9064</v>
      </c>
    </row>
    <row r="15061" spans="1:2" x14ac:dyDescent="0.25">
      <c r="A15061" s="75">
        <v>60105102</v>
      </c>
      <c r="B15061" s="76" t="s">
        <v>5680</v>
      </c>
    </row>
    <row r="15062" spans="1:2" x14ac:dyDescent="0.25">
      <c r="A15062" s="75">
        <v>60105103</v>
      </c>
      <c r="B15062" s="76" t="s">
        <v>793</v>
      </c>
    </row>
    <row r="15063" spans="1:2" x14ac:dyDescent="0.25">
      <c r="A15063" s="75">
        <v>60105104</v>
      </c>
      <c r="B15063" s="76" t="s">
        <v>11320</v>
      </c>
    </row>
    <row r="15064" spans="1:2" x14ac:dyDescent="0.25">
      <c r="A15064" s="75">
        <v>60105201</v>
      </c>
      <c r="B15064" s="76" t="s">
        <v>7168</v>
      </c>
    </row>
    <row r="15065" spans="1:2" x14ac:dyDescent="0.25">
      <c r="A15065" s="75">
        <v>60105202</v>
      </c>
      <c r="B15065" s="76" t="s">
        <v>5136</v>
      </c>
    </row>
    <row r="15066" spans="1:2" x14ac:dyDescent="0.25">
      <c r="A15066" s="75">
        <v>60105203</v>
      </c>
      <c r="B15066" s="76" t="s">
        <v>1008</v>
      </c>
    </row>
    <row r="15067" spans="1:2" x14ac:dyDescent="0.25">
      <c r="A15067" s="75">
        <v>60105301</v>
      </c>
      <c r="B15067" s="76" t="s">
        <v>11218</v>
      </c>
    </row>
    <row r="15068" spans="1:2" x14ac:dyDescent="0.25">
      <c r="A15068" s="75">
        <v>60105302</v>
      </c>
      <c r="B15068" s="76" t="s">
        <v>18112</v>
      </c>
    </row>
    <row r="15069" spans="1:2" x14ac:dyDescent="0.25">
      <c r="A15069" s="75">
        <v>60105303</v>
      </c>
      <c r="B15069" s="76" t="s">
        <v>3026</v>
      </c>
    </row>
    <row r="15070" spans="1:2" x14ac:dyDescent="0.25">
      <c r="A15070" s="75">
        <v>60105304</v>
      </c>
      <c r="B15070" s="76" t="s">
        <v>14013</v>
      </c>
    </row>
    <row r="15071" spans="1:2" x14ac:dyDescent="0.25">
      <c r="A15071" s="75">
        <v>60105305</v>
      </c>
      <c r="B15071" s="76" t="s">
        <v>9421</v>
      </c>
    </row>
    <row r="15072" spans="1:2" x14ac:dyDescent="0.25">
      <c r="A15072" s="75">
        <v>60105306</v>
      </c>
      <c r="B15072" s="76" t="s">
        <v>9579</v>
      </c>
    </row>
    <row r="15073" spans="1:2" x14ac:dyDescent="0.25">
      <c r="A15073" s="75">
        <v>60105307</v>
      </c>
      <c r="B15073" s="76" t="s">
        <v>15032</v>
      </c>
    </row>
    <row r="15074" spans="1:2" x14ac:dyDescent="0.25">
      <c r="A15074" s="75">
        <v>60105308</v>
      </c>
      <c r="B15074" s="76" t="s">
        <v>17299</v>
      </c>
    </row>
    <row r="15075" spans="1:2" x14ac:dyDescent="0.25">
      <c r="A15075" s="75">
        <v>60105309</v>
      </c>
      <c r="B15075" s="76" t="s">
        <v>8951</v>
      </c>
    </row>
    <row r="15076" spans="1:2" x14ac:dyDescent="0.25">
      <c r="A15076" s="75">
        <v>60105401</v>
      </c>
      <c r="B15076" s="76" t="s">
        <v>11325</v>
      </c>
    </row>
    <row r="15077" spans="1:2" x14ac:dyDescent="0.25">
      <c r="A15077" s="75">
        <v>60105402</v>
      </c>
      <c r="B15077" s="76" t="s">
        <v>2394</v>
      </c>
    </row>
    <row r="15078" spans="1:2" x14ac:dyDescent="0.25">
      <c r="A15078" s="75">
        <v>60105403</v>
      </c>
      <c r="B15078" s="76" t="s">
        <v>9635</v>
      </c>
    </row>
    <row r="15079" spans="1:2" x14ac:dyDescent="0.25">
      <c r="A15079" s="75">
        <v>60105404</v>
      </c>
      <c r="B15079" s="76" t="s">
        <v>14695</v>
      </c>
    </row>
    <row r="15080" spans="1:2" x14ac:dyDescent="0.25">
      <c r="A15080" s="75">
        <v>60105405</v>
      </c>
      <c r="B15080" s="76" t="s">
        <v>17627</v>
      </c>
    </row>
    <row r="15081" spans="1:2" x14ac:dyDescent="0.25">
      <c r="A15081" s="75">
        <v>60105406</v>
      </c>
      <c r="B15081" s="76" t="s">
        <v>18810</v>
      </c>
    </row>
    <row r="15082" spans="1:2" x14ac:dyDescent="0.25">
      <c r="A15082" s="75">
        <v>60105407</v>
      </c>
      <c r="B15082" s="76" t="s">
        <v>10535</v>
      </c>
    </row>
    <row r="15083" spans="1:2" x14ac:dyDescent="0.25">
      <c r="A15083" s="75">
        <v>60105408</v>
      </c>
      <c r="B15083" s="76" t="s">
        <v>1508</v>
      </c>
    </row>
    <row r="15084" spans="1:2" x14ac:dyDescent="0.25">
      <c r="A15084" s="75">
        <v>60105409</v>
      </c>
      <c r="B15084" s="76" t="s">
        <v>255</v>
      </c>
    </row>
    <row r="15085" spans="1:2" x14ac:dyDescent="0.25">
      <c r="A15085" s="75">
        <v>60105410</v>
      </c>
      <c r="B15085" s="76" t="s">
        <v>12074</v>
      </c>
    </row>
    <row r="15086" spans="1:2" x14ac:dyDescent="0.25">
      <c r="A15086" s="75">
        <v>60105411</v>
      </c>
      <c r="B15086" s="76" t="s">
        <v>8629</v>
      </c>
    </row>
    <row r="15087" spans="1:2" x14ac:dyDescent="0.25">
      <c r="A15087" s="75">
        <v>60105412</v>
      </c>
      <c r="B15087" s="76" t="s">
        <v>12019</v>
      </c>
    </row>
    <row r="15088" spans="1:2" x14ac:dyDescent="0.25">
      <c r="A15088" s="75">
        <v>60105413</v>
      </c>
      <c r="B15088" s="76" t="s">
        <v>13105</v>
      </c>
    </row>
    <row r="15089" spans="1:2" x14ac:dyDescent="0.25">
      <c r="A15089" s="75">
        <v>60105414</v>
      </c>
      <c r="B15089" s="76" t="s">
        <v>13527</v>
      </c>
    </row>
    <row r="15090" spans="1:2" x14ac:dyDescent="0.25">
      <c r="A15090" s="75">
        <v>60105415</v>
      </c>
      <c r="B15090" s="76" t="s">
        <v>12214</v>
      </c>
    </row>
    <row r="15091" spans="1:2" x14ac:dyDescent="0.25">
      <c r="A15091" s="75">
        <v>60105416</v>
      </c>
      <c r="B15091" s="76" t="s">
        <v>1476</v>
      </c>
    </row>
    <row r="15092" spans="1:2" x14ac:dyDescent="0.25">
      <c r="A15092" s="75">
        <v>60105417</v>
      </c>
      <c r="B15092" s="76" t="s">
        <v>16752</v>
      </c>
    </row>
    <row r="15093" spans="1:2" x14ac:dyDescent="0.25">
      <c r="A15093" s="75">
        <v>60105418</v>
      </c>
      <c r="B15093" s="76" t="s">
        <v>10255</v>
      </c>
    </row>
    <row r="15094" spans="1:2" x14ac:dyDescent="0.25">
      <c r="A15094" s="75">
        <v>60105419</v>
      </c>
      <c r="B15094" s="76" t="s">
        <v>13030</v>
      </c>
    </row>
    <row r="15095" spans="1:2" x14ac:dyDescent="0.25">
      <c r="A15095" s="75">
        <v>60105420</v>
      </c>
      <c r="B15095" s="76" t="s">
        <v>8600</v>
      </c>
    </row>
    <row r="15096" spans="1:2" x14ac:dyDescent="0.25">
      <c r="A15096" s="75">
        <v>60105421</v>
      </c>
      <c r="B15096" s="76" t="s">
        <v>7955</v>
      </c>
    </row>
    <row r="15097" spans="1:2" x14ac:dyDescent="0.25">
      <c r="A15097" s="75">
        <v>60105422</v>
      </c>
      <c r="B15097" s="76" t="s">
        <v>15603</v>
      </c>
    </row>
    <row r="15098" spans="1:2" x14ac:dyDescent="0.25">
      <c r="A15098" s="75">
        <v>60105423</v>
      </c>
      <c r="B15098" s="76" t="s">
        <v>6125</v>
      </c>
    </row>
    <row r="15099" spans="1:2" x14ac:dyDescent="0.25">
      <c r="A15099" s="75">
        <v>60105424</v>
      </c>
      <c r="B15099" s="76" t="s">
        <v>6187</v>
      </c>
    </row>
    <row r="15100" spans="1:2" x14ac:dyDescent="0.25">
      <c r="A15100" s="75">
        <v>60105425</v>
      </c>
      <c r="B15100" s="76" t="s">
        <v>13956</v>
      </c>
    </row>
    <row r="15101" spans="1:2" x14ac:dyDescent="0.25">
      <c r="A15101" s="75">
        <v>60105426</v>
      </c>
      <c r="B15101" s="76" t="s">
        <v>18147</v>
      </c>
    </row>
    <row r="15102" spans="1:2" x14ac:dyDescent="0.25">
      <c r="A15102" s="75">
        <v>60105427</v>
      </c>
      <c r="B15102" s="76" t="s">
        <v>7038</v>
      </c>
    </row>
    <row r="15103" spans="1:2" x14ac:dyDescent="0.25">
      <c r="A15103" s="75">
        <v>60105428</v>
      </c>
      <c r="B15103" s="76" t="s">
        <v>19054</v>
      </c>
    </row>
    <row r="15104" spans="1:2" x14ac:dyDescent="0.25">
      <c r="A15104" s="75">
        <v>60105429</v>
      </c>
      <c r="B15104" s="76" t="s">
        <v>19191</v>
      </c>
    </row>
    <row r="15105" spans="1:2" x14ac:dyDescent="0.25">
      <c r="A15105" s="75">
        <v>60105501</v>
      </c>
      <c r="B15105" s="76" t="s">
        <v>16842</v>
      </c>
    </row>
    <row r="15106" spans="1:2" x14ac:dyDescent="0.25">
      <c r="A15106" s="75">
        <v>60105502</v>
      </c>
      <c r="B15106" s="76" t="s">
        <v>12553</v>
      </c>
    </row>
    <row r="15107" spans="1:2" x14ac:dyDescent="0.25">
      <c r="A15107" s="75">
        <v>60105503</v>
      </c>
      <c r="B15107" s="76" t="s">
        <v>5023</v>
      </c>
    </row>
    <row r="15108" spans="1:2" x14ac:dyDescent="0.25">
      <c r="A15108" s="75">
        <v>60105504</v>
      </c>
      <c r="B15108" s="76" t="s">
        <v>2244</v>
      </c>
    </row>
    <row r="15109" spans="1:2" x14ac:dyDescent="0.25">
      <c r="A15109" s="75">
        <v>60105505</v>
      </c>
      <c r="B15109" s="76" t="s">
        <v>15067</v>
      </c>
    </row>
    <row r="15110" spans="1:2" x14ac:dyDescent="0.25">
      <c r="A15110" s="75">
        <v>60105601</v>
      </c>
      <c r="B15110" s="76" t="s">
        <v>15181</v>
      </c>
    </row>
    <row r="15111" spans="1:2" x14ac:dyDescent="0.25">
      <c r="A15111" s="75">
        <v>60105602</v>
      </c>
      <c r="B15111" s="76" t="s">
        <v>7521</v>
      </c>
    </row>
    <row r="15112" spans="1:2" x14ac:dyDescent="0.25">
      <c r="A15112" s="75">
        <v>60105603</v>
      </c>
      <c r="B15112" s="76" t="s">
        <v>9951</v>
      </c>
    </row>
    <row r="15113" spans="1:2" x14ac:dyDescent="0.25">
      <c r="A15113" s="75">
        <v>60105604</v>
      </c>
      <c r="B15113" s="76" t="s">
        <v>11260</v>
      </c>
    </row>
    <row r="15114" spans="1:2" x14ac:dyDescent="0.25">
      <c r="A15114" s="75">
        <v>60105605</v>
      </c>
      <c r="B15114" s="76" t="s">
        <v>9488</v>
      </c>
    </row>
    <row r="15115" spans="1:2" x14ac:dyDescent="0.25">
      <c r="A15115" s="75">
        <v>60105606</v>
      </c>
      <c r="B15115" s="76" t="s">
        <v>17330</v>
      </c>
    </row>
    <row r="15116" spans="1:2" x14ac:dyDescent="0.25">
      <c r="A15116" s="75">
        <v>60105607</v>
      </c>
      <c r="B15116" s="76" t="s">
        <v>306</v>
      </c>
    </row>
    <row r="15117" spans="1:2" x14ac:dyDescent="0.25">
      <c r="A15117" s="75">
        <v>60105608</v>
      </c>
      <c r="B15117" s="76" t="s">
        <v>17200</v>
      </c>
    </row>
    <row r="15118" spans="1:2" x14ac:dyDescent="0.25">
      <c r="A15118" s="75">
        <v>60105609</v>
      </c>
      <c r="B15118" s="76" t="s">
        <v>6709</v>
      </c>
    </row>
    <row r="15119" spans="1:2" x14ac:dyDescent="0.25">
      <c r="A15119" s="75">
        <v>60105610</v>
      </c>
      <c r="B15119" s="76" t="s">
        <v>15042</v>
      </c>
    </row>
    <row r="15120" spans="1:2" x14ac:dyDescent="0.25">
      <c r="A15120" s="75">
        <v>60105611</v>
      </c>
      <c r="B15120" s="76" t="s">
        <v>11500</v>
      </c>
    </row>
    <row r="15121" spans="1:2" x14ac:dyDescent="0.25">
      <c r="A15121" s="75">
        <v>60105612</v>
      </c>
      <c r="B15121" s="76" t="s">
        <v>2559</v>
      </c>
    </row>
    <row r="15122" spans="1:2" x14ac:dyDescent="0.25">
      <c r="A15122" s="75">
        <v>60105613</v>
      </c>
      <c r="B15122" s="76" t="s">
        <v>15080</v>
      </c>
    </row>
    <row r="15123" spans="1:2" x14ac:dyDescent="0.25">
      <c r="A15123" s="75">
        <v>60105614</v>
      </c>
      <c r="B15123" s="76" t="s">
        <v>19646</v>
      </c>
    </row>
    <row r="15124" spans="1:2" x14ac:dyDescent="0.25">
      <c r="A15124" s="75">
        <v>60105615</v>
      </c>
      <c r="B15124" s="76" t="s">
        <v>10515</v>
      </c>
    </row>
    <row r="15125" spans="1:2" x14ac:dyDescent="0.25">
      <c r="A15125" s="75">
        <v>60105616</v>
      </c>
      <c r="B15125" s="76" t="s">
        <v>4617</v>
      </c>
    </row>
    <row r="15126" spans="1:2" x14ac:dyDescent="0.25">
      <c r="A15126" s="75">
        <v>60105617</v>
      </c>
      <c r="B15126" s="76" t="s">
        <v>18653</v>
      </c>
    </row>
    <row r="15127" spans="1:2" x14ac:dyDescent="0.25">
      <c r="A15127" s="75">
        <v>60105618</v>
      </c>
      <c r="B15127" s="76" t="s">
        <v>6363</v>
      </c>
    </row>
    <row r="15128" spans="1:2" x14ac:dyDescent="0.25">
      <c r="A15128" s="75">
        <v>60105619</v>
      </c>
      <c r="B15128" s="76" t="s">
        <v>4721</v>
      </c>
    </row>
    <row r="15129" spans="1:2" x14ac:dyDescent="0.25">
      <c r="A15129" s="75">
        <v>60105620</v>
      </c>
      <c r="B15129" s="76" t="s">
        <v>17423</v>
      </c>
    </row>
    <row r="15130" spans="1:2" x14ac:dyDescent="0.25">
      <c r="A15130" s="75">
        <v>60105621</v>
      </c>
      <c r="B15130" s="76" t="s">
        <v>19581</v>
      </c>
    </row>
    <row r="15131" spans="1:2" x14ac:dyDescent="0.25">
      <c r="A15131" s="75">
        <v>60105622</v>
      </c>
      <c r="B15131" s="76" t="s">
        <v>3755</v>
      </c>
    </row>
    <row r="15132" spans="1:2" x14ac:dyDescent="0.25">
      <c r="A15132" s="75">
        <v>60105623</v>
      </c>
      <c r="B15132" s="76" t="s">
        <v>18994</v>
      </c>
    </row>
    <row r="15133" spans="1:2" x14ac:dyDescent="0.25">
      <c r="A15133" s="75">
        <v>60105624</v>
      </c>
      <c r="B15133" s="76" t="s">
        <v>17416</v>
      </c>
    </row>
    <row r="15134" spans="1:2" x14ac:dyDescent="0.25">
      <c r="A15134" s="75">
        <v>60105625</v>
      </c>
      <c r="B15134" s="76" t="s">
        <v>13789</v>
      </c>
    </row>
    <row r="15135" spans="1:2" x14ac:dyDescent="0.25">
      <c r="A15135" s="75">
        <v>60105626</v>
      </c>
      <c r="B15135" s="76" t="s">
        <v>9697</v>
      </c>
    </row>
    <row r="15136" spans="1:2" x14ac:dyDescent="0.25">
      <c r="A15136" s="75">
        <v>60105701</v>
      </c>
      <c r="B15136" s="76" t="s">
        <v>5409</v>
      </c>
    </row>
    <row r="15137" spans="1:2" x14ac:dyDescent="0.25">
      <c r="A15137" s="75">
        <v>60105702</v>
      </c>
      <c r="B15137" s="76" t="s">
        <v>4592</v>
      </c>
    </row>
    <row r="15138" spans="1:2" x14ac:dyDescent="0.25">
      <c r="A15138" s="75">
        <v>60105703</v>
      </c>
      <c r="B15138" s="76" t="s">
        <v>13575</v>
      </c>
    </row>
    <row r="15139" spans="1:2" x14ac:dyDescent="0.25">
      <c r="A15139" s="75">
        <v>60105704</v>
      </c>
      <c r="B15139" s="76" t="s">
        <v>11647</v>
      </c>
    </row>
    <row r="15140" spans="1:2" x14ac:dyDescent="0.25">
      <c r="A15140" s="75">
        <v>60105705</v>
      </c>
      <c r="B15140" s="76" t="s">
        <v>11986</v>
      </c>
    </row>
    <row r="15141" spans="1:2" x14ac:dyDescent="0.25">
      <c r="A15141" s="75">
        <v>60105801</v>
      </c>
      <c r="B15141" s="76" t="s">
        <v>12112</v>
      </c>
    </row>
    <row r="15142" spans="1:2" x14ac:dyDescent="0.25">
      <c r="A15142" s="75">
        <v>60105802</v>
      </c>
      <c r="B15142" s="76" t="s">
        <v>9179</v>
      </c>
    </row>
    <row r="15143" spans="1:2" x14ac:dyDescent="0.25">
      <c r="A15143" s="75">
        <v>60105803</v>
      </c>
      <c r="B15143" s="76" t="s">
        <v>15230</v>
      </c>
    </row>
    <row r="15144" spans="1:2" x14ac:dyDescent="0.25">
      <c r="A15144" s="75">
        <v>60105804</v>
      </c>
      <c r="B15144" s="76" t="s">
        <v>19248</v>
      </c>
    </row>
    <row r="15145" spans="1:2" x14ac:dyDescent="0.25">
      <c r="A15145" s="75">
        <v>60105805</v>
      </c>
      <c r="B15145" s="76" t="s">
        <v>1924</v>
      </c>
    </row>
    <row r="15146" spans="1:2" x14ac:dyDescent="0.25">
      <c r="A15146" s="75">
        <v>60105806</v>
      </c>
      <c r="B15146" s="76" t="s">
        <v>13980</v>
      </c>
    </row>
    <row r="15147" spans="1:2" x14ac:dyDescent="0.25">
      <c r="A15147" s="75">
        <v>60105807</v>
      </c>
      <c r="B15147" s="76" t="s">
        <v>16194</v>
      </c>
    </row>
    <row r="15148" spans="1:2" x14ac:dyDescent="0.25">
      <c r="A15148" s="75">
        <v>60105808</v>
      </c>
      <c r="B15148" s="76" t="s">
        <v>3491</v>
      </c>
    </row>
    <row r="15149" spans="1:2" x14ac:dyDescent="0.25">
      <c r="A15149" s="75">
        <v>60105809</v>
      </c>
      <c r="B15149" s="76" t="s">
        <v>5152</v>
      </c>
    </row>
    <row r="15150" spans="1:2" x14ac:dyDescent="0.25">
      <c r="A15150" s="75">
        <v>60105810</v>
      </c>
      <c r="B15150" s="76" t="s">
        <v>7612</v>
      </c>
    </row>
    <row r="15151" spans="1:2" x14ac:dyDescent="0.25">
      <c r="A15151" s="75">
        <v>60105811</v>
      </c>
      <c r="B15151" s="76" t="s">
        <v>1551</v>
      </c>
    </row>
    <row r="15152" spans="1:2" x14ac:dyDescent="0.25">
      <c r="A15152" s="75">
        <v>60105901</v>
      </c>
      <c r="B15152" s="76" t="s">
        <v>13890</v>
      </c>
    </row>
    <row r="15153" spans="1:2" x14ac:dyDescent="0.25">
      <c r="A15153" s="75">
        <v>60105902</v>
      </c>
      <c r="B15153" s="76" t="s">
        <v>6680</v>
      </c>
    </row>
    <row r="15154" spans="1:2" x14ac:dyDescent="0.25">
      <c r="A15154" s="75">
        <v>60105903</v>
      </c>
      <c r="B15154" s="76" t="s">
        <v>18602</v>
      </c>
    </row>
    <row r="15155" spans="1:2" x14ac:dyDescent="0.25">
      <c r="A15155" s="75">
        <v>60105904</v>
      </c>
      <c r="B15155" s="76" t="s">
        <v>14193</v>
      </c>
    </row>
    <row r="15156" spans="1:2" x14ac:dyDescent="0.25">
      <c r="A15156" s="75">
        <v>60105905</v>
      </c>
      <c r="B15156" s="76" t="s">
        <v>5311</v>
      </c>
    </row>
    <row r="15157" spans="1:2" x14ac:dyDescent="0.25">
      <c r="A15157" s="75">
        <v>60105906</v>
      </c>
      <c r="B15157" s="76" t="s">
        <v>3731</v>
      </c>
    </row>
    <row r="15158" spans="1:2" x14ac:dyDescent="0.25">
      <c r="A15158" s="75">
        <v>60105907</v>
      </c>
      <c r="B15158" s="76" t="s">
        <v>16904</v>
      </c>
    </row>
    <row r="15159" spans="1:2" x14ac:dyDescent="0.25">
      <c r="A15159" s="75">
        <v>60105908</v>
      </c>
      <c r="B15159" s="76" t="s">
        <v>16409</v>
      </c>
    </row>
    <row r="15160" spans="1:2" x14ac:dyDescent="0.25">
      <c r="A15160" s="75">
        <v>60105909</v>
      </c>
      <c r="B15160" s="76" t="s">
        <v>16751</v>
      </c>
    </row>
    <row r="15161" spans="1:2" x14ac:dyDescent="0.25">
      <c r="A15161" s="75">
        <v>60105910</v>
      </c>
      <c r="B15161" s="76" t="s">
        <v>10310</v>
      </c>
    </row>
    <row r="15162" spans="1:2" x14ac:dyDescent="0.25">
      <c r="A15162" s="75">
        <v>60105911</v>
      </c>
      <c r="B15162" s="76" t="s">
        <v>4599</v>
      </c>
    </row>
    <row r="15163" spans="1:2" x14ac:dyDescent="0.25">
      <c r="A15163" s="75">
        <v>60105912</v>
      </c>
      <c r="B15163" s="76" t="s">
        <v>18163</v>
      </c>
    </row>
    <row r="15164" spans="1:2" x14ac:dyDescent="0.25">
      <c r="A15164" s="75">
        <v>60105913</v>
      </c>
      <c r="B15164" s="76" t="s">
        <v>17072</v>
      </c>
    </row>
    <row r="15165" spans="1:2" x14ac:dyDescent="0.25">
      <c r="A15165" s="75">
        <v>60105914</v>
      </c>
      <c r="B15165" s="76" t="s">
        <v>14595</v>
      </c>
    </row>
    <row r="15166" spans="1:2" x14ac:dyDescent="0.25">
      <c r="A15166" s="75">
        <v>60105915</v>
      </c>
      <c r="B15166" s="76" t="s">
        <v>16826</v>
      </c>
    </row>
    <row r="15167" spans="1:2" x14ac:dyDescent="0.25">
      <c r="A15167" s="75">
        <v>60105916</v>
      </c>
      <c r="B15167" s="76" t="s">
        <v>14530</v>
      </c>
    </row>
    <row r="15168" spans="1:2" x14ac:dyDescent="0.25">
      <c r="A15168" s="75">
        <v>60105917</v>
      </c>
      <c r="B15168" s="76" t="s">
        <v>16791</v>
      </c>
    </row>
    <row r="15169" spans="1:2" x14ac:dyDescent="0.25">
      <c r="A15169" s="75">
        <v>60105918</v>
      </c>
      <c r="B15169" s="76" t="s">
        <v>14607</v>
      </c>
    </row>
    <row r="15170" spans="1:2" x14ac:dyDescent="0.25">
      <c r="A15170" s="75">
        <v>60105919</v>
      </c>
      <c r="B15170" s="76" t="s">
        <v>17910</v>
      </c>
    </row>
    <row r="15171" spans="1:2" x14ac:dyDescent="0.25">
      <c r="A15171" s="75">
        <v>60106001</v>
      </c>
      <c r="B15171" s="76" t="s">
        <v>3921</v>
      </c>
    </row>
    <row r="15172" spans="1:2" x14ac:dyDescent="0.25">
      <c r="A15172" s="75">
        <v>60106002</v>
      </c>
      <c r="B15172" s="76" t="s">
        <v>15487</v>
      </c>
    </row>
    <row r="15173" spans="1:2" x14ac:dyDescent="0.25">
      <c r="A15173" s="75">
        <v>60106003</v>
      </c>
      <c r="B15173" s="76" t="s">
        <v>19244</v>
      </c>
    </row>
    <row r="15174" spans="1:2" x14ac:dyDescent="0.25">
      <c r="A15174" s="75">
        <v>60106004</v>
      </c>
      <c r="B15174" s="76" t="s">
        <v>19101</v>
      </c>
    </row>
    <row r="15175" spans="1:2" x14ac:dyDescent="0.25">
      <c r="A15175" s="75">
        <v>60106101</v>
      </c>
      <c r="B15175" s="76" t="s">
        <v>7695</v>
      </c>
    </row>
    <row r="15176" spans="1:2" x14ac:dyDescent="0.25">
      <c r="A15176" s="75">
        <v>60106102</v>
      </c>
      <c r="B15176" s="76" t="s">
        <v>15223</v>
      </c>
    </row>
    <row r="15177" spans="1:2" x14ac:dyDescent="0.25">
      <c r="A15177" s="75">
        <v>60106103</v>
      </c>
      <c r="B15177" s="76" t="s">
        <v>3002</v>
      </c>
    </row>
    <row r="15178" spans="1:2" x14ac:dyDescent="0.25">
      <c r="A15178" s="75">
        <v>60106104</v>
      </c>
      <c r="B15178" s="76" t="s">
        <v>838</v>
      </c>
    </row>
    <row r="15179" spans="1:2" x14ac:dyDescent="0.25">
      <c r="A15179" s="75">
        <v>60106105</v>
      </c>
      <c r="B15179" s="76" t="s">
        <v>956</v>
      </c>
    </row>
    <row r="15180" spans="1:2" x14ac:dyDescent="0.25">
      <c r="A15180" s="75">
        <v>60106106</v>
      </c>
      <c r="B15180" s="76" t="s">
        <v>18681</v>
      </c>
    </row>
    <row r="15181" spans="1:2" x14ac:dyDescent="0.25">
      <c r="A15181" s="75">
        <v>60106107</v>
      </c>
      <c r="B15181" s="76" t="s">
        <v>13416</v>
      </c>
    </row>
    <row r="15182" spans="1:2" x14ac:dyDescent="0.25">
      <c r="A15182" s="75">
        <v>60106108</v>
      </c>
      <c r="B15182" s="76" t="s">
        <v>18258</v>
      </c>
    </row>
    <row r="15183" spans="1:2" x14ac:dyDescent="0.25">
      <c r="A15183" s="75">
        <v>60106109</v>
      </c>
      <c r="B15183" s="76" t="s">
        <v>14716</v>
      </c>
    </row>
    <row r="15184" spans="1:2" x14ac:dyDescent="0.25">
      <c r="A15184" s="75">
        <v>60106201</v>
      </c>
      <c r="B15184" s="76" t="s">
        <v>17574</v>
      </c>
    </row>
    <row r="15185" spans="1:2" x14ac:dyDescent="0.25">
      <c r="A15185" s="75">
        <v>60106202</v>
      </c>
      <c r="B15185" s="76" t="s">
        <v>12267</v>
      </c>
    </row>
    <row r="15186" spans="1:2" x14ac:dyDescent="0.25">
      <c r="A15186" s="75">
        <v>60106203</v>
      </c>
      <c r="B15186" s="76" t="s">
        <v>16695</v>
      </c>
    </row>
    <row r="15187" spans="1:2" x14ac:dyDescent="0.25">
      <c r="A15187" s="75">
        <v>60106204</v>
      </c>
      <c r="B15187" s="76" t="s">
        <v>17550</v>
      </c>
    </row>
    <row r="15188" spans="1:2" x14ac:dyDescent="0.25">
      <c r="A15188" s="75">
        <v>60106205</v>
      </c>
      <c r="B15188" s="76" t="s">
        <v>19769</v>
      </c>
    </row>
    <row r="15189" spans="1:2" x14ac:dyDescent="0.25">
      <c r="A15189" s="75">
        <v>60106206</v>
      </c>
      <c r="B15189" s="76" t="s">
        <v>6971</v>
      </c>
    </row>
    <row r="15190" spans="1:2" x14ac:dyDescent="0.25">
      <c r="A15190" s="75">
        <v>60106207</v>
      </c>
      <c r="B15190" s="76" t="s">
        <v>18100</v>
      </c>
    </row>
    <row r="15191" spans="1:2" x14ac:dyDescent="0.25">
      <c r="A15191" s="75">
        <v>60106208</v>
      </c>
      <c r="B15191" s="76" t="s">
        <v>12974</v>
      </c>
    </row>
    <row r="15192" spans="1:2" x14ac:dyDescent="0.25">
      <c r="A15192" s="75">
        <v>60106209</v>
      </c>
      <c r="B15192" s="76" t="s">
        <v>3786</v>
      </c>
    </row>
    <row r="15193" spans="1:2" x14ac:dyDescent="0.25">
      <c r="A15193" s="75">
        <v>60106210</v>
      </c>
      <c r="B15193" s="76" t="s">
        <v>13656</v>
      </c>
    </row>
    <row r="15194" spans="1:2" x14ac:dyDescent="0.25">
      <c r="A15194" s="75">
        <v>60106211</v>
      </c>
      <c r="B15194" s="76" t="s">
        <v>19092</v>
      </c>
    </row>
    <row r="15195" spans="1:2" x14ac:dyDescent="0.25">
      <c r="A15195" s="75">
        <v>60106212</v>
      </c>
      <c r="B15195" s="76" t="s">
        <v>15420</v>
      </c>
    </row>
    <row r="15196" spans="1:2" x14ac:dyDescent="0.25">
      <c r="A15196" s="75">
        <v>60106213</v>
      </c>
      <c r="B15196" s="76" t="s">
        <v>564</v>
      </c>
    </row>
    <row r="15197" spans="1:2" x14ac:dyDescent="0.25">
      <c r="A15197" s="75">
        <v>60106214</v>
      </c>
      <c r="B15197" s="76" t="s">
        <v>17599</v>
      </c>
    </row>
    <row r="15198" spans="1:2" x14ac:dyDescent="0.25">
      <c r="A15198" s="75">
        <v>60106215</v>
      </c>
      <c r="B15198" s="76" t="s">
        <v>9843</v>
      </c>
    </row>
    <row r="15199" spans="1:2" x14ac:dyDescent="0.25">
      <c r="A15199" s="75">
        <v>60106301</v>
      </c>
      <c r="B15199" s="76" t="s">
        <v>17510</v>
      </c>
    </row>
    <row r="15200" spans="1:2" x14ac:dyDescent="0.25">
      <c r="A15200" s="75">
        <v>60106302</v>
      </c>
      <c r="B15200" s="76" t="s">
        <v>14425</v>
      </c>
    </row>
    <row r="15201" spans="1:2" x14ac:dyDescent="0.25">
      <c r="A15201" s="75">
        <v>60106401</v>
      </c>
      <c r="B15201" s="76" t="s">
        <v>10870</v>
      </c>
    </row>
    <row r="15202" spans="1:2" x14ac:dyDescent="0.25">
      <c r="A15202" s="75">
        <v>60106402</v>
      </c>
      <c r="B15202" s="76" t="s">
        <v>15312</v>
      </c>
    </row>
    <row r="15203" spans="1:2" x14ac:dyDescent="0.25">
      <c r="A15203" s="75">
        <v>60111001</v>
      </c>
      <c r="B15203" s="76" t="s">
        <v>19180</v>
      </c>
    </row>
    <row r="15204" spans="1:2" x14ac:dyDescent="0.25">
      <c r="A15204" s="75">
        <v>60111002</v>
      </c>
      <c r="B15204" s="76" t="s">
        <v>6335</v>
      </c>
    </row>
    <row r="15205" spans="1:2" x14ac:dyDescent="0.25">
      <c r="A15205" s="75">
        <v>60111003</v>
      </c>
      <c r="B15205" s="76" t="s">
        <v>5052</v>
      </c>
    </row>
    <row r="15206" spans="1:2" x14ac:dyDescent="0.25">
      <c r="A15206" s="75">
        <v>60111004</v>
      </c>
      <c r="B15206" s="76" t="s">
        <v>5072</v>
      </c>
    </row>
    <row r="15207" spans="1:2" x14ac:dyDescent="0.25">
      <c r="A15207" s="75">
        <v>60111005</v>
      </c>
      <c r="B15207" s="76" t="s">
        <v>5026</v>
      </c>
    </row>
    <row r="15208" spans="1:2" x14ac:dyDescent="0.25">
      <c r="A15208" s="75">
        <v>60111101</v>
      </c>
      <c r="B15208" s="76" t="s">
        <v>3051</v>
      </c>
    </row>
    <row r="15209" spans="1:2" x14ac:dyDescent="0.25">
      <c r="A15209" s="75">
        <v>60111102</v>
      </c>
      <c r="B15209" s="76" t="s">
        <v>14413</v>
      </c>
    </row>
    <row r="15210" spans="1:2" x14ac:dyDescent="0.25">
      <c r="A15210" s="75">
        <v>60111103</v>
      </c>
      <c r="B15210" s="76" t="s">
        <v>2838</v>
      </c>
    </row>
    <row r="15211" spans="1:2" x14ac:dyDescent="0.25">
      <c r="A15211" s="75">
        <v>60111104</v>
      </c>
      <c r="B15211" s="76" t="s">
        <v>16109</v>
      </c>
    </row>
    <row r="15212" spans="1:2" x14ac:dyDescent="0.25">
      <c r="A15212" s="75">
        <v>60111105</v>
      </c>
      <c r="B15212" s="76" t="s">
        <v>17119</v>
      </c>
    </row>
    <row r="15213" spans="1:2" x14ac:dyDescent="0.25">
      <c r="A15213" s="75">
        <v>60111106</v>
      </c>
      <c r="B15213" s="76" t="s">
        <v>7417</v>
      </c>
    </row>
    <row r="15214" spans="1:2" x14ac:dyDescent="0.25">
      <c r="A15214" s="75">
        <v>60111107</v>
      </c>
      <c r="B15214" s="76" t="s">
        <v>12768</v>
      </c>
    </row>
    <row r="15215" spans="1:2" x14ac:dyDescent="0.25">
      <c r="A15215" s="75">
        <v>60111108</v>
      </c>
      <c r="B15215" s="76" t="s">
        <v>9029</v>
      </c>
    </row>
    <row r="15216" spans="1:2" x14ac:dyDescent="0.25">
      <c r="A15216" s="75">
        <v>60111109</v>
      </c>
      <c r="B15216" s="76" t="s">
        <v>15335</v>
      </c>
    </row>
    <row r="15217" spans="1:2" x14ac:dyDescent="0.25">
      <c r="A15217" s="75">
        <v>60111201</v>
      </c>
      <c r="B15217" s="76" t="s">
        <v>7484</v>
      </c>
    </row>
    <row r="15218" spans="1:2" x14ac:dyDescent="0.25">
      <c r="A15218" s="75">
        <v>60111202</v>
      </c>
      <c r="B15218" s="76" t="s">
        <v>861</v>
      </c>
    </row>
    <row r="15219" spans="1:2" x14ac:dyDescent="0.25">
      <c r="A15219" s="75">
        <v>60111203</v>
      </c>
      <c r="B15219" s="76" t="s">
        <v>1537</v>
      </c>
    </row>
    <row r="15220" spans="1:2" x14ac:dyDescent="0.25">
      <c r="A15220" s="75">
        <v>60111204</v>
      </c>
      <c r="B15220" s="76" t="s">
        <v>1543</v>
      </c>
    </row>
    <row r="15221" spans="1:2" x14ac:dyDescent="0.25">
      <c r="A15221" s="75">
        <v>60111205</v>
      </c>
      <c r="B15221" s="76" t="s">
        <v>4970</v>
      </c>
    </row>
    <row r="15222" spans="1:2" x14ac:dyDescent="0.25">
      <c r="A15222" s="75">
        <v>60111206</v>
      </c>
      <c r="B15222" s="76" t="s">
        <v>5755</v>
      </c>
    </row>
    <row r="15223" spans="1:2" x14ac:dyDescent="0.25">
      <c r="A15223" s="75">
        <v>60111207</v>
      </c>
      <c r="B15223" s="76" t="s">
        <v>14613</v>
      </c>
    </row>
    <row r="15224" spans="1:2" x14ac:dyDescent="0.25">
      <c r="A15224" s="75">
        <v>60111208</v>
      </c>
      <c r="B15224" s="76" t="s">
        <v>14245</v>
      </c>
    </row>
    <row r="15225" spans="1:2" x14ac:dyDescent="0.25">
      <c r="A15225" s="75">
        <v>60111301</v>
      </c>
      <c r="B15225" s="76" t="s">
        <v>13107</v>
      </c>
    </row>
    <row r="15226" spans="1:2" x14ac:dyDescent="0.25">
      <c r="A15226" s="75">
        <v>60111302</v>
      </c>
      <c r="B15226" s="76" t="s">
        <v>4799</v>
      </c>
    </row>
    <row r="15227" spans="1:2" x14ac:dyDescent="0.25">
      <c r="A15227" s="75">
        <v>60111303</v>
      </c>
      <c r="B15227" s="76" t="s">
        <v>5051</v>
      </c>
    </row>
    <row r="15228" spans="1:2" x14ac:dyDescent="0.25">
      <c r="A15228" s="75">
        <v>60111304</v>
      </c>
      <c r="B15228" s="76" t="s">
        <v>18424</v>
      </c>
    </row>
    <row r="15229" spans="1:2" x14ac:dyDescent="0.25">
      <c r="A15229" s="75">
        <v>60111305</v>
      </c>
      <c r="B15229" s="76" t="s">
        <v>17134</v>
      </c>
    </row>
    <row r="15230" spans="1:2" x14ac:dyDescent="0.25">
      <c r="A15230" s="75">
        <v>60111306</v>
      </c>
      <c r="B15230" s="76" t="s">
        <v>18478</v>
      </c>
    </row>
    <row r="15231" spans="1:2" x14ac:dyDescent="0.25">
      <c r="A15231" s="75">
        <v>60111401</v>
      </c>
      <c r="B15231" s="76" t="s">
        <v>14123</v>
      </c>
    </row>
    <row r="15232" spans="1:2" x14ac:dyDescent="0.25">
      <c r="A15232" s="75">
        <v>60111402</v>
      </c>
      <c r="B15232" s="76" t="s">
        <v>10883</v>
      </c>
    </row>
    <row r="15233" spans="1:2" x14ac:dyDescent="0.25">
      <c r="A15233" s="75">
        <v>60111403</v>
      </c>
      <c r="B15233" s="76" t="s">
        <v>18167</v>
      </c>
    </row>
    <row r="15234" spans="1:2" x14ac:dyDescent="0.25">
      <c r="A15234" s="75">
        <v>60111404</v>
      </c>
      <c r="B15234" s="76" t="s">
        <v>3449</v>
      </c>
    </row>
    <row r="15235" spans="1:2" x14ac:dyDescent="0.25">
      <c r="A15235" s="75">
        <v>60111405</v>
      </c>
      <c r="B15235" s="76" t="s">
        <v>7084</v>
      </c>
    </row>
    <row r="15236" spans="1:2" x14ac:dyDescent="0.25">
      <c r="A15236" s="75">
        <v>60111407</v>
      </c>
      <c r="B15236" s="76" t="s">
        <v>13274</v>
      </c>
    </row>
    <row r="15237" spans="1:2" x14ac:dyDescent="0.25">
      <c r="A15237" s="75">
        <v>60111408</v>
      </c>
      <c r="B15237" s="76" t="s">
        <v>3275</v>
      </c>
    </row>
    <row r="15238" spans="1:2" x14ac:dyDescent="0.25">
      <c r="A15238" s="75">
        <v>60111409</v>
      </c>
      <c r="B15238" s="76" t="s">
        <v>13328</v>
      </c>
    </row>
    <row r="15239" spans="1:2" x14ac:dyDescent="0.25">
      <c r="A15239" s="75">
        <v>60111410</v>
      </c>
      <c r="B15239" s="76" t="s">
        <v>11965</v>
      </c>
    </row>
    <row r="15240" spans="1:2" x14ac:dyDescent="0.25">
      <c r="A15240" s="75">
        <v>60111411</v>
      </c>
      <c r="B15240" s="76" t="s">
        <v>15705</v>
      </c>
    </row>
    <row r="15241" spans="1:2" x14ac:dyDescent="0.25">
      <c r="A15241" s="75">
        <v>60121001</v>
      </c>
      <c r="B15241" s="76" t="s">
        <v>18510</v>
      </c>
    </row>
    <row r="15242" spans="1:2" x14ac:dyDescent="0.25">
      <c r="A15242" s="75">
        <v>60121002</v>
      </c>
      <c r="B15242" s="76" t="s">
        <v>5147</v>
      </c>
    </row>
    <row r="15243" spans="1:2" x14ac:dyDescent="0.25">
      <c r="A15243" s="75">
        <v>60121003</v>
      </c>
      <c r="B15243" s="76" t="s">
        <v>12646</v>
      </c>
    </row>
    <row r="15244" spans="1:2" x14ac:dyDescent="0.25">
      <c r="A15244" s="75">
        <v>60121004</v>
      </c>
      <c r="B15244" s="76" t="s">
        <v>1443</v>
      </c>
    </row>
    <row r="15245" spans="1:2" x14ac:dyDescent="0.25">
      <c r="A15245" s="75">
        <v>60121005</v>
      </c>
      <c r="B15245" s="76" t="s">
        <v>16059</v>
      </c>
    </row>
    <row r="15246" spans="1:2" x14ac:dyDescent="0.25">
      <c r="A15246" s="75">
        <v>60121006</v>
      </c>
      <c r="B15246" s="76" t="s">
        <v>15242</v>
      </c>
    </row>
    <row r="15247" spans="1:2" x14ac:dyDescent="0.25">
      <c r="A15247" s="75">
        <v>60121007</v>
      </c>
      <c r="B15247" s="76" t="s">
        <v>1417</v>
      </c>
    </row>
    <row r="15248" spans="1:2" x14ac:dyDescent="0.25">
      <c r="A15248" s="75">
        <v>60121008</v>
      </c>
      <c r="B15248" s="76" t="s">
        <v>19692</v>
      </c>
    </row>
    <row r="15249" spans="1:2" x14ac:dyDescent="0.25">
      <c r="A15249" s="75">
        <v>60121009</v>
      </c>
      <c r="B15249" s="76" t="s">
        <v>19706</v>
      </c>
    </row>
    <row r="15250" spans="1:2" x14ac:dyDescent="0.25">
      <c r="A15250" s="75">
        <v>60121010</v>
      </c>
      <c r="B15250" s="76" t="s">
        <v>16314</v>
      </c>
    </row>
    <row r="15251" spans="1:2" x14ac:dyDescent="0.25">
      <c r="A15251" s="75">
        <v>60121011</v>
      </c>
      <c r="B15251" s="76" t="s">
        <v>15201</v>
      </c>
    </row>
    <row r="15252" spans="1:2" x14ac:dyDescent="0.25">
      <c r="A15252" s="75">
        <v>60121012</v>
      </c>
      <c r="B15252" s="76" t="s">
        <v>9923</v>
      </c>
    </row>
    <row r="15253" spans="1:2" x14ac:dyDescent="0.25">
      <c r="A15253" s="75">
        <v>60121101</v>
      </c>
      <c r="B15253" s="76" t="s">
        <v>15387</v>
      </c>
    </row>
    <row r="15254" spans="1:2" x14ac:dyDescent="0.25">
      <c r="A15254" s="75">
        <v>60121102</v>
      </c>
      <c r="B15254" s="76" t="s">
        <v>6451</v>
      </c>
    </row>
    <row r="15255" spans="1:2" x14ac:dyDescent="0.25">
      <c r="A15255" s="75">
        <v>60121103</v>
      </c>
      <c r="B15255" s="76" t="s">
        <v>13152</v>
      </c>
    </row>
    <row r="15256" spans="1:2" x14ac:dyDescent="0.25">
      <c r="A15256" s="75">
        <v>60121104</v>
      </c>
      <c r="B15256" s="76" t="s">
        <v>6771</v>
      </c>
    </row>
    <row r="15257" spans="1:2" x14ac:dyDescent="0.25">
      <c r="A15257" s="75">
        <v>60121105</v>
      </c>
      <c r="B15257" s="76" t="s">
        <v>14891</v>
      </c>
    </row>
    <row r="15258" spans="1:2" x14ac:dyDescent="0.25">
      <c r="A15258" s="75">
        <v>60121106</v>
      </c>
      <c r="B15258" s="76" t="s">
        <v>9682</v>
      </c>
    </row>
    <row r="15259" spans="1:2" x14ac:dyDescent="0.25">
      <c r="A15259" s="75">
        <v>60121107</v>
      </c>
      <c r="B15259" s="76" t="s">
        <v>1773</v>
      </c>
    </row>
    <row r="15260" spans="1:2" x14ac:dyDescent="0.25">
      <c r="A15260" s="75">
        <v>60121108</v>
      </c>
      <c r="B15260" s="76" t="s">
        <v>17914</v>
      </c>
    </row>
    <row r="15261" spans="1:2" x14ac:dyDescent="0.25">
      <c r="A15261" s="75">
        <v>60121109</v>
      </c>
      <c r="B15261" s="76" t="s">
        <v>18517</v>
      </c>
    </row>
    <row r="15262" spans="1:2" x14ac:dyDescent="0.25">
      <c r="A15262" s="75">
        <v>60121110</v>
      </c>
      <c r="B15262" s="76" t="s">
        <v>19079</v>
      </c>
    </row>
    <row r="15263" spans="1:2" x14ac:dyDescent="0.25">
      <c r="A15263" s="75">
        <v>60121111</v>
      </c>
      <c r="B15263" s="76" t="s">
        <v>2071</v>
      </c>
    </row>
    <row r="15264" spans="1:2" x14ac:dyDescent="0.25">
      <c r="A15264" s="75">
        <v>60121112</v>
      </c>
      <c r="B15264" s="76" t="s">
        <v>6566</v>
      </c>
    </row>
    <row r="15265" spans="1:2" x14ac:dyDescent="0.25">
      <c r="A15265" s="75">
        <v>60121113</v>
      </c>
      <c r="B15265" s="76" t="s">
        <v>1777</v>
      </c>
    </row>
    <row r="15266" spans="1:2" x14ac:dyDescent="0.25">
      <c r="A15266" s="75">
        <v>60121114</v>
      </c>
      <c r="B15266" s="76" t="s">
        <v>10387</v>
      </c>
    </row>
    <row r="15267" spans="1:2" x14ac:dyDescent="0.25">
      <c r="A15267" s="75">
        <v>60121115</v>
      </c>
      <c r="B15267" s="76" t="s">
        <v>18665</v>
      </c>
    </row>
    <row r="15268" spans="1:2" x14ac:dyDescent="0.25">
      <c r="A15268" s="75">
        <v>60121116</v>
      </c>
      <c r="B15268" s="76" t="s">
        <v>5272</v>
      </c>
    </row>
    <row r="15269" spans="1:2" x14ac:dyDescent="0.25">
      <c r="A15269" s="75">
        <v>60121117</v>
      </c>
      <c r="B15269" s="76" t="s">
        <v>9283</v>
      </c>
    </row>
    <row r="15270" spans="1:2" x14ac:dyDescent="0.25">
      <c r="A15270" s="75">
        <v>60121118</v>
      </c>
      <c r="B15270" s="76" t="s">
        <v>515</v>
      </c>
    </row>
    <row r="15271" spans="1:2" x14ac:dyDescent="0.25">
      <c r="A15271" s="75">
        <v>60121119</v>
      </c>
      <c r="B15271" s="76" t="s">
        <v>16362</v>
      </c>
    </row>
    <row r="15272" spans="1:2" x14ac:dyDescent="0.25">
      <c r="A15272" s="75">
        <v>60121120</v>
      </c>
      <c r="B15272" s="76" t="s">
        <v>13655</v>
      </c>
    </row>
    <row r="15273" spans="1:2" x14ac:dyDescent="0.25">
      <c r="A15273" s="75">
        <v>60121121</v>
      </c>
      <c r="B15273" s="76" t="s">
        <v>18860</v>
      </c>
    </row>
    <row r="15274" spans="1:2" x14ac:dyDescent="0.25">
      <c r="A15274" s="75">
        <v>60121123</v>
      </c>
      <c r="B15274" s="76" t="s">
        <v>13079</v>
      </c>
    </row>
    <row r="15275" spans="1:2" x14ac:dyDescent="0.25">
      <c r="A15275" s="75">
        <v>60121124</v>
      </c>
      <c r="B15275" s="76" t="s">
        <v>10481</v>
      </c>
    </row>
    <row r="15276" spans="1:2" x14ac:dyDescent="0.25">
      <c r="A15276" s="75">
        <v>60121125</v>
      </c>
      <c r="B15276" s="76" t="s">
        <v>17221</v>
      </c>
    </row>
    <row r="15277" spans="1:2" x14ac:dyDescent="0.25">
      <c r="A15277" s="75">
        <v>60121126</v>
      </c>
      <c r="B15277" s="76" t="s">
        <v>3126</v>
      </c>
    </row>
    <row r="15278" spans="1:2" x14ac:dyDescent="0.25">
      <c r="A15278" s="75">
        <v>60121127</v>
      </c>
      <c r="B15278" s="76" t="s">
        <v>9062</v>
      </c>
    </row>
    <row r="15279" spans="1:2" x14ac:dyDescent="0.25">
      <c r="A15279" s="75">
        <v>60121128</v>
      </c>
      <c r="B15279" s="76" t="s">
        <v>19166</v>
      </c>
    </row>
    <row r="15280" spans="1:2" x14ac:dyDescent="0.25">
      <c r="A15280" s="75">
        <v>60121129</v>
      </c>
      <c r="B15280" s="76" t="s">
        <v>4198</v>
      </c>
    </row>
    <row r="15281" spans="1:2" x14ac:dyDescent="0.25">
      <c r="A15281" s="75">
        <v>60121130</v>
      </c>
      <c r="B15281" s="76" t="s">
        <v>15156</v>
      </c>
    </row>
    <row r="15282" spans="1:2" x14ac:dyDescent="0.25">
      <c r="A15282" s="75">
        <v>60121131</v>
      </c>
      <c r="B15282" s="76" t="s">
        <v>16346</v>
      </c>
    </row>
    <row r="15283" spans="1:2" x14ac:dyDescent="0.25">
      <c r="A15283" s="75">
        <v>60121132</v>
      </c>
      <c r="B15283" s="76" t="s">
        <v>18543</v>
      </c>
    </row>
    <row r="15284" spans="1:2" x14ac:dyDescent="0.25">
      <c r="A15284" s="75">
        <v>60121133</v>
      </c>
      <c r="B15284" s="76" t="s">
        <v>7908</v>
      </c>
    </row>
    <row r="15285" spans="1:2" x14ac:dyDescent="0.25">
      <c r="A15285" s="75">
        <v>60121134</v>
      </c>
      <c r="B15285" s="76" t="s">
        <v>15997</v>
      </c>
    </row>
    <row r="15286" spans="1:2" x14ac:dyDescent="0.25">
      <c r="A15286" s="75">
        <v>60121135</v>
      </c>
      <c r="B15286" s="76" t="s">
        <v>4284</v>
      </c>
    </row>
    <row r="15287" spans="1:2" x14ac:dyDescent="0.25">
      <c r="A15287" s="75">
        <v>60121136</v>
      </c>
      <c r="B15287" s="76" t="s">
        <v>15256</v>
      </c>
    </row>
    <row r="15288" spans="1:2" x14ac:dyDescent="0.25">
      <c r="A15288" s="75">
        <v>60121137</v>
      </c>
      <c r="B15288" s="76" t="s">
        <v>12337</v>
      </c>
    </row>
    <row r="15289" spans="1:2" x14ac:dyDescent="0.25">
      <c r="A15289" s="75">
        <v>60121138</v>
      </c>
      <c r="B15289" s="76" t="s">
        <v>15175</v>
      </c>
    </row>
    <row r="15290" spans="1:2" x14ac:dyDescent="0.25">
      <c r="A15290" s="75">
        <v>60121139</v>
      </c>
      <c r="B15290" s="76" t="s">
        <v>14520</v>
      </c>
    </row>
    <row r="15291" spans="1:2" x14ac:dyDescent="0.25">
      <c r="A15291" s="75">
        <v>60121140</v>
      </c>
      <c r="B15291" s="76" t="s">
        <v>6752</v>
      </c>
    </row>
    <row r="15292" spans="1:2" x14ac:dyDescent="0.25">
      <c r="A15292" s="75">
        <v>60121141</v>
      </c>
      <c r="B15292" s="76" t="s">
        <v>736</v>
      </c>
    </row>
    <row r="15293" spans="1:2" x14ac:dyDescent="0.25">
      <c r="A15293" s="75">
        <v>60121142</v>
      </c>
      <c r="B15293" s="76" t="s">
        <v>6908</v>
      </c>
    </row>
    <row r="15294" spans="1:2" x14ac:dyDescent="0.25">
      <c r="A15294" s="75">
        <v>60121143</v>
      </c>
      <c r="B15294" s="76" t="s">
        <v>11722</v>
      </c>
    </row>
    <row r="15295" spans="1:2" x14ac:dyDescent="0.25">
      <c r="A15295" s="75">
        <v>60121144</v>
      </c>
      <c r="B15295" s="76" t="s">
        <v>18772</v>
      </c>
    </row>
    <row r="15296" spans="1:2" x14ac:dyDescent="0.25">
      <c r="A15296" s="75">
        <v>60121145</v>
      </c>
      <c r="B15296" s="76" t="s">
        <v>953</v>
      </c>
    </row>
    <row r="15297" spans="1:2" x14ac:dyDescent="0.25">
      <c r="A15297" s="75">
        <v>60121146</v>
      </c>
      <c r="B15297" s="76" t="s">
        <v>5298</v>
      </c>
    </row>
    <row r="15298" spans="1:2" x14ac:dyDescent="0.25">
      <c r="A15298" s="75">
        <v>60121147</v>
      </c>
      <c r="B15298" s="76" t="s">
        <v>17611</v>
      </c>
    </row>
    <row r="15299" spans="1:2" x14ac:dyDescent="0.25">
      <c r="A15299" s="75">
        <v>60121148</v>
      </c>
      <c r="B15299" s="76" t="s">
        <v>2755</v>
      </c>
    </row>
    <row r="15300" spans="1:2" x14ac:dyDescent="0.25">
      <c r="A15300" s="75">
        <v>60121149</v>
      </c>
      <c r="B15300" s="76" t="s">
        <v>9104</v>
      </c>
    </row>
    <row r="15301" spans="1:2" x14ac:dyDescent="0.25">
      <c r="A15301" s="75">
        <v>60121150</v>
      </c>
      <c r="B15301" s="76" t="s">
        <v>4981</v>
      </c>
    </row>
    <row r="15302" spans="1:2" x14ac:dyDescent="0.25">
      <c r="A15302" s="75">
        <v>60121151</v>
      </c>
      <c r="B15302" s="76" t="s">
        <v>15476</v>
      </c>
    </row>
    <row r="15303" spans="1:2" x14ac:dyDescent="0.25">
      <c r="A15303" s="75">
        <v>60121152</v>
      </c>
      <c r="B15303" s="76" t="s">
        <v>18874</v>
      </c>
    </row>
    <row r="15304" spans="1:2" x14ac:dyDescent="0.25">
      <c r="A15304" s="75">
        <v>60121153</v>
      </c>
      <c r="B15304" s="76" t="s">
        <v>11823</v>
      </c>
    </row>
    <row r="15305" spans="1:2" x14ac:dyDescent="0.25">
      <c r="A15305" s="75">
        <v>60121201</v>
      </c>
      <c r="B15305" s="76" t="s">
        <v>16257</v>
      </c>
    </row>
    <row r="15306" spans="1:2" x14ac:dyDescent="0.25">
      <c r="A15306" s="75">
        <v>60121202</v>
      </c>
      <c r="B15306" s="76" t="s">
        <v>10558</v>
      </c>
    </row>
    <row r="15307" spans="1:2" x14ac:dyDescent="0.25">
      <c r="A15307" s="75">
        <v>60121203</v>
      </c>
      <c r="B15307" s="76" t="s">
        <v>15153</v>
      </c>
    </row>
    <row r="15308" spans="1:2" x14ac:dyDescent="0.25">
      <c r="A15308" s="75">
        <v>60121204</v>
      </c>
      <c r="B15308" s="76" t="s">
        <v>6204</v>
      </c>
    </row>
    <row r="15309" spans="1:2" x14ac:dyDescent="0.25">
      <c r="A15309" s="75">
        <v>60121205</v>
      </c>
      <c r="B15309" s="76" t="s">
        <v>3938</v>
      </c>
    </row>
    <row r="15310" spans="1:2" x14ac:dyDescent="0.25">
      <c r="A15310" s="75">
        <v>60121206</v>
      </c>
      <c r="B15310" s="76" t="s">
        <v>602</v>
      </c>
    </row>
    <row r="15311" spans="1:2" x14ac:dyDescent="0.25">
      <c r="A15311" s="75">
        <v>60121207</v>
      </c>
      <c r="B15311" s="76" t="s">
        <v>12896</v>
      </c>
    </row>
    <row r="15312" spans="1:2" x14ac:dyDescent="0.25">
      <c r="A15312" s="75">
        <v>60121208</v>
      </c>
      <c r="B15312" s="76" t="s">
        <v>10099</v>
      </c>
    </row>
    <row r="15313" spans="1:2" x14ac:dyDescent="0.25">
      <c r="A15313" s="75">
        <v>60121209</v>
      </c>
      <c r="B15313" s="76" t="s">
        <v>18658</v>
      </c>
    </row>
    <row r="15314" spans="1:2" x14ac:dyDescent="0.25">
      <c r="A15314" s="75">
        <v>60121210</v>
      </c>
      <c r="B15314" s="76" t="s">
        <v>18054</v>
      </c>
    </row>
    <row r="15315" spans="1:2" x14ac:dyDescent="0.25">
      <c r="A15315" s="75">
        <v>60121211</v>
      </c>
      <c r="B15315" s="76" t="s">
        <v>1303</v>
      </c>
    </row>
    <row r="15316" spans="1:2" x14ac:dyDescent="0.25">
      <c r="A15316" s="75">
        <v>60121212</v>
      </c>
      <c r="B15316" s="76" t="s">
        <v>698</v>
      </c>
    </row>
    <row r="15317" spans="1:2" x14ac:dyDescent="0.25">
      <c r="A15317" s="75">
        <v>60121213</v>
      </c>
      <c r="B15317" s="76" t="s">
        <v>20007</v>
      </c>
    </row>
    <row r="15318" spans="1:2" x14ac:dyDescent="0.25">
      <c r="A15318" s="75">
        <v>60121214</v>
      </c>
      <c r="B15318" s="76" t="s">
        <v>8847</v>
      </c>
    </row>
    <row r="15319" spans="1:2" x14ac:dyDescent="0.25">
      <c r="A15319" s="75">
        <v>60121215</v>
      </c>
      <c r="B15319" s="76" t="s">
        <v>18222</v>
      </c>
    </row>
    <row r="15320" spans="1:2" x14ac:dyDescent="0.25">
      <c r="A15320" s="75">
        <v>60121216</v>
      </c>
      <c r="B15320" s="76" t="s">
        <v>8004</v>
      </c>
    </row>
    <row r="15321" spans="1:2" x14ac:dyDescent="0.25">
      <c r="A15321" s="75">
        <v>60121217</v>
      </c>
      <c r="B15321" s="76" t="s">
        <v>612</v>
      </c>
    </row>
    <row r="15322" spans="1:2" x14ac:dyDescent="0.25">
      <c r="A15322" s="75">
        <v>60121218</v>
      </c>
      <c r="B15322" s="76" t="s">
        <v>12503</v>
      </c>
    </row>
    <row r="15323" spans="1:2" x14ac:dyDescent="0.25">
      <c r="A15323" s="75">
        <v>60121219</v>
      </c>
      <c r="B15323" s="76" t="s">
        <v>6526</v>
      </c>
    </row>
    <row r="15324" spans="1:2" x14ac:dyDescent="0.25">
      <c r="A15324" s="75">
        <v>60121220</v>
      </c>
      <c r="B15324" s="76" t="s">
        <v>13278</v>
      </c>
    </row>
    <row r="15325" spans="1:2" x14ac:dyDescent="0.25">
      <c r="A15325" s="75">
        <v>60121221</v>
      </c>
      <c r="B15325" s="76" t="s">
        <v>5062</v>
      </c>
    </row>
    <row r="15326" spans="1:2" x14ac:dyDescent="0.25">
      <c r="A15326" s="75">
        <v>60121222</v>
      </c>
      <c r="B15326" s="76" t="s">
        <v>15918</v>
      </c>
    </row>
    <row r="15327" spans="1:2" x14ac:dyDescent="0.25">
      <c r="A15327" s="75">
        <v>60121223</v>
      </c>
      <c r="B15327" s="76" t="s">
        <v>19429</v>
      </c>
    </row>
    <row r="15328" spans="1:2" x14ac:dyDescent="0.25">
      <c r="A15328" s="75">
        <v>60121224</v>
      </c>
      <c r="B15328" s="76" t="s">
        <v>17734</v>
      </c>
    </row>
    <row r="15329" spans="1:2" x14ac:dyDescent="0.25">
      <c r="A15329" s="75">
        <v>60121225</v>
      </c>
      <c r="B15329" s="76" t="s">
        <v>6083</v>
      </c>
    </row>
    <row r="15330" spans="1:2" x14ac:dyDescent="0.25">
      <c r="A15330" s="75">
        <v>60121226</v>
      </c>
      <c r="B15330" s="76" t="s">
        <v>1685</v>
      </c>
    </row>
    <row r="15331" spans="1:2" x14ac:dyDescent="0.25">
      <c r="A15331" s="75">
        <v>60121227</v>
      </c>
      <c r="B15331" s="76" t="s">
        <v>15549</v>
      </c>
    </row>
    <row r="15332" spans="1:2" x14ac:dyDescent="0.25">
      <c r="A15332" s="75">
        <v>60121228</v>
      </c>
      <c r="B15332" s="76" t="s">
        <v>4973</v>
      </c>
    </row>
    <row r="15333" spans="1:2" x14ac:dyDescent="0.25">
      <c r="A15333" s="75">
        <v>60121229</v>
      </c>
      <c r="B15333" s="76" t="s">
        <v>4677</v>
      </c>
    </row>
    <row r="15334" spans="1:2" x14ac:dyDescent="0.25">
      <c r="A15334" s="75">
        <v>60121230</v>
      </c>
      <c r="B15334" s="76" t="s">
        <v>12755</v>
      </c>
    </row>
    <row r="15335" spans="1:2" x14ac:dyDescent="0.25">
      <c r="A15335" s="75">
        <v>60121231</v>
      </c>
      <c r="B15335" s="76" t="s">
        <v>18975</v>
      </c>
    </row>
    <row r="15336" spans="1:2" x14ac:dyDescent="0.25">
      <c r="A15336" s="75">
        <v>60121232</v>
      </c>
      <c r="B15336" s="76" t="s">
        <v>2514</v>
      </c>
    </row>
    <row r="15337" spans="1:2" x14ac:dyDescent="0.25">
      <c r="A15337" s="75">
        <v>60121233</v>
      </c>
      <c r="B15337" s="76" t="s">
        <v>8216</v>
      </c>
    </row>
    <row r="15338" spans="1:2" x14ac:dyDescent="0.25">
      <c r="A15338" s="75">
        <v>60121234</v>
      </c>
      <c r="B15338" s="76" t="s">
        <v>12680</v>
      </c>
    </row>
    <row r="15339" spans="1:2" x14ac:dyDescent="0.25">
      <c r="A15339" s="75">
        <v>60121235</v>
      </c>
      <c r="B15339" s="76" t="s">
        <v>16951</v>
      </c>
    </row>
    <row r="15340" spans="1:2" x14ac:dyDescent="0.25">
      <c r="A15340" s="75">
        <v>60121236</v>
      </c>
      <c r="B15340" s="76" t="s">
        <v>5236</v>
      </c>
    </row>
    <row r="15341" spans="1:2" x14ac:dyDescent="0.25">
      <c r="A15341" s="75">
        <v>60121237</v>
      </c>
      <c r="B15341" s="76" t="s">
        <v>4768</v>
      </c>
    </row>
    <row r="15342" spans="1:2" x14ac:dyDescent="0.25">
      <c r="A15342" s="75">
        <v>60121238</v>
      </c>
      <c r="B15342" s="76" t="s">
        <v>18339</v>
      </c>
    </row>
    <row r="15343" spans="1:2" x14ac:dyDescent="0.25">
      <c r="A15343" s="75">
        <v>60121239</v>
      </c>
      <c r="B15343" s="76" t="s">
        <v>16865</v>
      </c>
    </row>
    <row r="15344" spans="1:2" x14ac:dyDescent="0.25">
      <c r="A15344" s="75">
        <v>60121241</v>
      </c>
      <c r="B15344" s="76" t="s">
        <v>4380</v>
      </c>
    </row>
    <row r="15345" spans="1:2" x14ac:dyDescent="0.25">
      <c r="A15345" s="75">
        <v>60121242</v>
      </c>
      <c r="B15345" s="76" t="s">
        <v>15908</v>
      </c>
    </row>
    <row r="15346" spans="1:2" x14ac:dyDescent="0.25">
      <c r="A15346" s="75">
        <v>60121243</v>
      </c>
      <c r="B15346" s="76" t="s">
        <v>7847</v>
      </c>
    </row>
    <row r="15347" spans="1:2" x14ac:dyDescent="0.25">
      <c r="A15347" s="75">
        <v>60121244</v>
      </c>
      <c r="B15347" s="76" t="s">
        <v>11483</v>
      </c>
    </row>
    <row r="15348" spans="1:2" x14ac:dyDescent="0.25">
      <c r="A15348" s="75">
        <v>60121245</v>
      </c>
      <c r="B15348" s="76" t="s">
        <v>15095</v>
      </c>
    </row>
    <row r="15349" spans="1:2" x14ac:dyDescent="0.25">
      <c r="A15349" s="75">
        <v>60121246</v>
      </c>
      <c r="B15349" s="76" t="s">
        <v>15437</v>
      </c>
    </row>
    <row r="15350" spans="1:2" x14ac:dyDescent="0.25">
      <c r="A15350" s="75">
        <v>60121247</v>
      </c>
      <c r="B15350" s="76" t="s">
        <v>6850</v>
      </c>
    </row>
    <row r="15351" spans="1:2" x14ac:dyDescent="0.25">
      <c r="A15351" s="75">
        <v>60121248</v>
      </c>
      <c r="B15351" s="76" t="s">
        <v>4139</v>
      </c>
    </row>
    <row r="15352" spans="1:2" x14ac:dyDescent="0.25">
      <c r="A15352" s="75">
        <v>60121249</v>
      </c>
      <c r="B15352" s="76" t="s">
        <v>13010</v>
      </c>
    </row>
    <row r="15353" spans="1:2" x14ac:dyDescent="0.25">
      <c r="A15353" s="75">
        <v>60121250</v>
      </c>
      <c r="B15353" s="76" t="s">
        <v>2172</v>
      </c>
    </row>
    <row r="15354" spans="1:2" x14ac:dyDescent="0.25">
      <c r="A15354" s="75">
        <v>60121251</v>
      </c>
      <c r="B15354" s="76" t="s">
        <v>16860</v>
      </c>
    </row>
    <row r="15355" spans="1:2" x14ac:dyDescent="0.25">
      <c r="A15355" s="75">
        <v>60121252</v>
      </c>
      <c r="B15355" s="76" t="s">
        <v>7204</v>
      </c>
    </row>
    <row r="15356" spans="1:2" x14ac:dyDescent="0.25">
      <c r="A15356" s="75">
        <v>60121253</v>
      </c>
      <c r="B15356" s="76" t="s">
        <v>7833</v>
      </c>
    </row>
    <row r="15357" spans="1:2" x14ac:dyDescent="0.25">
      <c r="A15357" s="75">
        <v>60121301</v>
      </c>
      <c r="B15357" s="76" t="s">
        <v>5856</v>
      </c>
    </row>
    <row r="15358" spans="1:2" x14ac:dyDescent="0.25">
      <c r="A15358" s="75">
        <v>60121302</v>
      </c>
      <c r="B15358" s="76" t="s">
        <v>5235</v>
      </c>
    </row>
    <row r="15359" spans="1:2" x14ac:dyDescent="0.25">
      <c r="A15359" s="75">
        <v>60121303</v>
      </c>
      <c r="B15359" s="76" t="s">
        <v>1818</v>
      </c>
    </row>
    <row r="15360" spans="1:2" x14ac:dyDescent="0.25">
      <c r="A15360" s="75">
        <v>60121304</v>
      </c>
      <c r="B15360" s="76" t="s">
        <v>4766</v>
      </c>
    </row>
    <row r="15361" spans="1:2" x14ac:dyDescent="0.25">
      <c r="A15361" s="75">
        <v>60121305</v>
      </c>
      <c r="B15361" s="76" t="s">
        <v>1962</v>
      </c>
    </row>
    <row r="15362" spans="1:2" x14ac:dyDescent="0.25">
      <c r="A15362" s="75">
        <v>60121306</v>
      </c>
      <c r="B15362" s="76" t="s">
        <v>13760</v>
      </c>
    </row>
    <row r="15363" spans="1:2" x14ac:dyDescent="0.25">
      <c r="A15363" s="75">
        <v>60121401</v>
      </c>
      <c r="B15363" s="76" t="s">
        <v>19879</v>
      </c>
    </row>
    <row r="15364" spans="1:2" x14ac:dyDescent="0.25">
      <c r="A15364" s="75">
        <v>60121402</v>
      </c>
      <c r="B15364" s="76" t="s">
        <v>18122</v>
      </c>
    </row>
    <row r="15365" spans="1:2" x14ac:dyDescent="0.25">
      <c r="A15365" s="75">
        <v>60121403</v>
      </c>
      <c r="B15365" s="76" t="s">
        <v>9914</v>
      </c>
    </row>
    <row r="15366" spans="1:2" x14ac:dyDescent="0.25">
      <c r="A15366" s="75">
        <v>60121404</v>
      </c>
      <c r="B15366" s="76" t="s">
        <v>11777</v>
      </c>
    </row>
    <row r="15367" spans="1:2" x14ac:dyDescent="0.25">
      <c r="A15367" s="75">
        <v>60121405</v>
      </c>
      <c r="B15367" s="76" t="s">
        <v>18823</v>
      </c>
    </row>
    <row r="15368" spans="1:2" x14ac:dyDescent="0.25">
      <c r="A15368" s="75">
        <v>60121406</v>
      </c>
      <c r="B15368" s="76" t="s">
        <v>15388</v>
      </c>
    </row>
    <row r="15369" spans="1:2" x14ac:dyDescent="0.25">
      <c r="A15369" s="75">
        <v>60121407</v>
      </c>
      <c r="B15369" s="76" t="s">
        <v>18186</v>
      </c>
    </row>
    <row r="15370" spans="1:2" x14ac:dyDescent="0.25">
      <c r="A15370" s="75">
        <v>60121408</v>
      </c>
      <c r="B15370" s="76" t="s">
        <v>11412</v>
      </c>
    </row>
    <row r="15371" spans="1:2" x14ac:dyDescent="0.25">
      <c r="A15371" s="75">
        <v>60121409</v>
      </c>
      <c r="B15371" s="76" t="s">
        <v>634</v>
      </c>
    </row>
    <row r="15372" spans="1:2" x14ac:dyDescent="0.25">
      <c r="A15372" s="75">
        <v>60121410</v>
      </c>
      <c r="B15372" s="76" t="s">
        <v>7297</v>
      </c>
    </row>
    <row r="15373" spans="1:2" x14ac:dyDescent="0.25">
      <c r="A15373" s="75">
        <v>60121411</v>
      </c>
      <c r="B15373" s="76" t="s">
        <v>18406</v>
      </c>
    </row>
    <row r="15374" spans="1:2" x14ac:dyDescent="0.25">
      <c r="A15374" s="75">
        <v>60121412</v>
      </c>
      <c r="B15374" s="76" t="s">
        <v>9328</v>
      </c>
    </row>
    <row r="15375" spans="1:2" x14ac:dyDescent="0.25">
      <c r="A15375" s="75">
        <v>60121413</v>
      </c>
      <c r="B15375" s="76" t="s">
        <v>5496</v>
      </c>
    </row>
    <row r="15376" spans="1:2" x14ac:dyDescent="0.25">
      <c r="A15376" s="75">
        <v>60121414</v>
      </c>
      <c r="B15376" s="76" t="s">
        <v>10373</v>
      </c>
    </row>
    <row r="15377" spans="1:2" x14ac:dyDescent="0.25">
      <c r="A15377" s="75">
        <v>60121415</v>
      </c>
      <c r="B15377" s="76" t="s">
        <v>1211</v>
      </c>
    </row>
    <row r="15378" spans="1:2" x14ac:dyDescent="0.25">
      <c r="A15378" s="75">
        <v>60121501</v>
      </c>
      <c r="B15378" s="76" t="s">
        <v>4133</v>
      </c>
    </row>
    <row r="15379" spans="1:2" x14ac:dyDescent="0.25">
      <c r="A15379" s="75">
        <v>60121502</v>
      </c>
      <c r="B15379" s="76" t="s">
        <v>1325</v>
      </c>
    </row>
    <row r="15380" spans="1:2" x14ac:dyDescent="0.25">
      <c r="A15380" s="75">
        <v>60121503</v>
      </c>
      <c r="B15380" s="76" t="s">
        <v>13320</v>
      </c>
    </row>
    <row r="15381" spans="1:2" x14ac:dyDescent="0.25">
      <c r="A15381" s="75">
        <v>60121504</v>
      </c>
      <c r="B15381" s="76" t="s">
        <v>9220</v>
      </c>
    </row>
    <row r="15382" spans="1:2" x14ac:dyDescent="0.25">
      <c r="A15382" s="75">
        <v>60121505</v>
      </c>
      <c r="B15382" s="76" t="s">
        <v>534</v>
      </c>
    </row>
    <row r="15383" spans="1:2" x14ac:dyDescent="0.25">
      <c r="A15383" s="75">
        <v>60121506</v>
      </c>
      <c r="B15383" s="76" t="s">
        <v>2832</v>
      </c>
    </row>
    <row r="15384" spans="1:2" x14ac:dyDescent="0.25">
      <c r="A15384" s="75">
        <v>60121507</v>
      </c>
      <c r="B15384" s="76" t="s">
        <v>13950</v>
      </c>
    </row>
    <row r="15385" spans="1:2" x14ac:dyDescent="0.25">
      <c r="A15385" s="75">
        <v>60121508</v>
      </c>
      <c r="B15385" s="76" t="s">
        <v>997</v>
      </c>
    </row>
    <row r="15386" spans="1:2" x14ac:dyDescent="0.25">
      <c r="A15386" s="75">
        <v>60121509</v>
      </c>
      <c r="B15386" s="76" t="s">
        <v>13898</v>
      </c>
    </row>
    <row r="15387" spans="1:2" x14ac:dyDescent="0.25">
      <c r="A15387" s="75">
        <v>60121510</v>
      </c>
      <c r="B15387" s="76" t="s">
        <v>10675</v>
      </c>
    </row>
    <row r="15388" spans="1:2" x14ac:dyDescent="0.25">
      <c r="A15388" s="75">
        <v>60121511</v>
      </c>
      <c r="B15388" s="76" t="s">
        <v>18333</v>
      </c>
    </row>
    <row r="15389" spans="1:2" x14ac:dyDescent="0.25">
      <c r="A15389" s="75">
        <v>60121512</v>
      </c>
      <c r="B15389" s="76" t="s">
        <v>5803</v>
      </c>
    </row>
    <row r="15390" spans="1:2" x14ac:dyDescent="0.25">
      <c r="A15390" s="75">
        <v>60121513</v>
      </c>
      <c r="B15390" s="76" t="s">
        <v>2044</v>
      </c>
    </row>
    <row r="15391" spans="1:2" x14ac:dyDescent="0.25">
      <c r="A15391" s="75">
        <v>60121514</v>
      </c>
      <c r="B15391" s="76" t="s">
        <v>10364</v>
      </c>
    </row>
    <row r="15392" spans="1:2" x14ac:dyDescent="0.25">
      <c r="A15392" s="75">
        <v>60121515</v>
      </c>
      <c r="B15392" s="76" t="s">
        <v>18747</v>
      </c>
    </row>
    <row r="15393" spans="1:2" x14ac:dyDescent="0.25">
      <c r="A15393" s="75">
        <v>60121516</v>
      </c>
      <c r="B15393" s="76" t="s">
        <v>10333</v>
      </c>
    </row>
    <row r="15394" spans="1:2" x14ac:dyDescent="0.25">
      <c r="A15394" s="75">
        <v>60121517</v>
      </c>
      <c r="B15394" s="76" t="s">
        <v>9268</v>
      </c>
    </row>
    <row r="15395" spans="1:2" x14ac:dyDescent="0.25">
      <c r="A15395" s="75">
        <v>60121518</v>
      </c>
      <c r="B15395" s="76" t="s">
        <v>13523</v>
      </c>
    </row>
    <row r="15396" spans="1:2" x14ac:dyDescent="0.25">
      <c r="A15396" s="75">
        <v>60121519</v>
      </c>
      <c r="B15396" s="76" t="s">
        <v>3318</v>
      </c>
    </row>
    <row r="15397" spans="1:2" x14ac:dyDescent="0.25">
      <c r="A15397" s="75">
        <v>60121520</v>
      </c>
      <c r="B15397" s="76" t="s">
        <v>4378</v>
      </c>
    </row>
    <row r="15398" spans="1:2" x14ac:dyDescent="0.25">
      <c r="A15398" s="75">
        <v>60121521</v>
      </c>
      <c r="B15398" s="76" t="s">
        <v>8556</v>
      </c>
    </row>
    <row r="15399" spans="1:2" x14ac:dyDescent="0.25">
      <c r="A15399" s="75">
        <v>60121522</v>
      </c>
      <c r="B15399" s="76" t="s">
        <v>1374</v>
      </c>
    </row>
    <row r="15400" spans="1:2" x14ac:dyDescent="0.25">
      <c r="A15400" s="75">
        <v>60121523</v>
      </c>
      <c r="B15400" s="76" t="s">
        <v>9809</v>
      </c>
    </row>
    <row r="15401" spans="1:2" x14ac:dyDescent="0.25">
      <c r="A15401" s="75">
        <v>60121524</v>
      </c>
      <c r="B15401" s="76" t="s">
        <v>16781</v>
      </c>
    </row>
    <row r="15402" spans="1:2" x14ac:dyDescent="0.25">
      <c r="A15402" s="75">
        <v>60121525</v>
      </c>
      <c r="B15402" s="76" t="s">
        <v>15359</v>
      </c>
    </row>
    <row r="15403" spans="1:2" x14ac:dyDescent="0.25">
      <c r="A15403" s="75">
        <v>60121526</v>
      </c>
      <c r="B15403" s="76" t="s">
        <v>15206</v>
      </c>
    </row>
    <row r="15404" spans="1:2" x14ac:dyDescent="0.25">
      <c r="A15404" s="75">
        <v>60121531</v>
      </c>
      <c r="B15404" s="76" t="s">
        <v>16203</v>
      </c>
    </row>
    <row r="15405" spans="1:2" x14ac:dyDescent="0.25">
      <c r="A15405" s="75">
        <v>60121532</v>
      </c>
      <c r="B15405" s="76" t="s">
        <v>16390</v>
      </c>
    </row>
    <row r="15406" spans="1:2" x14ac:dyDescent="0.25">
      <c r="A15406" s="75">
        <v>60121533</v>
      </c>
      <c r="B15406" s="76" t="s">
        <v>14464</v>
      </c>
    </row>
    <row r="15407" spans="1:2" x14ac:dyDescent="0.25">
      <c r="A15407" s="75">
        <v>60121534</v>
      </c>
      <c r="B15407" s="76" t="s">
        <v>14983</v>
      </c>
    </row>
    <row r="15408" spans="1:2" x14ac:dyDescent="0.25">
      <c r="A15408" s="75">
        <v>60121535</v>
      </c>
      <c r="B15408" s="76" t="s">
        <v>17136</v>
      </c>
    </row>
    <row r="15409" spans="1:2" x14ac:dyDescent="0.25">
      <c r="A15409" s="75">
        <v>60121536</v>
      </c>
      <c r="B15409" s="76" t="s">
        <v>14111</v>
      </c>
    </row>
    <row r="15410" spans="1:2" x14ac:dyDescent="0.25">
      <c r="A15410" s="75">
        <v>60121537</v>
      </c>
      <c r="B15410" s="76" t="s">
        <v>1136</v>
      </c>
    </row>
    <row r="15411" spans="1:2" x14ac:dyDescent="0.25">
      <c r="A15411" s="75">
        <v>60121538</v>
      </c>
      <c r="B15411" s="76" t="s">
        <v>2811</v>
      </c>
    </row>
    <row r="15412" spans="1:2" x14ac:dyDescent="0.25">
      <c r="A15412" s="75">
        <v>60121539</v>
      </c>
      <c r="B15412" s="76" t="s">
        <v>8064</v>
      </c>
    </row>
    <row r="15413" spans="1:2" x14ac:dyDescent="0.25">
      <c r="A15413" s="75">
        <v>60121540</v>
      </c>
      <c r="B15413" s="76" t="s">
        <v>12345</v>
      </c>
    </row>
    <row r="15414" spans="1:2" x14ac:dyDescent="0.25">
      <c r="A15414" s="75">
        <v>60121601</v>
      </c>
      <c r="B15414" s="76" t="s">
        <v>11179</v>
      </c>
    </row>
    <row r="15415" spans="1:2" x14ac:dyDescent="0.25">
      <c r="A15415" s="75">
        <v>60121602</v>
      </c>
      <c r="B15415" s="76" t="s">
        <v>14674</v>
      </c>
    </row>
    <row r="15416" spans="1:2" x14ac:dyDescent="0.25">
      <c r="A15416" s="75">
        <v>60121603</v>
      </c>
      <c r="B15416" s="76" t="s">
        <v>13845</v>
      </c>
    </row>
    <row r="15417" spans="1:2" x14ac:dyDescent="0.25">
      <c r="A15417" s="75">
        <v>60121604</v>
      </c>
      <c r="B15417" s="76" t="s">
        <v>3036</v>
      </c>
    </row>
    <row r="15418" spans="1:2" x14ac:dyDescent="0.25">
      <c r="A15418" s="75">
        <v>60121605</v>
      </c>
      <c r="B15418" s="76" t="s">
        <v>2382</v>
      </c>
    </row>
    <row r="15419" spans="1:2" x14ac:dyDescent="0.25">
      <c r="A15419" s="75">
        <v>60121606</v>
      </c>
      <c r="B15419" s="76" t="s">
        <v>18256</v>
      </c>
    </row>
    <row r="15420" spans="1:2" x14ac:dyDescent="0.25">
      <c r="A15420" s="75">
        <v>60121701</v>
      </c>
      <c r="B15420" s="76" t="s">
        <v>15092</v>
      </c>
    </row>
    <row r="15421" spans="1:2" x14ac:dyDescent="0.25">
      <c r="A15421" s="75">
        <v>60121702</v>
      </c>
      <c r="B15421" s="76" t="s">
        <v>4096</v>
      </c>
    </row>
    <row r="15422" spans="1:2" x14ac:dyDescent="0.25">
      <c r="A15422" s="75">
        <v>60121703</v>
      </c>
      <c r="B15422" s="76" t="s">
        <v>1109</v>
      </c>
    </row>
    <row r="15423" spans="1:2" x14ac:dyDescent="0.25">
      <c r="A15423" s="75">
        <v>60121704</v>
      </c>
      <c r="B15423" s="76" t="s">
        <v>13361</v>
      </c>
    </row>
    <row r="15424" spans="1:2" x14ac:dyDescent="0.25">
      <c r="A15424" s="75">
        <v>60121705</v>
      </c>
      <c r="B15424" s="76" t="s">
        <v>10250</v>
      </c>
    </row>
    <row r="15425" spans="1:2" x14ac:dyDescent="0.25">
      <c r="A15425" s="75">
        <v>60121706</v>
      </c>
      <c r="B15425" s="76" t="s">
        <v>5559</v>
      </c>
    </row>
    <row r="15426" spans="1:2" x14ac:dyDescent="0.25">
      <c r="A15426" s="75">
        <v>60121707</v>
      </c>
      <c r="B15426" s="76" t="s">
        <v>15264</v>
      </c>
    </row>
    <row r="15427" spans="1:2" x14ac:dyDescent="0.25">
      <c r="A15427" s="75">
        <v>60121708</v>
      </c>
      <c r="B15427" s="76" t="s">
        <v>1247</v>
      </c>
    </row>
    <row r="15428" spans="1:2" x14ac:dyDescent="0.25">
      <c r="A15428" s="75">
        <v>60121709</v>
      </c>
      <c r="B15428" s="76" t="s">
        <v>14043</v>
      </c>
    </row>
    <row r="15429" spans="1:2" x14ac:dyDescent="0.25">
      <c r="A15429" s="75">
        <v>60121710</v>
      </c>
      <c r="B15429" s="76" t="s">
        <v>2214</v>
      </c>
    </row>
    <row r="15430" spans="1:2" x14ac:dyDescent="0.25">
      <c r="A15430" s="75">
        <v>60121711</v>
      </c>
      <c r="B15430" s="76" t="s">
        <v>15481</v>
      </c>
    </row>
    <row r="15431" spans="1:2" x14ac:dyDescent="0.25">
      <c r="A15431" s="75">
        <v>60121712</v>
      </c>
      <c r="B15431" s="76" t="s">
        <v>5597</v>
      </c>
    </row>
    <row r="15432" spans="1:2" x14ac:dyDescent="0.25">
      <c r="A15432" s="75">
        <v>60121713</v>
      </c>
      <c r="B15432" s="76" t="s">
        <v>1079</v>
      </c>
    </row>
    <row r="15433" spans="1:2" x14ac:dyDescent="0.25">
      <c r="A15433" s="75">
        <v>60121714</v>
      </c>
      <c r="B15433" s="76" t="s">
        <v>10386</v>
      </c>
    </row>
    <row r="15434" spans="1:2" x14ac:dyDescent="0.25">
      <c r="A15434" s="75">
        <v>60121715</v>
      </c>
      <c r="B15434" s="76" t="s">
        <v>6269</v>
      </c>
    </row>
    <row r="15435" spans="1:2" x14ac:dyDescent="0.25">
      <c r="A15435" s="75">
        <v>60121716</v>
      </c>
      <c r="B15435" s="76" t="s">
        <v>4120</v>
      </c>
    </row>
    <row r="15436" spans="1:2" x14ac:dyDescent="0.25">
      <c r="A15436" s="75">
        <v>60121717</v>
      </c>
      <c r="B15436" s="76" t="s">
        <v>1580</v>
      </c>
    </row>
    <row r="15437" spans="1:2" x14ac:dyDescent="0.25">
      <c r="A15437" s="75">
        <v>60121718</v>
      </c>
      <c r="B15437" s="76" t="s">
        <v>4531</v>
      </c>
    </row>
    <row r="15438" spans="1:2" x14ac:dyDescent="0.25">
      <c r="A15438" s="75">
        <v>60121801</v>
      </c>
      <c r="B15438" s="76" t="s">
        <v>16617</v>
      </c>
    </row>
    <row r="15439" spans="1:2" x14ac:dyDescent="0.25">
      <c r="A15439" s="75">
        <v>60121802</v>
      </c>
      <c r="B15439" s="76" t="s">
        <v>6841</v>
      </c>
    </row>
    <row r="15440" spans="1:2" x14ac:dyDescent="0.25">
      <c r="A15440" s="75">
        <v>60121803</v>
      </c>
      <c r="B15440" s="76" t="s">
        <v>4343</v>
      </c>
    </row>
    <row r="15441" spans="1:2" x14ac:dyDescent="0.25">
      <c r="A15441" s="75">
        <v>60121804</v>
      </c>
      <c r="B15441" s="76" t="s">
        <v>14247</v>
      </c>
    </row>
    <row r="15442" spans="1:2" x14ac:dyDescent="0.25">
      <c r="A15442" s="75">
        <v>60121805</v>
      </c>
      <c r="B15442" s="76" t="s">
        <v>1757</v>
      </c>
    </row>
    <row r="15443" spans="1:2" x14ac:dyDescent="0.25">
      <c r="A15443" s="75">
        <v>60121806</v>
      </c>
      <c r="B15443" s="76" t="s">
        <v>12767</v>
      </c>
    </row>
    <row r="15444" spans="1:2" x14ac:dyDescent="0.25">
      <c r="A15444" s="75">
        <v>60121807</v>
      </c>
      <c r="B15444" s="76" t="s">
        <v>19792</v>
      </c>
    </row>
    <row r="15445" spans="1:2" x14ac:dyDescent="0.25">
      <c r="A15445" s="75">
        <v>60121808</v>
      </c>
      <c r="B15445" s="76" t="s">
        <v>12443</v>
      </c>
    </row>
    <row r="15446" spans="1:2" x14ac:dyDescent="0.25">
      <c r="A15446" s="75">
        <v>60121809</v>
      </c>
      <c r="B15446" s="76" t="s">
        <v>7537</v>
      </c>
    </row>
    <row r="15447" spans="1:2" x14ac:dyDescent="0.25">
      <c r="A15447" s="75">
        <v>60121810</v>
      </c>
      <c r="B15447" s="76" t="s">
        <v>7199</v>
      </c>
    </row>
    <row r="15448" spans="1:2" x14ac:dyDescent="0.25">
      <c r="A15448" s="75">
        <v>60121811</v>
      </c>
      <c r="B15448" s="76" t="s">
        <v>10735</v>
      </c>
    </row>
    <row r="15449" spans="1:2" x14ac:dyDescent="0.25">
      <c r="A15449" s="75">
        <v>60121812</v>
      </c>
      <c r="B15449" s="76" t="s">
        <v>8479</v>
      </c>
    </row>
    <row r="15450" spans="1:2" x14ac:dyDescent="0.25">
      <c r="A15450" s="75">
        <v>60121813</v>
      </c>
      <c r="B15450" s="76" t="s">
        <v>15761</v>
      </c>
    </row>
    <row r="15451" spans="1:2" x14ac:dyDescent="0.25">
      <c r="A15451" s="75">
        <v>60121814</v>
      </c>
      <c r="B15451" s="76" t="s">
        <v>2927</v>
      </c>
    </row>
    <row r="15452" spans="1:2" x14ac:dyDescent="0.25">
      <c r="A15452" s="75">
        <v>60121901</v>
      </c>
      <c r="B15452" s="76" t="s">
        <v>15729</v>
      </c>
    </row>
    <row r="15453" spans="1:2" x14ac:dyDescent="0.25">
      <c r="A15453" s="75">
        <v>60121902</v>
      </c>
      <c r="B15453" s="76" t="s">
        <v>8838</v>
      </c>
    </row>
    <row r="15454" spans="1:2" x14ac:dyDescent="0.25">
      <c r="A15454" s="75">
        <v>60121903</v>
      </c>
      <c r="B15454" s="76" t="s">
        <v>12841</v>
      </c>
    </row>
    <row r="15455" spans="1:2" x14ac:dyDescent="0.25">
      <c r="A15455" s="75">
        <v>60121904</v>
      </c>
      <c r="B15455" s="76" t="s">
        <v>4535</v>
      </c>
    </row>
    <row r="15456" spans="1:2" x14ac:dyDescent="0.25">
      <c r="A15456" s="75">
        <v>60121905</v>
      </c>
      <c r="B15456" s="76" t="s">
        <v>18355</v>
      </c>
    </row>
    <row r="15457" spans="1:2" x14ac:dyDescent="0.25">
      <c r="A15457" s="75">
        <v>60121906</v>
      </c>
      <c r="B15457" s="76" t="s">
        <v>13230</v>
      </c>
    </row>
    <row r="15458" spans="1:2" x14ac:dyDescent="0.25">
      <c r="A15458" s="75">
        <v>60121907</v>
      </c>
      <c r="B15458" s="76" t="s">
        <v>15451</v>
      </c>
    </row>
    <row r="15459" spans="1:2" x14ac:dyDescent="0.25">
      <c r="A15459" s="75">
        <v>60121908</v>
      </c>
      <c r="B15459" s="76" t="s">
        <v>10230</v>
      </c>
    </row>
    <row r="15460" spans="1:2" x14ac:dyDescent="0.25">
      <c r="A15460" s="75">
        <v>60121909</v>
      </c>
      <c r="B15460" s="76" t="s">
        <v>18748</v>
      </c>
    </row>
    <row r="15461" spans="1:2" x14ac:dyDescent="0.25">
      <c r="A15461" s="75">
        <v>60121910</v>
      </c>
      <c r="B15461" s="76" t="s">
        <v>6023</v>
      </c>
    </row>
    <row r="15462" spans="1:2" x14ac:dyDescent="0.25">
      <c r="A15462" s="75">
        <v>60121911</v>
      </c>
      <c r="B15462" s="76" t="s">
        <v>5811</v>
      </c>
    </row>
    <row r="15463" spans="1:2" x14ac:dyDescent="0.25">
      <c r="A15463" s="75">
        <v>60121912</v>
      </c>
      <c r="B15463" s="76" t="s">
        <v>7077</v>
      </c>
    </row>
    <row r="15464" spans="1:2" x14ac:dyDescent="0.25">
      <c r="A15464" s="75">
        <v>60122002</v>
      </c>
      <c r="B15464" s="76" t="s">
        <v>16141</v>
      </c>
    </row>
    <row r="15465" spans="1:2" x14ac:dyDescent="0.25">
      <c r="A15465" s="75">
        <v>60122003</v>
      </c>
      <c r="B15465" s="76" t="s">
        <v>3383</v>
      </c>
    </row>
    <row r="15466" spans="1:2" x14ac:dyDescent="0.25">
      <c r="A15466" s="75">
        <v>60122004</v>
      </c>
      <c r="B15466" s="76" t="s">
        <v>15922</v>
      </c>
    </row>
    <row r="15467" spans="1:2" x14ac:dyDescent="0.25">
      <c r="A15467" s="75">
        <v>60122005</v>
      </c>
      <c r="B15467" s="76" t="s">
        <v>2615</v>
      </c>
    </row>
    <row r="15468" spans="1:2" x14ac:dyDescent="0.25">
      <c r="A15468" s="75">
        <v>60122006</v>
      </c>
      <c r="B15468" s="76" t="s">
        <v>13598</v>
      </c>
    </row>
    <row r="15469" spans="1:2" x14ac:dyDescent="0.25">
      <c r="A15469" s="75">
        <v>60122007</v>
      </c>
      <c r="B15469" s="76" t="s">
        <v>15488</v>
      </c>
    </row>
    <row r="15470" spans="1:2" x14ac:dyDescent="0.25">
      <c r="A15470" s="75">
        <v>60122008</v>
      </c>
      <c r="B15470" s="76" t="s">
        <v>18807</v>
      </c>
    </row>
    <row r="15471" spans="1:2" x14ac:dyDescent="0.25">
      <c r="A15471" s="75">
        <v>60122009</v>
      </c>
      <c r="B15471" s="76" t="s">
        <v>1650</v>
      </c>
    </row>
    <row r="15472" spans="1:2" x14ac:dyDescent="0.25">
      <c r="A15472" s="75">
        <v>60122101</v>
      </c>
      <c r="B15472" s="76" t="s">
        <v>9226</v>
      </c>
    </row>
    <row r="15473" spans="1:2" x14ac:dyDescent="0.25">
      <c r="A15473" s="75">
        <v>60122102</v>
      </c>
      <c r="B15473" s="76" t="s">
        <v>8326</v>
      </c>
    </row>
    <row r="15474" spans="1:2" x14ac:dyDescent="0.25">
      <c r="A15474" s="75">
        <v>60122103</v>
      </c>
      <c r="B15474" s="76" t="s">
        <v>9363</v>
      </c>
    </row>
    <row r="15475" spans="1:2" x14ac:dyDescent="0.25">
      <c r="A15475" s="75">
        <v>60122201</v>
      </c>
      <c r="B15475" s="76" t="s">
        <v>16309</v>
      </c>
    </row>
    <row r="15476" spans="1:2" x14ac:dyDescent="0.25">
      <c r="A15476" s="75">
        <v>60122202</v>
      </c>
      <c r="B15476" s="76" t="s">
        <v>43</v>
      </c>
    </row>
    <row r="15477" spans="1:2" x14ac:dyDescent="0.25">
      <c r="A15477" s="75">
        <v>60122203</v>
      </c>
      <c r="B15477" s="76" t="s">
        <v>19701</v>
      </c>
    </row>
    <row r="15478" spans="1:2" x14ac:dyDescent="0.25">
      <c r="A15478" s="75">
        <v>60122204</v>
      </c>
      <c r="B15478" s="76" t="s">
        <v>14747</v>
      </c>
    </row>
    <row r="15479" spans="1:2" x14ac:dyDescent="0.25">
      <c r="A15479" s="75">
        <v>60122301</v>
      </c>
      <c r="B15479" s="76" t="s">
        <v>2050</v>
      </c>
    </row>
    <row r="15480" spans="1:2" x14ac:dyDescent="0.25">
      <c r="A15480" s="75">
        <v>60122302</v>
      </c>
      <c r="B15480" s="76" t="s">
        <v>13993</v>
      </c>
    </row>
    <row r="15481" spans="1:2" x14ac:dyDescent="0.25">
      <c r="A15481" s="75">
        <v>60122401</v>
      </c>
      <c r="B15481" s="76" t="s">
        <v>18345</v>
      </c>
    </row>
    <row r="15482" spans="1:2" x14ac:dyDescent="0.25">
      <c r="A15482" s="75">
        <v>60122402</v>
      </c>
      <c r="B15482" s="76" t="s">
        <v>1394</v>
      </c>
    </row>
    <row r="15483" spans="1:2" x14ac:dyDescent="0.25">
      <c r="A15483" s="75">
        <v>60122501</v>
      </c>
      <c r="B15483" s="76" t="s">
        <v>8936</v>
      </c>
    </row>
    <row r="15484" spans="1:2" x14ac:dyDescent="0.25">
      <c r="A15484" s="75">
        <v>60122502</v>
      </c>
      <c r="B15484" s="76" t="s">
        <v>4985</v>
      </c>
    </row>
    <row r="15485" spans="1:2" x14ac:dyDescent="0.25">
      <c r="A15485" s="75">
        <v>60122503</v>
      </c>
      <c r="B15485" s="76" t="s">
        <v>6142</v>
      </c>
    </row>
    <row r="15486" spans="1:2" x14ac:dyDescent="0.25">
      <c r="A15486" s="75">
        <v>60122504</v>
      </c>
      <c r="B15486" s="76" t="s">
        <v>16766</v>
      </c>
    </row>
    <row r="15487" spans="1:2" x14ac:dyDescent="0.25">
      <c r="A15487" s="75">
        <v>60122505</v>
      </c>
      <c r="B15487" s="76" t="s">
        <v>7724</v>
      </c>
    </row>
    <row r="15488" spans="1:2" x14ac:dyDescent="0.25">
      <c r="A15488" s="75">
        <v>60122506</v>
      </c>
      <c r="B15488" s="76" t="s">
        <v>17819</v>
      </c>
    </row>
    <row r="15489" spans="1:2" x14ac:dyDescent="0.25">
      <c r="A15489" s="75">
        <v>60122507</v>
      </c>
      <c r="B15489" s="76" t="s">
        <v>2280</v>
      </c>
    </row>
    <row r="15490" spans="1:2" x14ac:dyDescent="0.25">
      <c r="A15490" s="75">
        <v>60122508</v>
      </c>
      <c r="B15490" s="76" t="s">
        <v>4928</v>
      </c>
    </row>
    <row r="15491" spans="1:2" x14ac:dyDescent="0.25">
      <c r="A15491" s="75">
        <v>60122509</v>
      </c>
      <c r="B15491" s="76" t="s">
        <v>639</v>
      </c>
    </row>
    <row r="15492" spans="1:2" x14ac:dyDescent="0.25">
      <c r="A15492" s="75">
        <v>60122601</v>
      </c>
      <c r="B15492" s="76" t="s">
        <v>9762</v>
      </c>
    </row>
    <row r="15493" spans="1:2" x14ac:dyDescent="0.25">
      <c r="A15493" s="75">
        <v>60122602</v>
      </c>
      <c r="B15493" s="76" t="s">
        <v>16186</v>
      </c>
    </row>
    <row r="15494" spans="1:2" x14ac:dyDescent="0.25">
      <c r="A15494" s="75">
        <v>60122603</v>
      </c>
      <c r="B15494" s="76" t="s">
        <v>13266</v>
      </c>
    </row>
    <row r="15495" spans="1:2" x14ac:dyDescent="0.25">
      <c r="A15495" s="75">
        <v>60122604</v>
      </c>
      <c r="B15495" s="76" t="s">
        <v>12387</v>
      </c>
    </row>
    <row r="15496" spans="1:2" x14ac:dyDescent="0.25">
      <c r="A15496" s="75">
        <v>60122701</v>
      </c>
      <c r="B15496" s="76" t="s">
        <v>19637</v>
      </c>
    </row>
    <row r="15497" spans="1:2" x14ac:dyDescent="0.25">
      <c r="A15497" s="75">
        <v>60122702</v>
      </c>
      <c r="B15497" s="76" t="s">
        <v>18634</v>
      </c>
    </row>
    <row r="15498" spans="1:2" x14ac:dyDescent="0.25">
      <c r="A15498" s="75">
        <v>60122703</v>
      </c>
      <c r="B15498" s="76" t="s">
        <v>1759</v>
      </c>
    </row>
    <row r="15499" spans="1:2" x14ac:dyDescent="0.25">
      <c r="A15499" s="75">
        <v>60122704</v>
      </c>
      <c r="B15499" s="76" t="s">
        <v>6987</v>
      </c>
    </row>
    <row r="15500" spans="1:2" x14ac:dyDescent="0.25">
      <c r="A15500" s="75">
        <v>60122801</v>
      </c>
      <c r="B15500" s="76" t="s">
        <v>15378</v>
      </c>
    </row>
    <row r="15501" spans="1:2" x14ac:dyDescent="0.25">
      <c r="A15501" s="75">
        <v>60122901</v>
      </c>
      <c r="B15501" s="76" t="s">
        <v>17729</v>
      </c>
    </row>
    <row r="15502" spans="1:2" x14ac:dyDescent="0.25">
      <c r="A15502" s="75">
        <v>60122902</v>
      </c>
      <c r="B15502" s="76" t="s">
        <v>137</v>
      </c>
    </row>
    <row r="15503" spans="1:2" x14ac:dyDescent="0.25">
      <c r="A15503" s="75">
        <v>60122903</v>
      </c>
      <c r="B15503" s="76" t="s">
        <v>15681</v>
      </c>
    </row>
    <row r="15504" spans="1:2" x14ac:dyDescent="0.25">
      <c r="A15504" s="75">
        <v>60122904</v>
      </c>
      <c r="B15504" s="76" t="s">
        <v>7413</v>
      </c>
    </row>
    <row r="15505" spans="1:2" x14ac:dyDescent="0.25">
      <c r="A15505" s="75">
        <v>60122905</v>
      </c>
      <c r="B15505" s="76" t="s">
        <v>14000</v>
      </c>
    </row>
    <row r="15506" spans="1:2" x14ac:dyDescent="0.25">
      <c r="A15506" s="75">
        <v>60122906</v>
      </c>
      <c r="B15506" s="76" t="s">
        <v>7971</v>
      </c>
    </row>
    <row r="15507" spans="1:2" x14ac:dyDescent="0.25">
      <c r="A15507" s="75">
        <v>60122907</v>
      </c>
      <c r="B15507" s="76" t="s">
        <v>9277</v>
      </c>
    </row>
    <row r="15508" spans="1:2" x14ac:dyDescent="0.25">
      <c r="A15508" s="75">
        <v>60122908</v>
      </c>
      <c r="B15508" s="76" t="s">
        <v>11741</v>
      </c>
    </row>
    <row r="15509" spans="1:2" x14ac:dyDescent="0.25">
      <c r="A15509" s="75">
        <v>60122909</v>
      </c>
      <c r="B15509" s="76" t="s">
        <v>19081</v>
      </c>
    </row>
    <row r="15510" spans="1:2" x14ac:dyDescent="0.25">
      <c r="A15510" s="75">
        <v>60123001</v>
      </c>
      <c r="B15510" s="76" t="s">
        <v>1182</v>
      </c>
    </row>
    <row r="15511" spans="1:2" x14ac:dyDescent="0.25">
      <c r="A15511" s="75">
        <v>60123002</v>
      </c>
      <c r="B15511" s="76" t="s">
        <v>4264</v>
      </c>
    </row>
    <row r="15512" spans="1:2" x14ac:dyDescent="0.25">
      <c r="A15512" s="75">
        <v>60123101</v>
      </c>
      <c r="B15512" s="76" t="s">
        <v>8627</v>
      </c>
    </row>
    <row r="15513" spans="1:2" x14ac:dyDescent="0.25">
      <c r="A15513" s="75">
        <v>60123102</v>
      </c>
      <c r="B15513" s="76" t="s">
        <v>14330</v>
      </c>
    </row>
    <row r="15514" spans="1:2" x14ac:dyDescent="0.25">
      <c r="A15514" s="75">
        <v>60123103</v>
      </c>
      <c r="B15514" s="76" t="s">
        <v>6033</v>
      </c>
    </row>
    <row r="15515" spans="1:2" x14ac:dyDescent="0.25">
      <c r="A15515" s="75">
        <v>60123201</v>
      </c>
      <c r="B15515" s="76" t="s">
        <v>18706</v>
      </c>
    </row>
    <row r="15516" spans="1:2" x14ac:dyDescent="0.25">
      <c r="A15516" s="75">
        <v>60123202</v>
      </c>
      <c r="B15516" s="76" t="s">
        <v>1828</v>
      </c>
    </row>
    <row r="15517" spans="1:2" x14ac:dyDescent="0.25">
      <c r="A15517" s="75">
        <v>60123203</v>
      </c>
      <c r="B15517" s="76" t="s">
        <v>10265</v>
      </c>
    </row>
    <row r="15518" spans="1:2" x14ac:dyDescent="0.25">
      <c r="A15518" s="75">
        <v>60123204</v>
      </c>
      <c r="B15518" s="76" t="s">
        <v>16662</v>
      </c>
    </row>
    <row r="15519" spans="1:2" x14ac:dyDescent="0.25">
      <c r="A15519" s="75">
        <v>60123301</v>
      </c>
      <c r="B15519" s="76" t="s">
        <v>19297</v>
      </c>
    </row>
    <row r="15520" spans="1:2" x14ac:dyDescent="0.25">
      <c r="A15520" s="75">
        <v>60123302</v>
      </c>
      <c r="B15520" s="76" t="s">
        <v>4694</v>
      </c>
    </row>
    <row r="15521" spans="1:2" x14ac:dyDescent="0.25">
      <c r="A15521" s="75">
        <v>60123303</v>
      </c>
      <c r="B15521" s="76" t="s">
        <v>5967</v>
      </c>
    </row>
    <row r="15522" spans="1:2" x14ac:dyDescent="0.25">
      <c r="A15522" s="75">
        <v>60123401</v>
      </c>
      <c r="B15522" s="76" t="s">
        <v>15102</v>
      </c>
    </row>
    <row r="15523" spans="1:2" x14ac:dyDescent="0.25">
      <c r="A15523" s="75">
        <v>60123402</v>
      </c>
      <c r="B15523" s="76" t="s">
        <v>13118</v>
      </c>
    </row>
    <row r="15524" spans="1:2" x14ac:dyDescent="0.25">
      <c r="A15524" s="75">
        <v>60123403</v>
      </c>
      <c r="B15524" s="76" t="s">
        <v>2115</v>
      </c>
    </row>
    <row r="15525" spans="1:2" x14ac:dyDescent="0.25">
      <c r="A15525" s="75">
        <v>60123501</v>
      </c>
      <c r="B15525" s="76" t="s">
        <v>4640</v>
      </c>
    </row>
    <row r="15526" spans="1:2" x14ac:dyDescent="0.25">
      <c r="A15526" s="75">
        <v>60123502</v>
      </c>
      <c r="B15526" s="76" t="s">
        <v>19702</v>
      </c>
    </row>
    <row r="15527" spans="1:2" x14ac:dyDescent="0.25">
      <c r="A15527" s="75">
        <v>60123601</v>
      </c>
      <c r="B15527" s="76" t="s">
        <v>17662</v>
      </c>
    </row>
    <row r="15528" spans="1:2" x14ac:dyDescent="0.25">
      <c r="A15528" s="75">
        <v>60123602</v>
      </c>
      <c r="B15528" s="76" t="s">
        <v>1434</v>
      </c>
    </row>
    <row r="15529" spans="1:2" x14ac:dyDescent="0.25">
      <c r="A15529" s="75">
        <v>60123603</v>
      </c>
      <c r="B15529" s="76" t="s">
        <v>14718</v>
      </c>
    </row>
    <row r="15530" spans="1:2" x14ac:dyDescent="0.25">
      <c r="A15530" s="75">
        <v>60123604</v>
      </c>
      <c r="B15530" s="76" t="s">
        <v>16453</v>
      </c>
    </row>
    <row r="15531" spans="1:2" x14ac:dyDescent="0.25">
      <c r="A15531" s="75">
        <v>60123605</v>
      </c>
      <c r="B15531" s="76" t="s">
        <v>6556</v>
      </c>
    </row>
    <row r="15532" spans="1:2" x14ac:dyDescent="0.25">
      <c r="A15532" s="75">
        <v>60123606</v>
      </c>
      <c r="B15532" s="76" t="s">
        <v>4282</v>
      </c>
    </row>
    <row r="15533" spans="1:2" x14ac:dyDescent="0.25">
      <c r="A15533" s="75">
        <v>60123701</v>
      </c>
      <c r="B15533" s="76" t="s">
        <v>2557</v>
      </c>
    </row>
    <row r="15534" spans="1:2" x14ac:dyDescent="0.25">
      <c r="A15534" s="75">
        <v>60123702</v>
      </c>
      <c r="B15534" s="76" t="s">
        <v>2392</v>
      </c>
    </row>
    <row r="15535" spans="1:2" x14ac:dyDescent="0.25">
      <c r="A15535" s="75">
        <v>60123703</v>
      </c>
      <c r="B15535" s="76" t="s">
        <v>15317</v>
      </c>
    </row>
    <row r="15536" spans="1:2" x14ac:dyDescent="0.25">
      <c r="A15536" s="75">
        <v>60123801</v>
      </c>
      <c r="B15536" s="76" t="s">
        <v>2610</v>
      </c>
    </row>
    <row r="15537" spans="1:2" x14ac:dyDescent="0.25">
      <c r="A15537" s="75">
        <v>60123802</v>
      </c>
      <c r="B15537" s="76" t="s">
        <v>18077</v>
      </c>
    </row>
    <row r="15538" spans="1:2" x14ac:dyDescent="0.25">
      <c r="A15538" s="75">
        <v>60123901</v>
      </c>
      <c r="B15538" s="76" t="s">
        <v>2198</v>
      </c>
    </row>
    <row r="15539" spans="1:2" x14ac:dyDescent="0.25">
      <c r="A15539" s="75">
        <v>60124001</v>
      </c>
      <c r="B15539" s="76" t="s">
        <v>16130</v>
      </c>
    </row>
    <row r="15540" spans="1:2" x14ac:dyDescent="0.25">
      <c r="A15540" s="75">
        <v>60124002</v>
      </c>
      <c r="B15540" s="76" t="s">
        <v>19201</v>
      </c>
    </row>
    <row r="15541" spans="1:2" x14ac:dyDescent="0.25">
      <c r="A15541" s="75">
        <v>60124101</v>
      </c>
      <c r="B15541" s="76" t="s">
        <v>17496</v>
      </c>
    </row>
    <row r="15542" spans="1:2" x14ac:dyDescent="0.25">
      <c r="A15542" s="75">
        <v>60124102</v>
      </c>
      <c r="B15542" s="76" t="s">
        <v>1909</v>
      </c>
    </row>
    <row r="15543" spans="1:2" x14ac:dyDescent="0.25">
      <c r="A15543" s="75">
        <v>60124201</v>
      </c>
      <c r="B15543" s="76" t="s">
        <v>11736</v>
      </c>
    </row>
    <row r="15544" spans="1:2" x14ac:dyDescent="0.25">
      <c r="A15544" s="75">
        <v>60124301</v>
      </c>
      <c r="B15544" s="76" t="s">
        <v>588</v>
      </c>
    </row>
    <row r="15545" spans="1:2" x14ac:dyDescent="0.25">
      <c r="A15545" s="75">
        <v>60124302</v>
      </c>
      <c r="B15545" s="76" t="s">
        <v>15252</v>
      </c>
    </row>
    <row r="15546" spans="1:2" x14ac:dyDescent="0.25">
      <c r="A15546" s="75">
        <v>60124303</v>
      </c>
      <c r="B15546" s="76" t="s">
        <v>1791</v>
      </c>
    </row>
    <row r="15547" spans="1:2" x14ac:dyDescent="0.25">
      <c r="A15547" s="75">
        <v>60124304</v>
      </c>
      <c r="B15547" s="76" t="s">
        <v>17135</v>
      </c>
    </row>
    <row r="15548" spans="1:2" x14ac:dyDescent="0.25">
      <c r="A15548" s="75">
        <v>60124305</v>
      </c>
      <c r="B15548" s="76" t="s">
        <v>11166</v>
      </c>
    </row>
    <row r="15549" spans="1:2" x14ac:dyDescent="0.25">
      <c r="A15549" s="75">
        <v>60124306</v>
      </c>
      <c r="B15549" s="76" t="s">
        <v>16067</v>
      </c>
    </row>
    <row r="15550" spans="1:2" x14ac:dyDescent="0.25">
      <c r="A15550" s="75">
        <v>60124307</v>
      </c>
      <c r="B15550" s="76" t="s">
        <v>1750</v>
      </c>
    </row>
    <row r="15551" spans="1:2" x14ac:dyDescent="0.25">
      <c r="A15551" s="75">
        <v>60124308</v>
      </c>
      <c r="B15551" s="76" t="s">
        <v>13730</v>
      </c>
    </row>
    <row r="15552" spans="1:2" x14ac:dyDescent="0.25">
      <c r="A15552" s="75">
        <v>60124309</v>
      </c>
      <c r="B15552" s="76" t="s">
        <v>11467</v>
      </c>
    </row>
    <row r="15553" spans="1:2" x14ac:dyDescent="0.25">
      <c r="A15553" s="75">
        <v>60124310</v>
      </c>
      <c r="B15553" s="76" t="s">
        <v>9920</v>
      </c>
    </row>
    <row r="15554" spans="1:2" x14ac:dyDescent="0.25">
      <c r="A15554" s="75">
        <v>60124311</v>
      </c>
      <c r="B15554" s="76" t="s">
        <v>19704</v>
      </c>
    </row>
    <row r="15555" spans="1:2" x14ac:dyDescent="0.25">
      <c r="A15555" s="75">
        <v>60124312</v>
      </c>
      <c r="B15555" s="76" t="s">
        <v>14233</v>
      </c>
    </row>
    <row r="15556" spans="1:2" x14ac:dyDescent="0.25">
      <c r="A15556" s="75">
        <v>60124313</v>
      </c>
      <c r="B15556" s="76" t="s">
        <v>16226</v>
      </c>
    </row>
    <row r="15557" spans="1:2" x14ac:dyDescent="0.25">
      <c r="A15557" s="75">
        <v>60124314</v>
      </c>
      <c r="B15557" s="76" t="s">
        <v>15390</v>
      </c>
    </row>
    <row r="15558" spans="1:2" x14ac:dyDescent="0.25">
      <c r="A15558" s="75">
        <v>60124315</v>
      </c>
      <c r="B15558" s="76" t="s">
        <v>345</v>
      </c>
    </row>
    <row r="15559" spans="1:2" x14ac:dyDescent="0.25">
      <c r="A15559" s="75">
        <v>60124316</v>
      </c>
      <c r="B15559" s="76" t="s">
        <v>14251</v>
      </c>
    </row>
    <row r="15560" spans="1:2" x14ac:dyDescent="0.25">
      <c r="A15560" s="75">
        <v>60124317</v>
      </c>
      <c r="B15560" s="76" t="s">
        <v>16411</v>
      </c>
    </row>
    <row r="15561" spans="1:2" x14ac:dyDescent="0.25">
      <c r="A15561" s="75">
        <v>60124318</v>
      </c>
      <c r="B15561" s="76" t="s">
        <v>19782</v>
      </c>
    </row>
    <row r="15562" spans="1:2" x14ac:dyDescent="0.25">
      <c r="A15562" s="75">
        <v>60124319</v>
      </c>
      <c r="B15562" s="76" t="s">
        <v>18739</v>
      </c>
    </row>
    <row r="15563" spans="1:2" x14ac:dyDescent="0.25">
      <c r="A15563" s="75">
        <v>60124320</v>
      </c>
      <c r="B15563" s="76" t="s">
        <v>17528</v>
      </c>
    </row>
    <row r="15564" spans="1:2" x14ac:dyDescent="0.25">
      <c r="A15564" s="75">
        <v>60124321</v>
      </c>
      <c r="B15564" s="76" t="s">
        <v>10015</v>
      </c>
    </row>
    <row r="15565" spans="1:2" x14ac:dyDescent="0.25">
      <c r="A15565" s="75">
        <v>60124322</v>
      </c>
      <c r="B15565" s="76" t="s">
        <v>11282</v>
      </c>
    </row>
    <row r="15566" spans="1:2" x14ac:dyDescent="0.25">
      <c r="A15566" s="75">
        <v>60124323</v>
      </c>
      <c r="B15566" s="76" t="s">
        <v>1585</v>
      </c>
    </row>
    <row r="15567" spans="1:2" x14ac:dyDescent="0.25">
      <c r="A15567" s="75">
        <v>60124324</v>
      </c>
      <c r="B15567" s="76" t="s">
        <v>3721</v>
      </c>
    </row>
    <row r="15568" spans="1:2" x14ac:dyDescent="0.25">
      <c r="A15568" s="75">
        <v>60124401</v>
      </c>
      <c r="B15568" s="76" t="s">
        <v>12529</v>
      </c>
    </row>
    <row r="15569" spans="1:2" x14ac:dyDescent="0.25">
      <c r="A15569" s="75">
        <v>60124402</v>
      </c>
      <c r="B15569" s="76" t="s">
        <v>11394</v>
      </c>
    </row>
    <row r="15570" spans="1:2" x14ac:dyDescent="0.25">
      <c r="A15570" s="75">
        <v>60124403</v>
      </c>
      <c r="B15570" s="76" t="s">
        <v>1633</v>
      </c>
    </row>
    <row r="15571" spans="1:2" x14ac:dyDescent="0.25">
      <c r="A15571" s="75">
        <v>60124404</v>
      </c>
      <c r="B15571" s="76" t="s">
        <v>19538</v>
      </c>
    </row>
    <row r="15572" spans="1:2" x14ac:dyDescent="0.25">
      <c r="A15572" s="75">
        <v>60124405</v>
      </c>
      <c r="B15572" s="76" t="s">
        <v>11922</v>
      </c>
    </row>
    <row r="15573" spans="1:2" x14ac:dyDescent="0.25">
      <c r="A15573" s="75">
        <v>60124406</v>
      </c>
      <c r="B15573" s="76" t="s">
        <v>12117</v>
      </c>
    </row>
    <row r="15574" spans="1:2" x14ac:dyDescent="0.25">
      <c r="A15574" s="75">
        <v>60124407</v>
      </c>
      <c r="B15574" s="76" t="s">
        <v>17904</v>
      </c>
    </row>
    <row r="15575" spans="1:2" x14ac:dyDescent="0.25">
      <c r="A15575" s="75">
        <v>60124408</v>
      </c>
      <c r="B15575" s="76" t="s">
        <v>9186</v>
      </c>
    </row>
    <row r="15576" spans="1:2" x14ac:dyDescent="0.25">
      <c r="A15576" s="75">
        <v>60124409</v>
      </c>
      <c r="B15576" s="76" t="s">
        <v>18485</v>
      </c>
    </row>
    <row r="15577" spans="1:2" x14ac:dyDescent="0.25">
      <c r="A15577" s="75">
        <v>60124410</v>
      </c>
      <c r="B15577" s="76" t="s">
        <v>8946</v>
      </c>
    </row>
    <row r="15578" spans="1:2" x14ac:dyDescent="0.25">
      <c r="A15578" s="75">
        <v>60124411</v>
      </c>
      <c r="B15578" s="76" t="s">
        <v>5765</v>
      </c>
    </row>
    <row r="15579" spans="1:2" x14ac:dyDescent="0.25">
      <c r="A15579" s="75">
        <v>60124412</v>
      </c>
      <c r="B15579" s="76" t="s">
        <v>10908</v>
      </c>
    </row>
    <row r="15580" spans="1:2" x14ac:dyDescent="0.25">
      <c r="A15580" s="75">
        <v>60124501</v>
      </c>
      <c r="B15580" s="76" t="s">
        <v>2260</v>
      </c>
    </row>
    <row r="15581" spans="1:2" x14ac:dyDescent="0.25">
      <c r="A15581" s="75">
        <v>60124502</v>
      </c>
      <c r="B15581" s="76" t="s">
        <v>17306</v>
      </c>
    </row>
    <row r="15582" spans="1:2" x14ac:dyDescent="0.25">
      <c r="A15582" s="75">
        <v>60124503</v>
      </c>
      <c r="B15582" s="76" t="s">
        <v>5701</v>
      </c>
    </row>
    <row r="15583" spans="1:2" x14ac:dyDescent="0.25">
      <c r="A15583" s="75">
        <v>60124504</v>
      </c>
      <c r="B15583" s="76" t="s">
        <v>14040</v>
      </c>
    </row>
    <row r="15584" spans="1:2" x14ac:dyDescent="0.25">
      <c r="A15584" s="75">
        <v>60124505</v>
      </c>
      <c r="B15584" s="76" t="s">
        <v>4098</v>
      </c>
    </row>
    <row r="15585" spans="1:2" x14ac:dyDescent="0.25">
      <c r="A15585" s="75">
        <v>60124506</v>
      </c>
      <c r="B15585" s="76" t="s">
        <v>2876</v>
      </c>
    </row>
    <row r="15586" spans="1:2" x14ac:dyDescent="0.25">
      <c r="A15586" s="75">
        <v>60124507</v>
      </c>
      <c r="B15586" s="76" t="s">
        <v>19545</v>
      </c>
    </row>
    <row r="15587" spans="1:2" x14ac:dyDescent="0.25">
      <c r="A15587" s="75">
        <v>60124508</v>
      </c>
      <c r="B15587" s="76" t="s">
        <v>13865</v>
      </c>
    </row>
    <row r="15588" spans="1:2" x14ac:dyDescent="0.25">
      <c r="A15588" s="75">
        <v>60124509</v>
      </c>
      <c r="B15588" s="76" t="s">
        <v>4259</v>
      </c>
    </row>
    <row r="15589" spans="1:2" x14ac:dyDescent="0.25">
      <c r="A15589" s="75">
        <v>60124510</v>
      </c>
      <c r="B15589" s="76" t="s">
        <v>19208</v>
      </c>
    </row>
    <row r="15590" spans="1:2" x14ac:dyDescent="0.25">
      <c r="A15590" s="75">
        <v>60124511</v>
      </c>
      <c r="B15590" s="76" t="s">
        <v>10809</v>
      </c>
    </row>
    <row r="15591" spans="1:2" x14ac:dyDescent="0.25">
      <c r="A15591" s="75">
        <v>60124512</v>
      </c>
      <c r="B15591" s="76" t="s">
        <v>4503</v>
      </c>
    </row>
    <row r="15592" spans="1:2" x14ac:dyDescent="0.25">
      <c r="A15592" s="75">
        <v>60124513</v>
      </c>
      <c r="B15592" s="76" t="s">
        <v>13197</v>
      </c>
    </row>
    <row r="15593" spans="1:2" x14ac:dyDescent="0.25">
      <c r="A15593" s="75">
        <v>60124514</v>
      </c>
      <c r="B15593" s="76" t="s">
        <v>7580</v>
      </c>
    </row>
    <row r="15594" spans="1:2" x14ac:dyDescent="0.25">
      <c r="A15594" s="75">
        <v>60124515</v>
      </c>
      <c r="B15594" s="76" t="s">
        <v>15289</v>
      </c>
    </row>
    <row r="15595" spans="1:2" x14ac:dyDescent="0.25">
      <c r="A15595" s="75">
        <v>60131001</v>
      </c>
      <c r="B15595" s="76" t="s">
        <v>10328</v>
      </c>
    </row>
    <row r="15596" spans="1:2" x14ac:dyDescent="0.25">
      <c r="A15596" s="75">
        <v>60131002</v>
      </c>
      <c r="B15596" s="76" t="s">
        <v>728</v>
      </c>
    </row>
    <row r="15597" spans="1:2" x14ac:dyDescent="0.25">
      <c r="A15597" s="75">
        <v>60131003</v>
      </c>
      <c r="B15597" s="76" t="s">
        <v>9674</v>
      </c>
    </row>
    <row r="15598" spans="1:2" x14ac:dyDescent="0.25">
      <c r="A15598" s="75">
        <v>60131004</v>
      </c>
      <c r="B15598" s="76" t="s">
        <v>17249</v>
      </c>
    </row>
    <row r="15599" spans="1:2" x14ac:dyDescent="0.25">
      <c r="A15599" s="75">
        <v>60131101</v>
      </c>
      <c r="B15599" s="76" t="s">
        <v>15786</v>
      </c>
    </row>
    <row r="15600" spans="1:2" x14ac:dyDescent="0.25">
      <c r="A15600" s="75">
        <v>60131102</v>
      </c>
      <c r="B15600" s="76" t="s">
        <v>114</v>
      </c>
    </row>
    <row r="15601" spans="1:2" x14ac:dyDescent="0.25">
      <c r="A15601" s="75">
        <v>60131103</v>
      </c>
      <c r="B15601" s="76" t="s">
        <v>16690</v>
      </c>
    </row>
    <row r="15602" spans="1:2" x14ac:dyDescent="0.25">
      <c r="A15602" s="75">
        <v>60131104</v>
      </c>
      <c r="B15602" s="76" t="s">
        <v>12473</v>
      </c>
    </row>
    <row r="15603" spans="1:2" x14ac:dyDescent="0.25">
      <c r="A15603" s="75">
        <v>60131105</v>
      </c>
      <c r="B15603" s="76" t="s">
        <v>13175</v>
      </c>
    </row>
    <row r="15604" spans="1:2" x14ac:dyDescent="0.25">
      <c r="A15604" s="75">
        <v>60131106</v>
      </c>
      <c r="B15604" s="76" t="s">
        <v>1245</v>
      </c>
    </row>
    <row r="15605" spans="1:2" x14ac:dyDescent="0.25">
      <c r="A15605" s="75">
        <v>60131107</v>
      </c>
      <c r="B15605" s="76" t="s">
        <v>7137</v>
      </c>
    </row>
    <row r="15606" spans="1:2" x14ac:dyDescent="0.25">
      <c r="A15606" s="75">
        <v>60131108</v>
      </c>
      <c r="B15606" s="76" t="s">
        <v>1806</v>
      </c>
    </row>
    <row r="15607" spans="1:2" x14ac:dyDescent="0.25">
      <c r="A15607" s="75">
        <v>60131109</v>
      </c>
      <c r="B15607" s="76" t="s">
        <v>3573</v>
      </c>
    </row>
    <row r="15608" spans="1:2" x14ac:dyDescent="0.25">
      <c r="A15608" s="75">
        <v>60131110</v>
      </c>
      <c r="B15608" s="76" t="s">
        <v>14090</v>
      </c>
    </row>
    <row r="15609" spans="1:2" x14ac:dyDescent="0.25">
      <c r="A15609" s="75">
        <v>60131111</v>
      </c>
      <c r="B15609" s="76" t="s">
        <v>18277</v>
      </c>
    </row>
    <row r="15610" spans="1:2" x14ac:dyDescent="0.25">
      <c r="A15610" s="75">
        <v>60131112</v>
      </c>
      <c r="B15610" s="76" t="s">
        <v>3662</v>
      </c>
    </row>
    <row r="15611" spans="1:2" x14ac:dyDescent="0.25">
      <c r="A15611" s="75">
        <v>60131201</v>
      </c>
      <c r="B15611" s="76" t="s">
        <v>16594</v>
      </c>
    </row>
    <row r="15612" spans="1:2" x14ac:dyDescent="0.25">
      <c r="A15612" s="75">
        <v>60131202</v>
      </c>
      <c r="B15612" s="76" t="s">
        <v>3679</v>
      </c>
    </row>
    <row r="15613" spans="1:2" x14ac:dyDescent="0.25">
      <c r="A15613" s="75">
        <v>60131203</v>
      </c>
      <c r="B15613" s="76" t="s">
        <v>12055</v>
      </c>
    </row>
    <row r="15614" spans="1:2" x14ac:dyDescent="0.25">
      <c r="A15614" s="75">
        <v>60131204</v>
      </c>
      <c r="B15614" s="76" t="s">
        <v>19803</v>
      </c>
    </row>
    <row r="15615" spans="1:2" x14ac:dyDescent="0.25">
      <c r="A15615" s="75">
        <v>60131205</v>
      </c>
      <c r="B15615" s="76" t="s">
        <v>18496</v>
      </c>
    </row>
    <row r="15616" spans="1:2" x14ac:dyDescent="0.25">
      <c r="A15616" s="75">
        <v>60131206</v>
      </c>
      <c r="B15616" s="76" t="s">
        <v>1342</v>
      </c>
    </row>
    <row r="15617" spans="1:2" x14ac:dyDescent="0.25">
      <c r="A15617" s="75">
        <v>60131207</v>
      </c>
      <c r="B15617" s="76" t="s">
        <v>16874</v>
      </c>
    </row>
    <row r="15618" spans="1:2" x14ac:dyDescent="0.25">
      <c r="A15618" s="75">
        <v>60131208</v>
      </c>
      <c r="B15618" s="76" t="s">
        <v>16279</v>
      </c>
    </row>
    <row r="15619" spans="1:2" x14ac:dyDescent="0.25">
      <c r="A15619" s="75">
        <v>60131209</v>
      </c>
      <c r="B15619" s="76" t="s">
        <v>439</v>
      </c>
    </row>
    <row r="15620" spans="1:2" x14ac:dyDescent="0.25">
      <c r="A15620" s="75">
        <v>60131210</v>
      </c>
      <c r="B15620" s="76" t="s">
        <v>18853</v>
      </c>
    </row>
    <row r="15621" spans="1:2" x14ac:dyDescent="0.25">
      <c r="A15621" s="75">
        <v>60131301</v>
      </c>
      <c r="B15621" s="76" t="s">
        <v>1805</v>
      </c>
    </row>
    <row r="15622" spans="1:2" x14ac:dyDescent="0.25">
      <c r="A15622" s="75">
        <v>60131302</v>
      </c>
      <c r="B15622" s="76" t="s">
        <v>18587</v>
      </c>
    </row>
    <row r="15623" spans="1:2" x14ac:dyDescent="0.25">
      <c r="A15623" s="75">
        <v>60131303</v>
      </c>
      <c r="B15623" s="76" t="s">
        <v>7829</v>
      </c>
    </row>
    <row r="15624" spans="1:2" x14ac:dyDescent="0.25">
      <c r="A15624" s="75">
        <v>60131304</v>
      </c>
      <c r="B15624" s="76" t="s">
        <v>9905</v>
      </c>
    </row>
    <row r="15625" spans="1:2" x14ac:dyDescent="0.25">
      <c r="A15625" s="75">
        <v>60131305</v>
      </c>
      <c r="B15625" s="76" t="s">
        <v>17238</v>
      </c>
    </row>
    <row r="15626" spans="1:2" x14ac:dyDescent="0.25">
      <c r="A15626" s="75">
        <v>60131306</v>
      </c>
      <c r="B15626" s="76" t="s">
        <v>3669</v>
      </c>
    </row>
    <row r="15627" spans="1:2" x14ac:dyDescent="0.25">
      <c r="A15627" s="75">
        <v>60131307</v>
      </c>
      <c r="B15627" s="76" t="s">
        <v>15888</v>
      </c>
    </row>
    <row r="15628" spans="1:2" x14ac:dyDescent="0.25">
      <c r="A15628" s="75">
        <v>60131308</v>
      </c>
      <c r="B15628" s="76" t="s">
        <v>4375</v>
      </c>
    </row>
    <row r="15629" spans="1:2" x14ac:dyDescent="0.25">
      <c r="A15629" s="75">
        <v>60131309</v>
      </c>
      <c r="B15629" s="76" t="s">
        <v>5255</v>
      </c>
    </row>
    <row r="15630" spans="1:2" x14ac:dyDescent="0.25">
      <c r="A15630" s="75">
        <v>60131401</v>
      </c>
      <c r="B15630" s="76" t="s">
        <v>8292</v>
      </c>
    </row>
    <row r="15631" spans="1:2" x14ac:dyDescent="0.25">
      <c r="A15631" s="75">
        <v>60131402</v>
      </c>
      <c r="B15631" s="76" t="s">
        <v>7949</v>
      </c>
    </row>
    <row r="15632" spans="1:2" x14ac:dyDescent="0.25">
      <c r="A15632" s="75">
        <v>60131403</v>
      </c>
      <c r="B15632" s="76" t="s">
        <v>16759</v>
      </c>
    </row>
    <row r="15633" spans="1:2" x14ac:dyDescent="0.25">
      <c r="A15633" s="75">
        <v>60131404</v>
      </c>
      <c r="B15633" s="76" t="s">
        <v>16583</v>
      </c>
    </row>
    <row r="15634" spans="1:2" x14ac:dyDescent="0.25">
      <c r="A15634" s="75">
        <v>60131405</v>
      </c>
      <c r="B15634" s="76" t="s">
        <v>10370</v>
      </c>
    </row>
    <row r="15635" spans="1:2" x14ac:dyDescent="0.25">
      <c r="A15635" s="75">
        <v>60131406</v>
      </c>
      <c r="B15635" s="76" t="s">
        <v>11144</v>
      </c>
    </row>
    <row r="15636" spans="1:2" x14ac:dyDescent="0.25">
      <c r="A15636" s="75">
        <v>60131407</v>
      </c>
      <c r="B15636" s="76" t="s">
        <v>14420</v>
      </c>
    </row>
    <row r="15637" spans="1:2" x14ac:dyDescent="0.25">
      <c r="A15637" s="75">
        <v>60131501</v>
      </c>
      <c r="B15637" s="76" t="s">
        <v>17990</v>
      </c>
    </row>
    <row r="15638" spans="1:2" x14ac:dyDescent="0.25">
      <c r="A15638" s="75">
        <v>60131502</v>
      </c>
      <c r="B15638" s="76" t="s">
        <v>9327</v>
      </c>
    </row>
    <row r="15639" spans="1:2" x14ac:dyDescent="0.25">
      <c r="A15639" s="75">
        <v>60131503</v>
      </c>
      <c r="B15639" s="76" t="s">
        <v>17192</v>
      </c>
    </row>
    <row r="15640" spans="1:2" x14ac:dyDescent="0.25">
      <c r="A15640" s="75">
        <v>60131504</v>
      </c>
      <c r="B15640" s="76" t="s">
        <v>2683</v>
      </c>
    </row>
    <row r="15641" spans="1:2" x14ac:dyDescent="0.25">
      <c r="A15641" s="75">
        <v>60131505</v>
      </c>
      <c r="B15641" s="76" t="s">
        <v>9683</v>
      </c>
    </row>
    <row r="15642" spans="1:2" x14ac:dyDescent="0.25">
      <c r="A15642" s="75">
        <v>60131506</v>
      </c>
      <c r="B15642" s="76" t="s">
        <v>1361</v>
      </c>
    </row>
    <row r="15643" spans="1:2" x14ac:dyDescent="0.25">
      <c r="A15643" s="75">
        <v>60131507</v>
      </c>
      <c r="B15643" s="76" t="s">
        <v>12001</v>
      </c>
    </row>
    <row r="15644" spans="1:2" x14ac:dyDescent="0.25">
      <c r="A15644" s="75">
        <v>60131508</v>
      </c>
      <c r="B15644" s="76" t="s">
        <v>12040</v>
      </c>
    </row>
    <row r="15645" spans="1:2" x14ac:dyDescent="0.25">
      <c r="A15645" s="75">
        <v>60131509</v>
      </c>
      <c r="B15645" s="76" t="s">
        <v>1625</v>
      </c>
    </row>
    <row r="15646" spans="1:2" x14ac:dyDescent="0.25">
      <c r="A15646" s="75">
        <v>60131510</v>
      </c>
      <c r="B15646" s="76" t="s">
        <v>8825</v>
      </c>
    </row>
    <row r="15647" spans="1:2" x14ac:dyDescent="0.25">
      <c r="A15647" s="75">
        <v>60131511</v>
      </c>
      <c r="B15647" s="76" t="s">
        <v>3660</v>
      </c>
    </row>
    <row r="15648" spans="1:2" x14ac:dyDescent="0.25">
      <c r="A15648" s="75">
        <v>60131512</v>
      </c>
      <c r="B15648" s="76" t="s">
        <v>7000</v>
      </c>
    </row>
    <row r="15649" spans="1:2" x14ac:dyDescent="0.25">
      <c r="A15649" s="75">
        <v>60131513</v>
      </c>
      <c r="B15649" s="76" t="s">
        <v>12822</v>
      </c>
    </row>
    <row r="15650" spans="1:2" x14ac:dyDescent="0.25">
      <c r="A15650" s="75">
        <v>60131514</v>
      </c>
      <c r="B15650" s="76" t="s">
        <v>14557</v>
      </c>
    </row>
    <row r="15651" spans="1:2" x14ac:dyDescent="0.25">
      <c r="A15651" s="75">
        <v>60131601</v>
      </c>
      <c r="B15651" s="76" t="s">
        <v>17939</v>
      </c>
    </row>
    <row r="15652" spans="1:2" x14ac:dyDescent="0.25">
      <c r="A15652" s="75">
        <v>60131701</v>
      </c>
      <c r="B15652" s="76" t="s">
        <v>6211</v>
      </c>
    </row>
    <row r="15653" spans="1:2" x14ac:dyDescent="0.25">
      <c r="A15653" s="75">
        <v>60131702</v>
      </c>
      <c r="B15653" s="76" t="s">
        <v>8568</v>
      </c>
    </row>
    <row r="15654" spans="1:2" x14ac:dyDescent="0.25">
      <c r="A15654" s="75">
        <v>60131801</v>
      </c>
      <c r="B15654" s="76" t="s">
        <v>3523</v>
      </c>
    </row>
    <row r="15655" spans="1:2" x14ac:dyDescent="0.25">
      <c r="A15655" s="75">
        <v>60131802</v>
      </c>
      <c r="B15655" s="76" t="s">
        <v>13701</v>
      </c>
    </row>
    <row r="15656" spans="1:2" x14ac:dyDescent="0.25">
      <c r="A15656" s="75">
        <v>60131803</v>
      </c>
      <c r="B15656" s="76" t="s">
        <v>6271</v>
      </c>
    </row>
    <row r="15657" spans="1:2" x14ac:dyDescent="0.25">
      <c r="A15657" s="75">
        <v>60141001</v>
      </c>
      <c r="B15657" s="76" t="s">
        <v>12265</v>
      </c>
    </row>
    <row r="15658" spans="1:2" x14ac:dyDescent="0.25">
      <c r="A15658" s="75">
        <v>60141002</v>
      </c>
      <c r="B15658" s="76" t="s">
        <v>9767</v>
      </c>
    </row>
    <row r="15659" spans="1:2" x14ac:dyDescent="0.25">
      <c r="A15659" s="75">
        <v>60141003</v>
      </c>
      <c r="B15659" s="76" t="s">
        <v>15825</v>
      </c>
    </row>
    <row r="15660" spans="1:2" x14ac:dyDescent="0.25">
      <c r="A15660" s="75">
        <v>60141004</v>
      </c>
      <c r="B15660" s="76" t="s">
        <v>17294</v>
      </c>
    </row>
    <row r="15661" spans="1:2" x14ac:dyDescent="0.25">
      <c r="A15661" s="75">
        <v>60141005</v>
      </c>
      <c r="B15661" s="76" t="s">
        <v>10520</v>
      </c>
    </row>
    <row r="15662" spans="1:2" x14ac:dyDescent="0.25">
      <c r="A15662" s="75">
        <v>60141006</v>
      </c>
      <c r="B15662" s="76" t="s">
        <v>19807</v>
      </c>
    </row>
    <row r="15663" spans="1:2" x14ac:dyDescent="0.25">
      <c r="A15663" s="75">
        <v>60141007</v>
      </c>
      <c r="B15663" s="76" t="s">
        <v>17137</v>
      </c>
    </row>
    <row r="15664" spans="1:2" x14ac:dyDescent="0.25">
      <c r="A15664" s="75">
        <v>60141008</v>
      </c>
      <c r="B15664" s="76" t="s">
        <v>2767</v>
      </c>
    </row>
    <row r="15665" spans="1:2" x14ac:dyDescent="0.25">
      <c r="A15665" s="75">
        <v>60141009</v>
      </c>
      <c r="B15665" s="76" t="s">
        <v>6392</v>
      </c>
    </row>
    <row r="15666" spans="1:2" x14ac:dyDescent="0.25">
      <c r="A15666" s="75">
        <v>60141010</v>
      </c>
      <c r="B15666" s="76" t="s">
        <v>6996</v>
      </c>
    </row>
    <row r="15667" spans="1:2" x14ac:dyDescent="0.25">
      <c r="A15667" s="75">
        <v>60141011</v>
      </c>
      <c r="B15667" s="76" t="s">
        <v>8052</v>
      </c>
    </row>
    <row r="15668" spans="1:2" x14ac:dyDescent="0.25">
      <c r="A15668" s="75">
        <v>60141012</v>
      </c>
      <c r="B15668" s="76" t="s">
        <v>6577</v>
      </c>
    </row>
    <row r="15669" spans="1:2" x14ac:dyDescent="0.25">
      <c r="A15669" s="75">
        <v>60141013</v>
      </c>
      <c r="B15669" s="76" t="s">
        <v>1444</v>
      </c>
    </row>
    <row r="15670" spans="1:2" x14ac:dyDescent="0.25">
      <c r="A15670" s="75">
        <v>60141014</v>
      </c>
      <c r="B15670" s="76" t="s">
        <v>2183</v>
      </c>
    </row>
    <row r="15671" spans="1:2" x14ac:dyDescent="0.25">
      <c r="A15671" s="75">
        <v>60141015</v>
      </c>
      <c r="B15671" s="76" t="s">
        <v>5849</v>
      </c>
    </row>
    <row r="15672" spans="1:2" x14ac:dyDescent="0.25">
      <c r="A15672" s="75">
        <v>60141016</v>
      </c>
      <c r="B15672" s="76" t="s">
        <v>17154</v>
      </c>
    </row>
    <row r="15673" spans="1:2" x14ac:dyDescent="0.25">
      <c r="A15673" s="75">
        <v>60141017</v>
      </c>
      <c r="B15673" s="76" t="s">
        <v>528</v>
      </c>
    </row>
    <row r="15674" spans="1:2" x14ac:dyDescent="0.25">
      <c r="A15674" s="75">
        <v>60141018</v>
      </c>
      <c r="B15674" s="76" t="s">
        <v>19476</v>
      </c>
    </row>
    <row r="15675" spans="1:2" x14ac:dyDescent="0.25">
      <c r="A15675" s="75">
        <v>60141019</v>
      </c>
      <c r="B15675" s="76" t="s">
        <v>13112</v>
      </c>
    </row>
    <row r="15676" spans="1:2" x14ac:dyDescent="0.25">
      <c r="A15676" s="75">
        <v>60141020</v>
      </c>
      <c r="B15676" s="76" t="s">
        <v>2485</v>
      </c>
    </row>
    <row r="15677" spans="1:2" x14ac:dyDescent="0.25">
      <c r="A15677" s="75">
        <v>60141021</v>
      </c>
      <c r="B15677" s="76" t="s">
        <v>17676</v>
      </c>
    </row>
    <row r="15678" spans="1:2" x14ac:dyDescent="0.25">
      <c r="A15678" s="75">
        <v>60141022</v>
      </c>
      <c r="B15678" s="76" t="s">
        <v>16899</v>
      </c>
    </row>
    <row r="15679" spans="1:2" x14ac:dyDescent="0.25">
      <c r="A15679" s="75">
        <v>60141023</v>
      </c>
      <c r="B15679" s="76" t="s">
        <v>18001</v>
      </c>
    </row>
    <row r="15680" spans="1:2" x14ac:dyDescent="0.25">
      <c r="A15680" s="75">
        <v>60141024</v>
      </c>
      <c r="B15680" s="76" t="s">
        <v>9190</v>
      </c>
    </row>
    <row r="15681" spans="1:2" x14ac:dyDescent="0.25">
      <c r="A15681" s="75">
        <v>60141025</v>
      </c>
      <c r="B15681" s="76" t="s">
        <v>10472</v>
      </c>
    </row>
    <row r="15682" spans="1:2" x14ac:dyDescent="0.25">
      <c r="A15682" s="75">
        <v>60141026</v>
      </c>
      <c r="B15682" s="76" t="s">
        <v>1122</v>
      </c>
    </row>
    <row r="15683" spans="1:2" x14ac:dyDescent="0.25">
      <c r="A15683" s="75">
        <v>60141101</v>
      </c>
      <c r="B15683" s="76" t="s">
        <v>10710</v>
      </c>
    </row>
    <row r="15684" spans="1:2" x14ac:dyDescent="0.25">
      <c r="A15684" s="75">
        <v>60141102</v>
      </c>
      <c r="B15684" s="76" t="s">
        <v>5457</v>
      </c>
    </row>
    <row r="15685" spans="1:2" x14ac:dyDescent="0.25">
      <c r="A15685" s="75">
        <v>60141103</v>
      </c>
      <c r="B15685" s="76" t="s">
        <v>11236</v>
      </c>
    </row>
    <row r="15686" spans="1:2" x14ac:dyDescent="0.25">
      <c r="A15686" s="75">
        <v>60141104</v>
      </c>
      <c r="B15686" s="76" t="s">
        <v>14016</v>
      </c>
    </row>
    <row r="15687" spans="1:2" x14ac:dyDescent="0.25">
      <c r="A15687" s="75">
        <v>60141105</v>
      </c>
      <c r="B15687" s="76" t="s">
        <v>10826</v>
      </c>
    </row>
    <row r="15688" spans="1:2" x14ac:dyDescent="0.25">
      <c r="A15688" s="75">
        <v>60141106</v>
      </c>
      <c r="B15688" s="76" t="s">
        <v>17849</v>
      </c>
    </row>
    <row r="15689" spans="1:2" x14ac:dyDescent="0.25">
      <c r="A15689" s="75">
        <v>60141107</v>
      </c>
      <c r="B15689" s="76" t="s">
        <v>4025</v>
      </c>
    </row>
    <row r="15690" spans="1:2" x14ac:dyDescent="0.25">
      <c r="A15690" s="75">
        <v>60141108</v>
      </c>
      <c r="B15690" s="76" t="s">
        <v>881</v>
      </c>
    </row>
    <row r="15691" spans="1:2" x14ac:dyDescent="0.25">
      <c r="A15691" s="75">
        <v>60141109</v>
      </c>
      <c r="B15691" s="76" t="s">
        <v>3457</v>
      </c>
    </row>
    <row r="15692" spans="1:2" x14ac:dyDescent="0.25">
      <c r="A15692" s="75">
        <v>60141110</v>
      </c>
      <c r="B15692" s="76" t="s">
        <v>13234</v>
      </c>
    </row>
    <row r="15693" spans="1:2" x14ac:dyDescent="0.25">
      <c r="A15693" s="75">
        <v>60141111</v>
      </c>
      <c r="B15693" s="76" t="s">
        <v>17308</v>
      </c>
    </row>
    <row r="15694" spans="1:2" x14ac:dyDescent="0.25">
      <c r="A15694" s="75">
        <v>60141112</v>
      </c>
      <c r="B15694" s="76" t="s">
        <v>7411</v>
      </c>
    </row>
    <row r="15695" spans="1:2" x14ac:dyDescent="0.25">
      <c r="A15695" s="75">
        <v>60141113</v>
      </c>
      <c r="B15695" s="76" t="s">
        <v>13530</v>
      </c>
    </row>
    <row r="15696" spans="1:2" x14ac:dyDescent="0.25">
      <c r="A15696" s="75">
        <v>60141114</v>
      </c>
      <c r="B15696" s="76" t="s">
        <v>8256</v>
      </c>
    </row>
    <row r="15697" spans="1:2" x14ac:dyDescent="0.25">
      <c r="A15697" s="75">
        <v>60141115</v>
      </c>
      <c r="B15697" s="76" t="s">
        <v>11580</v>
      </c>
    </row>
    <row r="15698" spans="1:2" x14ac:dyDescent="0.25">
      <c r="A15698" s="75">
        <v>60141201</v>
      </c>
      <c r="B15698" s="76" t="s">
        <v>19086</v>
      </c>
    </row>
    <row r="15699" spans="1:2" x14ac:dyDescent="0.25">
      <c r="A15699" s="75">
        <v>60141202</v>
      </c>
      <c r="B15699" s="76" t="s">
        <v>15084</v>
      </c>
    </row>
    <row r="15700" spans="1:2" x14ac:dyDescent="0.25">
      <c r="A15700" s="75">
        <v>60141203</v>
      </c>
      <c r="B15700" s="76" t="s">
        <v>13509</v>
      </c>
    </row>
    <row r="15701" spans="1:2" x14ac:dyDescent="0.25">
      <c r="A15701" s="75">
        <v>60141204</v>
      </c>
      <c r="B15701" s="76" t="s">
        <v>8042</v>
      </c>
    </row>
    <row r="15702" spans="1:2" x14ac:dyDescent="0.25">
      <c r="A15702" s="75">
        <v>60141205</v>
      </c>
      <c r="B15702" s="76" t="s">
        <v>3887</v>
      </c>
    </row>
    <row r="15703" spans="1:2" x14ac:dyDescent="0.25">
      <c r="A15703" s="75">
        <v>60141302</v>
      </c>
      <c r="B15703" s="76" t="s">
        <v>2904</v>
      </c>
    </row>
    <row r="15704" spans="1:2" x14ac:dyDescent="0.25">
      <c r="A15704" s="75">
        <v>60141303</v>
      </c>
      <c r="B15704" s="76" t="s">
        <v>16103</v>
      </c>
    </row>
    <row r="15705" spans="1:2" x14ac:dyDescent="0.25">
      <c r="A15705" s="75">
        <v>60141304</v>
      </c>
      <c r="B15705" s="76" t="s">
        <v>18678</v>
      </c>
    </row>
    <row r="15706" spans="1:2" x14ac:dyDescent="0.25">
      <c r="A15706" s="75">
        <v>60141305</v>
      </c>
      <c r="B15706" s="76" t="s">
        <v>12593</v>
      </c>
    </row>
    <row r="15707" spans="1:2" x14ac:dyDescent="0.25">
      <c r="A15707" s="75">
        <v>60141306</v>
      </c>
      <c r="B15707" s="76" t="s">
        <v>20013</v>
      </c>
    </row>
    <row r="15708" spans="1:2" x14ac:dyDescent="0.25">
      <c r="A15708" s="75">
        <v>60141307</v>
      </c>
      <c r="B15708" s="76" t="s">
        <v>18686</v>
      </c>
    </row>
    <row r="15709" spans="1:2" x14ac:dyDescent="0.25">
      <c r="A15709" s="75">
        <v>60141401</v>
      </c>
      <c r="B15709" s="76" t="s">
        <v>2883</v>
      </c>
    </row>
    <row r="15710" spans="1:2" x14ac:dyDescent="0.25">
      <c r="A15710" s="75">
        <v>60141402</v>
      </c>
      <c r="B15710" s="76" t="s">
        <v>4761</v>
      </c>
    </row>
    <row r="15711" spans="1:2" x14ac:dyDescent="0.25">
      <c r="A15711" s="75">
        <v>60141403</v>
      </c>
      <c r="B15711" s="76" t="s">
        <v>15886</v>
      </c>
    </row>
    <row r="15712" spans="1:2" x14ac:dyDescent="0.25">
      <c r="A15712" s="75">
        <v>60141404</v>
      </c>
      <c r="B15712" s="76" t="s">
        <v>17838</v>
      </c>
    </row>
    <row r="15713" spans="1:2" x14ac:dyDescent="0.25">
      <c r="A15713" s="75">
        <v>60141405</v>
      </c>
      <c r="B15713" s="76" t="s">
        <v>16401</v>
      </c>
    </row>
    <row r="15714" spans="1:2" x14ac:dyDescent="0.25">
      <c r="A15714" s="75">
        <v>70101501</v>
      </c>
      <c r="B15714" s="76" t="s">
        <v>16100</v>
      </c>
    </row>
    <row r="15715" spans="1:2" x14ac:dyDescent="0.25">
      <c r="A15715" s="75">
        <v>70101502</v>
      </c>
      <c r="B15715" s="76" t="s">
        <v>483</v>
      </c>
    </row>
    <row r="15716" spans="1:2" x14ac:dyDescent="0.25">
      <c r="A15716" s="75">
        <v>70101503</v>
      </c>
      <c r="B15716" s="76" t="s">
        <v>6959</v>
      </c>
    </row>
    <row r="15717" spans="1:2" x14ac:dyDescent="0.25">
      <c r="A15717" s="75">
        <v>70101504</v>
      </c>
      <c r="B15717" s="76" t="s">
        <v>16295</v>
      </c>
    </row>
    <row r="15718" spans="1:2" x14ac:dyDescent="0.25">
      <c r="A15718" s="75">
        <v>70101505</v>
      </c>
      <c r="B15718" s="76" t="s">
        <v>2015</v>
      </c>
    </row>
    <row r="15719" spans="1:2" x14ac:dyDescent="0.25">
      <c r="A15719" s="75">
        <v>70101506</v>
      </c>
      <c r="B15719" s="76" t="s">
        <v>2544</v>
      </c>
    </row>
    <row r="15720" spans="1:2" x14ac:dyDescent="0.25">
      <c r="A15720" s="75">
        <v>70101507</v>
      </c>
      <c r="B15720" s="76" t="s">
        <v>15293</v>
      </c>
    </row>
    <row r="15721" spans="1:2" x14ac:dyDescent="0.25">
      <c r="A15721" s="75">
        <v>70101508</v>
      </c>
      <c r="B15721" s="76" t="s">
        <v>706</v>
      </c>
    </row>
    <row r="15722" spans="1:2" x14ac:dyDescent="0.25">
      <c r="A15722" s="75">
        <v>70101509</v>
      </c>
      <c r="B15722" s="76" t="s">
        <v>19709</v>
      </c>
    </row>
    <row r="15723" spans="1:2" x14ac:dyDescent="0.25">
      <c r="A15723" s="75">
        <v>70101510</v>
      </c>
      <c r="B15723" s="76" t="s">
        <v>15801</v>
      </c>
    </row>
    <row r="15724" spans="1:2" x14ac:dyDescent="0.25">
      <c r="A15724" s="75">
        <v>70101601</v>
      </c>
      <c r="B15724" s="76" t="s">
        <v>5898</v>
      </c>
    </row>
    <row r="15725" spans="1:2" x14ac:dyDescent="0.25">
      <c r="A15725" s="75">
        <v>70101602</v>
      </c>
      <c r="B15725" s="76" t="s">
        <v>4671</v>
      </c>
    </row>
    <row r="15726" spans="1:2" x14ac:dyDescent="0.25">
      <c r="A15726" s="75">
        <v>70101603</v>
      </c>
      <c r="B15726" s="76" t="s">
        <v>18090</v>
      </c>
    </row>
    <row r="15727" spans="1:2" x14ac:dyDescent="0.25">
      <c r="A15727" s="75">
        <v>70101604</v>
      </c>
      <c r="B15727" s="76" t="s">
        <v>15254</v>
      </c>
    </row>
    <row r="15728" spans="1:2" x14ac:dyDescent="0.25">
      <c r="A15728" s="75">
        <v>70101605</v>
      </c>
      <c r="B15728" s="76" t="s">
        <v>11802</v>
      </c>
    </row>
    <row r="15729" spans="1:2" x14ac:dyDescent="0.25">
      <c r="A15729" s="75">
        <v>70101606</v>
      </c>
      <c r="B15729" s="76" t="s">
        <v>7498</v>
      </c>
    </row>
    <row r="15730" spans="1:2" x14ac:dyDescent="0.25">
      <c r="A15730" s="75">
        <v>70101607</v>
      </c>
      <c r="B15730" s="76" t="s">
        <v>6157</v>
      </c>
    </row>
    <row r="15731" spans="1:2" x14ac:dyDescent="0.25">
      <c r="A15731" s="75">
        <v>70101701</v>
      </c>
      <c r="B15731" s="76" t="s">
        <v>15324</v>
      </c>
    </row>
    <row r="15732" spans="1:2" x14ac:dyDescent="0.25">
      <c r="A15732" s="75">
        <v>70101702</v>
      </c>
      <c r="B15732" s="76" t="s">
        <v>315</v>
      </c>
    </row>
    <row r="15733" spans="1:2" x14ac:dyDescent="0.25">
      <c r="A15733" s="75">
        <v>70101703</v>
      </c>
      <c r="B15733" s="76" t="s">
        <v>14180</v>
      </c>
    </row>
    <row r="15734" spans="1:2" x14ac:dyDescent="0.25">
      <c r="A15734" s="75">
        <v>70101704</v>
      </c>
      <c r="B15734" s="76" t="s">
        <v>2164</v>
      </c>
    </row>
    <row r="15735" spans="1:2" x14ac:dyDescent="0.25">
      <c r="A15735" s="75">
        <v>70101801</v>
      </c>
      <c r="B15735" s="76" t="s">
        <v>12378</v>
      </c>
    </row>
    <row r="15736" spans="1:2" x14ac:dyDescent="0.25">
      <c r="A15736" s="75">
        <v>70101802</v>
      </c>
      <c r="B15736" s="76" t="s">
        <v>2671</v>
      </c>
    </row>
    <row r="15737" spans="1:2" x14ac:dyDescent="0.25">
      <c r="A15737" s="75">
        <v>70101803</v>
      </c>
      <c r="B15737" s="76" t="s">
        <v>2880</v>
      </c>
    </row>
    <row r="15738" spans="1:2" x14ac:dyDescent="0.25">
      <c r="A15738" s="75">
        <v>70101804</v>
      </c>
      <c r="B15738" s="76" t="s">
        <v>17977</v>
      </c>
    </row>
    <row r="15739" spans="1:2" x14ac:dyDescent="0.25">
      <c r="A15739" s="75">
        <v>70101805</v>
      </c>
      <c r="B15739" s="76" t="s">
        <v>19458</v>
      </c>
    </row>
    <row r="15740" spans="1:2" x14ac:dyDescent="0.25">
      <c r="A15740" s="75">
        <v>70101806</v>
      </c>
      <c r="B15740" s="76" t="s">
        <v>13632</v>
      </c>
    </row>
    <row r="15741" spans="1:2" x14ac:dyDescent="0.25">
      <c r="A15741" s="75">
        <v>70101901</v>
      </c>
      <c r="B15741" s="76" t="s">
        <v>8380</v>
      </c>
    </row>
    <row r="15742" spans="1:2" x14ac:dyDescent="0.25">
      <c r="A15742" s="75">
        <v>70101902</v>
      </c>
      <c r="B15742" s="76" t="s">
        <v>10955</v>
      </c>
    </row>
    <row r="15743" spans="1:2" x14ac:dyDescent="0.25">
      <c r="A15743" s="75">
        <v>70101903</v>
      </c>
      <c r="B15743" s="76" t="s">
        <v>10075</v>
      </c>
    </row>
    <row r="15744" spans="1:2" x14ac:dyDescent="0.25">
      <c r="A15744" s="75">
        <v>70101904</v>
      </c>
      <c r="B15744" s="76" t="s">
        <v>19510</v>
      </c>
    </row>
    <row r="15745" spans="1:2" x14ac:dyDescent="0.25">
      <c r="A15745" s="75">
        <v>70101905</v>
      </c>
      <c r="B15745" s="76" t="s">
        <v>14163</v>
      </c>
    </row>
    <row r="15746" spans="1:2" x14ac:dyDescent="0.25">
      <c r="A15746" s="75">
        <v>70111501</v>
      </c>
      <c r="B15746" s="76" t="s">
        <v>17909</v>
      </c>
    </row>
    <row r="15747" spans="1:2" x14ac:dyDescent="0.25">
      <c r="A15747" s="75">
        <v>70111502</v>
      </c>
      <c r="B15747" s="76" t="s">
        <v>12244</v>
      </c>
    </row>
    <row r="15748" spans="1:2" x14ac:dyDescent="0.25">
      <c r="A15748" s="75">
        <v>70111503</v>
      </c>
      <c r="B15748" s="76" t="s">
        <v>17678</v>
      </c>
    </row>
    <row r="15749" spans="1:2" x14ac:dyDescent="0.25">
      <c r="A15749" s="75">
        <v>70111504</v>
      </c>
      <c r="B15749" s="76" t="s">
        <v>1156</v>
      </c>
    </row>
    <row r="15750" spans="1:2" x14ac:dyDescent="0.25">
      <c r="A15750" s="75">
        <v>70111505</v>
      </c>
      <c r="B15750" s="76" t="s">
        <v>10092</v>
      </c>
    </row>
    <row r="15751" spans="1:2" x14ac:dyDescent="0.25">
      <c r="A15751" s="75">
        <v>70111506</v>
      </c>
      <c r="B15751" s="76" t="s">
        <v>17936</v>
      </c>
    </row>
    <row r="15752" spans="1:2" x14ac:dyDescent="0.25">
      <c r="A15752" s="75">
        <v>70111507</v>
      </c>
      <c r="B15752" s="76" t="s">
        <v>15782</v>
      </c>
    </row>
    <row r="15753" spans="1:2" x14ac:dyDescent="0.25">
      <c r="A15753" s="75">
        <v>70111508</v>
      </c>
      <c r="B15753" s="76" t="s">
        <v>13183</v>
      </c>
    </row>
    <row r="15754" spans="1:2" x14ac:dyDescent="0.25">
      <c r="A15754" s="75">
        <v>70111601</v>
      </c>
      <c r="B15754" s="76" t="s">
        <v>15305</v>
      </c>
    </row>
    <row r="15755" spans="1:2" x14ac:dyDescent="0.25">
      <c r="A15755" s="75">
        <v>70111602</v>
      </c>
      <c r="B15755" s="76" t="s">
        <v>12613</v>
      </c>
    </row>
    <row r="15756" spans="1:2" x14ac:dyDescent="0.25">
      <c r="A15756" s="75">
        <v>70111603</v>
      </c>
      <c r="B15756" s="76" t="s">
        <v>17410</v>
      </c>
    </row>
    <row r="15757" spans="1:2" x14ac:dyDescent="0.25">
      <c r="A15757" s="75">
        <v>70111701</v>
      </c>
      <c r="B15757" s="76" t="s">
        <v>16509</v>
      </c>
    </row>
    <row r="15758" spans="1:2" x14ac:dyDescent="0.25">
      <c r="A15758" s="75">
        <v>70111702</v>
      </c>
      <c r="B15758" s="76" t="s">
        <v>18541</v>
      </c>
    </row>
    <row r="15759" spans="1:2" x14ac:dyDescent="0.25">
      <c r="A15759" s="75">
        <v>70111703</v>
      </c>
      <c r="B15759" s="76" t="s">
        <v>3385</v>
      </c>
    </row>
    <row r="15760" spans="1:2" x14ac:dyDescent="0.25">
      <c r="A15760" s="75">
        <v>70111704</v>
      </c>
      <c r="B15760" s="76" t="s">
        <v>13887</v>
      </c>
    </row>
    <row r="15761" spans="1:2" x14ac:dyDescent="0.25">
      <c r="A15761" s="75">
        <v>70111705</v>
      </c>
      <c r="B15761" s="76" t="s">
        <v>654</v>
      </c>
    </row>
    <row r="15762" spans="1:2" x14ac:dyDescent="0.25">
      <c r="A15762" s="75">
        <v>70111706</v>
      </c>
      <c r="B15762" s="76" t="s">
        <v>17270</v>
      </c>
    </row>
    <row r="15763" spans="1:2" x14ac:dyDescent="0.25">
      <c r="A15763" s="75">
        <v>70111707</v>
      </c>
      <c r="B15763" s="76" t="s">
        <v>13674</v>
      </c>
    </row>
    <row r="15764" spans="1:2" x14ac:dyDescent="0.25">
      <c r="A15764" s="75">
        <v>70111708</v>
      </c>
      <c r="B15764" s="76" t="s">
        <v>17917</v>
      </c>
    </row>
    <row r="15765" spans="1:2" x14ac:dyDescent="0.25">
      <c r="A15765" s="75">
        <v>70111709</v>
      </c>
      <c r="B15765" s="76" t="s">
        <v>17979</v>
      </c>
    </row>
    <row r="15766" spans="1:2" x14ac:dyDescent="0.25">
      <c r="A15766" s="75">
        <v>70111710</v>
      </c>
      <c r="B15766" s="76" t="s">
        <v>5983</v>
      </c>
    </row>
    <row r="15767" spans="1:2" x14ac:dyDescent="0.25">
      <c r="A15767" s="75">
        <v>70111711</v>
      </c>
      <c r="B15767" s="76" t="s">
        <v>10345</v>
      </c>
    </row>
    <row r="15768" spans="1:2" x14ac:dyDescent="0.25">
      <c r="A15768" s="75">
        <v>70111712</v>
      </c>
      <c r="B15768" s="76" t="s">
        <v>3393</v>
      </c>
    </row>
    <row r="15769" spans="1:2" x14ac:dyDescent="0.25">
      <c r="A15769" s="75">
        <v>70111713</v>
      </c>
      <c r="B15769" s="76" t="s">
        <v>3834</v>
      </c>
    </row>
    <row r="15770" spans="1:2" x14ac:dyDescent="0.25">
      <c r="A15770" s="75">
        <v>70121501</v>
      </c>
      <c r="B15770" s="76" t="s">
        <v>16332</v>
      </c>
    </row>
    <row r="15771" spans="1:2" x14ac:dyDescent="0.25">
      <c r="A15771" s="75">
        <v>70121502</v>
      </c>
      <c r="B15771" s="76" t="s">
        <v>19266</v>
      </c>
    </row>
    <row r="15772" spans="1:2" x14ac:dyDescent="0.25">
      <c r="A15772" s="75">
        <v>70121503</v>
      </c>
      <c r="B15772" s="76" t="s">
        <v>10553</v>
      </c>
    </row>
    <row r="15773" spans="1:2" x14ac:dyDescent="0.25">
      <c r="A15773" s="75">
        <v>70121504</v>
      </c>
      <c r="B15773" s="76" t="s">
        <v>14732</v>
      </c>
    </row>
    <row r="15774" spans="1:2" x14ac:dyDescent="0.25">
      <c r="A15774" s="75">
        <v>70121505</v>
      </c>
      <c r="B15774" s="76" t="s">
        <v>13364</v>
      </c>
    </row>
    <row r="15775" spans="1:2" x14ac:dyDescent="0.25">
      <c r="A15775" s="75">
        <v>70121601</v>
      </c>
      <c r="B15775" s="76" t="s">
        <v>15783</v>
      </c>
    </row>
    <row r="15776" spans="1:2" x14ac:dyDescent="0.25">
      <c r="A15776" s="75">
        <v>70121602</v>
      </c>
      <c r="B15776" s="76" t="s">
        <v>14823</v>
      </c>
    </row>
    <row r="15777" spans="1:2" x14ac:dyDescent="0.25">
      <c r="A15777" s="75">
        <v>70121603</v>
      </c>
      <c r="B15777" s="76" t="s">
        <v>3362</v>
      </c>
    </row>
    <row r="15778" spans="1:2" x14ac:dyDescent="0.25">
      <c r="A15778" s="75">
        <v>70121604</v>
      </c>
      <c r="B15778" s="76" t="s">
        <v>3488</v>
      </c>
    </row>
    <row r="15779" spans="1:2" x14ac:dyDescent="0.25">
      <c r="A15779" s="75">
        <v>70121605</v>
      </c>
      <c r="B15779" s="76" t="s">
        <v>5107</v>
      </c>
    </row>
    <row r="15780" spans="1:2" x14ac:dyDescent="0.25">
      <c r="A15780" s="75">
        <v>70121606</v>
      </c>
      <c r="B15780" s="76" t="s">
        <v>8171</v>
      </c>
    </row>
    <row r="15781" spans="1:2" x14ac:dyDescent="0.25">
      <c r="A15781" s="75">
        <v>70121607</v>
      </c>
      <c r="B15781" s="76" t="s">
        <v>9086</v>
      </c>
    </row>
    <row r="15782" spans="1:2" x14ac:dyDescent="0.25">
      <c r="A15782" s="75">
        <v>70121608</v>
      </c>
      <c r="B15782" s="76" t="s">
        <v>15809</v>
      </c>
    </row>
    <row r="15783" spans="1:2" x14ac:dyDescent="0.25">
      <c r="A15783" s="75">
        <v>70121610</v>
      </c>
      <c r="B15783" s="76" t="s">
        <v>15717</v>
      </c>
    </row>
    <row r="15784" spans="1:2" x14ac:dyDescent="0.25">
      <c r="A15784" s="75">
        <v>70121701</v>
      </c>
      <c r="B15784" s="76" t="s">
        <v>6518</v>
      </c>
    </row>
    <row r="15785" spans="1:2" x14ac:dyDescent="0.25">
      <c r="A15785" s="75">
        <v>70121702</v>
      </c>
      <c r="B15785" s="76" t="s">
        <v>3161</v>
      </c>
    </row>
    <row r="15786" spans="1:2" x14ac:dyDescent="0.25">
      <c r="A15786" s="75">
        <v>70121703</v>
      </c>
      <c r="B15786" s="76" t="s">
        <v>14926</v>
      </c>
    </row>
    <row r="15787" spans="1:2" x14ac:dyDescent="0.25">
      <c r="A15787" s="75">
        <v>70121704</v>
      </c>
      <c r="B15787" s="76" t="s">
        <v>8877</v>
      </c>
    </row>
    <row r="15788" spans="1:2" x14ac:dyDescent="0.25">
      <c r="A15788" s="75">
        <v>70121705</v>
      </c>
      <c r="B15788" s="76" t="s">
        <v>3422</v>
      </c>
    </row>
    <row r="15789" spans="1:2" x14ac:dyDescent="0.25">
      <c r="A15789" s="75">
        <v>70121801</v>
      </c>
      <c r="B15789" s="76" t="s">
        <v>13313</v>
      </c>
    </row>
    <row r="15790" spans="1:2" x14ac:dyDescent="0.25">
      <c r="A15790" s="75">
        <v>70121802</v>
      </c>
      <c r="B15790" s="76" t="s">
        <v>2319</v>
      </c>
    </row>
    <row r="15791" spans="1:2" x14ac:dyDescent="0.25">
      <c r="A15791" s="75">
        <v>70121803</v>
      </c>
      <c r="B15791" s="76" t="s">
        <v>19661</v>
      </c>
    </row>
    <row r="15792" spans="1:2" x14ac:dyDescent="0.25">
      <c r="A15792" s="75">
        <v>70121901</v>
      </c>
      <c r="B15792" s="76" t="s">
        <v>4113</v>
      </c>
    </row>
    <row r="15793" spans="1:2" x14ac:dyDescent="0.25">
      <c r="A15793" s="75">
        <v>70121902</v>
      </c>
      <c r="B15793" s="76" t="s">
        <v>4097</v>
      </c>
    </row>
    <row r="15794" spans="1:2" x14ac:dyDescent="0.25">
      <c r="A15794" s="75">
        <v>70121903</v>
      </c>
      <c r="B15794" s="76" t="s">
        <v>17144</v>
      </c>
    </row>
    <row r="15795" spans="1:2" x14ac:dyDescent="0.25">
      <c r="A15795" s="75">
        <v>70122001</v>
      </c>
      <c r="B15795" s="76" t="s">
        <v>10793</v>
      </c>
    </row>
    <row r="15796" spans="1:2" x14ac:dyDescent="0.25">
      <c r="A15796" s="75">
        <v>70122002</v>
      </c>
      <c r="B15796" s="76" t="s">
        <v>15682</v>
      </c>
    </row>
    <row r="15797" spans="1:2" x14ac:dyDescent="0.25">
      <c r="A15797" s="75">
        <v>70122003</v>
      </c>
      <c r="B15797" s="76" t="s">
        <v>1454</v>
      </c>
    </row>
    <row r="15798" spans="1:2" x14ac:dyDescent="0.25">
      <c r="A15798" s="75">
        <v>70122004</v>
      </c>
      <c r="B15798" s="76" t="s">
        <v>15928</v>
      </c>
    </row>
    <row r="15799" spans="1:2" x14ac:dyDescent="0.25">
      <c r="A15799" s="75">
        <v>70122005</v>
      </c>
      <c r="B15799" s="76" t="s">
        <v>15594</v>
      </c>
    </row>
    <row r="15800" spans="1:2" x14ac:dyDescent="0.25">
      <c r="A15800" s="75">
        <v>70122006</v>
      </c>
      <c r="B15800" s="76" t="s">
        <v>18426</v>
      </c>
    </row>
    <row r="15801" spans="1:2" x14ac:dyDescent="0.25">
      <c r="A15801" s="75">
        <v>70122007</v>
      </c>
      <c r="B15801" s="76" t="s">
        <v>3475</v>
      </c>
    </row>
    <row r="15802" spans="1:2" x14ac:dyDescent="0.25">
      <c r="A15802" s="75">
        <v>70122008</v>
      </c>
      <c r="B15802" s="76" t="s">
        <v>8242</v>
      </c>
    </row>
    <row r="15803" spans="1:2" x14ac:dyDescent="0.25">
      <c r="A15803" s="75">
        <v>70122009</v>
      </c>
      <c r="B15803" s="76" t="s">
        <v>8478</v>
      </c>
    </row>
    <row r="15804" spans="1:2" x14ac:dyDescent="0.25">
      <c r="A15804" s="75">
        <v>70122010</v>
      </c>
      <c r="B15804" s="76" t="s">
        <v>16025</v>
      </c>
    </row>
    <row r="15805" spans="1:2" x14ac:dyDescent="0.25">
      <c r="A15805" s="75">
        <v>70131501</v>
      </c>
      <c r="B15805" s="76" t="s">
        <v>15868</v>
      </c>
    </row>
    <row r="15806" spans="1:2" x14ac:dyDescent="0.25">
      <c r="A15806" s="75">
        <v>70131502</v>
      </c>
      <c r="B15806" s="76" t="s">
        <v>11440</v>
      </c>
    </row>
    <row r="15807" spans="1:2" x14ac:dyDescent="0.25">
      <c r="A15807" s="75">
        <v>70131503</v>
      </c>
      <c r="B15807" s="76" t="s">
        <v>17809</v>
      </c>
    </row>
    <row r="15808" spans="1:2" x14ac:dyDescent="0.25">
      <c r="A15808" s="75">
        <v>70131504</v>
      </c>
      <c r="B15808" s="76" t="s">
        <v>19490</v>
      </c>
    </row>
    <row r="15809" spans="1:2" x14ac:dyDescent="0.25">
      <c r="A15809" s="75">
        <v>70131505</v>
      </c>
      <c r="B15809" s="76" t="s">
        <v>7936</v>
      </c>
    </row>
    <row r="15810" spans="1:2" x14ac:dyDescent="0.25">
      <c r="A15810" s="75">
        <v>70131506</v>
      </c>
      <c r="B15810" s="76" t="s">
        <v>8202</v>
      </c>
    </row>
    <row r="15811" spans="1:2" x14ac:dyDescent="0.25">
      <c r="A15811" s="75">
        <v>70131601</v>
      </c>
      <c r="B15811" s="76" t="s">
        <v>8440</v>
      </c>
    </row>
    <row r="15812" spans="1:2" x14ac:dyDescent="0.25">
      <c r="A15812" s="75">
        <v>70131602</v>
      </c>
      <c r="B15812" s="76" t="s">
        <v>2357</v>
      </c>
    </row>
    <row r="15813" spans="1:2" x14ac:dyDescent="0.25">
      <c r="A15813" s="75">
        <v>70131603</v>
      </c>
      <c r="B15813" s="76" t="s">
        <v>5345</v>
      </c>
    </row>
    <row r="15814" spans="1:2" x14ac:dyDescent="0.25">
      <c r="A15814" s="75">
        <v>70131604</v>
      </c>
      <c r="B15814" s="76" t="s">
        <v>6009</v>
      </c>
    </row>
    <row r="15815" spans="1:2" x14ac:dyDescent="0.25">
      <c r="A15815" s="75">
        <v>70131605</v>
      </c>
      <c r="B15815" s="76" t="s">
        <v>7118</v>
      </c>
    </row>
    <row r="15816" spans="1:2" x14ac:dyDescent="0.25">
      <c r="A15816" s="75">
        <v>70131701</v>
      </c>
      <c r="B15816" s="76" t="s">
        <v>13982</v>
      </c>
    </row>
    <row r="15817" spans="1:2" x14ac:dyDescent="0.25">
      <c r="A15817" s="75">
        <v>70131702</v>
      </c>
      <c r="B15817" s="76" t="s">
        <v>10615</v>
      </c>
    </row>
    <row r="15818" spans="1:2" x14ac:dyDescent="0.25">
      <c r="A15818" s="75">
        <v>70131703</v>
      </c>
      <c r="B15818" s="76" t="s">
        <v>14832</v>
      </c>
    </row>
    <row r="15819" spans="1:2" x14ac:dyDescent="0.25">
      <c r="A15819" s="75">
        <v>70131704</v>
      </c>
      <c r="B15819" s="76" t="s">
        <v>1103</v>
      </c>
    </row>
    <row r="15820" spans="1:2" x14ac:dyDescent="0.25">
      <c r="A15820" s="75">
        <v>70131705</v>
      </c>
      <c r="B15820" s="76" t="s">
        <v>14960</v>
      </c>
    </row>
    <row r="15821" spans="1:2" x14ac:dyDescent="0.25">
      <c r="A15821" s="75">
        <v>70131706</v>
      </c>
      <c r="B15821" s="76" t="s">
        <v>2385</v>
      </c>
    </row>
    <row r="15822" spans="1:2" x14ac:dyDescent="0.25">
      <c r="A15822" s="75">
        <v>70131707</v>
      </c>
      <c r="B15822" s="76" t="s">
        <v>3232</v>
      </c>
    </row>
    <row r="15823" spans="1:2" x14ac:dyDescent="0.25">
      <c r="A15823" s="75">
        <v>70131708</v>
      </c>
      <c r="B15823" s="76" t="s">
        <v>685</v>
      </c>
    </row>
    <row r="15824" spans="1:2" x14ac:dyDescent="0.25">
      <c r="A15824" s="75">
        <v>70141501</v>
      </c>
      <c r="B15824" s="76" t="s">
        <v>5275</v>
      </c>
    </row>
    <row r="15825" spans="1:2" x14ac:dyDescent="0.25">
      <c r="A15825" s="75">
        <v>70141502</v>
      </c>
      <c r="B15825" s="76" t="s">
        <v>14853</v>
      </c>
    </row>
    <row r="15826" spans="1:2" x14ac:dyDescent="0.25">
      <c r="A15826" s="75">
        <v>70141503</v>
      </c>
      <c r="B15826" s="76" t="s">
        <v>16427</v>
      </c>
    </row>
    <row r="15827" spans="1:2" x14ac:dyDescent="0.25">
      <c r="A15827" s="75">
        <v>70141504</v>
      </c>
      <c r="B15827" s="76" t="s">
        <v>8669</v>
      </c>
    </row>
    <row r="15828" spans="1:2" x14ac:dyDescent="0.25">
      <c r="A15828" s="75">
        <v>70141505</v>
      </c>
      <c r="B15828" s="76" t="s">
        <v>19650</v>
      </c>
    </row>
    <row r="15829" spans="1:2" x14ac:dyDescent="0.25">
      <c r="A15829" s="75">
        <v>70141506</v>
      </c>
      <c r="B15829" s="76" t="s">
        <v>15036</v>
      </c>
    </row>
    <row r="15830" spans="1:2" x14ac:dyDescent="0.25">
      <c r="A15830" s="75">
        <v>70141507</v>
      </c>
      <c r="B15830" s="76" t="s">
        <v>9539</v>
      </c>
    </row>
    <row r="15831" spans="1:2" x14ac:dyDescent="0.25">
      <c r="A15831" s="75">
        <v>70141508</v>
      </c>
      <c r="B15831" s="76" t="s">
        <v>1285</v>
      </c>
    </row>
    <row r="15832" spans="1:2" x14ac:dyDescent="0.25">
      <c r="A15832" s="75">
        <v>70141509</v>
      </c>
      <c r="B15832" s="76" t="s">
        <v>7924</v>
      </c>
    </row>
    <row r="15833" spans="1:2" x14ac:dyDescent="0.25">
      <c r="A15833" s="75">
        <v>70141510</v>
      </c>
      <c r="B15833" s="76" t="s">
        <v>9243</v>
      </c>
    </row>
    <row r="15834" spans="1:2" x14ac:dyDescent="0.25">
      <c r="A15834" s="75">
        <v>70141511</v>
      </c>
      <c r="B15834" s="76" t="s">
        <v>18675</v>
      </c>
    </row>
    <row r="15835" spans="1:2" x14ac:dyDescent="0.25">
      <c r="A15835" s="75">
        <v>70141512</v>
      </c>
      <c r="B15835" s="76" t="s">
        <v>3975</v>
      </c>
    </row>
    <row r="15836" spans="1:2" x14ac:dyDescent="0.25">
      <c r="A15836" s="75">
        <v>70141513</v>
      </c>
      <c r="B15836" s="76" t="s">
        <v>17623</v>
      </c>
    </row>
    <row r="15837" spans="1:2" x14ac:dyDescent="0.25">
      <c r="A15837" s="75">
        <v>70141514</v>
      </c>
      <c r="B15837" s="76" t="s">
        <v>18310</v>
      </c>
    </row>
    <row r="15838" spans="1:2" x14ac:dyDescent="0.25">
      <c r="A15838" s="75">
        <v>70141515</v>
      </c>
      <c r="B15838" s="76" t="s">
        <v>18337</v>
      </c>
    </row>
    <row r="15839" spans="1:2" x14ac:dyDescent="0.25">
      <c r="A15839" s="75">
        <v>70141516</v>
      </c>
      <c r="B15839" s="76" t="s">
        <v>2731</v>
      </c>
    </row>
    <row r="15840" spans="1:2" x14ac:dyDescent="0.25">
      <c r="A15840" s="75">
        <v>70141517</v>
      </c>
      <c r="B15840" s="76" t="s">
        <v>14392</v>
      </c>
    </row>
    <row r="15841" spans="1:2" x14ac:dyDescent="0.25">
      <c r="A15841" s="75">
        <v>70141518</v>
      </c>
      <c r="B15841" s="76" t="s">
        <v>97</v>
      </c>
    </row>
    <row r="15842" spans="1:2" x14ac:dyDescent="0.25">
      <c r="A15842" s="75">
        <v>70141519</v>
      </c>
      <c r="B15842" s="76" t="s">
        <v>1710</v>
      </c>
    </row>
    <row r="15843" spans="1:2" x14ac:dyDescent="0.25">
      <c r="A15843" s="75">
        <v>70141520</v>
      </c>
      <c r="B15843" s="76" t="s">
        <v>6045</v>
      </c>
    </row>
    <row r="15844" spans="1:2" x14ac:dyDescent="0.25">
      <c r="A15844" s="75">
        <v>70141601</v>
      </c>
      <c r="B15844" s="76" t="s">
        <v>9151</v>
      </c>
    </row>
    <row r="15845" spans="1:2" x14ac:dyDescent="0.25">
      <c r="A15845" s="75">
        <v>70141602</v>
      </c>
      <c r="B15845" s="76" t="s">
        <v>15723</v>
      </c>
    </row>
    <row r="15846" spans="1:2" x14ac:dyDescent="0.25">
      <c r="A15846" s="75">
        <v>70141603</v>
      </c>
      <c r="B15846" s="76" t="s">
        <v>7399</v>
      </c>
    </row>
    <row r="15847" spans="1:2" x14ac:dyDescent="0.25">
      <c r="A15847" s="75">
        <v>70141604</v>
      </c>
      <c r="B15847" s="76" t="s">
        <v>8048</v>
      </c>
    </row>
    <row r="15848" spans="1:2" x14ac:dyDescent="0.25">
      <c r="A15848" s="75">
        <v>70141605</v>
      </c>
      <c r="B15848" s="76" t="s">
        <v>11635</v>
      </c>
    </row>
    <row r="15849" spans="1:2" x14ac:dyDescent="0.25">
      <c r="A15849" s="75">
        <v>70141606</v>
      </c>
      <c r="B15849" s="76" t="s">
        <v>19140</v>
      </c>
    </row>
    <row r="15850" spans="1:2" x14ac:dyDescent="0.25">
      <c r="A15850" s="75">
        <v>70141607</v>
      </c>
      <c r="B15850" s="76" t="s">
        <v>18396</v>
      </c>
    </row>
    <row r="15851" spans="1:2" x14ac:dyDescent="0.25">
      <c r="A15851" s="75">
        <v>70141701</v>
      </c>
      <c r="B15851" s="76" t="s">
        <v>8186</v>
      </c>
    </row>
    <row r="15852" spans="1:2" x14ac:dyDescent="0.25">
      <c r="A15852" s="75">
        <v>70141702</v>
      </c>
      <c r="B15852" s="76" t="s">
        <v>8239</v>
      </c>
    </row>
    <row r="15853" spans="1:2" x14ac:dyDescent="0.25">
      <c r="A15853" s="75">
        <v>70141703</v>
      </c>
      <c r="B15853" s="76" t="s">
        <v>14383</v>
      </c>
    </row>
    <row r="15854" spans="1:2" x14ac:dyDescent="0.25">
      <c r="A15854" s="75">
        <v>70141704</v>
      </c>
      <c r="B15854" s="76" t="s">
        <v>18785</v>
      </c>
    </row>
    <row r="15855" spans="1:2" x14ac:dyDescent="0.25">
      <c r="A15855" s="75">
        <v>70141705</v>
      </c>
      <c r="B15855" s="76" t="s">
        <v>12714</v>
      </c>
    </row>
    <row r="15856" spans="1:2" x14ac:dyDescent="0.25">
      <c r="A15856" s="75">
        <v>70141706</v>
      </c>
      <c r="B15856" s="76" t="s">
        <v>216</v>
      </c>
    </row>
    <row r="15857" spans="1:2" x14ac:dyDescent="0.25">
      <c r="A15857" s="75">
        <v>70141707</v>
      </c>
      <c r="B15857" s="76" t="s">
        <v>15641</v>
      </c>
    </row>
    <row r="15858" spans="1:2" x14ac:dyDescent="0.25">
      <c r="A15858" s="75">
        <v>70141708</v>
      </c>
      <c r="B15858" s="76" t="s">
        <v>13670</v>
      </c>
    </row>
    <row r="15859" spans="1:2" x14ac:dyDescent="0.25">
      <c r="A15859" s="75">
        <v>70141709</v>
      </c>
      <c r="B15859" s="76" t="s">
        <v>10046</v>
      </c>
    </row>
    <row r="15860" spans="1:2" x14ac:dyDescent="0.25">
      <c r="A15860" s="75">
        <v>70141710</v>
      </c>
      <c r="B15860" s="76" t="s">
        <v>2928</v>
      </c>
    </row>
    <row r="15861" spans="1:2" x14ac:dyDescent="0.25">
      <c r="A15861" s="75">
        <v>70141801</v>
      </c>
      <c r="B15861" s="76" t="s">
        <v>478</v>
      </c>
    </row>
    <row r="15862" spans="1:2" x14ac:dyDescent="0.25">
      <c r="A15862" s="75">
        <v>70141802</v>
      </c>
      <c r="B15862" s="76" t="s">
        <v>10293</v>
      </c>
    </row>
    <row r="15863" spans="1:2" x14ac:dyDescent="0.25">
      <c r="A15863" s="75">
        <v>70141803</v>
      </c>
      <c r="B15863" s="76" t="s">
        <v>13854</v>
      </c>
    </row>
    <row r="15864" spans="1:2" x14ac:dyDescent="0.25">
      <c r="A15864" s="75">
        <v>70141804</v>
      </c>
      <c r="B15864" s="76" t="s">
        <v>5151</v>
      </c>
    </row>
    <row r="15865" spans="1:2" x14ac:dyDescent="0.25">
      <c r="A15865" s="75">
        <v>70141901</v>
      </c>
      <c r="B15865" s="76" t="s">
        <v>8802</v>
      </c>
    </row>
    <row r="15866" spans="1:2" x14ac:dyDescent="0.25">
      <c r="A15866" s="75">
        <v>70141902</v>
      </c>
      <c r="B15866" s="76" t="s">
        <v>11006</v>
      </c>
    </row>
    <row r="15867" spans="1:2" x14ac:dyDescent="0.25">
      <c r="A15867" s="75">
        <v>70141903</v>
      </c>
      <c r="B15867" s="76" t="s">
        <v>5952</v>
      </c>
    </row>
    <row r="15868" spans="1:2" x14ac:dyDescent="0.25">
      <c r="A15868" s="75">
        <v>70141904</v>
      </c>
      <c r="B15868" s="76" t="s">
        <v>3406</v>
      </c>
    </row>
    <row r="15869" spans="1:2" x14ac:dyDescent="0.25">
      <c r="A15869" s="75">
        <v>70142001</v>
      </c>
      <c r="B15869" s="76" t="s">
        <v>467</v>
      </c>
    </row>
    <row r="15870" spans="1:2" x14ac:dyDescent="0.25">
      <c r="A15870" s="75">
        <v>70142002</v>
      </c>
      <c r="B15870" s="76" t="s">
        <v>9137</v>
      </c>
    </row>
    <row r="15871" spans="1:2" x14ac:dyDescent="0.25">
      <c r="A15871" s="75">
        <v>70142003</v>
      </c>
      <c r="B15871" s="76" t="s">
        <v>20008</v>
      </c>
    </row>
    <row r="15872" spans="1:2" x14ac:dyDescent="0.25">
      <c r="A15872" s="75">
        <v>70142004</v>
      </c>
      <c r="B15872" s="76" t="s">
        <v>1993</v>
      </c>
    </row>
    <row r="15873" spans="1:2" x14ac:dyDescent="0.25">
      <c r="A15873" s="75">
        <v>70142005</v>
      </c>
      <c r="B15873" s="76" t="s">
        <v>17417</v>
      </c>
    </row>
    <row r="15874" spans="1:2" x14ac:dyDescent="0.25">
      <c r="A15874" s="75">
        <v>70142006</v>
      </c>
      <c r="B15874" s="76" t="s">
        <v>10509</v>
      </c>
    </row>
    <row r="15875" spans="1:2" x14ac:dyDescent="0.25">
      <c r="A15875" s="75">
        <v>70142007</v>
      </c>
      <c r="B15875" s="76" t="s">
        <v>19987</v>
      </c>
    </row>
    <row r="15876" spans="1:2" x14ac:dyDescent="0.25">
      <c r="A15876" s="75">
        <v>70142008</v>
      </c>
      <c r="B15876" s="76" t="s">
        <v>11223</v>
      </c>
    </row>
    <row r="15877" spans="1:2" x14ac:dyDescent="0.25">
      <c r="A15877" s="75">
        <v>70142009</v>
      </c>
      <c r="B15877" s="76" t="s">
        <v>14291</v>
      </c>
    </row>
    <row r="15878" spans="1:2" x14ac:dyDescent="0.25">
      <c r="A15878" s="75">
        <v>70142010</v>
      </c>
      <c r="B15878" s="76" t="s">
        <v>5473</v>
      </c>
    </row>
    <row r="15879" spans="1:2" x14ac:dyDescent="0.25">
      <c r="A15879" s="75">
        <v>70142011</v>
      </c>
      <c r="B15879" s="76" t="s">
        <v>1781</v>
      </c>
    </row>
    <row r="15880" spans="1:2" x14ac:dyDescent="0.25">
      <c r="A15880" s="75">
        <v>70151501</v>
      </c>
      <c r="B15880" s="76" t="s">
        <v>11062</v>
      </c>
    </row>
    <row r="15881" spans="1:2" x14ac:dyDescent="0.25">
      <c r="A15881" s="75">
        <v>70151502</v>
      </c>
      <c r="B15881" s="76" t="s">
        <v>971</v>
      </c>
    </row>
    <row r="15882" spans="1:2" x14ac:dyDescent="0.25">
      <c r="A15882" s="75">
        <v>70151503</v>
      </c>
      <c r="B15882" s="76" t="s">
        <v>15687</v>
      </c>
    </row>
    <row r="15883" spans="1:2" x14ac:dyDescent="0.25">
      <c r="A15883" s="75">
        <v>70151504</v>
      </c>
      <c r="B15883" s="76" t="s">
        <v>17795</v>
      </c>
    </row>
    <row r="15884" spans="1:2" x14ac:dyDescent="0.25">
      <c r="A15884" s="75">
        <v>70151505</v>
      </c>
      <c r="B15884" s="76" t="s">
        <v>205</v>
      </c>
    </row>
    <row r="15885" spans="1:2" x14ac:dyDescent="0.25">
      <c r="A15885" s="75">
        <v>70151506</v>
      </c>
      <c r="B15885" s="76" t="s">
        <v>9996</v>
      </c>
    </row>
    <row r="15886" spans="1:2" x14ac:dyDescent="0.25">
      <c r="A15886" s="75">
        <v>70151507</v>
      </c>
      <c r="B15886" s="76" t="s">
        <v>14227</v>
      </c>
    </row>
    <row r="15887" spans="1:2" x14ac:dyDescent="0.25">
      <c r="A15887" s="75">
        <v>70151508</v>
      </c>
      <c r="B15887" s="76" t="s">
        <v>4912</v>
      </c>
    </row>
    <row r="15888" spans="1:2" x14ac:dyDescent="0.25">
      <c r="A15888" s="75">
        <v>70151509</v>
      </c>
      <c r="B15888" s="76" t="s">
        <v>19346</v>
      </c>
    </row>
    <row r="15889" spans="1:2" x14ac:dyDescent="0.25">
      <c r="A15889" s="75">
        <v>70151510</v>
      </c>
      <c r="B15889" s="76" t="s">
        <v>8645</v>
      </c>
    </row>
    <row r="15890" spans="1:2" x14ac:dyDescent="0.25">
      <c r="A15890" s="75">
        <v>70151601</v>
      </c>
      <c r="B15890" s="76" t="s">
        <v>1149</v>
      </c>
    </row>
    <row r="15891" spans="1:2" x14ac:dyDescent="0.25">
      <c r="A15891" s="75">
        <v>70151602</v>
      </c>
      <c r="B15891" s="76" t="s">
        <v>16262</v>
      </c>
    </row>
    <row r="15892" spans="1:2" x14ac:dyDescent="0.25">
      <c r="A15892" s="75">
        <v>70151603</v>
      </c>
      <c r="B15892" s="76" t="s">
        <v>16532</v>
      </c>
    </row>
    <row r="15893" spans="1:2" x14ac:dyDescent="0.25">
      <c r="A15893" s="75">
        <v>70151604</v>
      </c>
      <c r="B15893" s="76" t="s">
        <v>8781</v>
      </c>
    </row>
    <row r="15894" spans="1:2" x14ac:dyDescent="0.25">
      <c r="A15894" s="75">
        <v>70151605</v>
      </c>
      <c r="B15894" s="76" t="s">
        <v>20064</v>
      </c>
    </row>
    <row r="15895" spans="1:2" x14ac:dyDescent="0.25">
      <c r="A15895" s="75">
        <v>70151606</v>
      </c>
      <c r="B15895" s="76" t="s">
        <v>18514</v>
      </c>
    </row>
    <row r="15896" spans="1:2" x14ac:dyDescent="0.25">
      <c r="A15896" s="75">
        <v>70151701</v>
      </c>
      <c r="B15896" s="76" t="s">
        <v>14567</v>
      </c>
    </row>
    <row r="15897" spans="1:2" x14ac:dyDescent="0.25">
      <c r="A15897" s="75">
        <v>70151702</v>
      </c>
      <c r="B15897" s="76" t="s">
        <v>10214</v>
      </c>
    </row>
    <row r="15898" spans="1:2" x14ac:dyDescent="0.25">
      <c r="A15898" s="75">
        <v>70151703</v>
      </c>
      <c r="B15898" s="76" t="s">
        <v>959</v>
      </c>
    </row>
    <row r="15899" spans="1:2" x14ac:dyDescent="0.25">
      <c r="A15899" s="75">
        <v>70151704</v>
      </c>
      <c r="B15899" s="76" t="s">
        <v>13102</v>
      </c>
    </row>
    <row r="15900" spans="1:2" x14ac:dyDescent="0.25">
      <c r="A15900" s="75">
        <v>70151705</v>
      </c>
      <c r="B15900" s="76" t="s">
        <v>9902</v>
      </c>
    </row>
    <row r="15901" spans="1:2" x14ac:dyDescent="0.25">
      <c r="A15901" s="75">
        <v>70151706</v>
      </c>
      <c r="B15901" s="76" t="s">
        <v>6728</v>
      </c>
    </row>
    <row r="15902" spans="1:2" x14ac:dyDescent="0.25">
      <c r="A15902" s="75">
        <v>70151707</v>
      </c>
      <c r="B15902" s="76" t="s">
        <v>16419</v>
      </c>
    </row>
    <row r="15903" spans="1:2" x14ac:dyDescent="0.25">
      <c r="A15903" s="75">
        <v>70151801</v>
      </c>
      <c r="B15903" s="76" t="s">
        <v>17013</v>
      </c>
    </row>
    <row r="15904" spans="1:2" x14ac:dyDescent="0.25">
      <c r="A15904" s="75">
        <v>70151802</v>
      </c>
      <c r="B15904" s="76" t="s">
        <v>13418</v>
      </c>
    </row>
    <row r="15905" spans="1:2" x14ac:dyDescent="0.25">
      <c r="A15905" s="75">
        <v>70151803</v>
      </c>
      <c r="B15905" s="76" t="s">
        <v>19072</v>
      </c>
    </row>
    <row r="15906" spans="1:2" x14ac:dyDescent="0.25">
      <c r="A15906" s="75">
        <v>70151804</v>
      </c>
      <c r="B15906" s="76" t="s">
        <v>3920</v>
      </c>
    </row>
    <row r="15907" spans="1:2" x14ac:dyDescent="0.25">
      <c r="A15907" s="75">
        <v>70151805</v>
      </c>
      <c r="B15907" s="76" t="s">
        <v>16455</v>
      </c>
    </row>
    <row r="15908" spans="1:2" x14ac:dyDescent="0.25">
      <c r="A15908" s="75">
        <v>70151806</v>
      </c>
      <c r="B15908" s="76" t="s">
        <v>16787</v>
      </c>
    </row>
    <row r="15909" spans="1:2" x14ac:dyDescent="0.25">
      <c r="A15909" s="75">
        <v>70151807</v>
      </c>
      <c r="B15909" s="76" t="s">
        <v>17187</v>
      </c>
    </row>
    <row r="15910" spans="1:2" x14ac:dyDescent="0.25">
      <c r="A15910" s="75">
        <v>70151901</v>
      </c>
      <c r="B15910" s="76" t="s">
        <v>18667</v>
      </c>
    </row>
    <row r="15911" spans="1:2" x14ac:dyDescent="0.25">
      <c r="A15911" s="75">
        <v>70151902</v>
      </c>
      <c r="B15911" s="76" t="s">
        <v>7553</v>
      </c>
    </row>
    <row r="15912" spans="1:2" x14ac:dyDescent="0.25">
      <c r="A15912" s="75">
        <v>70151903</v>
      </c>
      <c r="B15912" s="76" t="s">
        <v>14898</v>
      </c>
    </row>
    <row r="15913" spans="1:2" x14ac:dyDescent="0.25">
      <c r="A15913" s="75">
        <v>70151904</v>
      </c>
      <c r="B15913" s="76" t="s">
        <v>1722</v>
      </c>
    </row>
    <row r="15914" spans="1:2" x14ac:dyDescent="0.25">
      <c r="A15914" s="75">
        <v>70151905</v>
      </c>
      <c r="B15914" s="76" t="s">
        <v>18427</v>
      </c>
    </row>
    <row r="15915" spans="1:2" x14ac:dyDescent="0.25">
      <c r="A15915" s="75">
        <v>70151906</v>
      </c>
      <c r="B15915" s="76" t="s">
        <v>7883</v>
      </c>
    </row>
    <row r="15916" spans="1:2" x14ac:dyDescent="0.25">
      <c r="A15916" s="75">
        <v>70151907</v>
      </c>
      <c r="B15916" s="76" t="s">
        <v>14723</v>
      </c>
    </row>
    <row r="15917" spans="1:2" x14ac:dyDescent="0.25">
      <c r="A15917" s="75">
        <v>70151909</v>
      </c>
      <c r="B15917" s="76" t="s">
        <v>15559</v>
      </c>
    </row>
    <row r="15918" spans="1:2" x14ac:dyDescent="0.25">
      <c r="A15918" s="75">
        <v>70151910</v>
      </c>
      <c r="B15918" s="76" t="s">
        <v>7752</v>
      </c>
    </row>
    <row r="15919" spans="1:2" x14ac:dyDescent="0.25">
      <c r="A15919" s="75">
        <v>70161501</v>
      </c>
      <c r="B15919" s="76" t="s">
        <v>14800</v>
      </c>
    </row>
    <row r="15920" spans="1:2" x14ac:dyDescent="0.25">
      <c r="A15920" s="75">
        <v>70161601</v>
      </c>
      <c r="B15920" s="76" t="s">
        <v>17752</v>
      </c>
    </row>
    <row r="15921" spans="1:2" x14ac:dyDescent="0.25">
      <c r="A15921" s="75">
        <v>70161701</v>
      </c>
      <c r="B15921" s="76" t="s">
        <v>7950</v>
      </c>
    </row>
    <row r="15922" spans="1:2" x14ac:dyDescent="0.25">
      <c r="A15922" s="75">
        <v>70161702</v>
      </c>
      <c r="B15922" s="76" t="s">
        <v>4109</v>
      </c>
    </row>
    <row r="15923" spans="1:2" x14ac:dyDescent="0.25">
      <c r="A15923" s="75">
        <v>70161703</v>
      </c>
      <c r="B15923" s="76" t="s">
        <v>10647</v>
      </c>
    </row>
    <row r="15924" spans="1:2" x14ac:dyDescent="0.25">
      <c r="A15924" s="75">
        <v>70161704</v>
      </c>
      <c r="B15924" s="76" t="s">
        <v>17245</v>
      </c>
    </row>
    <row r="15925" spans="1:2" x14ac:dyDescent="0.25">
      <c r="A15925" s="75">
        <v>70171501</v>
      </c>
      <c r="B15925" s="76" t="s">
        <v>15524</v>
      </c>
    </row>
    <row r="15926" spans="1:2" x14ac:dyDescent="0.25">
      <c r="A15926" s="75">
        <v>70171502</v>
      </c>
      <c r="B15926" s="76" t="s">
        <v>13719</v>
      </c>
    </row>
    <row r="15927" spans="1:2" x14ac:dyDescent="0.25">
      <c r="A15927" s="75">
        <v>70171503</v>
      </c>
      <c r="B15927" s="76" t="s">
        <v>15347</v>
      </c>
    </row>
    <row r="15928" spans="1:2" x14ac:dyDescent="0.25">
      <c r="A15928" s="75">
        <v>70171504</v>
      </c>
      <c r="B15928" s="76" t="s">
        <v>4742</v>
      </c>
    </row>
    <row r="15929" spans="1:2" x14ac:dyDescent="0.25">
      <c r="A15929" s="75">
        <v>70171505</v>
      </c>
      <c r="B15929" s="76" t="s">
        <v>14905</v>
      </c>
    </row>
    <row r="15930" spans="1:2" x14ac:dyDescent="0.25">
      <c r="A15930" s="75">
        <v>70171506</v>
      </c>
      <c r="B15930" s="76" t="s">
        <v>8174</v>
      </c>
    </row>
    <row r="15931" spans="1:2" x14ac:dyDescent="0.25">
      <c r="A15931" s="75">
        <v>70171601</v>
      </c>
      <c r="B15931" s="76" t="s">
        <v>20028</v>
      </c>
    </row>
    <row r="15932" spans="1:2" x14ac:dyDescent="0.25">
      <c r="A15932" s="75">
        <v>70171602</v>
      </c>
      <c r="B15932" s="76" t="s">
        <v>109</v>
      </c>
    </row>
    <row r="15933" spans="1:2" x14ac:dyDescent="0.25">
      <c r="A15933" s="75">
        <v>70171603</v>
      </c>
      <c r="B15933" s="76" t="s">
        <v>5417</v>
      </c>
    </row>
    <row r="15934" spans="1:2" x14ac:dyDescent="0.25">
      <c r="A15934" s="75">
        <v>70171604</v>
      </c>
      <c r="B15934" s="76" t="s">
        <v>15788</v>
      </c>
    </row>
    <row r="15935" spans="1:2" x14ac:dyDescent="0.25">
      <c r="A15935" s="75">
        <v>70171605</v>
      </c>
      <c r="B15935" s="76" t="s">
        <v>83</v>
      </c>
    </row>
    <row r="15936" spans="1:2" x14ac:dyDescent="0.25">
      <c r="A15936" s="75">
        <v>70171606</v>
      </c>
      <c r="B15936" s="76" t="s">
        <v>9907</v>
      </c>
    </row>
    <row r="15937" spans="1:2" x14ac:dyDescent="0.25">
      <c r="A15937" s="75">
        <v>70171607</v>
      </c>
      <c r="B15937" s="76" t="s">
        <v>16495</v>
      </c>
    </row>
    <row r="15938" spans="1:2" x14ac:dyDescent="0.25">
      <c r="A15938" s="75">
        <v>70171701</v>
      </c>
      <c r="B15938" s="76" t="s">
        <v>5379</v>
      </c>
    </row>
    <row r="15939" spans="1:2" x14ac:dyDescent="0.25">
      <c r="A15939" s="75">
        <v>70171702</v>
      </c>
      <c r="B15939" s="76" t="s">
        <v>1163</v>
      </c>
    </row>
    <row r="15940" spans="1:2" x14ac:dyDescent="0.25">
      <c r="A15940" s="75">
        <v>70171703</v>
      </c>
      <c r="B15940" s="76" t="s">
        <v>16417</v>
      </c>
    </row>
    <row r="15941" spans="1:2" x14ac:dyDescent="0.25">
      <c r="A15941" s="75">
        <v>70171704</v>
      </c>
      <c r="B15941" s="76" t="s">
        <v>17029</v>
      </c>
    </row>
    <row r="15942" spans="1:2" x14ac:dyDescent="0.25">
      <c r="A15942" s="75">
        <v>70171705</v>
      </c>
      <c r="B15942" s="76" t="s">
        <v>8800</v>
      </c>
    </row>
    <row r="15943" spans="1:2" x14ac:dyDescent="0.25">
      <c r="A15943" s="75">
        <v>70171706</v>
      </c>
      <c r="B15943" s="76" t="s">
        <v>13932</v>
      </c>
    </row>
    <row r="15944" spans="1:2" x14ac:dyDescent="0.25">
      <c r="A15944" s="75">
        <v>70171707</v>
      </c>
      <c r="B15944" s="76" t="s">
        <v>17763</v>
      </c>
    </row>
    <row r="15945" spans="1:2" x14ac:dyDescent="0.25">
      <c r="A15945" s="75">
        <v>70171708</v>
      </c>
      <c r="B15945" s="76" t="s">
        <v>6070</v>
      </c>
    </row>
    <row r="15946" spans="1:2" x14ac:dyDescent="0.25">
      <c r="A15946" s="75">
        <v>70171709</v>
      </c>
      <c r="B15946" s="76" t="s">
        <v>19998</v>
      </c>
    </row>
    <row r="15947" spans="1:2" x14ac:dyDescent="0.25">
      <c r="A15947" s="75">
        <v>70171801</v>
      </c>
      <c r="B15947" s="76" t="s">
        <v>5046</v>
      </c>
    </row>
    <row r="15948" spans="1:2" x14ac:dyDescent="0.25">
      <c r="A15948" s="75">
        <v>70171802</v>
      </c>
      <c r="B15948" s="76" t="s">
        <v>15864</v>
      </c>
    </row>
    <row r="15949" spans="1:2" x14ac:dyDescent="0.25">
      <c r="A15949" s="75">
        <v>70171803</v>
      </c>
      <c r="B15949" s="76" t="s">
        <v>15863</v>
      </c>
    </row>
    <row r="15950" spans="1:2" x14ac:dyDescent="0.25">
      <c r="A15950" s="75">
        <v>71101501</v>
      </c>
      <c r="B15950" s="76" t="s">
        <v>19479</v>
      </c>
    </row>
    <row r="15951" spans="1:2" x14ac:dyDescent="0.25">
      <c r="A15951" s="75">
        <v>71101502</v>
      </c>
      <c r="B15951" s="76" t="s">
        <v>3438</v>
      </c>
    </row>
    <row r="15952" spans="1:2" x14ac:dyDescent="0.25">
      <c r="A15952" s="75">
        <v>71101601</v>
      </c>
      <c r="B15952" s="76" t="s">
        <v>3250</v>
      </c>
    </row>
    <row r="15953" spans="1:2" x14ac:dyDescent="0.25">
      <c r="A15953" s="75">
        <v>71101602</v>
      </c>
      <c r="B15953" s="76" t="s">
        <v>743</v>
      </c>
    </row>
    <row r="15954" spans="1:2" x14ac:dyDescent="0.25">
      <c r="A15954" s="75">
        <v>71101701</v>
      </c>
      <c r="B15954" s="76" t="s">
        <v>15490</v>
      </c>
    </row>
    <row r="15955" spans="1:2" x14ac:dyDescent="0.25">
      <c r="A15955" s="75">
        <v>71101702</v>
      </c>
      <c r="B15955" s="76" t="s">
        <v>285</v>
      </c>
    </row>
    <row r="15956" spans="1:2" x14ac:dyDescent="0.25">
      <c r="A15956" s="75">
        <v>71101703</v>
      </c>
      <c r="B15956" s="76" t="s">
        <v>3451</v>
      </c>
    </row>
    <row r="15957" spans="1:2" x14ac:dyDescent="0.25">
      <c r="A15957" s="75">
        <v>71101704</v>
      </c>
      <c r="B15957" s="76" t="s">
        <v>6038</v>
      </c>
    </row>
    <row r="15958" spans="1:2" x14ac:dyDescent="0.25">
      <c r="A15958" s="75">
        <v>71101705</v>
      </c>
      <c r="B15958" s="76" t="s">
        <v>16599</v>
      </c>
    </row>
    <row r="15959" spans="1:2" x14ac:dyDescent="0.25">
      <c r="A15959" s="75">
        <v>71101706</v>
      </c>
      <c r="B15959" s="76" t="s">
        <v>14320</v>
      </c>
    </row>
    <row r="15960" spans="1:2" x14ac:dyDescent="0.25">
      <c r="A15960" s="75">
        <v>71101707</v>
      </c>
      <c r="B15960" s="76" t="s">
        <v>8970</v>
      </c>
    </row>
    <row r="15961" spans="1:2" x14ac:dyDescent="0.25">
      <c r="A15961" s="75">
        <v>71101708</v>
      </c>
      <c r="B15961" s="76" t="s">
        <v>5787</v>
      </c>
    </row>
    <row r="15962" spans="1:2" x14ac:dyDescent="0.25">
      <c r="A15962" s="75">
        <v>71101709</v>
      </c>
      <c r="B15962" s="76" t="s">
        <v>8291</v>
      </c>
    </row>
    <row r="15963" spans="1:2" x14ac:dyDescent="0.25">
      <c r="A15963" s="75">
        <v>71112001</v>
      </c>
      <c r="B15963" s="76" t="s">
        <v>18545</v>
      </c>
    </row>
    <row r="15964" spans="1:2" x14ac:dyDescent="0.25">
      <c r="A15964" s="75">
        <v>71112002</v>
      </c>
      <c r="B15964" s="76" t="s">
        <v>13650</v>
      </c>
    </row>
    <row r="15965" spans="1:2" x14ac:dyDescent="0.25">
      <c r="A15965" s="75">
        <v>71112003</v>
      </c>
      <c r="B15965" s="76" t="s">
        <v>3173</v>
      </c>
    </row>
    <row r="15966" spans="1:2" x14ac:dyDescent="0.25">
      <c r="A15966" s="75">
        <v>71112004</v>
      </c>
      <c r="B15966" s="76" t="s">
        <v>1784</v>
      </c>
    </row>
    <row r="15967" spans="1:2" x14ac:dyDescent="0.25">
      <c r="A15967" s="75">
        <v>71112005</v>
      </c>
      <c r="B15967" s="76" t="s">
        <v>5704</v>
      </c>
    </row>
    <row r="15968" spans="1:2" x14ac:dyDescent="0.25">
      <c r="A15968" s="75">
        <v>71112006</v>
      </c>
      <c r="B15968" s="76" t="s">
        <v>16862</v>
      </c>
    </row>
    <row r="15969" spans="1:2" x14ac:dyDescent="0.25">
      <c r="A15969" s="75">
        <v>71112007</v>
      </c>
      <c r="B15969" s="76" t="s">
        <v>13971</v>
      </c>
    </row>
    <row r="15970" spans="1:2" x14ac:dyDescent="0.25">
      <c r="A15970" s="75">
        <v>71112008</v>
      </c>
      <c r="B15970" s="76" t="s">
        <v>714</v>
      </c>
    </row>
    <row r="15971" spans="1:2" x14ac:dyDescent="0.25">
      <c r="A15971" s="75">
        <v>71112009</v>
      </c>
      <c r="B15971" s="76" t="s">
        <v>15988</v>
      </c>
    </row>
    <row r="15972" spans="1:2" x14ac:dyDescent="0.25">
      <c r="A15972" s="75">
        <v>71112010</v>
      </c>
      <c r="B15972" s="76" t="s">
        <v>19312</v>
      </c>
    </row>
    <row r="15973" spans="1:2" x14ac:dyDescent="0.25">
      <c r="A15973" s="75">
        <v>71112011</v>
      </c>
      <c r="B15973" s="76" t="s">
        <v>10960</v>
      </c>
    </row>
    <row r="15974" spans="1:2" x14ac:dyDescent="0.25">
      <c r="A15974" s="75">
        <v>71112012</v>
      </c>
      <c r="B15974" s="76" t="s">
        <v>13708</v>
      </c>
    </row>
    <row r="15975" spans="1:2" x14ac:dyDescent="0.25">
      <c r="A15975" s="75">
        <v>71112013</v>
      </c>
      <c r="B15975" s="76" t="s">
        <v>14430</v>
      </c>
    </row>
    <row r="15976" spans="1:2" x14ac:dyDescent="0.25">
      <c r="A15976" s="75">
        <v>71112014</v>
      </c>
      <c r="B15976" s="76" t="s">
        <v>11037</v>
      </c>
    </row>
    <row r="15977" spans="1:2" x14ac:dyDescent="0.25">
      <c r="A15977" s="75">
        <v>71112015</v>
      </c>
      <c r="B15977" s="76" t="s">
        <v>5360</v>
      </c>
    </row>
    <row r="15978" spans="1:2" x14ac:dyDescent="0.25">
      <c r="A15978" s="75">
        <v>71112017</v>
      </c>
      <c r="B15978" s="76" t="s">
        <v>19151</v>
      </c>
    </row>
    <row r="15979" spans="1:2" x14ac:dyDescent="0.25">
      <c r="A15979" s="75">
        <v>71112018</v>
      </c>
      <c r="B15979" s="76" t="s">
        <v>9926</v>
      </c>
    </row>
    <row r="15980" spans="1:2" x14ac:dyDescent="0.25">
      <c r="A15980" s="75">
        <v>71112019</v>
      </c>
      <c r="B15980" s="76" t="s">
        <v>13379</v>
      </c>
    </row>
    <row r="15981" spans="1:2" x14ac:dyDescent="0.25">
      <c r="A15981" s="75">
        <v>71112020</v>
      </c>
      <c r="B15981" s="76" t="s">
        <v>3167</v>
      </c>
    </row>
    <row r="15982" spans="1:2" x14ac:dyDescent="0.25">
      <c r="A15982" s="75">
        <v>71112021</v>
      </c>
      <c r="B15982" s="76" t="s">
        <v>16743</v>
      </c>
    </row>
    <row r="15983" spans="1:2" x14ac:dyDescent="0.25">
      <c r="A15983" s="75">
        <v>71112022</v>
      </c>
      <c r="B15983" s="76" t="s">
        <v>9261</v>
      </c>
    </row>
    <row r="15984" spans="1:2" x14ac:dyDescent="0.25">
      <c r="A15984" s="75">
        <v>71112023</v>
      </c>
      <c r="B15984" s="76" t="s">
        <v>15407</v>
      </c>
    </row>
    <row r="15985" spans="1:2" x14ac:dyDescent="0.25">
      <c r="A15985" s="75">
        <v>71112024</v>
      </c>
      <c r="B15985" s="76" t="s">
        <v>11249</v>
      </c>
    </row>
    <row r="15986" spans="1:2" x14ac:dyDescent="0.25">
      <c r="A15986" s="75">
        <v>71112025</v>
      </c>
      <c r="B15986" s="76" t="s">
        <v>18213</v>
      </c>
    </row>
    <row r="15987" spans="1:2" x14ac:dyDescent="0.25">
      <c r="A15987" s="75">
        <v>71112026</v>
      </c>
      <c r="B15987" s="76" t="s">
        <v>6146</v>
      </c>
    </row>
    <row r="15988" spans="1:2" x14ac:dyDescent="0.25">
      <c r="A15988" s="75">
        <v>71112027</v>
      </c>
      <c r="B15988" s="76" t="s">
        <v>11695</v>
      </c>
    </row>
    <row r="15989" spans="1:2" x14ac:dyDescent="0.25">
      <c r="A15989" s="75">
        <v>71112028</v>
      </c>
      <c r="B15989" s="76" t="s">
        <v>3146</v>
      </c>
    </row>
    <row r="15990" spans="1:2" x14ac:dyDescent="0.25">
      <c r="A15990" s="75">
        <v>71112029</v>
      </c>
      <c r="B15990" s="76" t="s">
        <v>14527</v>
      </c>
    </row>
    <row r="15991" spans="1:2" x14ac:dyDescent="0.25">
      <c r="A15991" s="75">
        <v>71112030</v>
      </c>
      <c r="B15991" s="76" t="s">
        <v>17106</v>
      </c>
    </row>
    <row r="15992" spans="1:2" x14ac:dyDescent="0.25">
      <c r="A15992" s="75">
        <v>71112031</v>
      </c>
      <c r="B15992" s="76" t="s">
        <v>3769</v>
      </c>
    </row>
    <row r="15993" spans="1:2" x14ac:dyDescent="0.25">
      <c r="A15993" s="75">
        <v>71112101</v>
      </c>
      <c r="B15993" s="76" t="s">
        <v>4885</v>
      </c>
    </row>
    <row r="15994" spans="1:2" x14ac:dyDescent="0.25">
      <c r="A15994" s="75">
        <v>71112102</v>
      </c>
      <c r="B15994" s="76" t="s">
        <v>3256</v>
      </c>
    </row>
    <row r="15995" spans="1:2" x14ac:dyDescent="0.25">
      <c r="A15995" s="75">
        <v>71112103</v>
      </c>
      <c r="B15995" s="76" t="s">
        <v>10986</v>
      </c>
    </row>
    <row r="15996" spans="1:2" x14ac:dyDescent="0.25">
      <c r="A15996" s="75">
        <v>71112104</v>
      </c>
      <c r="B15996" s="76" t="s">
        <v>2630</v>
      </c>
    </row>
    <row r="15997" spans="1:2" x14ac:dyDescent="0.25">
      <c r="A15997" s="75">
        <v>71112105</v>
      </c>
      <c r="B15997" s="76" t="s">
        <v>1682</v>
      </c>
    </row>
    <row r="15998" spans="1:2" x14ac:dyDescent="0.25">
      <c r="A15998" s="75">
        <v>71112106</v>
      </c>
      <c r="B15998" s="76" t="s">
        <v>15749</v>
      </c>
    </row>
    <row r="15999" spans="1:2" x14ac:dyDescent="0.25">
      <c r="A15999" s="75">
        <v>71112107</v>
      </c>
      <c r="B15999" s="76" t="s">
        <v>4151</v>
      </c>
    </row>
    <row r="16000" spans="1:2" x14ac:dyDescent="0.25">
      <c r="A16000" s="75">
        <v>71112108</v>
      </c>
      <c r="B16000" s="76" t="s">
        <v>2640</v>
      </c>
    </row>
    <row r="16001" spans="1:2" x14ac:dyDescent="0.25">
      <c r="A16001" s="75">
        <v>71112109</v>
      </c>
      <c r="B16001" s="76" t="s">
        <v>4280</v>
      </c>
    </row>
    <row r="16002" spans="1:2" x14ac:dyDescent="0.25">
      <c r="A16002" s="75">
        <v>71112110</v>
      </c>
      <c r="B16002" s="76" t="s">
        <v>20053</v>
      </c>
    </row>
    <row r="16003" spans="1:2" x14ac:dyDescent="0.25">
      <c r="A16003" s="75">
        <v>71112111</v>
      </c>
      <c r="B16003" s="76" t="s">
        <v>15744</v>
      </c>
    </row>
    <row r="16004" spans="1:2" x14ac:dyDescent="0.25">
      <c r="A16004" s="75">
        <v>71112112</v>
      </c>
      <c r="B16004" s="76" t="s">
        <v>6011</v>
      </c>
    </row>
    <row r="16005" spans="1:2" x14ac:dyDescent="0.25">
      <c r="A16005" s="75">
        <v>71112113</v>
      </c>
      <c r="B16005" s="76" t="s">
        <v>4575</v>
      </c>
    </row>
    <row r="16006" spans="1:2" x14ac:dyDescent="0.25">
      <c r="A16006" s="75">
        <v>71112114</v>
      </c>
      <c r="B16006" s="76" t="s">
        <v>13757</v>
      </c>
    </row>
    <row r="16007" spans="1:2" x14ac:dyDescent="0.25">
      <c r="A16007" s="75">
        <v>71112115</v>
      </c>
      <c r="B16007" s="76" t="s">
        <v>1997</v>
      </c>
    </row>
    <row r="16008" spans="1:2" x14ac:dyDescent="0.25">
      <c r="A16008" s="75">
        <v>71112116</v>
      </c>
      <c r="B16008" s="76" t="s">
        <v>12903</v>
      </c>
    </row>
    <row r="16009" spans="1:2" x14ac:dyDescent="0.25">
      <c r="A16009" s="75">
        <v>71112117</v>
      </c>
      <c r="B16009" s="76" t="s">
        <v>7930</v>
      </c>
    </row>
    <row r="16010" spans="1:2" x14ac:dyDescent="0.25">
      <c r="A16010" s="75">
        <v>71112119</v>
      </c>
      <c r="B16010" s="76" t="s">
        <v>1792</v>
      </c>
    </row>
    <row r="16011" spans="1:2" x14ac:dyDescent="0.25">
      <c r="A16011" s="75">
        <v>71112120</v>
      </c>
      <c r="B16011" s="76" t="s">
        <v>16513</v>
      </c>
    </row>
    <row r="16012" spans="1:2" x14ac:dyDescent="0.25">
      <c r="A16012" s="75">
        <v>71112121</v>
      </c>
      <c r="B16012" s="76" t="s">
        <v>15980</v>
      </c>
    </row>
    <row r="16013" spans="1:2" x14ac:dyDescent="0.25">
      <c r="A16013" s="75">
        <v>71112122</v>
      </c>
      <c r="B16013" s="76" t="s">
        <v>15187</v>
      </c>
    </row>
    <row r="16014" spans="1:2" x14ac:dyDescent="0.25">
      <c r="A16014" s="75">
        <v>71112202</v>
      </c>
      <c r="B16014" s="76" t="s">
        <v>11650</v>
      </c>
    </row>
    <row r="16015" spans="1:2" x14ac:dyDescent="0.25">
      <c r="A16015" s="75">
        <v>71112203</v>
      </c>
      <c r="B16015" s="76" t="s">
        <v>16386</v>
      </c>
    </row>
    <row r="16016" spans="1:2" x14ac:dyDescent="0.25">
      <c r="A16016" s="75">
        <v>71112204</v>
      </c>
      <c r="B16016" s="76" t="s">
        <v>3949</v>
      </c>
    </row>
    <row r="16017" spans="1:2" x14ac:dyDescent="0.25">
      <c r="A16017" s="75">
        <v>71112205</v>
      </c>
      <c r="B16017" s="76" t="s">
        <v>9679</v>
      </c>
    </row>
    <row r="16018" spans="1:2" x14ac:dyDescent="0.25">
      <c r="A16018" s="75">
        <v>71112206</v>
      </c>
      <c r="B16018" s="76" t="s">
        <v>14484</v>
      </c>
    </row>
    <row r="16019" spans="1:2" x14ac:dyDescent="0.25">
      <c r="A16019" s="75">
        <v>71112301</v>
      </c>
      <c r="B16019" s="76" t="s">
        <v>2592</v>
      </c>
    </row>
    <row r="16020" spans="1:2" x14ac:dyDescent="0.25">
      <c r="A16020" s="75">
        <v>71112302</v>
      </c>
      <c r="B16020" s="76" t="s">
        <v>3255</v>
      </c>
    </row>
    <row r="16021" spans="1:2" x14ac:dyDescent="0.25">
      <c r="A16021" s="75">
        <v>71112303</v>
      </c>
      <c r="B16021" s="76" t="s">
        <v>14114</v>
      </c>
    </row>
    <row r="16022" spans="1:2" x14ac:dyDescent="0.25">
      <c r="A16022" s="75">
        <v>71112304</v>
      </c>
      <c r="B16022" s="76" t="s">
        <v>12329</v>
      </c>
    </row>
    <row r="16023" spans="1:2" x14ac:dyDescent="0.25">
      <c r="A16023" s="75">
        <v>71112305</v>
      </c>
      <c r="B16023" s="76" t="s">
        <v>13726</v>
      </c>
    </row>
    <row r="16024" spans="1:2" x14ac:dyDescent="0.25">
      <c r="A16024" s="75">
        <v>71112306</v>
      </c>
      <c r="B16024" s="76" t="s">
        <v>7195</v>
      </c>
    </row>
    <row r="16025" spans="1:2" x14ac:dyDescent="0.25">
      <c r="A16025" s="75">
        <v>71112307</v>
      </c>
      <c r="B16025" s="76" t="s">
        <v>12113</v>
      </c>
    </row>
    <row r="16026" spans="1:2" x14ac:dyDescent="0.25">
      <c r="A16026" s="75">
        <v>71112308</v>
      </c>
      <c r="B16026" s="76" t="s">
        <v>5199</v>
      </c>
    </row>
    <row r="16027" spans="1:2" x14ac:dyDescent="0.25">
      <c r="A16027" s="75">
        <v>71112309</v>
      </c>
      <c r="B16027" s="76" t="s">
        <v>19276</v>
      </c>
    </row>
    <row r="16028" spans="1:2" x14ac:dyDescent="0.25">
      <c r="A16028" s="75">
        <v>71112310</v>
      </c>
      <c r="B16028" s="76" t="s">
        <v>12747</v>
      </c>
    </row>
    <row r="16029" spans="1:2" x14ac:dyDescent="0.25">
      <c r="A16029" s="75">
        <v>71112311</v>
      </c>
      <c r="B16029" s="76" t="s">
        <v>7825</v>
      </c>
    </row>
    <row r="16030" spans="1:2" x14ac:dyDescent="0.25">
      <c r="A16030" s="75">
        <v>71112312</v>
      </c>
      <c r="B16030" s="76" t="s">
        <v>11122</v>
      </c>
    </row>
    <row r="16031" spans="1:2" x14ac:dyDescent="0.25">
      <c r="A16031" s="75">
        <v>71112313</v>
      </c>
      <c r="B16031" s="76" t="s">
        <v>19111</v>
      </c>
    </row>
    <row r="16032" spans="1:2" x14ac:dyDescent="0.25">
      <c r="A16032" s="75">
        <v>71112314</v>
      </c>
      <c r="B16032" s="76" t="s">
        <v>15998</v>
      </c>
    </row>
    <row r="16033" spans="1:2" x14ac:dyDescent="0.25">
      <c r="A16033" s="75">
        <v>71112315</v>
      </c>
      <c r="B16033" s="76" t="s">
        <v>8748</v>
      </c>
    </row>
    <row r="16034" spans="1:2" x14ac:dyDescent="0.25">
      <c r="A16034" s="75">
        <v>71112316</v>
      </c>
      <c r="B16034" s="76" t="s">
        <v>14237</v>
      </c>
    </row>
    <row r="16035" spans="1:2" x14ac:dyDescent="0.25">
      <c r="A16035" s="75">
        <v>71112317</v>
      </c>
      <c r="B16035" s="76" t="s">
        <v>4727</v>
      </c>
    </row>
    <row r="16036" spans="1:2" x14ac:dyDescent="0.25">
      <c r="A16036" s="75">
        <v>71112318</v>
      </c>
      <c r="B16036" s="76" t="s">
        <v>13238</v>
      </c>
    </row>
    <row r="16037" spans="1:2" x14ac:dyDescent="0.25">
      <c r="A16037" s="75">
        <v>71112319</v>
      </c>
      <c r="B16037" s="76" t="s">
        <v>12396</v>
      </c>
    </row>
    <row r="16038" spans="1:2" x14ac:dyDescent="0.25">
      <c r="A16038" s="75">
        <v>71112320</v>
      </c>
      <c r="B16038" s="76" t="s">
        <v>2471</v>
      </c>
    </row>
    <row r="16039" spans="1:2" x14ac:dyDescent="0.25">
      <c r="A16039" s="75">
        <v>71112321</v>
      </c>
      <c r="B16039" s="76" t="s">
        <v>6396</v>
      </c>
    </row>
    <row r="16040" spans="1:2" x14ac:dyDescent="0.25">
      <c r="A16040" s="75">
        <v>71121001</v>
      </c>
      <c r="B16040" s="76" t="s">
        <v>18476</v>
      </c>
    </row>
    <row r="16041" spans="1:2" x14ac:dyDescent="0.25">
      <c r="A16041" s="75">
        <v>71121002</v>
      </c>
      <c r="B16041" s="76" t="s">
        <v>3239</v>
      </c>
    </row>
    <row r="16042" spans="1:2" x14ac:dyDescent="0.25">
      <c r="A16042" s="75">
        <v>71121003</v>
      </c>
      <c r="B16042" s="76" t="s">
        <v>19387</v>
      </c>
    </row>
    <row r="16043" spans="1:2" x14ac:dyDescent="0.25">
      <c r="A16043" s="75">
        <v>71121004</v>
      </c>
      <c r="B16043" s="76" t="s">
        <v>374</v>
      </c>
    </row>
    <row r="16044" spans="1:2" x14ac:dyDescent="0.25">
      <c r="A16044" s="75">
        <v>71121005</v>
      </c>
      <c r="B16044" s="76" t="s">
        <v>18195</v>
      </c>
    </row>
    <row r="16045" spans="1:2" x14ac:dyDescent="0.25">
      <c r="A16045" s="75">
        <v>71121006</v>
      </c>
      <c r="B16045" s="76" t="s">
        <v>1735</v>
      </c>
    </row>
    <row r="16046" spans="1:2" x14ac:dyDescent="0.25">
      <c r="A16046" s="75">
        <v>71121007</v>
      </c>
      <c r="B16046" s="76" t="s">
        <v>16710</v>
      </c>
    </row>
    <row r="16047" spans="1:2" x14ac:dyDescent="0.25">
      <c r="A16047" s="75">
        <v>71121008</v>
      </c>
      <c r="B16047" s="76" t="s">
        <v>17199</v>
      </c>
    </row>
    <row r="16048" spans="1:2" x14ac:dyDescent="0.25">
      <c r="A16048" s="75">
        <v>71121009</v>
      </c>
      <c r="B16048" s="76" t="s">
        <v>15775</v>
      </c>
    </row>
    <row r="16049" spans="1:2" x14ac:dyDescent="0.25">
      <c r="A16049" s="75">
        <v>71121010</v>
      </c>
      <c r="B16049" s="76" t="s">
        <v>6162</v>
      </c>
    </row>
    <row r="16050" spans="1:2" x14ac:dyDescent="0.25">
      <c r="A16050" s="75">
        <v>71121011</v>
      </c>
      <c r="B16050" s="76" t="s">
        <v>2458</v>
      </c>
    </row>
    <row r="16051" spans="1:2" x14ac:dyDescent="0.25">
      <c r="A16051" s="75">
        <v>71121012</v>
      </c>
      <c r="B16051" s="76" t="s">
        <v>13900</v>
      </c>
    </row>
    <row r="16052" spans="1:2" x14ac:dyDescent="0.25">
      <c r="A16052" s="75">
        <v>71121013</v>
      </c>
      <c r="B16052" s="76" t="s">
        <v>7932</v>
      </c>
    </row>
    <row r="16053" spans="1:2" x14ac:dyDescent="0.25">
      <c r="A16053" s="75">
        <v>71121014</v>
      </c>
      <c r="B16053" s="76" t="s">
        <v>813</v>
      </c>
    </row>
    <row r="16054" spans="1:2" x14ac:dyDescent="0.25">
      <c r="A16054" s="75">
        <v>71121015</v>
      </c>
      <c r="B16054" s="76" t="s">
        <v>13916</v>
      </c>
    </row>
    <row r="16055" spans="1:2" x14ac:dyDescent="0.25">
      <c r="A16055" s="75">
        <v>71121016</v>
      </c>
      <c r="B16055" s="76" t="s">
        <v>7386</v>
      </c>
    </row>
    <row r="16056" spans="1:2" x14ac:dyDescent="0.25">
      <c r="A16056" s="75">
        <v>71121017</v>
      </c>
      <c r="B16056" s="76" t="s">
        <v>11540</v>
      </c>
    </row>
    <row r="16057" spans="1:2" x14ac:dyDescent="0.25">
      <c r="A16057" s="75">
        <v>71121018</v>
      </c>
      <c r="B16057" s="76" t="s">
        <v>1190</v>
      </c>
    </row>
    <row r="16058" spans="1:2" x14ac:dyDescent="0.25">
      <c r="A16058" s="75">
        <v>71121019</v>
      </c>
      <c r="B16058" s="76" t="s">
        <v>18397</v>
      </c>
    </row>
    <row r="16059" spans="1:2" x14ac:dyDescent="0.25">
      <c r="A16059" s="75">
        <v>71121020</v>
      </c>
      <c r="B16059" s="76" t="s">
        <v>19848</v>
      </c>
    </row>
    <row r="16060" spans="1:2" x14ac:dyDescent="0.25">
      <c r="A16060" s="75">
        <v>71121021</v>
      </c>
      <c r="B16060" s="76" t="s">
        <v>5069</v>
      </c>
    </row>
    <row r="16061" spans="1:2" x14ac:dyDescent="0.25">
      <c r="A16061" s="75">
        <v>71121022</v>
      </c>
      <c r="B16061" s="76" t="s">
        <v>19155</v>
      </c>
    </row>
    <row r="16062" spans="1:2" x14ac:dyDescent="0.25">
      <c r="A16062" s="75">
        <v>71121023</v>
      </c>
      <c r="B16062" s="76" t="s">
        <v>5815</v>
      </c>
    </row>
    <row r="16063" spans="1:2" x14ac:dyDescent="0.25">
      <c r="A16063" s="75">
        <v>71121101</v>
      </c>
      <c r="B16063" s="76" t="s">
        <v>16438</v>
      </c>
    </row>
    <row r="16064" spans="1:2" x14ac:dyDescent="0.25">
      <c r="A16064" s="75">
        <v>71121102</v>
      </c>
      <c r="B16064" s="76" t="s">
        <v>7328</v>
      </c>
    </row>
    <row r="16065" spans="1:2" x14ac:dyDescent="0.25">
      <c r="A16065" s="75">
        <v>71121103</v>
      </c>
      <c r="B16065" s="76" t="s">
        <v>11363</v>
      </c>
    </row>
    <row r="16066" spans="1:2" x14ac:dyDescent="0.25">
      <c r="A16066" s="75">
        <v>71121104</v>
      </c>
      <c r="B16066" s="76" t="s">
        <v>4992</v>
      </c>
    </row>
    <row r="16067" spans="1:2" x14ac:dyDescent="0.25">
      <c r="A16067" s="75">
        <v>71121105</v>
      </c>
      <c r="B16067" s="76" t="s">
        <v>15513</v>
      </c>
    </row>
    <row r="16068" spans="1:2" x14ac:dyDescent="0.25">
      <c r="A16068" s="75">
        <v>71121106</v>
      </c>
      <c r="B16068" s="76" t="s">
        <v>19997</v>
      </c>
    </row>
    <row r="16069" spans="1:2" x14ac:dyDescent="0.25">
      <c r="A16069" s="75">
        <v>71121107</v>
      </c>
      <c r="B16069" s="76" t="s">
        <v>16055</v>
      </c>
    </row>
    <row r="16070" spans="1:2" x14ac:dyDescent="0.25">
      <c r="A16070" s="75">
        <v>71121108</v>
      </c>
      <c r="B16070" s="76" t="s">
        <v>2156</v>
      </c>
    </row>
    <row r="16071" spans="1:2" x14ac:dyDescent="0.25">
      <c r="A16071" s="75">
        <v>71121109</v>
      </c>
      <c r="B16071" s="76" t="s">
        <v>9331</v>
      </c>
    </row>
    <row r="16072" spans="1:2" x14ac:dyDescent="0.25">
      <c r="A16072" s="75">
        <v>71121110</v>
      </c>
      <c r="B16072" s="76" t="s">
        <v>3706</v>
      </c>
    </row>
    <row r="16073" spans="1:2" x14ac:dyDescent="0.25">
      <c r="A16073" s="75">
        <v>71121111</v>
      </c>
      <c r="B16073" s="76" t="s">
        <v>5530</v>
      </c>
    </row>
    <row r="16074" spans="1:2" x14ac:dyDescent="0.25">
      <c r="A16074" s="75">
        <v>71121112</v>
      </c>
      <c r="B16074" s="76" t="s">
        <v>4157</v>
      </c>
    </row>
    <row r="16075" spans="1:2" x14ac:dyDescent="0.25">
      <c r="A16075" s="75">
        <v>71121113</v>
      </c>
      <c r="B16075" s="76" t="s">
        <v>10026</v>
      </c>
    </row>
    <row r="16076" spans="1:2" x14ac:dyDescent="0.25">
      <c r="A16076" s="75">
        <v>71121114</v>
      </c>
      <c r="B16076" s="76" t="s">
        <v>12850</v>
      </c>
    </row>
    <row r="16077" spans="1:2" x14ac:dyDescent="0.25">
      <c r="A16077" s="75">
        <v>71121115</v>
      </c>
      <c r="B16077" s="76" t="s">
        <v>7616</v>
      </c>
    </row>
    <row r="16078" spans="1:2" x14ac:dyDescent="0.25">
      <c r="A16078" s="75">
        <v>71121116</v>
      </c>
      <c r="B16078" s="76" t="s">
        <v>16360</v>
      </c>
    </row>
    <row r="16079" spans="1:2" x14ac:dyDescent="0.25">
      <c r="A16079" s="75">
        <v>71121117</v>
      </c>
      <c r="B16079" s="76" t="s">
        <v>12100</v>
      </c>
    </row>
    <row r="16080" spans="1:2" x14ac:dyDescent="0.25">
      <c r="A16080" s="75">
        <v>71121118</v>
      </c>
      <c r="B16080" s="76" t="s">
        <v>2065</v>
      </c>
    </row>
    <row r="16081" spans="1:2" x14ac:dyDescent="0.25">
      <c r="A16081" s="75">
        <v>71121119</v>
      </c>
      <c r="B16081" s="76" t="s">
        <v>7892</v>
      </c>
    </row>
    <row r="16082" spans="1:2" x14ac:dyDescent="0.25">
      <c r="A16082" s="75">
        <v>71121120</v>
      </c>
      <c r="B16082" s="76" t="s">
        <v>14721</v>
      </c>
    </row>
    <row r="16083" spans="1:2" x14ac:dyDescent="0.25">
      <c r="A16083" s="75">
        <v>71121121</v>
      </c>
      <c r="B16083" s="76" t="s">
        <v>17533</v>
      </c>
    </row>
    <row r="16084" spans="1:2" x14ac:dyDescent="0.25">
      <c r="A16084" s="75">
        <v>71121122</v>
      </c>
      <c r="B16084" s="76" t="s">
        <v>16577</v>
      </c>
    </row>
    <row r="16085" spans="1:2" x14ac:dyDescent="0.25">
      <c r="A16085" s="75">
        <v>71121123</v>
      </c>
      <c r="B16085" s="76" t="s">
        <v>6906</v>
      </c>
    </row>
    <row r="16086" spans="1:2" x14ac:dyDescent="0.25">
      <c r="A16086" s="75">
        <v>71121201</v>
      </c>
      <c r="B16086" s="76" t="s">
        <v>6096</v>
      </c>
    </row>
    <row r="16087" spans="1:2" x14ac:dyDescent="0.25">
      <c r="A16087" s="75">
        <v>71121202</v>
      </c>
      <c r="B16087" s="76" t="s">
        <v>873</v>
      </c>
    </row>
    <row r="16088" spans="1:2" x14ac:dyDescent="0.25">
      <c r="A16088" s="75">
        <v>71121203</v>
      </c>
      <c r="B16088" s="76" t="s">
        <v>18178</v>
      </c>
    </row>
    <row r="16089" spans="1:2" x14ac:dyDescent="0.25">
      <c r="A16089" s="75">
        <v>71121204</v>
      </c>
      <c r="B16089" s="76" t="s">
        <v>19604</v>
      </c>
    </row>
    <row r="16090" spans="1:2" x14ac:dyDescent="0.25">
      <c r="A16090" s="75">
        <v>71121205</v>
      </c>
      <c r="B16090" s="76" t="s">
        <v>9945</v>
      </c>
    </row>
    <row r="16091" spans="1:2" x14ac:dyDescent="0.25">
      <c r="A16091" s="75">
        <v>71121206</v>
      </c>
      <c r="B16091" s="76" t="s">
        <v>11774</v>
      </c>
    </row>
    <row r="16092" spans="1:2" x14ac:dyDescent="0.25">
      <c r="A16092" s="75">
        <v>71121207</v>
      </c>
      <c r="B16092" s="76" t="s">
        <v>18132</v>
      </c>
    </row>
    <row r="16093" spans="1:2" x14ac:dyDescent="0.25">
      <c r="A16093" s="75">
        <v>71121208</v>
      </c>
      <c r="B16093" s="76" t="s">
        <v>13017</v>
      </c>
    </row>
    <row r="16094" spans="1:2" x14ac:dyDescent="0.25">
      <c r="A16094" s="75">
        <v>71121301</v>
      </c>
      <c r="B16094" s="76" t="s">
        <v>6073</v>
      </c>
    </row>
    <row r="16095" spans="1:2" x14ac:dyDescent="0.25">
      <c r="A16095" s="75">
        <v>71121302</v>
      </c>
      <c r="B16095" s="76" t="s">
        <v>6027</v>
      </c>
    </row>
    <row r="16096" spans="1:2" x14ac:dyDescent="0.25">
      <c r="A16096" s="75">
        <v>71121303</v>
      </c>
      <c r="B16096" s="76" t="s">
        <v>4369</v>
      </c>
    </row>
    <row r="16097" spans="1:2" x14ac:dyDescent="0.25">
      <c r="A16097" s="75">
        <v>71121304</v>
      </c>
      <c r="B16097" s="76" t="s">
        <v>3094</v>
      </c>
    </row>
    <row r="16098" spans="1:2" x14ac:dyDescent="0.25">
      <c r="A16098" s="75">
        <v>71121305</v>
      </c>
      <c r="B16098" s="76" t="s">
        <v>5796</v>
      </c>
    </row>
    <row r="16099" spans="1:2" x14ac:dyDescent="0.25">
      <c r="A16099" s="75">
        <v>71121401</v>
      </c>
      <c r="B16099" s="76" t="s">
        <v>14625</v>
      </c>
    </row>
    <row r="16100" spans="1:2" x14ac:dyDescent="0.25">
      <c r="A16100" s="75">
        <v>71121402</v>
      </c>
      <c r="B16100" s="76" t="s">
        <v>8671</v>
      </c>
    </row>
    <row r="16101" spans="1:2" x14ac:dyDescent="0.25">
      <c r="A16101" s="75">
        <v>71121403</v>
      </c>
      <c r="B16101" s="76" t="s">
        <v>13647</v>
      </c>
    </row>
    <row r="16102" spans="1:2" x14ac:dyDescent="0.25">
      <c r="A16102" s="75">
        <v>71121404</v>
      </c>
      <c r="B16102" s="76" t="s">
        <v>13259</v>
      </c>
    </row>
    <row r="16103" spans="1:2" x14ac:dyDescent="0.25">
      <c r="A16103" s="75">
        <v>71121405</v>
      </c>
      <c r="B16103" s="76" t="s">
        <v>14282</v>
      </c>
    </row>
    <row r="16104" spans="1:2" x14ac:dyDescent="0.25">
      <c r="A16104" s="75">
        <v>71121406</v>
      </c>
      <c r="B16104" s="76" t="s">
        <v>1054</v>
      </c>
    </row>
    <row r="16105" spans="1:2" x14ac:dyDescent="0.25">
      <c r="A16105" s="75">
        <v>71121407</v>
      </c>
      <c r="B16105" s="76" t="s">
        <v>13723</v>
      </c>
    </row>
    <row r="16106" spans="1:2" x14ac:dyDescent="0.25">
      <c r="A16106" s="75">
        <v>71121501</v>
      </c>
      <c r="B16106" s="76" t="s">
        <v>8927</v>
      </c>
    </row>
    <row r="16107" spans="1:2" x14ac:dyDescent="0.25">
      <c r="A16107" s="75">
        <v>71121502</v>
      </c>
      <c r="B16107" s="76" t="s">
        <v>11244</v>
      </c>
    </row>
    <row r="16108" spans="1:2" x14ac:dyDescent="0.25">
      <c r="A16108" s="75">
        <v>71121503</v>
      </c>
      <c r="B16108" s="76" t="s">
        <v>6286</v>
      </c>
    </row>
    <row r="16109" spans="1:2" x14ac:dyDescent="0.25">
      <c r="A16109" s="75">
        <v>71121504</v>
      </c>
      <c r="B16109" s="76" t="s">
        <v>18654</v>
      </c>
    </row>
    <row r="16110" spans="1:2" x14ac:dyDescent="0.25">
      <c r="A16110" s="75">
        <v>71121505</v>
      </c>
      <c r="B16110" s="76" t="s">
        <v>5207</v>
      </c>
    </row>
    <row r="16111" spans="1:2" x14ac:dyDescent="0.25">
      <c r="A16111" s="75">
        <v>71121506</v>
      </c>
      <c r="B16111" s="76" t="s">
        <v>5528</v>
      </c>
    </row>
    <row r="16112" spans="1:2" x14ac:dyDescent="0.25">
      <c r="A16112" s="75">
        <v>71121507</v>
      </c>
      <c r="B16112" s="76" t="s">
        <v>19315</v>
      </c>
    </row>
    <row r="16113" spans="1:2" x14ac:dyDescent="0.25">
      <c r="A16113" s="75">
        <v>71121508</v>
      </c>
      <c r="B16113" s="76" t="s">
        <v>7789</v>
      </c>
    </row>
    <row r="16114" spans="1:2" x14ac:dyDescent="0.25">
      <c r="A16114" s="75">
        <v>71121509</v>
      </c>
      <c r="B16114" s="76" t="s">
        <v>9390</v>
      </c>
    </row>
    <row r="16115" spans="1:2" x14ac:dyDescent="0.25">
      <c r="A16115" s="75">
        <v>71121510</v>
      </c>
      <c r="B16115" s="76" t="s">
        <v>13352</v>
      </c>
    </row>
    <row r="16116" spans="1:2" x14ac:dyDescent="0.25">
      <c r="A16116" s="75">
        <v>71121511</v>
      </c>
      <c r="B16116" s="76" t="s">
        <v>13002</v>
      </c>
    </row>
    <row r="16117" spans="1:2" x14ac:dyDescent="0.25">
      <c r="A16117" s="75">
        <v>71121512</v>
      </c>
      <c r="B16117" s="76" t="s">
        <v>16631</v>
      </c>
    </row>
    <row r="16118" spans="1:2" x14ac:dyDescent="0.25">
      <c r="A16118" s="75">
        <v>71121513</v>
      </c>
      <c r="B16118" s="76" t="s">
        <v>9647</v>
      </c>
    </row>
    <row r="16119" spans="1:2" x14ac:dyDescent="0.25">
      <c r="A16119" s="75">
        <v>71121514</v>
      </c>
      <c r="B16119" s="76" t="s">
        <v>4194</v>
      </c>
    </row>
    <row r="16120" spans="1:2" x14ac:dyDescent="0.25">
      <c r="A16120" s="75">
        <v>71121515</v>
      </c>
      <c r="B16120" s="76" t="s">
        <v>11995</v>
      </c>
    </row>
    <row r="16121" spans="1:2" x14ac:dyDescent="0.25">
      <c r="A16121" s="75">
        <v>71121516</v>
      </c>
      <c r="B16121" s="76" t="s">
        <v>14829</v>
      </c>
    </row>
    <row r="16122" spans="1:2" x14ac:dyDescent="0.25">
      <c r="A16122" s="75">
        <v>71121601</v>
      </c>
      <c r="B16122" s="76" t="s">
        <v>9933</v>
      </c>
    </row>
    <row r="16123" spans="1:2" x14ac:dyDescent="0.25">
      <c r="A16123" s="75">
        <v>71121602</v>
      </c>
      <c r="B16123" s="76" t="s">
        <v>773</v>
      </c>
    </row>
    <row r="16124" spans="1:2" x14ac:dyDescent="0.25">
      <c r="A16124" s="75">
        <v>71121603</v>
      </c>
      <c r="B16124" s="76" t="s">
        <v>17503</v>
      </c>
    </row>
    <row r="16125" spans="1:2" x14ac:dyDescent="0.25">
      <c r="A16125" s="75">
        <v>71121604</v>
      </c>
      <c r="B16125" s="76" t="s">
        <v>7012</v>
      </c>
    </row>
    <row r="16126" spans="1:2" x14ac:dyDescent="0.25">
      <c r="A16126" s="75">
        <v>71121605</v>
      </c>
      <c r="B16126" s="76" t="s">
        <v>13128</v>
      </c>
    </row>
    <row r="16127" spans="1:2" x14ac:dyDescent="0.25">
      <c r="A16127" s="75">
        <v>71121606</v>
      </c>
      <c r="B16127" s="76" t="s">
        <v>7889</v>
      </c>
    </row>
    <row r="16128" spans="1:2" x14ac:dyDescent="0.25">
      <c r="A16128" s="75">
        <v>71121607</v>
      </c>
      <c r="B16128" s="76" t="s">
        <v>7455</v>
      </c>
    </row>
    <row r="16129" spans="1:2" x14ac:dyDescent="0.25">
      <c r="A16129" s="75">
        <v>71121608</v>
      </c>
      <c r="B16129" s="76" t="s">
        <v>19172</v>
      </c>
    </row>
    <row r="16130" spans="1:2" x14ac:dyDescent="0.25">
      <c r="A16130" s="75">
        <v>71121609</v>
      </c>
      <c r="B16130" s="76" t="s">
        <v>13467</v>
      </c>
    </row>
    <row r="16131" spans="1:2" x14ac:dyDescent="0.25">
      <c r="A16131" s="75">
        <v>71121610</v>
      </c>
      <c r="B16131" s="76" t="s">
        <v>2046</v>
      </c>
    </row>
    <row r="16132" spans="1:2" x14ac:dyDescent="0.25">
      <c r="A16132" s="75">
        <v>71121611</v>
      </c>
      <c r="B16132" s="76" t="s">
        <v>18972</v>
      </c>
    </row>
    <row r="16133" spans="1:2" x14ac:dyDescent="0.25">
      <c r="A16133" s="75">
        <v>71121612</v>
      </c>
      <c r="B16133" s="76" t="s">
        <v>15722</v>
      </c>
    </row>
    <row r="16134" spans="1:2" x14ac:dyDescent="0.25">
      <c r="A16134" s="75">
        <v>71121613</v>
      </c>
      <c r="B16134" s="76" t="s">
        <v>5415</v>
      </c>
    </row>
    <row r="16135" spans="1:2" x14ac:dyDescent="0.25">
      <c r="A16135" s="75">
        <v>71121614</v>
      </c>
      <c r="B16135" s="76" t="s">
        <v>9514</v>
      </c>
    </row>
    <row r="16136" spans="1:2" x14ac:dyDescent="0.25">
      <c r="A16136" s="75">
        <v>71121615</v>
      </c>
      <c r="B16136" s="76" t="s">
        <v>18598</v>
      </c>
    </row>
    <row r="16137" spans="1:2" x14ac:dyDescent="0.25">
      <c r="A16137" s="75">
        <v>71121616</v>
      </c>
      <c r="B16137" s="76" t="s">
        <v>14054</v>
      </c>
    </row>
    <row r="16138" spans="1:2" x14ac:dyDescent="0.25">
      <c r="A16138" s="75">
        <v>71121617</v>
      </c>
      <c r="B16138" s="76" t="s">
        <v>14157</v>
      </c>
    </row>
    <row r="16139" spans="1:2" x14ac:dyDescent="0.25">
      <c r="A16139" s="75">
        <v>71121618</v>
      </c>
      <c r="B16139" s="76" t="s">
        <v>19506</v>
      </c>
    </row>
    <row r="16140" spans="1:2" x14ac:dyDescent="0.25">
      <c r="A16140" s="75">
        <v>71121619</v>
      </c>
      <c r="B16140" s="76" t="s">
        <v>7700</v>
      </c>
    </row>
    <row r="16141" spans="1:2" x14ac:dyDescent="0.25">
      <c r="A16141" s="75">
        <v>71121620</v>
      </c>
      <c r="B16141" s="76" t="s">
        <v>15676</v>
      </c>
    </row>
    <row r="16142" spans="1:2" x14ac:dyDescent="0.25">
      <c r="A16142" s="75">
        <v>71121621</v>
      </c>
      <c r="B16142" s="76" t="s">
        <v>18570</v>
      </c>
    </row>
    <row r="16143" spans="1:2" x14ac:dyDescent="0.25">
      <c r="A16143" s="75">
        <v>71121622</v>
      </c>
      <c r="B16143" s="76" t="s">
        <v>18720</v>
      </c>
    </row>
    <row r="16144" spans="1:2" x14ac:dyDescent="0.25">
      <c r="A16144" s="75">
        <v>71121623</v>
      </c>
      <c r="B16144" s="76" t="s">
        <v>4555</v>
      </c>
    </row>
    <row r="16145" spans="1:2" x14ac:dyDescent="0.25">
      <c r="A16145" s="75">
        <v>71121624</v>
      </c>
      <c r="B16145" s="76" t="s">
        <v>6284</v>
      </c>
    </row>
    <row r="16146" spans="1:2" x14ac:dyDescent="0.25">
      <c r="A16146" s="75">
        <v>71121625</v>
      </c>
      <c r="B16146" s="76" t="s">
        <v>16048</v>
      </c>
    </row>
    <row r="16147" spans="1:2" x14ac:dyDescent="0.25">
      <c r="A16147" s="75">
        <v>71121626</v>
      </c>
      <c r="B16147" s="76" t="s">
        <v>682</v>
      </c>
    </row>
    <row r="16148" spans="1:2" x14ac:dyDescent="0.25">
      <c r="A16148" s="75">
        <v>71121627</v>
      </c>
      <c r="B16148" s="76" t="s">
        <v>15376</v>
      </c>
    </row>
    <row r="16149" spans="1:2" x14ac:dyDescent="0.25">
      <c r="A16149" s="75">
        <v>71121628</v>
      </c>
      <c r="B16149" s="76" t="s">
        <v>15799</v>
      </c>
    </row>
    <row r="16150" spans="1:2" x14ac:dyDescent="0.25">
      <c r="A16150" s="75">
        <v>71121629</v>
      </c>
      <c r="B16150" s="76" t="s">
        <v>15585</v>
      </c>
    </row>
    <row r="16151" spans="1:2" x14ac:dyDescent="0.25">
      <c r="A16151" s="75">
        <v>71121630</v>
      </c>
      <c r="B16151" s="76" t="s">
        <v>17517</v>
      </c>
    </row>
    <row r="16152" spans="1:2" x14ac:dyDescent="0.25">
      <c r="A16152" s="75">
        <v>71121631</v>
      </c>
      <c r="B16152" s="76" t="s">
        <v>11506</v>
      </c>
    </row>
    <row r="16153" spans="1:2" x14ac:dyDescent="0.25">
      <c r="A16153" s="75">
        <v>71121632</v>
      </c>
      <c r="B16153" s="76" t="s">
        <v>19651</v>
      </c>
    </row>
    <row r="16154" spans="1:2" x14ac:dyDescent="0.25">
      <c r="A16154" s="75">
        <v>71121633</v>
      </c>
      <c r="B16154" s="76" t="s">
        <v>1705</v>
      </c>
    </row>
    <row r="16155" spans="1:2" x14ac:dyDescent="0.25">
      <c r="A16155" s="75">
        <v>71121634</v>
      </c>
      <c r="B16155" s="76" t="s">
        <v>13964</v>
      </c>
    </row>
    <row r="16156" spans="1:2" x14ac:dyDescent="0.25">
      <c r="A16156" s="75">
        <v>71121635</v>
      </c>
      <c r="B16156" s="76" t="s">
        <v>6282</v>
      </c>
    </row>
    <row r="16157" spans="1:2" x14ac:dyDescent="0.25">
      <c r="A16157" s="75">
        <v>71121636</v>
      </c>
      <c r="B16157" s="76" t="s">
        <v>12054</v>
      </c>
    </row>
    <row r="16158" spans="1:2" x14ac:dyDescent="0.25">
      <c r="A16158" s="75">
        <v>71121637</v>
      </c>
      <c r="B16158" s="76" t="s">
        <v>2288</v>
      </c>
    </row>
    <row r="16159" spans="1:2" x14ac:dyDescent="0.25">
      <c r="A16159" s="75">
        <v>71121701</v>
      </c>
      <c r="B16159" s="76" t="s">
        <v>8404</v>
      </c>
    </row>
    <row r="16160" spans="1:2" x14ac:dyDescent="0.25">
      <c r="A16160" s="75">
        <v>71121702</v>
      </c>
      <c r="B16160" s="76" t="s">
        <v>19066</v>
      </c>
    </row>
    <row r="16161" spans="1:2" x14ac:dyDescent="0.25">
      <c r="A16161" s="75">
        <v>71121703</v>
      </c>
      <c r="B16161" s="76" t="s">
        <v>922</v>
      </c>
    </row>
    <row r="16162" spans="1:2" x14ac:dyDescent="0.25">
      <c r="A16162" s="75">
        <v>71121704</v>
      </c>
      <c r="B16162" s="76" t="s">
        <v>2982</v>
      </c>
    </row>
    <row r="16163" spans="1:2" x14ac:dyDescent="0.25">
      <c r="A16163" s="75">
        <v>71121705</v>
      </c>
      <c r="B16163" s="76" t="s">
        <v>3455</v>
      </c>
    </row>
    <row r="16164" spans="1:2" x14ac:dyDescent="0.25">
      <c r="A16164" s="75">
        <v>71121706</v>
      </c>
      <c r="B16164" s="76" t="s">
        <v>4202</v>
      </c>
    </row>
    <row r="16165" spans="1:2" x14ac:dyDescent="0.25">
      <c r="A16165" s="75">
        <v>71121801</v>
      </c>
      <c r="B16165" s="76" t="s">
        <v>14341</v>
      </c>
    </row>
    <row r="16166" spans="1:2" x14ac:dyDescent="0.25">
      <c r="A16166" s="75">
        <v>71121802</v>
      </c>
      <c r="B16166" s="76" t="s">
        <v>18076</v>
      </c>
    </row>
    <row r="16167" spans="1:2" x14ac:dyDescent="0.25">
      <c r="A16167" s="75">
        <v>71121803</v>
      </c>
      <c r="B16167" s="76" t="s">
        <v>4698</v>
      </c>
    </row>
    <row r="16168" spans="1:2" x14ac:dyDescent="0.25">
      <c r="A16168" s="75">
        <v>71121804</v>
      </c>
      <c r="B16168" s="76" t="s">
        <v>15116</v>
      </c>
    </row>
    <row r="16169" spans="1:2" x14ac:dyDescent="0.25">
      <c r="A16169" s="75">
        <v>71121901</v>
      </c>
      <c r="B16169" s="76" t="s">
        <v>9574</v>
      </c>
    </row>
    <row r="16170" spans="1:2" x14ac:dyDescent="0.25">
      <c r="A16170" s="75">
        <v>71121902</v>
      </c>
      <c r="B16170" s="76" t="s">
        <v>3553</v>
      </c>
    </row>
    <row r="16171" spans="1:2" x14ac:dyDescent="0.25">
      <c r="A16171" s="75">
        <v>71121903</v>
      </c>
      <c r="B16171" s="76" t="s">
        <v>1256</v>
      </c>
    </row>
    <row r="16172" spans="1:2" x14ac:dyDescent="0.25">
      <c r="A16172" s="75">
        <v>71122001</v>
      </c>
      <c r="B16172" s="76" t="s">
        <v>18912</v>
      </c>
    </row>
    <row r="16173" spans="1:2" x14ac:dyDescent="0.25">
      <c r="A16173" s="75">
        <v>71122002</v>
      </c>
      <c r="B16173" s="76" t="s">
        <v>4395</v>
      </c>
    </row>
    <row r="16174" spans="1:2" x14ac:dyDescent="0.25">
      <c r="A16174" s="75">
        <v>71122003</v>
      </c>
      <c r="B16174" s="76" t="s">
        <v>4845</v>
      </c>
    </row>
    <row r="16175" spans="1:2" x14ac:dyDescent="0.25">
      <c r="A16175" s="75">
        <v>71122004</v>
      </c>
      <c r="B16175" s="76" t="s">
        <v>4311</v>
      </c>
    </row>
    <row r="16176" spans="1:2" x14ac:dyDescent="0.25">
      <c r="A16176" s="75">
        <v>71122005</v>
      </c>
      <c r="B16176" s="76" t="s">
        <v>7476</v>
      </c>
    </row>
    <row r="16177" spans="1:2" x14ac:dyDescent="0.25">
      <c r="A16177" s="75">
        <v>71122006</v>
      </c>
      <c r="B16177" s="76" t="s">
        <v>2774</v>
      </c>
    </row>
    <row r="16178" spans="1:2" x14ac:dyDescent="0.25">
      <c r="A16178" s="75">
        <v>71122101</v>
      </c>
      <c r="B16178" s="76" t="s">
        <v>17403</v>
      </c>
    </row>
    <row r="16179" spans="1:2" x14ac:dyDescent="0.25">
      <c r="A16179" s="75">
        <v>71122102</v>
      </c>
      <c r="B16179" s="76" t="s">
        <v>18376</v>
      </c>
    </row>
    <row r="16180" spans="1:2" x14ac:dyDescent="0.25">
      <c r="A16180" s="75">
        <v>71122103</v>
      </c>
      <c r="B16180" s="76" t="s">
        <v>511</v>
      </c>
    </row>
    <row r="16181" spans="1:2" x14ac:dyDescent="0.25">
      <c r="A16181" s="75">
        <v>71122104</v>
      </c>
      <c r="B16181" s="76" t="s">
        <v>11799</v>
      </c>
    </row>
    <row r="16182" spans="1:2" x14ac:dyDescent="0.25">
      <c r="A16182" s="75">
        <v>71122105</v>
      </c>
      <c r="B16182" s="76" t="s">
        <v>19841</v>
      </c>
    </row>
    <row r="16183" spans="1:2" x14ac:dyDescent="0.25">
      <c r="A16183" s="75">
        <v>71122107</v>
      </c>
      <c r="B16183" s="76" t="s">
        <v>919</v>
      </c>
    </row>
    <row r="16184" spans="1:2" x14ac:dyDescent="0.25">
      <c r="A16184" s="75">
        <v>71122108</v>
      </c>
      <c r="B16184" s="76" t="s">
        <v>19287</v>
      </c>
    </row>
    <row r="16185" spans="1:2" x14ac:dyDescent="0.25">
      <c r="A16185" s="75">
        <v>71122109</v>
      </c>
      <c r="B16185" s="76" t="s">
        <v>4776</v>
      </c>
    </row>
    <row r="16186" spans="1:2" x14ac:dyDescent="0.25">
      <c r="A16186" s="75">
        <v>71122110</v>
      </c>
      <c r="B16186" s="76" t="s">
        <v>9203</v>
      </c>
    </row>
    <row r="16187" spans="1:2" x14ac:dyDescent="0.25">
      <c r="A16187" s="75">
        <v>71122111</v>
      </c>
      <c r="B16187" s="76" t="s">
        <v>16215</v>
      </c>
    </row>
    <row r="16188" spans="1:2" x14ac:dyDescent="0.25">
      <c r="A16188" s="75">
        <v>71122112</v>
      </c>
      <c r="B16188" s="76" t="s">
        <v>18705</v>
      </c>
    </row>
    <row r="16189" spans="1:2" x14ac:dyDescent="0.25">
      <c r="A16189" s="75">
        <v>71122113</v>
      </c>
      <c r="B16189" s="76" t="s">
        <v>1257</v>
      </c>
    </row>
    <row r="16190" spans="1:2" x14ac:dyDescent="0.25">
      <c r="A16190" s="75">
        <v>71122114</v>
      </c>
      <c r="B16190" s="76" t="s">
        <v>15811</v>
      </c>
    </row>
    <row r="16191" spans="1:2" x14ac:dyDescent="0.25">
      <c r="A16191" s="75">
        <v>71122115</v>
      </c>
      <c r="B16191" s="76" t="s">
        <v>10970</v>
      </c>
    </row>
    <row r="16192" spans="1:2" x14ac:dyDescent="0.25">
      <c r="A16192" s="75">
        <v>71122116</v>
      </c>
      <c r="B16192" s="76" t="s">
        <v>6590</v>
      </c>
    </row>
    <row r="16193" spans="1:2" x14ac:dyDescent="0.25">
      <c r="A16193" s="75">
        <v>71122201</v>
      </c>
      <c r="B16193" s="76" t="s">
        <v>7007</v>
      </c>
    </row>
    <row r="16194" spans="1:2" x14ac:dyDescent="0.25">
      <c r="A16194" s="75">
        <v>71122202</v>
      </c>
      <c r="B16194" s="76" t="s">
        <v>2944</v>
      </c>
    </row>
    <row r="16195" spans="1:2" x14ac:dyDescent="0.25">
      <c r="A16195" s="75">
        <v>71122203</v>
      </c>
      <c r="B16195" s="76" t="s">
        <v>18771</v>
      </c>
    </row>
    <row r="16196" spans="1:2" x14ac:dyDescent="0.25">
      <c r="A16196" s="75">
        <v>71122301</v>
      </c>
      <c r="B16196" s="76" t="s">
        <v>14934</v>
      </c>
    </row>
    <row r="16197" spans="1:2" x14ac:dyDescent="0.25">
      <c r="A16197" s="75">
        <v>71122302</v>
      </c>
      <c r="B16197" s="76" t="s">
        <v>13711</v>
      </c>
    </row>
    <row r="16198" spans="1:2" x14ac:dyDescent="0.25">
      <c r="A16198" s="75">
        <v>71122303</v>
      </c>
      <c r="B16198" s="76" t="s">
        <v>16673</v>
      </c>
    </row>
    <row r="16199" spans="1:2" x14ac:dyDescent="0.25">
      <c r="A16199" s="75">
        <v>71122304</v>
      </c>
      <c r="B16199" s="76" t="s">
        <v>3098</v>
      </c>
    </row>
    <row r="16200" spans="1:2" x14ac:dyDescent="0.25">
      <c r="A16200" s="75">
        <v>71122305</v>
      </c>
      <c r="B16200" s="76" t="s">
        <v>192</v>
      </c>
    </row>
    <row r="16201" spans="1:2" x14ac:dyDescent="0.25">
      <c r="A16201" s="75">
        <v>71122306</v>
      </c>
      <c r="B16201" s="76" t="s">
        <v>17982</v>
      </c>
    </row>
    <row r="16202" spans="1:2" x14ac:dyDescent="0.25">
      <c r="A16202" s="75">
        <v>71122401</v>
      </c>
      <c r="B16202" s="76" t="s">
        <v>17286</v>
      </c>
    </row>
    <row r="16203" spans="1:2" x14ac:dyDescent="0.25">
      <c r="A16203" s="75">
        <v>71122402</v>
      </c>
      <c r="B16203" s="76" t="s">
        <v>12087</v>
      </c>
    </row>
    <row r="16204" spans="1:2" x14ac:dyDescent="0.25">
      <c r="A16204" s="75">
        <v>71122403</v>
      </c>
      <c r="B16204" s="76" t="s">
        <v>13164</v>
      </c>
    </row>
    <row r="16205" spans="1:2" x14ac:dyDescent="0.25">
      <c r="A16205" s="75">
        <v>71122404</v>
      </c>
      <c r="B16205" s="76" t="s">
        <v>1500</v>
      </c>
    </row>
    <row r="16206" spans="1:2" x14ac:dyDescent="0.25">
      <c r="A16206" s="75">
        <v>71122405</v>
      </c>
      <c r="B16206" s="76" t="s">
        <v>12662</v>
      </c>
    </row>
    <row r="16207" spans="1:2" x14ac:dyDescent="0.25">
      <c r="A16207" s="75">
        <v>71122406</v>
      </c>
      <c r="B16207" s="76" t="s">
        <v>10643</v>
      </c>
    </row>
    <row r="16208" spans="1:2" x14ac:dyDescent="0.25">
      <c r="A16208" s="75">
        <v>71122407</v>
      </c>
      <c r="B16208" s="76" t="s">
        <v>6290</v>
      </c>
    </row>
    <row r="16209" spans="1:2" x14ac:dyDescent="0.25">
      <c r="A16209" s="75">
        <v>71122408</v>
      </c>
      <c r="B16209" s="76" t="s">
        <v>2211</v>
      </c>
    </row>
    <row r="16210" spans="1:2" x14ac:dyDescent="0.25">
      <c r="A16210" s="75">
        <v>71122409</v>
      </c>
      <c r="B16210" s="76" t="s">
        <v>18092</v>
      </c>
    </row>
    <row r="16211" spans="1:2" x14ac:dyDescent="0.25">
      <c r="A16211" s="75">
        <v>71122410</v>
      </c>
      <c r="B16211" s="76" t="s">
        <v>10351</v>
      </c>
    </row>
    <row r="16212" spans="1:2" x14ac:dyDescent="0.25">
      <c r="A16212" s="75">
        <v>71122501</v>
      </c>
      <c r="B16212" s="76" t="s">
        <v>310</v>
      </c>
    </row>
    <row r="16213" spans="1:2" x14ac:dyDescent="0.25">
      <c r="A16213" s="75">
        <v>71122502</v>
      </c>
      <c r="B16213" s="76" t="s">
        <v>18946</v>
      </c>
    </row>
    <row r="16214" spans="1:2" x14ac:dyDescent="0.25">
      <c r="A16214" s="75">
        <v>71122503</v>
      </c>
      <c r="B16214" s="76" t="s">
        <v>9934</v>
      </c>
    </row>
    <row r="16215" spans="1:2" x14ac:dyDescent="0.25">
      <c r="A16215" s="75">
        <v>71122504</v>
      </c>
      <c r="B16215" s="76" t="s">
        <v>16864</v>
      </c>
    </row>
    <row r="16216" spans="1:2" x14ac:dyDescent="0.25">
      <c r="A16216" s="75">
        <v>71122505</v>
      </c>
      <c r="B16216" s="76" t="s">
        <v>15483</v>
      </c>
    </row>
    <row r="16217" spans="1:2" x14ac:dyDescent="0.25">
      <c r="A16217" s="75">
        <v>71122601</v>
      </c>
      <c r="B16217" s="76" t="s">
        <v>18554</v>
      </c>
    </row>
    <row r="16218" spans="1:2" x14ac:dyDescent="0.25">
      <c r="A16218" s="75">
        <v>71122602</v>
      </c>
      <c r="B16218" s="76" t="s">
        <v>11536</v>
      </c>
    </row>
    <row r="16219" spans="1:2" x14ac:dyDescent="0.25">
      <c r="A16219" s="75">
        <v>71122603</v>
      </c>
      <c r="B16219" s="76" t="s">
        <v>5738</v>
      </c>
    </row>
    <row r="16220" spans="1:2" x14ac:dyDescent="0.25">
      <c r="A16220" s="75">
        <v>71122604</v>
      </c>
      <c r="B16220" s="76" t="s">
        <v>19962</v>
      </c>
    </row>
    <row r="16221" spans="1:2" x14ac:dyDescent="0.25">
      <c r="A16221" s="75">
        <v>71122605</v>
      </c>
      <c r="B16221" s="76" t="s">
        <v>17655</v>
      </c>
    </row>
    <row r="16222" spans="1:2" x14ac:dyDescent="0.25">
      <c r="A16222" s="75">
        <v>71122606</v>
      </c>
      <c r="B16222" s="76" t="s">
        <v>1934</v>
      </c>
    </row>
    <row r="16223" spans="1:2" x14ac:dyDescent="0.25">
      <c r="A16223" s="75">
        <v>71122607</v>
      </c>
      <c r="B16223" s="76" t="s">
        <v>11029</v>
      </c>
    </row>
    <row r="16224" spans="1:2" x14ac:dyDescent="0.25">
      <c r="A16224" s="75">
        <v>71122608</v>
      </c>
      <c r="B16224" s="76" t="s">
        <v>2450</v>
      </c>
    </row>
    <row r="16225" spans="1:2" x14ac:dyDescent="0.25">
      <c r="A16225" s="75">
        <v>71122609</v>
      </c>
      <c r="B16225" s="76" t="s">
        <v>3578</v>
      </c>
    </row>
    <row r="16226" spans="1:2" x14ac:dyDescent="0.25">
      <c r="A16226" s="75">
        <v>71122610</v>
      </c>
      <c r="B16226" s="76" t="s">
        <v>13918</v>
      </c>
    </row>
    <row r="16227" spans="1:2" x14ac:dyDescent="0.25">
      <c r="A16227" s="75">
        <v>71122611</v>
      </c>
      <c r="B16227" s="76" t="s">
        <v>19776</v>
      </c>
    </row>
    <row r="16228" spans="1:2" x14ac:dyDescent="0.25">
      <c r="A16228" s="75">
        <v>71122612</v>
      </c>
      <c r="B16228" s="76" t="s">
        <v>11036</v>
      </c>
    </row>
    <row r="16229" spans="1:2" x14ac:dyDescent="0.25">
      <c r="A16229" s="75">
        <v>71122613</v>
      </c>
      <c r="B16229" s="76" t="s">
        <v>3402</v>
      </c>
    </row>
    <row r="16230" spans="1:2" x14ac:dyDescent="0.25">
      <c r="A16230" s="75">
        <v>71122701</v>
      </c>
      <c r="B16230" s="76" t="s">
        <v>3028</v>
      </c>
    </row>
    <row r="16231" spans="1:2" x14ac:dyDescent="0.25">
      <c r="A16231" s="75">
        <v>71122702</v>
      </c>
      <c r="B16231" s="76" t="s">
        <v>19369</v>
      </c>
    </row>
    <row r="16232" spans="1:2" x14ac:dyDescent="0.25">
      <c r="A16232" s="75">
        <v>71122703</v>
      </c>
      <c r="B16232" s="76" t="s">
        <v>16365</v>
      </c>
    </row>
    <row r="16233" spans="1:2" x14ac:dyDescent="0.25">
      <c r="A16233" s="75">
        <v>71122704</v>
      </c>
      <c r="B16233" s="76" t="s">
        <v>16169</v>
      </c>
    </row>
    <row r="16234" spans="1:2" x14ac:dyDescent="0.25">
      <c r="A16234" s="75">
        <v>71122705</v>
      </c>
      <c r="B16234" s="76" t="s">
        <v>16933</v>
      </c>
    </row>
    <row r="16235" spans="1:2" x14ac:dyDescent="0.25">
      <c r="A16235" s="75">
        <v>71122706</v>
      </c>
      <c r="B16235" s="76" t="s">
        <v>5334</v>
      </c>
    </row>
    <row r="16236" spans="1:2" x14ac:dyDescent="0.25">
      <c r="A16236" s="75">
        <v>71122707</v>
      </c>
      <c r="B16236" s="76" t="s">
        <v>16738</v>
      </c>
    </row>
    <row r="16237" spans="1:2" x14ac:dyDescent="0.25">
      <c r="A16237" s="75">
        <v>71122708</v>
      </c>
      <c r="B16237" s="76" t="s">
        <v>4876</v>
      </c>
    </row>
    <row r="16238" spans="1:2" x14ac:dyDescent="0.25">
      <c r="A16238" s="75">
        <v>71122801</v>
      </c>
      <c r="B16238" s="76" t="s">
        <v>17366</v>
      </c>
    </row>
    <row r="16239" spans="1:2" x14ac:dyDescent="0.25">
      <c r="A16239" s="75">
        <v>71122802</v>
      </c>
      <c r="B16239" s="76" t="s">
        <v>15709</v>
      </c>
    </row>
    <row r="16240" spans="1:2" x14ac:dyDescent="0.25">
      <c r="A16240" s="75">
        <v>71122803</v>
      </c>
      <c r="B16240" s="76" t="s">
        <v>2443</v>
      </c>
    </row>
    <row r="16241" spans="1:2" x14ac:dyDescent="0.25">
      <c r="A16241" s="75">
        <v>71122804</v>
      </c>
      <c r="B16241" s="76" t="s">
        <v>18906</v>
      </c>
    </row>
    <row r="16242" spans="1:2" x14ac:dyDescent="0.25">
      <c r="A16242" s="75">
        <v>71122805</v>
      </c>
      <c r="B16242" s="76" t="s">
        <v>11384</v>
      </c>
    </row>
    <row r="16243" spans="1:2" x14ac:dyDescent="0.25">
      <c r="A16243" s="75">
        <v>71122806</v>
      </c>
      <c r="B16243" s="76" t="s">
        <v>19821</v>
      </c>
    </row>
    <row r="16244" spans="1:2" x14ac:dyDescent="0.25">
      <c r="A16244" s="75">
        <v>71122807</v>
      </c>
      <c r="B16244" s="76" t="s">
        <v>12238</v>
      </c>
    </row>
    <row r="16245" spans="1:2" x14ac:dyDescent="0.25">
      <c r="A16245" s="75">
        <v>71122808</v>
      </c>
      <c r="B16245" s="76" t="s">
        <v>13003</v>
      </c>
    </row>
    <row r="16246" spans="1:2" x14ac:dyDescent="0.25">
      <c r="A16246" s="75">
        <v>71122810</v>
      </c>
      <c r="B16246" s="76" t="s">
        <v>15132</v>
      </c>
    </row>
    <row r="16247" spans="1:2" x14ac:dyDescent="0.25">
      <c r="A16247" s="75">
        <v>71122901</v>
      </c>
      <c r="B16247" s="76" t="s">
        <v>12201</v>
      </c>
    </row>
    <row r="16248" spans="1:2" x14ac:dyDescent="0.25">
      <c r="A16248" s="75">
        <v>71122902</v>
      </c>
      <c r="B16248" s="76" t="s">
        <v>354</v>
      </c>
    </row>
    <row r="16249" spans="1:2" x14ac:dyDescent="0.25">
      <c r="A16249" s="75">
        <v>71122903</v>
      </c>
      <c r="B16249" s="76" t="s">
        <v>19214</v>
      </c>
    </row>
    <row r="16250" spans="1:2" x14ac:dyDescent="0.25">
      <c r="A16250" s="75">
        <v>71122904</v>
      </c>
      <c r="B16250" s="76" t="s">
        <v>7087</v>
      </c>
    </row>
    <row r="16251" spans="1:2" x14ac:dyDescent="0.25">
      <c r="A16251" s="75">
        <v>71122905</v>
      </c>
      <c r="B16251" s="76" t="s">
        <v>9756</v>
      </c>
    </row>
    <row r="16252" spans="1:2" x14ac:dyDescent="0.25">
      <c r="A16252" s="75">
        <v>71131001</v>
      </c>
      <c r="B16252" s="76" t="s">
        <v>491</v>
      </c>
    </row>
    <row r="16253" spans="1:2" x14ac:dyDescent="0.25">
      <c r="A16253" s="75">
        <v>71131002</v>
      </c>
      <c r="B16253" s="76" t="s">
        <v>5545</v>
      </c>
    </row>
    <row r="16254" spans="1:2" x14ac:dyDescent="0.25">
      <c r="A16254" s="75">
        <v>71131003</v>
      </c>
      <c r="B16254" s="76" t="s">
        <v>11577</v>
      </c>
    </row>
    <row r="16255" spans="1:2" x14ac:dyDescent="0.25">
      <c r="A16255" s="75">
        <v>71131004</v>
      </c>
      <c r="B16255" s="76" t="s">
        <v>2254</v>
      </c>
    </row>
    <row r="16256" spans="1:2" x14ac:dyDescent="0.25">
      <c r="A16256" s="75">
        <v>71131005</v>
      </c>
      <c r="B16256" s="76" t="s">
        <v>18280</v>
      </c>
    </row>
    <row r="16257" spans="1:2" x14ac:dyDescent="0.25">
      <c r="A16257" s="75">
        <v>71131006</v>
      </c>
      <c r="B16257" s="76" t="s">
        <v>20045</v>
      </c>
    </row>
    <row r="16258" spans="1:2" x14ac:dyDescent="0.25">
      <c r="A16258" s="75">
        <v>71131007</v>
      </c>
      <c r="B16258" s="76" t="s">
        <v>24</v>
      </c>
    </row>
    <row r="16259" spans="1:2" x14ac:dyDescent="0.25">
      <c r="A16259" s="75">
        <v>71131008</v>
      </c>
      <c r="B16259" s="76" t="s">
        <v>19784</v>
      </c>
    </row>
    <row r="16260" spans="1:2" x14ac:dyDescent="0.25">
      <c r="A16260" s="75">
        <v>71131009</v>
      </c>
      <c r="B16260" s="76" t="s">
        <v>4690</v>
      </c>
    </row>
    <row r="16261" spans="1:2" x14ac:dyDescent="0.25">
      <c r="A16261" s="75">
        <v>71131010</v>
      </c>
      <c r="B16261" s="76" t="s">
        <v>5429</v>
      </c>
    </row>
    <row r="16262" spans="1:2" x14ac:dyDescent="0.25">
      <c r="A16262" s="75">
        <v>71131011</v>
      </c>
      <c r="B16262" s="76" t="s">
        <v>16931</v>
      </c>
    </row>
    <row r="16263" spans="1:2" x14ac:dyDescent="0.25">
      <c r="A16263" s="75">
        <v>71131012</v>
      </c>
      <c r="B16263" s="76" t="s">
        <v>11474</v>
      </c>
    </row>
    <row r="16264" spans="1:2" x14ac:dyDescent="0.25">
      <c r="A16264" s="75">
        <v>71131013</v>
      </c>
      <c r="B16264" s="76" t="s">
        <v>817</v>
      </c>
    </row>
    <row r="16265" spans="1:2" x14ac:dyDescent="0.25">
      <c r="A16265" s="75">
        <v>71131014</v>
      </c>
      <c r="B16265" s="76" t="s">
        <v>12990</v>
      </c>
    </row>
    <row r="16266" spans="1:2" x14ac:dyDescent="0.25">
      <c r="A16266" s="75">
        <v>71131015</v>
      </c>
      <c r="B16266" s="76" t="s">
        <v>16177</v>
      </c>
    </row>
    <row r="16267" spans="1:2" x14ac:dyDescent="0.25">
      <c r="A16267" s="75">
        <v>71131016</v>
      </c>
      <c r="B16267" s="76" t="s">
        <v>12357</v>
      </c>
    </row>
    <row r="16268" spans="1:2" x14ac:dyDescent="0.25">
      <c r="A16268" s="75">
        <v>71131017</v>
      </c>
      <c r="B16268" s="76" t="s">
        <v>18599</v>
      </c>
    </row>
    <row r="16269" spans="1:2" x14ac:dyDescent="0.25">
      <c r="A16269" s="75">
        <v>71131101</v>
      </c>
      <c r="B16269" s="76" t="s">
        <v>18413</v>
      </c>
    </row>
    <row r="16270" spans="1:2" x14ac:dyDescent="0.25">
      <c r="A16270" s="75">
        <v>71131102</v>
      </c>
      <c r="B16270" s="76" t="s">
        <v>5083</v>
      </c>
    </row>
    <row r="16271" spans="1:2" x14ac:dyDescent="0.25">
      <c r="A16271" s="75">
        <v>71131103</v>
      </c>
      <c r="B16271" s="76" t="s">
        <v>2445</v>
      </c>
    </row>
    <row r="16272" spans="1:2" x14ac:dyDescent="0.25">
      <c r="A16272" s="75">
        <v>71131104</v>
      </c>
      <c r="B16272" s="76" t="s">
        <v>3557</v>
      </c>
    </row>
    <row r="16273" spans="1:2" x14ac:dyDescent="0.25">
      <c r="A16273" s="75">
        <v>71131105</v>
      </c>
      <c r="B16273" s="76" t="s">
        <v>11011</v>
      </c>
    </row>
    <row r="16274" spans="1:2" x14ac:dyDescent="0.25">
      <c r="A16274" s="75">
        <v>71131106</v>
      </c>
      <c r="B16274" s="76" t="s">
        <v>11628</v>
      </c>
    </row>
    <row r="16275" spans="1:2" x14ac:dyDescent="0.25">
      <c r="A16275" s="75">
        <v>71131107</v>
      </c>
      <c r="B16275" s="76" t="s">
        <v>7419</v>
      </c>
    </row>
    <row r="16276" spans="1:2" x14ac:dyDescent="0.25">
      <c r="A16276" s="75">
        <v>71131108</v>
      </c>
      <c r="B16276" s="76" t="s">
        <v>7245</v>
      </c>
    </row>
    <row r="16277" spans="1:2" x14ac:dyDescent="0.25">
      <c r="A16277" s="75">
        <v>71131109</v>
      </c>
      <c r="B16277" s="76" t="s">
        <v>19505</v>
      </c>
    </row>
    <row r="16278" spans="1:2" x14ac:dyDescent="0.25">
      <c r="A16278" s="75">
        <v>71131110</v>
      </c>
      <c r="B16278" s="76" t="s">
        <v>18614</v>
      </c>
    </row>
    <row r="16279" spans="1:2" x14ac:dyDescent="0.25">
      <c r="A16279" s="75">
        <v>71131111</v>
      </c>
      <c r="B16279" s="76" t="s">
        <v>8355</v>
      </c>
    </row>
    <row r="16280" spans="1:2" x14ac:dyDescent="0.25">
      <c r="A16280" s="75">
        <v>71131201</v>
      </c>
      <c r="B16280" s="76" t="s">
        <v>18069</v>
      </c>
    </row>
    <row r="16281" spans="1:2" x14ac:dyDescent="0.25">
      <c r="A16281" s="75">
        <v>71131301</v>
      </c>
      <c r="B16281" s="76" t="s">
        <v>15267</v>
      </c>
    </row>
    <row r="16282" spans="1:2" x14ac:dyDescent="0.25">
      <c r="A16282" s="75">
        <v>71131302</v>
      </c>
      <c r="B16282" s="76" t="s">
        <v>18612</v>
      </c>
    </row>
    <row r="16283" spans="1:2" x14ac:dyDescent="0.25">
      <c r="A16283" s="75">
        <v>71131303</v>
      </c>
      <c r="B16283" s="76" t="s">
        <v>5645</v>
      </c>
    </row>
    <row r="16284" spans="1:2" x14ac:dyDescent="0.25">
      <c r="A16284" s="75">
        <v>71131304</v>
      </c>
      <c r="B16284" s="76" t="s">
        <v>17346</v>
      </c>
    </row>
    <row r="16285" spans="1:2" x14ac:dyDescent="0.25">
      <c r="A16285" s="75">
        <v>71131305</v>
      </c>
      <c r="B16285" s="76" t="s">
        <v>18700</v>
      </c>
    </row>
    <row r="16286" spans="1:2" x14ac:dyDescent="0.25">
      <c r="A16286" s="75">
        <v>71131306</v>
      </c>
      <c r="B16286" s="76" t="s">
        <v>2685</v>
      </c>
    </row>
    <row r="16287" spans="1:2" x14ac:dyDescent="0.25">
      <c r="A16287" s="75">
        <v>71131307</v>
      </c>
      <c r="B16287" s="76" t="s">
        <v>839</v>
      </c>
    </row>
    <row r="16288" spans="1:2" x14ac:dyDescent="0.25">
      <c r="A16288" s="75">
        <v>71131308</v>
      </c>
      <c r="B16288" s="76" t="s">
        <v>16927</v>
      </c>
    </row>
    <row r="16289" spans="1:2" x14ac:dyDescent="0.25">
      <c r="A16289" s="75">
        <v>71131309</v>
      </c>
      <c r="B16289" s="76" t="s">
        <v>339</v>
      </c>
    </row>
    <row r="16290" spans="1:2" x14ac:dyDescent="0.25">
      <c r="A16290" s="75">
        <v>71131310</v>
      </c>
      <c r="B16290" s="76" t="s">
        <v>19319</v>
      </c>
    </row>
    <row r="16291" spans="1:2" x14ac:dyDescent="0.25">
      <c r="A16291" s="75">
        <v>71131401</v>
      </c>
      <c r="B16291" s="76" t="s">
        <v>14139</v>
      </c>
    </row>
    <row r="16292" spans="1:2" x14ac:dyDescent="0.25">
      <c r="A16292" s="75">
        <v>71131402</v>
      </c>
      <c r="B16292" s="76" t="s">
        <v>15592</v>
      </c>
    </row>
    <row r="16293" spans="1:2" x14ac:dyDescent="0.25">
      <c r="A16293" s="75">
        <v>71131403</v>
      </c>
      <c r="B16293" s="76" t="s">
        <v>11838</v>
      </c>
    </row>
    <row r="16294" spans="1:2" x14ac:dyDescent="0.25">
      <c r="A16294" s="75">
        <v>71141001</v>
      </c>
      <c r="B16294" s="76" t="s">
        <v>16776</v>
      </c>
    </row>
    <row r="16295" spans="1:2" x14ac:dyDescent="0.25">
      <c r="A16295" s="75">
        <v>71141002</v>
      </c>
      <c r="B16295" s="76" t="s">
        <v>17852</v>
      </c>
    </row>
    <row r="16296" spans="1:2" x14ac:dyDescent="0.25">
      <c r="A16296" s="75">
        <v>71141003</v>
      </c>
      <c r="B16296" s="76" t="s">
        <v>4052</v>
      </c>
    </row>
    <row r="16297" spans="1:2" x14ac:dyDescent="0.25">
      <c r="A16297" s="75">
        <v>71141004</v>
      </c>
      <c r="B16297" s="76" t="s">
        <v>13520</v>
      </c>
    </row>
    <row r="16298" spans="1:2" x14ac:dyDescent="0.25">
      <c r="A16298" s="75">
        <v>71141101</v>
      </c>
      <c r="B16298" s="76" t="s">
        <v>7960</v>
      </c>
    </row>
    <row r="16299" spans="1:2" x14ac:dyDescent="0.25">
      <c r="A16299" s="75">
        <v>71141102</v>
      </c>
      <c r="B16299" s="76" t="s">
        <v>3191</v>
      </c>
    </row>
    <row r="16300" spans="1:2" x14ac:dyDescent="0.25">
      <c r="A16300" s="75">
        <v>71141201</v>
      </c>
      <c r="B16300" s="76" t="s">
        <v>19463</v>
      </c>
    </row>
    <row r="16301" spans="1:2" x14ac:dyDescent="0.25">
      <c r="A16301" s="75">
        <v>71141202</v>
      </c>
      <c r="B16301" s="76" t="s">
        <v>6444</v>
      </c>
    </row>
    <row r="16302" spans="1:2" x14ac:dyDescent="0.25">
      <c r="A16302" s="75">
        <v>71151001</v>
      </c>
      <c r="B16302" s="76" t="s">
        <v>15114</v>
      </c>
    </row>
    <row r="16303" spans="1:2" x14ac:dyDescent="0.25">
      <c r="A16303" s="75">
        <v>71151002</v>
      </c>
      <c r="B16303" s="76" t="s">
        <v>8730</v>
      </c>
    </row>
    <row r="16304" spans="1:2" x14ac:dyDescent="0.25">
      <c r="A16304" s="75">
        <v>71151003</v>
      </c>
      <c r="B16304" s="76" t="s">
        <v>19243</v>
      </c>
    </row>
    <row r="16305" spans="1:2" x14ac:dyDescent="0.25">
      <c r="A16305" s="75">
        <v>71151004</v>
      </c>
      <c r="B16305" s="76" t="s">
        <v>19717</v>
      </c>
    </row>
    <row r="16306" spans="1:2" x14ac:dyDescent="0.25">
      <c r="A16306" s="75">
        <v>71151005</v>
      </c>
      <c r="B16306" s="76" t="s">
        <v>14838</v>
      </c>
    </row>
    <row r="16307" spans="1:2" x14ac:dyDescent="0.25">
      <c r="A16307" s="75">
        <v>71151101</v>
      </c>
      <c r="B16307" s="76" t="s">
        <v>10898</v>
      </c>
    </row>
    <row r="16308" spans="1:2" x14ac:dyDescent="0.25">
      <c r="A16308" s="75">
        <v>71151102</v>
      </c>
      <c r="B16308" s="76" t="s">
        <v>12507</v>
      </c>
    </row>
    <row r="16309" spans="1:2" x14ac:dyDescent="0.25">
      <c r="A16309" s="75">
        <v>71151103</v>
      </c>
      <c r="B16309" s="76" t="s">
        <v>11865</v>
      </c>
    </row>
    <row r="16310" spans="1:2" x14ac:dyDescent="0.25">
      <c r="A16310" s="75">
        <v>71151104</v>
      </c>
      <c r="B16310" s="76" t="s">
        <v>17963</v>
      </c>
    </row>
    <row r="16311" spans="1:2" x14ac:dyDescent="0.25">
      <c r="A16311" s="75">
        <v>71151105</v>
      </c>
      <c r="B16311" s="76" t="s">
        <v>2197</v>
      </c>
    </row>
    <row r="16312" spans="1:2" x14ac:dyDescent="0.25">
      <c r="A16312" s="75">
        <v>71151201</v>
      </c>
      <c r="B16312" s="76" t="s">
        <v>15719</v>
      </c>
    </row>
    <row r="16313" spans="1:2" x14ac:dyDescent="0.25">
      <c r="A16313" s="75">
        <v>71151202</v>
      </c>
      <c r="B16313" s="76" t="s">
        <v>15134</v>
      </c>
    </row>
    <row r="16314" spans="1:2" x14ac:dyDescent="0.25">
      <c r="A16314" s="75">
        <v>71151203</v>
      </c>
      <c r="B16314" s="76" t="s">
        <v>15684</v>
      </c>
    </row>
    <row r="16315" spans="1:2" x14ac:dyDescent="0.25">
      <c r="A16315" s="75">
        <v>71151301</v>
      </c>
      <c r="B16315" s="76" t="s">
        <v>5166</v>
      </c>
    </row>
    <row r="16316" spans="1:2" x14ac:dyDescent="0.25">
      <c r="A16316" s="75">
        <v>71151302</v>
      </c>
      <c r="B16316" s="76" t="s">
        <v>19897</v>
      </c>
    </row>
    <row r="16317" spans="1:2" x14ac:dyDescent="0.25">
      <c r="A16317" s="75">
        <v>71151303</v>
      </c>
      <c r="B16317" s="76" t="s">
        <v>15898</v>
      </c>
    </row>
    <row r="16318" spans="1:2" x14ac:dyDescent="0.25">
      <c r="A16318" s="75">
        <v>71151304</v>
      </c>
      <c r="B16318" s="76" t="s">
        <v>12564</v>
      </c>
    </row>
    <row r="16319" spans="1:2" x14ac:dyDescent="0.25">
      <c r="A16319" s="75">
        <v>71151305</v>
      </c>
      <c r="B16319" s="76" t="s">
        <v>1346</v>
      </c>
    </row>
    <row r="16320" spans="1:2" x14ac:dyDescent="0.25">
      <c r="A16320" s="75">
        <v>71151306</v>
      </c>
      <c r="B16320" s="76" t="s">
        <v>6186</v>
      </c>
    </row>
    <row r="16321" spans="1:2" x14ac:dyDescent="0.25">
      <c r="A16321" s="75">
        <v>71151307</v>
      </c>
      <c r="B16321" s="76" t="s">
        <v>9587</v>
      </c>
    </row>
    <row r="16322" spans="1:2" x14ac:dyDescent="0.25">
      <c r="A16322" s="75">
        <v>71151308</v>
      </c>
      <c r="B16322" s="76" t="s">
        <v>15354</v>
      </c>
    </row>
    <row r="16323" spans="1:2" x14ac:dyDescent="0.25">
      <c r="A16323" s="75">
        <v>71151309</v>
      </c>
      <c r="B16323" s="76" t="s">
        <v>20054</v>
      </c>
    </row>
    <row r="16324" spans="1:2" x14ac:dyDescent="0.25">
      <c r="A16324" s="75">
        <v>71151310</v>
      </c>
      <c r="B16324" s="76" t="s">
        <v>17719</v>
      </c>
    </row>
    <row r="16325" spans="1:2" x14ac:dyDescent="0.25">
      <c r="A16325" s="75">
        <v>71151311</v>
      </c>
      <c r="B16325" s="76" t="s">
        <v>8965</v>
      </c>
    </row>
    <row r="16326" spans="1:2" x14ac:dyDescent="0.25">
      <c r="A16326" s="75">
        <v>71151312</v>
      </c>
      <c r="B16326" s="76" t="s">
        <v>16254</v>
      </c>
    </row>
    <row r="16327" spans="1:2" x14ac:dyDescent="0.25">
      <c r="A16327" s="75">
        <v>71151313</v>
      </c>
      <c r="B16327" s="76" t="s">
        <v>6034</v>
      </c>
    </row>
    <row r="16328" spans="1:2" x14ac:dyDescent="0.25">
      <c r="A16328" s="75">
        <v>71151314</v>
      </c>
      <c r="B16328" s="76" t="s">
        <v>6545</v>
      </c>
    </row>
    <row r="16329" spans="1:2" x14ac:dyDescent="0.25">
      <c r="A16329" s="75">
        <v>71151315</v>
      </c>
      <c r="B16329" s="76" t="s">
        <v>3087</v>
      </c>
    </row>
    <row r="16330" spans="1:2" x14ac:dyDescent="0.25">
      <c r="A16330" s="75">
        <v>71151401</v>
      </c>
      <c r="B16330" s="76" t="s">
        <v>3567</v>
      </c>
    </row>
    <row r="16331" spans="1:2" x14ac:dyDescent="0.25">
      <c r="A16331" s="75">
        <v>71151402</v>
      </c>
      <c r="B16331" s="76" t="s">
        <v>13253</v>
      </c>
    </row>
    <row r="16332" spans="1:2" x14ac:dyDescent="0.25">
      <c r="A16332" s="75">
        <v>71151403</v>
      </c>
      <c r="B16332" s="76" t="s">
        <v>16294</v>
      </c>
    </row>
    <row r="16333" spans="1:2" x14ac:dyDescent="0.25">
      <c r="A16333" s="75">
        <v>71151404</v>
      </c>
      <c r="B16333" s="76" t="s">
        <v>2492</v>
      </c>
    </row>
    <row r="16334" spans="1:2" x14ac:dyDescent="0.25">
      <c r="A16334" s="75">
        <v>71151405</v>
      </c>
      <c r="B16334" s="76" t="s">
        <v>11987</v>
      </c>
    </row>
    <row r="16335" spans="1:2" x14ac:dyDescent="0.25">
      <c r="A16335" s="75">
        <v>71151406</v>
      </c>
      <c r="B16335" s="76" t="s">
        <v>19370</v>
      </c>
    </row>
    <row r="16336" spans="1:2" x14ac:dyDescent="0.25">
      <c r="A16336" s="75">
        <v>71161001</v>
      </c>
      <c r="B16336" s="76" t="s">
        <v>9555</v>
      </c>
    </row>
    <row r="16337" spans="1:2" x14ac:dyDescent="0.25">
      <c r="A16337" s="75">
        <v>71161002</v>
      </c>
      <c r="B16337" s="76" t="s">
        <v>17275</v>
      </c>
    </row>
    <row r="16338" spans="1:2" x14ac:dyDescent="0.25">
      <c r="A16338" s="75">
        <v>71161003</v>
      </c>
      <c r="B16338" s="76" t="s">
        <v>10391</v>
      </c>
    </row>
    <row r="16339" spans="1:2" x14ac:dyDescent="0.25">
      <c r="A16339" s="75">
        <v>71161004</v>
      </c>
      <c r="B16339" s="76" t="s">
        <v>1564</v>
      </c>
    </row>
    <row r="16340" spans="1:2" x14ac:dyDescent="0.25">
      <c r="A16340" s="75">
        <v>71161005</v>
      </c>
      <c r="B16340" s="76" t="s">
        <v>16994</v>
      </c>
    </row>
    <row r="16341" spans="1:2" x14ac:dyDescent="0.25">
      <c r="A16341" s="75">
        <v>71161006</v>
      </c>
      <c r="B16341" s="76" t="s">
        <v>9210</v>
      </c>
    </row>
    <row r="16342" spans="1:2" x14ac:dyDescent="0.25">
      <c r="A16342" s="75">
        <v>71161101</v>
      </c>
      <c r="B16342" s="76" t="s">
        <v>4007</v>
      </c>
    </row>
    <row r="16343" spans="1:2" x14ac:dyDescent="0.25">
      <c r="A16343" s="75">
        <v>71161102</v>
      </c>
      <c r="B16343" s="76" t="s">
        <v>11568</v>
      </c>
    </row>
    <row r="16344" spans="1:2" x14ac:dyDescent="0.25">
      <c r="A16344" s="75">
        <v>71161103</v>
      </c>
      <c r="B16344" s="76" t="s">
        <v>11001</v>
      </c>
    </row>
    <row r="16345" spans="1:2" x14ac:dyDescent="0.25">
      <c r="A16345" s="75">
        <v>71161104</v>
      </c>
      <c r="B16345" s="76" t="s">
        <v>19670</v>
      </c>
    </row>
    <row r="16346" spans="1:2" x14ac:dyDescent="0.25">
      <c r="A16346" s="75">
        <v>71161105</v>
      </c>
      <c r="B16346" s="76" t="s">
        <v>11800</v>
      </c>
    </row>
    <row r="16347" spans="1:2" x14ac:dyDescent="0.25">
      <c r="A16347" s="75">
        <v>71161106</v>
      </c>
      <c r="B16347" s="76" t="s">
        <v>3295</v>
      </c>
    </row>
    <row r="16348" spans="1:2" x14ac:dyDescent="0.25">
      <c r="A16348" s="75">
        <v>71161107</v>
      </c>
      <c r="B16348" s="76" t="s">
        <v>13822</v>
      </c>
    </row>
    <row r="16349" spans="1:2" x14ac:dyDescent="0.25">
      <c r="A16349" s="75">
        <v>71161109</v>
      </c>
      <c r="B16349" s="76" t="s">
        <v>19285</v>
      </c>
    </row>
    <row r="16350" spans="1:2" x14ac:dyDescent="0.25">
      <c r="A16350" s="75">
        <v>71161110</v>
      </c>
      <c r="B16350" s="76" t="s">
        <v>14010</v>
      </c>
    </row>
    <row r="16351" spans="1:2" x14ac:dyDescent="0.25">
      <c r="A16351" s="75">
        <v>71161111</v>
      </c>
      <c r="B16351" s="76" t="s">
        <v>1383</v>
      </c>
    </row>
    <row r="16352" spans="1:2" x14ac:dyDescent="0.25">
      <c r="A16352" s="75">
        <v>71161201</v>
      </c>
      <c r="B16352" s="76" t="s">
        <v>14939</v>
      </c>
    </row>
    <row r="16353" spans="1:2" x14ac:dyDescent="0.25">
      <c r="A16353" s="75">
        <v>71161202</v>
      </c>
      <c r="B16353" s="76" t="s">
        <v>8711</v>
      </c>
    </row>
    <row r="16354" spans="1:2" x14ac:dyDescent="0.25">
      <c r="A16354" s="75">
        <v>71161203</v>
      </c>
      <c r="B16354" s="76" t="s">
        <v>17251</v>
      </c>
    </row>
    <row r="16355" spans="1:2" x14ac:dyDescent="0.25">
      <c r="A16355" s="75">
        <v>71161204</v>
      </c>
      <c r="B16355" s="76" t="s">
        <v>6028</v>
      </c>
    </row>
    <row r="16356" spans="1:2" x14ac:dyDescent="0.25">
      <c r="A16356" s="75">
        <v>71161205</v>
      </c>
      <c r="B16356" s="76" t="s">
        <v>5903</v>
      </c>
    </row>
    <row r="16357" spans="1:2" x14ac:dyDescent="0.25">
      <c r="A16357" s="75">
        <v>71161206</v>
      </c>
      <c r="B16357" s="76" t="s">
        <v>2205</v>
      </c>
    </row>
    <row r="16358" spans="1:2" x14ac:dyDescent="0.25">
      <c r="A16358" s="75">
        <v>71161301</v>
      </c>
      <c r="B16358" s="76" t="s">
        <v>15339</v>
      </c>
    </row>
    <row r="16359" spans="1:2" x14ac:dyDescent="0.25">
      <c r="A16359" s="75">
        <v>71161302</v>
      </c>
      <c r="B16359" s="76" t="s">
        <v>10932</v>
      </c>
    </row>
    <row r="16360" spans="1:2" x14ac:dyDescent="0.25">
      <c r="A16360" s="75">
        <v>71161303</v>
      </c>
      <c r="B16360" s="76" t="s">
        <v>14794</v>
      </c>
    </row>
    <row r="16361" spans="1:2" x14ac:dyDescent="0.25">
      <c r="A16361" s="75">
        <v>71161304</v>
      </c>
      <c r="B16361" s="76" t="s">
        <v>18460</v>
      </c>
    </row>
    <row r="16362" spans="1:2" x14ac:dyDescent="0.25">
      <c r="A16362" s="75">
        <v>71161305</v>
      </c>
      <c r="B16362" s="76" t="s">
        <v>6775</v>
      </c>
    </row>
    <row r="16363" spans="1:2" x14ac:dyDescent="0.25">
      <c r="A16363" s="75">
        <v>71161306</v>
      </c>
      <c r="B16363" s="76" t="s">
        <v>2279</v>
      </c>
    </row>
    <row r="16364" spans="1:2" x14ac:dyDescent="0.25">
      <c r="A16364" s="75">
        <v>71161307</v>
      </c>
      <c r="B16364" s="76" t="s">
        <v>16447</v>
      </c>
    </row>
    <row r="16365" spans="1:2" x14ac:dyDescent="0.25">
      <c r="A16365" s="75">
        <v>71161308</v>
      </c>
      <c r="B16365" s="76" t="s">
        <v>11292</v>
      </c>
    </row>
    <row r="16366" spans="1:2" x14ac:dyDescent="0.25">
      <c r="A16366" s="75">
        <v>71161402</v>
      </c>
      <c r="B16366" s="76" t="s">
        <v>8263</v>
      </c>
    </row>
    <row r="16367" spans="1:2" x14ac:dyDescent="0.25">
      <c r="A16367" s="75">
        <v>71161403</v>
      </c>
      <c r="B16367" s="76" t="s">
        <v>4051</v>
      </c>
    </row>
    <row r="16368" spans="1:2" x14ac:dyDescent="0.25">
      <c r="A16368" s="75">
        <v>71161405</v>
      </c>
      <c r="B16368" s="76" t="s">
        <v>2555</v>
      </c>
    </row>
    <row r="16369" spans="1:2" x14ac:dyDescent="0.25">
      <c r="A16369" s="75">
        <v>71161407</v>
      </c>
      <c r="B16369" s="76" t="s">
        <v>18200</v>
      </c>
    </row>
    <row r="16370" spans="1:2" x14ac:dyDescent="0.25">
      <c r="A16370" s="75">
        <v>71161408</v>
      </c>
      <c r="B16370" s="76" t="s">
        <v>5168</v>
      </c>
    </row>
    <row r="16371" spans="1:2" x14ac:dyDescent="0.25">
      <c r="A16371" s="75">
        <v>71161409</v>
      </c>
      <c r="B16371" s="76" t="s">
        <v>11025</v>
      </c>
    </row>
    <row r="16372" spans="1:2" x14ac:dyDescent="0.25">
      <c r="A16372" s="75">
        <v>71161410</v>
      </c>
      <c r="B16372" s="76" t="s">
        <v>8668</v>
      </c>
    </row>
    <row r="16373" spans="1:2" x14ac:dyDescent="0.25">
      <c r="A16373" s="75">
        <v>71161411</v>
      </c>
      <c r="B16373" s="76" t="s">
        <v>2407</v>
      </c>
    </row>
    <row r="16374" spans="1:2" x14ac:dyDescent="0.25">
      <c r="A16374" s="75">
        <v>71161412</v>
      </c>
      <c r="B16374" s="76" t="s">
        <v>12375</v>
      </c>
    </row>
    <row r="16375" spans="1:2" x14ac:dyDescent="0.25">
      <c r="A16375" s="75">
        <v>71161413</v>
      </c>
      <c r="B16375" s="76" t="s">
        <v>15609</v>
      </c>
    </row>
    <row r="16376" spans="1:2" x14ac:dyDescent="0.25">
      <c r="A16376" s="75">
        <v>71161501</v>
      </c>
      <c r="B16376" s="76" t="s">
        <v>16278</v>
      </c>
    </row>
    <row r="16377" spans="1:2" x14ac:dyDescent="0.25">
      <c r="A16377" s="75">
        <v>71161502</v>
      </c>
      <c r="B16377" s="76" t="s">
        <v>12341</v>
      </c>
    </row>
    <row r="16378" spans="1:2" x14ac:dyDescent="0.25">
      <c r="A16378" s="75">
        <v>71161503</v>
      </c>
      <c r="B16378" s="76" t="s">
        <v>2763</v>
      </c>
    </row>
    <row r="16379" spans="1:2" x14ac:dyDescent="0.25">
      <c r="A16379" s="75">
        <v>71161504</v>
      </c>
      <c r="B16379" s="76" t="s">
        <v>11979</v>
      </c>
    </row>
    <row r="16380" spans="1:2" x14ac:dyDescent="0.25">
      <c r="A16380" s="75">
        <v>71161505</v>
      </c>
      <c r="B16380" s="76" t="s">
        <v>18174</v>
      </c>
    </row>
    <row r="16381" spans="1:2" x14ac:dyDescent="0.25">
      <c r="A16381" s="75">
        <v>72101501</v>
      </c>
      <c r="B16381" s="76" t="s">
        <v>14897</v>
      </c>
    </row>
    <row r="16382" spans="1:2" x14ac:dyDescent="0.25">
      <c r="A16382" s="75">
        <v>72101502</v>
      </c>
      <c r="B16382" s="76" t="s">
        <v>9669</v>
      </c>
    </row>
    <row r="16383" spans="1:2" x14ac:dyDescent="0.25">
      <c r="A16383" s="75">
        <v>72101503</v>
      </c>
      <c r="B16383" s="76" t="s">
        <v>19840</v>
      </c>
    </row>
    <row r="16384" spans="1:2" x14ac:dyDescent="0.25">
      <c r="A16384" s="75">
        <v>72101504</v>
      </c>
      <c r="B16384" s="76" t="s">
        <v>12444</v>
      </c>
    </row>
    <row r="16385" spans="1:2" x14ac:dyDescent="0.25">
      <c r="A16385" s="75">
        <v>72101505</v>
      </c>
      <c r="B16385" s="76" t="s">
        <v>1208</v>
      </c>
    </row>
    <row r="16386" spans="1:2" x14ac:dyDescent="0.25">
      <c r="A16386" s="75">
        <v>72101506</v>
      </c>
      <c r="B16386" s="76" t="s">
        <v>8806</v>
      </c>
    </row>
    <row r="16387" spans="1:2" x14ac:dyDescent="0.25">
      <c r="A16387" s="75">
        <v>72101601</v>
      </c>
      <c r="B16387" s="76" t="s">
        <v>9687</v>
      </c>
    </row>
    <row r="16388" spans="1:2" x14ac:dyDescent="0.25">
      <c r="A16388" s="75">
        <v>72101602</v>
      </c>
      <c r="B16388" s="76" t="s">
        <v>13160</v>
      </c>
    </row>
    <row r="16389" spans="1:2" x14ac:dyDescent="0.25">
      <c r="A16389" s="75">
        <v>72101603</v>
      </c>
      <c r="B16389" s="76" t="s">
        <v>1058</v>
      </c>
    </row>
    <row r="16390" spans="1:2" x14ac:dyDescent="0.25">
      <c r="A16390" s="75">
        <v>72101604</v>
      </c>
      <c r="B16390" s="76" t="s">
        <v>5709</v>
      </c>
    </row>
    <row r="16391" spans="1:2" x14ac:dyDescent="0.25">
      <c r="A16391" s="75">
        <v>72101605</v>
      </c>
      <c r="B16391" s="76" t="s">
        <v>4413</v>
      </c>
    </row>
    <row r="16392" spans="1:2" x14ac:dyDescent="0.25">
      <c r="A16392" s="75">
        <v>72101606</v>
      </c>
      <c r="B16392" s="76" t="s">
        <v>15090</v>
      </c>
    </row>
    <row r="16393" spans="1:2" x14ac:dyDescent="0.25">
      <c r="A16393" s="75">
        <v>72101607</v>
      </c>
      <c r="B16393" s="76" t="s">
        <v>14931</v>
      </c>
    </row>
    <row r="16394" spans="1:2" x14ac:dyDescent="0.25">
      <c r="A16394" s="75">
        <v>72101701</v>
      </c>
      <c r="B16394" s="76" t="s">
        <v>8507</v>
      </c>
    </row>
    <row r="16395" spans="1:2" x14ac:dyDescent="0.25">
      <c r="A16395" s="75">
        <v>72101702</v>
      </c>
      <c r="B16395" s="76" t="s">
        <v>14038</v>
      </c>
    </row>
    <row r="16396" spans="1:2" x14ac:dyDescent="0.25">
      <c r="A16396" s="75">
        <v>72101703</v>
      </c>
      <c r="B16396" s="76" t="s">
        <v>12588</v>
      </c>
    </row>
    <row r="16397" spans="1:2" x14ac:dyDescent="0.25">
      <c r="A16397" s="75">
        <v>72101704</v>
      </c>
      <c r="B16397" s="76" t="s">
        <v>12373</v>
      </c>
    </row>
    <row r="16398" spans="1:2" x14ac:dyDescent="0.25">
      <c r="A16398" s="75">
        <v>72101801</v>
      </c>
      <c r="B16398" s="76" t="s">
        <v>13481</v>
      </c>
    </row>
    <row r="16399" spans="1:2" x14ac:dyDescent="0.25">
      <c r="A16399" s="75">
        <v>72101802</v>
      </c>
      <c r="B16399" s="76" t="s">
        <v>19491</v>
      </c>
    </row>
    <row r="16400" spans="1:2" x14ac:dyDescent="0.25">
      <c r="A16400" s="75">
        <v>72101803</v>
      </c>
      <c r="B16400" s="76" t="s">
        <v>17345</v>
      </c>
    </row>
    <row r="16401" spans="1:2" x14ac:dyDescent="0.25">
      <c r="A16401" s="75">
        <v>72101901</v>
      </c>
      <c r="B16401" s="76" t="s">
        <v>18895</v>
      </c>
    </row>
    <row r="16402" spans="1:2" x14ac:dyDescent="0.25">
      <c r="A16402" s="75">
        <v>72101902</v>
      </c>
      <c r="B16402" s="76" t="s">
        <v>9080</v>
      </c>
    </row>
    <row r="16403" spans="1:2" x14ac:dyDescent="0.25">
      <c r="A16403" s="75">
        <v>72101903</v>
      </c>
      <c r="B16403" s="76" t="s">
        <v>13222</v>
      </c>
    </row>
    <row r="16404" spans="1:2" x14ac:dyDescent="0.25">
      <c r="A16404" s="75">
        <v>72102001</v>
      </c>
      <c r="B16404" s="76" t="s">
        <v>394</v>
      </c>
    </row>
    <row r="16405" spans="1:2" x14ac:dyDescent="0.25">
      <c r="A16405" s="75">
        <v>72102002</v>
      </c>
      <c r="B16405" s="76" t="s">
        <v>15790</v>
      </c>
    </row>
    <row r="16406" spans="1:2" x14ac:dyDescent="0.25">
      <c r="A16406" s="75">
        <v>72102003</v>
      </c>
      <c r="B16406" s="76" t="s">
        <v>19588</v>
      </c>
    </row>
    <row r="16407" spans="1:2" x14ac:dyDescent="0.25">
      <c r="A16407" s="75">
        <v>72102004</v>
      </c>
      <c r="B16407" s="76" t="s">
        <v>4607</v>
      </c>
    </row>
    <row r="16408" spans="1:2" x14ac:dyDescent="0.25">
      <c r="A16408" s="75">
        <v>72102005</v>
      </c>
      <c r="B16408" s="76" t="s">
        <v>12237</v>
      </c>
    </row>
    <row r="16409" spans="1:2" x14ac:dyDescent="0.25">
      <c r="A16409" s="75">
        <v>72102006</v>
      </c>
      <c r="B16409" s="76" t="s">
        <v>2478</v>
      </c>
    </row>
    <row r="16410" spans="1:2" x14ac:dyDescent="0.25">
      <c r="A16410" s="75">
        <v>72102101</v>
      </c>
      <c r="B16410" s="76" t="s">
        <v>11479</v>
      </c>
    </row>
    <row r="16411" spans="1:2" x14ac:dyDescent="0.25">
      <c r="A16411" s="75">
        <v>72102102</v>
      </c>
      <c r="B16411" s="76" t="s">
        <v>17832</v>
      </c>
    </row>
    <row r="16412" spans="1:2" x14ac:dyDescent="0.25">
      <c r="A16412" s="75">
        <v>72102103</v>
      </c>
      <c r="B16412" s="76" t="s">
        <v>1844</v>
      </c>
    </row>
    <row r="16413" spans="1:2" x14ac:dyDescent="0.25">
      <c r="A16413" s="75">
        <v>72102104</v>
      </c>
      <c r="B16413" s="76" t="s">
        <v>16565</v>
      </c>
    </row>
    <row r="16414" spans="1:2" x14ac:dyDescent="0.25">
      <c r="A16414" s="75">
        <v>72102105</v>
      </c>
      <c r="B16414" s="76" t="s">
        <v>1376</v>
      </c>
    </row>
    <row r="16415" spans="1:2" x14ac:dyDescent="0.25">
      <c r="A16415" s="75">
        <v>72102106</v>
      </c>
      <c r="B16415" s="76" t="s">
        <v>5737</v>
      </c>
    </row>
    <row r="16416" spans="1:2" x14ac:dyDescent="0.25">
      <c r="A16416" s="75">
        <v>72102201</v>
      </c>
      <c r="B16416" s="76" t="s">
        <v>17590</v>
      </c>
    </row>
    <row r="16417" spans="1:2" x14ac:dyDescent="0.25">
      <c r="A16417" s="75">
        <v>72102202</v>
      </c>
      <c r="B16417" s="76" t="s">
        <v>10601</v>
      </c>
    </row>
    <row r="16418" spans="1:2" x14ac:dyDescent="0.25">
      <c r="A16418" s="75">
        <v>72102203</v>
      </c>
      <c r="B16418" s="76" t="s">
        <v>18270</v>
      </c>
    </row>
    <row r="16419" spans="1:2" x14ac:dyDescent="0.25">
      <c r="A16419" s="75">
        <v>72102204</v>
      </c>
      <c r="B16419" s="76" t="s">
        <v>17892</v>
      </c>
    </row>
    <row r="16420" spans="1:2" x14ac:dyDescent="0.25">
      <c r="A16420" s="75">
        <v>72102205</v>
      </c>
      <c r="B16420" s="76" t="s">
        <v>10915</v>
      </c>
    </row>
    <row r="16421" spans="1:2" x14ac:dyDescent="0.25">
      <c r="A16421" s="75">
        <v>72102206</v>
      </c>
      <c r="B16421" s="76" t="s">
        <v>19318</v>
      </c>
    </row>
    <row r="16422" spans="1:2" x14ac:dyDescent="0.25">
      <c r="A16422" s="75">
        <v>72102207</v>
      </c>
      <c r="B16422" s="76" t="s">
        <v>19598</v>
      </c>
    </row>
    <row r="16423" spans="1:2" x14ac:dyDescent="0.25">
      <c r="A16423" s="75">
        <v>72102208</v>
      </c>
      <c r="B16423" s="76" t="s">
        <v>2034</v>
      </c>
    </row>
    <row r="16424" spans="1:2" x14ac:dyDescent="0.25">
      <c r="A16424" s="75">
        <v>72102209</v>
      </c>
      <c r="B16424" s="76" t="s">
        <v>4645</v>
      </c>
    </row>
    <row r="16425" spans="1:2" x14ac:dyDescent="0.25">
      <c r="A16425" s="75">
        <v>72102301</v>
      </c>
      <c r="B16425" s="76" t="s">
        <v>8609</v>
      </c>
    </row>
    <row r="16426" spans="1:2" x14ac:dyDescent="0.25">
      <c r="A16426" s="75">
        <v>72102302</v>
      </c>
      <c r="B16426" s="76" t="s">
        <v>6993</v>
      </c>
    </row>
    <row r="16427" spans="1:2" x14ac:dyDescent="0.25">
      <c r="A16427" s="75">
        <v>72102303</v>
      </c>
      <c r="B16427" s="76" t="s">
        <v>3330</v>
      </c>
    </row>
    <row r="16428" spans="1:2" x14ac:dyDescent="0.25">
      <c r="A16428" s="75">
        <v>72102304</v>
      </c>
      <c r="B16428" s="76" t="s">
        <v>18523</v>
      </c>
    </row>
    <row r="16429" spans="1:2" x14ac:dyDescent="0.25">
      <c r="A16429" s="75">
        <v>72102305</v>
      </c>
      <c r="B16429" s="76" t="s">
        <v>12010</v>
      </c>
    </row>
    <row r="16430" spans="1:2" x14ac:dyDescent="0.25">
      <c r="A16430" s="75">
        <v>72102401</v>
      </c>
      <c r="B16430" s="76" t="s">
        <v>10331</v>
      </c>
    </row>
    <row r="16431" spans="1:2" x14ac:dyDescent="0.25">
      <c r="A16431" s="75">
        <v>72102402</v>
      </c>
      <c r="B16431" s="76" t="s">
        <v>3690</v>
      </c>
    </row>
    <row r="16432" spans="1:2" x14ac:dyDescent="0.25">
      <c r="A16432" s="75">
        <v>72102403</v>
      </c>
      <c r="B16432" s="76" t="s">
        <v>5383</v>
      </c>
    </row>
    <row r="16433" spans="1:2" x14ac:dyDescent="0.25">
      <c r="A16433" s="75">
        <v>72102404</v>
      </c>
      <c r="B16433" s="76" t="s">
        <v>15620</v>
      </c>
    </row>
    <row r="16434" spans="1:2" x14ac:dyDescent="0.25">
      <c r="A16434" s="75">
        <v>72102405</v>
      </c>
      <c r="B16434" s="76" t="s">
        <v>17560</v>
      </c>
    </row>
    <row r="16435" spans="1:2" x14ac:dyDescent="0.25">
      <c r="A16435" s="75">
        <v>72102501</v>
      </c>
      <c r="B16435" s="76" t="s">
        <v>5067</v>
      </c>
    </row>
    <row r="16436" spans="1:2" x14ac:dyDescent="0.25">
      <c r="A16436" s="75">
        <v>72102502</v>
      </c>
      <c r="B16436" s="76" t="s">
        <v>20006</v>
      </c>
    </row>
    <row r="16437" spans="1:2" x14ac:dyDescent="0.25">
      <c r="A16437" s="75">
        <v>72102503</v>
      </c>
      <c r="B16437" s="76" t="s">
        <v>2680</v>
      </c>
    </row>
    <row r="16438" spans="1:2" x14ac:dyDescent="0.25">
      <c r="A16438" s="75">
        <v>72102504</v>
      </c>
      <c r="B16438" s="76" t="s">
        <v>10952</v>
      </c>
    </row>
    <row r="16439" spans="1:2" x14ac:dyDescent="0.25">
      <c r="A16439" s="75">
        <v>72102505</v>
      </c>
      <c r="B16439" s="76" t="s">
        <v>19875</v>
      </c>
    </row>
    <row r="16440" spans="1:2" x14ac:dyDescent="0.25">
      <c r="A16440" s="75">
        <v>72102506</v>
      </c>
      <c r="B16440" s="76" t="s">
        <v>10656</v>
      </c>
    </row>
    <row r="16441" spans="1:2" x14ac:dyDescent="0.25">
      <c r="A16441" s="75">
        <v>72102507</v>
      </c>
      <c r="B16441" s="76" t="s">
        <v>19357</v>
      </c>
    </row>
    <row r="16442" spans="1:2" x14ac:dyDescent="0.25">
      <c r="A16442" s="75">
        <v>72102508</v>
      </c>
      <c r="B16442" s="76" t="s">
        <v>19812</v>
      </c>
    </row>
    <row r="16443" spans="1:2" x14ac:dyDescent="0.25">
      <c r="A16443" s="75">
        <v>72102601</v>
      </c>
      <c r="B16443" s="76" t="s">
        <v>4881</v>
      </c>
    </row>
    <row r="16444" spans="1:2" x14ac:dyDescent="0.25">
      <c r="A16444" s="75">
        <v>72102602</v>
      </c>
      <c r="B16444" s="76" t="s">
        <v>18861</v>
      </c>
    </row>
    <row r="16445" spans="1:2" x14ac:dyDescent="0.25">
      <c r="A16445" s="75">
        <v>72102701</v>
      </c>
      <c r="B16445" s="76" t="s">
        <v>6114</v>
      </c>
    </row>
    <row r="16446" spans="1:2" x14ac:dyDescent="0.25">
      <c r="A16446" s="75">
        <v>72102702</v>
      </c>
      <c r="B16446" s="76" t="s">
        <v>15088</v>
      </c>
    </row>
    <row r="16447" spans="1:2" x14ac:dyDescent="0.25">
      <c r="A16447" s="75">
        <v>72102703</v>
      </c>
      <c r="B16447" s="76" t="s">
        <v>5995</v>
      </c>
    </row>
    <row r="16448" spans="1:2" x14ac:dyDescent="0.25">
      <c r="A16448" s="75">
        <v>72102801</v>
      </c>
      <c r="B16448" s="76" t="s">
        <v>10565</v>
      </c>
    </row>
    <row r="16449" spans="1:2" x14ac:dyDescent="0.25">
      <c r="A16449" s="75">
        <v>72102802</v>
      </c>
      <c r="B16449" s="76" t="s">
        <v>15459</v>
      </c>
    </row>
    <row r="16450" spans="1:2" x14ac:dyDescent="0.25">
      <c r="A16450" s="75">
        <v>72102901</v>
      </c>
      <c r="B16450" s="76" t="s">
        <v>7890</v>
      </c>
    </row>
    <row r="16451" spans="1:2" x14ac:dyDescent="0.25">
      <c r="A16451" s="75">
        <v>72102902</v>
      </c>
      <c r="B16451" s="76" t="s">
        <v>175</v>
      </c>
    </row>
    <row r="16452" spans="1:2" x14ac:dyDescent="0.25">
      <c r="A16452" s="75">
        <v>72102903</v>
      </c>
      <c r="B16452" s="76" t="s">
        <v>9598</v>
      </c>
    </row>
    <row r="16453" spans="1:2" x14ac:dyDescent="0.25">
      <c r="A16453" s="75">
        <v>72102904</v>
      </c>
      <c r="B16453" s="76" t="s">
        <v>10179</v>
      </c>
    </row>
    <row r="16454" spans="1:2" x14ac:dyDescent="0.25">
      <c r="A16454" s="75">
        <v>72102905</v>
      </c>
      <c r="B16454" s="76" t="s">
        <v>16345</v>
      </c>
    </row>
    <row r="16455" spans="1:2" x14ac:dyDescent="0.25">
      <c r="A16455" s="75">
        <v>72103001</v>
      </c>
      <c r="B16455" s="76" t="s">
        <v>19193</v>
      </c>
    </row>
    <row r="16456" spans="1:2" x14ac:dyDescent="0.25">
      <c r="A16456" s="75">
        <v>72103002</v>
      </c>
      <c r="B16456" s="76" t="s">
        <v>19871</v>
      </c>
    </row>
    <row r="16457" spans="1:2" x14ac:dyDescent="0.25">
      <c r="A16457" s="75">
        <v>72103003</v>
      </c>
      <c r="B16457" s="76" t="s">
        <v>14848</v>
      </c>
    </row>
    <row r="16458" spans="1:2" x14ac:dyDescent="0.25">
      <c r="A16458" s="75">
        <v>72103004</v>
      </c>
      <c r="B16458" s="76" t="s">
        <v>9561</v>
      </c>
    </row>
    <row r="16459" spans="1:2" x14ac:dyDescent="0.25">
      <c r="A16459" s="75">
        <v>72131501</v>
      </c>
      <c r="B16459" s="76" t="s">
        <v>7548</v>
      </c>
    </row>
    <row r="16460" spans="1:2" x14ac:dyDescent="0.25">
      <c r="A16460" s="75">
        <v>72131502</v>
      </c>
      <c r="B16460" s="76" t="s">
        <v>9397</v>
      </c>
    </row>
    <row r="16461" spans="1:2" x14ac:dyDescent="0.25">
      <c r="A16461" s="75">
        <v>72131601</v>
      </c>
      <c r="B16461" s="76" t="s">
        <v>19990</v>
      </c>
    </row>
    <row r="16462" spans="1:2" x14ac:dyDescent="0.25">
      <c r="A16462" s="75">
        <v>72131701</v>
      </c>
      <c r="B16462" s="76" t="s">
        <v>918</v>
      </c>
    </row>
    <row r="16463" spans="1:2" x14ac:dyDescent="0.25">
      <c r="A16463" s="75">
        <v>72131702</v>
      </c>
      <c r="B16463" s="76" t="s">
        <v>7880</v>
      </c>
    </row>
    <row r="16464" spans="1:2" x14ac:dyDescent="0.25">
      <c r="A16464" s="75">
        <v>73101501</v>
      </c>
      <c r="B16464" s="76" t="s">
        <v>18074</v>
      </c>
    </row>
    <row r="16465" spans="1:2" x14ac:dyDescent="0.25">
      <c r="A16465" s="75">
        <v>73101502</v>
      </c>
      <c r="B16465" s="76" t="s">
        <v>6785</v>
      </c>
    </row>
    <row r="16466" spans="1:2" x14ac:dyDescent="0.25">
      <c r="A16466" s="75">
        <v>73101503</v>
      </c>
      <c r="B16466" s="76" t="s">
        <v>11035</v>
      </c>
    </row>
    <row r="16467" spans="1:2" x14ac:dyDescent="0.25">
      <c r="A16467" s="75">
        <v>73101504</v>
      </c>
      <c r="B16467" s="76" t="s">
        <v>1774</v>
      </c>
    </row>
    <row r="16468" spans="1:2" x14ac:dyDescent="0.25">
      <c r="A16468" s="75">
        <v>73101505</v>
      </c>
      <c r="B16468" s="76" t="s">
        <v>18194</v>
      </c>
    </row>
    <row r="16469" spans="1:2" x14ac:dyDescent="0.25">
      <c r="A16469" s="75">
        <v>73101601</v>
      </c>
      <c r="B16469" s="76" t="s">
        <v>1737</v>
      </c>
    </row>
    <row r="16470" spans="1:2" x14ac:dyDescent="0.25">
      <c r="A16470" s="75">
        <v>73101602</v>
      </c>
      <c r="B16470" s="76" t="s">
        <v>10487</v>
      </c>
    </row>
    <row r="16471" spans="1:2" x14ac:dyDescent="0.25">
      <c r="A16471" s="75">
        <v>73101603</v>
      </c>
      <c r="B16471" s="76" t="s">
        <v>16542</v>
      </c>
    </row>
    <row r="16472" spans="1:2" x14ac:dyDescent="0.25">
      <c r="A16472" s="75">
        <v>73101604</v>
      </c>
      <c r="B16472" s="76" t="s">
        <v>12682</v>
      </c>
    </row>
    <row r="16473" spans="1:2" x14ac:dyDescent="0.25">
      <c r="A16473" s="75">
        <v>73101605</v>
      </c>
      <c r="B16473" s="76" t="s">
        <v>16932</v>
      </c>
    </row>
    <row r="16474" spans="1:2" x14ac:dyDescent="0.25">
      <c r="A16474" s="75">
        <v>73101606</v>
      </c>
      <c r="B16474" s="76" t="s">
        <v>3672</v>
      </c>
    </row>
    <row r="16475" spans="1:2" x14ac:dyDescent="0.25">
      <c r="A16475" s="75">
        <v>73101607</v>
      </c>
      <c r="B16475" s="76" t="s">
        <v>15882</v>
      </c>
    </row>
    <row r="16476" spans="1:2" x14ac:dyDescent="0.25">
      <c r="A16476" s="75">
        <v>73101608</v>
      </c>
      <c r="B16476" s="76" t="s">
        <v>6117</v>
      </c>
    </row>
    <row r="16477" spans="1:2" x14ac:dyDescent="0.25">
      <c r="A16477" s="75">
        <v>73101609</v>
      </c>
      <c r="B16477" s="76" t="s">
        <v>16659</v>
      </c>
    </row>
    <row r="16478" spans="1:2" x14ac:dyDescent="0.25">
      <c r="A16478" s="75">
        <v>73101610</v>
      </c>
      <c r="B16478" s="76" t="s">
        <v>13214</v>
      </c>
    </row>
    <row r="16479" spans="1:2" x14ac:dyDescent="0.25">
      <c r="A16479" s="75">
        <v>73101611</v>
      </c>
      <c r="B16479" s="76" t="s">
        <v>4240</v>
      </c>
    </row>
    <row r="16480" spans="1:2" x14ac:dyDescent="0.25">
      <c r="A16480" s="75">
        <v>73101612</v>
      </c>
      <c r="B16480" s="76" t="s">
        <v>2710</v>
      </c>
    </row>
    <row r="16481" spans="1:2" x14ac:dyDescent="0.25">
      <c r="A16481" s="75">
        <v>73101613</v>
      </c>
      <c r="B16481" s="76" t="s">
        <v>15832</v>
      </c>
    </row>
    <row r="16482" spans="1:2" x14ac:dyDescent="0.25">
      <c r="A16482" s="75">
        <v>73101614</v>
      </c>
      <c r="B16482" s="76" t="s">
        <v>4227</v>
      </c>
    </row>
    <row r="16483" spans="1:2" x14ac:dyDescent="0.25">
      <c r="A16483" s="75">
        <v>73101701</v>
      </c>
      <c r="B16483" s="76" t="s">
        <v>19901</v>
      </c>
    </row>
    <row r="16484" spans="1:2" x14ac:dyDescent="0.25">
      <c r="A16484" s="75">
        <v>73101702</v>
      </c>
      <c r="B16484" s="76" t="s">
        <v>1634</v>
      </c>
    </row>
    <row r="16485" spans="1:2" x14ac:dyDescent="0.25">
      <c r="A16485" s="75">
        <v>73101703</v>
      </c>
      <c r="B16485" s="76" t="s">
        <v>14831</v>
      </c>
    </row>
    <row r="16486" spans="1:2" x14ac:dyDescent="0.25">
      <c r="A16486" s="75">
        <v>73101801</v>
      </c>
      <c r="B16486" s="76" t="s">
        <v>11717</v>
      </c>
    </row>
    <row r="16487" spans="1:2" x14ac:dyDescent="0.25">
      <c r="A16487" s="75">
        <v>73101802</v>
      </c>
      <c r="B16487" s="76" t="s">
        <v>4646</v>
      </c>
    </row>
    <row r="16488" spans="1:2" x14ac:dyDescent="0.25">
      <c r="A16488" s="75">
        <v>73101901</v>
      </c>
      <c r="B16488" s="76" t="s">
        <v>5846</v>
      </c>
    </row>
    <row r="16489" spans="1:2" x14ac:dyDescent="0.25">
      <c r="A16489" s="75">
        <v>73101902</v>
      </c>
      <c r="B16489" s="76" t="s">
        <v>10166</v>
      </c>
    </row>
    <row r="16490" spans="1:2" x14ac:dyDescent="0.25">
      <c r="A16490" s="75">
        <v>73101903</v>
      </c>
      <c r="B16490" s="76" t="s">
        <v>10338</v>
      </c>
    </row>
    <row r="16491" spans="1:2" x14ac:dyDescent="0.25">
      <c r="A16491" s="75">
        <v>73111501</v>
      </c>
      <c r="B16491" s="76" t="s">
        <v>19613</v>
      </c>
    </row>
    <row r="16492" spans="1:2" x14ac:dyDescent="0.25">
      <c r="A16492" s="75">
        <v>73111502</v>
      </c>
      <c r="B16492" s="76" t="s">
        <v>7033</v>
      </c>
    </row>
    <row r="16493" spans="1:2" x14ac:dyDescent="0.25">
      <c r="A16493" s="75">
        <v>73111503</v>
      </c>
      <c r="B16493" s="76" t="s">
        <v>14965</v>
      </c>
    </row>
    <row r="16494" spans="1:2" x14ac:dyDescent="0.25">
      <c r="A16494" s="75">
        <v>73111504</v>
      </c>
      <c r="B16494" s="76" t="s">
        <v>15480</v>
      </c>
    </row>
    <row r="16495" spans="1:2" x14ac:dyDescent="0.25">
      <c r="A16495" s="75">
        <v>73111505</v>
      </c>
      <c r="B16495" s="76" t="s">
        <v>4273</v>
      </c>
    </row>
    <row r="16496" spans="1:2" x14ac:dyDescent="0.25">
      <c r="A16496" s="75">
        <v>73111506</v>
      </c>
      <c r="B16496" s="76" t="s">
        <v>14778</v>
      </c>
    </row>
    <row r="16497" spans="1:2" x14ac:dyDescent="0.25">
      <c r="A16497" s="75">
        <v>73111507</v>
      </c>
      <c r="B16497" s="76" t="s">
        <v>4537</v>
      </c>
    </row>
    <row r="16498" spans="1:2" x14ac:dyDescent="0.25">
      <c r="A16498" s="75">
        <v>73111601</v>
      </c>
      <c r="B16498" s="76" t="s">
        <v>6244</v>
      </c>
    </row>
    <row r="16499" spans="1:2" x14ac:dyDescent="0.25">
      <c r="A16499" s="75">
        <v>73111602</v>
      </c>
      <c r="B16499" s="76" t="s">
        <v>5471</v>
      </c>
    </row>
    <row r="16500" spans="1:2" x14ac:dyDescent="0.25">
      <c r="A16500" s="75">
        <v>73111603</v>
      </c>
      <c r="B16500" s="76" t="s">
        <v>8722</v>
      </c>
    </row>
    <row r="16501" spans="1:2" x14ac:dyDescent="0.25">
      <c r="A16501" s="75">
        <v>73111604</v>
      </c>
      <c r="B16501" s="76" t="s">
        <v>658</v>
      </c>
    </row>
    <row r="16502" spans="1:2" x14ac:dyDescent="0.25">
      <c r="A16502" s="75">
        <v>73121501</v>
      </c>
      <c r="B16502" s="76" t="s">
        <v>14278</v>
      </c>
    </row>
    <row r="16503" spans="1:2" x14ac:dyDescent="0.25">
      <c r="A16503" s="75">
        <v>73121502</v>
      </c>
      <c r="B16503" s="76" t="s">
        <v>5607</v>
      </c>
    </row>
    <row r="16504" spans="1:2" x14ac:dyDescent="0.25">
      <c r="A16504" s="75">
        <v>73121503</v>
      </c>
      <c r="B16504" s="76" t="s">
        <v>18329</v>
      </c>
    </row>
    <row r="16505" spans="1:2" x14ac:dyDescent="0.25">
      <c r="A16505" s="75">
        <v>73121504</v>
      </c>
      <c r="B16505" s="76" t="s">
        <v>17463</v>
      </c>
    </row>
    <row r="16506" spans="1:2" x14ac:dyDescent="0.25">
      <c r="A16506" s="75">
        <v>73121505</v>
      </c>
      <c r="B16506" s="76" t="s">
        <v>11887</v>
      </c>
    </row>
    <row r="16507" spans="1:2" x14ac:dyDescent="0.25">
      <c r="A16507" s="75">
        <v>73121506</v>
      </c>
      <c r="B16507" s="76" t="s">
        <v>14650</v>
      </c>
    </row>
    <row r="16508" spans="1:2" x14ac:dyDescent="0.25">
      <c r="A16508" s="75">
        <v>73121507</v>
      </c>
      <c r="B16508" s="76" t="s">
        <v>1484</v>
      </c>
    </row>
    <row r="16509" spans="1:2" x14ac:dyDescent="0.25">
      <c r="A16509" s="75">
        <v>73121508</v>
      </c>
      <c r="B16509" s="76" t="s">
        <v>6232</v>
      </c>
    </row>
    <row r="16510" spans="1:2" x14ac:dyDescent="0.25">
      <c r="A16510" s="75">
        <v>73121509</v>
      </c>
      <c r="B16510" s="76" t="s">
        <v>8778</v>
      </c>
    </row>
    <row r="16511" spans="1:2" x14ac:dyDescent="0.25">
      <c r="A16511" s="75">
        <v>73121601</v>
      </c>
      <c r="B16511" s="76" t="s">
        <v>11364</v>
      </c>
    </row>
    <row r="16512" spans="1:2" x14ac:dyDescent="0.25">
      <c r="A16512" s="75">
        <v>73121602</v>
      </c>
      <c r="B16512" s="76" t="s">
        <v>5534</v>
      </c>
    </row>
    <row r="16513" spans="1:2" x14ac:dyDescent="0.25">
      <c r="A16513" s="75">
        <v>73121603</v>
      </c>
      <c r="B16513" s="76" t="s">
        <v>190</v>
      </c>
    </row>
    <row r="16514" spans="1:2" x14ac:dyDescent="0.25">
      <c r="A16514" s="75">
        <v>73121606</v>
      </c>
      <c r="B16514" s="76" t="s">
        <v>13853</v>
      </c>
    </row>
    <row r="16515" spans="1:2" x14ac:dyDescent="0.25">
      <c r="A16515" s="75">
        <v>73121607</v>
      </c>
      <c r="B16515" s="76" t="s">
        <v>3901</v>
      </c>
    </row>
    <row r="16516" spans="1:2" x14ac:dyDescent="0.25">
      <c r="A16516" s="75">
        <v>73121608</v>
      </c>
      <c r="B16516" s="76" t="s">
        <v>15202</v>
      </c>
    </row>
    <row r="16517" spans="1:2" x14ac:dyDescent="0.25">
      <c r="A16517" s="75">
        <v>73121610</v>
      </c>
      <c r="B16517" s="76" t="s">
        <v>5534</v>
      </c>
    </row>
    <row r="16518" spans="1:2" x14ac:dyDescent="0.25">
      <c r="A16518" s="75">
        <v>73121611</v>
      </c>
      <c r="B16518" s="76" t="s">
        <v>5393</v>
      </c>
    </row>
    <row r="16519" spans="1:2" x14ac:dyDescent="0.25">
      <c r="A16519" s="75">
        <v>73121612</v>
      </c>
      <c r="B16519" s="76" t="s">
        <v>11310</v>
      </c>
    </row>
    <row r="16520" spans="1:2" x14ac:dyDescent="0.25">
      <c r="A16520" s="75">
        <v>73121613</v>
      </c>
      <c r="B16520" s="76" t="s">
        <v>6232</v>
      </c>
    </row>
    <row r="16521" spans="1:2" x14ac:dyDescent="0.25">
      <c r="A16521" s="75">
        <v>73121801</v>
      </c>
      <c r="B16521" s="76" t="s">
        <v>5194</v>
      </c>
    </row>
    <row r="16522" spans="1:2" x14ac:dyDescent="0.25">
      <c r="A16522" s="75">
        <v>73121802</v>
      </c>
      <c r="B16522" s="76" t="s">
        <v>16040</v>
      </c>
    </row>
    <row r="16523" spans="1:2" x14ac:dyDescent="0.25">
      <c r="A16523" s="75">
        <v>73121803</v>
      </c>
      <c r="B16523" s="76" t="s">
        <v>10665</v>
      </c>
    </row>
    <row r="16524" spans="1:2" x14ac:dyDescent="0.25">
      <c r="A16524" s="75">
        <v>73121804</v>
      </c>
      <c r="B16524" s="76" t="s">
        <v>15622</v>
      </c>
    </row>
    <row r="16525" spans="1:2" x14ac:dyDescent="0.25">
      <c r="A16525" s="75">
        <v>73121805</v>
      </c>
      <c r="B16525" s="76" t="s">
        <v>12918</v>
      </c>
    </row>
    <row r="16526" spans="1:2" x14ac:dyDescent="0.25">
      <c r="A16526" s="75">
        <v>73121806</v>
      </c>
      <c r="B16526" s="76" t="s">
        <v>5948</v>
      </c>
    </row>
    <row r="16527" spans="1:2" x14ac:dyDescent="0.25">
      <c r="A16527" s="75">
        <v>73121807</v>
      </c>
      <c r="B16527" s="76" t="s">
        <v>11147</v>
      </c>
    </row>
    <row r="16528" spans="1:2" x14ac:dyDescent="0.25">
      <c r="A16528" s="75">
        <v>73131501</v>
      </c>
      <c r="B16528" s="76" t="s">
        <v>18735</v>
      </c>
    </row>
    <row r="16529" spans="1:2" x14ac:dyDescent="0.25">
      <c r="A16529" s="75">
        <v>73131502</v>
      </c>
      <c r="B16529" s="76" t="s">
        <v>7078</v>
      </c>
    </row>
    <row r="16530" spans="1:2" x14ac:dyDescent="0.25">
      <c r="A16530" s="75">
        <v>73131503</v>
      </c>
      <c r="B16530" s="76" t="s">
        <v>15639</v>
      </c>
    </row>
    <row r="16531" spans="1:2" x14ac:dyDescent="0.25">
      <c r="A16531" s="75">
        <v>73131504</v>
      </c>
      <c r="B16531" s="76" t="s">
        <v>9938</v>
      </c>
    </row>
    <row r="16532" spans="1:2" x14ac:dyDescent="0.25">
      <c r="A16532" s="75">
        <v>73131505</v>
      </c>
      <c r="B16532" s="76" t="s">
        <v>18273</v>
      </c>
    </row>
    <row r="16533" spans="1:2" x14ac:dyDescent="0.25">
      <c r="A16533" s="75">
        <v>73131506</v>
      </c>
      <c r="B16533" s="76" t="s">
        <v>11048</v>
      </c>
    </row>
    <row r="16534" spans="1:2" x14ac:dyDescent="0.25">
      <c r="A16534" s="75">
        <v>73131507</v>
      </c>
      <c r="B16534" s="76" t="s">
        <v>18824</v>
      </c>
    </row>
    <row r="16535" spans="1:2" x14ac:dyDescent="0.25">
      <c r="A16535" s="75">
        <v>73131508</v>
      </c>
      <c r="B16535" s="76" t="s">
        <v>7288</v>
      </c>
    </row>
    <row r="16536" spans="1:2" x14ac:dyDescent="0.25">
      <c r="A16536" s="75">
        <v>73131601</v>
      </c>
      <c r="B16536" s="76" t="s">
        <v>5196</v>
      </c>
    </row>
    <row r="16537" spans="1:2" x14ac:dyDescent="0.25">
      <c r="A16537" s="75">
        <v>73131602</v>
      </c>
      <c r="B16537" s="76" t="s">
        <v>2639</v>
      </c>
    </row>
    <row r="16538" spans="1:2" x14ac:dyDescent="0.25">
      <c r="A16538" s="75">
        <v>73131603</v>
      </c>
      <c r="B16538" s="76" t="s">
        <v>138</v>
      </c>
    </row>
    <row r="16539" spans="1:2" x14ac:dyDescent="0.25">
      <c r="A16539" s="75">
        <v>73131604</v>
      </c>
      <c r="B16539" s="76" t="s">
        <v>1910</v>
      </c>
    </row>
    <row r="16540" spans="1:2" x14ac:dyDescent="0.25">
      <c r="A16540" s="75">
        <v>73131605</v>
      </c>
      <c r="B16540" s="76" t="s">
        <v>3715</v>
      </c>
    </row>
    <row r="16541" spans="1:2" x14ac:dyDescent="0.25">
      <c r="A16541" s="75">
        <v>73131606</v>
      </c>
      <c r="B16541" s="76" t="s">
        <v>379</v>
      </c>
    </row>
    <row r="16542" spans="1:2" x14ac:dyDescent="0.25">
      <c r="A16542" s="75">
        <v>73131607</v>
      </c>
      <c r="B16542" s="76" t="s">
        <v>1450</v>
      </c>
    </row>
    <row r="16543" spans="1:2" x14ac:dyDescent="0.25">
      <c r="A16543" s="75">
        <v>73131608</v>
      </c>
      <c r="B16543" s="76" t="s">
        <v>6496</v>
      </c>
    </row>
    <row r="16544" spans="1:2" x14ac:dyDescent="0.25">
      <c r="A16544" s="75">
        <v>73131701</v>
      </c>
      <c r="B16544" s="76" t="s">
        <v>12715</v>
      </c>
    </row>
    <row r="16545" spans="1:2" x14ac:dyDescent="0.25">
      <c r="A16545" s="75">
        <v>73131702</v>
      </c>
      <c r="B16545" s="76" t="s">
        <v>14401</v>
      </c>
    </row>
    <row r="16546" spans="1:2" x14ac:dyDescent="0.25">
      <c r="A16546" s="75">
        <v>73131703</v>
      </c>
      <c r="B16546" s="76" t="s">
        <v>14775</v>
      </c>
    </row>
    <row r="16547" spans="1:2" x14ac:dyDescent="0.25">
      <c r="A16547" s="75">
        <v>73131801</v>
      </c>
      <c r="B16547" s="76" t="s">
        <v>16784</v>
      </c>
    </row>
    <row r="16548" spans="1:2" x14ac:dyDescent="0.25">
      <c r="A16548" s="75">
        <v>73131802</v>
      </c>
      <c r="B16548" s="76" t="s">
        <v>4958</v>
      </c>
    </row>
    <row r="16549" spans="1:2" x14ac:dyDescent="0.25">
      <c r="A16549" s="75">
        <v>73131803</v>
      </c>
      <c r="B16549" s="76" t="s">
        <v>13232</v>
      </c>
    </row>
    <row r="16550" spans="1:2" x14ac:dyDescent="0.25">
      <c r="A16550" s="75">
        <v>73131804</v>
      </c>
      <c r="B16550" s="76" t="s">
        <v>3717</v>
      </c>
    </row>
    <row r="16551" spans="1:2" x14ac:dyDescent="0.25">
      <c r="A16551" s="75">
        <v>73131902</v>
      </c>
      <c r="B16551" s="76" t="s">
        <v>19691</v>
      </c>
    </row>
    <row r="16552" spans="1:2" x14ac:dyDescent="0.25">
      <c r="A16552" s="75">
        <v>73131903</v>
      </c>
      <c r="B16552" s="76" t="s">
        <v>7451</v>
      </c>
    </row>
    <row r="16553" spans="1:2" x14ac:dyDescent="0.25">
      <c r="A16553" s="75">
        <v>73131904</v>
      </c>
      <c r="B16553" s="76" t="s">
        <v>4634</v>
      </c>
    </row>
    <row r="16554" spans="1:2" x14ac:dyDescent="0.25">
      <c r="A16554" s="75">
        <v>73131905</v>
      </c>
      <c r="B16554" s="76" t="s">
        <v>6017</v>
      </c>
    </row>
    <row r="16555" spans="1:2" x14ac:dyDescent="0.25">
      <c r="A16555" s="75">
        <v>73131906</v>
      </c>
      <c r="B16555" s="76" t="s">
        <v>7305</v>
      </c>
    </row>
    <row r="16556" spans="1:2" x14ac:dyDescent="0.25">
      <c r="A16556" s="75">
        <v>73141501</v>
      </c>
      <c r="B16556" s="76" t="s">
        <v>17620</v>
      </c>
    </row>
    <row r="16557" spans="1:2" x14ac:dyDescent="0.25">
      <c r="A16557" s="75">
        <v>73141502</v>
      </c>
      <c r="B16557" s="76" t="s">
        <v>18596</v>
      </c>
    </row>
    <row r="16558" spans="1:2" x14ac:dyDescent="0.25">
      <c r="A16558" s="75">
        <v>73141503</v>
      </c>
      <c r="B16558" s="76" t="s">
        <v>6408</v>
      </c>
    </row>
    <row r="16559" spans="1:2" x14ac:dyDescent="0.25">
      <c r="A16559" s="75">
        <v>73141504</v>
      </c>
      <c r="B16559" s="76" t="s">
        <v>12342</v>
      </c>
    </row>
    <row r="16560" spans="1:2" x14ac:dyDescent="0.25">
      <c r="A16560" s="75">
        <v>73141505</v>
      </c>
      <c r="B16560" s="76" t="s">
        <v>16918</v>
      </c>
    </row>
    <row r="16561" spans="1:2" x14ac:dyDescent="0.25">
      <c r="A16561" s="75">
        <v>73141506</v>
      </c>
      <c r="B16561" s="76" t="s">
        <v>8203</v>
      </c>
    </row>
    <row r="16562" spans="1:2" x14ac:dyDescent="0.25">
      <c r="A16562" s="75">
        <v>73141507</v>
      </c>
      <c r="B16562" s="76" t="s">
        <v>4823</v>
      </c>
    </row>
    <row r="16563" spans="1:2" x14ac:dyDescent="0.25">
      <c r="A16563" s="75">
        <v>73141508</v>
      </c>
      <c r="B16563" s="76" t="s">
        <v>1215</v>
      </c>
    </row>
    <row r="16564" spans="1:2" x14ac:dyDescent="0.25">
      <c r="A16564" s="75">
        <v>73141601</v>
      </c>
      <c r="B16564" s="76" t="s">
        <v>5570</v>
      </c>
    </row>
    <row r="16565" spans="1:2" x14ac:dyDescent="0.25">
      <c r="A16565" s="75">
        <v>73141602</v>
      </c>
      <c r="B16565" s="76" t="s">
        <v>13737</v>
      </c>
    </row>
    <row r="16566" spans="1:2" x14ac:dyDescent="0.25">
      <c r="A16566" s="75">
        <v>73141701</v>
      </c>
      <c r="B16566" s="76" t="s">
        <v>2412</v>
      </c>
    </row>
    <row r="16567" spans="1:2" x14ac:dyDescent="0.25">
      <c r="A16567" s="75">
        <v>73141702</v>
      </c>
      <c r="B16567" s="76" t="s">
        <v>16217</v>
      </c>
    </row>
    <row r="16568" spans="1:2" x14ac:dyDescent="0.25">
      <c r="A16568" s="75">
        <v>73141703</v>
      </c>
      <c r="B16568" s="76" t="s">
        <v>17063</v>
      </c>
    </row>
    <row r="16569" spans="1:2" x14ac:dyDescent="0.25">
      <c r="A16569" s="75">
        <v>73141704</v>
      </c>
      <c r="B16569" s="76" t="s">
        <v>215</v>
      </c>
    </row>
    <row r="16570" spans="1:2" x14ac:dyDescent="0.25">
      <c r="A16570" s="75">
        <v>73141705</v>
      </c>
      <c r="B16570" s="76" t="s">
        <v>9010</v>
      </c>
    </row>
    <row r="16571" spans="1:2" x14ac:dyDescent="0.25">
      <c r="A16571" s="75">
        <v>73141706</v>
      </c>
      <c r="B16571" s="76" t="s">
        <v>232</v>
      </c>
    </row>
    <row r="16572" spans="1:2" x14ac:dyDescent="0.25">
      <c r="A16572" s="75">
        <v>73141707</v>
      </c>
      <c r="B16572" s="76" t="s">
        <v>18991</v>
      </c>
    </row>
    <row r="16573" spans="1:2" x14ac:dyDescent="0.25">
      <c r="A16573" s="75">
        <v>73141708</v>
      </c>
      <c r="B16573" s="76" t="s">
        <v>10507</v>
      </c>
    </row>
    <row r="16574" spans="1:2" x14ac:dyDescent="0.25">
      <c r="A16574" s="75">
        <v>73141709</v>
      </c>
      <c r="B16574" s="76" t="s">
        <v>3350</v>
      </c>
    </row>
    <row r="16575" spans="1:2" x14ac:dyDescent="0.25">
      <c r="A16575" s="75">
        <v>73141710</v>
      </c>
      <c r="B16575" s="76" t="s">
        <v>19205</v>
      </c>
    </row>
    <row r="16576" spans="1:2" x14ac:dyDescent="0.25">
      <c r="A16576" s="75">
        <v>73141711</v>
      </c>
      <c r="B16576" s="76" t="s">
        <v>14285</v>
      </c>
    </row>
    <row r="16577" spans="1:2" x14ac:dyDescent="0.25">
      <c r="A16577" s="75">
        <v>73141712</v>
      </c>
      <c r="B16577" s="76" t="s">
        <v>10103</v>
      </c>
    </row>
    <row r="16578" spans="1:2" x14ac:dyDescent="0.25">
      <c r="A16578" s="75">
        <v>73141713</v>
      </c>
      <c r="B16578" s="76" t="s">
        <v>11843</v>
      </c>
    </row>
    <row r="16579" spans="1:2" x14ac:dyDescent="0.25">
      <c r="A16579" s="75">
        <v>73141714</v>
      </c>
      <c r="B16579" s="76" t="s">
        <v>14902</v>
      </c>
    </row>
    <row r="16580" spans="1:2" x14ac:dyDescent="0.25">
      <c r="A16580" s="75">
        <v>73141715</v>
      </c>
      <c r="B16580" s="76" t="s">
        <v>18846</v>
      </c>
    </row>
    <row r="16581" spans="1:2" x14ac:dyDescent="0.25">
      <c r="A16581" s="75">
        <v>73151501</v>
      </c>
      <c r="B16581" s="76" t="s">
        <v>12684</v>
      </c>
    </row>
    <row r="16582" spans="1:2" x14ac:dyDescent="0.25">
      <c r="A16582" s="75">
        <v>73151502</v>
      </c>
      <c r="B16582" s="76" t="s">
        <v>18553</v>
      </c>
    </row>
    <row r="16583" spans="1:2" x14ac:dyDescent="0.25">
      <c r="A16583" s="75">
        <v>73151601</v>
      </c>
      <c r="B16583" s="76" t="s">
        <v>18679</v>
      </c>
    </row>
    <row r="16584" spans="1:2" x14ac:dyDescent="0.25">
      <c r="A16584" s="75">
        <v>73151602</v>
      </c>
      <c r="B16584" s="76" t="s">
        <v>15672</v>
      </c>
    </row>
    <row r="16585" spans="1:2" x14ac:dyDescent="0.25">
      <c r="A16585" s="75">
        <v>73151603</v>
      </c>
      <c r="B16585" s="76" t="s">
        <v>3507</v>
      </c>
    </row>
    <row r="16586" spans="1:2" x14ac:dyDescent="0.25">
      <c r="A16586" s="75">
        <v>73151604</v>
      </c>
      <c r="B16586" s="76" t="s">
        <v>15615</v>
      </c>
    </row>
    <row r="16587" spans="1:2" x14ac:dyDescent="0.25">
      <c r="A16587" s="75">
        <v>73151605</v>
      </c>
      <c r="B16587" s="76" t="s">
        <v>7778</v>
      </c>
    </row>
    <row r="16588" spans="1:2" x14ac:dyDescent="0.25">
      <c r="A16588" s="75">
        <v>73151606</v>
      </c>
      <c r="B16588" s="76" t="s">
        <v>16653</v>
      </c>
    </row>
    <row r="16589" spans="1:2" x14ac:dyDescent="0.25">
      <c r="A16589" s="75">
        <v>73151607</v>
      </c>
      <c r="B16589" s="76" t="s">
        <v>16524</v>
      </c>
    </row>
    <row r="16590" spans="1:2" x14ac:dyDescent="0.25">
      <c r="A16590" s="75">
        <v>73151701</v>
      </c>
      <c r="B16590" s="76" t="s">
        <v>19592</v>
      </c>
    </row>
    <row r="16591" spans="1:2" x14ac:dyDescent="0.25">
      <c r="A16591" s="75">
        <v>73151702</v>
      </c>
      <c r="B16591" s="76" t="s">
        <v>12693</v>
      </c>
    </row>
    <row r="16592" spans="1:2" x14ac:dyDescent="0.25">
      <c r="A16592" s="75">
        <v>73151703</v>
      </c>
      <c r="B16592" s="76" t="s">
        <v>1889</v>
      </c>
    </row>
    <row r="16593" spans="1:2" x14ac:dyDescent="0.25">
      <c r="A16593" s="75">
        <v>73151801</v>
      </c>
      <c r="B16593" s="76" t="s">
        <v>4596</v>
      </c>
    </row>
    <row r="16594" spans="1:2" x14ac:dyDescent="0.25">
      <c r="A16594" s="75">
        <v>73151802</v>
      </c>
      <c r="B16594" s="76" t="s">
        <v>3540</v>
      </c>
    </row>
    <row r="16595" spans="1:2" x14ac:dyDescent="0.25">
      <c r="A16595" s="75">
        <v>73151803</v>
      </c>
      <c r="B16595" s="76" t="s">
        <v>16518</v>
      </c>
    </row>
    <row r="16596" spans="1:2" x14ac:dyDescent="0.25">
      <c r="A16596" s="75">
        <v>73151804</v>
      </c>
      <c r="B16596" s="76" t="s">
        <v>6165</v>
      </c>
    </row>
    <row r="16597" spans="1:2" x14ac:dyDescent="0.25">
      <c r="A16597" s="75">
        <v>73151805</v>
      </c>
      <c r="B16597" s="76" t="s">
        <v>6127</v>
      </c>
    </row>
    <row r="16598" spans="1:2" x14ac:dyDescent="0.25">
      <c r="A16598" s="75">
        <v>73151901</v>
      </c>
      <c r="B16598" s="76" t="s">
        <v>4994</v>
      </c>
    </row>
    <row r="16599" spans="1:2" x14ac:dyDescent="0.25">
      <c r="A16599" s="75">
        <v>73151902</v>
      </c>
      <c r="B16599" s="76" t="s">
        <v>17926</v>
      </c>
    </row>
    <row r="16600" spans="1:2" x14ac:dyDescent="0.25">
      <c r="A16600" s="75">
        <v>73151903</v>
      </c>
      <c r="B16600" s="76" t="s">
        <v>8441</v>
      </c>
    </row>
    <row r="16601" spans="1:2" x14ac:dyDescent="0.25">
      <c r="A16601" s="75">
        <v>73151904</v>
      </c>
      <c r="B16601" s="76" t="s">
        <v>6644</v>
      </c>
    </row>
    <row r="16602" spans="1:2" x14ac:dyDescent="0.25">
      <c r="A16602" s="75">
        <v>73151905</v>
      </c>
      <c r="B16602" s="76" t="s">
        <v>14063</v>
      </c>
    </row>
    <row r="16603" spans="1:2" x14ac:dyDescent="0.25">
      <c r="A16603" s="75">
        <v>73151906</v>
      </c>
      <c r="B16603" s="76" t="s">
        <v>5509</v>
      </c>
    </row>
    <row r="16604" spans="1:2" x14ac:dyDescent="0.25">
      <c r="A16604" s="75">
        <v>73151907</v>
      </c>
      <c r="B16604" s="76" t="s">
        <v>2265</v>
      </c>
    </row>
    <row r="16605" spans="1:2" x14ac:dyDescent="0.25">
      <c r="A16605" s="75">
        <v>73152001</v>
      </c>
      <c r="B16605" s="76" t="s">
        <v>13202</v>
      </c>
    </row>
    <row r="16606" spans="1:2" x14ac:dyDescent="0.25">
      <c r="A16606" s="75">
        <v>73152002</v>
      </c>
      <c r="B16606" s="76" t="s">
        <v>17701</v>
      </c>
    </row>
    <row r="16607" spans="1:2" x14ac:dyDescent="0.25">
      <c r="A16607" s="75">
        <v>73152003</v>
      </c>
      <c r="B16607" s="76" t="s">
        <v>15377</v>
      </c>
    </row>
    <row r="16608" spans="1:2" x14ac:dyDescent="0.25">
      <c r="A16608" s="75">
        <v>73152004</v>
      </c>
      <c r="B16608" s="76" t="s">
        <v>10030</v>
      </c>
    </row>
    <row r="16609" spans="1:2" x14ac:dyDescent="0.25">
      <c r="A16609" s="75">
        <v>73152101</v>
      </c>
      <c r="B16609" s="76" t="s">
        <v>29</v>
      </c>
    </row>
    <row r="16610" spans="1:2" x14ac:dyDescent="0.25">
      <c r="A16610" s="75">
        <v>73152102</v>
      </c>
      <c r="B16610" s="76" t="s">
        <v>15512</v>
      </c>
    </row>
    <row r="16611" spans="1:2" x14ac:dyDescent="0.25">
      <c r="A16611" s="75">
        <v>73161501</v>
      </c>
      <c r="B16611" s="76" t="s">
        <v>15640</v>
      </c>
    </row>
    <row r="16612" spans="1:2" x14ac:dyDescent="0.25">
      <c r="A16612" s="75">
        <v>73161502</v>
      </c>
      <c r="B16612" s="76" t="s">
        <v>13327</v>
      </c>
    </row>
    <row r="16613" spans="1:2" x14ac:dyDescent="0.25">
      <c r="A16613" s="75">
        <v>73161503</v>
      </c>
      <c r="B16613" s="76" t="s">
        <v>17501</v>
      </c>
    </row>
    <row r="16614" spans="1:2" x14ac:dyDescent="0.25">
      <c r="A16614" s="75">
        <v>73161504</v>
      </c>
      <c r="B16614" s="76" t="s">
        <v>14312</v>
      </c>
    </row>
    <row r="16615" spans="1:2" x14ac:dyDescent="0.25">
      <c r="A16615" s="75">
        <v>73161505</v>
      </c>
      <c r="B16615" s="76" t="s">
        <v>3291</v>
      </c>
    </row>
    <row r="16616" spans="1:2" x14ac:dyDescent="0.25">
      <c r="A16616" s="75">
        <v>73161506</v>
      </c>
      <c r="B16616" s="76" t="s">
        <v>9728</v>
      </c>
    </row>
    <row r="16617" spans="1:2" x14ac:dyDescent="0.25">
      <c r="A16617" s="75">
        <v>73161507</v>
      </c>
      <c r="B16617" s="76" t="s">
        <v>19</v>
      </c>
    </row>
    <row r="16618" spans="1:2" x14ac:dyDescent="0.25">
      <c r="A16618" s="75">
        <v>73161508</v>
      </c>
      <c r="B16618" s="76" t="s">
        <v>3688</v>
      </c>
    </row>
    <row r="16619" spans="1:2" x14ac:dyDescent="0.25">
      <c r="A16619" s="75">
        <v>73161509</v>
      </c>
      <c r="B16619" s="76" t="s">
        <v>14750</v>
      </c>
    </row>
    <row r="16620" spans="1:2" x14ac:dyDescent="0.25">
      <c r="A16620" s="75">
        <v>73161510</v>
      </c>
      <c r="B16620" s="76" t="s">
        <v>5673</v>
      </c>
    </row>
    <row r="16621" spans="1:2" x14ac:dyDescent="0.25">
      <c r="A16621" s="75">
        <v>73161511</v>
      </c>
      <c r="B16621" s="76" t="s">
        <v>5321</v>
      </c>
    </row>
    <row r="16622" spans="1:2" x14ac:dyDescent="0.25">
      <c r="A16622" s="75">
        <v>73161512</v>
      </c>
      <c r="B16622" s="76" t="s">
        <v>6043</v>
      </c>
    </row>
    <row r="16623" spans="1:2" x14ac:dyDescent="0.25">
      <c r="A16623" s="75">
        <v>73161513</v>
      </c>
      <c r="B16623" s="76" t="s">
        <v>7606</v>
      </c>
    </row>
    <row r="16624" spans="1:2" x14ac:dyDescent="0.25">
      <c r="A16624" s="75">
        <v>73161514</v>
      </c>
      <c r="B16624" s="76" t="s">
        <v>16605</v>
      </c>
    </row>
    <row r="16625" spans="1:2" x14ac:dyDescent="0.25">
      <c r="A16625" s="75">
        <v>73161515</v>
      </c>
      <c r="B16625" s="76" t="s">
        <v>3204</v>
      </c>
    </row>
    <row r="16626" spans="1:2" x14ac:dyDescent="0.25">
      <c r="A16626" s="75">
        <v>73161516</v>
      </c>
      <c r="B16626" s="76" t="s">
        <v>11611</v>
      </c>
    </row>
    <row r="16627" spans="1:2" x14ac:dyDescent="0.25">
      <c r="A16627" s="75">
        <v>73161517</v>
      </c>
      <c r="B16627" s="76" t="s">
        <v>18075</v>
      </c>
    </row>
    <row r="16628" spans="1:2" x14ac:dyDescent="0.25">
      <c r="A16628" s="75">
        <v>73161518</v>
      </c>
      <c r="B16628" s="76" t="s">
        <v>14689</v>
      </c>
    </row>
    <row r="16629" spans="1:2" x14ac:dyDescent="0.25">
      <c r="A16629" s="75">
        <v>73161519</v>
      </c>
      <c r="B16629" s="76" t="s">
        <v>14298</v>
      </c>
    </row>
    <row r="16630" spans="1:2" x14ac:dyDescent="0.25">
      <c r="A16630" s="75">
        <v>73161601</v>
      </c>
      <c r="B16630" s="76" t="s">
        <v>2131</v>
      </c>
    </row>
    <row r="16631" spans="1:2" x14ac:dyDescent="0.25">
      <c r="A16631" s="75">
        <v>73161602</v>
      </c>
      <c r="B16631" s="76" t="s">
        <v>1212</v>
      </c>
    </row>
    <row r="16632" spans="1:2" x14ac:dyDescent="0.25">
      <c r="A16632" s="75">
        <v>73161603</v>
      </c>
      <c r="B16632" s="76" t="s">
        <v>2251</v>
      </c>
    </row>
    <row r="16633" spans="1:2" x14ac:dyDescent="0.25">
      <c r="A16633" s="75">
        <v>73161604</v>
      </c>
      <c r="B16633" s="76" t="s">
        <v>7178</v>
      </c>
    </row>
    <row r="16634" spans="1:2" x14ac:dyDescent="0.25">
      <c r="A16634" s="75">
        <v>73161605</v>
      </c>
      <c r="B16634" s="76" t="s">
        <v>6632</v>
      </c>
    </row>
    <row r="16635" spans="1:2" x14ac:dyDescent="0.25">
      <c r="A16635" s="75">
        <v>73161606</v>
      </c>
      <c r="B16635" s="76" t="s">
        <v>11193</v>
      </c>
    </row>
    <row r="16636" spans="1:2" x14ac:dyDescent="0.25">
      <c r="A16636" s="75">
        <v>73161607</v>
      </c>
      <c r="B16636" s="76" t="s">
        <v>724</v>
      </c>
    </row>
    <row r="16637" spans="1:2" x14ac:dyDescent="0.25">
      <c r="A16637" s="75">
        <v>73171501</v>
      </c>
      <c r="B16637" s="76" t="s">
        <v>16848</v>
      </c>
    </row>
    <row r="16638" spans="1:2" x14ac:dyDescent="0.25">
      <c r="A16638" s="75">
        <v>73171502</v>
      </c>
      <c r="B16638" s="76" t="s">
        <v>19207</v>
      </c>
    </row>
    <row r="16639" spans="1:2" x14ac:dyDescent="0.25">
      <c r="A16639" s="75">
        <v>73171503</v>
      </c>
      <c r="B16639" s="76" t="s">
        <v>2316</v>
      </c>
    </row>
    <row r="16640" spans="1:2" x14ac:dyDescent="0.25">
      <c r="A16640" s="75">
        <v>73171504</v>
      </c>
      <c r="B16640" s="76" t="s">
        <v>9069</v>
      </c>
    </row>
    <row r="16641" spans="1:2" x14ac:dyDescent="0.25">
      <c r="A16641" s="75">
        <v>73171505</v>
      </c>
      <c r="B16641" s="76" t="s">
        <v>15931</v>
      </c>
    </row>
    <row r="16642" spans="1:2" x14ac:dyDescent="0.25">
      <c r="A16642" s="75">
        <v>73171506</v>
      </c>
      <c r="B16642" s="76" t="s">
        <v>9572</v>
      </c>
    </row>
    <row r="16643" spans="1:2" x14ac:dyDescent="0.25">
      <c r="A16643" s="75">
        <v>73171507</v>
      </c>
      <c r="B16643" s="76" t="s">
        <v>14590</v>
      </c>
    </row>
    <row r="16644" spans="1:2" x14ac:dyDescent="0.25">
      <c r="A16644" s="75">
        <v>73171508</v>
      </c>
      <c r="B16644" s="76" t="s">
        <v>19814</v>
      </c>
    </row>
    <row r="16645" spans="1:2" x14ac:dyDescent="0.25">
      <c r="A16645" s="75">
        <v>73171510</v>
      </c>
      <c r="B16645" s="76" t="s">
        <v>19628</v>
      </c>
    </row>
    <row r="16646" spans="1:2" x14ac:dyDescent="0.25">
      <c r="A16646" s="75">
        <v>73171511</v>
      </c>
      <c r="B16646" s="76" t="s">
        <v>6648</v>
      </c>
    </row>
    <row r="16647" spans="1:2" x14ac:dyDescent="0.25">
      <c r="A16647" s="75">
        <v>73171512</v>
      </c>
      <c r="B16647" s="76" t="s">
        <v>6280</v>
      </c>
    </row>
    <row r="16648" spans="1:2" x14ac:dyDescent="0.25">
      <c r="A16648" s="75">
        <v>73171601</v>
      </c>
      <c r="B16648" s="76" t="s">
        <v>5470</v>
      </c>
    </row>
    <row r="16649" spans="1:2" x14ac:dyDescent="0.25">
      <c r="A16649" s="75">
        <v>73171602</v>
      </c>
      <c r="B16649" s="76" t="s">
        <v>4678</v>
      </c>
    </row>
    <row r="16650" spans="1:2" x14ac:dyDescent="0.25">
      <c r="A16650" s="75">
        <v>73171603</v>
      </c>
      <c r="B16650" s="76" t="s">
        <v>17443</v>
      </c>
    </row>
    <row r="16651" spans="1:2" x14ac:dyDescent="0.25">
      <c r="A16651" s="75">
        <v>73171604</v>
      </c>
      <c r="B16651" s="76" t="s">
        <v>15009</v>
      </c>
    </row>
    <row r="16652" spans="1:2" x14ac:dyDescent="0.25">
      <c r="A16652" s="75">
        <v>73171605</v>
      </c>
      <c r="B16652" s="76" t="s">
        <v>18369</v>
      </c>
    </row>
    <row r="16653" spans="1:2" x14ac:dyDescent="0.25">
      <c r="A16653" s="75">
        <v>73181001</v>
      </c>
      <c r="B16653" s="76" t="s">
        <v>17235</v>
      </c>
    </row>
    <row r="16654" spans="1:2" x14ac:dyDescent="0.25">
      <c r="A16654" s="75">
        <v>73181002</v>
      </c>
      <c r="B16654" s="76" t="s">
        <v>8755</v>
      </c>
    </row>
    <row r="16655" spans="1:2" x14ac:dyDescent="0.25">
      <c r="A16655" s="75">
        <v>73181003</v>
      </c>
      <c r="B16655" s="76" t="s">
        <v>14528</v>
      </c>
    </row>
    <row r="16656" spans="1:2" x14ac:dyDescent="0.25">
      <c r="A16656" s="75">
        <v>73181004</v>
      </c>
      <c r="B16656" s="76" t="s">
        <v>15602</v>
      </c>
    </row>
    <row r="16657" spans="1:2" x14ac:dyDescent="0.25">
      <c r="A16657" s="75">
        <v>73181005</v>
      </c>
      <c r="B16657" s="76" t="s">
        <v>2147</v>
      </c>
    </row>
    <row r="16658" spans="1:2" x14ac:dyDescent="0.25">
      <c r="A16658" s="75">
        <v>73181006</v>
      </c>
      <c r="B16658" s="76" t="s">
        <v>12499</v>
      </c>
    </row>
    <row r="16659" spans="1:2" x14ac:dyDescent="0.25">
      <c r="A16659" s="75">
        <v>73181007</v>
      </c>
      <c r="B16659" s="76" t="s">
        <v>9193</v>
      </c>
    </row>
    <row r="16660" spans="1:2" x14ac:dyDescent="0.25">
      <c r="A16660" s="75">
        <v>73181008</v>
      </c>
      <c r="B16660" s="76" t="s">
        <v>11413</v>
      </c>
    </row>
    <row r="16661" spans="1:2" x14ac:dyDescent="0.25">
      <c r="A16661" s="75">
        <v>73181009</v>
      </c>
      <c r="B16661" s="76" t="s">
        <v>287</v>
      </c>
    </row>
    <row r="16662" spans="1:2" x14ac:dyDescent="0.25">
      <c r="A16662" s="75">
        <v>73181010</v>
      </c>
      <c r="B16662" s="76" t="s">
        <v>15445</v>
      </c>
    </row>
    <row r="16663" spans="1:2" x14ac:dyDescent="0.25">
      <c r="A16663" s="75">
        <v>73181011</v>
      </c>
      <c r="B16663" s="76" t="s">
        <v>9667</v>
      </c>
    </row>
    <row r="16664" spans="1:2" x14ac:dyDescent="0.25">
      <c r="A16664" s="75">
        <v>73181012</v>
      </c>
      <c r="B16664" s="76" t="s">
        <v>11767</v>
      </c>
    </row>
    <row r="16665" spans="1:2" x14ac:dyDescent="0.25">
      <c r="A16665" s="75">
        <v>73181013</v>
      </c>
      <c r="B16665" s="76" t="s">
        <v>3625</v>
      </c>
    </row>
    <row r="16666" spans="1:2" x14ac:dyDescent="0.25">
      <c r="A16666" s="75">
        <v>73181014</v>
      </c>
      <c r="B16666" s="76" t="s">
        <v>233</v>
      </c>
    </row>
    <row r="16667" spans="1:2" x14ac:dyDescent="0.25">
      <c r="A16667" s="75">
        <v>73181015</v>
      </c>
      <c r="B16667" s="76" t="s">
        <v>8181</v>
      </c>
    </row>
    <row r="16668" spans="1:2" x14ac:dyDescent="0.25">
      <c r="A16668" s="75">
        <v>73181016</v>
      </c>
      <c r="B16668" s="76" t="s">
        <v>14334</v>
      </c>
    </row>
    <row r="16669" spans="1:2" x14ac:dyDescent="0.25">
      <c r="A16669" s="75">
        <v>73181017</v>
      </c>
      <c r="B16669" s="76" t="s">
        <v>12480</v>
      </c>
    </row>
    <row r="16670" spans="1:2" x14ac:dyDescent="0.25">
      <c r="A16670" s="75">
        <v>73181018</v>
      </c>
      <c r="B16670" s="76" t="s">
        <v>16612</v>
      </c>
    </row>
    <row r="16671" spans="1:2" x14ac:dyDescent="0.25">
      <c r="A16671" s="75">
        <v>73181019</v>
      </c>
      <c r="B16671" s="76" t="s">
        <v>15385</v>
      </c>
    </row>
    <row r="16672" spans="1:2" x14ac:dyDescent="0.25">
      <c r="A16672" s="75">
        <v>73181020</v>
      </c>
      <c r="B16672" s="76" t="s">
        <v>361</v>
      </c>
    </row>
    <row r="16673" spans="1:2" x14ac:dyDescent="0.25">
      <c r="A16673" s="75">
        <v>73181021</v>
      </c>
      <c r="B16673" s="76" t="s">
        <v>11767</v>
      </c>
    </row>
    <row r="16674" spans="1:2" x14ac:dyDescent="0.25">
      <c r="A16674" s="75">
        <v>73181022</v>
      </c>
      <c r="B16674" s="76" t="s">
        <v>16817</v>
      </c>
    </row>
    <row r="16675" spans="1:2" x14ac:dyDescent="0.25">
      <c r="A16675" s="75">
        <v>73181023</v>
      </c>
      <c r="B16675" s="76" t="s">
        <v>9015</v>
      </c>
    </row>
    <row r="16676" spans="1:2" x14ac:dyDescent="0.25">
      <c r="A16676" s="75">
        <v>73181101</v>
      </c>
      <c r="B16676" s="76" t="s">
        <v>12370</v>
      </c>
    </row>
    <row r="16677" spans="1:2" x14ac:dyDescent="0.25">
      <c r="A16677" s="75">
        <v>73181102</v>
      </c>
      <c r="B16677" s="76" t="s">
        <v>12594</v>
      </c>
    </row>
    <row r="16678" spans="1:2" x14ac:dyDescent="0.25">
      <c r="A16678" s="75">
        <v>73181103</v>
      </c>
      <c r="B16678" s="76" t="s">
        <v>15051</v>
      </c>
    </row>
    <row r="16679" spans="1:2" x14ac:dyDescent="0.25">
      <c r="A16679" s="75">
        <v>73181104</v>
      </c>
      <c r="B16679" s="76" t="s">
        <v>19123</v>
      </c>
    </row>
    <row r="16680" spans="1:2" x14ac:dyDescent="0.25">
      <c r="A16680" s="75">
        <v>73181105</v>
      </c>
      <c r="B16680" s="76" t="s">
        <v>6629</v>
      </c>
    </row>
    <row r="16681" spans="1:2" x14ac:dyDescent="0.25">
      <c r="A16681" s="75">
        <v>73181106</v>
      </c>
      <c r="B16681" s="76" t="s">
        <v>892</v>
      </c>
    </row>
    <row r="16682" spans="1:2" x14ac:dyDescent="0.25">
      <c r="A16682" s="75">
        <v>73181201</v>
      </c>
      <c r="B16682" s="76" t="s">
        <v>16320</v>
      </c>
    </row>
    <row r="16683" spans="1:2" x14ac:dyDescent="0.25">
      <c r="A16683" s="75">
        <v>73181202</v>
      </c>
      <c r="B16683" s="76" t="s">
        <v>4458</v>
      </c>
    </row>
    <row r="16684" spans="1:2" x14ac:dyDescent="0.25">
      <c r="A16684" s="75">
        <v>73181203</v>
      </c>
      <c r="B16684" s="76" t="s">
        <v>7165</v>
      </c>
    </row>
    <row r="16685" spans="1:2" x14ac:dyDescent="0.25">
      <c r="A16685" s="75">
        <v>73181204</v>
      </c>
      <c r="B16685" s="76" t="s">
        <v>3063</v>
      </c>
    </row>
    <row r="16686" spans="1:2" x14ac:dyDescent="0.25">
      <c r="A16686" s="75">
        <v>73181205</v>
      </c>
      <c r="B16686" s="76" t="s">
        <v>19965</v>
      </c>
    </row>
    <row r="16687" spans="1:2" x14ac:dyDescent="0.25">
      <c r="A16687" s="75">
        <v>73181206</v>
      </c>
      <c r="B16687" s="76" t="s">
        <v>6561</v>
      </c>
    </row>
    <row r="16688" spans="1:2" x14ac:dyDescent="0.25">
      <c r="A16688" s="75">
        <v>73181301</v>
      </c>
      <c r="B16688" s="76" t="s">
        <v>6669</v>
      </c>
    </row>
    <row r="16689" spans="1:2" x14ac:dyDescent="0.25">
      <c r="A16689" s="75">
        <v>73181302</v>
      </c>
      <c r="B16689" s="76" t="s">
        <v>7510</v>
      </c>
    </row>
    <row r="16690" spans="1:2" x14ac:dyDescent="0.25">
      <c r="A16690" s="75">
        <v>73181303</v>
      </c>
      <c r="B16690" s="76" t="s">
        <v>11994</v>
      </c>
    </row>
    <row r="16691" spans="1:2" x14ac:dyDescent="0.25">
      <c r="A16691" s="75">
        <v>73181304</v>
      </c>
      <c r="B16691" s="76" t="s">
        <v>13590</v>
      </c>
    </row>
    <row r="16692" spans="1:2" x14ac:dyDescent="0.25">
      <c r="A16692" s="75">
        <v>73181901</v>
      </c>
      <c r="B16692" s="76" t="s">
        <v>6685</v>
      </c>
    </row>
    <row r="16693" spans="1:2" x14ac:dyDescent="0.25">
      <c r="A16693" s="75">
        <v>73181902</v>
      </c>
      <c r="B16693" s="76" t="s">
        <v>16188</v>
      </c>
    </row>
    <row r="16694" spans="1:2" x14ac:dyDescent="0.25">
      <c r="A16694" s="75">
        <v>73181903</v>
      </c>
      <c r="B16694" s="76" t="s">
        <v>11212</v>
      </c>
    </row>
    <row r="16695" spans="1:2" x14ac:dyDescent="0.25">
      <c r="A16695" s="75">
        <v>73181904</v>
      </c>
      <c r="B16695" s="76" t="s">
        <v>7661</v>
      </c>
    </row>
    <row r="16696" spans="1:2" x14ac:dyDescent="0.25">
      <c r="A16696" s="75">
        <v>73181905</v>
      </c>
      <c r="B16696" s="76" t="s">
        <v>15352</v>
      </c>
    </row>
    <row r="16697" spans="1:2" x14ac:dyDescent="0.25">
      <c r="A16697" s="75">
        <v>73181906</v>
      </c>
      <c r="B16697" s="76" t="s">
        <v>2000</v>
      </c>
    </row>
    <row r="16698" spans="1:2" x14ac:dyDescent="0.25">
      <c r="A16698" s="75">
        <v>73181907</v>
      </c>
      <c r="B16698" s="76" t="s">
        <v>5917</v>
      </c>
    </row>
    <row r="16699" spans="1:2" x14ac:dyDescent="0.25">
      <c r="A16699" s="75">
        <v>73181908</v>
      </c>
      <c r="B16699" s="76" t="s">
        <v>16822</v>
      </c>
    </row>
    <row r="16700" spans="1:2" x14ac:dyDescent="0.25">
      <c r="A16700" s="75">
        <v>76101501</v>
      </c>
      <c r="B16700" s="76" t="s">
        <v>972</v>
      </c>
    </row>
    <row r="16701" spans="1:2" x14ac:dyDescent="0.25">
      <c r="A16701" s="75">
        <v>76101502</v>
      </c>
      <c r="B16701" s="76" t="s">
        <v>9509</v>
      </c>
    </row>
    <row r="16702" spans="1:2" x14ac:dyDescent="0.25">
      <c r="A16702" s="75">
        <v>76101503</v>
      </c>
      <c r="B16702" s="76" t="s">
        <v>18053</v>
      </c>
    </row>
    <row r="16703" spans="1:2" x14ac:dyDescent="0.25">
      <c r="A16703" s="75">
        <v>76101601</v>
      </c>
      <c r="B16703" s="76" t="s">
        <v>12140</v>
      </c>
    </row>
    <row r="16704" spans="1:2" x14ac:dyDescent="0.25">
      <c r="A16704" s="75">
        <v>76101602</v>
      </c>
      <c r="B16704" s="76" t="s">
        <v>13718</v>
      </c>
    </row>
    <row r="16705" spans="1:2" x14ac:dyDescent="0.25">
      <c r="A16705" s="75">
        <v>76111501</v>
      </c>
      <c r="B16705" s="76" t="s">
        <v>20068</v>
      </c>
    </row>
    <row r="16706" spans="1:2" x14ac:dyDescent="0.25">
      <c r="A16706" s="75">
        <v>76111503</v>
      </c>
      <c r="B16706" s="76" t="s">
        <v>1451</v>
      </c>
    </row>
    <row r="16707" spans="1:2" x14ac:dyDescent="0.25">
      <c r="A16707" s="75">
        <v>76111504</v>
      </c>
      <c r="B16707" s="76" t="s">
        <v>17688</v>
      </c>
    </row>
    <row r="16708" spans="1:2" x14ac:dyDescent="0.25">
      <c r="A16708" s="75">
        <v>76111505</v>
      </c>
      <c r="B16708" s="76" t="s">
        <v>2658</v>
      </c>
    </row>
    <row r="16709" spans="1:2" x14ac:dyDescent="0.25">
      <c r="A16709" s="75">
        <v>76111601</v>
      </c>
      <c r="B16709" s="76" t="s">
        <v>10456</v>
      </c>
    </row>
    <row r="16710" spans="1:2" x14ac:dyDescent="0.25">
      <c r="A16710" s="75">
        <v>76111602</v>
      </c>
      <c r="B16710" s="76" t="s">
        <v>19112</v>
      </c>
    </row>
    <row r="16711" spans="1:2" x14ac:dyDescent="0.25">
      <c r="A16711" s="75">
        <v>76111603</v>
      </c>
      <c r="B16711" s="76" t="s">
        <v>9026</v>
      </c>
    </row>
    <row r="16712" spans="1:2" x14ac:dyDescent="0.25">
      <c r="A16712" s="75">
        <v>76111604</v>
      </c>
      <c r="B16712" s="76" t="s">
        <v>1194</v>
      </c>
    </row>
    <row r="16713" spans="1:2" x14ac:dyDescent="0.25">
      <c r="A16713" s="75">
        <v>76111605</v>
      </c>
      <c r="B16713" s="76" t="s">
        <v>5331</v>
      </c>
    </row>
    <row r="16714" spans="1:2" x14ac:dyDescent="0.25">
      <c r="A16714" s="75">
        <v>76111701</v>
      </c>
      <c r="B16714" s="76" t="s">
        <v>18352</v>
      </c>
    </row>
    <row r="16715" spans="1:2" x14ac:dyDescent="0.25">
      <c r="A16715" s="75">
        <v>76111702</v>
      </c>
      <c r="B16715" s="76" t="s">
        <v>17397</v>
      </c>
    </row>
    <row r="16716" spans="1:2" x14ac:dyDescent="0.25">
      <c r="A16716" s="75">
        <v>76111801</v>
      </c>
      <c r="B16716" s="76" t="s">
        <v>11665</v>
      </c>
    </row>
    <row r="16717" spans="1:2" x14ac:dyDescent="0.25">
      <c r="A16717" s="75">
        <v>76121501</v>
      </c>
      <c r="B16717" s="76" t="s">
        <v>6041</v>
      </c>
    </row>
    <row r="16718" spans="1:2" x14ac:dyDescent="0.25">
      <c r="A16718" s="75">
        <v>76121502</v>
      </c>
      <c r="B16718" s="76" t="s">
        <v>6389</v>
      </c>
    </row>
    <row r="16719" spans="1:2" x14ac:dyDescent="0.25">
      <c r="A16719" s="75">
        <v>76121503</v>
      </c>
      <c r="B16719" s="76" t="s">
        <v>8013</v>
      </c>
    </row>
    <row r="16720" spans="1:2" x14ac:dyDescent="0.25">
      <c r="A16720" s="75">
        <v>76121601</v>
      </c>
      <c r="B16720" s="76" t="s">
        <v>3702</v>
      </c>
    </row>
    <row r="16721" spans="1:2" x14ac:dyDescent="0.25">
      <c r="A16721" s="75">
        <v>76121602</v>
      </c>
      <c r="B16721" s="76" t="s">
        <v>4936</v>
      </c>
    </row>
    <row r="16722" spans="1:2" x14ac:dyDescent="0.25">
      <c r="A16722" s="75">
        <v>76121603</v>
      </c>
      <c r="B16722" s="76" t="s">
        <v>10305</v>
      </c>
    </row>
    <row r="16723" spans="1:2" x14ac:dyDescent="0.25">
      <c r="A16723" s="75">
        <v>76121604</v>
      </c>
      <c r="B16723" s="76" t="s">
        <v>19895</v>
      </c>
    </row>
    <row r="16724" spans="1:2" x14ac:dyDescent="0.25">
      <c r="A16724" s="75">
        <v>76121701</v>
      </c>
      <c r="B16724" s="76" t="s">
        <v>11520</v>
      </c>
    </row>
    <row r="16725" spans="1:2" x14ac:dyDescent="0.25">
      <c r="A16725" s="75">
        <v>76121702</v>
      </c>
      <c r="B16725" s="76" t="s">
        <v>9976</v>
      </c>
    </row>
    <row r="16726" spans="1:2" x14ac:dyDescent="0.25">
      <c r="A16726" s="75">
        <v>76121801</v>
      </c>
      <c r="B16726" s="76" t="s">
        <v>9897</v>
      </c>
    </row>
    <row r="16727" spans="1:2" x14ac:dyDescent="0.25">
      <c r="A16727" s="75">
        <v>76121901</v>
      </c>
      <c r="B16727" s="76" t="s">
        <v>18619</v>
      </c>
    </row>
    <row r="16728" spans="1:2" x14ac:dyDescent="0.25">
      <c r="A16728" s="75">
        <v>76121902</v>
      </c>
      <c r="B16728" s="76" t="s">
        <v>17749</v>
      </c>
    </row>
    <row r="16729" spans="1:2" x14ac:dyDescent="0.25">
      <c r="A16729" s="75">
        <v>76121903</v>
      </c>
      <c r="B16729" s="76" t="s">
        <v>4450</v>
      </c>
    </row>
    <row r="16730" spans="1:2" x14ac:dyDescent="0.25">
      <c r="A16730" s="75">
        <v>76131501</v>
      </c>
      <c r="B16730" s="76" t="s">
        <v>13673</v>
      </c>
    </row>
    <row r="16731" spans="1:2" x14ac:dyDescent="0.25">
      <c r="A16731" s="75">
        <v>76131502</v>
      </c>
      <c r="B16731" s="76" t="s">
        <v>19630</v>
      </c>
    </row>
    <row r="16732" spans="1:2" x14ac:dyDescent="0.25">
      <c r="A16732" s="75">
        <v>76131601</v>
      </c>
      <c r="B16732" s="76" t="s">
        <v>16307</v>
      </c>
    </row>
    <row r="16733" spans="1:2" x14ac:dyDescent="0.25">
      <c r="A16733" s="75">
        <v>76131602</v>
      </c>
      <c r="B16733" s="76" t="s">
        <v>2276</v>
      </c>
    </row>
    <row r="16734" spans="1:2" x14ac:dyDescent="0.25">
      <c r="A16734" s="75">
        <v>76131701</v>
      </c>
      <c r="B16734" s="76" t="s">
        <v>17764</v>
      </c>
    </row>
    <row r="16735" spans="1:2" x14ac:dyDescent="0.25">
      <c r="A16735" s="75">
        <v>76131702</v>
      </c>
      <c r="B16735" s="76" t="s">
        <v>5550</v>
      </c>
    </row>
    <row r="16736" spans="1:2" x14ac:dyDescent="0.25">
      <c r="A16736" s="75">
        <v>77101501</v>
      </c>
      <c r="B16736" s="76" t="s">
        <v>9351</v>
      </c>
    </row>
    <row r="16737" spans="1:2" x14ac:dyDescent="0.25">
      <c r="A16737" s="75">
        <v>77101502</v>
      </c>
      <c r="B16737" s="76" t="s">
        <v>10801</v>
      </c>
    </row>
    <row r="16738" spans="1:2" x14ac:dyDescent="0.25">
      <c r="A16738" s="75">
        <v>77101503</v>
      </c>
      <c r="B16738" s="76" t="s">
        <v>9087</v>
      </c>
    </row>
    <row r="16739" spans="1:2" x14ac:dyDescent="0.25">
      <c r="A16739" s="75">
        <v>77101504</v>
      </c>
      <c r="B16739" s="76" t="s">
        <v>11731</v>
      </c>
    </row>
    <row r="16740" spans="1:2" x14ac:dyDescent="0.25">
      <c r="A16740" s="75">
        <v>77101505</v>
      </c>
      <c r="B16740" s="76" t="s">
        <v>258</v>
      </c>
    </row>
    <row r="16741" spans="1:2" x14ac:dyDescent="0.25">
      <c r="A16741" s="75">
        <v>77101601</v>
      </c>
      <c r="B16741" s="76" t="s">
        <v>16552</v>
      </c>
    </row>
    <row r="16742" spans="1:2" x14ac:dyDescent="0.25">
      <c r="A16742" s="75">
        <v>77101602</v>
      </c>
      <c r="B16742" s="76" t="s">
        <v>10663</v>
      </c>
    </row>
    <row r="16743" spans="1:2" x14ac:dyDescent="0.25">
      <c r="A16743" s="75">
        <v>77101603</v>
      </c>
      <c r="B16743" s="76" t="s">
        <v>18419</v>
      </c>
    </row>
    <row r="16744" spans="1:2" x14ac:dyDescent="0.25">
      <c r="A16744" s="75">
        <v>77101604</v>
      </c>
      <c r="B16744" s="76" t="s">
        <v>7821</v>
      </c>
    </row>
    <row r="16745" spans="1:2" x14ac:dyDescent="0.25">
      <c r="A16745" s="75">
        <v>77101605</v>
      </c>
      <c r="B16745" s="76" t="s">
        <v>4777</v>
      </c>
    </row>
    <row r="16746" spans="1:2" x14ac:dyDescent="0.25">
      <c r="A16746" s="75">
        <v>77101701</v>
      </c>
      <c r="B16746" s="76" t="s">
        <v>19024</v>
      </c>
    </row>
    <row r="16747" spans="1:2" x14ac:dyDescent="0.25">
      <c r="A16747" s="75">
        <v>77101702</v>
      </c>
      <c r="B16747" s="76" t="s">
        <v>1082</v>
      </c>
    </row>
    <row r="16748" spans="1:2" x14ac:dyDescent="0.25">
      <c r="A16748" s="75">
        <v>77101703</v>
      </c>
      <c r="B16748" s="76" t="s">
        <v>19750</v>
      </c>
    </row>
    <row r="16749" spans="1:2" x14ac:dyDescent="0.25">
      <c r="A16749" s="75">
        <v>77101704</v>
      </c>
      <c r="B16749" s="76" t="s">
        <v>2627</v>
      </c>
    </row>
    <row r="16750" spans="1:2" x14ac:dyDescent="0.25">
      <c r="A16750" s="75">
        <v>77101705</v>
      </c>
      <c r="B16750" s="76" t="s">
        <v>18487</v>
      </c>
    </row>
    <row r="16751" spans="1:2" x14ac:dyDescent="0.25">
      <c r="A16751" s="75">
        <v>77101706</v>
      </c>
      <c r="B16751" s="76" t="s">
        <v>16045</v>
      </c>
    </row>
    <row r="16752" spans="1:2" x14ac:dyDescent="0.25">
      <c r="A16752" s="75">
        <v>77101707</v>
      </c>
      <c r="B16752" s="76" t="s">
        <v>15878</v>
      </c>
    </row>
    <row r="16753" spans="1:2" x14ac:dyDescent="0.25">
      <c r="A16753" s="75">
        <v>77101801</v>
      </c>
      <c r="B16753" s="76" t="s">
        <v>3033</v>
      </c>
    </row>
    <row r="16754" spans="1:2" x14ac:dyDescent="0.25">
      <c r="A16754" s="75">
        <v>77101802</v>
      </c>
      <c r="B16754" s="76" t="s">
        <v>19161</v>
      </c>
    </row>
    <row r="16755" spans="1:2" x14ac:dyDescent="0.25">
      <c r="A16755" s="75">
        <v>77101803</v>
      </c>
      <c r="B16755" s="76" t="s">
        <v>3871</v>
      </c>
    </row>
    <row r="16756" spans="1:2" x14ac:dyDescent="0.25">
      <c r="A16756" s="75">
        <v>77101804</v>
      </c>
      <c r="B16756" s="76" t="s">
        <v>20004</v>
      </c>
    </row>
    <row r="16757" spans="1:2" x14ac:dyDescent="0.25">
      <c r="A16757" s="75">
        <v>77101805</v>
      </c>
      <c r="B16757" s="76" t="s">
        <v>11472</v>
      </c>
    </row>
    <row r="16758" spans="1:2" x14ac:dyDescent="0.25">
      <c r="A16758" s="75">
        <v>77101806</v>
      </c>
      <c r="B16758" s="76" t="s">
        <v>906</v>
      </c>
    </row>
    <row r="16759" spans="1:2" x14ac:dyDescent="0.25">
      <c r="A16759" s="75">
        <v>77101901</v>
      </c>
      <c r="B16759" s="76" t="s">
        <v>18026</v>
      </c>
    </row>
    <row r="16760" spans="1:2" x14ac:dyDescent="0.25">
      <c r="A16760" s="75">
        <v>77101902</v>
      </c>
      <c r="B16760" s="76" t="s">
        <v>2067</v>
      </c>
    </row>
    <row r="16761" spans="1:2" x14ac:dyDescent="0.25">
      <c r="A16761" s="75">
        <v>77101903</v>
      </c>
      <c r="B16761" s="76" t="s">
        <v>10376</v>
      </c>
    </row>
    <row r="16762" spans="1:2" x14ac:dyDescent="0.25">
      <c r="A16762" s="75">
        <v>77101904</v>
      </c>
      <c r="B16762" s="76" t="s">
        <v>6094</v>
      </c>
    </row>
    <row r="16763" spans="1:2" x14ac:dyDescent="0.25">
      <c r="A16763" s="75">
        <v>77101905</v>
      </c>
      <c r="B16763" s="76" t="s">
        <v>14311</v>
      </c>
    </row>
    <row r="16764" spans="1:2" x14ac:dyDescent="0.25">
      <c r="A16764" s="75">
        <v>77101906</v>
      </c>
      <c r="B16764" s="76" t="s">
        <v>15566</v>
      </c>
    </row>
    <row r="16765" spans="1:2" x14ac:dyDescent="0.25">
      <c r="A16765" s="75">
        <v>77101907</v>
      </c>
      <c r="B16765" s="76" t="s">
        <v>6326</v>
      </c>
    </row>
    <row r="16766" spans="1:2" x14ac:dyDescent="0.25">
      <c r="A16766" s="75">
        <v>77101908</v>
      </c>
      <c r="B16766" s="76" t="s">
        <v>12867</v>
      </c>
    </row>
    <row r="16767" spans="1:2" x14ac:dyDescent="0.25">
      <c r="A16767" s="75">
        <v>77101909</v>
      </c>
      <c r="B16767" s="76" t="s">
        <v>17774</v>
      </c>
    </row>
    <row r="16768" spans="1:2" x14ac:dyDescent="0.25">
      <c r="A16768" s="75">
        <v>77101910</v>
      </c>
      <c r="B16768" s="76" t="s">
        <v>7308</v>
      </c>
    </row>
    <row r="16769" spans="1:2" x14ac:dyDescent="0.25">
      <c r="A16769" s="75">
        <v>77111501</v>
      </c>
      <c r="B16769" s="76" t="s">
        <v>3480</v>
      </c>
    </row>
    <row r="16770" spans="1:2" x14ac:dyDescent="0.25">
      <c r="A16770" s="75">
        <v>77111502</v>
      </c>
      <c r="B16770" s="76" t="s">
        <v>15093</v>
      </c>
    </row>
    <row r="16771" spans="1:2" x14ac:dyDescent="0.25">
      <c r="A16771" s="75">
        <v>77111503</v>
      </c>
      <c r="B16771" s="76" t="s">
        <v>14683</v>
      </c>
    </row>
    <row r="16772" spans="1:2" x14ac:dyDescent="0.25">
      <c r="A16772" s="75">
        <v>77111504</v>
      </c>
      <c r="B16772" s="76" t="s">
        <v>6177</v>
      </c>
    </row>
    <row r="16773" spans="1:2" x14ac:dyDescent="0.25">
      <c r="A16773" s="75">
        <v>77111505</v>
      </c>
      <c r="B16773" s="76" t="s">
        <v>9316</v>
      </c>
    </row>
    <row r="16774" spans="1:2" x14ac:dyDescent="0.25">
      <c r="A16774" s="75">
        <v>77111506</v>
      </c>
      <c r="B16774" s="76" t="s">
        <v>2716</v>
      </c>
    </row>
    <row r="16775" spans="1:2" x14ac:dyDescent="0.25">
      <c r="A16775" s="75">
        <v>77111507</v>
      </c>
      <c r="B16775" s="76" t="s">
        <v>2793</v>
      </c>
    </row>
    <row r="16776" spans="1:2" x14ac:dyDescent="0.25">
      <c r="A16776" s="75">
        <v>77111508</v>
      </c>
      <c r="B16776" s="76" t="s">
        <v>15820</v>
      </c>
    </row>
    <row r="16777" spans="1:2" x14ac:dyDescent="0.25">
      <c r="A16777" s="75">
        <v>77111601</v>
      </c>
      <c r="B16777" s="76" t="s">
        <v>13596</v>
      </c>
    </row>
    <row r="16778" spans="1:2" x14ac:dyDescent="0.25">
      <c r="A16778" s="75">
        <v>77111602</v>
      </c>
      <c r="B16778" s="76" t="s">
        <v>17829</v>
      </c>
    </row>
    <row r="16779" spans="1:2" x14ac:dyDescent="0.25">
      <c r="A16779" s="75">
        <v>77111603</v>
      </c>
      <c r="B16779" s="76" t="s">
        <v>8213</v>
      </c>
    </row>
    <row r="16780" spans="1:2" x14ac:dyDescent="0.25">
      <c r="A16780" s="75">
        <v>77121501</v>
      </c>
      <c r="B16780" s="76" t="s">
        <v>15182</v>
      </c>
    </row>
    <row r="16781" spans="1:2" x14ac:dyDescent="0.25">
      <c r="A16781" s="75">
        <v>77121502</v>
      </c>
      <c r="B16781" s="76" t="s">
        <v>13287</v>
      </c>
    </row>
    <row r="16782" spans="1:2" x14ac:dyDescent="0.25">
      <c r="A16782" s="75">
        <v>77121503</v>
      </c>
      <c r="B16782" s="76" t="s">
        <v>13173</v>
      </c>
    </row>
    <row r="16783" spans="1:2" x14ac:dyDescent="0.25">
      <c r="A16783" s="75">
        <v>77121504</v>
      </c>
      <c r="B16783" s="76" t="s">
        <v>4385</v>
      </c>
    </row>
    <row r="16784" spans="1:2" x14ac:dyDescent="0.25">
      <c r="A16784" s="75">
        <v>77121505</v>
      </c>
      <c r="B16784" s="76" t="s">
        <v>1294</v>
      </c>
    </row>
    <row r="16785" spans="1:2" x14ac:dyDescent="0.25">
      <c r="A16785" s="75">
        <v>77121506</v>
      </c>
      <c r="B16785" s="76" t="s">
        <v>12591</v>
      </c>
    </row>
    <row r="16786" spans="1:2" x14ac:dyDescent="0.25">
      <c r="A16786" s="75">
        <v>77121507</v>
      </c>
      <c r="B16786" s="76" t="s">
        <v>14201</v>
      </c>
    </row>
    <row r="16787" spans="1:2" x14ac:dyDescent="0.25">
      <c r="A16787" s="75">
        <v>77121508</v>
      </c>
      <c r="B16787" s="76" t="s">
        <v>8161</v>
      </c>
    </row>
    <row r="16788" spans="1:2" x14ac:dyDescent="0.25">
      <c r="A16788" s="75">
        <v>77121509</v>
      </c>
      <c r="B16788" s="76" t="s">
        <v>9033</v>
      </c>
    </row>
    <row r="16789" spans="1:2" x14ac:dyDescent="0.25">
      <c r="A16789" s="75">
        <v>77121601</v>
      </c>
      <c r="B16789" s="76" t="s">
        <v>15768</v>
      </c>
    </row>
    <row r="16790" spans="1:2" x14ac:dyDescent="0.25">
      <c r="A16790" s="75">
        <v>77121602</v>
      </c>
      <c r="B16790" s="76" t="s">
        <v>17492</v>
      </c>
    </row>
    <row r="16791" spans="1:2" x14ac:dyDescent="0.25">
      <c r="A16791" s="75">
        <v>77121603</v>
      </c>
      <c r="B16791" s="76" t="s">
        <v>5219</v>
      </c>
    </row>
    <row r="16792" spans="1:2" x14ac:dyDescent="0.25">
      <c r="A16792" s="75">
        <v>77121604</v>
      </c>
      <c r="B16792" s="76" t="s">
        <v>14588</v>
      </c>
    </row>
    <row r="16793" spans="1:2" x14ac:dyDescent="0.25">
      <c r="A16793" s="75">
        <v>77121605</v>
      </c>
      <c r="B16793" s="76" t="s">
        <v>670</v>
      </c>
    </row>
    <row r="16794" spans="1:2" x14ac:dyDescent="0.25">
      <c r="A16794" s="75">
        <v>77121606</v>
      </c>
      <c r="B16794" s="76" t="s">
        <v>19038</v>
      </c>
    </row>
    <row r="16795" spans="1:2" x14ac:dyDescent="0.25">
      <c r="A16795" s="75">
        <v>77121607</v>
      </c>
      <c r="B16795" s="76" t="s">
        <v>11945</v>
      </c>
    </row>
    <row r="16796" spans="1:2" x14ac:dyDescent="0.25">
      <c r="A16796" s="75">
        <v>77121608</v>
      </c>
      <c r="B16796" s="76" t="s">
        <v>1491</v>
      </c>
    </row>
    <row r="16797" spans="1:2" x14ac:dyDescent="0.25">
      <c r="A16797" s="75">
        <v>77121609</v>
      </c>
      <c r="B16797" s="76" t="s">
        <v>15708</v>
      </c>
    </row>
    <row r="16798" spans="1:2" x14ac:dyDescent="0.25">
      <c r="A16798" s="75">
        <v>77121610</v>
      </c>
      <c r="B16798" s="76" t="s">
        <v>10551</v>
      </c>
    </row>
    <row r="16799" spans="1:2" x14ac:dyDescent="0.25">
      <c r="A16799" s="75">
        <v>77121701</v>
      </c>
      <c r="B16799" s="76" t="s">
        <v>15769</v>
      </c>
    </row>
    <row r="16800" spans="1:2" x14ac:dyDescent="0.25">
      <c r="A16800" s="75">
        <v>77121702</v>
      </c>
      <c r="B16800" s="76" t="s">
        <v>17068</v>
      </c>
    </row>
    <row r="16801" spans="1:2" x14ac:dyDescent="0.25">
      <c r="A16801" s="75">
        <v>77121703</v>
      </c>
      <c r="B16801" s="76" t="s">
        <v>19492</v>
      </c>
    </row>
    <row r="16802" spans="1:2" x14ac:dyDescent="0.25">
      <c r="A16802" s="75">
        <v>77121704</v>
      </c>
      <c r="B16802" s="76" t="s">
        <v>19381</v>
      </c>
    </row>
    <row r="16803" spans="1:2" x14ac:dyDescent="0.25">
      <c r="A16803" s="75">
        <v>77121705</v>
      </c>
      <c r="B16803" s="76" t="s">
        <v>15600</v>
      </c>
    </row>
    <row r="16804" spans="1:2" x14ac:dyDescent="0.25">
      <c r="A16804" s="75">
        <v>77121706</v>
      </c>
      <c r="B16804" s="76" t="s">
        <v>10875</v>
      </c>
    </row>
    <row r="16805" spans="1:2" x14ac:dyDescent="0.25">
      <c r="A16805" s="75">
        <v>77121707</v>
      </c>
      <c r="B16805" s="76" t="s">
        <v>11375</v>
      </c>
    </row>
    <row r="16806" spans="1:2" x14ac:dyDescent="0.25">
      <c r="A16806" s="75">
        <v>77121708</v>
      </c>
      <c r="B16806" s="76" t="s">
        <v>12428</v>
      </c>
    </row>
    <row r="16807" spans="1:2" x14ac:dyDescent="0.25">
      <c r="A16807" s="75">
        <v>77121709</v>
      </c>
      <c r="B16807" s="76" t="s">
        <v>5257</v>
      </c>
    </row>
    <row r="16808" spans="1:2" x14ac:dyDescent="0.25">
      <c r="A16808" s="75">
        <v>77131501</v>
      </c>
      <c r="B16808" s="76" t="s">
        <v>7618</v>
      </c>
    </row>
    <row r="16809" spans="1:2" x14ac:dyDescent="0.25">
      <c r="A16809" s="75">
        <v>77131502</v>
      </c>
      <c r="B16809" s="76" t="s">
        <v>15758</v>
      </c>
    </row>
    <row r="16810" spans="1:2" x14ac:dyDescent="0.25">
      <c r="A16810" s="75">
        <v>77131503</v>
      </c>
      <c r="B16810" s="76" t="s">
        <v>11119</v>
      </c>
    </row>
    <row r="16811" spans="1:2" x14ac:dyDescent="0.25">
      <c r="A16811" s="75">
        <v>77131601</v>
      </c>
      <c r="B16811" s="76" t="s">
        <v>11585</v>
      </c>
    </row>
    <row r="16812" spans="1:2" x14ac:dyDescent="0.25">
      <c r="A16812" s="75">
        <v>77131602</v>
      </c>
      <c r="B16812" s="76" t="s">
        <v>9266</v>
      </c>
    </row>
    <row r="16813" spans="1:2" x14ac:dyDescent="0.25">
      <c r="A16813" s="75">
        <v>77131603</v>
      </c>
      <c r="B16813" s="76" t="s">
        <v>18528</v>
      </c>
    </row>
    <row r="16814" spans="1:2" x14ac:dyDescent="0.25">
      <c r="A16814" s="75">
        <v>77131604</v>
      </c>
      <c r="B16814" s="76" t="s">
        <v>18767</v>
      </c>
    </row>
    <row r="16815" spans="1:2" x14ac:dyDescent="0.25">
      <c r="A16815" s="75">
        <v>77131701</v>
      </c>
      <c r="B16815" s="76" t="s">
        <v>12772</v>
      </c>
    </row>
    <row r="16816" spans="1:2" x14ac:dyDescent="0.25">
      <c r="A16816" s="75">
        <v>77131702</v>
      </c>
      <c r="B16816" s="76" t="s">
        <v>18309</v>
      </c>
    </row>
    <row r="16817" spans="1:2" x14ac:dyDescent="0.25">
      <c r="A16817" s="75">
        <v>78101501</v>
      </c>
      <c r="B16817" s="76" t="s">
        <v>13762</v>
      </c>
    </row>
    <row r="16818" spans="1:2" x14ac:dyDescent="0.25">
      <c r="A16818" s="75">
        <v>78101502</v>
      </c>
      <c r="B16818" s="76" t="s">
        <v>4505</v>
      </c>
    </row>
    <row r="16819" spans="1:2" x14ac:dyDescent="0.25">
      <c r="A16819" s="75">
        <v>78101503</v>
      </c>
      <c r="B16819" s="76" t="s">
        <v>17775</v>
      </c>
    </row>
    <row r="16820" spans="1:2" x14ac:dyDescent="0.25">
      <c r="A16820" s="75">
        <v>78101601</v>
      </c>
      <c r="B16820" s="76" t="s">
        <v>15992</v>
      </c>
    </row>
    <row r="16821" spans="1:2" x14ac:dyDescent="0.25">
      <c r="A16821" s="75">
        <v>78101602</v>
      </c>
      <c r="B16821" s="76" t="s">
        <v>16812</v>
      </c>
    </row>
    <row r="16822" spans="1:2" x14ac:dyDescent="0.25">
      <c r="A16822" s="75">
        <v>78101603</v>
      </c>
      <c r="B16822" s="76" t="s">
        <v>433</v>
      </c>
    </row>
    <row r="16823" spans="1:2" x14ac:dyDescent="0.25">
      <c r="A16823" s="75">
        <v>78101604</v>
      </c>
      <c r="B16823" s="76" t="s">
        <v>1059</v>
      </c>
    </row>
    <row r="16824" spans="1:2" x14ac:dyDescent="0.25">
      <c r="A16824" s="75">
        <v>78101701</v>
      </c>
      <c r="B16824" s="76" t="s">
        <v>6988</v>
      </c>
    </row>
    <row r="16825" spans="1:2" x14ac:dyDescent="0.25">
      <c r="A16825" s="75">
        <v>78101702</v>
      </c>
      <c r="B16825" s="76" t="s">
        <v>3367</v>
      </c>
    </row>
    <row r="16826" spans="1:2" x14ac:dyDescent="0.25">
      <c r="A16826" s="75">
        <v>78101703</v>
      </c>
      <c r="B16826" s="76" t="s">
        <v>6537</v>
      </c>
    </row>
    <row r="16827" spans="1:2" x14ac:dyDescent="0.25">
      <c r="A16827" s="75">
        <v>78101704</v>
      </c>
      <c r="B16827" s="76" t="s">
        <v>13957</v>
      </c>
    </row>
    <row r="16828" spans="1:2" x14ac:dyDescent="0.25">
      <c r="A16828" s="75">
        <v>78101705</v>
      </c>
      <c r="B16828" s="76" t="s">
        <v>7097</v>
      </c>
    </row>
    <row r="16829" spans="1:2" x14ac:dyDescent="0.25">
      <c r="A16829" s="75">
        <v>78101801</v>
      </c>
      <c r="B16829" s="76" t="s">
        <v>18353</v>
      </c>
    </row>
    <row r="16830" spans="1:2" x14ac:dyDescent="0.25">
      <c r="A16830" s="75">
        <v>78101802</v>
      </c>
      <c r="B16830" s="76" t="s">
        <v>2134</v>
      </c>
    </row>
    <row r="16831" spans="1:2" x14ac:dyDescent="0.25">
      <c r="A16831" s="75">
        <v>78101803</v>
      </c>
      <c r="B16831" s="76" t="s">
        <v>8425</v>
      </c>
    </row>
    <row r="16832" spans="1:2" x14ac:dyDescent="0.25">
      <c r="A16832" s="75">
        <v>78101804</v>
      </c>
      <c r="B16832" s="76" t="s">
        <v>4112</v>
      </c>
    </row>
    <row r="16833" spans="1:2" x14ac:dyDescent="0.25">
      <c r="A16833" s="75">
        <v>78101901</v>
      </c>
      <c r="B16833" s="76" t="s">
        <v>12290</v>
      </c>
    </row>
    <row r="16834" spans="1:2" x14ac:dyDescent="0.25">
      <c r="A16834" s="75">
        <v>78101902</v>
      </c>
      <c r="B16834" s="76" t="s">
        <v>11009</v>
      </c>
    </row>
    <row r="16835" spans="1:2" x14ac:dyDescent="0.25">
      <c r="A16835" s="75">
        <v>78101903</v>
      </c>
      <c r="B16835" s="76" t="s">
        <v>15696</v>
      </c>
    </row>
    <row r="16836" spans="1:2" x14ac:dyDescent="0.25">
      <c r="A16836" s="75">
        <v>78101904</v>
      </c>
      <c r="B16836" s="76" t="s">
        <v>5482</v>
      </c>
    </row>
    <row r="16837" spans="1:2" x14ac:dyDescent="0.25">
      <c r="A16837" s="75">
        <v>78101905</v>
      </c>
      <c r="B16837" s="76" t="s">
        <v>16065</v>
      </c>
    </row>
    <row r="16838" spans="1:2" x14ac:dyDescent="0.25">
      <c r="A16838" s="75">
        <v>78102001</v>
      </c>
      <c r="B16838" s="76" t="s">
        <v>16189</v>
      </c>
    </row>
    <row r="16839" spans="1:2" x14ac:dyDescent="0.25">
      <c r="A16839" s="75">
        <v>78102002</v>
      </c>
      <c r="B16839" s="76" t="s">
        <v>19731</v>
      </c>
    </row>
    <row r="16840" spans="1:2" x14ac:dyDescent="0.25">
      <c r="A16840" s="75">
        <v>78102101</v>
      </c>
      <c r="B16840" s="76" t="s">
        <v>19456</v>
      </c>
    </row>
    <row r="16841" spans="1:2" x14ac:dyDescent="0.25">
      <c r="A16841" s="75">
        <v>78102102</v>
      </c>
      <c r="B16841" s="76" t="s">
        <v>1203</v>
      </c>
    </row>
    <row r="16842" spans="1:2" x14ac:dyDescent="0.25">
      <c r="A16842" s="75">
        <v>78102201</v>
      </c>
      <c r="B16842" s="76" t="s">
        <v>11715</v>
      </c>
    </row>
    <row r="16843" spans="1:2" x14ac:dyDescent="0.25">
      <c r="A16843" s="75">
        <v>78102202</v>
      </c>
      <c r="B16843" s="76" t="s">
        <v>17465</v>
      </c>
    </row>
    <row r="16844" spans="1:2" x14ac:dyDescent="0.25">
      <c r="A16844" s="75">
        <v>78102203</v>
      </c>
      <c r="B16844" s="76" t="s">
        <v>17804</v>
      </c>
    </row>
    <row r="16845" spans="1:2" x14ac:dyDescent="0.25">
      <c r="A16845" s="75">
        <v>78102204</v>
      </c>
      <c r="B16845" s="76" t="s">
        <v>17025</v>
      </c>
    </row>
    <row r="16846" spans="1:2" x14ac:dyDescent="0.25">
      <c r="A16846" s="75">
        <v>78102205</v>
      </c>
      <c r="B16846" s="76" t="s">
        <v>17077</v>
      </c>
    </row>
    <row r="16847" spans="1:2" x14ac:dyDescent="0.25">
      <c r="A16847" s="75">
        <v>78102206</v>
      </c>
      <c r="B16847" s="76" t="s">
        <v>8126</v>
      </c>
    </row>
    <row r="16848" spans="1:2" x14ac:dyDescent="0.25">
      <c r="A16848" s="75">
        <v>78111501</v>
      </c>
      <c r="B16848" s="76" t="s">
        <v>3132</v>
      </c>
    </row>
    <row r="16849" spans="1:2" x14ac:dyDescent="0.25">
      <c r="A16849" s="75">
        <v>78111502</v>
      </c>
      <c r="B16849" s="76" t="s">
        <v>16408</v>
      </c>
    </row>
    <row r="16850" spans="1:2" x14ac:dyDescent="0.25">
      <c r="A16850" s="75">
        <v>78111503</v>
      </c>
      <c r="B16850" s="76" t="s">
        <v>11625</v>
      </c>
    </row>
    <row r="16851" spans="1:2" x14ac:dyDescent="0.25">
      <c r="A16851" s="75">
        <v>78111601</v>
      </c>
      <c r="B16851" s="76" t="s">
        <v>14512</v>
      </c>
    </row>
    <row r="16852" spans="1:2" x14ac:dyDescent="0.25">
      <c r="A16852" s="75">
        <v>78111602</v>
      </c>
      <c r="B16852" s="76" t="s">
        <v>16245</v>
      </c>
    </row>
    <row r="16853" spans="1:2" x14ac:dyDescent="0.25">
      <c r="A16853" s="75">
        <v>78111603</v>
      </c>
      <c r="B16853" s="76" t="s">
        <v>1539</v>
      </c>
    </row>
    <row r="16854" spans="1:2" x14ac:dyDescent="0.25">
      <c r="A16854" s="75">
        <v>78111701</v>
      </c>
      <c r="B16854" s="76" t="s">
        <v>14868</v>
      </c>
    </row>
    <row r="16855" spans="1:2" x14ac:dyDescent="0.25">
      <c r="A16855" s="75">
        <v>78111702</v>
      </c>
      <c r="B16855" s="76" t="s">
        <v>10270</v>
      </c>
    </row>
    <row r="16856" spans="1:2" x14ac:dyDescent="0.25">
      <c r="A16856" s="75">
        <v>78111703</v>
      </c>
      <c r="B16856" s="76" t="s">
        <v>17190</v>
      </c>
    </row>
    <row r="16857" spans="1:2" x14ac:dyDescent="0.25">
      <c r="A16857" s="75">
        <v>78111802</v>
      </c>
      <c r="B16857" s="76" t="s">
        <v>15798</v>
      </c>
    </row>
    <row r="16858" spans="1:2" x14ac:dyDescent="0.25">
      <c r="A16858" s="75">
        <v>78111803</v>
      </c>
      <c r="B16858" s="76" t="s">
        <v>17331</v>
      </c>
    </row>
    <row r="16859" spans="1:2" x14ac:dyDescent="0.25">
      <c r="A16859" s="75">
        <v>78111804</v>
      </c>
      <c r="B16859" s="76" t="s">
        <v>17451</v>
      </c>
    </row>
    <row r="16860" spans="1:2" x14ac:dyDescent="0.25">
      <c r="A16860" s="75">
        <v>78111807</v>
      </c>
      <c r="B16860" s="76" t="s">
        <v>12224</v>
      </c>
    </row>
    <row r="16861" spans="1:2" x14ac:dyDescent="0.25">
      <c r="A16861" s="75">
        <v>78111808</v>
      </c>
      <c r="B16861" s="76" t="s">
        <v>10562</v>
      </c>
    </row>
    <row r="16862" spans="1:2" x14ac:dyDescent="0.25">
      <c r="A16862" s="75">
        <v>78111809</v>
      </c>
      <c r="B16862" s="76" t="s">
        <v>1319</v>
      </c>
    </row>
    <row r="16863" spans="1:2" x14ac:dyDescent="0.25">
      <c r="A16863" s="75">
        <v>78111901</v>
      </c>
      <c r="B16863" s="76" t="s">
        <v>4256</v>
      </c>
    </row>
    <row r="16864" spans="1:2" x14ac:dyDescent="0.25">
      <c r="A16864" s="75">
        <v>78121501</v>
      </c>
      <c r="B16864" s="76" t="s">
        <v>15104</v>
      </c>
    </row>
    <row r="16865" spans="1:2" x14ac:dyDescent="0.25">
      <c r="A16865" s="75">
        <v>78121502</v>
      </c>
      <c r="B16865" s="76" t="s">
        <v>1271</v>
      </c>
    </row>
    <row r="16866" spans="1:2" x14ac:dyDescent="0.25">
      <c r="A16866" s="75">
        <v>78121601</v>
      </c>
      <c r="B16866" s="76" t="s">
        <v>6182</v>
      </c>
    </row>
    <row r="16867" spans="1:2" x14ac:dyDescent="0.25">
      <c r="A16867" s="75">
        <v>78121602</v>
      </c>
      <c r="B16867" s="76" t="s">
        <v>13751</v>
      </c>
    </row>
    <row r="16868" spans="1:2" x14ac:dyDescent="0.25">
      <c r="A16868" s="75">
        <v>78131501</v>
      </c>
      <c r="B16868" s="76" t="s">
        <v>4411</v>
      </c>
    </row>
    <row r="16869" spans="1:2" x14ac:dyDescent="0.25">
      <c r="A16869" s="75">
        <v>78131502</v>
      </c>
      <c r="B16869" s="76" t="s">
        <v>9042</v>
      </c>
    </row>
    <row r="16870" spans="1:2" x14ac:dyDescent="0.25">
      <c r="A16870" s="75">
        <v>78131601</v>
      </c>
      <c r="B16870" s="76" t="s">
        <v>3303</v>
      </c>
    </row>
    <row r="16871" spans="1:2" x14ac:dyDescent="0.25">
      <c r="A16871" s="75">
        <v>78131602</v>
      </c>
      <c r="B16871" s="76" t="s">
        <v>16425</v>
      </c>
    </row>
    <row r="16872" spans="1:2" x14ac:dyDescent="0.25">
      <c r="A16872" s="75">
        <v>78131603</v>
      </c>
      <c r="B16872" s="76" t="s">
        <v>7769</v>
      </c>
    </row>
    <row r="16873" spans="1:2" x14ac:dyDescent="0.25">
      <c r="A16873" s="75">
        <v>78131701</v>
      </c>
      <c r="B16873" s="76" t="s">
        <v>19120</v>
      </c>
    </row>
    <row r="16874" spans="1:2" x14ac:dyDescent="0.25">
      <c r="A16874" s="75">
        <v>78131801</v>
      </c>
      <c r="B16874" s="76" t="s">
        <v>4496</v>
      </c>
    </row>
    <row r="16875" spans="1:2" x14ac:dyDescent="0.25">
      <c r="A16875" s="75">
        <v>78131802</v>
      </c>
      <c r="B16875" s="76" t="s">
        <v>15621</v>
      </c>
    </row>
    <row r="16876" spans="1:2" x14ac:dyDescent="0.25">
      <c r="A16876" s="75">
        <v>78131803</v>
      </c>
      <c r="B16876" s="76" t="s">
        <v>14066</v>
      </c>
    </row>
    <row r="16877" spans="1:2" x14ac:dyDescent="0.25">
      <c r="A16877" s="75">
        <v>78131804</v>
      </c>
      <c r="B16877" s="76" t="s">
        <v>3927</v>
      </c>
    </row>
    <row r="16878" spans="1:2" x14ac:dyDescent="0.25">
      <c r="A16878" s="75">
        <v>78131805</v>
      </c>
      <c r="B16878" s="76" t="s">
        <v>196</v>
      </c>
    </row>
    <row r="16879" spans="1:2" x14ac:dyDescent="0.25">
      <c r="A16879" s="75">
        <v>78141501</v>
      </c>
      <c r="B16879" s="76" t="s">
        <v>10882</v>
      </c>
    </row>
    <row r="16880" spans="1:2" x14ac:dyDescent="0.25">
      <c r="A16880" s="75">
        <v>78141502</v>
      </c>
      <c r="B16880" s="76" t="s">
        <v>14679</v>
      </c>
    </row>
    <row r="16881" spans="1:2" x14ac:dyDescent="0.25">
      <c r="A16881" s="75">
        <v>78141503</v>
      </c>
      <c r="B16881" s="76" t="s">
        <v>16530</v>
      </c>
    </row>
    <row r="16882" spans="1:2" x14ac:dyDescent="0.25">
      <c r="A16882" s="75">
        <v>78141601</v>
      </c>
      <c r="B16882" s="76" t="s">
        <v>3684</v>
      </c>
    </row>
    <row r="16883" spans="1:2" x14ac:dyDescent="0.25">
      <c r="A16883" s="75">
        <v>78141602</v>
      </c>
      <c r="B16883" s="76" t="s">
        <v>14624</v>
      </c>
    </row>
    <row r="16884" spans="1:2" x14ac:dyDescent="0.25">
      <c r="A16884" s="75">
        <v>78141603</v>
      </c>
      <c r="B16884" s="76" t="s">
        <v>12764</v>
      </c>
    </row>
    <row r="16885" spans="1:2" x14ac:dyDescent="0.25">
      <c r="A16885" s="75">
        <v>78141701</v>
      </c>
      <c r="B16885" s="76" t="s">
        <v>16507</v>
      </c>
    </row>
    <row r="16886" spans="1:2" x14ac:dyDescent="0.25">
      <c r="A16886" s="75">
        <v>78141702</v>
      </c>
      <c r="B16886" s="76" t="s">
        <v>13707</v>
      </c>
    </row>
    <row r="16887" spans="1:2" x14ac:dyDescent="0.25">
      <c r="A16887" s="75">
        <v>78141703</v>
      </c>
      <c r="B16887" s="76" t="s">
        <v>10580</v>
      </c>
    </row>
    <row r="16888" spans="1:2" x14ac:dyDescent="0.25">
      <c r="A16888" s="75">
        <v>78141801</v>
      </c>
      <c r="B16888" s="76" t="s">
        <v>18754</v>
      </c>
    </row>
    <row r="16889" spans="1:2" x14ac:dyDescent="0.25">
      <c r="A16889" s="75">
        <v>78141802</v>
      </c>
      <c r="B16889" s="76" t="s">
        <v>7148</v>
      </c>
    </row>
    <row r="16890" spans="1:2" x14ac:dyDescent="0.25">
      <c r="A16890" s="75">
        <v>78141803</v>
      </c>
      <c r="B16890" s="76" t="s">
        <v>1153</v>
      </c>
    </row>
    <row r="16891" spans="1:2" x14ac:dyDescent="0.25">
      <c r="A16891" s="75">
        <v>78180101</v>
      </c>
      <c r="B16891" s="76" t="s">
        <v>17899</v>
      </c>
    </row>
    <row r="16892" spans="1:2" x14ac:dyDescent="0.25">
      <c r="A16892" s="75">
        <v>78180102</v>
      </c>
      <c r="B16892" s="76" t="s">
        <v>16013</v>
      </c>
    </row>
    <row r="16893" spans="1:2" x14ac:dyDescent="0.25">
      <c r="A16893" s="75">
        <v>78180103</v>
      </c>
      <c r="B16893" s="76" t="s">
        <v>13498</v>
      </c>
    </row>
    <row r="16894" spans="1:2" x14ac:dyDescent="0.25">
      <c r="A16894" s="75">
        <v>78180104</v>
      </c>
      <c r="B16894" s="76" t="s">
        <v>18481</v>
      </c>
    </row>
    <row r="16895" spans="1:2" x14ac:dyDescent="0.25">
      <c r="A16895" s="75">
        <v>78180201</v>
      </c>
      <c r="B16895" s="76" t="s">
        <v>17527</v>
      </c>
    </row>
    <row r="16896" spans="1:2" x14ac:dyDescent="0.25">
      <c r="A16896" s="75">
        <v>78180301</v>
      </c>
      <c r="B16896" s="76" t="s">
        <v>4180</v>
      </c>
    </row>
    <row r="16897" spans="1:2" x14ac:dyDescent="0.25">
      <c r="A16897" s="75">
        <v>78180302</v>
      </c>
      <c r="B16897" s="76" t="s">
        <v>18967</v>
      </c>
    </row>
    <row r="16898" spans="1:2" x14ac:dyDescent="0.25">
      <c r="A16898" s="75">
        <v>78180303</v>
      </c>
      <c r="B16898" s="76" t="s">
        <v>15274</v>
      </c>
    </row>
    <row r="16899" spans="1:2" x14ac:dyDescent="0.25">
      <c r="A16899" s="75">
        <v>80101501</v>
      </c>
      <c r="B16899" s="76" t="s">
        <v>19083</v>
      </c>
    </row>
    <row r="16900" spans="1:2" x14ac:dyDescent="0.25">
      <c r="A16900" s="75">
        <v>80101502</v>
      </c>
      <c r="B16900" s="76" t="s">
        <v>7884</v>
      </c>
    </row>
    <row r="16901" spans="1:2" x14ac:dyDescent="0.25">
      <c r="A16901" s="75">
        <v>80101503</v>
      </c>
      <c r="B16901" s="76" t="s">
        <v>619</v>
      </c>
    </row>
    <row r="16902" spans="1:2" x14ac:dyDescent="0.25">
      <c r="A16902" s="75">
        <v>80101504</v>
      </c>
      <c r="B16902" s="76" t="s">
        <v>4114</v>
      </c>
    </row>
    <row r="16903" spans="1:2" x14ac:dyDescent="0.25">
      <c r="A16903" s="75">
        <v>80101505</v>
      </c>
      <c r="B16903" s="76" t="s">
        <v>2764</v>
      </c>
    </row>
    <row r="16904" spans="1:2" x14ac:dyDescent="0.25">
      <c r="A16904" s="75">
        <v>80101506</v>
      </c>
      <c r="B16904" s="76" t="s">
        <v>16885</v>
      </c>
    </row>
    <row r="16905" spans="1:2" x14ac:dyDescent="0.25">
      <c r="A16905" s="75">
        <v>80101507</v>
      </c>
      <c r="B16905" s="76" t="s">
        <v>19017</v>
      </c>
    </row>
    <row r="16906" spans="1:2" x14ac:dyDescent="0.25">
      <c r="A16906" s="75">
        <v>80101508</v>
      </c>
      <c r="B16906" s="76" t="s">
        <v>16684</v>
      </c>
    </row>
    <row r="16907" spans="1:2" x14ac:dyDescent="0.25">
      <c r="A16907" s="75">
        <v>80101601</v>
      </c>
      <c r="B16907" s="76" t="s">
        <v>338</v>
      </c>
    </row>
    <row r="16908" spans="1:2" x14ac:dyDescent="0.25">
      <c r="A16908" s="75">
        <v>80101602</v>
      </c>
      <c r="B16908" s="76" t="s">
        <v>1349</v>
      </c>
    </row>
    <row r="16909" spans="1:2" x14ac:dyDescent="0.25">
      <c r="A16909" s="75">
        <v>80101603</v>
      </c>
      <c r="B16909" s="76" t="s">
        <v>11707</v>
      </c>
    </row>
    <row r="16910" spans="1:2" x14ac:dyDescent="0.25">
      <c r="A16910" s="75">
        <v>80101604</v>
      </c>
      <c r="B16910" s="76" t="s">
        <v>14678</v>
      </c>
    </row>
    <row r="16911" spans="1:2" x14ac:dyDescent="0.25">
      <c r="A16911" s="75">
        <v>80101701</v>
      </c>
      <c r="B16911" s="76" t="s">
        <v>4882</v>
      </c>
    </row>
    <row r="16912" spans="1:2" x14ac:dyDescent="0.25">
      <c r="A16912" s="75">
        <v>80101702</v>
      </c>
      <c r="B16912" s="76" t="s">
        <v>17946</v>
      </c>
    </row>
    <row r="16913" spans="1:2" x14ac:dyDescent="0.25">
      <c r="A16913" s="75">
        <v>80101703</v>
      </c>
      <c r="B16913" s="76" t="s">
        <v>3413</v>
      </c>
    </row>
    <row r="16914" spans="1:2" x14ac:dyDescent="0.25">
      <c r="A16914" s="75">
        <v>80101704</v>
      </c>
      <c r="B16914" s="76" t="s">
        <v>2541</v>
      </c>
    </row>
    <row r="16915" spans="1:2" x14ac:dyDescent="0.25">
      <c r="A16915" s="75">
        <v>80101705</v>
      </c>
      <c r="B16915" s="76" t="s">
        <v>17954</v>
      </c>
    </row>
    <row r="16916" spans="1:2" x14ac:dyDescent="0.25">
      <c r="A16916" s="75">
        <v>80101706</v>
      </c>
      <c r="B16916" s="76" t="s">
        <v>4980</v>
      </c>
    </row>
    <row r="16917" spans="1:2" x14ac:dyDescent="0.25">
      <c r="A16917" s="75">
        <v>80101707</v>
      </c>
      <c r="B16917" s="76" t="s">
        <v>9888</v>
      </c>
    </row>
    <row r="16918" spans="1:2" x14ac:dyDescent="0.25">
      <c r="A16918" s="75">
        <v>80111501</v>
      </c>
      <c r="B16918" s="76" t="s">
        <v>16126</v>
      </c>
    </row>
    <row r="16919" spans="1:2" x14ac:dyDescent="0.25">
      <c r="A16919" s="75">
        <v>80111502</v>
      </c>
      <c r="B16919" s="76" t="s">
        <v>7290</v>
      </c>
    </row>
    <row r="16920" spans="1:2" x14ac:dyDescent="0.25">
      <c r="A16920" s="75">
        <v>80111503</v>
      </c>
      <c r="B16920" s="76" t="s">
        <v>1641</v>
      </c>
    </row>
    <row r="16921" spans="1:2" x14ac:dyDescent="0.25">
      <c r="A16921" s="75">
        <v>80111504</v>
      </c>
      <c r="B16921" s="76" t="s">
        <v>19663</v>
      </c>
    </row>
    <row r="16922" spans="1:2" x14ac:dyDescent="0.25">
      <c r="A16922" s="75">
        <v>80111505</v>
      </c>
      <c r="B16922" s="76" t="s">
        <v>14304</v>
      </c>
    </row>
    <row r="16923" spans="1:2" x14ac:dyDescent="0.25">
      <c r="A16923" s="75">
        <v>80111506</v>
      </c>
      <c r="B16923" s="76" t="s">
        <v>11507</v>
      </c>
    </row>
    <row r="16924" spans="1:2" x14ac:dyDescent="0.25">
      <c r="A16924" s="75">
        <v>80111507</v>
      </c>
      <c r="B16924" s="76" t="s">
        <v>10357</v>
      </c>
    </row>
    <row r="16925" spans="1:2" x14ac:dyDescent="0.25">
      <c r="A16925" s="75">
        <v>80111508</v>
      </c>
      <c r="B16925" s="76" t="s">
        <v>4360</v>
      </c>
    </row>
    <row r="16926" spans="1:2" x14ac:dyDescent="0.25">
      <c r="A16926" s="75">
        <v>80111601</v>
      </c>
      <c r="B16926" s="76" t="s">
        <v>12022</v>
      </c>
    </row>
    <row r="16927" spans="1:2" x14ac:dyDescent="0.25">
      <c r="A16927" s="75">
        <v>80111602</v>
      </c>
      <c r="B16927" s="76" t="s">
        <v>4246</v>
      </c>
    </row>
    <row r="16928" spans="1:2" x14ac:dyDescent="0.25">
      <c r="A16928" s="75">
        <v>80111603</v>
      </c>
      <c r="B16928" s="76" t="s">
        <v>9314</v>
      </c>
    </row>
    <row r="16929" spans="1:2" x14ac:dyDescent="0.25">
      <c r="A16929" s="75">
        <v>80111604</v>
      </c>
      <c r="B16929" s="76" t="s">
        <v>7625</v>
      </c>
    </row>
    <row r="16930" spans="1:2" x14ac:dyDescent="0.25">
      <c r="A16930" s="75">
        <v>80111605</v>
      </c>
      <c r="B16930" s="76" t="s">
        <v>19482</v>
      </c>
    </row>
    <row r="16931" spans="1:2" x14ac:dyDescent="0.25">
      <c r="A16931" s="75">
        <v>80111606</v>
      </c>
      <c r="B16931" s="76" t="s">
        <v>3182</v>
      </c>
    </row>
    <row r="16932" spans="1:2" x14ac:dyDescent="0.25">
      <c r="A16932" s="75">
        <v>80111607</v>
      </c>
      <c r="B16932" s="76" t="s">
        <v>2284</v>
      </c>
    </row>
    <row r="16933" spans="1:2" x14ac:dyDescent="0.25">
      <c r="A16933" s="75">
        <v>80111608</v>
      </c>
      <c r="B16933" s="76" t="s">
        <v>18307</v>
      </c>
    </row>
    <row r="16934" spans="1:2" x14ac:dyDescent="0.25">
      <c r="A16934" s="75">
        <v>80111609</v>
      </c>
      <c r="B16934" s="76" t="s">
        <v>7669</v>
      </c>
    </row>
    <row r="16935" spans="1:2" x14ac:dyDescent="0.25">
      <c r="A16935" s="75">
        <v>80111610</v>
      </c>
      <c r="B16935" s="76" t="s">
        <v>4228</v>
      </c>
    </row>
    <row r="16936" spans="1:2" x14ac:dyDescent="0.25">
      <c r="A16936" s="75">
        <v>80111611</v>
      </c>
      <c r="B16936" s="76" t="s">
        <v>2595</v>
      </c>
    </row>
    <row r="16937" spans="1:2" x14ac:dyDescent="0.25">
      <c r="A16937" s="75">
        <v>80111612</v>
      </c>
      <c r="B16937" s="76" t="s">
        <v>1016</v>
      </c>
    </row>
    <row r="16938" spans="1:2" x14ac:dyDescent="0.25">
      <c r="A16938" s="75">
        <v>80111613</v>
      </c>
      <c r="B16938" s="76" t="s">
        <v>18371</v>
      </c>
    </row>
    <row r="16939" spans="1:2" x14ac:dyDescent="0.25">
      <c r="A16939" s="75">
        <v>80111614</v>
      </c>
      <c r="B16939" s="76" t="s">
        <v>2049</v>
      </c>
    </row>
    <row r="16940" spans="1:2" x14ac:dyDescent="0.25">
      <c r="A16940" s="75">
        <v>80111615</v>
      </c>
      <c r="B16940" s="76" t="s">
        <v>14632</v>
      </c>
    </row>
    <row r="16941" spans="1:2" x14ac:dyDescent="0.25">
      <c r="A16941" s="75">
        <v>80111616</v>
      </c>
      <c r="B16941" s="76" t="s">
        <v>4179</v>
      </c>
    </row>
    <row r="16942" spans="1:2" x14ac:dyDescent="0.25">
      <c r="A16942" s="75">
        <v>80111617</v>
      </c>
      <c r="B16942" s="76" t="s">
        <v>1765</v>
      </c>
    </row>
    <row r="16943" spans="1:2" x14ac:dyDescent="0.25">
      <c r="A16943" s="75">
        <v>80111618</v>
      </c>
      <c r="B16943" s="76" t="s">
        <v>16992</v>
      </c>
    </row>
    <row r="16944" spans="1:2" x14ac:dyDescent="0.25">
      <c r="A16944" s="75">
        <v>80111619</v>
      </c>
      <c r="B16944" s="76" t="s">
        <v>14507</v>
      </c>
    </row>
    <row r="16945" spans="1:2" x14ac:dyDescent="0.25">
      <c r="A16945" s="75">
        <v>80111701</v>
      </c>
      <c r="B16945" s="76" t="s">
        <v>16734</v>
      </c>
    </row>
    <row r="16946" spans="1:2" x14ac:dyDescent="0.25">
      <c r="A16946" s="75">
        <v>80111702</v>
      </c>
      <c r="B16946" s="76" t="s">
        <v>14477</v>
      </c>
    </row>
    <row r="16947" spans="1:2" x14ac:dyDescent="0.25">
      <c r="A16947" s="75">
        <v>80111703</v>
      </c>
      <c r="B16947" s="76" t="s">
        <v>5142</v>
      </c>
    </row>
    <row r="16948" spans="1:2" x14ac:dyDescent="0.25">
      <c r="A16948" s="75">
        <v>80111704</v>
      </c>
      <c r="B16948" s="76" t="s">
        <v>17274</v>
      </c>
    </row>
    <row r="16949" spans="1:2" x14ac:dyDescent="0.25">
      <c r="A16949" s="75">
        <v>80111705</v>
      </c>
      <c r="B16949" s="76" t="s">
        <v>933</v>
      </c>
    </row>
    <row r="16950" spans="1:2" x14ac:dyDescent="0.25">
      <c r="A16950" s="75">
        <v>80111706</v>
      </c>
      <c r="B16950" s="76" t="s">
        <v>17704</v>
      </c>
    </row>
    <row r="16951" spans="1:2" x14ac:dyDescent="0.25">
      <c r="A16951" s="75">
        <v>80111707</v>
      </c>
      <c r="B16951" s="76" t="s">
        <v>7630</v>
      </c>
    </row>
    <row r="16952" spans="1:2" x14ac:dyDescent="0.25">
      <c r="A16952" s="75">
        <v>80111708</v>
      </c>
      <c r="B16952" s="76" t="s">
        <v>15421</v>
      </c>
    </row>
    <row r="16953" spans="1:2" x14ac:dyDescent="0.25">
      <c r="A16953" s="75">
        <v>80111709</v>
      </c>
      <c r="B16953" s="76" t="s">
        <v>10616</v>
      </c>
    </row>
    <row r="16954" spans="1:2" x14ac:dyDescent="0.25">
      <c r="A16954" s="75">
        <v>80111710</v>
      </c>
      <c r="B16954" s="76" t="s">
        <v>18014</v>
      </c>
    </row>
    <row r="16955" spans="1:2" x14ac:dyDescent="0.25">
      <c r="A16955" s="75">
        <v>80111711</v>
      </c>
      <c r="B16955" s="76" t="s">
        <v>11769</v>
      </c>
    </row>
    <row r="16956" spans="1:2" x14ac:dyDescent="0.25">
      <c r="A16956" s="75">
        <v>80111712</v>
      </c>
      <c r="B16956" s="76" t="s">
        <v>17116</v>
      </c>
    </row>
    <row r="16957" spans="1:2" x14ac:dyDescent="0.25">
      <c r="A16957" s="75">
        <v>80111713</v>
      </c>
      <c r="B16957" s="76" t="s">
        <v>17725</v>
      </c>
    </row>
    <row r="16958" spans="1:2" x14ac:dyDescent="0.25">
      <c r="A16958" s="75">
        <v>80111714</v>
      </c>
      <c r="B16958" s="76" t="s">
        <v>7369</v>
      </c>
    </row>
    <row r="16959" spans="1:2" x14ac:dyDescent="0.25">
      <c r="A16959" s="75">
        <v>80111715</v>
      </c>
      <c r="B16959" s="76" t="s">
        <v>12846</v>
      </c>
    </row>
    <row r="16960" spans="1:2" x14ac:dyDescent="0.25">
      <c r="A16960" s="75">
        <v>80111716</v>
      </c>
      <c r="B16960" s="76" t="s">
        <v>4879</v>
      </c>
    </row>
    <row r="16961" spans="1:2" x14ac:dyDescent="0.25">
      <c r="A16961" s="75">
        <v>80111801</v>
      </c>
      <c r="B16961" s="76" t="s">
        <v>14505</v>
      </c>
    </row>
    <row r="16962" spans="1:2" x14ac:dyDescent="0.25">
      <c r="A16962" s="75">
        <v>80121501</v>
      </c>
      <c r="B16962" s="76" t="s">
        <v>19168</v>
      </c>
    </row>
    <row r="16963" spans="1:2" x14ac:dyDescent="0.25">
      <c r="A16963" s="75">
        <v>80121502</v>
      </c>
      <c r="B16963" s="76" t="s">
        <v>2469</v>
      </c>
    </row>
    <row r="16964" spans="1:2" x14ac:dyDescent="0.25">
      <c r="A16964" s="75">
        <v>80121503</v>
      </c>
      <c r="B16964" s="76" t="s">
        <v>5359</v>
      </c>
    </row>
    <row r="16965" spans="1:2" x14ac:dyDescent="0.25">
      <c r="A16965" s="75">
        <v>80121601</v>
      </c>
      <c r="B16965" s="76" t="s">
        <v>12786</v>
      </c>
    </row>
    <row r="16966" spans="1:2" x14ac:dyDescent="0.25">
      <c r="A16966" s="75">
        <v>80121602</v>
      </c>
      <c r="B16966" s="76" t="s">
        <v>11704</v>
      </c>
    </row>
    <row r="16967" spans="1:2" x14ac:dyDescent="0.25">
      <c r="A16967" s="75">
        <v>80121603</v>
      </c>
      <c r="B16967" s="76" t="s">
        <v>14035</v>
      </c>
    </row>
    <row r="16968" spans="1:2" x14ac:dyDescent="0.25">
      <c r="A16968" s="75">
        <v>80121604</v>
      </c>
      <c r="B16968" s="76" t="s">
        <v>8444</v>
      </c>
    </row>
    <row r="16969" spans="1:2" x14ac:dyDescent="0.25">
      <c r="A16969" s="75">
        <v>80121605</v>
      </c>
      <c r="B16969" s="76" t="s">
        <v>14017</v>
      </c>
    </row>
    <row r="16970" spans="1:2" x14ac:dyDescent="0.25">
      <c r="A16970" s="75">
        <v>80121606</v>
      </c>
      <c r="B16970" s="76" t="s">
        <v>16152</v>
      </c>
    </row>
    <row r="16971" spans="1:2" x14ac:dyDescent="0.25">
      <c r="A16971" s="75">
        <v>80121607</v>
      </c>
      <c r="B16971" s="76" t="s">
        <v>5191</v>
      </c>
    </row>
    <row r="16972" spans="1:2" x14ac:dyDescent="0.25">
      <c r="A16972" s="75">
        <v>80121608</v>
      </c>
      <c r="B16972" s="76" t="s">
        <v>10787</v>
      </c>
    </row>
    <row r="16973" spans="1:2" x14ac:dyDescent="0.25">
      <c r="A16973" s="75">
        <v>80121609</v>
      </c>
      <c r="B16973" s="76" t="s">
        <v>12392</v>
      </c>
    </row>
    <row r="16974" spans="1:2" x14ac:dyDescent="0.25">
      <c r="A16974" s="75">
        <v>80121610</v>
      </c>
      <c r="B16974" s="76" t="s">
        <v>6060</v>
      </c>
    </row>
    <row r="16975" spans="1:2" x14ac:dyDescent="0.25">
      <c r="A16975" s="75">
        <v>80121611</v>
      </c>
      <c r="B16975" s="76" t="s">
        <v>5513</v>
      </c>
    </row>
    <row r="16976" spans="1:2" x14ac:dyDescent="0.25">
      <c r="A16976" s="75">
        <v>80121701</v>
      </c>
      <c r="B16976" s="76" t="s">
        <v>14846</v>
      </c>
    </row>
    <row r="16977" spans="1:2" x14ac:dyDescent="0.25">
      <c r="A16977" s="75">
        <v>80121702</v>
      </c>
      <c r="B16977" s="76" t="s">
        <v>667</v>
      </c>
    </row>
    <row r="16978" spans="1:2" x14ac:dyDescent="0.25">
      <c r="A16978" s="75">
        <v>80121703</v>
      </c>
      <c r="B16978" s="76" t="s">
        <v>10171</v>
      </c>
    </row>
    <row r="16979" spans="1:2" x14ac:dyDescent="0.25">
      <c r="A16979" s="75">
        <v>80121704</v>
      </c>
      <c r="B16979" s="76" t="s">
        <v>18674</v>
      </c>
    </row>
    <row r="16980" spans="1:2" x14ac:dyDescent="0.25">
      <c r="A16980" s="75">
        <v>80121705</v>
      </c>
      <c r="B16980" s="76" t="s">
        <v>13727</v>
      </c>
    </row>
    <row r="16981" spans="1:2" x14ac:dyDescent="0.25">
      <c r="A16981" s="75">
        <v>80121706</v>
      </c>
      <c r="B16981" s="76" t="s">
        <v>11858</v>
      </c>
    </row>
    <row r="16982" spans="1:2" x14ac:dyDescent="0.25">
      <c r="A16982" s="75">
        <v>80121707</v>
      </c>
      <c r="B16982" s="76" t="s">
        <v>16551</v>
      </c>
    </row>
    <row r="16983" spans="1:2" x14ac:dyDescent="0.25">
      <c r="A16983" s="75">
        <v>80121801</v>
      </c>
      <c r="B16983" s="76" t="s">
        <v>13120</v>
      </c>
    </row>
    <row r="16984" spans="1:2" x14ac:dyDescent="0.25">
      <c r="A16984" s="75">
        <v>80121802</v>
      </c>
      <c r="B16984" s="76" t="s">
        <v>4684</v>
      </c>
    </row>
    <row r="16985" spans="1:2" x14ac:dyDescent="0.25">
      <c r="A16985" s="75">
        <v>80121803</v>
      </c>
      <c r="B16985" s="76" t="s">
        <v>13969</v>
      </c>
    </row>
    <row r="16986" spans="1:2" x14ac:dyDescent="0.25">
      <c r="A16986" s="75">
        <v>80121804</v>
      </c>
      <c r="B16986" s="76" t="s">
        <v>17162</v>
      </c>
    </row>
    <row r="16987" spans="1:2" x14ac:dyDescent="0.25">
      <c r="A16987" s="75">
        <v>80131501</v>
      </c>
      <c r="B16987" s="76" t="s">
        <v>18242</v>
      </c>
    </row>
    <row r="16988" spans="1:2" x14ac:dyDescent="0.25">
      <c r="A16988" s="75">
        <v>80131502</v>
      </c>
      <c r="B16988" s="76" t="s">
        <v>4323</v>
      </c>
    </row>
    <row r="16989" spans="1:2" x14ac:dyDescent="0.25">
      <c r="A16989" s="75">
        <v>80131503</v>
      </c>
      <c r="B16989" s="76" t="s">
        <v>8674</v>
      </c>
    </row>
    <row r="16990" spans="1:2" x14ac:dyDescent="0.25">
      <c r="A16990" s="75">
        <v>80131601</v>
      </c>
      <c r="B16990" s="76" t="s">
        <v>1051</v>
      </c>
    </row>
    <row r="16991" spans="1:2" x14ac:dyDescent="0.25">
      <c r="A16991" s="75">
        <v>80131602</v>
      </c>
      <c r="B16991" s="76" t="s">
        <v>8727</v>
      </c>
    </row>
    <row r="16992" spans="1:2" x14ac:dyDescent="0.25">
      <c r="A16992" s="75">
        <v>80131603</v>
      </c>
      <c r="B16992" s="76" t="s">
        <v>656</v>
      </c>
    </row>
    <row r="16993" spans="1:2" x14ac:dyDescent="0.25">
      <c r="A16993" s="75">
        <v>80131604</v>
      </c>
      <c r="B16993" s="76" t="s">
        <v>3575</v>
      </c>
    </row>
    <row r="16994" spans="1:2" x14ac:dyDescent="0.25">
      <c r="A16994" s="75">
        <v>80131605</v>
      </c>
      <c r="B16994" s="76" t="s">
        <v>5283</v>
      </c>
    </row>
    <row r="16995" spans="1:2" x14ac:dyDescent="0.25">
      <c r="A16995" s="75">
        <v>80131701</v>
      </c>
      <c r="B16995" s="76" t="s">
        <v>4635</v>
      </c>
    </row>
    <row r="16996" spans="1:2" x14ac:dyDescent="0.25">
      <c r="A16996" s="75">
        <v>80131702</v>
      </c>
      <c r="B16996" s="76" t="s">
        <v>13891</v>
      </c>
    </row>
    <row r="16997" spans="1:2" x14ac:dyDescent="0.25">
      <c r="A16997" s="75">
        <v>80131703</v>
      </c>
      <c r="B16997" s="76" t="s">
        <v>13300</v>
      </c>
    </row>
    <row r="16998" spans="1:2" x14ac:dyDescent="0.25">
      <c r="A16998" s="75">
        <v>80131801</v>
      </c>
      <c r="B16998" s="76" t="s">
        <v>6247</v>
      </c>
    </row>
    <row r="16999" spans="1:2" x14ac:dyDescent="0.25">
      <c r="A16999" s="75">
        <v>80131802</v>
      </c>
      <c r="B16999" s="76" t="s">
        <v>16047</v>
      </c>
    </row>
    <row r="17000" spans="1:2" x14ac:dyDescent="0.25">
      <c r="A17000" s="75">
        <v>80131803</v>
      </c>
      <c r="B17000" s="76" t="s">
        <v>16715</v>
      </c>
    </row>
    <row r="17001" spans="1:2" x14ac:dyDescent="0.25">
      <c r="A17001" s="75">
        <v>80141501</v>
      </c>
      <c r="B17001" s="76" t="s">
        <v>13954</v>
      </c>
    </row>
    <row r="17002" spans="1:2" x14ac:dyDescent="0.25">
      <c r="A17002" s="75">
        <v>80141502</v>
      </c>
      <c r="B17002" s="76" t="s">
        <v>8945</v>
      </c>
    </row>
    <row r="17003" spans="1:2" x14ac:dyDescent="0.25">
      <c r="A17003" s="75">
        <v>80141503</v>
      </c>
      <c r="B17003" s="76" t="s">
        <v>18479</v>
      </c>
    </row>
    <row r="17004" spans="1:2" x14ac:dyDescent="0.25">
      <c r="A17004" s="75">
        <v>80141504</v>
      </c>
      <c r="B17004" s="76" t="s">
        <v>14844</v>
      </c>
    </row>
    <row r="17005" spans="1:2" x14ac:dyDescent="0.25">
      <c r="A17005" s="75">
        <v>80141505</v>
      </c>
      <c r="B17005" s="76" t="s">
        <v>15805</v>
      </c>
    </row>
    <row r="17006" spans="1:2" x14ac:dyDescent="0.25">
      <c r="A17006" s="75">
        <v>80141506</v>
      </c>
      <c r="B17006" s="76" t="s">
        <v>4297</v>
      </c>
    </row>
    <row r="17007" spans="1:2" x14ac:dyDescent="0.25">
      <c r="A17007" s="75">
        <v>80141507</v>
      </c>
      <c r="B17007" s="76" t="s">
        <v>8706</v>
      </c>
    </row>
    <row r="17008" spans="1:2" x14ac:dyDescent="0.25">
      <c r="A17008" s="75">
        <v>80141508</v>
      </c>
      <c r="B17008" s="76" t="s">
        <v>307</v>
      </c>
    </row>
    <row r="17009" spans="1:2" x14ac:dyDescent="0.25">
      <c r="A17009" s="75">
        <v>80141509</v>
      </c>
      <c r="B17009" s="76" t="s">
        <v>17924</v>
      </c>
    </row>
    <row r="17010" spans="1:2" x14ac:dyDescent="0.25">
      <c r="A17010" s="75">
        <v>80141510</v>
      </c>
      <c r="B17010" s="76" t="s">
        <v>8731</v>
      </c>
    </row>
    <row r="17011" spans="1:2" x14ac:dyDescent="0.25">
      <c r="A17011" s="75">
        <v>80141511</v>
      </c>
      <c r="B17011" s="76" t="s">
        <v>13227</v>
      </c>
    </row>
    <row r="17012" spans="1:2" x14ac:dyDescent="0.25">
      <c r="A17012" s="75">
        <v>80141512</v>
      </c>
      <c r="B17012" s="76" t="s">
        <v>5169</v>
      </c>
    </row>
    <row r="17013" spans="1:2" x14ac:dyDescent="0.25">
      <c r="A17013" s="75">
        <v>80141513</v>
      </c>
      <c r="B17013" s="76" t="s">
        <v>1408</v>
      </c>
    </row>
    <row r="17014" spans="1:2" x14ac:dyDescent="0.25">
      <c r="A17014" s="75">
        <v>80141514</v>
      </c>
      <c r="B17014" s="76" t="s">
        <v>2517</v>
      </c>
    </row>
    <row r="17015" spans="1:2" x14ac:dyDescent="0.25">
      <c r="A17015" s="75">
        <v>80141601</v>
      </c>
      <c r="B17015" s="76" t="s">
        <v>19385</v>
      </c>
    </row>
    <row r="17016" spans="1:2" x14ac:dyDescent="0.25">
      <c r="A17016" s="75">
        <v>80141602</v>
      </c>
      <c r="B17016" s="76" t="s">
        <v>3384</v>
      </c>
    </row>
    <row r="17017" spans="1:2" x14ac:dyDescent="0.25">
      <c r="A17017" s="75">
        <v>80141603</v>
      </c>
      <c r="B17017" s="76" t="s">
        <v>5549</v>
      </c>
    </row>
    <row r="17018" spans="1:2" x14ac:dyDescent="0.25">
      <c r="A17018" s="75">
        <v>80141604</v>
      </c>
      <c r="B17018" s="76" t="s">
        <v>14211</v>
      </c>
    </row>
    <row r="17019" spans="1:2" x14ac:dyDescent="0.25">
      <c r="A17019" s="75">
        <v>80141605</v>
      </c>
      <c r="B17019" s="76" t="s">
        <v>18989</v>
      </c>
    </row>
    <row r="17020" spans="1:2" x14ac:dyDescent="0.25">
      <c r="A17020" s="75">
        <v>80141606</v>
      </c>
      <c r="B17020" s="76" t="s">
        <v>2779</v>
      </c>
    </row>
    <row r="17021" spans="1:2" x14ac:dyDescent="0.25">
      <c r="A17021" s="75">
        <v>80141607</v>
      </c>
      <c r="B17021" s="76" t="s">
        <v>10820</v>
      </c>
    </row>
    <row r="17022" spans="1:2" x14ac:dyDescent="0.25">
      <c r="A17022" s="75">
        <v>80141609</v>
      </c>
      <c r="B17022" s="76" t="s">
        <v>11548</v>
      </c>
    </row>
    <row r="17023" spans="1:2" x14ac:dyDescent="0.25">
      <c r="A17023" s="75">
        <v>80141610</v>
      </c>
      <c r="B17023" s="76" t="s">
        <v>5109</v>
      </c>
    </row>
    <row r="17024" spans="1:2" x14ac:dyDescent="0.25">
      <c r="A17024" s="75">
        <v>80141611</v>
      </c>
      <c r="B17024" s="76" t="s">
        <v>18752</v>
      </c>
    </row>
    <row r="17025" spans="1:2" x14ac:dyDescent="0.25">
      <c r="A17025" s="75">
        <v>80141612</v>
      </c>
      <c r="B17025" s="76" t="s">
        <v>15381</v>
      </c>
    </row>
    <row r="17026" spans="1:2" x14ac:dyDescent="0.25">
      <c r="A17026" s="75">
        <v>80141613</v>
      </c>
      <c r="B17026" s="76" t="s">
        <v>16803</v>
      </c>
    </row>
    <row r="17027" spans="1:2" x14ac:dyDescent="0.25">
      <c r="A17027" s="75">
        <v>80141614</v>
      </c>
      <c r="B17027" s="76" t="s">
        <v>14585</v>
      </c>
    </row>
    <row r="17028" spans="1:2" x14ac:dyDescent="0.25">
      <c r="A17028" s="75">
        <v>80141615</v>
      </c>
      <c r="B17028" s="76" t="s">
        <v>15677</v>
      </c>
    </row>
    <row r="17029" spans="1:2" x14ac:dyDescent="0.25">
      <c r="A17029" s="75">
        <v>80141616</v>
      </c>
      <c r="B17029" s="76" t="s">
        <v>7609</v>
      </c>
    </row>
    <row r="17030" spans="1:2" x14ac:dyDescent="0.25">
      <c r="A17030" s="75">
        <v>80141617</v>
      </c>
      <c r="B17030" s="76" t="s">
        <v>5630</v>
      </c>
    </row>
    <row r="17031" spans="1:2" x14ac:dyDescent="0.25">
      <c r="A17031" s="75">
        <v>80141618</v>
      </c>
      <c r="B17031" s="76" t="s">
        <v>19195</v>
      </c>
    </row>
    <row r="17032" spans="1:2" x14ac:dyDescent="0.25">
      <c r="A17032" s="75">
        <v>80141619</v>
      </c>
      <c r="B17032" s="76" t="s">
        <v>10624</v>
      </c>
    </row>
    <row r="17033" spans="1:2" x14ac:dyDescent="0.25">
      <c r="A17033" s="75">
        <v>80141620</v>
      </c>
      <c r="B17033" s="76" t="s">
        <v>19830</v>
      </c>
    </row>
    <row r="17034" spans="1:2" x14ac:dyDescent="0.25">
      <c r="A17034" s="75">
        <v>80141621</v>
      </c>
      <c r="B17034" s="76" t="s">
        <v>14362</v>
      </c>
    </row>
    <row r="17035" spans="1:2" x14ac:dyDescent="0.25">
      <c r="A17035" s="75">
        <v>80141622</v>
      </c>
      <c r="B17035" s="76" t="s">
        <v>1716</v>
      </c>
    </row>
    <row r="17036" spans="1:2" x14ac:dyDescent="0.25">
      <c r="A17036" s="75">
        <v>80141701</v>
      </c>
      <c r="B17036" s="76" t="s">
        <v>4906</v>
      </c>
    </row>
    <row r="17037" spans="1:2" x14ac:dyDescent="0.25">
      <c r="A17037" s="75">
        <v>80141702</v>
      </c>
      <c r="B17037" s="76" t="s">
        <v>16312</v>
      </c>
    </row>
    <row r="17038" spans="1:2" x14ac:dyDescent="0.25">
      <c r="A17038" s="75">
        <v>80141703</v>
      </c>
      <c r="B17038" s="76" t="s">
        <v>4903</v>
      </c>
    </row>
    <row r="17039" spans="1:2" x14ac:dyDescent="0.25">
      <c r="A17039" s="75">
        <v>80141704</v>
      </c>
      <c r="B17039" s="76" t="s">
        <v>19854</v>
      </c>
    </row>
    <row r="17040" spans="1:2" x14ac:dyDescent="0.25">
      <c r="A17040" s="75">
        <v>80141705</v>
      </c>
      <c r="B17040" s="76" t="s">
        <v>13312</v>
      </c>
    </row>
    <row r="17041" spans="1:2" x14ac:dyDescent="0.25">
      <c r="A17041" s="75">
        <v>80141801</v>
      </c>
      <c r="B17041" s="76" t="s">
        <v>16954</v>
      </c>
    </row>
    <row r="17042" spans="1:2" x14ac:dyDescent="0.25">
      <c r="A17042" s="75">
        <v>80141802</v>
      </c>
      <c r="B17042" s="76" t="s">
        <v>3973</v>
      </c>
    </row>
    <row r="17043" spans="1:2" x14ac:dyDescent="0.25">
      <c r="A17043" s="75">
        <v>80141803</v>
      </c>
      <c r="B17043" s="76" t="s">
        <v>17324</v>
      </c>
    </row>
    <row r="17044" spans="1:2" x14ac:dyDescent="0.25">
      <c r="A17044" s="75">
        <v>80141901</v>
      </c>
      <c r="B17044" s="76" t="s">
        <v>17071</v>
      </c>
    </row>
    <row r="17045" spans="1:2" x14ac:dyDescent="0.25">
      <c r="A17045" s="75">
        <v>80141902</v>
      </c>
      <c r="B17045" s="76" t="s">
        <v>5595</v>
      </c>
    </row>
    <row r="17046" spans="1:2" x14ac:dyDescent="0.25">
      <c r="A17046" s="75">
        <v>80141903</v>
      </c>
      <c r="B17046" s="76" t="s">
        <v>16578</v>
      </c>
    </row>
    <row r="17047" spans="1:2" x14ac:dyDescent="0.25">
      <c r="A17047" s="75">
        <v>80151501</v>
      </c>
      <c r="B17047" s="76" t="s">
        <v>19317</v>
      </c>
    </row>
    <row r="17048" spans="1:2" x14ac:dyDescent="0.25">
      <c r="A17048" s="75">
        <v>80151502</v>
      </c>
      <c r="B17048" s="76" t="s">
        <v>1309</v>
      </c>
    </row>
    <row r="17049" spans="1:2" x14ac:dyDescent="0.25">
      <c r="A17049" s="75">
        <v>80151503</v>
      </c>
      <c r="B17049" s="76" t="s">
        <v>19939</v>
      </c>
    </row>
    <row r="17050" spans="1:2" x14ac:dyDescent="0.25">
      <c r="A17050" s="75">
        <v>80151504</v>
      </c>
      <c r="B17050" s="76" t="s">
        <v>4249</v>
      </c>
    </row>
    <row r="17051" spans="1:2" x14ac:dyDescent="0.25">
      <c r="A17051" s="75">
        <v>80151505</v>
      </c>
      <c r="B17051" s="76" t="s">
        <v>12664</v>
      </c>
    </row>
    <row r="17052" spans="1:2" x14ac:dyDescent="0.25">
      <c r="A17052" s="75">
        <v>80151601</v>
      </c>
      <c r="B17052" s="76" t="s">
        <v>3651</v>
      </c>
    </row>
    <row r="17053" spans="1:2" x14ac:dyDescent="0.25">
      <c r="A17053" s="75">
        <v>80151602</v>
      </c>
      <c r="B17053" s="76" t="s">
        <v>4637</v>
      </c>
    </row>
    <row r="17054" spans="1:2" x14ac:dyDescent="0.25">
      <c r="A17054" s="75">
        <v>80151603</v>
      </c>
      <c r="B17054" s="76" t="s">
        <v>12928</v>
      </c>
    </row>
    <row r="17055" spans="1:2" x14ac:dyDescent="0.25">
      <c r="A17055" s="75">
        <v>80151604</v>
      </c>
      <c r="B17055" s="76" t="s">
        <v>18274</v>
      </c>
    </row>
    <row r="17056" spans="1:2" x14ac:dyDescent="0.25">
      <c r="A17056" s="75">
        <v>80161501</v>
      </c>
      <c r="B17056" s="76" t="s">
        <v>3333</v>
      </c>
    </row>
    <row r="17057" spans="1:2" x14ac:dyDescent="0.25">
      <c r="A17057" s="75">
        <v>80161502</v>
      </c>
      <c r="B17057" s="76" t="s">
        <v>2232</v>
      </c>
    </row>
    <row r="17058" spans="1:2" x14ac:dyDescent="0.25">
      <c r="A17058" s="75">
        <v>80161503</v>
      </c>
      <c r="B17058" s="76" t="s">
        <v>8115</v>
      </c>
    </row>
    <row r="17059" spans="1:2" x14ac:dyDescent="0.25">
      <c r="A17059" s="75">
        <v>80161504</v>
      </c>
      <c r="B17059" s="76" t="s">
        <v>10442</v>
      </c>
    </row>
    <row r="17060" spans="1:2" x14ac:dyDescent="0.25">
      <c r="A17060" s="75">
        <v>80161505</v>
      </c>
      <c r="B17060" s="76" t="s">
        <v>18036</v>
      </c>
    </row>
    <row r="17061" spans="1:2" x14ac:dyDescent="0.25">
      <c r="A17061" s="75">
        <v>80161506</v>
      </c>
      <c r="B17061" s="76" t="s">
        <v>15735</v>
      </c>
    </row>
    <row r="17062" spans="1:2" x14ac:dyDescent="0.25">
      <c r="A17062" s="75">
        <v>80161507</v>
      </c>
      <c r="B17062" s="76" t="s">
        <v>3813</v>
      </c>
    </row>
    <row r="17063" spans="1:2" x14ac:dyDescent="0.25">
      <c r="A17063" s="75">
        <v>80161508</v>
      </c>
      <c r="B17063" s="76" t="s">
        <v>7559</v>
      </c>
    </row>
    <row r="17064" spans="1:2" x14ac:dyDescent="0.25">
      <c r="A17064" s="75">
        <v>80161601</v>
      </c>
      <c r="B17064" s="76" t="s">
        <v>5775</v>
      </c>
    </row>
    <row r="17065" spans="1:2" x14ac:dyDescent="0.25">
      <c r="A17065" s="75">
        <v>80161602</v>
      </c>
      <c r="B17065" s="76" t="s">
        <v>15728</v>
      </c>
    </row>
    <row r="17066" spans="1:2" x14ac:dyDescent="0.25">
      <c r="A17066" s="75">
        <v>80161603</v>
      </c>
      <c r="B17066" s="76" t="s">
        <v>18507</v>
      </c>
    </row>
    <row r="17067" spans="1:2" x14ac:dyDescent="0.25">
      <c r="A17067" s="75">
        <v>81101501</v>
      </c>
      <c r="B17067" s="76" t="s">
        <v>5316</v>
      </c>
    </row>
    <row r="17068" spans="1:2" x14ac:dyDescent="0.25">
      <c r="A17068" s="75">
        <v>81101502</v>
      </c>
      <c r="B17068" s="76" t="s">
        <v>2714</v>
      </c>
    </row>
    <row r="17069" spans="1:2" x14ac:dyDescent="0.25">
      <c r="A17069" s="75">
        <v>81101503</v>
      </c>
      <c r="B17069" s="76" t="s">
        <v>6617</v>
      </c>
    </row>
    <row r="17070" spans="1:2" x14ac:dyDescent="0.25">
      <c r="A17070" s="75">
        <v>81101505</v>
      </c>
      <c r="B17070" s="76" t="s">
        <v>13272</v>
      </c>
    </row>
    <row r="17071" spans="1:2" x14ac:dyDescent="0.25">
      <c r="A17071" s="75">
        <v>81101506</v>
      </c>
      <c r="B17071" s="76" t="s">
        <v>6207</v>
      </c>
    </row>
    <row r="17072" spans="1:2" x14ac:dyDescent="0.25">
      <c r="A17072" s="75">
        <v>81101507</v>
      </c>
      <c r="B17072" s="76" t="s">
        <v>13740</v>
      </c>
    </row>
    <row r="17073" spans="1:2" x14ac:dyDescent="0.25">
      <c r="A17073" s="75">
        <v>81101508</v>
      </c>
      <c r="B17073" s="76" t="s">
        <v>15394</v>
      </c>
    </row>
    <row r="17074" spans="1:2" x14ac:dyDescent="0.25">
      <c r="A17074" s="75">
        <v>81101509</v>
      </c>
      <c r="B17074" s="76" t="s">
        <v>17454</v>
      </c>
    </row>
    <row r="17075" spans="1:2" x14ac:dyDescent="0.25">
      <c r="A17075" s="75">
        <v>81101510</v>
      </c>
      <c r="B17075" s="76" t="s">
        <v>9066</v>
      </c>
    </row>
    <row r="17076" spans="1:2" x14ac:dyDescent="0.25">
      <c r="A17076" s="75">
        <v>81101511</v>
      </c>
      <c r="B17076" s="76" t="s">
        <v>8579</v>
      </c>
    </row>
    <row r="17077" spans="1:2" x14ac:dyDescent="0.25">
      <c r="A17077" s="75">
        <v>81101512</v>
      </c>
      <c r="B17077" s="76" t="s">
        <v>99</v>
      </c>
    </row>
    <row r="17078" spans="1:2" x14ac:dyDescent="0.25">
      <c r="A17078" s="75">
        <v>81101513</v>
      </c>
      <c r="B17078" s="76" t="s">
        <v>14943</v>
      </c>
    </row>
    <row r="17079" spans="1:2" x14ac:dyDescent="0.25">
      <c r="A17079" s="75">
        <v>81101601</v>
      </c>
      <c r="B17079" s="76" t="s">
        <v>19227</v>
      </c>
    </row>
    <row r="17080" spans="1:2" x14ac:dyDescent="0.25">
      <c r="A17080" s="75">
        <v>81101602</v>
      </c>
      <c r="B17080" s="76" t="s">
        <v>18715</v>
      </c>
    </row>
    <row r="17081" spans="1:2" x14ac:dyDescent="0.25">
      <c r="A17081" s="75">
        <v>81101603</v>
      </c>
      <c r="B17081" s="76" t="s">
        <v>18942</v>
      </c>
    </row>
    <row r="17082" spans="1:2" x14ac:dyDescent="0.25">
      <c r="A17082" s="75">
        <v>81101604</v>
      </c>
      <c r="B17082" s="76" t="s">
        <v>10749</v>
      </c>
    </row>
    <row r="17083" spans="1:2" x14ac:dyDescent="0.25">
      <c r="A17083" s="75">
        <v>81101605</v>
      </c>
      <c r="B17083" s="76" t="s">
        <v>11158</v>
      </c>
    </row>
    <row r="17084" spans="1:2" x14ac:dyDescent="0.25">
      <c r="A17084" s="75">
        <v>81101701</v>
      </c>
      <c r="B17084" s="76" t="s">
        <v>10447</v>
      </c>
    </row>
    <row r="17085" spans="1:2" x14ac:dyDescent="0.25">
      <c r="A17085" s="75">
        <v>81101702</v>
      </c>
      <c r="B17085" s="76" t="s">
        <v>13296</v>
      </c>
    </row>
    <row r="17086" spans="1:2" x14ac:dyDescent="0.25">
      <c r="A17086" s="75">
        <v>81101703</v>
      </c>
      <c r="B17086" s="76" t="s">
        <v>17835</v>
      </c>
    </row>
    <row r="17087" spans="1:2" x14ac:dyDescent="0.25">
      <c r="A17087" s="75">
        <v>81101801</v>
      </c>
      <c r="B17087" s="76" t="s">
        <v>16533</v>
      </c>
    </row>
    <row r="17088" spans="1:2" x14ac:dyDescent="0.25">
      <c r="A17088" s="75">
        <v>81101902</v>
      </c>
      <c r="B17088" s="76" t="s">
        <v>19554</v>
      </c>
    </row>
    <row r="17089" spans="1:2" x14ac:dyDescent="0.25">
      <c r="A17089" s="75">
        <v>81102001</v>
      </c>
      <c r="B17089" s="76" t="s">
        <v>1460</v>
      </c>
    </row>
    <row r="17090" spans="1:2" x14ac:dyDescent="0.25">
      <c r="A17090" s="75">
        <v>81102101</v>
      </c>
      <c r="B17090" s="76" t="s">
        <v>2506</v>
      </c>
    </row>
    <row r="17091" spans="1:2" x14ac:dyDescent="0.25">
      <c r="A17091" s="75">
        <v>81102201</v>
      </c>
      <c r="B17091" s="76" t="s">
        <v>13748</v>
      </c>
    </row>
    <row r="17092" spans="1:2" x14ac:dyDescent="0.25">
      <c r="A17092" s="75">
        <v>81102202</v>
      </c>
      <c r="B17092" s="76" t="s">
        <v>9211</v>
      </c>
    </row>
    <row r="17093" spans="1:2" x14ac:dyDescent="0.25">
      <c r="A17093" s="75">
        <v>81102203</v>
      </c>
      <c r="B17093" s="76" t="s">
        <v>14763</v>
      </c>
    </row>
    <row r="17094" spans="1:2" x14ac:dyDescent="0.25">
      <c r="A17094" s="75">
        <v>81102301</v>
      </c>
      <c r="B17094" s="76" t="s">
        <v>11790</v>
      </c>
    </row>
    <row r="17095" spans="1:2" x14ac:dyDescent="0.25">
      <c r="A17095" s="75">
        <v>81111501</v>
      </c>
      <c r="B17095" s="76" t="s">
        <v>17565</v>
      </c>
    </row>
    <row r="17096" spans="1:2" x14ac:dyDescent="0.25">
      <c r="A17096" s="75">
        <v>81111502</v>
      </c>
      <c r="B17096" s="76" t="s">
        <v>7565</v>
      </c>
    </row>
    <row r="17097" spans="1:2" x14ac:dyDescent="0.25">
      <c r="A17097" s="75">
        <v>81111503</v>
      </c>
      <c r="B17097" s="76" t="s">
        <v>16566</v>
      </c>
    </row>
    <row r="17098" spans="1:2" x14ac:dyDescent="0.25">
      <c r="A17098" s="75">
        <v>81111504</v>
      </c>
      <c r="B17098" s="76" t="s">
        <v>2195</v>
      </c>
    </row>
    <row r="17099" spans="1:2" x14ac:dyDescent="0.25">
      <c r="A17099" s="75">
        <v>81111505</v>
      </c>
      <c r="B17099" s="76" t="s">
        <v>960</v>
      </c>
    </row>
    <row r="17100" spans="1:2" x14ac:dyDescent="0.25">
      <c r="A17100" s="75">
        <v>81111506</v>
      </c>
      <c r="B17100" s="76" t="s">
        <v>2672</v>
      </c>
    </row>
    <row r="17101" spans="1:2" x14ac:dyDescent="0.25">
      <c r="A17101" s="75">
        <v>81111507</v>
      </c>
      <c r="B17101" s="76" t="s">
        <v>6352</v>
      </c>
    </row>
    <row r="17102" spans="1:2" x14ac:dyDescent="0.25">
      <c r="A17102" s="75">
        <v>81111508</v>
      </c>
      <c r="B17102" s="76" t="s">
        <v>1817</v>
      </c>
    </row>
    <row r="17103" spans="1:2" x14ac:dyDescent="0.25">
      <c r="A17103" s="75">
        <v>81111509</v>
      </c>
      <c r="B17103" s="76" t="s">
        <v>14961</v>
      </c>
    </row>
    <row r="17104" spans="1:2" x14ac:dyDescent="0.25">
      <c r="A17104" s="75">
        <v>81111510</v>
      </c>
      <c r="B17104" s="76" t="s">
        <v>4688</v>
      </c>
    </row>
    <row r="17105" spans="1:2" x14ac:dyDescent="0.25">
      <c r="A17105" s="75">
        <v>81111601</v>
      </c>
      <c r="B17105" s="76" t="s">
        <v>3681</v>
      </c>
    </row>
    <row r="17106" spans="1:2" x14ac:dyDescent="0.25">
      <c r="A17106" s="75">
        <v>81111602</v>
      </c>
      <c r="B17106" s="76" t="s">
        <v>3055</v>
      </c>
    </row>
    <row r="17107" spans="1:2" x14ac:dyDescent="0.25">
      <c r="A17107" s="75">
        <v>81111603</v>
      </c>
      <c r="B17107" s="76" t="s">
        <v>4319</v>
      </c>
    </row>
    <row r="17108" spans="1:2" x14ac:dyDescent="0.25">
      <c r="A17108" s="75">
        <v>81111604</v>
      </c>
      <c r="B17108" s="76" t="s">
        <v>10199</v>
      </c>
    </row>
    <row r="17109" spans="1:2" x14ac:dyDescent="0.25">
      <c r="A17109" s="75">
        <v>81111605</v>
      </c>
      <c r="B17109" s="76" t="s">
        <v>1607</v>
      </c>
    </row>
    <row r="17110" spans="1:2" x14ac:dyDescent="0.25">
      <c r="A17110" s="75">
        <v>81111606</v>
      </c>
      <c r="B17110" s="76" t="s">
        <v>17373</v>
      </c>
    </row>
    <row r="17111" spans="1:2" x14ac:dyDescent="0.25">
      <c r="A17111" s="75">
        <v>81111607</v>
      </c>
      <c r="B17111" s="76" t="s">
        <v>9307</v>
      </c>
    </row>
    <row r="17112" spans="1:2" x14ac:dyDescent="0.25">
      <c r="A17112" s="75">
        <v>81111608</v>
      </c>
      <c r="B17112" s="76" t="s">
        <v>3944</v>
      </c>
    </row>
    <row r="17113" spans="1:2" x14ac:dyDescent="0.25">
      <c r="A17113" s="75">
        <v>81111609</v>
      </c>
      <c r="B17113" s="76" t="s">
        <v>9678</v>
      </c>
    </row>
    <row r="17114" spans="1:2" x14ac:dyDescent="0.25">
      <c r="A17114" s="75">
        <v>81111610</v>
      </c>
      <c r="B17114" s="76" t="s">
        <v>9785</v>
      </c>
    </row>
    <row r="17115" spans="1:2" x14ac:dyDescent="0.25">
      <c r="A17115" s="75">
        <v>81111611</v>
      </c>
      <c r="B17115" s="76" t="s">
        <v>17778</v>
      </c>
    </row>
    <row r="17116" spans="1:2" x14ac:dyDescent="0.25">
      <c r="A17116" s="75">
        <v>81111612</v>
      </c>
      <c r="B17116" s="76" t="s">
        <v>18254</v>
      </c>
    </row>
    <row r="17117" spans="1:2" x14ac:dyDescent="0.25">
      <c r="A17117" s="75">
        <v>81111613</v>
      </c>
      <c r="B17117" s="76" t="s">
        <v>16228</v>
      </c>
    </row>
    <row r="17118" spans="1:2" x14ac:dyDescent="0.25">
      <c r="A17118" s="75">
        <v>81111701</v>
      </c>
      <c r="B17118" s="76" t="s">
        <v>9724</v>
      </c>
    </row>
    <row r="17119" spans="1:2" x14ac:dyDescent="0.25">
      <c r="A17119" s="75">
        <v>81111702</v>
      </c>
      <c r="B17119" s="76" t="s">
        <v>6663</v>
      </c>
    </row>
    <row r="17120" spans="1:2" x14ac:dyDescent="0.25">
      <c r="A17120" s="75">
        <v>81111703</v>
      </c>
      <c r="B17120" s="76" t="s">
        <v>9215</v>
      </c>
    </row>
    <row r="17121" spans="1:2" x14ac:dyDescent="0.25">
      <c r="A17121" s="75">
        <v>81111704</v>
      </c>
      <c r="B17121" s="76" t="s">
        <v>6322</v>
      </c>
    </row>
    <row r="17122" spans="1:2" x14ac:dyDescent="0.25">
      <c r="A17122" s="75">
        <v>81111705</v>
      </c>
      <c r="B17122" s="76" t="s">
        <v>2518</v>
      </c>
    </row>
    <row r="17123" spans="1:2" x14ac:dyDescent="0.25">
      <c r="A17123" s="75">
        <v>81111801</v>
      </c>
      <c r="B17123" s="76" t="s">
        <v>17643</v>
      </c>
    </row>
    <row r="17124" spans="1:2" x14ac:dyDescent="0.25">
      <c r="A17124" s="75">
        <v>81111802</v>
      </c>
      <c r="B17124" s="76" t="s">
        <v>19417</v>
      </c>
    </row>
    <row r="17125" spans="1:2" x14ac:dyDescent="0.25">
      <c r="A17125" s="75">
        <v>81111803</v>
      </c>
      <c r="B17125" s="76" t="s">
        <v>13026</v>
      </c>
    </row>
    <row r="17126" spans="1:2" x14ac:dyDescent="0.25">
      <c r="A17126" s="75">
        <v>81111804</v>
      </c>
      <c r="B17126" s="76" t="s">
        <v>13531</v>
      </c>
    </row>
    <row r="17127" spans="1:2" x14ac:dyDescent="0.25">
      <c r="A17127" s="75">
        <v>81111805</v>
      </c>
      <c r="B17127" s="76" t="s">
        <v>2697</v>
      </c>
    </row>
    <row r="17128" spans="1:2" x14ac:dyDescent="0.25">
      <c r="A17128" s="75">
        <v>81111806</v>
      </c>
      <c r="B17128" s="76" t="s">
        <v>1974</v>
      </c>
    </row>
    <row r="17129" spans="1:2" x14ac:dyDescent="0.25">
      <c r="A17129" s="75">
        <v>81111807</v>
      </c>
      <c r="B17129" s="76" t="s">
        <v>276</v>
      </c>
    </row>
    <row r="17130" spans="1:2" x14ac:dyDescent="0.25">
      <c r="A17130" s="75">
        <v>81111808</v>
      </c>
      <c r="B17130" s="76" t="s">
        <v>1276</v>
      </c>
    </row>
    <row r="17131" spans="1:2" x14ac:dyDescent="0.25">
      <c r="A17131" s="75">
        <v>81111809</v>
      </c>
      <c r="B17131" s="76" t="s">
        <v>1390</v>
      </c>
    </row>
    <row r="17132" spans="1:2" x14ac:dyDescent="0.25">
      <c r="A17132" s="75">
        <v>81111810</v>
      </c>
      <c r="B17132" s="76" t="s">
        <v>1748</v>
      </c>
    </row>
    <row r="17133" spans="1:2" x14ac:dyDescent="0.25">
      <c r="A17133" s="75">
        <v>81111811</v>
      </c>
      <c r="B17133" s="76" t="s">
        <v>14229</v>
      </c>
    </row>
    <row r="17134" spans="1:2" x14ac:dyDescent="0.25">
      <c r="A17134" s="75">
        <v>81111812</v>
      </c>
      <c r="B17134" s="76" t="s">
        <v>18489</v>
      </c>
    </row>
    <row r="17135" spans="1:2" x14ac:dyDescent="0.25">
      <c r="A17135" s="75">
        <v>81111814</v>
      </c>
      <c r="B17135" s="76" t="s">
        <v>5598</v>
      </c>
    </row>
    <row r="17136" spans="1:2" x14ac:dyDescent="0.25">
      <c r="A17136" s="75">
        <v>81111818</v>
      </c>
      <c r="B17136" s="76" t="s">
        <v>7247</v>
      </c>
    </row>
    <row r="17137" spans="1:2" x14ac:dyDescent="0.25">
      <c r="A17137" s="75">
        <v>81111901</v>
      </c>
      <c r="B17137" s="76" t="s">
        <v>894</v>
      </c>
    </row>
    <row r="17138" spans="1:2" x14ac:dyDescent="0.25">
      <c r="A17138" s="75">
        <v>81111902</v>
      </c>
      <c r="B17138" s="76" t="s">
        <v>19268</v>
      </c>
    </row>
    <row r="17139" spans="1:2" x14ac:dyDescent="0.25">
      <c r="A17139" s="75">
        <v>81112001</v>
      </c>
      <c r="B17139" s="76" t="s">
        <v>16077</v>
      </c>
    </row>
    <row r="17140" spans="1:2" x14ac:dyDescent="0.25">
      <c r="A17140" s="75">
        <v>81112002</v>
      </c>
      <c r="B17140" s="76" t="s">
        <v>2177</v>
      </c>
    </row>
    <row r="17141" spans="1:2" x14ac:dyDescent="0.25">
      <c r="A17141" s="75">
        <v>81112003</v>
      </c>
      <c r="B17141" s="76" t="s">
        <v>1900</v>
      </c>
    </row>
    <row r="17142" spans="1:2" x14ac:dyDescent="0.25">
      <c r="A17142" s="75">
        <v>81112004</v>
      </c>
      <c r="B17142" s="76" t="s">
        <v>1998</v>
      </c>
    </row>
    <row r="17143" spans="1:2" x14ac:dyDescent="0.25">
      <c r="A17143" s="75">
        <v>81112005</v>
      </c>
      <c r="B17143" s="76" t="s">
        <v>12377</v>
      </c>
    </row>
    <row r="17144" spans="1:2" x14ac:dyDescent="0.25">
      <c r="A17144" s="75">
        <v>81112006</v>
      </c>
      <c r="B17144" s="76" t="s">
        <v>13779</v>
      </c>
    </row>
    <row r="17145" spans="1:2" x14ac:dyDescent="0.25">
      <c r="A17145" s="75">
        <v>81112007</v>
      </c>
      <c r="B17145" s="76" t="s">
        <v>12259</v>
      </c>
    </row>
    <row r="17146" spans="1:2" x14ac:dyDescent="0.25">
      <c r="A17146" s="75">
        <v>81112008</v>
      </c>
      <c r="B17146" s="76" t="s">
        <v>16371</v>
      </c>
    </row>
    <row r="17147" spans="1:2" x14ac:dyDescent="0.25">
      <c r="A17147" s="75">
        <v>81112009</v>
      </c>
      <c r="B17147" s="76" t="s">
        <v>14433</v>
      </c>
    </row>
    <row r="17148" spans="1:2" x14ac:dyDescent="0.25">
      <c r="A17148" s="75">
        <v>81112010</v>
      </c>
      <c r="B17148" s="76" t="s">
        <v>19521</v>
      </c>
    </row>
    <row r="17149" spans="1:2" x14ac:dyDescent="0.25">
      <c r="A17149" s="75">
        <v>81112101</v>
      </c>
      <c r="B17149" s="76" t="s">
        <v>10090</v>
      </c>
    </row>
    <row r="17150" spans="1:2" x14ac:dyDescent="0.25">
      <c r="A17150" s="75">
        <v>81112102</v>
      </c>
      <c r="B17150" s="76" t="s">
        <v>461</v>
      </c>
    </row>
    <row r="17151" spans="1:2" x14ac:dyDescent="0.25">
      <c r="A17151" s="75">
        <v>81112103</v>
      </c>
      <c r="B17151" s="76" t="s">
        <v>13141</v>
      </c>
    </row>
    <row r="17152" spans="1:2" x14ac:dyDescent="0.25">
      <c r="A17152" s="75">
        <v>81112104</v>
      </c>
      <c r="B17152" s="76" t="s">
        <v>4573</v>
      </c>
    </row>
    <row r="17153" spans="1:2" x14ac:dyDescent="0.25">
      <c r="A17153" s="75">
        <v>81112105</v>
      </c>
      <c r="B17153" s="76" t="s">
        <v>4164</v>
      </c>
    </row>
    <row r="17154" spans="1:2" x14ac:dyDescent="0.25">
      <c r="A17154" s="75">
        <v>81112106</v>
      </c>
      <c r="B17154" s="76" t="s">
        <v>2808</v>
      </c>
    </row>
    <row r="17155" spans="1:2" x14ac:dyDescent="0.25">
      <c r="A17155" s="75">
        <v>81112107</v>
      </c>
      <c r="B17155" s="76" t="s">
        <v>19040</v>
      </c>
    </row>
    <row r="17156" spans="1:2" x14ac:dyDescent="0.25">
      <c r="A17156" s="75">
        <v>81112201</v>
      </c>
      <c r="B17156" s="76" t="s">
        <v>17581</v>
      </c>
    </row>
    <row r="17157" spans="1:2" x14ac:dyDescent="0.25">
      <c r="A17157" s="75">
        <v>81112202</v>
      </c>
      <c r="B17157" s="76" t="s">
        <v>18483</v>
      </c>
    </row>
    <row r="17158" spans="1:2" x14ac:dyDescent="0.25">
      <c r="A17158" s="75">
        <v>81121501</v>
      </c>
      <c r="B17158" s="76" t="s">
        <v>6508</v>
      </c>
    </row>
    <row r="17159" spans="1:2" x14ac:dyDescent="0.25">
      <c r="A17159" s="75">
        <v>81121502</v>
      </c>
      <c r="B17159" s="76" t="s">
        <v>8109</v>
      </c>
    </row>
    <row r="17160" spans="1:2" x14ac:dyDescent="0.25">
      <c r="A17160" s="75">
        <v>81121503</v>
      </c>
      <c r="B17160" s="76" t="s">
        <v>8855</v>
      </c>
    </row>
    <row r="17161" spans="1:2" x14ac:dyDescent="0.25">
      <c r="A17161" s="75">
        <v>81121504</v>
      </c>
      <c r="B17161" s="76" t="s">
        <v>5649</v>
      </c>
    </row>
    <row r="17162" spans="1:2" x14ac:dyDescent="0.25">
      <c r="A17162" s="75">
        <v>81121601</v>
      </c>
      <c r="B17162" s="76" t="s">
        <v>7146</v>
      </c>
    </row>
    <row r="17163" spans="1:2" x14ac:dyDescent="0.25">
      <c r="A17163" s="75">
        <v>81121602</v>
      </c>
      <c r="B17163" s="76" t="s">
        <v>3221</v>
      </c>
    </row>
    <row r="17164" spans="1:2" x14ac:dyDescent="0.25">
      <c r="A17164" s="75">
        <v>81121603</v>
      </c>
      <c r="B17164" s="76" t="s">
        <v>13016</v>
      </c>
    </row>
    <row r="17165" spans="1:2" x14ac:dyDescent="0.25">
      <c r="A17165" s="75">
        <v>81121604</v>
      </c>
      <c r="B17165" s="76" t="s">
        <v>6126</v>
      </c>
    </row>
    <row r="17166" spans="1:2" x14ac:dyDescent="0.25">
      <c r="A17166" s="75">
        <v>81121605</v>
      </c>
      <c r="B17166" s="76" t="s">
        <v>4494</v>
      </c>
    </row>
    <row r="17167" spans="1:2" x14ac:dyDescent="0.25">
      <c r="A17167" s="75">
        <v>81121606</v>
      </c>
      <c r="B17167" s="76" t="s">
        <v>19088</v>
      </c>
    </row>
    <row r="17168" spans="1:2" x14ac:dyDescent="0.25">
      <c r="A17168" s="75">
        <v>81121607</v>
      </c>
      <c r="B17168" s="76" t="s">
        <v>3082</v>
      </c>
    </row>
    <row r="17169" spans="1:2" x14ac:dyDescent="0.25">
      <c r="A17169" s="75">
        <v>81131501</v>
      </c>
      <c r="B17169" s="76" t="s">
        <v>7100</v>
      </c>
    </row>
    <row r="17170" spans="1:2" x14ac:dyDescent="0.25">
      <c r="A17170" s="75">
        <v>81131502</v>
      </c>
      <c r="B17170" s="76" t="s">
        <v>14348</v>
      </c>
    </row>
    <row r="17171" spans="1:2" x14ac:dyDescent="0.25">
      <c r="A17171" s="75">
        <v>81131503</v>
      </c>
      <c r="B17171" s="76" t="s">
        <v>365</v>
      </c>
    </row>
    <row r="17172" spans="1:2" x14ac:dyDescent="0.25">
      <c r="A17172" s="75">
        <v>81131504</v>
      </c>
      <c r="B17172" s="76" t="s">
        <v>2979</v>
      </c>
    </row>
    <row r="17173" spans="1:2" x14ac:dyDescent="0.25">
      <c r="A17173" s="75">
        <v>81131505</v>
      </c>
      <c r="B17173" s="76" t="s">
        <v>17456</v>
      </c>
    </row>
    <row r="17174" spans="1:2" x14ac:dyDescent="0.25">
      <c r="A17174" s="75">
        <v>81141501</v>
      </c>
      <c r="B17174" s="76" t="s">
        <v>6735</v>
      </c>
    </row>
    <row r="17175" spans="1:2" x14ac:dyDescent="0.25">
      <c r="A17175" s="75">
        <v>81141502</v>
      </c>
      <c r="B17175" s="76" t="s">
        <v>14755</v>
      </c>
    </row>
    <row r="17176" spans="1:2" x14ac:dyDescent="0.25">
      <c r="A17176" s="75">
        <v>81141503</v>
      </c>
      <c r="B17176" s="76" t="s">
        <v>15332</v>
      </c>
    </row>
    <row r="17177" spans="1:2" x14ac:dyDescent="0.25">
      <c r="A17177" s="75">
        <v>81141504</v>
      </c>
      <c r="B17177" s="76" t="s">
        <v>8262</v>
      </c>
    </row>
    <row r="17178" spans="1:2" x14ac:dyDescent="0.25">
      <c r="A17178" s="75">
        <v>81141505</v>
      </c>
      <c r="B17178" s="76" t="s">
        <v>11939</v>
      </c>
    </row>
    <row r="17179" spans="1:2" x14ac:dyDescent="0.25">
      <c r="A17179" s="75">
        <v>81141506</v>
      </c>
      <c r="B17179" s="76" t="s">
        <v>253</v>
      </c>
    </row>
    <row r="17180" spans="1:2" x14ac:dyDescent="0.25">
      <c r="A17180" s="75">
        <v>81141601</v>
      </c>
      <c r="B17180" s="76" t="s">
        <v>12018</v>
      </c>
    </row>
    <row r="17181" spans="1:2" x14ac:dyDescent="0.25">
      <c r="A17181" s="75">
        <v>81141602</v>
      </c>
      <c r="B17181" s="76" t="s">
        <v>637</v>
      </c>
    </row>
    <row r="17182" spans="1:2" x14ac:dyDescent="0.25">
      <c r="A17182" s="75">
        <v>81141603</v>
      </c>
      <c r="B17182" s="76" t="s">
        <v>2171</v>
      </c>
    </row>
    <row r="17183" spans="1:2" x14ac:dyDescent="0.25">
      <c r="A17183" s="75">
        <v>81141604</v>
      </c>
      <c r="B17183" s="76" t="s">
        <v>17773</v>
      </c>
    </row>
    <row r="17184" spans="1:2" x14ac:dyDescent="0.25">
      <c r="A17184" s="75">
        <v>81141605</v>
      </c>
      <c r="B17184" s="76" t="s">
        <v>17391</v>
      </c>
    </row>
    <row r="17185" spans="1:2" x14ac:dyDescent="0.25">
      <c r="A17185" s="75">
        <v>81141606</v>
      </c>
      <c r="B17185" s="76" t="s">
        <v>6700</v>
      </c>
    </row>
    <row r="17186" spans="1:2" x14ac:dyDescent="0.25">
      <c r="A17186" s="75">
        <v>81141701</v>
      </c>
      <c r="B17186" s="76" t="s">
        <v>18987</v>
      </c>
    </row>
    <row r="17187" spans="1:2" x14ac:dyDescent="0.25">
      <c r="A17187" s="75">
        <v>81141702</v>
      </c>
      <c r="B17187" s="76" t="s">
        <v>9639</v>
      </c>
    </row>
    <row r="17188" spans="1:2" x14ac:dyDescent="0.25">
      <c r="A17188" s="75">
        <v>81141703</v>
      </c>
      <c r="B17188" s="76" t="s">
        <v>9757</v>
      </c>
    </row>
    <row r="17189" spans="1:2" x14ac:dyDescent="0.25">
      <c r="A17189" s="75">
        <v>81141704</v>
      </c>
      <c r="B17189" s="76" t="s">
        <v>16592</v>
      </c>
    </row>
    <row r="17190" spans="1:2" x14ac:dyDescent="0.25">
      <c r="A17190" s="75">
        <v>81141801</v>
      </c>
      <c r="B17190" s="76" t="s">
        <v>302</v>
      </c>
    </row>
    <row r="17191" spans="1:2" x14ac:dyDescent="0.25">
      <c r="A17191" s="75">
        <v>81141802</v>
      </c>
      <c r="B17191" s="76" t="s">
        <v>1552</v>
      </c>
    </row>
    <row r="17192" spans="1:2" x14ac:dyDescent="0.25">
      <c r="A17192" s="75">
        <v>81141803</v>
      </c>
      <c r="B17192" s="76" t="s">
        <v>4005</v>
      </c>
    </row>
    <row r="17193" spans="1:2" x14ac:dyDescent="0.25">
      <c r="A17193" s="75">
        <v>81141804</v>
      </c>
      <c r="B17193" s="76" t="s">
        <v>16032</v>
      </c>
    </row>
    <row r="17194" spans="1:2" x14ac:dyDescent="0.25">
      <c r="A17194" s="75">
        <v>81141805</v>
      </c>
      <c r="B17194" s="76" t="s">
        <v>348</v>
      </c>
    </row>
    <row r="17195" spans="1:2" x14ac:dyDescent="0.25">
      <c r="A17195" s="75">
        <v>81141806</v>
      </c>
      <c r="B17195" s="76" t="s">
        <v>15624</v>
      </c>
    </row>
    <row r="17196" spans="1:2" x14ac:dyDescent="0.25">
      <c r="A17196" s="75">
        <v>81141807</v>
      </c>
      <c r="B17196" s="76" t="s">
        <v>17811</v>
      </c>
    </row>
    <row r="17197" spans="1:2" x14ac:dyDescent="0.25">
      <c r="A17197" s="75">
        <v>81151501</v>
      </c>
      <c r="B17197" s="76" t="s">
        <v>17295</v>
      </c>
    </row>
    <row r="17198" spans="1:2" x14ac:dyDescent="0.25">
      <c r="A17198" s="75">
        <v>81151502</v>
      </c>
      <c r="B17198" s="76" t="s">
        <v>14730</v>
      </c>
    </row>
    <row r="17199" spans="1:2" x14ac:dyDescent="0.25">
      <c r="A17199" s="75">
        <v>81151503</v>
      </c>
      <c r="B17199" s="76" t="s">
        <v>11696</v>
      </c>
    </row>
    <row r="17200" spans="1:2" x14ac:dyDescent="0.25">
      <c r="A17200" s="75">
        <v>81151601</v>
      </c>
      <c r="B17200" s="76" t="s">
        <v>2638</v>
      </c>
    </row>
    <row r="17201" spans="1:2" x14ac:dyDescent="0.25">
      <c r="A17201" s="75">
        <v>81151602</v>
      </c>
      <c r="B17201" s="76" t="s">
        <v>8101</v>
      </c>
    </row>
    <row r="17202" spans="1:2" x14ac:dyDescent="0.25">
      <c r="A17202" s="75">
        <v>81151603</v>
      </c>
      <c r="B17202" s="76" t="s">
        <v>9704</v>
      </c>
    </row>
    <row r="17203" spans="1:2" x14ac:dyDescent="0.25">
      <c r="A17203" s="75">
        <v>81151604</v>
      </c>
      <c r="B17203" s="76" t="s">
        <v>3088</v>
      </c>
    </row>
    <row r="17204" spans="1:2" x14ac:dyDescent="0.25">
      <c r="A17204" s="75">
        <v>81151701</v>
      </c>
      <c r="B17204" s="76" t="s">
        <v>7708</v>
      </c>
    </row>
    <row r="17205" spans="1:2" x14ac:dyDescent="0.25">
      <c r="A17205" s="75">
        <v>81151702</v>
      </c>
      <c r="B17205" s="76" t="s">
        <v>19575</v>
      </c>
    </row>
    <row r="17206" spans="1:2" x14ac:dyDescent="0.25">
      <c r="A17206" s="75">
        <v>81151703</v>
      </c>
      <c r="B17206" s="76" t="s">
        <v>5920</v>
      </c>
    </row>
    <row r="17207" spans="1:2" x14ac:dyDescent="0.25">
      <c r="A17207" s="75">
        <v>81151704</v>
      </c>
      <c r="B17207" s="76" t="s">
        <v>6226</v>
      </c>
    </row>
    <row r="17208" spans="1:2" x14ac:dyDescent="0.25">
      <c r="A17208" s="75">
        <v>81151705</v>
      </c>
      <c r="B17208" s="76" t="s">
        <v>12363</v>
      </c>
    </row>
    <row r="17209" spans="1:2" x14ac:dyDescent="0.25">
      <c r="A17209" s="75">
        <v>81151801</v>
      </c>
      <c r="B17209" s="76" t="s">
        <v>16706</v>
      </c>
    </row>
    <row r="17210" spans="1:2" x14ac:dyDescent="0.25">
      <c r="A17210" s="75">
        <v>81151802</v>
      </c>
      <c r="B17210" s="76" t="s">
        <v>1379</v>
      </c>
    </row>
    <row r="17211" spans="1:2" x14ac:dyDescent="0.25">
      <c r="A17211" s="75">
        <v>81151803</v>
      </c>
      <c r="B17211" s="76" t="s">
        <v>1479</v>
      </c>
    </row>
    <row r="17212" spans="1:2" x14ac:dyDescent="0.25">
      <c r="A17212" s="75">
        <v>81151804</v>
      </c>
      <c r="B17212" s="76" t="s">
        <v>1714</v>
      </c>
    </row>
    <row r="17213" spans="1:2" x14ac:dyDescent="0.25">
      <c r="A17213" s="75">
        <v>81151805</v>
      </c>
      <c r="B17213" s="76" t="s">
        <v>10153</v>
      </c>
    </row>
    <row r="17214" spans="1:2" x14ac:dyDescent="0.25">
      <c r="A17214" s="75">
        <v>81151806</v>
      </c>
      <c r="B17214" s="76" t="s">
        <v>18164</v>
      </c>
    </row>
    <row r="17215" spans="1:2" x14ac:dyDescent="0.25">
      <c r="A17215" s="75">
        <v>81151901</v>
      </c>
      <c r="B17215" s="76" t="s">
        <v>6848</v>
      </c>
    </row>
    <row r="17216" spans="1:2" x14ac:dyDescent="0.25">
      <c r="A17216" s="75">
        <v>81151902</v>
      </c>
      <c r="B17216" s="76" t="s">
        <v>5632</v>
      </c>
    </row>
    <row r="17217" spans="1:2" x14ac:dyDescent="0.25">
      <c r="A17217" s="75">
        <v>81151903</v>
      </c>
      <c r="B17217" s="76" t="s">
        <v>20059</v>
      </c>
    </row>
    <row r="17218" spans="1:2" x14ac:dyDescent="0.25">
      <c r="A17218" s="75">
        <v>81151904</v>
      </c>
      <c r="B17218" s="76" t="s">
        <v>14421</v>
      </c>
    </row>
    <row r="17219" spans="1:2" x14ac:dyDescent="0.25">
      <c r="A17219" s="75">
        <v>82101501</v>
      </c>
      <c r="B17219" s="76" t="s">
        <v>187</v>
      </c>
    </row>
    <row r="17220" spans="1:2" x14ac:dyDescent="0.25">
      <c r="A17220" s="75">
        <v>82101502</v>
      </c>
      <c r="B17220" s="76" t="s">
        <v>13193</v>
      </c>
    </row>
    <row r="17221" spans="1:2" x14ac:dyDescent="0.25">
      <c r="A17221" s="75">
        <v>82101503</v>
      </c>
      <c r="B17221" s="76" t="s">
        <v>18196</v>
      </c>
    </row>
    <row r="17222" spans="1:2" x14ac:dyDescent="0.25">
      <c r="A17222" s="75">
        <v>82101504</v>
      </c>
      <c r="B17222" s="76" t="s">
        <v>2120</v>
      </c>
    </row>
    <row r="17223" spans="1:2" x14ac:dyDescent="0.25">
      <c r="A17223" s="75">
        <v>82101505</v>
      </c>
      <c r="B17223" s="76" t="s">
        <v>17961</v>
      </c>
    </row>
    <row r="17224" spans="1:2" x14ac:dyDescent="0.25">
      <c r="A17224" s="75">
        <v>82101506</v>
      </c>
      <c r="B17224" s="76" t="s">
        <v>16229</v>
      </c>
    </row>
    <row r="17225" spans="1:2" x14ac:dyDescent="0.25">
      <c r="A17225" s="75">
        <v>82101507</v>
      </c>
      <c r="B17225" s="76" t="s">
        <v>14933</v>
      </c>
    </row>
    <row r="17226" spans="1:2" x14ac:dyDescent="0.25">
      <c r="A17226" s="75">
        <v>82101508</v>
      </c>
      <c r="B17226" s="76" t="s">
        <v>6447</v>
      </c>
    </row>
    <row r="17227" spans="1:2" x14ac:dyDescent="0.25">
      <c r="A17227" s="75">
        <v>82101601</v>
      </c>
      <c r="B17227" s="76" t="s">
        <v>3030</v>
      </c>
    </row>
    <row r="17228" spans="1:2" x14ac:dyDescent="0.25">
      <c r="A17228" s="75">
        <v>82101602</v>
      </c>
      <c r="B17228" s="76" t="s">
        <v>10830</v>
      </c>
    </row>
    <row r="17229" spans="1:2" x14ac:dyDescent="0.25">
      <c r="A17229" s="75">
        <v>82101603</v>
      </c>
      <c r="B17229" s="76" t="s">
        <v>14563</v>
      </c>
    </row>
    <row r="17230" spans="1:2" x14ac:dyDescent="0.25">
      <c r="A17230" s="75">
        <v>82101604</v>
      </c>
      <c r="B17230" s="76" t="s">
        <v>5969</v>
      </c>
    </row>
    <row r="17231" spans="1:2" x14ac:dyDescent="0.25">
      <c r="A17231" s="75">
        <v>82101701</v>
      </c>
      <c r="B17231" s="76" t="s">
        <v>15669</v>
      </c>
    </row>
    <row r="17232" spans="1:2" x14ac:dyDescent="0.25">
      <c r="A17232" s="75">
        <v>82101702</v>
      </c>
      <c r="B17232" s="76" t="s">
        <v>13877</v>
      </c>
    </row>
    <row r="17233" spans="1:2" x14ac:dyDescent="0.25">
      <c r="A17233" s="75">
        <v>82101801</v>
      </c>
      <c r="B17233" s="76" t="s">
        <v>5382</v>
      </c>
    </row>
    <row r="17234" spans="1:2" x14ac:dyDescent="0.25">
      <c r="A17234" s="75">
        <v>82101901</v>
      </c>
      <c r="B17234" s="76" t="s">
        <v>16213</v>
      </c>
    </row>
    <row r="17235" spans="1:2" x14ac:dyDescent="0.25">
      <c r="A17235" s="75">
        <v>82101902</v>
      </c>
      <c r="B17235" s="76" t="s">
        <v>8699</v>
      </c>
    </row>
    <row r="17236" spans="1:2" x14ac:dyDescent="0.25">
      <c r="A17236" s="75">
        <v>82101903</v>
      </c>
      <c r="B17236" s="76" t="s">
        <v>8045</v>
      </c>
    </row>
    <row r="17237" spans="1:2" x14ac:dyDescent="0.25">
      <c r="A17237" s="75">
        <v>82101904</v>
      </c>
      <c r="B17237" s="76" t="s">
        <v>4324</v>
      </c>
    </row>
    <row r="17238" spans="1:2" x14ac:dyDescent="0.25">
      <c r="A17238" s="75">
        <v>82101905</v>
      </c>
      <c r="B17238" s="76" t="s">
        <v>18660</v>
      </c>
    </row>
    <row r="17239" spans="1:2" x14ac:dyDescent="0.25">
      <c r="A17239" s="75">
        <v>82111501</v>
      </c>
      <c r="B17239" s="76" t="s">
        <v>2160</v>
      </c>
    </row>
    <row r="17240" spans="1:2" x14ac:dyDescent="0.25">
      <c r="A17240" s="75">
        <v>82111502</v>
      </c>
      <c r="B17240" s="76" t="s">
        <v>18889</v>
      </c>
    </row>
    <row r="17241" spans="1:2" x14ac:dyDescent="0.25">
      <c r="A17241" s="75">
        <v>82111503</v>
      </c>
      <c r="B17241" s="76" t="s">
        <v>14541</v>
      </c>
    </row>
    <row r="17242" spans="1:2" x14ac:dyDescent="0.25">
      <c r="A17242" s="75">
        <v>82111601</v>
      </c>
      <c r="B17242" s="76" t="s">
        <v>13140</v>
      </c>
    </row>
    <row r="17243" spans="1:2" x14ac:dyDescent="0.25">
      <c r="A17243" s="75">
        <v>82111602</v>
      </c>
      <c r="B17243" s="76" t="s">
        <v>4873</v>
      </c>
    </row>
    <row r="17244" spans="1:2" x14ac:dyDescent="0.25">
      <c r="A17244" s="75">
        <v>82111603</v>
      </c>
      <c r="B17244" s="76" t="s">
        <v>1081</v>
      </c>
    </row>
    <row r="17245" spans="1:2" x14ac:dyDescent="0.25">
      <c r="A17245" s="75">
        <v>82111604</v>
      </c>
      <c r="B17245" s="76" t="s">
        <v>1646</v>
      </c>
    </row>
    <row r="17246" spans="1:2" x14ac:dyDescent="0.25">
      <c r="A17246" s="75">
        <v>82111701</v>
      </c>
      <c r="B17246" s="76" t="s">
        <v>12028</v>
      </c>
    </row>
    <row r="17247" spans="1:2" x14ac:dyDescent="0.25">
      <c r="A17247" s="75">
        <v>82111702</v>
      </c>
      <c r="B17247" s="76" t="s">
        <v>11228</v>
      </c>
    </row>
    <row r="17248" spans="1:2" x14ac:dyDescent="0.25">
      <c r="A17248" s="75">
        <v>82111703</v>
      </c>
      <c r="B17248" s="76" t="s">
        <v>19170</v>
      </c>
    </row>
    <row r="17249" spans="1:2" x14ac:dyDescent="0.25">
      <c r="A17249" s="75">
        <v>82111704</v>
      </c>
      <c r="B17249" s="76" t="s">
        <v>11970</v>
      </c>
    </row>
    <row r="17250" spans="1:2" x14ac:dyDescent="0.25">
      <c r="A17250" s="75">
        <v>82111705</v>
      </c>
      <c r="B17250" s="76" t="s">
        <v>8102</v>
      </c>
    </row>
    <row r="17251" spans="1:2" x14ac:dyDescent="0.25">
      <c r="A17251" s="75">
        <v>82111801</v>
      </c>
      <c r="B17251" s="76" t="s">
        <v>1582</v>
      </c>
    </row>
    <row r="17252" spans="1:2" x14ac:dyDescent="0.25">
      <c r="A17252" s="75">
        <v>82111802</v>
      </c>
      <c r="B17252" s="76" t="s">
        <v>2523</v>
      </c>
    </row>
    <row r="17253" spans="1:2" x14ac:dyDescent="0.25">
      <c r="A17253" s="75">
        <v>82111803</v>
      </c>
      <c r="B17253" s="76" t="s">
        <v>2176</v>
      </c>
    </row>
    <row r="17254" spans="1:2" x14ac:dyDescent="0.25">
      <c r="A17254" s="75">
        <v>82111804</v>
      </c>
      <c r="B17254" s="76" t="s">
        <v>18603</v>
      </c>
    </row>
    <row r="17255" spans="1:2" x14ac:dyDescent="0.25">
      <c r="A17255" s="75">
        <v>82111901</v>
      </c>
      <c r="B17255" s="76" t="s">
        <v>9520</v>
      </c>
    </row>
    <row r="17256" spans="1:2" x14ac:dyDescent="0.25">
      <c r="A17256" s="75">
        <v>82111902</v>
      </c>
      <c r="B17256" s="76" t="s">
        <v>12633</v>
      </c>
    </row>
    <row r="17257" spans="1:2" x14ac:dyDescent="0.25">
      <c r="A17257" s="75">
        <v>82111903</v>
      </c>
      <c r="B17257" s="76" t="s">
        <v>20034</v>
      </c>
    </row>
    <row r="17258" spans="1:2" x14ac:dyDescent="0.25">
      <c r="A17258" s="75">
        <v>82111904</v>
      </c>
      <c r="B17258" s="76" t="s">
        <v>8588</v>
      </c>
    </row>
    <row r="17259" spans="1:2" x14ac:dyDescent="0.25">
      <c r="A17259" s="75">
        <v>82121501</v>
      </c>
      <c r="B17259" s="76" t="s">
        <v>7532</v>
      </c>
    </row>
    <row r="17260" spans="1:2" x14ac:dyDescent="0.25">
      <c r="A17260" s="75">
        <v>82121502</v>
      </c>
      <c r="B17260" s="76" t="s">
        <v>1420</v>
      </c>
    </row>
    <row r="17261" spans="1:2" x14ac:dyDescent="0.25">
      <c r="A17261" s="75">
        <v>82121503</v>
      </c>
      <c r="B17261" s="76" t="s">
        <v>14927</v>
      </c>
    </row>
    <row r="17262" spans="1:2" x14ac:dyDescent="0.25">
      <c r="A17262" s="75">
        <v>82121504</v>
      </c>
      <c r="B17262" s="76" t="s">
        <v>10132</v>
      </c>
    </row>
    <row r="17263" spans="1:2" x14ac:dyDescent="0.25">
      <c r="A17263" s="75">
        <v>82121505</v>
      </c>
      <c r="B17263" s="76" t="s">
        <v>2465</v>
      </c>
    </row>
    <row r="17264" spans="1:2" x14ac:dyDescent="0.25">
      <c r="A17264" s="75">
        <v>82121506</v>
      </c>
      <c r="B17264" s="76" t="s">
        <v>1689</v>
      </c>
    </row>
    <row r="17265" spans="1:2" x14ac:dyDescent="0.25">
      <c r="A17265" s="75">
        <v>82121507</v>
      </c>
      <c r="B17265" s="76" t="s">
        <v>7663</v>
      </c>
    </row>
    <row r="17266" spans="1:2" x14ac:dyDescent="0.25">
      <c r="A17266" s="75">
        <v>82121508</v>
      </c>
      <c r="B17266" s="76" t="s">
        <v>8510</v>
      </c>
    </row>
    <row r="17267" spans="1:2" x14ac:dyDescent="0.25">
      <c r="A17267" s="75">
        <v>82121509</v>
      </c>
      <c r="B17267" s="76" t="s">
        <v>17827</v>
      </c>
    </row>
    <row r="17268" spans="1:2" x14ac:dyDescent="0.25">
      <c r="A17268" s="75">
        <v>82121510</v>
      </c>
      <c r="B17268" s="76" t="s">
        <v>1864</v>
      </c>
    </row>
    <row r="17269" spans="1:2" x14ac:dyDescent="0.25">
      <c r="A17269" s="75">
        <v>82121511</v>
      </c>
      <c r="B17269" s="76" t="s">
        <v>14179</v>
      </c>
    </row>
    <row r="17270" spans="1:2" x14ac:dyDescent="0.25">
      <c r="A17270" s="75">
        <v>82121512</v>
      </c>
      <c r="B17270" s="76" t="s">
        <v>4706</v>
      </c>
    </row>
    <row r="17271" spans="1:2" x14ac:dyDescent="0.25">
      <c r="A17271" s="75">
        <v>82121601</v>
      </c>
      <c r="B17271" s="76" t="s">
        <v>16947</v>
      </c>
    </row>
    <row r="17272" spans="1:2" x14ac:dyDescent="0.25">
      <c r="A17272" s="75">
        <v>82121602</v>
      </c>
      <c r="B17272" s="76" t="s">
        <v>15673</v>
      </c>
    </row>
    <row r="17273" spans="1:2" x14ac:dyDescent="0.25">
      <c r="A17273" s="75">
        <v>82121603</v>
      </c>
      <c r="B17273" s="76" t="s">
        <v>15572</v>
      </c>
    </row>
    <row r="17274" spans="1:2" x14ac:dyDescent="0.25">
      <c r="A17274" s="75">
        <v>82121701</v>
      </c>
      <c r="B17274" s="76" t="s">
        <v>1513</v>
      </c>
    </row>
    <row r="17275" spans="1:2" x14ac:dyDescent="0.25">
      <c r="A17275" s="75">
        <v>82121702</v>
      </c>
      <c r="B17275" s="76" t="s">
        <v>6205</v>
      </c>
    </row>
    <row r="17276" spans="1:2" x14ac:dyDescent="0.25">
      <c r="A17276" s="75">
        <v>82121801</v>
      </c>
      <c r="B17276" s="76" t="s">
        <v>17024</v>
      </c>
    </row>
    <row r="17277" spans="1:2" x14ac:dyDescent="0.25">
      <c r="A17277" s="75">
        <v>82121802</v>
      </c>
      <c r="B17277" s="76" t="s">
        <v>2490</v>
      </c>
    </row>
    <row r="17278" spans="1:2" x14ac:dyDescent="0.25">
      <c r="A17278" s="75">
        <v>82121901</v>
      </c>
      <c r="B17278" s="76" t="s">
        <v>14246</v>
      </c>
    </row>
    <row r="17279" spans="1:2" x14ac:dyDescent="0.25">
      <c r="A17279" s="75">
        <v>82121902</v>
      </c>
      <c r="B17279" s="76" t="s">
        <v>18207</v>
      </c>
    </row>
    <row r="17280" spans="1:2" x14ac:dyDescent="0.25">
      <c r="A17280" s="75">
        <v>82121903</v>
      </c>
      <c r="B17280" s="76" t="s">
        <v>14142</v>
      </c>
    </row>
    <row r="17281" spans="1:2" x14ac:dyDescent="0.25">
      <c r="A17281" s="75">
        <v>82121904</v>
      </c>
      <c r="B17281" s="76" t="s">
        <v>1671</v>
      </c>
    </row>
    <row r="17282" spans="1:2" x14ac:dyDescent="0.25">
      <c r="A17282" s="75">
        <v>82121905</v>
      </c>
      <c r="B17282" s="76" t="s">
        <v>15558</v>
      </c>
    </row>
    <row r="17283" spans="1:2" x14ac:dyDescent="0.25">
      <c r="A17283" s="75">
        <v>82121906</v>
      </c>
      <c r="B17283" s="76" t="s">
        <v>9273</v>
      </c>
    </row>
    <row r="17284" spans="1:2" x14ac:dyDescent="0.25">
      <c r="A17284" s="75">
        <v>82121907</v>
      </c>
      <c r="B17284" s="76" t="s">
        <v>9297</v>
      </c>
    </row>
    <row r="17285" spans="1:2" x14ac:dyDescent="0.25">
      <c r="A17285" s="75">
        <v>82121908</v>
      </c>
      <c r="B17285" s="76" t="s">
        <v>5861</v>
      </c>
    </row>
    <row r="17286" spans="1:2" x14ac:dyDescent="0.25">
      <c r="A17286" s="75">
        <v>82131501</v>
      </c>
      <c r="B17286" s="76" t="s">
        <v>8916</v>
      </c>
    </row>
    <row r="17287" spans="1:2" x14ac:dyDescent="0.25">
      <c r="A17287" s="75">
        <v>82131502</v>
      </c>
      <c r="B17287" s="76" t="s">
        <v>792</v>
      </c>
    </row>
    <row r="17288" spans="1:2" x14ac:dyDescent="0.25">
      <c r="A17288" s="75">
        <v>82131503</v>
      </c>
      <c r="B17288" s="76" t="s">
        <v>6920</v>
      </c>
    </row>
    <row r="17289" spans="1:2" x14ac:dyDescent="0.25">
      <c r="A17289" s="75">
        <v>82131504</v>
      </c>
      <c r="B17289" s="76" t="s">
        <v>9833</v>
      </c>
    </row>
    <row r="17290" spans="1:2" x14ac:dyDescent="0.25">
      <c r="A17290" s="75">
        <v>82131601</v>
      </c>
      <c r="B17290" s="76" t="s">
        <v>9849</v>
      </c>
    </row>
    <row r="17291" spans="1:2" x14ac:dyDescent="0.25">
      <c r="A17291" s="75">
        <v>82131602</v>
      </c>
      <c r="B17291" s="76" t="s">
        <v>7431</v>
      </c>
    </row>
    <row r="17292" spans="1:2" x14ac:dyDescent="0.25">
      <c r="A17292" s="75">
        <v>82131603</v>
      </c>
      <c r="B17292" s="76" t="s">
        <v>105</v>
      </c>
    </row>
    <row r="17293" spans="1:2" x14ac:dyDescent="0.25">
      <c r="A17293" s="75">
        <v>82131604</v>
      </c>
      <c r="B17293" s="76" t="s">
        <v>1841</v>
      </c>
    </row>
    <row r="17294" spans="1:2" x14ac:dyDescent="0.25">
      <c r="A17294" s="75">
        <v>82141501</v>
      </c>
      <c r="B17294" s="76" t="s">
        <v>10649</v>
      </c>
    </row>
    <row r="17295" spans="1:2" x14ac:dyDescent="0.25">
      <c r="A17295" s="75">
        <v>82141502</v>
      </c>
      <c r="B17295" s="76" t="s">
        <v>18953</v>
      </c>
    </row>
    <row r="17296" spans="1:2" x14ac:dyDescent="0.25">
      <c r="A17296" s="75">
        <v>82141503</v>
      </c>
      <c r="B17296" s="76" t="s">
        <v>15342</v>
      </c>
    </row>
    <row r="17297" spans="1:2" x14ac:dyDescent="0.25">
      <c r="A17297" s="75">
        <v>82141504</v>
      </c>
      <c r="B17297" s="76" t="s">
        <v>1888</v>
      </c>
    </row>
    <row r="17298" spans="1:2" x14ac:dyDescent="0.25">
      <c r="A17298" s="75">
        <v>82141505</v>
      </c>
      <c r="B17298" s="76" t="s">
        <v>10511</v>
      </c>
    </row>
    <row r="17299" spans="1:2" x14ac:dyDescent="0.25">
      <c r="A17299" s="75">
        <v>82141506</v>
      </c>
      <c r="B17299" s="76" t="s">
        <v>13591</v>
      </c>
    </row>
    <row r="17300" spans="1:2" x14ac:dyDescent="0.25">
      <c r="A17300" s="75">
        <v>82141507</v>
      </c>
      <c r="B17300" s="76" t="s">
        <v>4255</v>
      </c>
    </row>
    <row r="17301" spans="1:2" x14ac:dyDescent="0.25">
      <c r="A17301" s="75">
        <v>82141601</v>
      </c>
      <c r="B17301" s="76" t="s">
        <v>17625</v>
      </c>
    </row>
    <row r="17302" spans="1:2" x14ac:dyDescent="0.25">
      <c r="A17302" s="75">
        <v>82141602</v>
      </c>
      <c r="B17302" s="76" t="s">
        <v>5622</v>
      </c>
    </row>
    <row r="17303" spans="1:2" x14ac:dyDescent="0.25">
      <c r="A17303" s="75">
        <v>82151501</v>
      </c>
      <c r="B17303" s="76" t="s">
        <v>15813</v>
      </c>
    </row>
    <row r="17304" spans="1:2" x14ac:dyDescent="0.25">
      <c r="A17304" s="75">
        <v>82151502</v>
      </c>
      <c r="B17304" s="76" t="s">
        <v>16114</v>
      </c>
    </row>
    <row r="17305" spans="1:2" x14ac:dyDescent="0.25">
      <c r="A17305" s="75">
        <v>82151503</v>
      </c>
      <c r="B17305" s="76" t="s">
        <v>17381</v>
      </c>
    </row>
    <row r="17306" spans="1:2" x14ac:dyDescent="0.25">
      <c r="A17306" s="75">
        <v>82151504</v>
      </c>
      <c r="B17306" s="76" t="s">
        <v>14176</v>
      </c>
    </row>
    <row r="17307" spans="1:2" x14ac:dyDescent="0.25">
      <c r="A17307" s="75">
        <v>82151505</v>
      </c>
      <c r="B17307" s="76" t="s">
        <v>6305</v>
      </c>
    </row>
    <row r="17308" spans="1:2" x14ac:dyDescent="0.25">
      <c r="A17308" s="75">
        <v>82151506</v>
      </c>
      <c r="B17308" s="76" t="s">
        <v>6940</v>
      </c>
    </row>
    <row r="17309" spans="1:2" x14ac:dyDescent="0.25">
      <c r="A17309" s="75">
        <v>82151507</v>
      </c>
      <c r="B17309" s="76" t="s">
        <v>17935</v>
      </c>
    </row>
    <row r="17310" spans="1:2" x14ac:dyDescent="0.25">
      <c r="A17310" s="75">
        <v>82151508</v>
      </c>
      <c r="B17310" s="76" t="s">
        <v>3285</v>
      </c>
    </row>
    <row r="17311" spans="1:2" x14ac:dyDescent="0.25">
      <c r="A17311" s="75">
        <v>82151601</v>
      </c>
      <c r="B17311" s="76" t="s">
        <v>12751</v>
      </c>
    </row>
    <row r="17312" spans="1:2" x14ac:dyDescent="0.25">
      <c r="A17312" s="75">
        <v>82151602</v>
      </c>
      <c r="B17312" s="76" t="s">
        <v>10999</v>
      </c>
    </row>
    <row r="17313" spans="1:2" x14ac:dyDescent="0.25">
      <c r="A17313" s="75">
        <v>82151603</v>
      </c>
      <c r="B17313" s="76" t="s">
        <v>3218</v>
      </c>
    </row>
    <row r="17314" spans="1:2" x14ac:dyDescent="0.25">
      <c r="A17314" s="75">
        <v>82151604</v>
      </c>
      <c r="B17314" s="76" t="s">
        <v>18190</v>
      </c>
    </row>
    <row r="17315" spans="1:2" x14ac:dyDescent="0.25">
      <c r="A17315" s="75">
        <v>82151701</v>
      </c>
      <c r="B17315" s="76" t="s">
        <v>4211</v>
      </c>
    </row>
    <row r="17316" spans="1:2" x14ac:dyDescent="0.25">
      <c r="A17316" s="75">
        <v>82151702</v>
      </c>
      <c r="B17316" s="76" t="s">
        <v>13435</v>
      </c>
    </row>
    <row r="17317" spans="1:2" x14ac:dyDescent="0.25">
      <c r="A17317" s="75">
        <v>82151703</v>
      </c>
      <c r="B17317" s="76" t="s">
        <v>1400</v>
      </c>
    </row>
    <row r="17318" spans="1:2" x14ac:dyDescent="0.25">
      <c r="A17318" s="75">
        <v>82151704</v>
      </c>
      <c r="B17318" s="76" t="s">
        <v>7981</v>
      </c>
    </row>
    <row r="17319" spans="1:2" x14ac:dyDescent="0.25">
      <c r="A17319" s="75">
        <v>82151705</v>
      </c>
      <c r="B17319" s="76" t="s">
        <v>6399</v>
      </c>
    </row>
    <row r="17320" spans="1:2" x14ac:dyDescent="0.25">
      <c r="A17320" s="75">
        <v>82151706</v>
      </c>
      <c r="B17320" s="76" t="s">
        <v>15248</v>
      </c>
    </row>
    <row r="17321" spans="1:2" x14ac:dyDescent="0.25">
      <c r="A17321" s="75">
        <v>83101501</v>
      </c>
      <c r="B17321" s="76" t="s">
        <v>17635</v>
      </c>
    </row>
    <row r="17322" spans="1:2" x14ac:dyDescent="0.25">
      <c r="A17322" s="75">
        <v>83101502</v>
      </c>
      <c r="B17322" s="76" t="s">
        <v>16875</v>
      </c>
    </row>
    <row r="17323" spans="1:2" x14ac:dyDescent="0.25">
      <c r="A17323" s="75">
        <v>83101503</v>
      </c>
      <c r="B17323" s="76" t="s">
        <v>3083</v>
      </c>
    </row>
    <row r="17324" spans="1:2" x14ac:dyDescent="0.25">
      <c r="A17324" s="75">
        <v>83101504</v>
      </c>
      <c r="B17324" s="76" t="s">
        <v>10632</v>
      </c>
    </row>
    <row r="17325" spans="1:2" x14ac:dyDescent="0.25">
      <c r="A17325" s="75">
        <v>83101505</v>
      </c>
      <c r="B17325" s="76" t="s">
        <v>17271</v>
      </c>
    </row>
    <row r="17326" spans="1:2" x14ac:dyDescent="0.25">
      <c r="A17326" s="75">
        <v>83101506</v>
      </c>
      <c r="B17326" s="76" t="s">
        <v>17232</v>
      </c>
    </row>
    <row r="17327" spans="1:2" x14ac:dyDescent="0.25">
      <c r="A17327" s="75">
        <v>83101507</v>
      </c>
      <c r="B17327" s="76" t="s">
        <v>19124</v>
      </c>
    </row>
    <row r="17328" spans="1:2" x14ac:dyDescent="0.25">
      <c r="A17328" s="75">
        <v>83101508</v>
      </c>
      <c r="B17328" s="76" t="s">
        <v>7197</v>
      </c>
    </row>
    <row r="17329" spans="1:2" x14ac:dyDescent="0.25">
      <c r="A17329" s="75">
        <v>83101509</v>
      </c>
      <c r="B17329" s="76" t="s">
        <v>15286</v>
      </c>
    </row>
    <row r="17330" spans="1:2" x14ac:dyDescent="0.25">
      <c r="A17330" s="75">
        <v>83101510</v>
      </c>
      <c r="B17330" s="76" t="s">
        <v>9050</v>
      </c>
    </row>
    <row r="17331" spans="1:2" x14ac:dyDescent="0.25">
      <c r="A17331" s="75">
        <v>83101601</v>
      </c>
      <c r="B17331" s="76" t="s">
        <v>10671</v>
      </c>
    </row>
    <row r="17332" spans="1:2" x14ac:dyDescent="0.25">
      <c r="A17332" s="75">
        <v>83101602</v>
      </c>
      <c r="B17332" s="76" t="s">
        <v>11641</v>
      </c>
    </row>
    <row r="17333" spans="1:2" x14ac:dyDescent="0.25">
      <c r="A17333" s="75">
        <v>83101603</v>
      </c>
      <c r="B17333" s="76" t="s">
        <v>1324</v>
      </c>
    </row>
    <row r="17334" spans="1:2" x14ac:dyDescent="0.25">
      <c r="A17334" s="75">
        <v>83101604</v>
      </c>
      <c r="B17334" s="76" t="s">
        <v>7488</v>
      </c>
    </row>
    <row r="17335" spans="1:2" x14ac:dyDescent="0.25">
      <c r="A17335" s="75">
        <v>83101605</v>
      </c>
      <c r="B17335" s="76" t="s">
        <v>17675</v>
      </c>
    </row>
    <row r="17336" spans="1:2" x14ac:dyDescent="0.25">
      <c r="A17336" s="75">
        <v>83101801</v>
      </c>
      <c r="B17336" s="76" t="s">
        <v>172</v>
      </c>
    </row>
    <row r="17337" spans="1:2" x14ac:dyDescent="0.25">
      <c r="A17337" s="75">
        <v>83101802</v>
      </c>
      <c r="B17337" s="76" t="s">
        <v>12446</v>
      </c>
    </row>
    <row r="17338" spans="1:2" x14ac:dyDescent="0.25">
      <c r="A17338" s="75">
        <v>83101803</v>
      </c>
      <c r="B17338" s="76" t="s">
        <v>5065</v>
      </c>
    </row>
    <row r="17339" spans="1:2" x14ac:dyDescent="0.25">
      <c r="A17339" s="75">
        <v>83101804</v>
      </c>
      <c r="B17339" s="76" t="s">
        <v>7742</v>
      </c>
    </row>
    <row r="17340" spans="1:2" x14ac:dyDescent="0.25">
      <c r="A17340" s="75">
        <v>83101805</v>
      </c>
      <c r="B17340" s="76" t="s">
        <v>5891</v>
      </c>
    </row>
    <row r="17341" spans="1:2" x14ac:dyDescent="0.25">
      <c r="A17341" s="75">
        <v>83101806</v>
      </c>
      <c r="B17341" s="76" t="s">
        <v>15040</v>
      </c>
    </row>
    <row r="17342" spans="1:2" x14ac:dyDescent="0.25">
      <c r="A17342" s="75">
        <v>83101807</v>
      </c>
      <c r="B17342" s="76" t="s">
        <v>696</v>
      </c>
    </row>
    <row r="17343" spans="1:2" x14ac:dyDescent="0.25">
      <c r="A17343" s="75">
        <v>83101808</v>
      </c>
      <c r="B17343" s="76" t="s">
        <v>604</v>
      </c>
    </row>
    <row r="17344" spans="1:2" x14ac:dyDescent="0.25">
      <c r="A17344" s="75">
        <v>83101901</v>
      </c>
      <c r="B17344" s="76" t="s">
        <v>16607</v>
      </c>
    </row>
    <row r="17345" spans="1:2" x14ac:dyDescent="0.25">
      <c r="A17345" s="75">
        <v>83101902</v>
      </c>
      <c r="B17345" s="76" t="s">
        <v>13519</v>
      </c>
    </row>
    <row r="17346" spans="1:2" x14ac:dyDescent="0.25">
      <c r="A17346" s="75">
        <v>83101903</v>
      </c>
      <c r="B17346" s="76" t="s">
        <v>16406</v>
      </c>
    </row>
    <row r="17347" spans="1:2" x14ac:dyDescent="0.25">
      <c r="A17347" s="75">
        <v>83102001</v>
      </c>
      <c r="B17347" s="76" t="s">
        <v>6523</v>
      </c>
    </row>
    <row r="17348" spans="1:2" x14ac:dyDescent="0.25">
      <c r="A17348" s="75">
        <v>83111501</v>
      </c>
      <c r="B17348" s="76" t="s">
        <v>16598</v>
      </c>
    </row>
    <row r="17349" spans="1:2" x14ac:dyDescent="0.25">
      <c r="A17349" s="75">
        <v>83111502</v>
      </c>
      <c r="B17349" s="76" t="s">
        <v>10557</v>
      </c>
    </row>
    <row r="17350" spans="1:2" x14ac:dyDescent="0.25">
      <c r="A17350" s="75">
        <v>83111503</v>
      </c>
      <c r="B17350" s="76" t="s">
        <v>3619</v>
      </c>
    </row>
    <row r="17351" spans="1:2" x14ac:dyDescent="0.25">
      <c r="A17351" s="75">
        <v>83111504</v>
      </c>
      <c r="B17351" s="76" t="s">
        <v>1399</v>
      </c>
    </row>
    <row r="17352" spans="1:2" x14ac:dyDescent="0.25">
      <c r="A17352" s="75">
        <v>83111505</v>
      </c>
      <c r="B17352" s="76" t="s">
        <v>15889</v>
      </c>
    </row>
    <row r="17353" spans="1:2" x14ac:dyDescent="0.25">
      <c r="A17353" s="75">
        <v>83111506</v>
      </c>
      <c r="B17353" s="76" t="s">
        <v>3946</v>
      </c>
    </row>
    <row r="17354" spans="1:2" x14ac:dyDescent="0.25">
      <c r="A17354" s="75">
        <v>83111507</v>
      </c>
      <c r="B17354" s="76" t="s">
        <v>19602</v>
      </c>
    </row>
    <row r="17355" spans="1:2" x14ac:dyDescent="0.25">
      <c r="A17355" s="75">
        <v>83111508</v>
      </c>
      <c r="B17355" s="76" t="s">
        <v>16808</v>
      </c>
    </row>
    <row r="17356" spans="1:2" x14ac:dyDescent="0.25">
      <c r="A17356" s="75">
        <v>83111510</v>
      </c>
      <c r="B17356" s="76" t="s">
        <v>15479</v>
      </c>
    </row>
    <row r="17357" spans="1:2" x14ac:dyDescent="0.25">
      <c r="A17357" s="75">
        <v>83111511</v>
      </c>
      <c r="B17357" s="76" t="s">
        <v>3995</v>
      </c>
    </row>
    <row r="17358" spans="1:2" x14ac:dyDescent="0.25">
      <c r="A17358" s="75">
        <v>83111601</v>
      </c>
      <c r="B17358" s="76" t="s">
        <v>7511</v>
      </c>
    </row>
    <row r="17359" spans="1:2" x14ac:dyDescent="0.25">
      <c r="A17359" s="75">
        <v>83111602</v>
      </c>
      <c r="B17359" s="76" t="s">
        <v>5800</v>
      </c>
    </row>
    <row r="17360" spans="1:2" x14ac:dyDescent="0.25">
      <c r="A17360" s="75">
        <v>83111603</v>
      </c>
      <c r="B17360" s="76" t="s">
        <v>9219</v>
      </c>
    </row>
    <row r="17361" spans="1:2" x14ac:dyDescent="0.25">
      <c r="A17361" s="75">
        <v>83111604</v>
      </c>
      <c r="B17361" s="76" t="s">
        <v>14496</v>
      </c>
    </row>
    <row r="17362" spans="1:2" x14ac:dyDescent="0.25">
      <c r="A17362" s="75">
        <v>83111605</v>
      </c>
      <c r="B17362" s="76" t="s">
        <v>19076</v>
      </c>
    </row>
    <row r="17363" spans="1:2" x14ac:dyDescent="0.25">
      <c r="A17363" s="75">
        <v>83111701</v>
      </c>
      <c r="B17363" s="76" t="s">
        <v>15528</v>
      </c>
    </row>
    <row r="17364" spans="1:2" x14ac:dyDescent="0.25">
      <c r="A17364" s="75">
        <v>83111702</v>
      </c>
      <c r="B17364" s="76" t="s">
        <v>13256</v>
      </c>
    </row>
    <row r="17365" spans="1:2" x14ac:dyDescent="0.25">
      <c r="A17365" s="75">
        <v>83111703</v>
      </c>
      <c r="B17365" s="76" t="s">
        <v>2535</v>
      </c>
    </row>
    <row r="17366" spans="1:2" x14ac:dyDescent="0.25">
      <c r="A17366" s="75">
        <v>83111801</v>
      </c>
      <c r="B17366" s="76" t="s">
        <v>1160</v>
      </c>
    </row>
    <row r="17367" spans="1:2" x14ac:dyDescent="0.25">
      <c r="A17367" s="75">
        <v>83111802</v>
      </c>
      <c r="B17367" s="76" t="s">
        <v>16676</v>
      </c>
    </row>
    <row r="17368" spans="1:2" x14ac:dyDescent="0.25">
      <c r="A17368" s="75">
        <v>83111803</v>
      </c>
      <c r="B17368" s="76" t="s">
        <v>19219</v>
      </c>
    </row>
    <row r="17369" spans="1:2" x14ac:dyDescent="0.25">
      <c r="A17369" s="75">
        <v>83111804</v>
      </c>
      <c r="B17369" s="76" t="s">
        <v>1611</v>
      </c>
    </row>
    <row r="17370" spans="1:2" x14ac:dyDescent="0.25">
      <c r="A17370" s="75">
        <v>83111901</v>
      </c>
      <c r="B17370" s="76" t="s">
        <v>17259</v>
      </c>
    </row>
    <row r="17371" spans="1:2" x14ac:dyDescent="0.25">
      <c r="A17371" s="75">
        <v>83111902</v>
      </c>
      <c r="B17371" s="76" t="s">
        <v>8661</v>
      </c>
    </row>
    <row r="17372" spans="1:2" x14ac:dyDescent="0.25">
      <c r="A17372" s="75">
        <v>83111903</v>
      </c>
      <c r="B17372" s="76" t="s">
        <v>9681</v>
      </c>
    </row>
    <row r="17373" spans="1:2" x14ac:dyDescent="0.25">
      <c r="A17373" s="75">
        <v>83111904</v>
      </c>
      <c r="B17373" s="76" t="s">
        <v>8841</v>
      </c>
    </row>
    <row r="17374" spans="1:2" x14ac:dyDescent="0.25">
      <c r="A17374" s="75">
        <v>83111905</v>
      </c>
      <c r="B17374" s="76" t="s">
        <v>1452</v>
      </c>
    </row>
    <row r="17375" spans="1:2" x14ac:dyDescent="0.25">
      <c r="A17375" s="75">
        <v>83112201</v>
      </c>
      <c r="B17375" s="76" t="s">
        <v>14023</v>
      </c>
    </row>
    <row r="17376" spans="1:2" x14ac:dyDescent="0.25">
      <c r="A17376" s="75">
        <v>83112202</v>
      </c>
      <c r="B17376" s="76" t="s">
        <v>18578</v>
      </c>
    </row>
    <row r="17377" spans="1:2" x14ac:dyDescent="0.25">
      <c r="A17377" s="75">
        <v>83112203</v>
      </c>
      <c r="B17377" s="76" t="s">
        <v>4931</v>
      </c>
    </row>
    <row r="17378" spans="1:2" x14ac:dyDescent="0.25">
      <c r="A17378" s="75">
        <v>83112204</v>
      </c>
      <c r="B17378" s="76" t="s">
        <v>9177</v>
      </c>
    </row>
    <row r="17379" spans="1:2" x14ac:dyDescent="0.25">
      <c r="A17379" s="75">
        <v>83112205</v>
      </c>
      <c r="B17379" s="76" t="s">
        <v>14208</v>
      </c>
    </row>
    <row r="17380" spans="1:2" x14ac:dyDescent="0.25">
      <c r="A17380" s="75">
        <v>83112301</v>
      </c>
      <c r="B17380" s="76" t="s">
        <v>3021</v>
      </c>
    </row>
    <row r="17381" spans="1:2" x14ac:dyDescent="0.25">
      <c r="A17381" s="75">
        <v>83112302</v>
      </c>
      <c r="B17381" s="76" t="s">
        <v>18755</v>
      </c>
    </row>
    <row r="17382" spans="1:2" x14ac:dyDescent="0.25">
      <c r="A17382" s="75">
        <v>83112303</v>
      </c>
      <c r="B17382" s="76" t="s">
        <v>9332</v>
      </c>
    </row>
    <row r="17383" spans="1:2" x14ac:dyDescent="0.25">
      <c r="A17383" s="75">
        <v>83112304</v>
      </c>
      <c r="B17383" s="76" t="s">
        <v>15505</v>
      </c>
    </row>
    <row r="17384" spans="1:2" x14ac:dyDescent="0.25">
      <c r="A17384" s="75">
        <v>83112401</v>
      </c>
      <c r="B17384" s="76" t="s">
        <v>3382</v>
      </c>
    </row>
    <row r="17385" spans="1:2" x14ac:dyDescent="0.25">
      <c r="A17385" s="75">
        <v>83112402</v>
      </c>
      <c r="B17385" s="76" t="s">
        <v>6459</v>
      </c>
    </row>
    <row r="17386" spans="1:2" x14ac:dyDescent="0.25">
      <c r="A17386" s="75">
        <v>83112403</v>
      </c>
      <c r="B17386" s="76" t="s">
        <v>13614</v>
      </c>
    </row>
    <row r="17387" spans="1:2" x14ac:dyDescent="0.25">
      <c r="A17387" s="75">
        <v>83112404</v>
      </c>
      <c r="B17387" s="76" t="s">
        <v>5232</v>
      </c>
    </row>
    <row r="17388" spans="1:2" x14ac:dyDescent="0.25">
      <c r="A17388" s="75">
        <v>83112405</v>
      </c>
      <c r="B17388" s="76" t="s">
        <v>3689</v>
      </c>
    </row>
    <row r="17389" spans="1:2" x14ac:dyDescent="0.25">
      <c r="A17389" s="75">
        <v>83112406</v>
      </c>
      <c r="B17389" s="76" t="s">
        <v>4675</v>
      </c>
    </row>
    <row r="17390" spans="1:2" x14ac:dyDescent="0.25">
      <c r="A17390" s="75">
        <v>83112501</v>
      </c>
      <c r="B17390" s="76" t="s">
        <v>3092</v>
      </c>
    </row>
    <row r="17391" spans="1:2" x14ac:dyDescent="0.25">
      <c r="A17391" s="75">
        <v>83112502</v>
      </c>
      <c r="B17391" s="76" t="s">
        <v>11283</v>
      </c>
    </row>
    <row r="17392" spans="1:2" x14ac:dyDescent="0.25">
      <c r="A17392" s="75">
        <v>83112503</v>
      </c>
      <c r="B17392" s="76" t="s">
        <v>4521</v>
      </c>
    </row>
    <row r="17393" spans="1:2" x14ac:dyDescent="0.25">
      <c r="A17393" s="75">
        <v>83112504</v>
      </c>
      <c r="B17393" s="76" t="s">
        <v>4064</v>
      </c>
    </row>
    <row r="17394" spans="1:2" x14ac:dyDescent="0.25">
      <c r="A17394" s="75">
        <v>83112505</v>
      </c>
      <c r="B17394" s="76" t="s">
        <v>10876</v>
      </c>
    </row>
    <row r="17395" spans="1:2" x14ac:dyDescent="0.25">
      <c r="A17395" s="75">
        <v>83112601</v>
      </c>
      <c r="B17395" s="76" t="s">
        <v>275</v>
      </c>
    </row>
    <row r="17396" spans="1:2" x14ac:dyDescent="0.25">
      <c r="A17396" s="75">
        <v>83112602</v>
      </c>
      <c r="B17396" s="76" t="s">
        <v>9794</v>
      </c>
    </row>
    <row r="17397" spans="1:2" x14ac:dyDescent="0.25">
      <c r="A17397" s="75">
        <v>83112603</v>
      </c>
      <c r="B17397" s="76" t="s">
        <v>15412</v>
      </c>
    </row>
    <row r="17398" spans="1:2" x14ac:dyDescent="0.25">
      <c r="A17398" s="75">
        <v>83112604</v>
      </c>
      <c r="B17398" s="76" t="s">
        <v>518</v>
      </c>
    </row>
    <row r="17399" spans="1:2" x14ac:dyDescent="0.25">
      <c r="A17399" s="75">
        <v>83112605</v>
      </c>
      <c r="B17399" s="76" t="s">
        <v>18156</v>
      </c>
    </row>
    <row r="17400" spans="1:2" x14ac:dyDescent="0.25">
      <c r="A17400" s="75">
        <v>83121501</v>
      </c>
      <c r="B17400" s="76" t="s">
        <v>19976</v>
      </c>
    </row>
    <row r="17401" spans="1:2" x14ac:dyDescent="0.25">
      <c r="A17401" s="75">
        <v>83121502</v>
      </c>
      <c r="B17401" s="76" t="s">
        <v>18609</v>
      </c>
    </row>
    <row r="17402" spans="1:2" x14ac:dyDescent="0.25">
      <c r="A17402" s="75">
        <v>83121503</v>
      </c>
      <c r="B17402" s="76" t="s">
        <v>17925</v>
      </c>
    </row>
    <row r="17403" spans="1:2" x14ac:dyDescent="0.25">
      <c r="A17403" s="75">
        <v>83121504</v>
      </c>
      <c r="B17403" s="76" t="s">
        <v>1877</v>
      </c>
    </row>
    <row r="17404" spans="1:2" x14ac:dyDescent="0.25">
      <c r="A17404" s="75">
        <v>83121601</v>
      </c>
      <c r="B17404" s="76" t="s">
        <v>1068</v>
      </c>
    </row>
    <row r="17405" spans="1:2" x14ac:dyDescent="0.25">
      <c r="A17405" s="75">
        <v>83121602</v>
      </c>
      <c r="B17405" s="76" t="s">
        <v>8595</v>
      </c>
    </row>
    <row r="17406" spans="1:2" x14ac:dyDescent="0.25">
      <c r="A17406" s="75">
        <v>83121603</v>
      </c>
      <c r="B17406" s="76" t="s">
        <v>6455</v>
      </c>
    </row>
    <row r="17407" spans="1:2" x14ac:dyDescent="0.25">
      <c r="A17407" s="75">
        <v>83121604</v>
      </c>
      <c r="B17407" s="76" t="s">
        <v>16976</v>
      </c>
    </row>
    <row r="17408" spans="1:2" x14ac:dyDescent="0.25">
      <c r="A17408" s="75">
        <v>83121605</v>
      </c>
      <c r="B17408" s="76" t="s">
        <v>2364</v>
      </c>
    </row>
    <row r="17409" spans="1:2" x14ac:dyDescent="0.25">
      <c r="A17409" s="75">
        <v>83121606</v>
      </c>
      <c r="B17409" s="76" t="s">
        <v>15981</v>
      </c>
    </row>
    <row r="17410" spans="1:2" x14ac:dyDescent="0.25">
      <c r="A17410" s="75">
        <v>83121701</v>
      </c>
      <c r="B17410" s="76" t="s">
        <v>19816</v>
      </c>
    </row>
    <row r="17411" spans="1:2" x14ac:dyDescent="0.25">
      <c r="A17411" s="75">
        <v>83121702</v>
      </c>
      <c r="B17411" s="76" t="s">
        <v>14366</v>
      </c>
    </row>
    <row r="17412" spans="1:2" x14ac:dyDescent="0.25">
      <c r="A17412" s="75">
        <v>83121703</v>
      </c>
      <c r="B17412" s="76" t="s">
        <v>12866</v>
      </c>
    </row>
    <row r="17413" spans="1:2" x14ac:dyDescent="0.25">
      <c r="A17413" s="75">
        <v>83121704</v>
      </c>
      <c r="B17413" s="76" t="s">
        <v>10368</v>
      </c>
    </row>
    <row r="17414" spans="1:2" x14ac:dyDescent="0.25">
      <c r="A17414" s="75">
        <v>84101501</v>
      </c>
      <c r="B17414" s="76" t="s">
        <v>11049</v>
      </c>
    </row>
    <row r="17415" spans="1:2" x14ac:dyDescent="0.25">
      <c r="A17415" s="75">
        <v>84101502</v>
      </c>
      <c r="B17415" s="76" t="s">
        <v>8910</v>
      </c>
    </row>
    <row r="17416" spans="1:2" x14ac:dyDescent="0.25">
      <c r="A17416" s="75">
        <v>84101503</v>
      </c>
      <c r="B17416" s="76" t="s">
        <v>2238</v>
      </c>
    </row>
    <row r="17417" spans="1:2" x14ac:dyDescent="0.25">
      <c r="A17417" s="75">
        <v>84101601</v>
      </c>
      <c r="B17417" s="76" t="s">
        <v>1186</v>
      </c>
    </row>
    <row r="17418" spans="1:2" x14ac:dyDescent="0.25">
      <c r="A17418" s="75">
        <v>84101602</v>
      </c>
      <c r="B17418" s="76" t="s">
        <v>18398</v>
      </c>
    </row>
    <row r="17419" spans="1:2" x14ac:dyDescent="0.25">
      <c r="A17419" s="75">
        <v>84101603</v>
      </c>
      <c r="B17419" s="76" t="s">
        <v>5529</v>
      </c>
    </row>
    <row r="17420" spans="1:2" x14ac:dyDescent="0.25">
      <c r="A17420" s="75">
        <v>84101604</v>
      </c>
      <c r="B17420" s="76" t="s">
        <v>18516</v>
      </c>
    </row>
    <row r="17421" spans="1:2" x14ac:dyDescent="0.25">
      <c r="A17421" s="75">
        <v>84101701</v>
      </c>
      <c r="B17421" s="76" t="s">
        <v>8321</v>
      </c>
    </row>
    <row r="17422" spans="1:2" x14ac:dyDescent="0.25">
      <c r="A17422" s="75">
        <v>84101702</v>
      </c>
      <c r="B17422" s="76" t="s">
        <v>1709</v>
      </c>
    </row>
    <row r="17423" spans="1:2" x14ac:dyDescent="0.25">
      <c r="A17423" s="75">
        <v>84101703</v>
      </c>
      <c r="B17423" s="76" t="s">
        <v>5994</v>
      </c>
    </row>
    <row r="17424" spans="1:2" x14ac:dyDescent="0.25">
      <c r="A17424" s="75">
        <v>84101704</v>
      </c>
      <c r="B17424" s="76" t="s">
        <v>13115</v>
      </c>
    </row>
    <row r="17425" spans="1:2" x14ac:dyDescent="0.25">
      <c r="A17425" s="75">
        <v>84101705</v>
      </c>
      <c r="B17425" s="76" t="s">
        <v>15024</v>
      </c>
    </row>
    <row r="17426" spans="1:2" x14ac:dyDescent="0.25">
      <c r="A17426" s="75">
        <v>84111501</v>
      </c>
      <c r="B17426" s="76" t="s">
        <v>1359</v>
      </c>
    </row>
    <row r="17427" spans="1:2" x14ac:dyDescent="0.25">
      <c r="A17427" s="75">
        <v>84111502</v>
      </c>
      <c r="B17427" s="76" t="s">
        <v>2109</v>
      </c>
    </row>
    <row r="17428" spans="1:2" x14ac:dyDescent="0.25">
      <c r="A17428" s="75">
        <v>84111503</v>
      </c>
      <c r="B17428" s="76" t="s">
        <v>17173</v>
      </c>
    </row>
    <row r="17429" spans="1:2" x14ac:dyDescent="0.25">
      <c r="A17429" s="75">
        <v>84111504</v>
      </c>
      <c r="B17429" s="76" t="s">
        <v>4361</v>
      </c>
    </row>
    <row r="17430" spans="1:2" x14ac:dyDescent="0.25">
      <c r="A17430" s="75">
        <v>84111505</v>
      </c>
      <c r="B17430" s="76" t="s">
        <v>3052</v>
      </c>
    </row>
    <row r="17431" spans="1:2" x14ac:dyDescent="0.25">
      <c r="A17431" s="75">
        <v>84111506</v>
      </c>
      <c r="B17431" s="76" t="s">
        <v>12584</v>
      </c>
    </row>
    <row r="17432" spans="1:2" x14ac:dyDescent="0.25">
      <c r="A17432" s="75">
        <v>84111507</v>
      </c>
      <c r="B17432" s="76" t="s">
        <v>16888</v>
      </c>
    </row>
    <row r="17433" spans="1:2" x14ac:dyDescent="0.25">
      <c r="A17433" s="75">
        <v>84111601</v>
      </c>
      <c r="B17433" s="76" t="s">
        <v>8883</v>
      </c>
    </row>
    <row r="17434" spans="1:2" x14ac:dyDescent="0.25">
      <c r="A17434" s="75">
        <v>84111602</v>
      </c>
      <c r="B17434" s="76" t="s">
        <v>17770</v>
      </c>
    </row>
    <row r="17435" spans="1:2" x14ac:dyDescent="0.25">
      <c r="A17435" s="75">
        <v>84111603</v>
      </c>
      <c r="B17435" s="76" t="s">
        <v>400</v>
      </c>
    </row>
    <row r="17436" spans="1:2" x14ac:dyDescent="0.25">
      <c r="A17436" s="75">
        <v>84111701</v>
      </c>
      <c r="B17436" s="76" t="s">
        <v>3892</v>
      </c>
    </row>
    <row r="17437" spans="1:2" x14ac:dyDescent="0.25">
      <c r="A17437" s="75">
        <v>84111702</v>
      </c>
      <c r="B17437" s="76" t="s">
        <v>1814</v>
      </c>
    </row>
    <row r="17438" spans="1:2" x14ac:dyDescent="0.25">
      <c r="A17438" s="75">
        <v>84111703</v>
      </c>
      <c r="B17438" s="76" t="s">
        <v>8789</v>
      </c>
    </row>
    <row r="17439" spans="1:2" x14ac:dyDescent="0.25">
      <c r="A17439" s="75">
        <v>84111801</v>
      </c>
      <c r="B17439" s="76" t="s">
        <v>13869</v>
      </c>
    </row>
    <row r="17440" spans="1:2" x14ac:dyDescent="0.25">
      <c r="A17440" s="75">
        <v>84111802</v>
      </c>
      <c r="B17440" s="76" t="s">
        <v>5277</v>
      </c>
    </row>
    <row r="17441" spans="1:2" x14ac:dyDescent="0.25">
      <c r="A17441" s="75">
        <v>84121501</v>
      </c>
      <c r="B17441" s="76" t="s">
        <v>4389</v>
      </c>
    </row>
    <row r="17442" spans="1:2" x14ac:dyDescent="0.25">
      <c r="A17442" s="75">
        <v>84121502</v>
      </c>
      <c r="B17442" s="76" t="s">
        <v>18070</v>
      </c>
    </row>
    <row r="17443" spans="1:2" x14ac:dyDescent="0.25">
      <c r="A17443" s="75">
        <v>84121503</v>
      </c>
      <c r="B17443" s="76" t="s">
        <v>10564</v>
      </c>
    </row>
    <row r="17444" spans="1:2" x14ac:dyDescent="0.25">
      <c r="A17444" s="75">
        <v>84121504</v>
      </c>
      <c r="B17444" s="76" t="s">
        <v>18324</v>
      </c>
    </row>
    <row r="17445" spans="1:2" x14ac:dyDescent="0.25">
      <c r="A17445" s="75">
        <v>84121601</v>
      </c>
      <c r="B17445" s="76" t="s">
        <v>6550</v>
      </c>
    </row>
    <row r="17446" spans="1:2" x14ac:dyDescent="0.25">
      <c r="A17446" s="75">
        <v>84121602</v>
      </c>
      <c r="B17446" s="76" t="s">
        <v>18326</v>
      </c>
    </row>
    <row r="17447" spans="1:2" x14ac:dyDescent="0.25">
      <c r="A17447" s="75">
        <v>84121603</v>
      </c>
      <c r="B17447" s="76" t="s">
        <v>17859</v>
      </c>
    </row>
    <row r="17448" spans="1:2" x14ac:dyDescent="0.25">
      <c r="A17448" s="75">
        <v>84121604</v>
      </c>
      <c r="B17448" s="76" t="s">
        <v>14446</v>
      </c>
    </row>
    <row r="17449" spans="1:2" x14ac:dyDescent="0.25">
      <c r="A17449" s="75">
        <v>84121605</v>
      </c>
      <c r="B17449" s="76" t="s">
        <v>9981</v>
      </c>
    </row>
    <row r="17450" spans="1:2" x14ac:dyDescent="0.25">
      <c r="A17450" s="75">
        <v>84121606</v>
      </c>
      <c r="B17450" s="76" t="s">
        <v>6713</v>
      </c>
    </row>
    <row r="17451" spans="1:2" x14ac:dyDescent="0.25">
      <c r="A17451" s="75">
        <v>84121607</v>
      </c>
      <c r="B17451" s="76" t="s">
        <v>19025</v>
      </c>
    </row>
    <row r="17452" spans="1:2" x14ac:dyDescent="0.25">
      <c r="A17452" s="75">
        <v>84121701</v>
      </c>
      <c r="B17452" s="76" t="s">
        <v>1396</v>
      </c>
    </row>
    <row r="17453" spans="1:2" x14ac:dyDescent="0.25">
      <c r="A17453" s="75">
        <v>84121702</v>
      </c>
      <c r="B17453" s="76" t="s">
        <v>18698</v>
      </c>
    </row>
    <row r="17454" spans="1:2" x14ac:dyDescent="0.25">
      <c r="A17454" s="75">
        <v>84121703</v>
      </c>
      <c r="B17454" s="76" t="s">
        <v>10732</v>
      </c>
    </row>
    <row r="17455" spans="1:2" x14ac:dyDescent="0.25">
      <c r="A17455" s="75">
        <v>84121704</v>
      </c>
      <c r="B17455" s="76" t="s">
        <v>17375</v>
      </c>
    </row>
    <row r="17456" spans="1:2" x14ac:dyDescent="0.25">
      <c r="A17456" s="75">
        <v>84121705</v>
      </c>
      <c r="B17456" s="76" t="s">
        <v>857</v>
      </c>
    </row>
    <row r="17457" spans="1:2" x14ac:dyDescent="0.25">
      <c r="A17457" s="75">
        <v>84121801</v>
      </c>
      <c r="B17457" s="76" t="s">
        <v>17695</v>
      </c>
    </row>
    <row r="17458" spans="1:2" x14ac:dyDescent="0.25">
      <c r="A17458" s="75">
        <v>84121802</v>
      </c>
      <c r="B17458" s="76" t="s">
        <v>6860</v>
      </c>
    </row>
    <row r="17459" spans="1:2" x14ac:dyDescent="0.25">
      <c r="A17459" s="75">
        <v>84121803</v>
      </c>
      <c r="B17459" s="76" t="s">
        <v>17992</v>
      </c>
    </row>
    <row r="17460" spans="1:2" x14ac:dyDescent="0.25">
      <c r="A17460" s="75">
        <v>84121804</v>
      </c>
      <c r="B17460" s="76" t="s">
        <v>358</v>
      </c>
    </row>
    <row r="17461" spans="1:2" x14ac:dyDescent="0.25">
      <c r="A17461" s="75">
        <v>84121805</v>
      </c>
      <c r="B17461" s="76" t="s">
        <v>9990</v>
      </c>
    </row>
    <row r="17462" spans="1:2" x14ac:dyDescent="0.25">
      <c r="A17462" s="75">
        <v>84121806</v>
      </c>
      <c r="B17462" s="76" t="s">
        <v>8068</v>
      </c>
    </row>
    <row r="17463" spans="1:2" x14ac:dyDescent="0.25">
      <c r="A17463" s="75">
        <v>84121901</v>
      </c>
      <c r="B17463" s="76" t="s">
        <v>11870</v>
      </c>
    </row>
    <row r="17464" spans="1:2" x14ac:dyDescent="0.25">
      <c r="A17464" s="75">
        <v>84121902</v>
      </c>
      <c r="B17464" s="76" t="s">
        <v>2532</v>
      </c>
    </row>
    <row r="17465" spans="1:2" x14ac:dyDescent="0.25">
      <c r="A17465" s="75">
        <v>84121903</v>
      </c>
      <c r="B17465" s="76" t="s">
        <v>16337</v>
      </c>
    </row>
    <row r="17466" spans="1:2" x14ac:dyDescent="0.25">
      <c r="A17466" s="75">
        <v>84122001</v>
      </c>
      <c r="B17466" s="76" t="s">
        <v>10454</v>
      </c>
    </row>
    <row r="17467" spans="1:2" x14ac:dyDescent="0.25">
      <c r="A17467" s="75">
        <v>84131501</v>
      </c>
      <c r="B17467" s="76" t="s">
        <v>13669</v>
      </c>
    </row>
    <row r="17468" spans="1:2" x14ac:dyDescent="0.25">
      <c r="A17468" s="75">
        <v>84131502</v>
      </c>
      <c r="B17468" s="76" t="s">
        <v>17075</v>
      </c>
    </row>
    <row r="17469" spans="1:2" x14ac:dyDescent="0.25">
      <c r="A17469" s="75">
        <v>84131503</v>
      </c>
      <c r="B17469" s="76" t="s">
        <v>6930</v>
      </c>
    </row>
    <row r="17470" spans="1:2" x14ac:dyDescent="0.25">
      <c r="A17470" s="75">
        <v>84131504</v>
      </c>
      <c r="B17470" s="76" t="s">
        <v>10231</v>
      </c>
    </row>
    <row r="17471" spans="1:2" x14ac:dyDescent="0.25">
      <c r="A17471" s="75">
        <v>84131505</v>
      </c>
      <c r="B17471" s="76" t="s">
        <v>11005</v>
      </c>
    </row>
    <row r="17472" spans="1:2" x14ac:dyDescent="0.25">
      <c r="A17472" s="75">
        <v>84131506</v>
      </c>
      <c r="B17472" s="76" t="s">
        <v>15515</v>
      </c>
    </row>
    <row r="17473" spans="1:2" x14ac:dyDescent="0.25">
      <c r="A17473" s="75">
        <v>84131507</v>
      </c>
      <c r="B17473" s="76" t="s">
        <v>17976</v>
      </c>
    </row>
    <row r="17474" spans="1:2" x14ac:dyDescent="0.25">
      <c r="A17474" s="75">
        <v>84131508</v>
      </c>
      <c r="B17474" s="76" t="s">
        <v>16357</v>
      </c>
    </row>
    <row r="17475" spans="1:2" x14ac:dyDescent="0.25">
      <c r="A17475" s="75">
        <v>84131509</v>
      </c>
      <c r="B17475" s="76" t="s">
        <v>13365</v>
      </c>
    </row>
    <row r="17476" spans="1:2" x14ac:dyDescent="0.25">
      <c r="A17476" s="75">
        <v>84131510</v>
      </c>
      <c r="B17476" s="76" t="s">
        <v>15606</v>
      </c>
    </row>
    <row r="17477" spans="1:2" x14ac:dyDescent="0.25">
      <c r="A17477" s="75">
        <v>84131511</v>
      </c>
      <c r="B17477" s="76" t="s">
        <v>5231</v>
      </c>
    </row>
    <row r="17478" spans="1:2" x14ac:dyDescent="0.25">
      <c r="A17478" s="75">
        <v>84131512</v>
      </c>
      <c r="B17478" s="76" t="s">
        <v>236</v>
      </c>
    </row>
    <row r="17479" spans="1:2" x14ac:dyDescent="0.25">
      <c r="A17479" s="75">
        <v>84131513</v>
      </c>
      <c r="B17479" s="76" t="s">
        <v>17968</v>
      </c>
    </row>
    <row r="17480" spans="1:2" x14ac:dyDescent="0.25">
      <c r="A17480" s="75">
        <v>84131514</v>
      </c>
      <c r="B17480" s="76" t="s">
        <v>6334</v>
      </c>
    </row>
    <row r="17481" spans="1:2" x14ac:dyDescent="0.25">
      <c r="A17481" s="75">
        <v>84131515</v>
      </c>
      <c r="B17481" s="76" t="s">
        <v>7560</v>
      </c>
    </row>
    <row r="17482" spans="1:2" x14ac:dyDescent="0.25">
      <c r="A17482" s="75">
        <v>84131516</v>
      </c>
      <c r="B17482" s="76" t="s">
        <v>14460</v>
      </c>
    </row>
    <row r="17483" spans="1:2" x14ac:dyDescent="0.25">
      <c r="A17483" s="75">
        <v>84131517</v>
      </c>
      <c r="B17483" s="76" t="s">
        <v>13315</v>
      </c>
    </row>
    <row r="17484" spans="1:2" x14ac:dyDescent="0.25">
      <c r="A17484" s="75">
        <v>84131601</v>
      </c>
      <c r="B17484" s="76" t="s">
        <v>7026</v>
      </c>
    </row>
    <row r="17485" spans="1:2" x14ac:dyDescent="0.25">
      <c r="A17485" s="75">
        <v>84131602</v>
      </c>
      <c r="B17485" s="76" t="s">
        <v>993</v>
      </c>
    </row>
    <row r="17486" spans="1:2" x14ac:dyDescent="0.25">
      <c r="A17486" s="75">
        <v>84131603</v>
      </c>
      <c r="B17486" s="76" t="s">
        <v>12015</v>
      </c>
    </row>
    <row r="17487" spans="1:2" x14ac:dyDescent="0.25">
      <c r="A17487" s="75">
        <v>84131604</v>
      </c>
      <c r="B17487" s="76" t="s">
        <v>14663</v>
      </c>
    </row>
    <row r="17488" spans="1:2" x14ac:dyDescent="0.25">
      <c r="A17488" s="75">
        <v>84131605</v>
      </c>
      <c r="B17488" s="76" t="s">
        <v>6998</v>
      </c>
    </row>
    <row r="17489" spans="1:2" x14ac:dyDescent="0.25">
      <c r="A17489" s="75">
        <v>84131606</v>
      </c>
      <c r="B17489" s="76" t="s">
        <v>329</v>
      </c>
    </row>
    <row r="17490" spans="1:2" x14ac:dyDescent="0.25">
      <c r="A17490" s="75">
        <v>84131607</v>
      </c>
      <c r="B17490" s="76" t="s">
        <v>16231</v>
      </c>
    </row>
    <row r="17491" spans="1:2" x14ac:dyDescent="0.25">
      <c r="A17491" s="75">
        <v>84131608</v>
      </c>
      <c r="B17491" s="76" t="s">
        <v>7923</v>
      </c>
    </row>
    <row r="17492" spans="1:2" x14ac:dyDescent="0.25">
      <c r="A17492" s="75">
        <v>84131609</v>
      </c>
      <c r="B17492" s="76" t="s">
        <v>3214</v>
      </c>
    </row>
    <row r="17493" spans="1:2" x14ac:dyDescent="0.25">
      <c r="A17493" s="75">
        <v>84131610</v>
      </c>
      <c r="B17493" s="76" t="s">
        <v>18741</v>
      </c>
    </row>
    <row r="17494" spans="1:2" x14ac:dyDescent="0.25">
      <c r="A17494" s="75">
        <v>84131701</v>
      </c>
      <c r="B17494" s="76" t="s">
        <v>15861</v>
      </c>
    </row>
    <row r="17495" spans="1:2" x14ac:dyDescent="0.25">
      <c r="A17495" s="75">
        <v>84131702</v>
      </c>
      <c r="B17495" s="76" t="s">
        <v>5412</v>
      </c>
    </row>
    <row r="17496" spans="1:2" x14ac:dyDescent="0.25">
      <c r="A17496" s="75">
        <v>84131801</v>
      </c>
      <c r="B17496" s="76" t="s">
        <v>6039</v>
      </c>
    </row>
    <row r="17497" spans="1:2" x14ac:dyDescent="0.25">
      <c r="A17497" s="75">
        <v>84131802</v>
      </c>
      <c r="B17497" s="76" t="s">
        <v>4877</v>
      </c>
    </row>
    <row r="17498" spans="1:2" x14ac:dyDescent="0.25">
      <c r="A17498" s="75">
        <v>84141501</v>
      </c>
      <c r="B17498" s="76" t="s">
        <v>18800</v>
      </c>
    </row>
    <row r="17499" spans="1:2" x14ac:dyDescent="0.25">
      <c r="A17499" s="75">
        <v>84141502</v>
      </c>
      <c r="B17499" s="76" t="s">
        <v>17239</v>
      </c>
    </row>
    <row r="17500" spans="1:2" x14ac:dyDescent="0.25">
      <c r="A17500" s="75">
        <v>84141503</v>
      </c>
      <c r="B17500" s="76" t="s">
        <v>8953</v>
      </c>
    </row>
    <row r="17501" spans="1:2" x14ac:dyDescent="0.25">
      <c r="A17501" s="75">
        <v>84141601</v>
      </c>
      <c r="B17501" s="76" t="s">
        <v>2292</v>
      </c>
    </row>
    <row r="17502" spans="1:2" x14ac:dyDescent="0.25">
      <c r="A17502" s="75">
        <v>84141602</v>
      </c>
      <c r="B17502" s="76" t="s">
        <v>12185</v>
      </c>
    </row>
    <row r="17503" spans="1:2" x14ac:dyDescent="0.25">
      <c r="A17503" s="75">
        <v>84141701</v>
      </c>
      <c r="B17503" s="76" t="s">
        <v>14274</v>
      </c>
    </row>
    <row r="17504" spans="1:2" x14ac:dyDescent="0.25">
      <c r="A17504" s="75">
        <v>84141702</v>
      </c>
      <c r="B17504" s="76" t="s">
        <v>13400</v>
      </c>
    </row>
    <row r="17505" spans="1:2" x14ac:dyDescent="0.25">
      <c r="A17505" s="75">
        <v>85101501</v>
      </c>
      <c r="B17505" s="76" t="s">
        <v>7868</v>
      </c>
    </row>
    <row r="17506" spans="1:2" x14ac:dyDescent="0.25">
      <c r="A17506" s="75">
        <v>85101502</v>
      </c>
      <c r="B17506" s="76" t="s">
        <v>16630</v>
      </c>
    </row>
    <row r="17507" spans="1:2" x14ac:dyDescent="0.25">
      <c r="A17507" s="75">
        <v>85101503</v>
      </c>
      <c r="B17507" s="76" t="s">
        <v>12303</v>
      </c>
    </row>
    <row r="17508" spans="1:2" x14ac:dyDescent="0.25">
      <c r="A17508" s="75">
        <v>85101504</v>
      </c>
      <c r="B17508" s="76" t="s">
        <v>11002</v>
      </c>
    </row>
    <row r="17509" spans="1:2" x14ac:dyDescent="0.25">
      <c r="A17509" s="75">
        <v>85101505</v>
      </c>
      <c r="B17509" s="76" t="s">
        <v>19152</v>
      </c>
    </row>
    <row r="17510" spans="1:2" x14ac:dyDescent="0.25">
      <c r="A17510" s="75">
        <v>85101506</v>
      </c>
      <c r="B17510" s="76" t="s">
        <v>16436</v>
      </c>
    </row>
    <row r="17511" spans="1:2" x14ac:dyDescent="0.25">
      <c r="A17511" s="75">
        <v>85101507</v>
      </c>
      <c r="B17511" s="76" t="s">
        <v>5148</v>
      </c>
    </row>
    <row r="17512" spans="1:2" x14ac:dyDescent="0.25">
      <c r="A17512" s="75">
        <v>85101508</v>
      </c>
      <c r="B17512" s="76" t="s">
        <v>12287</v>
      </c>
    </row>
    <row r="17513" spans="1:2" x14ac:dyDescent="0.25">
      <c r="A17513" s="75">
        <v>85101509</v>
      </c>
      <c r="B17513" s="76" t="s">
        <v>12987</v>
      </c>
    </row>
    <row r="17514" spans="1:2" x14ac:dyDescent="0.25">
      <c r="A17514" s="75">
        <v>85101601</v>
      </c>
      <c r="B17514" s="76" t="s">
        <v>2662</v>
      </c>
    </row>
    <row r="17515" spans="1:2" x14ac:dyDescent="0.25">
      <c r="A17515" s="75">
        <v>85101602</v>
      </c>
      <c r="B17515" s="76" t="s">
        <v>6674</v>
      </c>
    </row>
    <row r="17516" spans="1:2" x14ac:dyDescent="0.25">
      <c r="A17516" s="75">
        <v>85101603</v>
      </c>
      <c r="B17516" s="76" t="s">
        <v>7969</v>
      </c>
    </row>
    <row r="17517" spans="1:2" x14ac:dyDescent="0.25">
      <c r="A17517" s="75">
        <v>85101604</v>
      </c>
      <c r="B17517" s="76" t="s">
        <v>11160</v>
      </c>
    </row>
    <row r="17518" spans="1:2" x14ac:dyDescent="0.25">
      <c r="A17518" s="75">
        <v>85101605</v>
      </c>
      <c r="B17518" s="76" t="s">
        <v>4664</v>
      </c>
    </row>
    <row r="17519" spans="1:2" x14ac:dyDescent="0.25">
      <c r="A17519" s="75">
        <v>85101701</v>
      </c>
      <c r="B17519" s="76" t="s">
        <v>3027</v>
      </c>
    </row>
    <row r="17520" spans="1:2" x14ac:dyDescent="0.25">
      <c r="A17520" s="75">
        <v>85101702</v>
      </c>
      <c r="B17520" s="76" t="s">
        <v>17499</v>
      </c>
    </row>
    <row r="17521" spans="1:2" x14ac:dyDescent="0.25">
      <c r="A17521" s="75">
        <v>85101703</v>
      </c>
      <c r="B17521" s="76" t="s">
        <v>4402</v>
      </c>
    </row>
    <row r="17522" spans="1:2" x14ac:dyDescent="0.25">
      <c r="A17522" s="75">
        <v>85101704</v>
      </c>
      <c r="B17522" s="76" t="s">
        <v>1902</v>
      </c>
    </row>
    <row r="17523" spans="1:2" x14ac:dyDescent="0.25">
      <c r="A17523" s="75">
        <v>85101705</v>
      </c>
      <c r="B17523" s="76" t="s">
        <v>17425</v>
      </c>
    </row>
    <row r="17524" spans="1:2" x14ac:dyDescent="0.25">
      <c r="A17524" s="75">
        <v>85101706</v>
      </c>
      <c r="B17524" s="76" t="s">
        <v>9936</v>
      </c>
    </row>
    <row r="17525" spans="1:2" x14ac:dyDescent="0.25">
      <c r="A17525" s="75">
        <v>85101707</v>
      </c>
      <c r="B17525" s="76" t="s">
        <v>42</v>
      </c>
    </row>
    <row r="17526" spans="1:2" x14ac:dyDescent="0.25">
      <c r="A17526" s="75">
        <v>85111501</v>
      </c>
      <c r="B17526" s="76" t="s">
        <v>19288</v>
      </c>
    </row>
    <row r="17527" spans="1:2" x14ac:dyDescent="0.25">
      <c r="A17527" s="75">
        <v>85111502</v>
      </c>
      <c r="B17527" s="76" t="s">
        <v>16434</v>
      </c>
    </row>
    <row r="17528" spans="1:2" x14ac:dyDescent="0.25">
      <c r="A17528" s="75">
        <v>85111503</v>
      </c>
      <c r="B17528" s="76" t="s">
        <v>18338</v>
      </c>
    </row>
    <row r="17529" spans="1:2" x14ac:dyDescent="0.25">
      <c r="A17529" s="75">
        <v>85111504</v>
      </c>
      <c r="B17529" s="76" t="s">
        <v>6517</v>
      </c>
    </row>
    <row r="17530" spans="1:2" x14ac:dyDescent="0.25">
      <c r="A17530" s="75">
        <v>85111505</v>
      </c>
      <c r="B17530" s="76" t="s">
        <v>6276</v>
      </c>
    </row>
    <row r="17531" spans="1:2" x14ac:dyDescent="0.25">
      <c r="A17531" s="75">
        <v>85111506</v>
      </c>
      <c r="B17531" s="76" t="s">
        <v>13802</v>
      </c>
    </row>
    <row r="17532" spans="1:2" x14ac:dyDescent="0.25">
      <c r="A17532" s="75">
        <v>85111507</v>
      </c>
      <c r="B17532" s="76" t="s">
        <v>15853</v>
      </c>
    </row>
    <row r="17533" spans="1:2" x14ac:dyDescent="0.25">
      <c r="A17533" s="75">
        <v>85111508</v>
      </c>
      <c r="B17533" s="76" t="s">
        <v>6836</v>
      </c>
    </row>
    <row r="17534" spans="1:2" x14ac:dyDescent="0.25">
      <c r="A17534" s="75">
        <v>85111509</v>
      </c>
      <c r="B17534" s="76" t="s">
        <v>19956</v>
      </c>
    </row>
    <row r="17535" spans="1:2" x14ac:dyDescent="0.25">
      <c r="A17535" s="75">
        <v>85111510</v>
      </c>
      <c r="B17535" s="76" t="s">
        <v>1557</v>
      </c>
    </row>
    <row r="17536" spans="1:2" x14ac:dyDescent="0.25">
      <c r="A17536" s="75">
        <v>85111511</v>
      </c>
      <c r="B17536" s="76" t="s">
        <v>14297</v>
      </c>
    </row>
    <row r="17537" spans="1:2" x14ac:dyDescent="0.25">
      <c r="A17537" s="75">
        <v>85111512</v>
      </c>
      <c r="B17537" s="76" t="s">
        <v>17866</v>
      </c>
    </row>
    <row r="17538" spans="1:2" x14ac:dyDescent="0.25">
      <c r="A17538" s="75">
        <v>85111513</v>
      </c>
      <c r="B17538" s="76" t="s">
        <v>1321</v>
      </c>
    </row>
    <row r="17539" spans="1:2" x14ac:dyDescent="0.25">
      <c r="A17539" s="75">
        <v>85111514</v>
      </c>
      <c r="B17539" s="76" t="s">
        <v>4636</v>
      </c>
    </row>
    <row r="17540" spans="1:2" x14ac:dyDescent="0.25">
      <c r="A17540" s="75">
        <v>85111601</v>
      </c>
      <c r="B17540" s="76" t="s">
        <v>13912</v>
      </c>
    </row>
    <row r="17541" spans="1:2" x14ac:dyDescent="0.25">
      <c r="A17541" s="75">
        <v>85111602</v>
      </c>
      <c r="B17541" s="76" t="s">
        <v>19752</v>
      </c>
    </row>
    <row r="17542" spans="1:2" x14ac:dyDescent="0.25">
      <c r="A17542" s="75">
        <v>85111603</v>
      </c>
      <c r="B17542" s="76" t="s">
        <v>14416</v>
      </c>
    </row>
    <row r="17543" spans="1:2" x14ac:dyDescent="0.25">
      <c r="A17543" s="75">
        <v>85111604</v>
      </c>
      <c r="B17543" s="76" t="s">
        <v>14676</v>
      </c>
    </row>
    <row r="17544" spans="1:2" x14ac:dyDescent="0.25">
      <c r="A17544" s="75">
        <v>85111605</v>
      </c>
      <c r="B17544" s="76" t="s">
        <v>6746</v>
      </c>
    </row>
    <row r="17545" spans="1:2" x14ac:dyDescent="0.25">
      <c r="A17545" s="75">
        <v>85111606</v>
      </c>
      <c r="B17545" s="76" t="s">
        <v>282</v>
      </c>
    </row>
    <row r="17546" spans="1:2" x14ac:dyDescent="0.25">
      <c r="A17546" s="75">
        <v>85111607</v>
      </c>
      <c r="B17546" s="76" t="s">
        <v>14915</v>
      </c>
    </row>
    <row r="17547" spans="1:2" x14ac:dyDescent="0.25">
      <c r="A17547" s="75">
        <v>85111608</v>
      </c>
      <c r="B17547" s="76" t="s">
        <v>4805</v>
      </c>
    </row>
    <row r="17548" spans="1:2" x14ac:dyDescent="0.25">
      <c r="A17548" s="75">
        <v>85111609</v>
      </c>
      <c r="B17548" s="76" t="s">
        <v>6388</v>
      </c>
    </row>
    <row r="17549" spans="1:2" x14ac:dyDescent="0.25">
      <c r="A17549" s="75">
        <v>85111610</v>
      </c>
      <c r="B17549" s="76" t="s">
        <v>17042</v>
      </c>
    </row>
    <row r="17550" spans="1:2" x14ac:dyDescent="0.25">
      <c r="A17550" s="75">
        <v>85111611</v>
      </c>
      <c r="B17550" s="76" t="s">
        <v>14021</v>
      </c>
    </row>
    <row r="17551" spans="1:2" x14ac:dyDescent="0.25">
      <c r="A17551" s="75">
        <v>85111612</v>
      </c>
      <c r="B17551" s="76" t="s">
        <v>10093</v>
      </c>
    </row>
    <row r="17552" spans="1:2" x14ac:dyDescent="0.25">
      <c r="A17552" s="75">
        <v>85111613</v>
      </c>
      <c r="B17552" s="76" t="s">
        <v>16514</v>
      </c>
    </row>
    <row r="17553" spans="1:2" x14ac:dyDescent="0.25">
      <c r="A17553" s="75">
        <v>85111614</v>
      </c>
      <c r="B17553" s="76" t="s">
        <v>3826</v>
      </c>
    </row>
    <row r="17554" spans="1:2" x14ac:dyDescent="0.25">
      <c r="A17554" s="75">
        <v>85111615</v>
      </c>
      <c r="B17554" s="76" t="s">
        <v>12844</v>
      </c>
    </row>
    <row r="17555" spans="1:2" x14ac:dyDescent="0.25">
      <c r="A17555" s="75">
        <v>85111616</v>
      </c>
      <c r="B17555" s="76" t="s">
        <v>8011</v>
      </c>
    </row>
    <row r="17556" spans="1:2" x14ac:dyDescent="0.25">
      <c r="A17556" s="75">
        <v>85111617</v>
      </c>
      <c r="B17556" s="76" t="s">
        <v>16995</v>
      </c>
    </row>
    <row r="17557" spans="1:2" x14ac:dyDescent="0.25">
      <c r="A17557" s="75">
        <v>85111701</v>
      </c>
      <c r="B17557" s="76" t="s">
        <v>8100</v>
      </c>
    </row>
    <row r="17558" spans="1:2" x14ac:dyDescent="0.25">
      <c r="A17558" s="75">
        <v>85111702</v>
      </c>
      <c r="B17558" s="76" t="s">
        <v>13872</v>
      </c>
    </row>
    <row r="17559" spans="1:2" x14ac:dyDescent="0.25">
      <c r="A17559" s="75">
        <v>85111703</v>
      </c>
      <c r="B17559" s="76" t="s">
        <v>10789</v>
      </c>
    </row>
    <row r="17560" spans="1:2" x14ac:dyDescent="0.25">
      <c r="A17560" s="75">
        <v>85111704</v>
      </c>
      <c r="B17560" s="76" t="s">
        <v>14281</v>
      </c>
    </row>
    <row r="17561" spans="1:2" x14ac:dyDescent="0.25">
      <c r="A17561" s="75">
        <v>85121501</v>
      </c>
      <c r="B17561" s="76" t="s">
        <v>15797</v>
      </c>
    </row>
    <row r="17562" spans="1:2" x14ac:dyDescent="0.25">
      <c r="A17562" s="75">
        <v>85121502</v>
      </c>
      <c r="B17562" s="76" t="s">
        <v>16800</v>
      </c>
    </row>
    <row r="17563" spans="1:2" x14ac:dyDescent="0.25">
      <c r="A17563" s="75">
        <v>85121503</v>
      </c>
      <c r="B17563" s="76" t="s">
        <v>17815</v>
      </c>
    </row>
    <row r="17564" spans="1:2" x14ac:dyDescent="0.25">
      <c r="A17564" s="75">
        <v>85121504</v>
      </c>
      <c r="B17564" s="76" t="s">
        <v>10771</v>
      </c>
    </row>
    <row r="17565" spans="1:2" x14ac:dyDescent="0.25">
      <c r="A17565" s="75">
        <v>85121601</v>
      </c>
      <c r="B17565" s="76" t="s">
        <v>16600</v>
      </c>
    </row>
    <row r="17566" spans="1:2" x14ac:dyDescent="0.25">
      <c r="A17566" s="75">
        <v>85121602</v>
      </c>
      <c r="B17566" s="76" t="s">
        <v>8567</v>
      </c>
    </row>
    <row r="17567" spans="1:2" x14ac:dyDescent="0.25">
      <c r="A17567" s="75">
        <v>85121603</v>
      </c>
      <c r="B17567" s="76" t="s">
        <v>13304</v>
      </c>
    </row>
    <row r="17568" spans="1:2" x14ac:dyDescent="0.25">
      <c r="A17568" s="75">
        <v>85121604</v>
      </c>
      <c r="B17568" s="76" t="s">
        <v>18515</v>
      </c>
    </row>
    <row r="17569" spans="1:2" x14ac:dyDescent="0.25">
      <c r="A17569" s="75">
        <v>85121605</v>
      </c>
      <c r="B17569" s="76" t="s">
        <v>4812</v>
      </c>
    </row>
    <row r="17570" spans="1:2" x14ac:dyDescent="0.25">
      <c r="A17570" s="75">
        <v>85121606</v>
      </c>
      <c r="B17570" s="76" t="s">
        <v>11817</v>
      </c>
    </row>
    <row r="17571" spans="1:2" x14ac:dyDescent="0.25">
      <c r="A17571" s="75">
        <v>85121607</v>
      </c>
      <c r="B17571" s="76" t="s">
        <v>14576</v>
      </c>
    </row>
    <row r="17572" spans="1:2" x14ac:dyDescent="0.25">
      <c r="A17572" s="75">
        <v>85121608</v>
      </c>
      <c r="B17572" s="76" t="s">
        <v>14979</v>
      </c>
    </row>
    <row r="17573" spans="1:2" x14ac:dyDescent="0.25">
      <c r="A17573" s="75">
        <v>85121609</v>
      </c>
      <c r="B17573" s="76" t="s">
        <v>8740</v>
      </c>
    </row>
    <row r="17574" spans="1:2" x14ac:dyDescent="0.25">
      <c r="A17574" s="75">
        <v>85121610</v>
      </c>
      <c r="B17574" s="76" t="s">
        <v>10382</v>
      </c>
    </row>
    <row r="17575" spans="1:2" x14ac:dyDescent="0.25">
      <c r="A17575" s="75">
        <v>85121611</v>
      </c>
      <c r="B17575" s="76" t="s">
        <v>16850</v>
      </c>
    </row>
    <row r="17576" spans="1:2" x14ac:dyDescent="0.25">
      <c r="A17576" s="75">
        <v>85121612</v>
      </c>
      <c r="B17576" s="76" t="s">
        <v>2039</v>
      </c>
    </row>
    <row r="17577" spans="1:2" x14ac:dyDescent="0.25">
      <c r="A17577" s="75">
        <v>85121613</v>
      </c>
      <c r="B17577" s="76" t="s">
        <v>7999</v>
      </c>
    </row>
    <row r="17578" spans="1:2" x14ac:dyDescent="0.25">
      <c r="A17578" s="75">
        <v>85121614</v>
      </c>
      <c r="B17578" s="76" t="s">
        <v>8666</v>
      </c>
    </row>
    <row r="17579" spans="1:2" x14ac:dyDescent="0.25">
      <c r="A17579" s="75">
        <v>85121701</v>
      </c>
      <c r="B17579" s="76" t="s">
        <v>9240</v>
      </c>
    </row>
    <row r="17580" spans="1:2" x14ac:dyDescent="0.25">
      <c r="A17580" s="75">
        <v>85121702</v>
      </c>
      <c r="B17580" s="76" t="s">
        <v>18467</v>
      </c>
    </row>
    <row r="17581" spans="1:2" x14ac:dyDescent="0.25">
      <c r="A17581" s="75">
        <v>85121703</v>
      </c>
      <c r="B17581" s="76" t="s">
        <v>19325</v>
      </c>
    </row>
    <row r="17582" spans="1:2" x14ac:dyDescent="0.25">
      <c r="A17582" s="75">
        <v>85121704</v>
      </c>
      <c r="B17582" s="76" t="s">
        <v>8080</v>
      </c>
    </row>
    <row r="17583" spans="1:2" x14ac:dyDescent="0.25">
      <c r="A17583" s="75">
        <v>85121705</v>
      </c>
      <c r="B17583" s="76" t="s">
        <v>15895</v>
      </c>
    </row>
    <row r="17584" spans="1:2" x14ac:dyDescent="0.25">
      <c r="A17584" s="75">
        <v>85121706</v>
      </c>
      <c r="B17584" s="76" t="s">
        <v>340</v>
      </c>
    </row>
    <row r="17585" spans="1:2" x14ac:dyDescent="0.25">
      <c r="A17585" s="75">
        <v>85121801</v>
      </c>
      <c r="B17585" s="76" t="s">
        <v>5675</v>
      </c>
    </row>
    <row r="17586" spans="1:2" x14ac:dyDescent="0.25">
      <c r="A17586" s="75">
        <v>85121802</v>
      </c>
      <c r="B17586" s="76" t="s">
        <v>16098</v>
      </c>
    </row>
    <row r="17587" spans="1:2" x14ac:dyDescent="0.25">
      <c r="A17587" s="75">
        <v>85121803</v>
      </c>
      <c r="B17587" s="76" t="s">
        <v>3395</v>
      </c>
    </row>
    <row r="17588" spans="1:2" x14ac:dyDescent="0.25">
      <c r="A17588" s="75">
        <v>85121804</v>
      </c>
      <c r="B17588" s="76" t="s">
        <v>3955</v>
      </c>
    </row>
    <row r="17589" spans="1:2" x14ac:dyDescent="0.25">
      <c r="A17589" s="75">
        <v>85121805</v>
      </c>
      <c r="B17589" s="76" t="s">
        <v>7601</v>
      </c>
    </row>
    <row r="17590" spans="1:2" x14ac:dyDescent="0.25">
      <c r="A17590" s="75">
        <v>85121806</v>
      </c>
      <c r="B17590" s="76" t="s">
        <v>18998</v>
      </c>
    </row>
    <row r="17591" spans="1:2" x14ac:dyDescent="0.25">
      <c r="A17591" s="75">
        <v>85121807</v>
      </c>
      <c r="B17591" s="76" t="s">
        <v>19579</v>
      </c>
    </row>
    <row r="17592" spans="1:2" x14ac:dyDescent="0.25">
      <c r="A17592" s="75">
        <v>85121808</v>
      </c>
      <c r="B17592" s="76" t="s">
        <v>6375</v>
      </c>
    </row>
    <row r="17593" spans="1:2" x14ac:dyDescent="0.25">
      <c r="A17593" s="75">
        <v>85121809</v>
      </c>
      <c r="B17593" s="76" t="s">
        <v>14989</v>
      </c>
    </row>
    <row r="17594" spans="1:2" x14ac:dyDescent="0.25">
      <c r="A17594" s="75">
        <v>85121810</v>
      </c>
      <c r="B17594" s="76" t="s">
        <v>2491</v>
      </c>
    </row>
    <row r="17595" spans="1:2" x14ac:dyDescent="0.25">
      <c r="A17595" s="75">
        <v>85121901</v>
      </c>
      <c r="B17595" s="76" t="s">
        <v>15506</v>
      </c>
    </row>
    <row r="17596" spans="1:2" x14ac:dyDescent="0.25">
      <c r="A17596" s="75">
        <v>85121902</v>
      </c>
      <c r="B17596" s="76" t="s">
        <v>14197</v>
      </c>
    </row>
    <row r="17597" spans="1:2" x14ac:dyDescent="0.25">
      <c r="A17597" s="75">
        <v>85122001</v>
      </c>
      <c r="B17597" s="76" t="s">
        <v>3601</v>
      </c>
    </row>
    <row r="17598" spans="1:2" x14ac:dyDescent="0.25">
      <c r="A17598" s="75">
        <v>85122002</v>
      </c>
      <c r="B17598" s="76" t="s">
        <v>18446</v>
      </c>
    </row>
    <row r="17599" spans="1:2" x14ac:dyDescent="0.25">
      <c r="A17599" s="75">
        <v>85122003</v>
      </c>
      <c r="B17599" s="76" t="s">
        <v>17885</v>
      </c>
    </row>
    <row r="17600" spans="1:2" x14ac:dyDescent="0.25">
      <c r="A17600" s="75">
        <v>85122004</v>
      </c>
      <c r="B17600" s="76" t="s">
        <v>7995</v>
      </c>
    </row>
    <row r="17601" spans="1:2" x14ac:dyDescent="0.25">
      <c r="A17601" s="75">
        <v>85122005</v>
      </c>
      <c r="B17601" s="76" t="s">
        <v>1157</v>
      </c>
    </row>
    <row r="17602" spans="1:2" x14ac:dyDescent="0.25">
      <c r="A17602" s="75">
        <v>85122101</v>
      </c>
      <c r="B17602" s="76" t="s">
        <v>13771</v>
      </c>
    </row>
    <row r="17603" spans="1:2" x14ac:dyDescent="0.25">
      <c r="A17603" s="75">
        <v>85122102</v>
      </c>
      <c r="B17603" s="76" t="s">
        <v>14734</v>
      </c>
    </row>
    <row r="17604" spans="1:2" x14ac:dyDescent="0.25">
      <c r="A17604" s="75">
        <v>85122103</v>
      </c>
      <c r="B17604" s="76" t="s">
        <v>8607</v>
      </c>
    </row>
    <row r="17605" spans="1:2" x14ac:dyDescent="0.25">
      <c r="A17605" s="75">
        <v>85122104</v>
      </c>
      <c r="B17605" s="76" t="s">
        <v>18699</v>
      </c>
    </row>
    <row r="17606" spans="1:2" x14ac:dyDescent="0.25">
      <c r="A17606" s="75">
        <v>85122105</v>
      </c>
      <c r="B17606" s="76" t="s">
        <v>5956</v>
      </c>
    </row>
    <row r="17607" spans="1:2" x14ac:dyDescent="0.25">
      <c r="A17607" s="75">
        <v>85122106</v>
      </c>
      <c r="B17607" s="76" t="s">
        <v>4718</v>
      </c>
    </row>
    <row r="17608" spans="1:2" x14ac:dyDescent="0.25">
      <c r="A17608" s="75">
        <v>85122107</v>
      </c>
      <c r="B17608" s="76" t="s">
        <v>3326</v>
      </c>
    </row>
    <row r="17609" spans="1:2" x14ac:dyDescent="0.25">
      <c r="A17609" s="75">
        <v>85122108</v>
      </c>
      <c r="B17609" s="76" t="s">
        <v>8398</v>
      </c>
    </row>
    <row r="17610" spans="1:2" x14ac:dyDescent="0.25">
      <c r="A17610" s="75">
        <v>85122109</v>
      </c>
      <c r="B17610" s="76" t="s">
        <v>19197</v>
      </c>
    </row>
    <row r="17611" spans="1:2" x14ac:dyDescent="0.25">
      <c r="A17611" s="75">
        <v>85122201</v>
      </c>
      <c r="B17611" s="76" t="s">
        <v>15311</v>
      </c>
    </row>
    <row r="17612" spans="1:2" x14ac:dyDescent="0.25">
      <c r="A17612" s="75">
        <v>85131501</v>
      </c>
      <c r="B17612" s="76" t="s">
        <v>17913</v>
      </c>
    </row>
    <row r="17613" spans="1:2" x14ac:dyDescent="0.25">
      <c r="A17613" s="75">
        <v>85131502</v>
      </c>
      <c r="B17613" s="76" t="s">
        <v>119</v>
      </c>
    </row>
    <row r="17614" spans="1:2" x14ac:dyDescent="0.25">
      <c r="A17614" s="75">
        <v>85131503</v>
      </c>
      <c r="B17614" s="76" t="s">
        <v>2043</v>
      </c>
    </row>
    <row r="17615" spans="1:2" x14ac:dyDescent="0.25">
      <c r="A17615" s="75">
        <v>85131504</v>
      </c>
      <c r="B17615" s="76" t="s">
        <v>16146</v>
      </c>
    </row>
    <row r="17616" spans="1:2" x14ac:dyDescent="0.25">
      <c r="A17616" s="75">
        <v>85131505</v>
      </c>
      <c r="B17616" s="76" t="s">
        <v>13345</v>
      </c>
    </row>
    <row r="17617" spans="1:2" x14ac:dyDescent="0.25">
      <c r="A17617" s="75">
        <v>85131601</v>
      </c>
      <c r="B17617" s="76" t="s">
        <v>19954</v>
      </c>
    </row>
    <row r="17618" spans="1:2" x14ac:dyDescent="0.25">
      <c r="A17618" s="75">
        <v>85131602</v>
      </c>
      <c r="B17618" s="76" t="s">
        <v>3170</v>
      </c>
    </row>
    <row r="17619" spans="1:2" x14ac:dyDescent="0.25">
      <c r="A17619" s="75">
        <v>85131603</v>
      </c>
      <c r="B17619" s="76" t="s">
        <v>1954</v>
      </c>
    </row>
    <row r="17620" spans="1:2" x14ac:dyDescent="0.25">
      <c r="A17620" s="75">
        <v>85131604</v>
      </c>
      <c r="B17620" s="76" t="s">
        <v>5198</v>
      </c>
    </row>
    <row r="17621" spans="1:2" x14ac:dyDescent="0.25">
      <c r="A17621" s="75">
        <v>85131701</v>
      </c>
      <c r="B17621" s="76" t="s">
        <v>9404</v>
      </c>
    </row>
    <row r="17622" spans="1:2" x14ac:dyDescent="0.25">
      <c r="A17622" s="75">
        <v>85131702</v>
      </c>
      <c r="B17622" s="76" t="s">
        <v>18285</v>
      </c>
    </row>
    <row r="17623" spans="1:2" x14ac:dyDescent="0.25">
      <c r="A17623" s="75">
        <v>85131703</v>
      </c>
      <c r="B17623" s="76" t="s">
        <v>8596</v>
      </c>
    </row>
    <row r="17624" spans="1:2" x14ac:dyDescent="0.25">
      <c r="A17624" s="75">
        <v>85131704</v>
      </c>
      <c r="B17624" s="76" t="s">
        <v>18432</v>
      </c>
    </row>
    <row r="17625" spans="1:2" x14ac:dyDescent="0.25">
      <c r="A17625" s="75">
        <v>85131705</v>
      </c>
      <c r="B17625" s="76" t="s">
        <v>15038</v>
      </c>
    </row>
    <row r="17626" spans="1:2" x14ac:dyDescent="0.25">
      <c r="A17626" s="75">
        <v>85131706</v>
      </c>
      <c r="B17626" s="76" t="s">
        <v>13389</v>
      </c>
    </row>
    <row r="17627" spans="1:2" x14ac:dyDescent="0.25">
      <c r="A17627" s="75">
        <v>85131707</v>
      </c>
      <c r="B17627" s="76" t="s">
        <v>1987</v>
      </c>
    </row>
    <row r="17628" spans="1:2" x14ac:dyDescent="0.25">
      <c r="A17628" s="75">
        <v>85131708</v>
      </c>
      <c r="B17628" s="76" t="s">
        <v>5420</v>
      </c>
    </row>
    <row r="17629" spans="1:2" x14ac:dyDescent="0.25">
      <c r="A17629" s="75">
        <v>85131709</v>
      </c>
      <c r="B17629" s="76" t="s">
        <v>13284</v>
      </c>
    </row>
    <row r="17630" spans="1:2" x14ac:dyDescent="0.25">
      <c r="A17630" s="75">
        <v>85131710</v>
      </c>
      <c r="B17630" s="76" t="s">
        <v>4629</v>
      </c>
    </row>
    <row r="17631" spans="1:2" x14ac:dyDescent="0.25">
      <c r="A17631" s="75">
        <v>85131711</v>
      </c>
      <c r="B17631" s="76" t="s">
        <v>15198</v>
      </c>
    </row>
    <row r="17632" spans="1:2" x14ac:dyDescent="0.25">
      <c r="A17632" s="75">
        <v>85131712</v>
      </c>
      <c r="B17632" s="76" t="s">
        <v>3081</v>
      </c>
    </row>
    <row r="17633" spans="1:2" x14ac:dyDescent="0.25">
      <c r="A17633" s="75">
        <v>85131713</v>
      </c>
      <c r="B17633" s="76" t="s">
        <v>3612</v>
      </c>
    </row>
    <row r="17634" spans="1:2" x14ac:dyDescent="0.25">
      <c r="A17634" s="75">
        <v>85141501</v>
      </c>
      <c r="B17634" s="76" t="s">
        <v>15923</v>
      </c>
    </row>
    <row r="17635" spans="1:2" x14ac:dyDescent="0.25">
      <c r="A17635" s="75">
        <v>85141502</v>
      </c>
      <c r="B17635" s="76" t="s">
        <v>11761</v>
      </c>
    </row>
    <row r="17636" spans="1:2" x14ac:dyDescent="0.25">
      <c r="A17636" s="75">
        <v>85141503</v>
      </c>
      <c r="B17636" s="76" t="s">
        <v>1839</v>
      </c>
    </row>
    <row r="17637" spans="1:2" x14ac:dyDescent="0.25">
      <c r="A17637" s="75">
        <v>85141504</v>
      </c>
      <c r="B17637" s="76" t="s">
        <v>1477</v>
      </c>
    </row>
    <row r="17638" spans="1:2" x14ac:dyDescent="0.25">
      <c r="A17638" s="75">
        <v>85141601</v>
      </c>
      <c r="B17638" s="76" t="s">
        <v>6704</v>
      </c>
    </row>
    <row r="17639" spans="1:2" x14ac:dyDescent="0.25">
      <c r="A17639" s="75">
        <v>85141602</v>
      </c>
      <c r="B17639" s="76" t="s">
        <v>17896</v>
      </c>
    </row>
    <row r="17640" spans="1:2" x14ac:dyDescent="0.25">
      <c r="A17640" s="75">
        <v>85141603</v>
      </c>
      <c r="B17640" s="76" t="s">
        <v>15721</v>
      </c>
    </row>
    <row r="17641" spans="1:2" x14ac:dyDescent="0.25">
      <c r="A17641" s="75">
        <v>85141701</v>
      </c>
      <c r="B17641" s="76" t="s">
        <v>18212</v>
      </c>
    </row>
    <row r="17642" spans="1:2" x14ac:dyDescent="0.25">
      <c r="A17642" s="75">
        <v>85141702</v>
      </c>
      <c r="B17642" s="76" t="s">
        <v>9318</v>
      </c>
    </row>
    <row r="17643" spans="1:2" x14ac:dyDescent="0.25">
      <c r="A17643" s="75">
        <v>85151501</v>
      </c>
      <c r="B17643" s="76" t="s">
        <v>7162</v>
      </c>
    </row>
    <row r="17644" spans="1:2" x14ac:dyDescent="0.25">
      <c r="A17644" s="75">
        <v>85151502</v>
      </c>
      <c r="B17644" s="76" t="s">
        <v>19119</v>
      </c>
    </row>
    <row r="17645" spans="1:2" x14ac:dyDescent="0.25">
      <c r="A17645" s="75">
        <v>85151503</v>
      </c>
      <c r="B17645" s="76" t="s">
        <v>14604</v>
      </c>
    </row>
    <row r="17646" spans="1:2" x14ac:dyDescent="0.25">
      <c r="A17646" s="75">
        <v>85151504</v>
      </c>
      <c r="B17646" s="76" t="s">
        <v>6313</v>
      </c>
    </row>
    <row r="17647" spans="1:2" x14ac:dyDescent="0.25">
      <c r="A17647" s="75">
        <v>85151505</v>
      </c>
      <c r="B17647" s="76" t="s">
        <v>19920</v>
      </c>
    </row>
    <row r="17648" spans="1:2" x14ac:dyDescent="0.25">
      <c r="A17648" s="75">
        <v>85151506</v>
      </c>
      <c r="B17648" s="76" t="s">
        <v>14427</v>
      </c>
    </row>
    <row r="17649" spans="1:2" x14ac:dyDescent="0.25">
      <c r="A17649" s="75">
        <v>85151507</v>
      </c>
      <c r="B17649" s="76" t="s">
        <v>5533</v>
      </c>
    </row>
    <row r="17650" spans="1:2" x14ac:dyDescent="0.25">
      <c r="A17650" s="75">
        <v>85151508</v>
      </c>
      <c r="B17650" s="76" t="s">
        <v>500</v>
      </c>
    </row>
    <row r="17651" spans="1:2" x14ac:dyDescent="0.25">
      <c r="A17651" s="75">
        <v>85151509</v>
      </c>
      <c r="B17651" s="76" t="s">
        <v>15516</v>
      </c>
    </row>
    <row r="17652" spans="1:2" x14ac:dyDescent="0.25">
      <c r="A17652" s="75">
        <v>85151601</v>
      </c>
      <c r="B17652" s="76" t="s">
        <v>1679</v>
      </c>
    </row>
    <row r="17653" spans="1:2" x14ac:dyDescent="0.25">
      <c r="A17653" s="75">
        <v>85151602</v>
      </c>
      <c r="B17653" s="76" t="s">
        <v>15862</v>
      </c>
    </row>
    <row r="17654" spans="1:2" x14ac:dyDescent="0.25">
      <c r="A17654" s="75">
        <v>85151603</v>
      </c>
      <c r="B17654" s="76" t="s">
        <v>15147</v>
      </c>
    </row>
    <row r="17655" spans="1:2" x14ac:dyDescent="0.25">
      <c r="A17655" s="75">
        <v>85151604</v>
      </c>
      <c r="B17655" s="76" t="s">
        <v>3235</v>
      </c>
    </row>
    <row r="17656" spans="1:2" x14ac:dyDescent="0.25">
      <c r="A17656" s="75">
        <v>85151605</v>
      </c>
      <c r="B17656" s="76" t="s">
        <v>19695</v>
      </c>
    </row>
    <row r="17657" spans="1:2" x14ac:dyDescent="0.25">
      <c r="A17657" s="75">
        <v>85151606</v>
      </c>
      <c r="B17657" s="76" t="s">
        <v>16424</v>
      </c>
    </row>
    <row r="17658" spans="1:2" x14ac:dyDescent="0.25">
      <c r="A17658" s="75">
        <v>85151607</v>
      </c>
      <c r="B17658" s="76" t="s">
        <v>19200</v>
      </c>
    </row>
    <row r="17659" spans="1:2" x14ac:dyDescent="0.25">
      <c r="A17659" s="75">
        <v>85151701</v>
      </c>
      <c r="B17659" s="76" t="s">
        <v>10540</v>
      </c>
    </row>
    <row r="17660" spans="1:2" x14ac:dyDescent="0.25">
      <c r="A17660" s="75">
        <v>85151702</v>
      </c>
      <c r="B17660" s="76" t="s">
        <v>18790</v>
      </c>
    </row>
    <row r="17661" spans="1:2" x14ac:dyDescent="0.25">
      <c r="A17661" s="75">
        <v>85151703</v>
      </c>
      <c r="B17661" s="76" t="s">
        <v>19355</v>
      </c>
    </row>
    <row r="17662" spans="1:2" x14ac:dyDescent="0.25">
      <c r="A17662" s="75">
        <v>85151704</v>
      </c>
      <c r="B17662" s="76" t="s">
        <v>11145</v>
      </c>
    </row>
    <row r="17663" spans="1:2" x14ac:dyDescent="0.25">
      <c r="A17663" s="75">
        <v>85151705</v>
      </c>
      <c r="B17663" s="76" t="s">
        <v>18978</v>
      </c>
    </row>
    <row r="17664" spans="1:2" x14ac:dyDescent="0.25">
      <c r="A17664" s="75">
        <v>86101501</v>
      </c>
      <c r="B17664" s="76" t="s">
        <v>7002</v>
      </c>
    </row>
    <row r="17665" spans="1:2" x14ac:dyDescent="0.25">
      <c r="A17665" s="75">
        <v>86101502</v>
      </c>
      <c r="B17665" s="76" t="s">
        <v>2616</v>
      </c>
    </row>
    <row r="17666" spans="1:2" x14ac:dyDescent="0.25">
      <c r="A17666" s="75">
        <v>86101503</v>
      </c>
      <c r="B17666" s="76" t="s">
        <v>16108</v>
      </c>
    </row>
    <row r="17667" spans="1:2" x14ac:dyDescent="0.25">
      <c r="A17667" s="75">
        <v>86101504</v>
      </c>
      <c r="B17667" s="76" t="s">
        <v>6360</v>
      </c>
    </row>
    <row r="17668" spans="1:2" x14ac:dyDescent="0.25">
      <c r="A17668" s="75">
        <v>86101505</v>
      </c>
      <c r="B17668" s="76" t="s">
        <v>4178</v>
      </c>
    </row>
    <row r="17669" spans="1:2" x14ac:dyDescent="0.25">
      <c r="A17669" s="75">
        <v>86101506</v>
      </c>
      <c r="B17669" s="76" t="s">
        <v>1481</v>
      </c>
    </row>
    <row r="17670" spans="1:2" x14ac:dyDescent="0.25">
      <c r="A17670" s="75">
        <v>86101507</v>
      </c>
      <c r="B17670" s="76" t="s">
        <v>12412</v>
      </c>
    </row>
    <row r="17671" spans="1:2" x14ac:dyDescent="0.25">
      <c r="A17671" s="75">
        <v>86101508</v>
      </c>
      <c r="B17671" s="76" t="s">
        <v>101</v>
      </c>
    </row>
    <row r="17672" spans="1:2" x14ac:dyDescent="0.25">
      <c r="A17672" s="75">
        <v>86101509</v>
      </c>
      <c r="B17672" s="76" t="s">
        <v>19859</v>
      </c>
    </row>
    <row r="17673" spans="1:2" x14ac:dyDescent="0.25">
      <c r="A17673" s="75">
        <v>86101601</v>
      </c>
      <c r="B17673" s="76" t="s">
        <v>15353</v>
      </c>
    </row>
    <row r="17674" spans="1:2" x14ac:dyDescent="0.25">
      <c r="A17674" s="75">
        <v>86101602</v>
      </c>
      <c r="B17674" s="76" t="s">
        <v>7714</v>
      </c>
    </row>
    <row r="17675" spans="1:2" x14ac:dyDescent="0.25">
      <c r="A17675" s="75">
        <v>86101603</v>
      </c>
      <c r="B17675" s="76" t="s">
        <v>3527</v>
      </c>
    </row>
    <row r="17676" spans="1:2" x14ac:dyDescent="0.25">
      <c r="A17676" s="75">
        <v>86101604</v>
      </c>
      <c r="B17676" s="76" t="s">
        <v>14605</v>
      </c>
    </row>
    <row r="17677" spans="1:2" x14ac:dyDescent="0.25">
      <c r="A17677" s="75">
        <v>86101605</v>
      </c>
      <c r="B17677" s="76" t="s">
        <v>15157</v>
      </c>
    </row>
    <row r="17678" spans="1:2" x14ac:dyDescent="0.25">
      <c r="A17678" s="75">
        <v>86101606</v>
      </c>
      <c r="B17678" s="76" t="s">
        <v>13637</v>
      </c>
    </row>
    <row r="17679" spans="1:2" x14ac:dyDescent="0.25">
      <c r="A17679" s="75">
        <v>86101607</v>
      </c>
      <c r="B17679" s="76" t="s">
        <v>1102</v>
      </c>
    </row>
    <row r="17680" spans="1:2" x14ac:dyDescent="0.25">
      <c r="A17680" s="75">
        <v>86101608</v>
      </c>
      <c r="B17680" s="76" t="s">
        <v>4251</v>
      </c>
    </row>
    <row r="17681" spans="1:2" x14ac:dyDescent="0.25">
      <c r="A17681" s="75">
        <v>86101609</v>
      </c>
      <c r="B17681" s="76" t="s">
        <v>6499</v>
      </c>
    </row>
    <row r="17682" spans="1:2" x14ac:dyDescent="0.25">
      <c r="A17682" s="75">
        <v>86101610</v>
      </c>
      <c r="B17682" s="76" t="s">
        <v>19645</v>
      </c>
    </row>
    <row r="17683" spans="1:2" x14ac:dyDescent="0.25">
      <c r="A17683" s="75">
        <v>86101701</v>
      </c>
      <c r="B17683" s="76" t="s">
        <v>17890</v>
      </c>
    </row>
    <row r="17684" spans="1:2" x14ac:dyDescent="0.25">
      <c r="A17684" s="75">
        <v>86101702</v>
      </c>
      <c r="B17684" s="76" t="s">
        <v>1453</v>
      </c>
    </row>
    <row r="17685" spans="1:2" x14ac:dyDescent="0.25">
      <c r="A17685" s="75">
        <v>86101703</v>
      </c>
      <c r="B17685" s="76" t="s">
        <v>9195</v>
      </c>
    </row>
    <row r="17686" spans="1:2" x14ac:dyDescent="0.25">
      <c r="A17686" s="75">
        <v>86101704</v>
      </c>
      <c r="B17686" s="76" t="s">
        <v>18997</v>
      </c>
    </row>
    <row r="17687" spans="1:2" x14ac:dyDescent="0.25">
      <c r="A17687" s="75">
        <v>86101705</v>
      </c>
      <c r="B17687" s="76" t="s">
        <v>5274</v>
      </c>
    </row>
    <row r="17688" spans="1:2" x14ac:dyDescent="0.25">
      <c r="A17688" s="75">
        <v>86101706</v>
      </c>
      <c r="B17688" s="76" t="s">
        <v>4659</v>
      </c>
    </row>
    <row r="17689" spans="1:2" x14ac:dyDescent="0.25">
      <c r="A17689" s="75">
        <v>86101707</v>
      </c>
      <c r="B17689" s="76" t="s">
        <v>2741</v>
      </c>
    </row>
    <row r="17690" spans="1:2" x14ac:dyDescent="0.25">
      <c r="A17690" s="75">
        <v>86101708</v>
      </c>
      <c r="B17690" s="76" t="s">
        <v>9372</v>
      </c>
    </row>
    <row r="17691" spans="1:2" x14ac:dyDescent="0.25">
      <c r="A17691" s="75">
        <v>86101709</v>
      </c>
      <c r="B17691" s="76" t="s">
        <v>1314</v>
      </c>
    </row>
    <row r="17692" spans="1:2" x14ac:dyDescent="0.25">
      <c r="A17692" s="75">
        <v>86101710</v>
      </c>
      <c r="B17692" s="76" t="s">
        <v>2192</v>
      </c>
    </row>
    <row r="17693" spans="1:2" x14ac:dyDescent="0.25">
      <c r="A17693" s="75">
        <v>86101711</v>
      </c>
      <c r="B17693" s="76" t="s">
        <v>14865</v>
      </c>
    </row>
    <row r="17694" spans="1:2" x14ac:dyDescent="0.25">
      <c r="A17694" s="75">
        <v>86101712</v>
      </c>
      <c r="B17694" s="76" t="s">
        <v>4701</v>
      </c>
    </row>
    <row r="17695" spans="1:2" x14ac:dyDescent="0.25">
      <c r="A17695" s="75">
        <v>86101713</v>
      </c>
      <c r="B17695" s="76" t="s">
        <v>91</v>
      </c>
    </row>
    <row r="17696" spans="1:2" x14ac:dyDescent="0.25">
      <c r="A17696" s="75">
        <v>86101714</v>
      </c>
      <c r="B17696" s="76" t="s">
        <v>10851</v>
      </c>
    </row>
    <row r="17697" spans="1:2" x14ac:dyDescent="0.25">
      <c r="A17697" s="75">
        <v>86101715</v>
      </c>
      <c r="B17697" s="76" t="s">
        <v>11535</v>
      </c>
    </row>
    <row r="17698" spans="1:2" x14ac:dyDescent="0.25">
      <c r="A17698" s="75">
        <v>86101716</v>
      </c>
      <c r="B17698" s="76" t="s">
        <v>3976</v>
      </c>
    </row>
    <row r="17699" spans="1:2" x14ac:dyDescent="0.25">
      <c r="A17699" s="75">
        <v>86101801</v>
      </c>
      <c r="B17699" s="76" t="s">
        <v>3747</v>
      </c>
    </row>
    <row r="17700" spans="1:2" x14ac:dyDescent="0.25">
      <c r="A17700" s="75">
        <v>86101802</v>
      </c>
      <c r="B17700" s="76" t="s">
        <v>9161</v>
      </c>
    </row>
    <row r="17701" spans="1:2" x14ac:dyDescent="0.25">
      <c r="A17701" s="75">
        <v>86101803</v>
      </c>
      <c r="B17701" s="76" t="s">
        <v>8074</v>
      </c>
    </row>
    <row r="17702" spans="1:2" x14ac:dyDescent="0.25">
      <c r="A17702" s="75">
        <v>86101804</v>
      </c>
      <c r="B17702" s="76" t="s">
        <v>19989</v>
      </c>
    </row>
    <row r="17703" spans="1:2" x14ac:dyDescent="0.25">
      <c r="A17703" s="75">
        <v>86101805</v>
      </c>
      <c r="B17703" s="76" t="s">
        <v>6223</v>
      </c>
    </row>
    <row r="17704" spans="1:2" x14ac:dyDescent="0.25">
      <c r="A17704" s="75">
        <v>86101806</v>
      </c>
      <c r="B17704" s="76" t="s">
        <v>15654</v>
      </c>
    </row>
    <row r="17705" spans="1:2" x14ac:dyDescent="0.25">
      <c r="A17705" s="75">
        <v>86101807</v>
      </c>
      <c r="B17705" s="76" t="s">
        <v>18521</v>
      </c>
    </row>
    <row r="17706" spans="1:2" x14ac:dyDescent="0.25">
      <c r="A17706" s="75">
        <v>86101808</v>
      </c>
      <c r="B17706" s="76" t="s">
        <v>14086</v>
      </c>
    </row>
    <row r="17707" spans="1:2" x14ac:dyDescent="0.25">
      <c r="A17707" s="75">
        <v>86101809</v>
      </c>
      <c r="B17707" s="76" t="s">
        <v>15532</v>
      </c>
    </row>
    <row r="17708" spans="1:2" x14ac:dyDescent="0.25">
      <c r="A17708" s="75">
        <v>86111501</v>
      </c>
      <c r="B17708" s="76" t="s">
        <v>15590</v>
      </c>
    </row>
    <row r="17709" spans="1:2" x14ac:dyDescent="0.25">
      <c r="A17709" s="75">
        <v>86111502</v>
      </c>
      <c r="B17709" s="76" t="s">
        <v>5725</v>
      </c>
    </row>
    <row r="17710" spans="1:2" x14ac:dyDescent="0.25">
      <c r="A17710" s="75">
        <v>86111503</v>
      </c>
      <c r="B17710" s="76" t="s">
        <v>6189</v>
      </c>
    </row>
    <row r="17711" spans="1:2" x14ac:dyDescent="0.25">
      <c r="A17711" s="75">
        <v>86111504</v>
      </c>
      <c r="B17711" s="76" t="s">
        <v>12331</v>
      </c>
    </row>
    <row r="17712" spans="1:2" x14ac:dyDescent="0.25">
      <c r="A17712" s="75">
        <v>86111505</v>
      </c>
      <c r="B17712" s="76" t="s">
        <v>4728</v>
      </c>
    </row>
    <row r="17713" spans="1:2" x14ac:dyDescent="0.25">
      <c r="A17713" s="75">
        <v>86111601</v>
      </c>
      <c r="B17713" s="76" t="s">
        <v>3563</v>
      </c>
    </row>
    <row r="17714" spans="1:2" x14ac:dyDescent="0.25">
      <c r="A17714" s="75">
        <v>86111602</v>
      </c>
      <c r="B17714" s="76" t="s">
        <v>10084</v>
      </c>
    </row>
    <row r="17715" spans="1:2" x14ac:dyDescent="0.25">
      <c r="A17715" s="75">
        <v>86111603</v>
      </c>
      <c r="B17715" s="76" t="s">
        <v>1260</v>
      </c>
    </row>
    <row r="17716" spans="1:2" x14ac:dyDescent="0.25">
      <c r="A17716" s="75">
        <v>86111604</v>
      </c>
      <c r="B17716" s="76" t="s">
        <v>8554</v>
      </c>
    </row>
    <row r="17717" spans="1:2" x14ac:dyDescent="0.25">
      <c r="A17717" s="75">
        <v>86111701</v>
      </c>
      <c r="B17717" s="76" t="s">
        <v>7542</v>
      </c>
    </row>
    <row r="17718" spans="1:2" x14ac:dyDescent="0.25">
      <c r="A17718" s="75">
        <v>86111702</v>
      </c>
      <c r="B17718" s="76" t="s">
        <v>12595</v>
      </c>
    </row>
    <row r="17719" spans="1:2" x14ac:dyDescent="0.25">
      <c r="A17719" s="75">
        <v>86111801</v>
      </c>
      <c r="B17719" s="76" t="s">
        <v>10427</v>
      </c>
    </row>
    <row r="17720" spans="1:2" x14ac:dyDescent="0.25">
      <c r="A17720" s="75">
        <v>86111802</v>
      </c>
      <c r="B17720" s="76" t="s">
        <v>15146</v>
      </c>
    </row>
    <row r="17721" spans="1:2" x14ac:dyDescent="0.25">
      <c r="A17721" s="75">
        <v>86121501</v>
      </c>
      <c r="B17721" s="76" t="s">
        <v>6938</v>
      </c>
    </row>
    <row r="17722" spans="1:2" x14ac:dyDescent="0.25">
      <c r="A17722" s="75">
        <v>86121502</v>
      </c>
      <c r="B17722" s="76" t="s">
        <v>7081</v>
      </c>
    </row>
    <row r="17723" spans="1:2" x14ac:dyDescent="0.25">
      <c r="A17723" s="75">
        <v>86121503</v>
      </c>
      <c r="B17723" s="76" t="s">
        <v>17606</v>
      </c>
    </row>
    <row r="17724" spans="1:2" x14ac:dyDescent="0.25">
      <c r="A17724" s="75">
        <v>86121504</v>
      </c>
      <c r="B17724" s="76" t="s">
        <v>5441</v>
      </c>
    </row>
    <row r="17725" spans="1:2" x14ac:dyDescent="0.25">
      <c r="A17725" s="75">
        <v>86121601</v>
      </c>
      <c r="B17725" s="76" t="s">
        <v>3954</v>
      </c>
    </row>
    <row r="17726" spans="1:2" x14ac:dyDescent="0.25">
      <c r="A17726" s="75">
        <v>86121602</v>
      </c>
      <c r="B17726" s="76" t="s">
        <v>18857</v>
      </c>
    </row>
    <row r="17727" spans="1:2" x14ac:dyDescent="0.25">
      <c r="A17727" s="75">
        <v>86121701</v>
      </c>
      <c r="B17727" s="76" t="s">
        <v>19231</v>
      </c>
    </row>
    <row r="17728" spans="1:2" x14ac:dyDescent="0.25">
      <c r="A17728" s="75">
        <v>86121702</v>
      </c>
      <c r="B17728" s="76" t="s">
        <v>8076</v>
      </c>
    </row>
    <row r="17729" spans="1:2" x14ac:dyDescent="0.25">
      <c r="A17729" s="75">
        <v>86121802</v>
      </c>
      <c r="B17729" s="76" t="s">
        <v>1368</v>
      </c>
    </row>
    <row r="17730" spans="1:2" x14ac:dyDescent="0.25">
      <c r="A17730" s="75">
        <v>86121803</v>
      </c>
      <c r="B17730" s="76" t="s">
        <v>16858</v>
      </c>
    </row>
    <row r="17731" spans="1:2" x14ac:dyDescent="0.25">
      <c r="A17731" s="75">
        <v>86121804</v>
      </c>
      <c r="B17731" s="76" t="s">
        <v>17444</v>
      </c>
    </row>
    <row r="17732" spans="1:2" x14ac:dyDescent="0.25">
      <c r="A17732" s="75">
        <v>86131501</v>
      </c>
      <c r="B17732" s="76" t="s">
        <v>15281</v>
      </c>
    </row>
    <row r="17733" spans="1:2" x14ac:dyDescent="0.25">
      <c r="A17733" s="75">
        <v>86131502</v>
      </c>
      <c r="B17733" s="76" t="s">
        <v>9030</v>
      </c>
    </row>
    <row r="17734" spans="1:2" x14ac:dyDescent="0.25">
      <c r="A17734" s="75">
        <v>86131503</v>
      </c>
      <c r="B17734" s="76" t="s">
        <v>5147</v>
      </c>
    </row>
    <row r="17735" spans="1:2" x14ac:dyDescent="0.25">
      <c r="A17735" s="75">
        <v>86131504</v>
      </c>
      <c r="B17735" s="76" t="s">
        <v>12166</v>
      </c>
    </row>
    <row r="17736" spans="1:2" x14ac:dyDescent="0.25">
      <c r="A17736" s="75">
        <v>86131601</v>
      </c>
      <c r="B17736" s="76" t="s">
        <v>229</v>
      </c>
    </row>
    <row r="17737" spans="1:2" x14ac:dyDescent="0.25">
      <c r="A17737" s="75">
        <v>86131602</v>
      </c>
      <c r="B17737" s="76" t="s">
        <v>9098</v>
      </c>
    </row>
    <row r="17738" spans="1:2" x14ac:dyDescent="0.25">
      <c r="A17738" s="75">
        <v>86131603</v>
      </c>
      <c r="B17738" s="76" t="s">
        <v>11270</v>
      </c>
    </row>
    <row r="17739" spans="1:2" x14ac:dyDescent="0.25">
      <c r="A17739" s="75">
        <v>86131701</v>
      </c>
      <c r="B17739" s="76" t="s">
        <v>1023</v>
      </c>
    </row>
    <row r="17740" spans="1:2" x14ac:dyDescent="0.25">
      <c r="A17740" s="75">
        <v>86131702</v>
      </c>
      <c r="B17740" s="76" t="s">
        <v>12995</v>
      </c>
    </row>
    <row r="17741" spans="1:2" x14ac:dyDescent="0.25">
      <c r="A17741" s="75">
        <v>86131703</v>
      </c>
      <c r="B17741" s="76" t="s">
        <v>19944</v>
      </c>
    </row>
    <row r="17742" spans="1:2" x14ac:dyDescent="0.25">
      <c r="A17742" s="75">
        <v>86131801</v>
      </c>
      <c r="B17742" s="76" t="s">
        <v>7475</v>
      </c>
    </row>
    <row r="17743" spans="1:2" x14ac:dyDescent="0.25">
      <c r="A17743" s="75">
        <v>86131802</v>
      </c>
      <c r="B17743" s="76" t="s">
        <v>1928</v>
      </c>
    </row>
    <row r="17744" spans="1:2" x14ac:dyDescent="0.25">
      <c r="A17744" s="75">
        <v>86131803</v>
      </c>
      <c r="B17744" s="76" t="s">
        <v>19154</v>
      </c>
    </row>
    <row r="17745" spans="1:2" x14ac:dyDescent="0.25">
      <c r="A17745" s="75">
        <v>86131804</v>
      </c>
      <c r="B17745" s="76" t="s">
        <v>19945</v>
      </c>
    </row>
    <row r="17746" spans="1:2" x14ac:dyDescent="0.25">
      <c r="A17746" s="75">
        <v>86131901</v>
      </c>
      <c r="B17746" s="76" t="s">
        <v>13126</v>
      </c>
    </row>
    <row r="17747" spans="1:2" x14ac:dyDescent="0.25">
      <c r="A17747" s="75">
        <v>86131902</v>
      </c>
      <c r="B17747" s="76" t="s">
        <v>784</v>
      </c>
    </row>
    <row r="17748" spans="1:2" x14ac:dyDescent="0.25">
      <c r="A17748" s="75">
        <v>86131903</v>
      </c>
      <c r="B17748" s="76" t="s">
        <v>12561</v>
      </c>
    </row>
    <row r="17749" spans="1:2" x14ac:dyDescent="0.25">
      <c r="A17749" s="75">
        <v>86131904</v>
      </c>
      <c r="B17749" s="76" t="s">
        <v>19799</v>
      </c>
    </row>
    <row r="17750" spans="1:2" x14ac:dyDescent="0.25">
      <c r="A17750" s="75">
        <v>86141501</v>
      </c>
      <c r="B17750" s="76" t="s">
        <v>17873</v>
      </c>
    </row>
    <row r="17751" spans="1:2" x14ac:dyDescent="0.25">
      <c r="A17751" s="75">
        <v>86141502</v>
      </c>
      <c r="B17751" s="76" t="s">
        <v>15550</v>
      </c>
    </row>
    <row r="17752" spans="1:2" x14ac:dyDescent="0.25">
      <c r="A17752" s="75">
        <v>86141503</v>
      </c>
      <c r="B17752" s="76" t="s">
        <v>1769</v>
      </c>
    </row>
    <row r="17753" spans="1:2" x14ac:dyDescent="0.25">
      <c r="A17753" s="75">
        <v>86141504</v>
      </c>
      <c r="B17753" s="76" t="s">
        <v>13988</v>
      </c>
    </row>
    <row r="17754" spans="1:2" x14ac:dyDescent="0.25">
      <c r="A17754" s="75">
        <v>86141601</v>
      </c>
      <c r="B17754" s="76" t="s">
        <v>17477</v>
      </c>
    </row>
    <row r="17755" spans="1:2" x14ac:dyDescent="0.25">
      <c r="A17755" s="75">
        <v>86141602</v>
      </c>
      <c r="B17755" s="76" t="s">
        <v>19377</v>
      </c>
    </row>
    <row r="17756" spans="1:2" x14ac:dyDescent="0.25">
      <c r="A17756" s="75">
        <v>86141603</v>
      </c>
      <c r="B17756" s="76" t="s">
        <v>1026</v>
      </c>
    </row>
    <row r="17757" spans="1:2" x14ac:dyDescent="0.25">
      <c r="A17757" s="75">
        <v>86141701</v>
      </c>
      <c r="B17757" s="76" t="s">
        <v>7649</v>
      </c>
    </row>
    <row r="17758" spans="1:2" x14ac:dyDescent="0.25">
      <c r="A17758" s="75">
        <v>86141702</v>
      </c>
      <c r="B17758" s="76" t="s">
        <v>16788</v>
      </c>
    </row>
    <row r="17759" spans="1:2" x14ac:dyDescent="0.25">
      <c r="A17759" s="75">
        <v>86141703</v>
      </c>
      <c r="B17759" s="76" t="s">
        <v>16990</v>
      </c>
    </row>
    <row r="17760" spans="1:2" x14ac:dyDescent="0.25">
      <c r="A17760" s="75">
        <v>86141704</v>
      </c>
      <c r="B17760" s="76" t="s">
        <v>4019</v>
      </c>
    </row>
    <row r="17761" spans="1:2" x14ac:dyDescent="0.25">
      <c r="A17761" s="75">
        <v>90101501</v>
      </c>
      <c r="B17761" s="76" t="s">
        <v>16140</v>
      </c>
    </row>
    <row r="17762" spans="1:2" x14ac:dyDescent="0.25">
      <c r="A17762" s="75">
        <v>90101502</v>
      </c>
      <c r="B17762" s="76" t="s">
        <v>11595</v>
      </c>
    </row>
    <row r="17763" spans="1:2" x14ac:dyDescent="0.25">
      <c r="A17763" s="75">
        <v>90101503</v>
      </c>
      <c r="B17763" s="76" t="s">
        <v>17090</v>
      </c>
    </row>
    <row r="17764" spans="1:2" x14ac:dyDescent="0.25">
      <c r="A17764" s="75">
        <v>90101504</v>
      </c>
      <c r="B17764" s="76" t="s">
        <v>3880</v>
      </c>
    </row>
    <row r="17765" spans="1:2" x14ac:dyDescent="0.25">
      <c r="A17765" s="75">
        <v>90101601</v>
      </c>
      <c r="B17765" s="76" t="s">
        <v>12121</v>
      </c>
    </row>
    <row r="17766" spans="1:2" x14ac:dyDescent="0.25">
      <c r="A17766" s="75">
        <v>90101602</v>
      </c>
      <c r="B17766" s="76" t="s">
        <v>1</v>
      </c>
    </row>
    <row r="17767" spans="1:2" x14ac:dyDescent="0.25">
      <c r="A17767" s="75">
        <v>90101603</v>
      </c>
      <c r="B17767" s="76" t="s">
        <v>15257</v>
      </c>
    </row>
    <row r="17768" spans="1:2" x14ac:dyDescent="0.25">
      <c r="A17768" s="75">
        <v>90101604</v>
      </c>
      <c r="B17768" s="76" t="s">
        <v>13081</v>
      </c>
    </row>
    <row r="17769" spans="1:2" x14ac:dyDescent="0.25">
      <c r="A17769" s="75">
        <v>90101701</v>
      </c>
      <c r="B17769" s="76" t="s">
        <v>19019</v>
      </c>
    </row>
    <row r="17770" spans="1:2" x14ac:dyDescent="0.25">
      <c r="A17770" s="75">
        <v>90101801</v>
      </c>
      <c r="B17770" s="76" t="s">
        <v>3548</v>
      </c>
    </row>
    <row r="17771" spans="1:2" x14ac:dyDescent="0.25">
      <c r="A17771" s="75">
        <v>90101802</v>
      </c>
      <c r="B17771" s="76" t="s">
        <v>12735</v>
      </c>
    </row>
    <row r="17772" spans="1:2" x14ac:dyDescent="0.25">
      <c r="A17772" s="75">
        <v>90111501</v>
      </c>
      <c r="B17772" s="76" t="s">
        <v>15179</v>
      </c>
    </row>
    <row r="17773" spans="1:2" x14ac:dyDescent="0.25">
      <c r="A17773" s="75">
        <v>90111502</v>
      </c>
      <c r="B17773" s="76" t="s">
        <v>13462</v>
      </c>
    </row>
    <row r="17774" spans="1:2" x14ac:dyDescent="0.25">
      <c r="A17774" s="75">
        <v>90111503</v>
      </c>
      <c r="B17774" s="76" t="s">
        <v>13246</v>
      </c>
    </row>
    <row r="17775" spans="1:2" x14ac:dyDescent="0.25">
      <c r="A17775" s="75">
        <v>90111504</v>
      </c>
      <c r="B17775" s="76" t="s">
        <v>11514</v>
      </c>
    </row>
    <row r="17776" spans="1:2" x14ac:dyDescent="0.25">
      <c r="A17776" s="75">
        <v>90111601</v>
      </c>
      <c r="B17776" s="76" t="s">
        <v>13895</v>
      </c>
    </row>
    <row r="17777" spans="1:2" x14ac:dyDescent="0.25">
      <c r="A17777" s="75">
        <v>90111602</v>
      </c>
      <c r="B17777" s="76" t="s">
        <v>15891</v>
      </c>
    </row>
    <row r="17778" spans="1:2" x14ac:dyDescent="0.25">
      <c r="A17778" s="75">
        <v>90111603</v>
      </c>
      <c r="B17778" s="76" t="s">
        <v>1277</v>
      </c>
    </row>
    <row r="17779" spans="1:2" x14ac:dyDescent="0.25">
      <c r="A17779" s="75">
        <v>90111604</v>
      </c>
      <c r="B17779" s="76" t="s">
        <v>10137</v>
      </c>
    </row>
    <row r="17780" spans="1:2" x14ac:dyDescent="0.25">
      <c r="A17780" s="75">
        <v>90111701</v>
      </c>
      <c r="B17780" s="76" t="s">
        <v>19284</v>
      </c>
    </row>
    <row r="17781" spans="1:2" x14ac:dyDescent="0.25">
      <c r="A17781" s="75">
        <v>90111702</v>
      </c>
      <c r="B17781" s="76" t="s">
        <v>13659</v>
      </c>
    </row>
    <row r="17782" spans="1:2" x14ac:dyDescent="0.25">
      <c r="A17782" s="75">
        <v>90111703</v>
      </c>
      <c r="B17782" s="76" t="s">
        <v>13092</v>
      </c>
    </row>
    <row r="17783" spans="1:2" x14ac:dyDescent="0.25">
      <c r="A17783" s="75">
        <v>90111801</v>
      </c>
      <c r="B17783" s="76" t="s">
        <v>4533</v>
      </c>
    </row>
    <row r="17784" spans="1:2" x14ac:dyDescent="0.25">
      <c r="A17784" s="75">
        <v>90111802</v>
      </c>
      <c r="B17784" s="76" t="s">
        <v>5717</v>
      </c>
    </row>
    <row r="17785" spans="1:2" x14ac:dyDescent="0.25">
      <c r="A17785" s="75">
        <v>90111803</v>
      </c>
      <c r="B17785" s="76" t="s">
        <v>5916</v>
      </c>
    </row>
    <row r="17786" spans="1:2" x14ac:dyDescent="0.25">
      <c r="A17786" s="75">
        <v>90121501</v>
      </c>
      <c r="B17786" s="76" t="s">
        <v>9821</v>
      </c>
    </row>
    <row r="17787" spans="1:2" x14ac:dyDescent="0.25">
      <c r="A17787" s="75">
        <v>90121502</v>
      </c>
      <c r="B17787" s="76" t="s">
        <v>13108</v>
      </c>
    </row>
    <row r="17788" spans="1:2" x14ac:dyDescent="0.25">
      <c r="A17788" s="75">
        <v>90121503</v>
      </c>
      <c r="B17788" s="76" t="s">
        <v>15127</v>
      </c>
    </row>
    <row r="17789" spans="1:2" x14ac:dyDescent="0.25">
      <c r="A17789" s="75">
        <v>90121601</v>
      </c>
      <c r="B17789" s="76" t="s">
        <v>13059</v>
      </c>
    </row>
    <row r="17790" spans="1:2" x14ac:dyDescent="0.25">
      <c r="A17790" s="75">
        <v>90121602</v>
      </c>
      <c r="B17790" s="76" t="s">
        <v>11902</v>
      </c>
    </row>
    <row r="17791" spans="1:2" x14ac:dyDescent="0.25">
      <c r="A17791" s="75">
        <v>90121701</v>
      </c>
      <c r="B17791" s="76" t="s">
        <v>1354</v>
      </c>
    </row>
    <row r="17792" spans="1:2" x14ac:dyDescent="0.25">
      <c r="A17792" s="75">
        <v>90121702</v>
      </c>
      <c r="B17792" s="76" t="s">
        <v>18133</v>
      </c>
    </row>
    <row r="17793" spans="1:2" x14ac:dyDescent="0.25">
      <c r="A17793" s="75">
        <v>90131501</v>
      </c>
      <c r="B17793" s="76" t="s">
        <v>7326</v>
      </c>
    </row>
    <row r="17794" spans="1:2" x14ac:dyDescent="0.25">
      <c r="A17794" s="75">
        <v>90131502</v>
      </c>
      <c r="B17794" s="76" t="s">
        <v>16960</v>
      </c>
    </row>
    <row r="17795" spans="1:2" x14ac:dyDescent="0.25">
      <c r="A17795" s="75">
        <v>90131503</v>
      </c>
      <c r="B17795" s="76" t="s">
        <v>17862</v>
      </c>
    </row>
    <row r="17796" spans="1:2" x14ac:dyDescent="0.25">
      <c r="A17796" s="75">
        <v>90131504</v>
      </c>
      <c r="B17796" s="76" t="s">
        <v>16703</v>
      </c>
    </row>
    <row r="17797" spans="1:2" x14ac:dyDescent="0.25">
      <c r="A17797" s="75">
        <v>90131601</v>
      </c>
      <c r="B17797" s="76" t="s">
        <v>19480</v>
      </c>
    </row>
    <row r="17798" spans="1:2" x14ac:dyDescent="0.25">
      <c r="A17798" s="75">
        <v>90131602</v>
      </c>
      <c r="B17798" s="76" t="s">
        <v>1526</v>
      </c>
    </row>
    <row r="17799" spans="1:2" x14ac:dyDescent="0.25">
      <c r="A17799" s="75">
        <v>90141501</v>
      </c>
      <c r="B17799" s="76" t="s">
        <v>13636</v>
      </c>
    </row>
    <row r="17800" spans="1:2" x14ac:dyDescent="0.25">
      <c r="A17800" s="75">
        <v>90141502</v>
      </c>
      <c r="B17800" s="76" t="s">
        <v>5716</v>
      </c>
    </row>
    <row r="17801" spans="1:2" x14ac:dyDescent="0.25">
      <c r="A17801" s="75">
        <v>90141503</v>
      </c>
      <c r="B17801" s="76" t="s">
        <v>1273</v>
      </c>
    </row>
    <row r="17802" spans="1:2" x14ac:dyDescent="0.25">
      <c r="A17802" s="75">
        <v>90141601</v>
      </c>
      <c r="B17802" s="76" t="s">
        <v>13255</v>
      </c>
    </row>
    <row r="17803" spans="1:2" x14ac:dyDescent="0.25">
      <c r="A17803" s="75">
        <v>90141602</v>
      </c>
      <c r="B17803" s="76" t="s">
        <v>9854</v>
      </c>
    </row>
    <row r="17804" spans="1:2" x14ac:dyDescent="0.25">
      <c r="A17804" s="75">
        <v>90141603</v>
      </c>
      <c r="B17804" s="76" t="s">
        <v>11687</v>
      </c>
    </row>
    <row r="17805" spans="1:2" x14ac:dyDescent="0.25">
      <c r="A17805" s="75">
        <v>90141701</v>
      </c>
      <c r="B17805" s="76" t="s">
        <v>17003</v>
      </c>
    </row>
    <row r="17806" spans="1:2" x14ac:dyDescent="0.25">
      <c r="A17806" s="75">
        <v>90141702</v>
      </c>
      <c r="B17806" s="76" t="s">
        <v>4421</v>
      </c>
    </row>
    <row r="17807" spans="1:2" x14ac:dyDescent="0.25">
      <c r="A17807" s="75">
        <v>90141703</v>
      </c>
      <c r="B17807" s="76" t="s">
        <v>14884</v>
      </c>
    </row>
    <row r="17808" spans="1:2" x14ac:dyDescent="0.25">
      <c r="A17808" s="75">
        <v>90151501</v>
      </c>
      <c r="B17808" s="76" t="s">
        <v>3582</v>
      </c>
    </row>
    <row r="17809" spans="1:2" x14ac:dyDescent="0.25">
      <c r="A17809" s="75">
        <v>90151502</v>
      </c>
      <c r="B17809" s="76" t="s">
        <v>14634</v>
      </c>
    </row>
    <row r="17810" spans="1:2" x14ac:dyDescent="0.25">
      <c r="A17810" s="75">
        <v>90151503</v>
      </c>
      <c r="B17810" s="76" t="s">
        <v>15125</v>
      </c>
    </row>
    <row r="17811" spans="1:2" x14ac:dyDescent="0.25">
      <c r="A17811" s="75">
        <v>90151601</v>
      </c>
      <c r="B17811" s="76" t="s">
        <v>19662</v>
      </c>
    </row>
    <row r="17812" spans="1:2" x14ac:dyDescent="0.25">
      <c r="A17812" s="75">
        <v>90151602</v>
      </c>
      <c r="B17812" s="76" t="s">
        <v>18851</v>
      </c>
    </row>
    <row r="17813" spans="1:2" x14ac:dyDescent="0.25">
      <c r="A17813" s="75">
        <v>90151603</v>
      </c>
      <c r="B17813" s="76" t="s">
        <v>749</v>
      </c>
    </row>
    <row r="17814" spans="1:2" x14ac:dyDescent="0.25">
      <c r="A17814" s="75">
        <v>90151701</v>
      </c>
      <c r="B17814" s="76" t="s">
        <v>1045</v>
      </c>
    </row>
    <row r="17815" spans="1:2" x14ac:dyDescent="0.25">
      <c r="A17815" s="75">
        <v>90151702</v>
      </c>
      <c r="B17815" s="76" t="s">
        <v>10473</v>
      </c>
    </row>
    <row r="17816" spans="1:2" x14ac:dyDescent="0.25">
      <c r="A17816" s="75">
        <v>90151703</v>
      </c>
      <c r="B17816" s="76" t="s">
        <v>5971</v>
      </c>
    </row>
    <row r="17817" spans="1:2" x14ac:dyDescent="0.25">
      <c r="A17817" s="75">
        <v>90151801</v>
      </c>
      <c r="B17817" s="76" t="s">
        <v>420</v>
      </c>
    </row>
    <row r="17818" spans="1:2" x14ac:dyDescent="0.25">
      <c r="A17818" s="75">
        <v>90151802</v>
      </c>
      <c r="B17818" s="76" t="s">
        <v>19938</v>
      </c>
    </row>
    <row r="17819" spans="1:2" x14ac:dyDescent="0.25">
      <c r="A17819" s="75">
        <v>90151803</v>
      </c>
      <c r="B17819" s="76" t="s">
        <v>19059</v>
      </c>
    </row>
    <row r="17820" spans="1:2" x14ac:dyDescent="0.25">
      <c r="A17820" s="75">
        <v>90151901</v>
      </c>
      <c r="B17820" s="76" t="s">
        <v>11171</v>
      </c>
    </row>
    <row r="17821" spans="1:2" x14ac:dyDescent="0.25">
      <c r="A17821" s="75">
        <v>90151902</v>
      </c>
      <c r="B17821" s="76" t="s">
        <v>3606</v>
      </c>
    </row>
    <row r="17822" spans="1:2" x14ac:dyDescent="0.25">
      <c r="A17822" s="75">
        <v>90151903</v>
      </c>
      <c r="B17822" s="76" t="s">
        <v>9638</v>
      </c>
    </row>
    <row r="17823" spans="1:2" x14ac:dyDescent="0.25">
      <c r="A17823" s="75">
        <v>90152001</v>
      </c>
      <c r="B17823" s="76" t="s">
        <v>2830</v>
      </c>
    </row>
    <row r="17824" spans="1:2" x14ac:dyDescent="0.25">
      <c r="A17824" s="75">
        <v>90152002</v>
      </c>
      <c r="B17824" s="76" t="s">
        <v>16353</v>
      </c>
    </row>
    <row r="17825" spans="1:2" x14ac:dyDescent="0.25">
      <c r="A17825" s="75">
        <v>90152101</v>
      </c>
      <c r="B17825" s="76" t="s">
        <v>19426</v>
      </c>
    </row>
    <row r="17826" spans="1:2" x14ac:dyDescent="0.25">
      <c r="A17826" s="75">
        <v>91101501</v>
      </c>
      <c r="B17826" s="76" t="s">
        <v>11416</v>
      </c>
    </row>
    <row r="17827" spans="1:2" x14ac:dyDescent="0.25">
      <c r="A17827" s="75">
        <v>91101502</v>
      </c>
      <c r="B17827" s="76" t="s">
        <v>15284</v>
      </c>
    </row>
    <row r="17828" spans="1:2" x14ac:dyDescent="0.25">
      <c r="A17828" s="75">
        <v>91101503</v>
      </c>
      <c r="B17828" s="76" t="s">
        <v>17440</v>
      </c>
    </row>
    <row r="17829" spans="1:2" x14ac:dyDescent="0.25">
      <c r="A17829" s="75">
        <v>91101504</v>
      </c>
      <c r="B17829" s="76" t="s">
        <v>16468</v>
      </c>
    </row>
    <row r="17830" spans="1:2" x14ac:dyDescent="0.25">
      <c r="A17830" s="75">
        <v>91101505</v>
      </c>
      <c r="B17830" s="76" t="s">
        <v>4561</v>
      </c>
    </row>
    <row r="17831" spans="1:2" x14ac:dyDescent="0.25">
      <c r="A17831" s="75">
        <v>91101601</v>
      </c>
      <c r="B17831" s="76" t="s">
        <v>13031</v>
      </c>
    </row>
    <row r="17832" spans="1:2" x14ac:dyDescent="0.25">
      <c r="A17832" s="75">
        <v>91101602</v>
      </c>
      <c r="B17832" s="76" t="s">
        <v>13324</v>
      </c>
    </row>
    <row r="17833" spans="1:2" x14ac:dyDescent="0.25">
      <c r="A17833" s="75">
        <v>91101603</v>
      </c>
      <c r="B17833" s="76" t="s">
        <v>8604</v>
      </c>
    </row>
    <row r="17834" spans="1:2" x14ac:dyDescent="0.25">
      <c r="A17834" s="75">
        <v>91101604</v>
      </c>
      <c r="B17834" s="76" t="s">
        <v>13913</v>
      </c>
    </row>
    <row r="17835" spans="1:2" x14ac:dyDescent="0.25">
      <c r="A17835" s="75">
        <v>91101605</v>
      </c>
      <c r="B17835" s="76" t="s">
        <v>17780</v>
      </c>
    </row>
    <row r="17836" spans="1:2" x14ac:dyDescent="0.25">
      <c r="A17836" s="75">
        <v>91101701</v>
      </c>
      <c r="B17836" s="76" t="s">
        <v>18129</v>
      </c>
    </row>
    <row r="17837" spans="1:2" x14ac:dyDescent="0.25">
      <c r="A17837" s="75">
        <v>91101702</v>
      </c>
      <c r="B17837" s="76" t="s">
        <v>15849</v>
      </c>
    </row>
    <row r="17838" spans="1:2" x14ac:dyDescent="0.25">
      <c r="A17838" s="75">
        <v>91101801</v>
      </c>
      <c r="B17838" s="76" t="s">
        <v>7051</v>
      </c>
    </row>
    <row r="17839" spans="1:2" x14ac:dyDescent="0.25">
      <c r="A17839" s="75">
        <v>91101802</v>
      </c>
      <c r="B17839" s="76" t="s">
        <v>7458</v>
      </c>
    </row>
    <row r="17840" spans="1:2" x14ac:dyDescent="0.25">
      <c r="A17840" s="75">
        <v>91101803</v>
      </c>
      <c r="B17840" s="76" t="s">
        <v>8964</v>
      </c>
    </row>
    <row r="17841" spans="1:2" x14ac:dyDescent="0.25">
      <c r="A17841" s="75">
        <v>91101901</v>
      </c>
      <c r="B17841" s="76" t="s">
        <v>4473</v>
      </c>
    </row>
    <row r="17842" spans="1:2" x14ac:dyDescent="0.25">
      <c r="A17842" s="75">
        <v>91101902</v>
      </c>
      <c r="B17842" s="76" t="s">
        <v>914</v>
      </c>
    </row>
    <row r="17843" spans="1:2" x14ac:dyDescent="0.25">
      <c r="A17843" s="75">
        <v>91101903</v>
      </c>
      <c r="B17843" s="76" t="s">
        <v>15890</v>
      </c>
    </row>
    <row r="17844" spans="1:2" x14ac:dyDescent="0.25">
      <c r="A17844" s="75">
        <v>91111501</v>
      </c>
      <c r="B17844" s="76" t="s">
        <v>7330</v>
      </c>
    </row>
    <row r="17845" spans="1:2" x14ac:dyDescent="0.25">
      <c r="A17845" s="75">
        <v>91111502</v>
      </c>
      <c r="B17845" s="76" t="s">
        <v>12778</v>
      </c>
    </row>
    <row r="17846" spans="1:2" x14ac:dyDescent="0.25">
      <c r="A17846" s="75">
        <v>91111503</v>
      </c>
      <c r="B17846" s="76" t="s">
        <v>18448</v>
      </c>
    </row>
    <row r="17847" spans="1:2" x14ac:dyDescent="0.25">
      <c r="A17847" s="75">
        <v>91111504</v>
      </c>
      <c r="B17847" s="76" t="s">
        <v>14662</v>
      </c>
    </row>
    <row r="17848" spans="1:2" x14ac:dyDescent="0.25">
      <c r="A17848" s="75">
        <v>91111601</v>
      </c>
      <c r="B17848" s="76" t="s">
        <v>6342</v>
      </c>
    </row>
    <row r="17849" spans="1:2" x14ac:dyDescent="0.25">
      <c r="A17849" s="75">
        <v>91111602</v>
      </c>
      <c r="B17849" s="76" t="s">
        <v>11309</v>
      </c>
    </row>
    <row r="17850" spans="1:2" x14ac:dyDescent="0.25">
      <c r="A17850" s="75">
        <v>91111603</v>
      </c>
      <c r="B17850" s="76" t="s">
        <v>8320</v>
      </c>
    </row>
    <row r="17851" spans="1:2" x14ac:dyDescent="0.25">
      <c r="A17851" s="75">
        <v>91111701</v>
      </c>
      <c r="B17851" s="76" t="s">
        <v>15616</v>
      </c>
    </row>
    <row r="17852" spans="1:2" x14ac:dyDescent="0.25">
      <c r="A17852" s="75">
        <v>91111702</v>
      </c>
      <c r="B17852" s="76" t="s">
        <v>1668</v>
      </c>
    </row>
    <row r="17853" spans="1:2" x14ac:dyDescent="0.25">
      <c r="A17853" s="75">
        <v>91111703</v>
      </c>
      <c r="B17853" s="76" t="s">
        <v>14875</v>
      </c>
    </row>
    <row r="17854" spans="1:2" x14ac:dyDescent="0.25">
      <c r="A17854" s="75">
        <v>91111801</v>
      </c>
      <c r="B17854" s="76" t="s">
        <v>14555</v>
      </c>
    </row>
    <row r="17855" spans="1:2" x14ac:dyDescent="0.25">
      <c r="A17855" s="75">
        <v>91111802</v>
      </c>
      <c r="B17855" s="76" t="s">
        <v>17007</v>
      </c>
    </row>
    <row r="17856" spans="1:2" x14ac:dyDescent="0.25">
      <c r="A17856" s="75">
        <v>91111803</v>
      </c>
      <c r="B17856" s="76" t="s">
        <v>18455</v>
      </c>
    </row>
    <row r="17857" spans="1:2" x14ac:dyDescent="0.25">
      <c r="A17857" s="75">
        <v>91111804</v>
      </c>
      <c r="B17857" s="76" t="s">
        <v>12545</v>
      </c>
    </row>
    <row r="17858" spans="1:2" x14ac:dyDescent="0.25">
      <c r="A17858" s="75">
        <v>91111901</v>
      </c>
      <c r="B17858" s="76" t="s">
        <v>20048</v>
      </c>
    </row>
    <row r="17859" spans="1:2" x14ac:dyDescent="0.25">
      <c r="A17859" s="75">
        <v>91111902</v>
      </c>
      <c r="B17859" s="76" t="s">
        <v>10334</v>
      </c>
    </row>
    <row r="17860" spans="1:2" x14ac:dyDescent="0.25">
      <c r="A17860" s="75">
        <v>91111903</v>
      </c>
      <c r="B17860" s="76" t="s">
        <v>11539</v>
      </c>
    </row>
    <row r="17861" spans="1:2" x14ac:dyDescent="0.25">
      <c r="A17861" s="75">
        <v>91111904</v>
      </c>
      <c r="B17861" s="76" t="s">
        <v>18831</v>
      </c>
    </row>
    <row r="17862" spans="1:2" x14ac:dyDescent="0.25">
      <c r="A17862" s="75">
        <v>92101501</v>
      </c>
      <c r="B17862" s="76" t="s">
        <v>8926</v>
      </c>
    </row>
    <row r="17863" spans="1:2" x14ac:dyDescent="0.25">
      <c r="A17863" s="75">
        <v>92101502</v>
      </c>
      <c r="B17863" s="76" t="s">
        <v>12081</v>
      </c>
    </row>
    <row r="17864" spans="1:2" x14ac:dyDescent="0.25">
      <c r="A17864" s="75">
        <v>92101503</v>
      </c>
      <c r="B17864" s="76" t="s">
        <v>12670</v>
      </c>
    </row>
    <row r="17865" spans="1:2" x14ac:dyDescent="0.25">
      <c r="A17865" s="75">
        <v>92101504</v>
      </c>
      <c r="B17865" s="76" t="s">
        <v>16906</v>
      </c>
    </row>
    <row r="17866" spans="1:2" x14ac:dyDescent="0.25">
      <c r="A17866" s="75">
        <v>92101601</v>
      </c>
      <c r="B17866" s="76" t="s">
        <v>3102</v>
      </c>
    </row>
    <row r="17867" spans="1:2" x14ac:dyDescent="0.25">
      <c r="A17867" s="75">
        <v>92101602</v>
      </c>
      <c r="B17867" s="76" t="s">
        <v>12239</v>
      </c>
    </row>
    <row r="17868" spans="1:2" x14ac:dyDescent="0.25">
      <c r="A17868" s="75">
        <v>92101603</v>
      </c>
      <c r="B17868" s="76" t="s">
        <v>5284</v>
      </c>
    </row>
    <row r="17869" spans="1:2" x14ac:dyDescent="0.25">
      <c r="A17869" s="75">
        <v>92101604</v>
      </c>
      <c r="B17869" s="76" t="s">
        <v>19557</v>
      </c>
    </row>
    <row r="17870" spans="1:2" x14ac:dyDescent="0.25">
      <c r="A17870" s="75">
        <v>92101701</v>
      </c>
      <c r="B17870" s="76" t="s">
        <v>2141</v>
      </c>
    </row>
    <row r="17871" spans="1:2" x14ac:dyDescent="0.25">
      <c r="A17871" s="75">
        <v>92101702</v>
      </c>
      <c r="B17871" s="76" t="s">
        <v>19992</v>
      </c>
    </row>
    <row r="17872" spans="1:2" x14ac:dyDescent="0.25">
      <c r="A17872" s="75">
        <v>92101703</v>
      </c>
      <c r="B17872" s="76" t="s">
        <v>12607</v>
      </c>
    </row>
    <row r="17873" spans="1:2" x14ac:dyDescent="0.25">
      <c r="A17873" s="75">
        <v>92101704</v>
      </c>
      <c r="B17873" s="76" t="s">
        <v>4245</v>
      </c>
    </row>
    <row r="17874" spans="1:2" x14ac:dyDescent="0.25">
      <c r="A17874" s="75">
        <v>92101801</v>
      </c>
      <c r="B17874" s="76" t="s">
        <v>16088</v>
      </c>
    </row>
    <row r="17875" spans="1:2" x14ac:dyDescent="0.25">
      <c r="A17875" s="75">
        <v>92101802</v>
      </c>
      <c r="B17875" s="76" t="s">
        <v>17633</v>
      </c>
    </row>
    <row r="17876" spans="1:2" x14ac:dyDescent="0.25">
      <c r="A17876" s="75">
        <v>92101803</v>
      </c>
      <c r="B17876" s="76" t="s">
        <v>3300</v>
      </c>
    </row>
    <row r="17877" spans="1:2" x14ac:dyDescent="0.25">
      <c r="A17877" s="75">
        <v>92101804</v>
      </c>
      <c r="B17877" s="76" t="s">
        <v>13135</v>
      </c>
    </row>
    <row r="17878" spans="1:2" x14ac:dyDescent="0.25">
      <c r="A17878" s="75">
        <v>92101805</v>
      </c>
      <c r="B17878" s="76" t="s">
        <v>8738</v>
      </c>
    </row>
    <row r="17879" spans="1:2" x14ac:dyDescent="0.25">
      <c r="A17879" s="75">
        <v>92101901</v>
      </c>
      <c r="B17879" s="76" t="s">
        <v>692</v>
      </c>
    </row>
    <row r="17880" spans="1:2" x14ac:dyDescent="0.25">
      <c r="A17880" s="75">
        <v>92101902</v>
      </c>
      <c r="B17880" s="76" t="s">
        <v>15433</v>
      </c>
    </row>
    <row r="17881" spans="1:2" x14ac:dyDescent="0.25">
      <c r="A17881" s="75">
        <v>92101903</v>
      </c>
      <c r="B17881" s="76" t="s">
        <v>14899</v>
      </c>
    </row>
    <row r="17882" spans="1:2" x14ac:dyDescent="0.25">
      <c r="A17882" s="75">
        <v>92101904</v>
      </c>
      <c r="B17882" s="76" t="s">
        <v>12141</v>
      </c>
    </row>
    <row r="17883" spans="1:2" x14ac:dyDescent="0.25">
      <c r="A17883" s="75">
        <v>92111501</v>
      </c>
      <c r="B17883" s="76" t="s">
        <v>6128</v>
      </c>
    </row>
    <row r="17884" spans="1:2" x14ac:dyDescent="0.25">
      <c r="A17884" s="75">
        <v>92111502</v>
      </c>
      <c r="B17884" s="76" t="s">
        <v>17400</v>
      </c>
    </row>
    <row r="17885" spans="1:2" x14ac:dyDescent="0.25">
      <c r="A17885" s="75">
        <v>92111503</v>
      </c>
      <c r="B17885" s="76" t="s">
        <v>14705</v>
      </c>
    </row>
    <row r="17886" spans="1:2" x14ac:dyDescent="0.25">
      <c r="A17886" s="75">
        <v>92111504</v>
      </c>
      <c r="B17886" s="76" t="s">
        <v>1478</v>
      </c>
    </row>
    <row r="17887" spans="1:2" x14ac:dyDescent="0.25">
      <c r="A17887" s="75">
        <v>92111505</v>
      </c>
      <c r="B17887" s="76" t="s">
        <v>160</v>
      </c>
    </row>
    <row r="17888" spans="1:2" x14ac:dyDescent="0.25">
      <c r="A17888" s="75">
        <v>92111506</v>
      </c>
      <c r="B17888" s="76" t="s">
        <v>8642</v>
      </c>
    </row>
    <row r="17889" spans="1:2" x14ac:dyDescent="0.25">
      <c r="A17889" s="75">
        <v>92111507</v>
      </c>
      <c r="B17889" s="76" t="s">
        <v>771</v>
      </c>
    </row>
    <row r="17890" spans="1:2" x14ac:dyDescent="0.25">
      <c r="A17890" s="75">
        <v>92111601</v>
      </c>
      <c r="B17890" s="76" t="s">
        <v>19536</v>
      </c>
    </row>
    <row r="17891" spans="1:2" x14ac:dyDescent="0.25">
      <c r="A17891" s="75">
        <v>92111602</v>
      </c>
      <c r="B17891" s="76" t="s">
        <v>15732</v>
      </c>
    </row>
    <row r="17892" spans="1:2" x14ac:dyDescent="0.25">
      <c r="A17892" s="75">
        <v>92111603</v>
      </c>
      <c r="B17892" s="76" t="s">
        <v>5057</v>
      </c>
    </row>
    <row r="17893" spans="1:2" x14ac:dyDescent="0.25">
      <c r="A17893" s="75">
        <v>92111604</v>
      </c>
      <c r="B17893" s="76" t="s">
        <v>18533</v>
      </c>
    </row>
    <row r="17894" spans="1:2" x14ac:dyDescent="0.25">
      <c r="A17894" s="75">
        <v>92111605</v>
      </c>
      <c r="B17894" s="76" t="s">
        <v>8464</v>
      </c>
    </row>
    <row r="17895" spans="1:2" x14ac:dyDescent="0.25">
      <c r="A17895" s="75">
        <v>92111606</v>
      </c>
      <c r="B17895" s="76" t="s">
        <v>8450</v>
      </c>
    </row>
    <row r="17896" spans="1:2" x14ac:dyDescent="0.25">
      <c r="A17896" s="75">
        <v>92111701</v>
      </c>
      <c r="B17896" s="76" t="s">
        <v>9916</v>
      </c>
    </row>
    <row r="17897" spans="1:2" x14ac:dyDescent="0.25">
      <c r="A17897" s="75">
        <v>92111702</v>
      </c>
      <c r="B17897" s="76" t="s">
        <v>1312</v>
      </c>
    </row>
    <row r="17898" spans="1:2" x14ac:dyDescent="0.25">
      <c r="A17898" s="75">
        <v>92111703</v>
      </c>
      <c r="B17898" s="76" t="s">
        <v>16905</v>
      </c>
    </row>
    <row r="17899" spans="1:2" x14ac:dyDescent="0.25">
      <c r="A17899" s="75">
        <v>92111704</v>
      </c>
      <c r="B17899" s="76" t="s">
        <v>6506</v>
      </c>
    </row>
    <row r="17900" spans="1:2" x14ac:dyDescent="0.25">
      <c r="A17900" s="75">
        <v>92111705</v>
      </c>
      <c r="B17900" s="76" t="s">
        <v>6407</v>
      </c>
    </row>
    <row r="17901" spans="1:2" x14ac:dyDescent="0.25">
      <c r="A17901" s="75">
        <v>92111706</v>
      </c>
      <c r="B17901" s="76" t="s">
        <v>6209</v>
      </c>
    </row>
    <row r="17902" spans="1:2" x14ac:dyDescent="0.25">
      <c r="A17902" s="75">
        <v>92111707</v>
      </c>
      <c r="B17902" s="76" t="s">
        <v>17172</v>
      </c>
    </row>
    <row r="17903" spans="1:2" x14ac:dyDescent="0.25">
      <c r="A17903" s="75">
        <v>92111708</v>
      </c>
      <c r="B17903" s="76" t="s">
        <v>9631</v>
      </c>
    </row>
    <row r="17904" spans="1:2" x14ac:dyDescent="0.25">
      <c r="A17904" s="75">
        <v>92111801</v>
      </c>
      <c r="B17904" s="76" t="s">
        <v>317</v>
      </c>
    </row>
    <row r="17905" spans="1:2" x14ac:dyDescent="0.25">
      <c r="A17905" s="75">
        <v>92111802</v>
      </c>
      <c r="B17905" s="76" t="s">
        <v>12770</v>
      </c>
    </row>
    <row r="17906" spans="1:2" x14ac:dyDescent="0.25">
      <c r="A17906" s="75">
        <v>92111803</v>
      </c>
      <c r="B17906" s="76" t="s">
        <v>10149</v>
      </c>
    </row>
    <row r="17907" spans="1:2" x14ac:dyDescent="0.25">
      <c r="A17907" s="75">
        <v>92111804</v>
      </c>
      <c r="B17907" s="76" t="s">
        <v>4831</v>
      </c>
    </row>
    <row r="17908" spans="1:2" x14ac:dyDescent="0.25">
      <c r="A17908" s="75">
        <v>92111805</v>
      </c>
      <c r="B17908" s="76" t="s">
        <v>6296</v>
      </c>
    </row>
    <row r="17909" spans="1:2" x14ac:dyDescent="0.25">
      <c r="A17909" s="75">
        <v>92111806</v>
      </c>
      <c r="B17909" s="76" t="s">
        <v>512</v>
      </c>
    </row>
    <row r="17910" spans="1:2" x14ac:dyDescent="0.25">
      <c r="A17910" s="75">
        <v>92111807</v>
      </c>
      <c r="B17910" s="76" t="s">
        <v>14786</v>
      </c>
    </row>
    <row r="17911" spans="1:2" x14ac:dyDescent="0.25">
      <c r="A17911" s="75">
        <v>92111808</v>
      </c>
      <c r="B17911" s="76" t="s">
        <v>5307</v>
      </c>
    </row>
    <row r="17912" spans="1:2" x14ac:dyDescent="0.25">
      <c r="A17912" s="75">
        <v>92111809</v>
      </c>
      <c r="B17912" s="76" t="s">
        <v>14403</v>
      </c>
    </row>
    <row r="17913" spans="1:2" x14ac:dyDescent="0.25">
      <c r="A17913" s="75">
        <v>92111810</v>
      </c>
      <c r="B17913" s="76" t="s">
        <v>3545</v>
      </c>
    </row>
    <row r="17914" spans="1:2" x14ac:dyDescent="0.25">
      <c r="A17914" s="75">
        <v>92111901</v>
      </c>
      <c r="B17914" s="76" t="s">
        <v>8022</v>
      </c>
    </row>
    <row r="17915" spans="1:2" x14ac:dyDescent="0.25">
      <c r="A17915" s="75">
        <v>92111902</v>
      </c>
      <c r="B17915" s="76" t="s">
        <v>14842</v>
      </c>
    </row>
    <row r="17916" spans="1:2" x14ac:dyDescent="0.25">
      <c r="A17916" s="75">
        <v>92111903</v>
      </c>
      <c r="B17916" s="76" t="s">
        <v>17805</v>
      </c>
    </row>
    <row r="17917" spans="1:2" x14ac:dyDescent="0.25">
      <c r="A17917" s="75">
        <v>92111904</v>
      </c>
      <c r="B17917" s="76" t="s">
        <v>17920</v>
      </c>
    </row>
    <row r="17918" spans="1:2" x14ac:dyDescent="0.25">
      <c r="A17918" s="75">
        <v>92111905</v>
      </c>
      <c r="B17918" s="76" t="s">
        <v>17037</v>
      </c>
    </row>
    <row r="17919" spans="1:2" x14ac:dyDescent="0.25">
      <c r="A17919" s="75">
        <v>92112001</v>
      </c>
      <c r="B17919" s="76" t="s">
        <v>5951</v>
      </c>
    </row>
    <row r="17920" spans="1:2" x14ac:dyDescent="0.25">
      <c r="A17920" s="75">
        <v>92112002</v>
      </c>
      <c r="B17920" s="76" t="s">
        <v>18429</v>
      </c>
    </row>
    <row r="17921" spans="1:2" x14ac:dyDescent="0.25">
      <c r="A17921" s="75">
        <v>92112003</v>
      </c>
      <c r="B17921" s="76" t="s">
        <v>18979</v>
      </c>
    </row>
    <row r="17922" spans="1:2" x14ac:dyDescent="0.25">
      <c r="A17922" s="75">
        <v>92112004</v>
      </c>
      <c r="B17922" s="76" t="s">
        <v>460</v>
      </c>
    </row>
    <row r="17923" spans="1:2" x14ac:dyDescent="0.25">
      <c r="A17923" s="75">
        <v>92112101</v>
      </c>
      <c r="B17923" s="76" t="s">
        <v>10954</v>
      </c>
    </row>
    <row r="17924" spans="1:2" x14ac:dyDescent="0.25">
      <c r="A17924" s="75">
        <v>92112102</v>
      </c>
      <c r="B17924" s="76" t="s">
        <v>37</v>
      </c>
    </row>
    <row r="17925" spans="1:2" x14ac:dyDescent="0.25">
      <c r="A17925" s="75">
        <v>92112103</v>
      </c>
      <c r="B17925" s="76" t="s">
        <v>15699</v>
      </c>
    </row>
    <row r="17926" spans="1:2" x14ac:dyDescent="0.25">
      <c r="A17926" s="75">
        <v>92112201</v>
      </c>
      <c r="B17926" s="76" t="s">
        <v>3513</v>
      </c>
    </row>
    <row r="17927" spans="1:2" x14ac:dyDescent="0.25">
      <c r="A17927" s="75">
        <v>92112202</v>
      </c>
      <c r="B17927" s="76" t="s">
        <v>4625</v>
      </c>
    </row>
    <row r="17928" spans="1:2" x14ac:dyDescent="0.25">
      <c r="A17928" s="75">
        <v>92112203</v>
      </c>
      <c r="B17928" s="76" t="s">
        <v>15771</v>
      </c>
    </row>
    <row r="17929" spans="1:2" x14ac:dyDescent="0.25">
      <c r="A17929" s="75">
        <v>92112204</v>
      </c>
      <c r="B17929" s="76" t="s">
        <v>15251</v>
      </c>
    </row>
    <row r="17930" spans="1:2" x14ac:dyDescent="0.25">
      <c r="A17930" s="75">
        <v>92112205</v>
      </c>
      <c r="B17930" s="76" t="s">
        <v>15876</v>
      </c>
    </row>
    <row r="17931" spans="1:2" x14ac:dyDescent="0.25">
      <c r="A17931" s="75">
        <v>92112206</v>
      </c>
      <c r="B17931" s="76" t="s">
        <v>8693</v>
      </c>
    </row>
    <row r="17932" spans="1:2" x14ac:dyDescent="0.25">
      <c r="A17932" s="75">
        <v>92112207</v>
      </c>
      <c r="B17932" s="76" t="s">
        <v>19475</v>
      </c>
    </row>
    <row r="17933" spans="1:2" x14ac:dyDescent="0.25">
      <c r="A17933" s="75">
        <v>92112301</v>
      </c>
      <c r="B17933" s="76" t="s">
        <v>16486</v>
      </c>
    </row>
    <row r="17934" spans="1:2" x14ac:dyDescent="0.25">
      <c r="A17934" s="75">
        <v>92112302</v>
      </c>
      <c r="B17934" s="76" t="s">
        <v>10050</v>
      </c>
    </row>
    <row r="17935" spans="1:2" x14ac:dyDescent="0.25">
      <c r="A17935" s="75">
        <v>92112303</v>
      </c>
      <c r="B17935" s="76" t="s">
        <v>8635</v>
      </c>
    </row>
    <row r="17936" spans="1:2" x14ac:dyDescent="0.25">
      <c r="A17936" s="75">
        <v>92112401</v>
      </c>
      <c r="B17936" s="76" t="s">
        <v>5258</v>
      </c>
    </row>
    <row r="17937" spans="1:2" x14ac:dyDescent="0.25">
      <c r="A17937" s="75">
        <v>92112402</v>
      </c>
      <c r="B17937" s="76" t="s">
        <v>10993</v>
      </c>
    </row>
    <row r="17938" spans="1:2" x14ac:dyDescent="0.25">
      <c r="A17938" s="75">
        <v>92112403</v>
      </c>
      <c r="B17938" s="76" t="s">
        <v>17539</v>
      </c>
    </row>
    <row r="17939" spans="1:2" x14ac:dyDescent="0.25">
      <c r="A17939" s="75">
        <v>92112404</v>
      </c>
      <c r="B17939" s="76" t="s">
        <v>2940</v>
      </c>
    </row>
    <row r="17940" spans="1:2" x14ac:dyDescent="0.25">
      <c r="A17940" s="75">
        <v>92112405</v>
      </c>
      <c r="B17940" s="76" t="s">
        <v>15859</v>
      </c>
    </row>
    <row r="17941" spans="1:2" x14ac:dyDescent="0.25">
      <c r="A17941" s="75">
        <v>92121501</v>
      </c>
      <c r="B17941" s="76" t="s">
        <v>7581</v>
      </c>
    </row>
    <row r="17942" spans="1:2" x14ac:dyDescent="0.25">
      <c r="A17942" s="75">
        <v>92121502</v>
      </c>
      <c r="B17942" s="76" t="s">
        <v>11385</v>
      </c>
    </row>
    <row r="17943" spans="1:2" x14ac:dyDescent="0.25">
      <c r="A17943" s="75">
        <v>92121503</v>
      </c>
      <c r="B17943" s="76" t="s">
        <v>8491</v>
      </c>
    </row>
    <row r="17944" spans="1:2" x14ac:dyDescent="0.25">
      <c r="A17944" s="75">
        <v>92121504</v>
      </c>
      <c r="B17944" s="76" t="s">
        <v>2645</v>
      </c>
    </row>
    <row r="17945" spans="1:2" x14ac:dyDescent="0.25">
      <c r="A17945" s="75">
        <v>92121601</v>
      </c>
      <c r="B17945" s="76" t="s">
        <v>6604</v>
      </c>
    </row>
    <row r="17946" spans="1:2" x14ac:dyDescent="0.25">
      <c r="A17946" s="75">
        <v>92121602</v>
      </c>
      <c r="B17946" s="76" t="s">
        <v>16596</v>
      </c>
    </row>
    <row r="17947" spans="1:2" x14ac:dyDescent="0.25">
      <c r="A17947" s="75">
        <v>92121603</v>
      </c>
      <c r="B17947" s="76" t="s">
        <v>19216</v>
      </c>
    </row>
    <row r="17948" spans="1:2" x14ac:dyDescent="0.25">
      <c r="A17948" s="75">
        <v>92121604</v>
      </c>
      <c r="B17948" s="76" t="s">
        <v>19513</v>
      </c>
    </row>
    <row r="17949" spans="1:2" x14ac:dyDescent="0.25">
      <c r="A17949" s="75">
        <v>92121701</v>
      </c>
      <c r="B17949" s="76" t="s">
        <v>5465</v>
      </c>
    </row>
    <row r="17950" spans="1:2" x14ac:dyDescent="0.25">
      <c r="A17950" s="75">
        <v>92121702</v>
      </c>
      <c r="B17950" s="76" t="s">
        <v>9586</v>
      </c>
    </row>
    <row r="17951" spans="1:2" x14ac:dyDescent="0.25">
      <c r="A17951" s="75">
        <v>92121703</v>
      </c>
      <c r="B17951" s="76" t="s">
        <v>16132</v>
      </c>
    </row>
    <row r="17952" spans="1:2" x14ac:dyDescent="0.25">
      <c r="A17952" s="75">
        <v>92121704</v>
      </c>
      <c r="B17952" s="76" t="s">
        <v>18928</v>
      </c>
    </row>
    <row r="17953" spans="1:2" x14ac:dyDescent="0.25">
      <c r="A17953" s="75">
        <v>93101501</v>
      </c>
      <c r="B17953" s="76" t="s">
        <v>15917</v>
      </c>
    </row>
    <row r="17954" spans="1:2" x14ac:dyDescent="0.25">
      <c r="A17954" s="75">
        <v>93101502</v>
      </c>
      <c r="B17954" s="76" t="s">
        <v>16330</v>
      </c>
    </row>
    <row r="17955" spans="1:2" x14ac:dyDescent="0.25">
      <c r="A17955" s="75">
        <v>93101503</v>
      </c>
      <c r="B17955" s="76" t="s">
        <v>989</v>
      </c>
    </row>
    <row r="17956" spans="1:2" x14ac:dyDescent="0.25">
      <c r="A17956" s="75">
        <v>93101504</v>
      </c>
      <c r="B17956" s="76" t="s">
        <v>6090</v>
      </c>
    </row>
    <row r="17957" spans="1:2" x14ac:dyDescent="0.25">
      <c r="A17957" s="75">
        <v>93101505</v>
      </c>
      <c r="B17957" s="76" t="s">
        <v>1970</v>
      </c>
    </row>
    <row r="17958" spans="1:2" x14ac:dyDescent="0.25">
      <c r="A17958" s="75">
        <v>93101506</v>
      </c>
      <c r="B17958" s="76" t="s">
        <v>12745</v>
      </c>
    </row>
    <row r="17959" spans="1:2" x14ac:dyDescent="0.25">
      <c r="A17959" s="75">
        <v>93101601</v>
      </c>
      <c r="B17959" s="76" t="s">
        <v>9807</v>
      </c>
    </row>
    <row r="17960" spans="1:2" x14ac:dyDescent="0.25">
      <c r="A17960" s="75">
        <v>93101602</v>
      </c>
      <c r="B17960" s="76" t="s">
        <v>9347</v>
      </c>
    </row>
    <row r="17961" spans="1:2" x14ac:dyDescent="0.25">
      <c r="A17961" s="75">
        <v>93101603</v>
      </c>
      <c r="B17961" s="76" t="s">
        <v>17155</v>
      </c>
    </row>
    <row r="17962" spans="1:2" x14ac:dyDescent="0.25">
      <c r="A17962" s="75">
        <v>93101604</v>
      </c>
      <c r="B17962" s="76" t="s">
        <v>8328</v>
      </c>
    </row>
    <row r="17963" spans="1:2" x14ac:dyDescent="0.25">
      <c r="A17963" s="75">
        <v>93101605</v>
      </c>
      <c r="B17963" s="76" t="s">
        <v>11668</v>
      </c>
    </row>
    <row r="17964" spans="1:2" x14ac:dyDescent="0.25">
      <c r="A17964" s="75">
        <v>93101606</v>
      </c>
      <c r="B17964" s="76" t="s">
        <v>9699</v>
      </c>
    </row>
    <row r="17965" spans="1:2" x14ac:dyDescent="0.25">
      <c r="A17965" s="75">
        <v>93101607</v>
      </c>
      <c r="B17965" s="76" t="s">
        <v>4438</v>
      </c>
    </row>
    <row r="17966" spans="1:2" x14ac:dyDescent="0.25">
      <c r="A17966" s="75">
        <v>93101608</v>
      </c>
      <c r="B17966" s="76" t="s">
        <v>13644</v>
      </c>
    </row>
    <row r="17967" spans="1:2" x14ac:dyDescent="0.25">
      <c r="A17967" s="75">
        <v>93101701</v>
      </c>
      <c r="B17967" s="76" t="s">
        <v>2353</v>
      </c>
    </row>
    <row r="17968" spans="1:2" x14ac:dyDescent="0.25">
      <c r="A17968" s="75">
        <v>93101702</v>
      </c>
      <c r="B17968" s="76" t="s">
        <v>13799</v>
      </c>
    </row>
    <row r="17969" spans="1:2" x14ac:dyDescent="0.25">
      <c r="A17969" s="75">
        <v>93101703</v>
      </c>
      <c r="B17969" s="76" t="s">
        <v>9002</v>
      </c>
    </row>
    <row r="17970" spans="1:2" x14ac:dyDescent="0.25">
      <c r="A17970" s="75">
        <v>93101704</v>
      </c>
      <c r="B17970" s="76" t="s">
        <v>1386</v>
      </c>
    </row>
    <row r="17971" spans="1:2" x14ac:dyDescent="0.25">
      <c r="A17971" s="75">
        <v>93101705</v>
      </c>
      <c r="B17971" s="76" t="s">
        <v>9275</v>
      </c>
    </row>
    <row r="17972" spans="1:2" x14ac:dyDescent="0.25">
      <c r="A17972" s="75">
        <v>93101706</v>
      </c>
      <c r="B17972" s="76" t="s">
        <v>16632</v>
      </c>
    </row>
    <row r="17973" spans="1:2" x14ac:dyDescent="0.25">
      <c r="A17973" s="75">
        <v>93101707</v>
      </c>
      <c r="B17973" s="76" t="s">
        <v>15374</v>
      </c>
    </row>
    <row r="17974" spans="1:2" x14ac:dyDescent="0.25">
      <c r="A17974" s="75">
        <v>93111501</v>
      </c>
      <c r="B17974" s="76" t="s">
        <v>10299</v>
      </c>
    </row>
    <row r="17975" spans="1:2" x14ac:dyDescent="0.25">
      <c r="A17975" s="75">
        <v>93111502</v>
      </c>
      <c r="B17975" s="76" t="s">
        <v>12537</v>
      </c>
    </row>
    <row r="17976" spans="1:2" x14ac:dyDescent="0.25">
      <c r="A17976" s="75">
        <v>93111503</v>
      </c>
      <c r="B17976" s="76" t="s">
        <v>13398</v>
      </c>
    </row>
    <row r="17977" spans="1:2" x14ac:dyDescent="0.25">
      <c r="A17977" s="75">
        <v>93111504</v>
      </c>
      <c r="B17977" s="76" t="s">
        <v>18057</v>
      </c>
    </row>
    <row r="17978" spans="1:2" x14ac:dyDescent="0.25">
      <c r="A17978" s="75">
        <v>93111505</v>
      </c>
      <c r="B17978" s="76" t="s">
        <v>5376</v>
      </c>
    </row>
    <row r="17979" spans="1:2" x14ac:dyDescent="0.25">
      <c r="A17979" s="75">
        <v>93111506</v>
      </c>
      <c r="B17979" s="76" t="s">
        <v>14432</v>
      </c>
    </row>
    <row r="17980" spans="1:2" x14ac:dyDescent="0.25">
      <c r="A17980" s="75">
        <v>93111507</v>
      </c>
      <c r="B17980" s="76" t="s">
        <v>12075</v>
      </c>
    </row>
    <row r="17981" spans="1:2" x14ac:dyDescent="0.25">
      <c r="A17981" s="75">
        <v>93111601</v>
      </c>
      <c r="B17981" s="76" t="s">
        <v>12272</v>
      </c>
    </row>
    <row r="17982" spans="1:2" x14ac:dyDescent="0.25">
      <c r="A17982" s="75">
        <v>93111602</v>
      </c>
      <c r="B17982" s="76" t="s">
        <v>6336</v>
      </c>
    </row>
    <row r="17983" spans="1:2" x14ac:dyDescent="0.25">
      <c r="A17983" s="75">
        <v>93111603</v>
      </c>
      <c r="B17983" s="76" t="s">
        <v>19908</v>
      </c>
    </row>
    <row r="17984" spans="1:2" x14ac:dyDescent="0.25">
      <c r="A17984" s="75">
        <v>93111604</v>
      </c>
      <c r="B17984" s="76" t="s">
        <v>2188</v>
      </c>
    </row>
    <row r="17985" spans="1:2" x14ac:dyDescent="0.25">
      <c r="A17985" s="75">
        <v>93111605</v>
      </c>
      <c r="B17985" s="76" t="s">
        <v>2831</v>
      </c>
    </row>
    <row r="17986" spans="1:2" x14ac:dyDescent="0.25">
      <c r="A17986" s="75">
        <v>93111606</v>
      </c>
      <c r="B17986" s="76" t="s">
        <v>9357</v>
      </c>
    </row>
    <row r="17987" spans="1:2" x14ac:dyDescent="0.25">
      <c r="A17987" s="75">
        <v>93111607</v>
      </c>
      <c r="B17987" s="76" t="s">
        <v>527</v>
      </c>
    </row>
    <row r="17988" spans="1:2" x14ac:dyDescent="0.25">
      <c r="A17988" s="75">
        <v>93111608</v>
      </c>
      <c r="B17988" s="76" t="s">
        <v>3701</v>
      </c>
    </row>
    <row r="17989" spans="1:2" x14ac:dyDescent="0.25">
      <c r="A17989" s="75">
        <v>93121501</v>
      </c>
      <c r="B17989" s="76" t="s">
        <v>9451</v>
      </c>
    </row>
    <row r="17990" spans="1:2" x14ac:dyDescent="0.25">
      <c r="A17990" s="75">
        <v>93121502</v>
      </c>
      <c r="B17990" s="76" t="s">
        <v>1691</v>
      </c>
    </row>
    <row r="17991" spans="1:2" x14ac:dyDescent="0.25">
      <c r="A17991" s="75">
        <v>93121503</v>
      </c>
      <c r="B17991" s="76" t="s">
        <v>8744</v>
      </c>
    </row>
    <row r="17992" spans="1:2" x14ac:dyDescent="0.25">
      <c r="A17992" s="75">
        <v>93121504</v>
      </c>
      <c r="B17992" s="76" t="s">
        <v>19715</v>
      </c>
    </row>
    <row r="17993" spans="1:2" x14ac:dyDescent="0.25">
      <c r="A17993" s="75">
        <v>93121505</v>
      </c>
      <c r="B17993" s="76" t="s">
        <v>17999</v>
      </c>
    </row>
    <row r="17994" spans="1:2" x14ac:dyDescent="0.25">
      <c r="A17994" s="75">
        <v>93121506</v>
      </c>
      <c r="B17994" s="76" t="s">
        <v>2246</v>
      </c>
    </row>
    <row r="17995" spans="1:2" x14ac:dyDescent="0.25">
      <c r="A17995" s="75">
        <v>93121507</v>
      </c>
      <c r="B17995" s="76" t="s">
        <v>14340</v>
      </c>
    </row>
    <row r="17996" spans="1:2" x14ac:dyDescent="0.25">
      <c r="A17996" s="75">
        <v>93121508</v>
      </c>
      <c r="B17996" s="76" t="s">
        <v>5583</v>
      </c>
    </row>
    <row r="17997" spans="1:2" x14ac:dyDescent="0.25">
      <c r="A17997" s="75">
        <v>93121509</v>
      </c>
      <c r="B17997" s="76" t="s">
        <v>16705</v>
      </c>
    </row>
    <row r="17998" spans="1:2" x14ac:dyDescent="0.25">
      <c r="A17998" s="75">
        <v>93121601</v>
      </c>
      <c r="B17998" s="76" t="s">
        <v>14137</v>
      </c>
    </row>
    <row r="17999" spans="1:2" x14ac:dyDescent="0.25">
      <c r="A17999" s="75">
        <v>93121602</v>
      </c>
      <c r="B17999" s="76" t="s">
        <v>798</v>
      </c>
    </row>
    <row r="18000" spans="1:2" x14ac:dyDescent="0.25">
      <c r="A18000" s="75">
        <v>93121603</v>
      </c>
      <c r="B18000" s="76" t="s">
        <v>11436</v>
      </c>
    </row>
    <row r="18001" spans="1:2" x14ac:dyDescent="0.25">
      <c r="A18001" s="75">
        <v>93121604</v>
      </c>
      <c r="B18001" s="76" t="s">
        <v>10877</v>
      </c>
    </row>
    <row r="18002" spans="1:2" x14ac:dyDescent="0.25">
      <c r="A18002" s="75">
        <v>93121605</v>
      </c>
      <c r="B18002" s="76" t="s">
        <v>19365</v>
      </c>
    </row>
    <row r="18003" spans="1:2" x14ac:dyDescent="0.25">
      <c r="A18003" s="75">
        <v>93121606</v>
      </c>
      <c r="B18003" s="76" t="s">
        <v>16543</v>
      </c>
    </row>
    <row r="18004" spans="1:2" x14ac:dyDescent="0.25">
      <c r="A18004" s="75">
        <v>93121607</v>
      </c>
      <c r="B18004" s="76" t="s">
        <v>4597</v>
      </c>
    </row>
    <row r="18005" spans="1:2" x14ac:dyDescent="0.25">
      <c r="A18005" s="75">
        <v>93121608</v>
      </c>
      <c r="B18005" s="76" t="s">
        <v>9550</v>
      </c>
    </row>
    <row r="18006" spans="1:2" x14ac:dyDescent="0.25">
      <c r="A18006" s="75">
        <v>93121609</v>
      </c>
      <c r="B18006" s="76" t="s">
        <v>15993</v>
      </c>
    </row>
    <row r="18007" spans="1:2" x14ac:dyDescent="0.25">
      <c r="A18007" s="75">
        <v>93121610</v>
      </c>
      <c r="B18007" s="76" t="s">
        <v>8204</v>
      </c>
    </row>
    <row r="18008" spans="1:2" x14ac:dyDescent="0.25">
      <c r="A18008" s="75">
        <v>93121611</v>
      </c>
      <c r="B18008" s="76" t="s">
        <v>12420</v>
      </c>
    </row>
    <row r="18009" spans="1:2" x14ac:dyDescent="0.25">
      <c r="A18009" s="75">
        <v>93121612</v>
      </c>
      <c r="B18009" s="76" t="s">
        <v>17708</v>
      </c>
    </row>
    <row r="18010" spans="1:2" x14ac:dyDescent="0.25">
      <c r="A18010" s="75">
        <v>93121613</v>
      </c>
      <c r="B18010" s="76" t="s">
        <v>11915</v>
      </c>
    </row>
    <row r="18011" spans="1:2" x14ac:dyDescent="0.25">
      <c r="A18011" s="75">
        <v>93121614</v>
      </c>
      <c r="B18011" s="76" t="s">
        <v>8002</v>
      </c>
    </row>
    <row r="18012" spans="1:2" x14ac:dyDescent="0.25">
      <c r="A18012" s="75">
        <v>93121615</v>
      </c>
      <c r="B18012" s="76" t="s">
        <v>2175</v>
      </c>
    </row>
    <row r="18013" spans="1:2" x14ac:dyDescent="0.25">
      <c r="A18013" s="75">
        <v>93121701</v>
      </c>
      <c r="B18013" s="76" t="s">
        <v>6435</v>
      </c>
    </row>
    <row r="18014" spans="1:2" x14ac:dyDescent="0.25">
      <c r="A18014" s="75">
        <v>93121702</v>
      </c>
      <c r="B18014" s="76" t="s">
        <v>8012</v>
      </c>
    </row>
    <row r="18015" spans="1:2" x14ac:dyDescent="0.25">
      <c r="A18015" s="75">
        <v>93121703</v>
      </c>
      <c r="B18015" s="76" t="s">
        <v>18064</v>
      </c>
    </row>
    <row r="18016" spans="1:2" x14ac:dyDescent="0.25">
      <c r="A18016" s="75">
        <v>93121704</v>
      </c>
      <c r="B18016" s="76" t="s">
        <v>16017</v>
      </c>
    </row>
    <row r="18017" spans="1:2" x14ac:dyDescent="0.25">
      <c r="A18017" s="75">
        <v>93121705</v>
      </c>
      <c r="B18017" s="76" t="s">
        <v>3041</v>
      </c>
    </row>
    <row r="18018" spans="1:2" x14ac:dyDescent="0.25">
      <c r="A18018" s="75">
        <v>93121706</v>
      </c>
      <c r="B18018" s="76" t="s">
        <v>3911</v>
      </c>
    </row>
    <row r="18019" spans="1:2" x14ac:dyDescent="0.25">
      <c r="A18019" s="75">
        <v>93121707</v>
      </c>
      <c r="B18019" s="76" t="s">
        <v>19238</v>
      </c>
    </row>
    <row r="18020" spans="1:2" x14ac:dyDescent="0.25">
      <c r="A18020" s="75">
        <v>93121708</v>
      </c>
      <c r="B18020" s="76" t="s">
        <v>15083</v>
      </c>
    </row>
    <row r="18021" spans="1:2" x14ac:dyDescent="0.25">
      <c r="A18021" s="75">
        <v>93121709</v>
      </c>
      <c r="B18021" s="76" t="s">
        <v>2907</v>
      </c>
    </row>
    <row r="18022" spans="1:2" x14ac:dyDescent="0.25">
      <c r="A18022" s="75">
        <v>93121710</v>
      </c>
      <c r="B18022" s="76" t="s">
        <v>14954</v>
      </c>
    </row>
    <row r="18023" spans="1:2" x14ac:dyDescent="0.25">
      <c r="A18023" s="75">
        <v>93121711</v>
      </c>
      <c r="B18023" s="76" t="s">
        <v>14459</v>
      </c>
    </row>
    <row r="18024" spans="1:2" x14ac:dyDescent="0.25">
      <c r="A18024" s="75">
        <v>93131501</v>
      </c>
      <c r="B18024" s="76" t="s">
        <v>6378</v>
      </c>
    </row>
    <row r="18025" spans="1:2" x14ac:dyDescent="0.25">
      <c r="A18025" s="75">
        <v>93131502</v>
      </c>
      <c r="B18025" s="76" t="s">
        <v>10300</v>
      </c>
    </row>
    <row r="18026" spans="1:2" x14ac:dyDescent="0.25">
      <c r="A18026" s="75">
        <v>93131503</v>
      </c>
      <c r="B18026" s="76" t="s">
        <v>8384</v>
      </c>
    </row>
    <row r="18027" spans="1:2" x14ac:dyDescent="0.25">
      <c r="A18027" s="75">
        <v>93131504</v>
      </c>
      <c r="B18027" s="76" t="s">
        <v>4762</v>
      </c>
    </row>
    <row r="18028" spans="1:2" x14ac:dyDescent="0.25">
      <c r="A18028" s="75">
        <v>93131505</v>
      </c>
      <c r="B18028" s="76" t="s">
        <v>7177</v>
      </c>
    </row>
    <row r="18029" spans="1:2" x14ac:dyDescent="0.25">
      <c r="A18029" s="75">
        <v>93131506</v>
      </c>
      <c r="B18029" s="76" t="s">
        <v>17420</v>
      </c>
    </row>
    <row r="18030" spans="1:2" x14ac:dyDescent="0.25">
      <c r="A18030" s="75">
        <v>93131507</v>
      </c>
      <c r="B18030" s="76" t="s">
        <v>19614</v>
      </c>
    </row>
    <row r="18031" spans="1:2" x14ac:dyDescent="0.25">
      <c r="A18031" s="75">
        <v>93131601</v>
      </c>
      <c r="B18031" s="76" t="s">
        <v>11831</v>
      </c>
    </row>
    <row r="18032" spans="1:2" x14ac:dyDescent="0.25">
      <c r="A18032" s="75">
        <v>93131602</v>
      </c>
      <c r="B18032" s="76" t="s">
        <v>7370</v>
      </c>
    </row>
    <row r="18033" spans="1:2" x14ac:dyDescent="0.25">
      <c r="A18033" s="75">
        <v>93131603</v>
      </c>
      <c r="B18033" s="76" t="s">
        <v>15291</v>
      </c>
    </row>
    <row r="18034" spans="1:2" x14ac:dyDescent="0.25">
      <c r="A18034" s="75">
        <v>93131604</v>
      </c>
      <c r="B18034" s="76" t="s">
        <v>7550</v>
      </c>
    </row>
    <row r="18035" spans="1:2" x14ac:dyDescent="0.25">
      <c r="A18035" s="75">
        <v>93131605</v>
      </c>
      <c r="B18035" s="76" t="s">
        <v>14238</v>
      </c>
    </row>
    <row r="18036" spans="1:2" x14ac:dyDescent="0.25">
      <c r="A18036" s="75">
        <v>93131606</v>
      </c>
      <c r="B18036" s="76" t="s">
        <v>6896</v>
      </c>
    </row>
    <row r="18037" spans="1:2" x14ac:dyDescent="0.25">
      <c r="A18037" s="75">
        <v>93131607</v>
      </c>
      <c r="B18037" s="76" t="s">
        <v>6616</v>
      </c>
    </row>
    <row r="18038" spans="1:2" x14ac:dyDescent="0.25">
      <c r="A18038" s="75">
        <v>93131608</v>
      </c>
      <c r="B18038" s="76" t="s">
        <v>10931</v>
      </c>
    </row>
    <row r="18039" spans="1:2" x14ac:dyDescent="0.25">
      <c r="A18039" s="75">
        <v>93131609</v>
      </c>
      <c r="B18039" s="76" t="s">
        <v>17178</v>
      </c>
    </row>
    <row r="18040" spans="1:2" x14ac:dyDescent="0.25">
      <c r="A18040" s="75">
        <v>93131610</v>
      </c>
      <c r="B18040" s="76" t="s">
        <v>14028</v>
      </c>
    </row>
    <row r="18041" spans="1:2" x14ac:dyDescent="0.25">
      <c r="A18041" s="75">
        <v>93131611</v>
      </c>
      <c r="B18041" s="76" t="s">
        <v>15336</v>
      </c>
    </row>
    <row r="18042" spans="1:2" x14ac:dyDescent="0.25">
      <c r="A18042" s="75">
        <v>93131612</v>
      </c>
      <c r="B18042" s="76" t="s">
        <v>14177</v>
      </c>
    </row>
    <row r="18043" spans="1:2" x14ac:dyDescent="0.25">
      <c r="A18043" s="75">
        <v>93131613</v>
      </c>
      <c r="B18043" s="76" t="s">
        <v>13139</v>
      </c>
    </row>
    <row r="18044" spans="1:2" x14ac:dyDescent="0.25">
      <c r="A18044" s="75">
        <v>93131701</v>
      </c>
      <c r="B18044" s="76" t="s">
        <v>18640</v>
      </c>
    </row>
    <row r="18045" spans="1:2" x14ac:dyDescent="0.25">
      <c r="A18045" s="75">
        <v>93131702</v>
      </c>
      <c r="B18045" s="76" t="s">
        <v>12154</v>
      </c>
    </row>
    <row r="18046" spans="1:2" x14ac:dyDescent="0.25">
      <c r="A18046" s="75">
        <v>93131703</v>
      </c>
      <c r="B18046" s="76" t="s">
        <v>11084</v>
      </c>
    </row>
    <row r="18047" spans="1:2" x14ac:dyDescent="0.25">
      <c r="A18047" s="75">
        <v>93131704</v>
      </c>
      <c r="B18047" s="76" t="s">
        <v>17231</v>
      </c>
    </row>
    <row r="18048" spans="1:2" x14ac:dyDescent="0.25">
      <c r="A18048" s="75">
        <v>93131705</v>
      </c>
      <c r="B18048" s="76" t="s">
        <v>18893</v>
      </c>
    </row>
    <row r="18049" spans="1:2" x14ac:dyDescent="0.25">
      <c r="A18049" s="75">
        <v>93131801</v>
      </c>
      <c r="B18049" s="76" t="s">
        <v>14513</v>
      </c>
    </row>
    <row r="18050" spans="1:2" x14ac:dyDescent="0.25">
      <c r="A18050" s="75">
        <v>93131802</v>
      </c>
      <c r="B18050" s="76" t="s">
        <v>16606</v>
      </c>
    </row>
    <row r="18051" spans="1:2" x14ac:dyDescent="0.25">
      <c r="A18051" s="75">
        <v>93131803</v>
      </c>
      <c r="B18051" s="76" t="s">
        <v>11238</v>
      </c>
    </row>
    <row r="18052" spans="1:2" x14ac:dyDescent="0.25">
      <c r="A18052" s="75">
        <v>93141501</v>
      </c>
      <c r="B18052" s="76" t="s">
        <v>13357</v>
      </c>
    </row>
    <row r="18053" spans="1:2" x14ac:dyDescent="0.25">
      <c r="A18053" s="75">
        <v>93141502</v>
      </c>
      <c r="B18053" s="76" t="s">
        <v>565</v>
      </c>
    </row>
    <row r="18054" spans="1:2" x14ac:dyDescent="0.25">
      <c r="A18054" s="75">
        <v>93141503</v>
      </c>
      <c r="B18054" s="76" t="s">
        <v>14059</v>
      </c>
    </row>
    <row r="18055" spans="1:2" x14ac:dyDescent="0.25">
      <c r="A18055" s="75">
        <v>93141504</v>
      </c>
      <c r="B18055" s="76" t="s">
        <v>9168</v>
      </c>
    </row>
    <row r="18056" spans="1:2" x14ac:dyDescent="0.25">
      <c r="A18056" s="75">
        <v>93141505</v>
      </c>
      <c r="B18056" s="76" t="s">
        <v>20025</v>
      </c>
    </row>
    <row r="18057" spans="1:2" x14ac:dyDescent="0.25">
      <c r="A18057" s="75">
        <v>93141506</v>
      </c>
      <c r="B18057" s="76" t="s">
        <v>13536</v>
      </c>
    </row>
    <row r="18058" spans="1:2" x14ac:dyDescent="0.25">
      <c r="A18058" s="75">
        <v>93141507</v>
      </c>
      <c r="B18058" s="76" t="s">
        <v>8839</v>
      </c>
    </row>
    <row r="18059" spans="1:2" x14ac:dyDescent="0.25">
      <c r="A18059" s="75">
        <v>93141508</v>
      </c>
      <c r="B18059" s="76" t="s">
        <v>3059</v>
      </c>
    </row>
    <row r="18060" spans="1:2" x14ac:dyDescent="0.25">
      <c r="A18060" s="75">
        <v>93141509</v>
      </c>
      <c r="B18060" s="76" t="s">
        <v>1494</v>
      </c>
    </row>
    <row r="18061" spans="1:2" x14ac:dyDescent="0.25">
      <c r="A18061" s="75">
        <v>93141510</v>
      </c>
      <c r="B18061" s="76" t="s">
        <v>19791</v>
      </c>
    </row>
    <row r="18062" spans="1:2" x14ac:dyDescent="0.25">
      <c r="A18062" s="75">
        <v>93141511</v>
      </c>
      <c r="B18062" s="76" t="s">
        <v>14907</v>
      </c>
    </row>
    <row r="18063" spans="1:2" x14ac:dyDescent="0.25">
      <c r="A18063" s="75">
        <v>93141512</v>
      </c>
      <c r="B18063" s="76" t="s">
        <v>15911</v>
      </c>
    </row>
    <row r="18064" spans="1:2" x14ac:dyDescent="0.25">
      <c r="A18064" s="75">
        <v>93141513</v>
      </c>
      <c r="B18064" s="76" t="s">
        <v>20067</v>
      </c>
    </row>
    <row r="18065" spans="1:2" x14ac:dyDescent="0.25">
      <c r="A18065" s="75">
        <v>93141514</v>
      </c>
      <c r="B18065" s="76" t="s">
        <v>16105</v>
      </c>
    </row>
    <row r="18066" spans="1:2" x14ac:dyDescent="0.25">
      <c r="A18066" s="75">
        <v>93141601</v>
      </c>
      <c r="B18066" s="76" t="s">
        <v>7083</v>
      </c>
    </row>
    <row r="18067" spans="1:2" x14ac:dyDescent="0.25">
      <c r="A18067" s="75">
        <v>93141602</v>
      </c>
      <c r="B18067" s="76" t="s">
        <v>5643</v>
      </c>
    </row>
    <row r="18068" spans="1:2" x14ac:dyDescent="0.25">
      <c r="A18068" s="75">
        <v>93141603</v>
      </c>
      <c r="B18068" s="76" t="s">
        <v>14468</v>
      </c>
    </row>
    <row r="18069" spans="1:2" x14ac:dyDescent="0.25">
      <c r="A18069" s="75">
        <v>93141604</v>
      </c>
      <c r="B18069" s="76" t="s">
        <v>4951</v>
      </c>
    </row>
    <row r="18070" spans="1:2" x14ac:dyDescent="0.25">
      <c r="A18070" s="75">
        <v>93141605</v>
      </c>
      <c r="B18070" s="76" t="s">
        <v>19591</v>
      </c>
    </row>
    <row r="18071" spans="1:2" x14ac:dyDescent="0.25">
      <c r="A18071" s="75">
        <v>93141606</v>
      </c>
      <c r="B18071" s="76" t="s">
        <v>17078</v>
      </c>
    </row>
    <row r="18072" spans="1:2" x14ac:dyDescent="0.25">
      <c r="A18072" s="75">
        <v>93141607</v>
      </c>
      <c r="B18072" s="76" t="s">
        <v>9424</v>
      </c>
    </row>
    <row r="18073" spans="1:2" x14ac:dyDescent="0.25">
      <c r="A18073" s="75">
        <v>93141608</v>
      </c>
      <c r="B18073" s="76" t="s">
        <v>6391</v>
      </c>
    </row>
    <row r="18074" spans="1:2" x14ac:dyDescent="0.25">
      <c r="A18074" s="75">
        <v>93141609</v>
      </c>
      <c r="B18074" s="76" t="s">
        <v>19129</v>
      </c>
    </row>
    <row r="18075" spans="1:2" x14ac:dyDescent="0.25">
      <c r="A18075" s="75">
        <v>93141610</v>
      </c>
      <c r="B18075" s="76" t="s">
        <v>10004</v>
      </c>
    </row>
    <row r="18076" spans="1:2" x14ac:dyDescent="0.25">
      <c r="A18076" s="75">
        <v>93141611</v>
      </c>
      <c r="B18076" s="76" t="s">
        <v>16367</v>
      </c>
    </row>
    <row r="18077" spans="1:2" x14ac:dyDescent="0.25">
      <c r="A18077" s="75">
        <v>93141612</v>
      </c>
      <c r="B18077" s="76" t="s">
        <v>17253</v>
      </c>
    </row>
    <row r="18078" spans="1:2" x14ac:dyDescent="0.25">
      <c r="A18078" s="75">
        <v>93141613</v>
      </c>
      <c r="B18078" s="76" t="s">
        <v>16156</v>
      </c>
    </row>
    <row r="18079" spans="1:2" x14ac:dyDescent="0.25">
      <c r="A18079" s="75">
        <v>93141701</v>
      </c>
      <c r="B18079" s="76" t="s">
        <v>3417</v>
      </c>
    </row>
    <row r="18080" spans="1:2" x14ac:dyDescent="0.25">
      <c r="A18080" s="75">
        <v>93141702</v>
      </c>
      <c r="B18080" s="76" t="s">
        <v>10258</v>
      </c>
    </row>
    <row r="18081" spans="1:2" x14ac:dyDescent="0.25">
      <c r="A18081" s="75">
        <v>93141703</v>
      </c>
      <c r="B18081" s="76" t="s">
        <v>3045</v>
      </c>
    </row>
    <row r="18082" spans="1:2" x14ac:dyDescent="0.25">
      <c r="A18082" s="75">
        <v>93141704</v>
      </c>
      <c r="B18082" s="76" t="s">
        <v>8772</v>
      </c>
    </row>
    <row r="18083" spans="1:2" x14ac:dyDescent="0.25">
      <c r="A18083" s="75">
        <v>93141705</v>
      </c>
      <c r="B18083" s="76" t="s">
        <v>10909</v>
      </c>
    </row>
    <row r="18084" spans="1:2" x14ac:dyDescent="0.25">
      <c r="A18084" s="75">
        <v>93141706</v>
      </c>
      <c r="B18084" s="76" t="s">
        <v>5603</v>
      </c>
    </row>
    <row r="18085" spans="1:2" x14ac:dyDescent="0.25">
      <c r="A18085" s="75">
        <v>93141707</v>
      </c>
      <c r="B18085" s="76" t="s">
        <v>18939</v>
      </c>
    </row>
    <row r="18086" spans="1:2" x14ac:dyDescent="0.25">
      <c r="A18086" s="75">
        <v>93141708</v>
      </c>
      <c r="B18086" s="76" t="s">
        <v>19245</v>
      </c>
    </row>
    <row r="18087" spans="1:2" x14ac:dyDescent="0.25">
      <c r="A18087" s="75">
        <v>93141709</v>
      </c>
      <c r="B18087" s="76" t="s">
        <v>19147</v>
      </c>
    </row>
    <row r="18088" spans="1:2" x14ac:dyDescent="0.25">
      <c r="A18088" s="75">
        <v>93141710</v>
      </c>
      <c r="B18088" s="76" t="s">
        <v>18488</v>
      </c>
    </row>
    <row r="18089" spans="1:2" x14ac:dyDescent="0.25">
      <c r="A18089" s="75">
        <v>93141711</v>
      </c>
      <c r="B18089" s="76" t="s">
        <v>19033</v>
      </c>
    </row>
    <row r="18090" spans="1:2" x14ac:dyDescent="0.25">
      <c r="A18090" s="75">
        <v>93141712</v>
      </c>
      <c r="B18090" s="76" t="s">
        <v>12273</v>
      </c>
    </row>
    <row r="18091" spans="1:2" x14ac:dyDescent="0.25">
      <c r="A18091" s="75">
        <v>93141713</v>
      </c>
      <c r="B18091" s="76" t="s">
        <v>11277</v>
      </c>
    </row>
    <row r="18092" spans="1:2" x14ac:dyDescent="0.25">
      <c r="A18092" s="75">
        <v>93141714</v>
      </c>
      <c r="B18092" s="76" t="s">
        <v>4874</v>
      </c>
    </row>
    <row r="18093" spans="1:2" x14ac:dyDescent="0.25">
      <c r="A18093" s="75">
        <v>93141801</v>
      </c>
      <c r="B18093" s="76" t="s">
        <v>2712</v>
      </c>
    </row>
    <row r="18094" spans="1:2" x14ac:dyDescent="0.25">
      <c r="A18094" s="75">
        <v>93141802</v>
      </c>
      <c r="B18094" s="76" t="s">
        <v>15893</v>
      </c>
    </row>
    <row r="18095" spans="1:2" x14ac:dyDescent="0.25">
      <c r="A18095" s="75">
        <v>93141803</v>
      </c>
      <c r="B18095" s="76" t="s">
        <v>11648</v>
      </c>
    </row>
    <row r="18096" spans="1:2" x14ac:dyDescent="0.25">
      <c r="A18096" s="75">
        <v>93141804</v>
      </c>
      <c r="B18096" s="76" t="s">
        <v>206</v>
      </c>
    </row>
    <row r="18097" spans="1:2" x14ac:dyDescent="0.25">
      <c r="A18097" s="75">
        <v>93141805</v>
      </c>
      <c r="B18097" s="76" t="s">
        <v>19210</v>
      </c>
    </row>
    <row r="18098" spans="1:2" x14ac:dyDescent="0.25">
      <c r="A18098" s="75">
        <v>93141806</v>
      </c>
      <c r="B18098" s="76" t="s">
        <v>9267</v>
      </c>
    </row>
    <row r="18099" spans="1:2" x14ac:dyDescent="0.25">
      <c r="A18099" s="75">
        <v>93141807</v>
      </c>
      <c r="B18099" s="76" t="s">
        <v>20072</v>
      </c>
    </row>
    <row r="18100" spans="1:2" x14ac:dyDescent="0.25">
      <c r="A18100" s="75">
        <v>93141808</v>
      </c>
      <c r="B18100" s="76" t="s">
        <v>15081</v>
      </c>
    </row>
    <row r="18101" spans="1:2" x14ac:dyDescent="0.25">
      <c r="A18101" s="75">
        <v>93141810</v>
      </c>
      <c r="B18101" s="76" t="s">
        <v>18454</v>
      </c>
    </row>
    <row r="18102" spans="1:2" x14ac:dyDescent="0.25">
      <c r="A18102" s="75">
        <v>93141811</v>
      </c>
      <c r="B18102" s="76" t="s">
        <v>15984</v>
      </c>
    </row>
    <row r="18103" spans="1:2" x14ac:dyDescent="0.25">
      <c r="A18103" s="75">
        <v>93141812</v>
      </c>
      <c r="B18103" s="76" t="s">
        <v>13756</v>
      </c>
    </row>
    <row r="18104" spans="1:2" x14ac:dyDescent="0.25">
      <c r="A18104" s="75">
        <v>93141813</v>
      </c>
      <c r="B18104" s="76" t="s">
        <v>3220</v>
      </c>
    </row>
    <row r="18105" spans="1:2" x14ac:dyDescent="0.25">
      <c r="A18105" s="75">
        <v>93141814</v>
      </c>
      <c r="B18105" s="76" t="s">
        <v>647</v>
      </c>
    </row>
    <row r="18106" spans="1:2" x14ac:dyDescent="0.25">
      <c r="A18106" s="75">
        <v>93141901</v>
      </c>
      <c r="B18106" s="76" t="s">
        <v>19936</v>
      </c>
    </row>
    <row r="18107" spans="1:2" x14ac:dyDescent="0.25">
      <c r="A18107" s="75">
        <v>93141902</v>
      </c>
      <c r="B18107" s="76" t="s">
        <v>5516</v>
      </c>
    </row>
    <row r="18108" spans="1:2" x14ac:dyDescent="0.25">
      <c r="A18108" s="75">
        <v>93141903</v>
      </c>
      <c r="B18108" s="76" t="s">
        <v>16683</v>
      </c>
    </row>
    <row r="18109" spans="1:2" x14ac:dyDescent="0.25">
      <c r="A18109" s="75">
        <v>93141904</v>
      </c>
      <c r="B18109" s="76" t="s">
        <v>7331</v>
      </c>
    </row>
    <row r="18110" spans="1:2" x14ac:dyDescent="0.25">
      <c r="A18110" s="75">
        <v>93141905</v>
      </c>
      <c r="B18110" s="76" t="s">
        <v>12120</v>
      </c>
    </row>
    <row r="18111" spans="1:2" x14ac:dyDescent="0.25">
      <c r="A18111" s="75">
        <v>93141906</v>
      </c>
      <c r="B18111" s="76" t="s">
        <v>1335</v>
      </c>
    </row>
    <row r="18112" spans="1:2" x14ac:dyDescent="0.25">
      <c r="A18112" s="75">
        <v>93141907</v>
      </c>
      <c r="B18112" s="76" t="s">
        <v>19652</v>
      </c>
    </row>
    <row r="18113" spans="1:2" x14ac:dyDescent="0.25">
      <c r="A18113" s="75">
        <v>93141908</v>
      </c>
      <c r="B18113" s="76" t="s">
        <v>16073</v>
      </c>
    </row>
    <row r="18114" spans="1:2" x14ac:dyDescent="0.25">
      <c r="A18114" s="75">
        <v>93141909</v>
      </c>
      <c r="B18114" s="76" t="s">
        <v>19327</v>
      </c>
    </row>
    <row r="18115" spans="1:2" x14ac:dyDescent="0.25">
      <c r="A18115" s="75">
        <v>93141910</v>
      </c>
      <c r="B18115" s="76" t="s">
        <v>16389</v>
      </c>
    </row>
    <row r="18116" spans="1:2" x14ac:dyDescent="0.25">
      <c r="A18116" s="75">
        <v>93142001</v>
      </c>
      <c r="B18116" s="76" t="s">
        <v>19108</v>
      </c>
    </row>
    <row r="18117" spans="1:2" x14ac:dyDescent="0.25">
      <c r="A18117" s="75">
        <v>93142002</v>
      </c>
      <c r="B18117" s="76" t="s">
        <v>17167</v>
      </c>
    </row>
    <row r="18118" spans="1:2" x14ac:dyDescent="0.25">
      <c r="A18118" s="75">
        <v>93142003</v>
      </c>
      <c r="B18118" s="76" t="s">
        <v>1199</v>
      </c>
    </row>
    <row r="18119" spans="1:2" x14ac:dyDescent="0.25">
      <c r="A18119" s="75">
        <v>93142004</v>
      </c>
      <c r="B18119" s="76" t="s">
        <v>12977</v>
      </c>
    </row>
    <row r="18120" spans="1:2" x14ac:dyDescent="0.25">
      <c r="A18120" s="75">
        <v>93142005</v>
      </c>
      <c r="B18120" s="76" t="s">
        <v>13714</v>
      </c>
    </row>
    <row r="18121" spans="1:2" x14ac:dyDescent="0.25">
      <c r="A18121" s="75">
        <v>93142006</v>
      </c>
      <c r="B18121" s="76" t="s">
        <v>7398</v>
      </c>
    </row>
    <row r="18122" spans="1:2" x14ac:dyDescent="0.25">
      <c r="A18122" s="75">
        <v>93142007</v>
      </c>
      <c r="B18122" s="76" t="s">
        <v>1270</v>
      </c>
    </row>
    <row r="18123" spans="1:2" x14ac:dyDescent="0.25">
      <c r="A18123" s="75">
        <v>93142008</v>
      </c>
      <c r="B18123" s="76" t="s">
        <v>18218</v>
      </c>
    </row>
    <row r="18124" spans="1:2" x14ac:dyDescent="0.25">
      <c r="A18124" s="75">
        <v>93142009</v>
      </c>
      <c r="B18124" s="76" t="s">
        <v>5247</v>
      </c>
    </row>
    <row r="18125" spans="1:2" x14ac:dyDescent="0.25">
      <c r="A18125" s="75">
        <v>93142101</v>
      </c>
      <c r="B18125" s="76" t="s">
        <v>12332</v>
      </c>
    </row>
    <row r="18126" spans="1:2" x14ac:dyDescent="0.25">
      <c r="A18126" s="75">
        <v>93142102</v>
      </c>
      <c r="B18126" s="76" t="s">
        <v>2925</v>
      </c>
    </row>
    <row r="18127" spans="1:2" x14ac:dyDescent="0.25">
      <c r="A18127" s="75">
        <v>93142103</v>
      </c>
      <c r="B18127" s="76" t="s">
        <v>2937</v>
      </c>
    </row>
    <row r="18128" spans="1:2" x14ac:dyDescent="0.25">
      <c r="A18128" s="75">
        <v>93142104</v>
      </c>
      <c r="B18128" s="76" t="s">
        <v>14581</v>
      </c>
    </row>
    <row r="18129" spans="1:2" x14ac:dyDescent="0.25">
      <c r="A18129" s="75">
        <v>93151501</v>
      </c>
      <c r="B18129" s="76" t="s">
        <v>7860</v>
      </c>
    </row>
    <row r="18130" spans="1:2" x14ac:dyDescent="0.25">
      <c r="A18130" s="75">
        <v>93151502</v>
      </c>
      <c r="B18130" s="76" t="s">
        <v>10396</v>
      </c>
    </row>
    <row r="18131" spans="1:2" x14ac:dyDescent="0.25">
      <c r="A18131" s="75">
        <v>93151503</v>
      </c>
      <c r="B18131" s="76" t="s">
        <v>15831</v>
      </c>
    </row>
    <row r="18132" spans="1:2" x14ac:dyDescent="0.25">
      <c r="A18132" s="75">
        <v>93151504</v>
      </c>
      <c r="B18132" s="76" t="s">
        <v>19392</v>
      </c>
    </row>
    <row r="18133" spans="1:2" x14ac:dyDescent="0.25">
      <c r="A18133" s="75">
        <v>93151505</v>
      </c>
      <c r="B18133" s="76" t="s">
        <v>19603</v>
      </c>
    </row>
    <row r="18134" spans="1:2" x14ac:dyDescent="0.25">
      <c r="A18134" s="75">
        <v>93151506</v>
      </c>
      <c r="B18134" s="76" t="s">
        <v>16540</v>
      </c>
    </row>
    <row r="18135" spans="1:2" x14ac:dyDescent="0.25">
      <c r="A18135" s="75">
        <v>93151507</v>
      </c>
      <c r="B18135" s="76" t="s">
        <v>15035</v>
      </c>
    </row>
    <row r="18136" spans="1:2" x14ac:dyDescent="0.25">
      <c r="A18136" s="75">
        <v>93151508</v>
      </c>
      <c r="B18136" s="76" t="s">
        <v>13387</v>
      </c>
    </row>
    <row r="18137" spans="1:2" x14ac:dyDescent="0.25">
      <c r="A18137" s="75">
        <v>93151509</v>
      </c>
      <c r="B18137" s="76" t="s">
        <v>154</v>
      </c>
    </row>
    <row r="18138" spans="1:2" x14ac:dyDescent="0.25">
      <c r="A18138" s="75">
        <v>93151510</v>
      </c>
      <c r="B18138" s="76" t="s">
        <v>18684</v>
      </c>
    </row>
    <row r="18139" spans="1:2" x14ac:dyDescent="0.25">
      <c r="A18139" s="75">
        <v>93151511</v>
      </c>
      <c r="B18139" s="76" t="s">
        <v>18098</v>
      </c>
    </row>
    <row r="18140" spans="1:2" x14ac:dyDescent="0.25">
      <c r="A18140" s="75">
        <v>93151512</v>
      </c>
      <c r="B18140" s="76" t="s">
        <v>8961</v>
      </c>
    </row>
    <row r="18141" spans="1:2" x14ac:dyDescent="0.25">
      <c r="A18141" s="75">
        <v>93151513</v>
      </c>
      <c r="B18141" s="76" t="s">
        <v>8524</v>
      </c>
    </row>
    <row r="18142" spans="1:2" x14ac:dyDescent="0.25">
      <c r="A18142" s="75">
        <v>93151514</v>
      </c>
      <c r="B18142" s="76" t="s">
        <v>6398</v>
      </c>
    </row>
    <row r="18143" spans="1:2" x14ac:dyDescent="0.25">
      <c r="A18143" s="75">
        <v>93151515</v>
      </c>
      <c r="B18143" s="76" t="s">
        <v>11173</v>
      </c>
    </row>
    <row r="18144" spans="1:2" x14ac:dyDescent="0.25">
      <c r="A18144" s="75">
        <v>93151601</v>
      </c>
      <c r="B18144" s="76" t="s">
        <v>1978</v>
      </c>
    </row>
    <row r="18145" spans="1:2" x14ac:dyDescent="0.25">
      <c r="A18145" s="75">
        <v>93151602</v>
      </c>
      <c r="B18145" s="76" t="s">
        <v>17188</v>
      </c>
    </row>
    <row r="18146" spans="1:2" x14ac:dyDescent="0.25">
      <c r="A18146" s="75">
        <v>93151603</v>
      </c>
      <c r="B18146" s="76" t="s">
        <v>2822</v>
      </c>
    </row>
    <row r="18147" spans="1:2" x14ac:dyDescent="0.25">
      <c r="A18147" s="75">
        <v>93151604</v>
      </c>
      <c r="B18147" s="76" t="s">
        <v>15742</v>
      </c>
    </row>
    <row r="18148" spans="1:2" x14ac:dyDescent="0.25">
      <c r="A18148" s="75">
        <v>93151605</v>
      </c>
      <c r="B18148" s="76" t="s">
        <v>7400</v>
      </c>
    </row>
    <row r="18149" spans="1:2" x14ac:dyDescent="0.25">
      <c r="A18149" s="75">
        <v>93151606</v>
      </c>
      <c r="B18149" s="76" t="s">
        <v>17777</v>
      </c>
    </row>
    <row r="18150" spans="1:2" x14ac:dyDescent="0.25">
      <c r="A18150" s="75">
        <v>93151607</v>
      </c>
      <c r="B18150" s="76" t="s">
        <v>2971</v>
      </c>
    </row>
    <row r="18151" spans="1:2" x14ac:dyDescent="0.25">
      <c r="A18151" s="75">
        <v>93151608</v>
      </c>
      <c r="B18151" s="76" t="s">
        <v>12819</v>
      </c>
    </row>
    <row r="18152" spans="1:2" x14ac:dyDescent="0.25">
      <c r="A18152" s="75">
        <v>93151609</v>
      </c>
      <c r="B18152" s="76" t="s">
        <v>17767</v>
      </c>
    </row>
    <row r="18153" spans="1:2" x14ac:dyDescent="0.25">
      <c r="A18153" s="75">
        <v>93151610</v>
      </c>
      <c r="B18153" s="76" t="s">
        <v>14627</v>
      </c>
    </row>
    <row r="18154" spans="1:2" x14ac:dyDescent="0.25">
      <c r="A18154" s="75">
        <v>93151611</v>
      </c>
      <c r="B18154" s="76" t="s">
        <v>11245</v>
      </c>
    </row>
    <row r="18155" spans="1:2" x14ac:dyDescent="0.25">
      <c r="A18155" s="75">
        <v>93151701</v>
      </c>
      <c r="B18155" s="76" t="s">
        <v>525</v>
      </c>
    </row>
    <row r="18156" spans="1:2" x14ac:dyDescent="0.25">
      <c r="A18156" s="75">
        <v>93151702</v>
      </c>
      <c r="B18156" s="76" t="s">
        <v>17124</v>
      </c>
    </row>
    <row r="18157" spans="1:2" x14ac:dyDescent="0.25">
      <c r="A18157" s="75">
        <v>93161501</v>
      </c>
      <c r="B18157" s="76" t="s">
        <v>14900</v>
      </c>
    </row>
    <row r="18158" spans="1:2" x14ac:dyDescent="0.25">
      <c r="A18158" s="75">
        <v>93161502</v>
      </c>
      <c r="B18158" s="76" t="s">
        <v>12064</v>
      </c>
    </row>
    <row r="18159" spans="1:2" x14ac:dyDescent="0.25">
      <c r="A18159" s="75">
        <v>93161503</v>
      </c>
      <c r="B18159" s="76" t="s">
        <v>9827</v>
      </c>
    </row>
    <row r="18160" spans="1:2" x14ac:dyDescent="0.25">
      <c r="A18160" s="75">
        <v>93161504</v>
      </c>
      <c r="B18160" s="76" t="s">
        <v>15109</v>
      </c>
    </row>
    <row r="18161" spans="1:2" x14ac:dyDescent="0.25">
      <c r="A18161" s="75">
        <v>93161601</v>
      </c>
      <c r="B18161" s="76" t="s">
        <v>8144</v>
      </c>
    </row>
    <row r="18162" spans="1:2" x14ac:dyDescent="0.25">
      <c r="A18162" s="75">
        <v>93161602</v>
      </c>
      <c r="B18162" s="76" t="s">
        <v>6562</v>
      </c>
    </row>
    <row r="18163" spans="1:2" x14ac:dyDescent="0.25">
      <c r="A18163" s="75">
        <v>93161603</v>
      </c>
      <c r="B18163" s="76" t="s">
        <v>15144</v>
      </c>
    </row>
    <row r="18164" spans="1:2" x14ac:dyDescent="0.25">
      <c r="A18164" s="75">
        <v>93161604</v>
      </c>
      <c r="B18164" s="76" t="s">
        <v>14034</v>
      </c>
    </row>
    <row r="18165" spans="1:2" x14ac:dyDescent="0.25">
      <c r="A18165" s="75">
        <v>93161605</v>
      </c>
      <c r="B18165" s="76" t="s">
        <v>11778</v>
      </c>
    </row>
    <row r="18166" spans="1:2" x14ac:dyDescent="0.25">
      <c r="A18166" s="75">
        <v>93161606</v>
      </c>
      <c r="B18166" s="76" t="s">
        <v>14479</v>
      </c>
    </row>
    <row r="18167" spans="1:2" x14ac:dyDescent="0.25">
      <c r="A18167" s="75">
        <v>93161607</v>
      </c>
      <c r="B18167" s="76" t="s">
        <v>3739</v>
      </c>
    </row>
    <row r="18168" spans="1:2" x14ac:dyDescent="0.25">
      <c r="A18168" s="75">
        <v>93161701</v>
      </c>
      <c r="B18168" s="76" t="s">
        <v>9903</v>
      </c>
    </row>
    <row r="18169" spans="1:2" x14ac:dyDescent="0.25">
      <c r="A18169" s="75">
        <v>93161702</v>
      </c>
      <c r="B18169" s="76" t="s">
        <v>5990</v>
      </c>
    </row>
    <row r="18170" spans="1:2" x14ac:dyDescent="0.25">
      <c r="A18170" s="75">
        <v>93161703</v>
      </c>
      <c r="B18170" s="76" t="s">
        <v>17768</v>
      </c>
    </row>
    <row r="18171" spans="1:2" x14ac:dyDescent="0.25">
      <c r="A18171" s="75">
        <v>93161704</v>
      </c>
      <c r="B18171" s="76" t="s">
        <v>11572</v>
      </c>
    </row>
    <row r="18172" spans="1:2" x14ac:dyDescent="0.25">
      <c r="A18172" s="75">
        <v>93161801</v>
      </c>
      <c r="B18172" s="76" t="s">
        <v>10453</v>
      </c>
    </row>
    <row r="18173" spans="1:2" x14ac:dyDescent="0.25">
      <c r="A18173" s="75">
        <v>93161802</v>
      </c>
      <c r="B18173" s="76" t="s">
        <v>7214</v>
      </c>
    </row>
    <row r="18174" spans="1:2" x14ac:dyDescent="0.25">
      <c r="A18174" s="75">
        <v>93161803</v>
      </c>
      <c r="B18174" s="76" t="s">
        <v>13022</v>
      </c>
    </row>
    <row r="18175" spans="1:2" x14ac:dyDescent="0.25">
      <c r="A18175" s="75">
        <v>93161804</v>
      </c>
      <c r="B18175" s="76" t="s">
        <v>1152</v>
      </c>
    </row>
    <row r="18176" spans="1:2" x14ac:dyDescent="0.25">
      <c r="A18176" s="75">
        <v>93161805</v>
      </c>
      <c r="B18176" s="76" t="s">
        <v>2798</v>
      </c>
    </row>
    <row r="18177" spans="1:2" x14ac:dyDescent="0.25">
      <c r="A18177" s="75">
        <v>93161806</v>
      </c>
      <c r="B18177" s="76" t="s">
        <v>10144</v>
      </c>
    </row>
    <row r="18178" spans="1:2" x14ac:dyDescent="0.25">
      <c r="A18178" s="75">
        <v>93161807</v>
      </c>
      <c r="B18178" s="76" t="s">
        <v>1566</v>
      </c>
    </row>
    <row r="18179" spans="1:2" x14ac:dyDescent="0.25">
      <c r="A18179" s="75">
        <v>93161808</v>
      </c>
      <c r="B18179" s="76" t="s">
        <v>13648</v>
      </c>
    </row>
    <row r="18180" spans="1:2" x14ac:dyDescent="0.25">
      <c r="A18180" s="75">
        <v>93171501</v>
      </c>
      <c r="B18180" s="76" t="s">
        <v>11280</v>
      </c>
    </row>
    <row r="18181" spans="1:2" x14ac:dyDescent="0.25">
      <c r="A18181" s="75">
        <v>93171502</v>
      </c>
      <c r="B18181" s="76" t="s">
        <v>5009</v>
      </c>
    </row>
    <row r="18182" spans="1:2" x14ac:dyDescent="0.25">
      <c r="A18182" s="75">
        <v>93171503</v>
      </c>
      <c r="B18182" s="76" t="s">
        <v>13752</v>
      </c>
    </row>
    <row r="18183" spans="1:2" x14ac:dyDescent="0.25">
      <c r="A18183" s="75">
        <v>93171504</v>
      </c>
      <c r="B18183" s="76" t="s">
        <v>18887</v>
      </c>
    </row>
    <row r="18184" spans="1:2" x14ac:dyDescent="0.25">
      <c r="A18184" s="75">
        <v>93171601</v>
      </c>
      <c r="B18184" s="76" t="s">
        <v>7238</v>
      </c>
    </row>
    <row r="18185" spans="1:2" x14ac:dyDescent="0.25">
      <c r="A18185" s="75">
        <v>93171602</v>
      </c>
      <c r="B18185" s="76" t="s">
        <v>19071</v>
      </c>
    </row>
    <row r="18186" spans="1:2" x14ac:dyDescent="0.25">
      <c r="A18186" s="75">
        <v>93171603</v>
      </c>
      <c r="B18186" s="76" t="s">
        <v>19224</v>
      </c>
    </row>
    <row r="18187" spans="1:2" x14ac:dyDescent="0.25">
      <c r="A18187" s="75">
        <v>93171604</v>
      </c>
      <c r="B18187" s="76" t="s">
        <v>5666</v>
      </c>
    </row>
    <row r="18188" spans="1:2" x14ac:dyDescent="0.25">
      <c r="A18188" s="75">
        <v>93171701</v>
      </c>
      <c r="B18188" s="76" t="s">
        <v>13556</v>
      </c>
    </row>
    <row r="18189" spans="1:2" x14ac:dyDescent="0.25">
      <c r="A18189" s="75">
        <v>93171702</v>
      </c>
      <c r="B18189" s="76" t="s">
        <v>7143</v>
      </c>
    </row>
    <row r="18190" spans="1:2" x14ac:dyDescent="0.25">
      <c r="A18190" s="75">
        <v>93171703</v>
      </c>
      <c r="B18190" s="76" t="s">
        <v>1129</v>
      </c>
    </row>
    <row r="18191" spans="1:2" x14ac:dyDescent="0.25">
      <c r="A18191" s="75">
        <v>93171801</v>
      </c>
      <c r="B18191" s="76" t="s">
        <v>6320</v>
      </c>
    </row>
    <row r="18192" spans="1:2" x14ac:dyDescent="0.25">
      <c r="A18192" s="75">
        <v>93171802</v>
      </c>
      <c r="B18192" s="76" t="s">
        <v>3242</v>
      </c>
    </row>
    <row r="18193" spans="1:2" x14ac:dyDescent="0.25">
      <c r="A18193" s="75">
        <v>93171803</v>
      </c>
      <c r="B18193" s="76" t="s">
        <v>11099</v>
      </c>
    </row>
    <row r="18194" spans="1:2" x14ac:dyDescent="0.25">
      <c r="A18194" s="75">
        <v>94101501</v>
      </c>
      <c r="B18194" s="76" t="s">
        <v>9494</v>
      </c>
    </row>
    <row r="18195" spans="1:2" x14ac:dyDescent="0.25">
      <c r="A18195" s="75">
        <v>94101502</v>
      </c>
      <c r="B18195" s="76" t="s">
        <v>11289</v>
      </c>
    </row>
    <row r="18196" spans="1:2" x14ac:dyDescent="0.25">
      <c r="A18196" s="75">
        <v>94101503</v>
      </c>
      <c r="B18196" s="76" t="s">
        <v>411</v>
      </c>
    </row>
    <row r="18197" spans="1:2" x14ac:dyDescent="0.25">
      <c r="A18197" s="75">
        <v>94101504</v>
      </c>
      <c r="B18197" s="76" t="s">
        <v>9486</v>
      </c>
    </row>
    <row r="18198" spans="1:2" x14ac:dyDescent="0.25">
      <c r="A18198" s="75">
        <v>94101505</v>
      </c>
      <c r="B18198" s="76" t="s">
        <v>8471</v>
      </c>
    </row>
    <row r="18199" spans="1:2" x14ac:dyDescent="0.25">
      <c r="A18199" s="75">
        <v>94101601</v>
      </c>
      <c r="B18199" s="76" t="s">
        <v>18638</v>
      </c>
    </row>
    <row r="18200" spans="1:2" x14ac:dyDescent="0.25">
      <c r="A18200" s="75">
        <v>94101602</v>
      </c>
      <c r="B18200" s="76" t="s">
        <v>8541</v>
      </c>
    </row>
    <row r="18201" spans="1:2" x14ac:dyDescent="0.25">
      <c r="A18201" s="75">
        <v>94101603</v>
      </c>
      <c r="B18201" s="76" t="s">
        <v>14646</v>
      </c>
    </row>
    <row r="18202" spans="1:2" x14ac:dyDescent="0.25">
      <c r="A18202" s="75">
        <v>94101604</v>
      </c>
      <c r="B18202" s="76" t="s">
        <v>5206</v>
      </c>
    </row>
    <row r="18203" spans="1:2" x14ac:dyDescent="0.25">
      <c r="A18203" s="75">
        <v>94101605</v>
      </c>
      <c r="B18203" s="76" t="s">
        <v>9735</v>
      </c>
    </row>
    <row r="18204" spans="1:2" x14ac:dyDescent="0.25">
      <c r="A18204" s="75">
        <v>94101606</v>
      </c>
      <c r="B18204" s="76" t="s">
        <v>1860</v>
      </c>
    </row>
    <row r="18205" spans="1:2" x14ac:dyDescent="0.25">
      <c r="A18205" s="75">
        <v>94101607</v>
      </c>
      <c r="B18205" s="76" t="s">
        <v>5783</v>
      </c>
    </row>
    <row r="18206" spans="1:2" x14ac:dyDescent="0.25">
      <c r="A18206" s="75">
        <v>94101608</v>
      </c>
      <c r="B18206" s="76" t="s">
        <v>19880</v>
      </c>
    </row>
    <row r="18207" spans="1:2" x14ac:dyDescent="0.25">
      <c r="A18207" s="75">
        <v>94101609</v>
      </c>
      <c r="B18207" s="76" t="s">
        <v>3411</v>
      </c>
    </row>
    <row r="18208" spans="1:2" x14ac:dyDescent="0.25">
      <c r="A18208" s="75">
        <v>94101610</v>
      </c>
      <c r="B18208" s="76" t="s">
        <v>9011</v>
      </c>
    </row>
    <row r="18209" spans="1:2" x14ac:dyDescent="0.25">
      <c r="A18209" s="75">
        <v>94101701</v>
      </c>
      <c r="B18209" s="76" t="s">
        <v>10190</v>
      </c>
    </row>
    <row r="18210" spans="1:2" x14ac:dyDescent="0.25">
      <c r="A18210" s="75">
        <v>94101702</v>
      </c>
      <c r="B18210" s="76" t="s">
        <v>1628</v>
      </c>
    </row>
    <row r="18211" spans="1:2" x14ac:dyDescent="0.25">
      <c r="A18211" s="75">
        <v>94101703</v>
      </c>
      <c r="B18211" s="76" t="s">
        <v>14037</v>
      </c>
    </row>
    <row r="18212" spans="1:2" x14ac:dyDescent="0.25">
      <c r="A18212" s="75">
        <v>94101704</v>
      </c>
      <c r="B18212" s="76" t="s">
        <v>18219</v>
      </c>
    </row>
    <row r="18213" spans="1:2" x14ac:dyDescent="0.25">
      <c r="A18213" s="75">
        <v>94101705</v>
      </c>
      <c r="B18213" s="76" t="s">
        <v>7109</v>
      </c>
    </row>
    <row r="18214" spans="1:2" x14ac:dyDescent="0.25">
      <c r="A18214" s="75">
        <v>94101801</v>
      </c>
      <c r="B18214" s="76" t="s">
        <v>19569</v>
      </c>
    </row>
    <row r="18215" spans="1:2" x14ac:dyDescent="0.25">
      <c r="A18215" s="75">
        <v>94101802</v>
      </c>
      <c r="B18215" s="76" t="s">
        <v>13504</v>
      </c>
    </row>
    <row r="18216" spans="1:2" x14ac:dyDescent="0.25">
      <c r="A18216" s="75">
        <v>94101803</v>
      </c>
      <c r="B18216" s="76" t="s">
        <v>12746</v>
      </c>
    </row>
    <row r="18217" spans="1:2" x14ac:dyDescent="0.25">
      <c r="A18217" s="75">
        <v>94101804</v>
      </c>
      <c r="B18217" s="76" t="s">
        <v>16155</v>
      </c>
    </row>
    <row r="18218" spans="1:2" x14ac:dyDescent="0.25">
      <c r="A18218" s="75">
        <v>94101805</v>
      </c>
      <c r="B18218" s="76" t="s">
        <v>5697</v>
      </c>
    </row>
    <row r="18219" spans="1:2" x14ac:dyDescent="0.25">
      <c r="A18219" s="75">
        <v>94101806</v>
      </c>
      <c r="B18219" s="76" t="s">
        <v>13407</v>
      </c>
    </row>
    <row r="18220" spans="1:2" x14ac:dyDescent="0.25">
      <c r="A18220" s="75">
        <v>94101807</v>
      </c>
      <c r="B18220" s="76" t="s">
        <v>1933</v>
      </c>
    </row>
    <row r="18221" spans="1:2" x14ac:dyDescent="0.25">
      <c r="A18221" s="75">
        <v>94101808</v>
      </c>
      <c r="B18221" s="76" t="s">
        <v>4405</v>
      </c>
    </row>
    <row r="18222" spans="1:2" x14ac:dyDescent="0.25">
      <c r="A18222" s="75">
        <v>94101809</v>
      </c>
      <c r="B18222" s="76" t="s">
        <v>12555</v>
      </c>
    </row>
    <row r="18223" spans="1:2" x14ac:dyDescent="0.25">
      <c r="A18223" s="75">
        <v>94101810</v>
      </c>
      <c r="B18223" s="76" t="s">
        <v>4459</v>
      </c>
    </row>
    <row r="18224" spans="1:2" x14ac:dyDescent="0.25">
      <c r="A18224" s="75">
        <v>94111701</v>
      </c>
      <c r="B18224" s="76" t="s">
        <v>18717</v>
      </c>
    </row>
    <row r="18225" spans="1:2" x14ac:dyDescent="0.25">
      <c r="A18225" s="75">
        <v>94111702</v>
      </c>
      <c r="B18225" s="76" t="s">
        <v>17522</v>
      </c>
    </row>
    <row r="18226" spans="1:2" x14ac:dyDescent="0.25">
      <c r="A18226" s="75">
        <v>94111703</v>
      </c>
      <c r="B18226" s="76" t="s">
        <v>19866</v>
      </c>
    </row>
    <row r="18227" spans="1:2" x14ac:dyDescent="0.25">
      <c r="A18227" s="75">
        <v>94111704</v>
      </c>
      <c r="B18227" s="76" t="s">
        <v>10497</v>
      </c>
    </row>
    <row r="18228" spans="1:2" x14ac:dyDescent="0.25">
      <c r="A18228" s="75">
        <v>94111801</v>
      </c>
      <c r="B18228" s="76" t="s">
        <v>15273</v>
      </c>
    </row>
    <row r="18229" spans="1:2" x14ac:dyDescent="0.25">
      <c r="A18229" s="75">
        <v>94111802</v>
      </c>
      <c r="B18229" s="76" t="s">
        <v>14877</v>
      </c>
    </row>
    <row r="18230" spans="1:2" x14ac:dyDescent="0.25">
      <c r="A18230" s="75">
        <v>94111803</v>
      </c>
      <c r="B18230" s="76" t="s">
        <v>4833</v>
      </c>
    </row>
    <row r="18231" spans="1:2" x14ac:dyDescent="0.25">
      <c r="A18231" s="75">
        <v>94111804</v>
      </c>
      <c r="B18231" s="76" t="s">
        <v>7393</v>
      </c>
    </row>
    <row r="18232" spans="1:2" x14ac:dyDescent="0.25">
      <c r="A18232" s="75">
        <v>94111901</v>
      </c>
      <c r="B18232" s="76" t="s">
        <v>9713</v>
      </c>
    </row>
    <row r="18233" spans="1:2" x14ac:dyDescent="0.25">
      <c r="A18233" s="75">
        <v>94111902</v>
      </c>
      <c r="B18233" s="76" t="s">
        <v>797</v>
      </c>
    </row>
    <row r="18234" spans="1:2" x14ac:dyDescent="0.25">
      <c r="A18234" s="75">
        <v>94111903</v>
      </c>
      <c r="B18234" s="76" t="s">
        <v>19542</v>
      </c>
    </row>
    <row r="18235" spans="1:2" x14ac:dyDescent="0.25">
      <c r="A18235" s="75">
        <v>94112001</v>
      </c>
      <c r="B18235" s="76" t="s">
        <v>16420</v>
      </c>
    </row>
    <row r="18236" spans="1:2" x14ac:dyDescent="0.25">
      <c r="A18236" s="75">
        <v>94112002</v>
      </c>
      <c r="B18236" s="76" t="s">
        <v>19494</v>
      </c>
    </row>
    <row r="18237" spans="1:2" x14ac:dyDescent="0.25">
      <c r="A18237" s="75">
        <v>94112003</v>
      </c>
      <c r="B18237" s="76" t="s">
        <v>14944</v>
      </c>
    </row>
    <row r="18238" spans="1:2" x14ac:dyDescent="0.25">
      <c r="A18238" s="75">
        <v>94112004</v>
      </c>
      <c r="B18238" s="76" t="s">
        <v>13939</v>
      </c>
    </row>
    <row r="18239" spans="1:2" x14ac:dyDescent="0.25">
      <c r="A18239" s="75">
        <v>94112005</v>
      </c>
      <c r="B18239" s="76" t="s">
        <v>8917</v>
      </c>
    </row>
    <row r="18240" spans="1:2" x14ac:dyDescent="0.25">
      <c r="A18240" s="75">
        <v>94121501</v>
      </c>
      <c r="B18240" s="76" t="s">
        <v>18184</v>
      </c>
    </row>
    <row r="18241" spans="1:2" x14ac:dyDescent="0.25">
      <c r="A18241" s="75">
        <v>94121502</v>
      </c>
      <c r="B18241" s="76" t="s">
        <v>7470</v>
      </c>
    </row>
    <row r="18242" spans="1:2" x14ac:dyDescent="0.25">
      <c r="A18242" s="75">
        <v>94121503</v>
      </c>
      <c r="B18242" s="76" t="s">
        <v>12925</v>
      </c>
    </row>
    <row r="18243" spans="1:2" x14ac:dyDescent="0.25">
      <c r="A18243" s="75">
        <v>94121504</v>
      </c>
      <c r="B18243" s="76" t="s">
        <v>10263</v>
      </c>
    </row>
    <row r="18244" spans="1:2" x14ac:dyDescent="0.25">
      <c r="A18244" s="75">
        <v>94121505</v>
      </c>
      <c r="B18244" s="76" t="s">
        <v>19104</v>
      </c>
    </row>
    <row r="18245" spans="1:2" x14ac:dyDescent="0.25">
      <c r="A18245" s="75">
        <v>94121506</v>
      </c>
      <c r="B18245" s="76" t="s">
        <v>2025</v>
      </c>
    </row>
    <row r="18246" spans="1:2" x14ac:dyDescent="0.25">
      <c r="A18246" s="75">
        <v>94121507</v>
      </c>
      <c r="B18246" s="76" t="s">
        <v>7938</v>
      </c>
    </row>
    <row r="18247" spans="1:2" x14ac:dyDescent="0.25">
      <c r="A18247" s="75">
        <v>94121508</v>
      </c>
      <c r="B18247" s="76" t="s">
        <v>18822</v>
      </c>
    </row>
    <row r="18248" spans="1:2" x14ac:dyDescent="0.25">
      <c r="A18248" s="75">
        <v>94121509</v>
      </c>
      <c r="B18248" s="76" t="s">
        <v>16150</v>
      </c>
    </row>
    <row r="18249" spans="1:2" x14ac:dyDescent="0.25">
      <c r="A18249" s="75">
        <v>94121510</v>
      </c>
      <c r="B18249" s="76" t="s">
        <v>9469</v>
      </c>
    </row>
    <row r="18250" spans="1:2" x14ac:dyDescent="0.25">
      <c r="A18250" s="75">
        <v>94121511</v>
      </c>
      <c r="B18250" s="76" t="s">
        <v>6887</v>
      </c>
    </row>
    <row r="18251" spans="1:2" x14ac:dyDescent="0.25">
      <c r="A18251" s="75">
        <v>94121512</v>
      </c>
      <c r="B18251" s="76" t="s">
        <v>3844</v>
      </c>
    </row>
    <row r="18252" spans="1:2" x14ac:dyDescent="0.25">
      <c r="A18252" s="75">
        <v>94121513</v>
      </c>
      <c r="B18252" s="76" t="s">
        <v>11685</v>
      </c>
    </row>
    <row r="18253" spans="1:2" x14ac:dyDescent="0.25">
      <c r="A18253" s="75">
        <v>94121514</v>
      </c>
      <c r="B18253" s="76" t="s">
        <v>493</v>
      </c>
    </row>
    <row r="18254" spans="1:2" x14ac:dyDescent="0.25">
      <c r="A18254" s="75">
        <v>94121601</v>
      </c>
      <c r="B18254" s="76" t="s">
        <v>347</v>
      </c>
    </row>
    <row r="18255" spans="1:2" x14ac:dyDescent="0.25">
      <c r="A18255" s="75">
        <v>94121602</v>
      </c>
      <c r="B18255" s="76" t="s">
        <v>15587</v>
      </c>
    </row>
    <row r="18256" spans="1:2" x14ac:dyDescent="0.25">
      <c r="A18256" s="75">
        <v>94121603</v>
      </c>
      <c r="B18256" s="76" t="s">
        <v>660</v>
      </c>
    </row>
    <row r="18257" spans="1:2" x14ac:dyDescent="0.25">
      <c r="A18257" s="75">
        <v>94121604</v>
      </c>
      <c r="B18257" s="76" t="s">
        <v>18627</v>
      </c>
    </row>
    <row r="18258" spans="1:2" x14ac:dyDescent="0.25">
      <c r="A18258" s="75">
        <v>94121605</v>
      </c>
      <c r="B18258" s="76" t="s">
        <v>17530</v>
      </c>
    </row>
    <row r="18259" spans="1:2" x14ac:dyDescent="0.25">
      <c r="A18259" s="75">
        <v>94121606</v>
      </c>
      <c r="B18259" s="76" t="s">
        <v>17036</v>
      </c>
    </row>
    <row r="18260" spans="1:2" x14ac:dyDescent="0.25">
      <c r="A18260" s="75">
        <v>94121607</v>
      </c>
      <c r="B18260" s="76" t="s">
        <v>860</v>
      </c>
    </row>
    <row r="18261" spans="1:2" x14ac:dyDescent="0.25">
      <c r="A18261" s="75">
        <v>94121701</v>
      </c>
      <c r="B18261" s="76" t="s">
        <v>16214</v>
      </c>
    </row>
    <row r="18262" spans="1:2" x14ac:dyDescent="0.25">
      <c r="A18262" s="75">
        <v>94121702</v>
      </c>
      <c r="B18262" s="76" t="s">
        <v>12558</v>
      </c>
    </row>
    <row r="18263" spans="1:2" x14ac:dyDescent="0.25">
      <c r="A18263" s="75">
        <v>94121703</v>
      </c>
      <c r="B18263" s="76" t="s">
        <v>19465</v>
      </c>
    </row>
    <row r="18264" spans="1:2" x14ac:dyDescent="0.25">
      <c r="A18264" s="75">
        <v>94121704</v>
      </c>
      <c r="B18264" s="76" t="s">
        <v>19611</v>
      </c>
    </row>
    <row r="18265" spans="1:2" x14ac:dyDescent="0.25">
      <c r="A18265" s="75">
        <v>94121801</v>
      </c>
      <c r="B18265" s="76" t="s">
        <v>15733</v>
      </c>
    </row>
    <row r="18266" spans="1:2" x14ac:dyDescent="0.25">
      <c r="A18266" s="75">
        <v>94121802</v>
      </c>
      <c r="B18266" s="76" t="s">
        <v>5593</v>
      </c>
    </row>
    <row r="18267" spans="1:2" x14ac:dyDescent="0.25">
      <c r="A18267" s="75">
        <v>94121803</v>
      </c>
      <c r="B18267" s="76" t="s">
        <v>18727</v>
      </c>
    </row>
    <row r="18268" spans="1:2" x14ac:dyDescent="0.25">
      <c r="A18268" s="75">
        <v>94121804</v>
      </c>
      <c r="B18268" s="76" t="s">
        <v>5024</v>
      </c>
    </row>
    <row r="18269" spans="1:2" x14ac:dyDescent="0.25">
      <c r="A18269" s="75">
        <v>94121805</v>
      </c>
      <c r="B18269" s="76" t="s">
        <v>15912</v>
      </c>
    </row>
    <row r="18270" spans="1:2" x14ac:dyDescent="0.25">
      <c r="A18270" s="75">
        <v>94131501</v>
      </c>
      <c r="B18270" s="76" t="s">
        <v>14744</v>
      </c>
    </row>
    <row r="18271" spans="1:2" x14ac:dyDescent="0.25">
      <c r="A18271" s="75">
        <v>94131502</v>
      </c>
      <c r="B18271" s="76" t="s">
        <v>1330</v>
      </c>
    </row>
    <row r="18272" spans="1:2" x14ac:dyDescent="0.25">
      <c r="A18272" s="75">
        <v>94131503</v>
      </c>
      <c r="B18272" s="76" t="s">
        <v>18044</v>
      </c>
    </row>
    <row r="18273" spans="1:2" x14ac:dyDescent="0.25">
      <c r="A18273" s="75">
        <v>94131504</v>
      </c>
      <c r="B18273" s="76" t="s">
        <v>3838</v>
      </c>
    </row>
    <row r="18274" spans="1:2" x14ac:dyDescent="0.25">
      <c r="A18274" s="75">
        <v>94131601</v>
      </c>
      <c r="B18274" s="76" t="s">
        <v>19898</v>
      </c>
    </row>
    <row r="18275" spans="1:2" x14ac:dyDescent="0.25">
      <c r="A18275" s="75">
        <v>94131602</v>
      </c>
      <c r="B18275" s="76" t="s">
        <v>6241</v>
      </c>
    </row>
    <row r="18276" spans="1:2" x14ac:dyDescent="0.25">
      <c r="A18276" s="75">
        <v>94131603</v>
      </c>
      <c r="B18276" s="76" t="s">
        <v>17367</v>
      </c>
    </row>
    <row r="18277" spans="1:2" x14ac:dyDescent="0.25">
      <c r="A18277" s="75">
        <v>94131604</v>
      </c>
      <c r="B18277" s="76" t="s">
        <v>16112</v>
      </c>
    </row>
    <row r="18278" spans="1:2" x14ac:dyDescent="0.25">
      <c r="A18278" s="75">
        <v>94131605</v>
      </c>
      <c r="B18278" s="76" t="s">
        <v>17149</v>
      </c>
    </row>
    <row r="18279" spans="1:2" x14ac:dyDescent="0.25">
      <c r="A18279" s="75">
        <v>94131606</v>
      </c>
      <c r="B18279" s="76" t="s">
        <v>4208</v>
      </c>
    </row>
    <row r="18280" spans="1:2" x14ac:dyDescent="0.25">
      <c r="A18280" s="75">
        <v>94131607</v>
      </c>
      <c r="B18280" s="76" t="s">
        <v>6108</v>
      </c>
    </row>
    <row r="18281" spans="1:2" x14ac:dyDescent="0.25">
      <c r="A18281" s="75">
        <v>94131608</v>
      </c>
      <c r="B18281" s="76" t="s">
        <v>3583</v>
      </c>
    </row>
    <row r="18282" spans="1:2" x14ac:dyDescent="0.25">
      <c r="A18282" s="75">
        <v>94131701</v>
      </c>
      <c r="B18282" s="76" t="s">
        <v>12268</v>
      </c>
    </row>
    <row r="18283" spans="1:2" x14ac:dyDescent="0.25">
      <c r="A18283" s="75">
        <v>94131702</v>
      </c>
      <c r="B18283" s="76" t="s">
        <v>144</v>
      </c>
    </row>
    <row r="18284" spans="1:2" x14ac:dyDescent="0.25">
      <c r="A18284" s="75">
        <v>94131703</v>
      </c>
      <c r="B18284" s="76" t="s">
        <v>18778</v>
      </c>
    </row>
    <row r="18285" spans="1:2" x14ac:dyDescent="0.25">
      <c r="A18285" s="75">
        <v>94131704</v>
      </c>
      <c r="B18285" s="76" t="s">
        <v>13269</v>
      </c>
    </row>
    <row r="18286" spans="1:2" x14ac:dyDescent="0.25">
      <c r="A18286" s="75">
        <v>94131801</v>
      </c>
      <c r="B18286" s="76" t="s">
        <v>636</v>
      </c>
    </row>
    <row r="18287" spans="1:2" x14ac:dyDescent="0.25">
      <c r="A18287" s="75">
        <v>94131802</v>
      </c>
      <c r="B18287" s="76" t="s">
        <v>12624</v>
      </c>
    </row>
    <row r="18288" spans="1:2" x14ac:dyDescent="0.25">
      <c r="A18288" s="75">
        <v>94131803</v>
      </c>
      <c r="B18288" s="76" t="s">
        <v>1780</v>
      </c>
    </row>
    <row r="18289" spans="1:2" x14ac:dyDescent="0.25">
      <c r="A18289" s="75">
        <v>94131804</v>
      </c>
      <c r="B18289" s="76" t="s">
        <v>15762</v>
      </c>
    </row>
    <row r="18290" spans="1:2" x14ac:dyDescent="0.25">
      <c r="A18290" s="75">
        <v>94131805</v>
      </c>
      <c r="B18290" s="76" t="s">
        <v>10542</v>
      </c>
    </row>
    <row r="18291" spans="1:2" x14ac:dyDescent="0.25">
      <c r="A18291" s="75">
        <v>94131901</v>
      </c>
      <c r="B18291" s="76" t="s">
        <v>8295</v>
      </c>
    </row>
    <row r="18292" spans="1:2" x14ac:dyDescent="0.25">
      <c r="A18292" s="75">
        <v>94131902</v>
      </c>
      <c r="B18292" s="76" t="s">
        <v>13848</v>
      </c>
    </row>
    <row r="18293" spans="1:2" x14ac:dyDescent="0.25">
      <c r="A18293" s="75">
        <v>94131903</v>
      </c>
      <c r="B18293" s="76" t="s">
        <v>15213</v>
      </c>
    </row>
    <row r="18294" spans="1:2" x14ac:dyDescent="0.25">
      <c r="A18294" s="75">
        <v>94132001</v>
      </c>
      <c r="B18294" s="76" t="s">
        <v>19605</v>
      </c>
    </row>
    <row r="18295" spans="1:2" x14ac:dyDescent="0.25">
      <c r="A18295" s="75">
        <v>94132002</v>
      </c>
      <c r="B18295" s="76" t="s">
        <v>7512</v>
      </c>
    </row>
    <row r="18296" spans="1:2" x14ac:dyDescent="0.25">
      <c r="A18296" s="75">
        <v>94132003</v>
      </c>
      <c r="B18296" s="76" t="s">
        <v>14759</v>
      </c>
    </row>
    <row r="18297" spans="1:2" x14ac:dyDescent="0.25">
      <c r="A18297" s="75">
        <v>94132004</v>
      </c>
      <c r="B18297" s="76" t="s">
        <v>15781</v>
      </c>
    </row>
    <row r="18298" spans="1:2" x14ac:dyDescent="0.25">
      <c r="A18298" s="75">
        <v>94132005</v>
      </c>
      <c r="B18298" s="76" t="s">
        <v>8960</v>
      </c>
    </row>
  </sheetData>
  <sheetProtection sheet="1" objects="1" scenario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J10"/>
  <sheetViews>
    <sheetView workbookViewId="0">
      <selection activeCell="C5" sqref="C5"/>
    </sheetView>
  </sheetViews>
  <sheetFormatPr baseColWidth="10" defaultColWidth="9.140625" defaultRowHeight="11.25" x14ac:dyDescent="0.2"/>
  <cols>
    <col min="1" max="1" width="21.7109375" style="58" customWidth="1"/>
    <col min="2" max="2" width="33.42578125" style="58" customWidth="1"/>
    <col min="3" max="3" width="20.28515625" style="58" customWidth="1"/>
    <col min="4" max="4" width="20.85546875" style="58" customWidth="1"/>
    <col min="5" max="5" width="22.28515625" style="58" customWidth="1"/>
    <col min="6" max="6" width="20.5703125" style="58" customWidth="1"/>
    <col min="7" max="7" width="11.42578125" style="58" customWidth="1"/>
    <col min="8" max="8" width="6.85546875" style="58" customWidth="1"/>
    <col min="9" max="9" width="6.42578125" style="58" customWidth="1"/>
    <col min="10" max="10" width="7.85546875" style="58" customWidth="1"/>
    <col min="11" max="11" width="8" style="58" customWidth="1"/>
    <col min="12" max="12" width="12.7109375" style="58" customWidth="1"/>
    <col min="13" max="13" width="19.7109375" style="58" customWidth="1"/>
    <col min="14" max="14" width="9.140625" style="58" customWidth="1"/>
    <col min="15" max="16384" width="9.140625" style="58"/>
  </cols>
  <sheetData>
    <row r="1" spans="1:10" ht="33.950000000000003" customHeight="1" x14ac:dyDescent="0.2">
      <c r="A1" s="77" t="s">
        <v>17233</v>
      </c>
      <c r="B1" s="77" t="s">
        <v>4237</v>
      </c>
      <c r="C1" s="77" t="s">
        <v>4743</v>
      </c>
      <c r="D1" s="77" t="s">
        <v>9891</v>
      </c>
      <c r="E1" s="77" t="s">
        <v>3089</v>
      </c>
      <c r="F1" s="77" t="s">
        <v>18141</v>
      </c>
    </row>
    <row r="2" spans="1:10" ht="11.25" customHeight="1" x14ac:dyDescent="0.2">
      <c r="A2" s="79"/>
      <c r="B2" s="79"/>
      <c r="C2" s="79"/>
      <c r="D2" s="79"/>
      <c r="E2" s="79"/>
      <c r="F2" s="79"/>
    </row>
    <row r="3" spans="1:10" ht="11.25" customHeight="1" x14ac:dyDescent="0.2">
      <c r="A3" s="2" t="s">
        <v>6643</v>
      </c>
      <c r="B3" s="80" t="s">
        <v>1046</v>
      </c>
      <c r="C3" s="89"/>
      <c r="D3" s="2" t="s">
        <v>59</v>
      </c>
      <c r="E3" s="80" t="s">
        <v>20066</v>
      </c>
      <c r="F3" s="79"/>
    </row>
    <row r="4" spans="1:10" ht="11.25" customHeight="1" x14ac:dyDescent="0.2">
      <c r="A4" s="1"/>
      <c r="B4" s="80" t="s">
        <v>10788</v>
      </c>
      <c r="C4" s="78" t="str">
        <f>IF(C3="","",IF(AND(MONTH(C3)&gt;=1,MONTH(C3)&lt;=3),1,IF(AND(MONTH(C3)&gt;=4,MONTH(C3)&lt;=6),2,IF(AND(MONTH(C3)&gt;=7,MONTH(C3)&lt;=9),3,4))))</f>
        <v/>
      </c>
      <c r="D4" s="1"/>
      <c r="E4" s="80" t="s">
        <v>14822</v>
      </c>
      <c r="F4" s="79"/>
    </row>
    <row r="5" spans="1:10" ht="11.25" customHeight="1" x14ac:dyDescent="0.2">
      <c r="A5" s="1"/>
      <c r="B5" s="80" t="s">
        <v>13758</v>
      </c>
      <c r="C5" s="89"/>
      <c r="D5" s="1"/>
      <c r="E5" s="80" t="s">
        <v>18636</v>
      </c>
      <c r="F5" s="79"/>
    </row>
    <row r="6" spans="1:10" ht="11.25" customHeight="1" x14ac:dyDescent="0.2">
      <c r="A6" s="1"/>
      <c r="B6" s="80" t="s">
        <v>10788</v>
      </c>
      <c r="C6" s="78" t="str">
        <f>IF(C5="","",IF(AND(MONTH(C5)&gt;=1,MONTH(C5)&lt;=3),1,IF(AND(MONTH(C5)&gt;=4,MONTH(C5)&lt;=6),2,IF(AND(MONTH(C5)&gt;=7,MONTH(C5)&lt;=9),3,4))))</f>
        <v/>
      </c>
      <c r="D6" s="1"/>
      <c r="E6" s="80" t="s">
        <v>15990</v>
      </c>
      <c r="F6" s="79"/>
    </row>
    <row r="8" spans="1:10" ht="11.25" customHeight="1" x14ac:dyDescent="0.2">
      <c r="A8" s="85" t="s">
        <v>15474</v>
      </c>
      <c r="B8" s="85" t="s">
        <v>5027</v>
      </c>
      <c r="C8" s="85" t="s">
        <v>17461</v>
      </c>
      <c r="D8" s="85" t="s">
        <v>3935</v>
      </c>
      <c r="E8" s="85" t="s">
        <v>10722</v>
      </c>
      <c r="F8" s="85" t="s">
        <v>18237</v>
      </c>
    </row>
    <row r="9" spans="1:10" ht="11.25" customHeight="1" x14ac:dyDescent="0.2">
      <c r="A9" s="81"/>
      <c r="B9" s="82" t="str">
        <f ca="1">IFERROR(INDEX(UNSPSCDes,MATCH(INDIRECT(ADDRESS(ROW(),COLUMN()-1,4)),UNSPSCCode,0)),"")</f>
        <v/>
      </c>
      <c r="C9" s="81"/>
      <c r="D9" s="81"/>
      <c r="E9" s="84"/>
      <c r="F9" s="83">
        <f ca="1">INDIRECT(ADDRESS(ROW(),COLUMN()-2,4))*INDIRECT(ADDRESS(ROW(),COLUMN()-1,4))</f>
        <v>0</v>
      </c>
    </row>
    <row r="10" spans="1:10" ht="33.75" customHeight="1" x14ac:dyDescent="0.2">
      <c r="E10" s="86" t="s">
        <v>7213</v>
      </c>
      <c r="F10" s="87">
        <f ca="1">SUM(Table3[MONTO TOTAL ESTIMADO])</f>
        <v>0</v>
      </c>
      <c r="H10" s="58">
        <f>C2</f>
        <v>0</v>
      </c>
      <c r="I10" s="58">
        <f>E2</f>
        <v>0</v>
      </c>
      <c r="J10" s="58">
        <f>D2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2">
    <mergeCell ref="A3:A6"/>
    <mergeCell ref="D3:D6"/>
  </mergeCells>
  <dataValidations count="10">
    <dataValidation type="date" operator="lessThanOrEqual" allowBlank="1" showInputMessage="1" showErrorMessage="1" sqref="C3">
      <formula1>C5</formula1>
    </dataValidation>
    <dataValidation type="date" operator="greaterThanOrEqual" allowBlank="1" showInputMessage="1" showErrorMessage="1" sqref="C5">
      <formula1>C3</formula1>
    </dataValidation>
    <dataValidation type="list" allowBlank="1" showInputMessage="1" showErrorMessage="1" sqref="F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">
      <formula1>0</formula1>
    </dataValidation>
    <dataValidation type="list" allowBlank="1" showInputMessage="1" showErrorMessage="1" sqref="C9">
      <formula1>UnidadesList</formula1>
    </dataValidation>
    <dataValidation type="decimal" operator="greaterThan" allowBlank="1" showInputMessage="1" showErrorMessage="1" sqref="D9">
      <formula1>0</formula1>
    </dataValidation>
    <dataValidation type="decimal" operator="greaterThan" allowBlank="1" showInputMessage="1" showErrorMessage="1" sqref="E9">
      <formula1>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Button 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Button 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0</xdr:row>
                    <xdr:rowOff>285750</xdr:rowOff>
                  </from>
                  <to>
                    <xdr:col>7</xdr:col>
                    <xdr:colOff>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Button 2">
              <controlPr defaultSize="0" autoFill="0" autoLine="0" autoPict="0" macro="[0]!Sheet1.CopyNewProcedure">
                <anchor moveWithCells="1" sizeWithCells="1">
                  <from>
                    <xdr:col>0</xdr:col>
                    <xdr:colOff>142875</xdr:colOff>
                    <xdr:row>19</xdr:row>
                    <xdr:rowOff>47625</xdr:rowOff>
                  </from>
                  <to>
                    <xdr:col>1</xdr:col>
                    <xdr:colOff>647700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Button 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</xdr:row>
                    <xdr:rowOff>0</xdr:rowOff>
                  </from>
                  <to>
                    <xdr:col>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8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'Informacion '!$S$3:$S$7</xm:f>
          </x14:formula1>
          <xm:sqref>C2</xm:sqref>
        </x14:dataValidation>
        <x14:dataValidation type="list" allowBlank="1" showInputMessage="1" showErrorMessage="1">
          <x14:formula1>
            <xm:f>'Informacion '!$L$3:$L$17</xm:f>
          </x14:formula1>
          <xm:sqref>D2</xm:sqref>
        </x14:dataValidation>
        <x14:dataValidation type="list" allowBlank="1" showInputMessage="1" showErrorMessage="1">
          <x14:formula1>
            <xm:f>'Informacion '!$N$3:$N$5</xm:f>
          </x14:formula1>
          <xm:sqref>E2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67AE6B34C6F847B0AEF480935CC52C" ma:contentTypeVersion="0" ma:contentTypeDescription="Crear nuevo documento." ma:contentTypeScope="" ma:versionID="80c0da8acd849f60181200db1e0cd917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C5504C-B0AE-4EB1-B554-497AA7F618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8FCA8B-46F4-442F-B7C8-CBECD7B7B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A7678EF-896C-42FF-83BC-44B580AAD303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50</vt:i4>
      </vt:variant>
    </vt:vector>
  </HeadingPairs>
  <TitlesOfParts>
    <vt:vector size="55" baseType="lpstr">
      <vt:lpstr>RESUMEN</vt:lpstr>
      <vt:lpstr>PACC</vt:lpstr>
      <vt:lpstr>Informacion </vt:lpstr>
      <vt:lpstr>UNSPSC</vt:lpstr>
      <vt:lpstr>ProcedureTemplate</vt:lpstr>
      <vt:lpstr>PACC!Área_de_impresión</vt:lpstr>
      <vt:lpstr>Bienes</vt:lpstr>
      <vt:lpstr>Concesiones</vt:lpstr>
      <vt:lpstr>ConsultoriaServicios</vt:lpstr>
      <vt:lpstr>DistritoList</vt:lpstr>
      <vt:lpstr>MIPYMEList</vt:lpstr>
      <vt:lpstr>MIPYMEMujer</vt:lpstr>
      <vt:lpstr>MIPYMENo</vt:lpstr>
      <vt:lpstr>MIPYMEOculto</vt:lpstr>
      <vt:lpstr>MIPYMESí</vt:lpstr>
      <vt:lpstr>ModCM</vt:lpstr>
      <vt:lpstr>ModCP</vt:lpstr>
      <vt:lpstr>ModCU</vt:lpstr>
      <vt:lpstr>ModE1508</vt:lpstr>
      <vt:lpstr>ModE40</vt:lpstr>
      <vt:lpstr>ModEBienes</vt:lpstr>
      <vt:lpstr>ModEConstruccion</vt:lpstr>
      <vt:lpstr>ModEObras</vt:lpstr>
      <vt:lpstr>ModEProveedor</vt:lpstr>
      <vt:lpstr>ModEPublicidad</vt:lpstr>
      <vt:lpstr>ModLI</vt:lpstr>
      <vt:lpstr>ModLP</vt:lpstr>
      <vt:lpstr>ModLR</vt:lpstr>
      <vt:lpstr>ModSI</vt:lpstr>
      <vt:lpstr>ModSO</vt:lpstr>
      <vt:lpstr>MunicipioColumn</vt:lpstr>
      <vt:lpstr>MunicipioList</vt:lpstr>
      <vt:lpstr>MunicipioStart</vt:lpstr>
      <vt:lpstr>ObjetoContratacion</vt:lpstr>
      <vt:lpstr>ObjetoContratacionList</vt:lpstr>
      <vt:lpstr>ObjetoContratacionOculto</vt:lpstr>
      <vt:lpstr>Obras</vt:lpstr>
      <vt:lpstr>ProcedimientoOculto</vt:lpstr>
      <vt:lpstr>ProcedureTemplateRange</vt:lpstr>
      <vt:lpstr>ProvinciaColumn</vt:lpstr>
      <vt:lpstr>ProvinciaList</vt:lpstr>
      <vt:lpstr>ProvinciaStart</vt:lpstr>
      <vt:lpstr>RegionColumn</vt:lpstr>
      <vt:lpstr>RegionList</vt:lpstr>
      <vt:lpstr>RegionStart</vt:lpstr>
      <vt:lpstr>Servicios</vt:lpstr>
      <vt:lpstr>ServiciosConsultoria</vt:lpstr>
      <vt:lpstr>TiposProcedimientoList</vt:lpstr>
      <vt:lpstr>TotalEstArea</vt:lpstr>
      <vt:lpstr>TotalEstColumnName</vt:lpstr>
      <vt:lpstr>TotalEstColumnValue</vt:lpstr>
      <vt:lpstr>TotalEstLabel</vt:lpstr>
      <vt:lpstr>UnidadesList</vt:lpstr>
      <vt:lpstr>UNSPSCCode</vt:lpstr>
      <vt:lpstr>UNSPSCDes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Furtado Viana</dc:creator>
  <cp:keywords/>
  <dc:description/>
  <cp:lastModifiedBy>Rosina Del Carmen Barreiro Liriano</cp:lastModifiedBy>
  <dcterms:created xsi:type="dcterms:W3CDTF">2014-09-22T13:14:27Z</dcterms:created>
  <dcterms:modified xsi:type="dcterms:W3CDTF">2021-12-02T19:21:17Z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0x010100C267AE6B34C6F847B0AEF480935CC52C</vt:lpwstr>
  </property>
</Properties>
</file>